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tables/table1.xml" ContentType="application/vnd.openxmlformats-officedocument.spreadsheetml.table+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1.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69.xml" ContentType="application/vnd.ms-excel.controlproperties+xml"/>
  <Override PartName="/xl/ctrlProps/ctrlProp70.xml" ContentType="application/vnd.ms-excel.controlproperties+xml"/>
  <Override PartName="/xl/drawings/drawing14.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omments1.xml" ContentType="application/vnd.openxmlformats-officedocument.spreadsheetml.comments+xml"/>
  <Override PartName="/xl/drawings/drawing15.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16.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17.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18.xml" ContentType="application/vnd.openxmlformats-officedocument.drawing+xml"/>
  <Override PartName="/xl/drawings/drawing19.xml" ContentType="application/vnd.openxmlformats-officedocument.drawing+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20.xml" ContentType="application/vnd.openxmlformats-officedocument.drawing+xml"/>
  <Override PartName="/xl/ctrlProps/ctrlProp97.xml" ContentType="application/vnd.ms-excel.controlproperties+xml"/>
  <Override PartName="/xl/ctrlProps/ctrlProp98.xml" ContentType="application/vnd.ms-excel.controlproperties+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drawings/drawing2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updateLinks="never" codeName="DieseArbeitsmappe"/>
  <mc:AlternateContent xmlns:mc="http://schemas.openxmlformats.org/markup-compatibility/2006">
    <mc:Choice Requires="x15">
      <x15ac:absPath xmlns:x15ac="http://schemas.microsoft.com/office/spreadsheetml/2010/11/ac" url="https://d.docs.live.net/a7fa01d38a6bdd72/KapitalwertKontrolle/"/>
    </mc:Choice>
  </mc:AlternateContent>
  <xr:revisionPtr revIDLastSave="0" documentId="14_{F9C599C5-9425-4DEF-930D-FE43775F775A}" xr6:coauthVersionLast="47" xr6:coauthVersionMax="47" xr10:uidLastSave="{00000000-0000-0000-0000-000000000000}"/>
  <workbookProtection workbookAlgorithmName="SHA-512" workbookHashValue="ZrDYg6MmEPP8IW3r/JvBjXLzkq2siGN6JmZBTB6DubhVyFGYjEkvJEOC/ATdEqdt0r4AhhPZFjY4ovH8FrkcdA==" workbookSaltValue="pgEuMuYpFzTgvRFga5weSw==" workbookSpinCount="100000" lockStructure="1"/>
  <bookViews>
    <workbookView xWindow="-120" yWindow="-120" windowWidth="29040" windowHeight="15720" tabRatio="943" firstSheet="10" activeTab="10" autoFilterDateGrouping="0" xr2:uid="{00000000-000D-0000-FFFF-FFFF00000000}"/>
  </bookViews>
  <sheets>
    <sheet name="TO Ziff.5" sheetId="124" state="hidden" r:id="rId1"/>
    <sheet name="VPI &amp; Zins" sheetId="74" state="hidden" r:id="rId2"/>
    <sheet name="BilMoG-7" sheetId="11" state="hidden" r:id="rId3"/>
    <sheet name="BilMoG10" sheetId="23" state="hidden" r:id="rId4"/>
    <sheet name="Lebenserwartung_M" sheetId="1" state="hidden" r:id="rId5"/>
    <sheet name="Lebenserwartung_F" sheetId="2" state="hidden" r:id="rId6"/>
    <sheet name="Lebenserwartung_N" sheetId="30" state="hidden" r:id="rId7"/>
    <sheet name="G_Kohorte_M" sheetId="4" state="hidden" r:id="rId8"/>
    <sheet name="G_Kohorte_F" sheetId="5" state="hidden" r:id="rId9"/>
    <sheet name="G_Kohorte_N" sheetId="31" state="hidden" r:id="rId10"/>
    <sheet name="Inhalt" sheetId="94" r:id="rId11"/>
    <sheet name="Fallerfassung" sheetId="138" r:id="rId12"/>
    <sheet name="MakroText" sheetId="169" state="hidden" r:id="rId13"/>
    <sheet name="DRV vs. BeamtV" sheetId="164" state="hidden" r:id="rId14"/>
    <sheet name="Einzel-Bewertung" sheetId="19" r:id="rId15"/>
    <sheet name="Berechnungstext" sheetId="22" r:id="rId16"/>
    <sheet name="Ehezeitanteil" sheetId="29" r:id="rId17"/>
    <sheet name="Sterbetafel_P" sheetId="96" state="hidden" r:id="rId18"/>
    <sheet name="Adressen DRV" sheetId="108" state="hidden" r:id="rId19"/>
    <sheet name="Hilfstabelle für Grafik" sheetId="106" state="hidden" r:id="rId20"/>
    <sheet name="Berechnungen BVerfG" sheetId="99" state="hidden" r:id="rId21"/>
    <sheet name="Experten-Diagrammdaten" sheetId="161" state="hidden" r:id="rId22"/>
    <sheet name="Expertendiagramm" sheetId="162" state="hidden" r:id="rId23"/>
    <sheet name="BVerfG 1 BvL 5-18" sheetId="98" r:id="rId24"/>
    <sheet name="Gewinn &amp; Verlust" sheetId="126" state="hidden" r:id="rId25"/>
    <sheet name="TO-Prüfung" sheetId="134" r:id="rId26"/>
    <sheet name="sVA § 20" sheetId="117" r:id="rId27"/>
    <sheet name="§§ 23, 24" sheetId="156" r:id="rId28"/>
    <sheet name="§ 22" sheetId="157" r:id="rId29"/>
    <sheet name="§ 33" sheetId="105" state="hidden" r:id="rId30"/>
    <sheet name="Renteneintritt" sheetId="12" state="hidden" r:id="rId31"/>
    <sheet name="Grundrentenrechner" sheetId="127" state="hidden" r:id="rId32"/>
    <sheet name="BarwertVO" sheetId="139" state="hidden" r:id="rId33"/>
    <sheet name="Abänderungsgründe" sheetId="135" state="hidden" r:id="rId34"/>
    <sheet name="Abänderungsampel" sheetId="140" r:id="rId35"/>
    <sheet name="Verzinsung" sheetId="115" r:id="rId36"/>
    <sheet name="Parameter" sheetId="103" r:id="rId37"/>
    <sheet name="Dies &amp; Das" sheetId="17" r:id="rId38"/>
    <sheet name="Tabelle1" sheetId="166" state="hidden" r:id="rId39"/>
    <sheet name="unbesetzt" sheetId="165" r:id="rId40"/>
    <sheet name="Tabelle3" sheetId="168" state="hidden" r:id="rId41"/>
    <sheet name="Zeichen" sheetId="158" state="hidden" r:id="rId42"/>
    <sheet name="BW-Faktoren" sheetId="154" state="hidden" r:id="rId43"/>
    <sheet name="Formulare &amp; Muster" sheetId="159" state="hidden" r:id="rId44"/>
    <sheet name="KV&amp;PV" sheetId="149" state="hidden" r:id="rId45"/>
    <sheet name="BarwertVglDFGT" sheetId="123" state="hidden" r:id="rId46"/>
    <sheet name="HIRI-Zuschläge66" sheetId="9" state="hidden" r:id="rId47"/>
    <sheet name="HRIR-Zuschläge" sheetId="8" state="hidden" r:id="rId48"/>
    <sheet name="HIRI-Zuschläge67" sheetId="10" state="hidden" r:id="rId49"/>
    <sheet name="HRIR64" sheetId="24" state="hidden" r:id="rId50"/>
    <sheet name="HRIR63" sheetId="25" state="hidden" r:id="rId51"/>
    <sheet name="HRIR62" sheetId="26" state="hidden" r:id="rId52"/>
    <sheet name="HRIR61" sheetId="27" state="hidden" r:id="rId53"/>
    <sheet name="HRIR60" sheetId="28" state="hidden" r:id="rId54"/>
  </sheets>
  <externalReferences>
    <externalReference r:id="rId55"/>
    <externalReference r:id="rId56"/>
    <externalReference r:id="rId57"/>
    <externalReference r:id="rId58"/>
    <externalReference r:id="rId59"/>
    <externalReference r:id="rId60"/>
    <externalReference r:id="rId61"/>
    <externalReference r:id="rId62"/>
  </externalReferences>
  <definedNames>
    <definedName name="_xlnm._FilterDatabase" localSheetId="33" hidden="1">Abänderungsgründe!$B$4:$J$19</definedName>
    <definedName name="_xlnm._FilterDatabase" localSheetId="0" hidden="1">'TO Ziff.5'!$A$5:$XFA$475</definedName>
    <definedName name="A_AnzeigeRechenblatt">'BVerfG 1 BvL 5-18'!$B$2:$H$39</definedName>
    <definedName name="AbändBilMoG_Wahl">Abänderungsampel!$P$5</definedName>
    <definedName name="Abänderung_Datum">Abänderungsampel!$D$4</definedName>
    <definedName name="Abänderungs_Gründe">Abänderungsampel!$U$1</definedName>
    <definedName name="Abänderungsdatum">Abänderungsampel!$D$5</definedName>
    <definedName name="Abänderungsgründe">Abänderungsampel!$AD$1</definedName>
    <definedName name="AbF_AlterEzE">'§§ 23, 24'!$V$6</definedName>
    <definedName name="Abf_AwDyn">'§§ 23, 24'!$C$29</definedName>
    <definedName name="Abf_HRIR_Ja">'§§ 23, 24'!$AA$30</definedName>
    <definedName name="AbF_LDyn">'§§ 23, 24'!$J$13:$M$13</definedName>
    <definedName name="AbF_ReEintritt">'§§ 23, 24'!$V$21</definedName>
    <definedName name="Abf_VollDyn">'§§ 23, 24'!$J$29</definedName>
    <definedName name="Abfindung">'§§ 23, 24'!$B$2</definedName>
    <definedName name="Abfindung_A_Zeit">'§§ 23, 24'!$AB$21</definedName>
    <definedName name="Abfindung_L_Zeit">'§§ 23, 24'!$AA$21</definedName>
    <definedName name="Abfindung§22">'§ 22'!$B$2</definedName>
    <definedName name="absWGrenze">Abänderungsampel!$S$16</definedName>
    <definedName name="Abzinsungstabelle§12BewG">'BW-Faktoren'!$B$18:$C$117</definedName>
    <definedName name="Adaequanz_ADyn">'BVerfG 1 BvL 5-18'!$G$13</definedName>
    <definedName name="Adaequanz_ADynBer">'BVerfG 1 BvL 5-18'!$G$13</definedName>
    <definedName name="Adaequanz_ADynPfl">'BVerfG 1 BvL 5-18'!$D$13</definedName>
    <definedName name="Adaequanz_Ausgleichswert">'BVerfG 1 BvL 5-18'!$G$21</definedName>
    <definedName name="Adaequanz_Ausgleichswert1">'BVerfG 1 BvL 5-18'!$D$22</definedName>
    <definedName name="Adaequanz_AusgleichswertDRV">'BVerfG 1 BvL 5-18'!$E$21</definedName>
    <definedName name="Adaequanz_AusgleichswertVersAusglK">'BVerfG 1 BvL 5-18'!$F$21</definedName>
    <definedName name="Adaequanz_AusglWertQuelle">'BVerfG 1 BvL 5-18'!$D$21</definedName>
    <definedName name="Adaequanz_AwDyn">'BVerfG 1 BvL 5-18'!$G$13</definedName>
    <definedName name="Adaequanz_AwDynBer">'BVerfG 1 BvL 5-18'!$G$13</definedName>
    <definedName name="Adaequanz_DRV_Alter">'BVerfG 1 BvL 5-18'!$E$8</definedName>
    <definedName name="Adaequanz_DRV_Werte">'BVerfG 1 BvL 5-18'!$N$22</definedName>
    <definedName name="Adaequanz_errechneterKapWert">'BVerfG 1 BvL 5-18'!$D$20</definedName>
    <definedName name="Adaequanz_GebDat">'BVerfG 1 BvL 5-18'!$C$7</definedName>
    <definedName name="Adaequanz_GebDatAglBer">'BVerfG 1 BvL 5-18'!$H$7</definedName>
    <definedName name="Adaequanz_GebDatDRV">'BVerfG 1 BvL 5-18'!$E$7</definedName>
    <definedName name="Adaequanz_HR">'BVerfG 1 BvL 5-18'!$G$18</definedName>
    <definedName name="Adaequanz_HRBer">'BVerfG 1 BvL 5-18'!$G$18</definedName>
    <definedName name="Adaequanz_HRPfl">'BVerfG 1 BvL 5-18'!$D$18</definedName>
    <definedName name="Adaequanz_IR">'BVerfG 1 BvL 5-18'!$G$17</definedName>
    <definedName name="Adaequanz_IRBer">'BVerfG 1 BvL 5-18'!$G$17</definedName>
    <definedName name="Adaequanz_IRPfl">'BVerfG 1 BvL 5-18'!$D$17</definedName>
    <definedName name="Adaequanz_Kapitalleistung">'BVerfG 1 BvL 5-18'!$N$20</definedName>
    <definedName name="Adaequanz_Korrektur">'BVerfG 1 BvL 5-18'!$N$11</definedName>
    <definedName name="Adaequanz_Korrekturfaktor">'BVerfG 1 BvL 5-18'!$N$15</definedName>
    <definedName name="Adaequanz_LDyn">'BVerfG 1 BvL 5-18'!$G$14</definedName>
    <definedName name="Adaequanz_LDynBer">'BVerfG 1 BvL 5-18'!$G$14</definedName>
    <definedName name="Adaequanz_LDynPfl">'BVerfG 1 BvL 5-18'!$D$14</definedName>
    <definedName name="Adaequanz_Pruefung">'BVerfG 1 BvL 5-18'!$A$2:$F$68</definedName>
    <definedName name="Adaequanz_QV_Alter">'BVerfG 1 BvL 5-18'!$D$8</definedName>
    <definedName name="Adaequanz_ReEintrittPfl">'BVerfG 1 BvL 5-18'!$D$9</definedName>
    <definedName name="Adaequanz_Reintritt">'BVerfG 1 BvL 5-18'!$G$9</definedName>
    <definedName name="Adaequanz_ReintrittBer">'BVerfG 1 BvL 5-18'!$G$9</definedName>
    <definedName name="Adaequanz_RenteBer">'BVerfG 1 BvL 5-18'!$G$12</definedName>
    <definedName name="Adaequanz_Renteneintritt">'BVerfG 1 BvL 5-18'!$N$12</definedName>
    <definedName name="Adaequanz_RenteneintrittVersAusglK">'BVerfG 1 BvL 5-18'!$F$9</definedName>
    <definedName name="Adaequanz_Rentenhoehe">'BVerfG 1 BvL 5-18'!$G$12</definedName>
    <definedName name="Adaequanz_RentenhoeheVersAusglK">'BVerfG 1 BvL 5-18'!$F$12</definedName>
    <definedName name="Adaequanz_RentePfl">'BVerfG 1 BvL 5-18'!$D$12</definedName>
    <definedName name="Adaequanz_RVolumenBer">'BVerfG 1 BvL 5-18'!$G$22</definedName>
    <definedName name="Adaequanz_Sondertaste">'BVerfG 1 BvL 5-18'!$A$2</definedName>
    <definedName name="Adaequanz_Ufaktor">'BVerfG 1 BvL 5-18'!$O$45</definedName>
    <definedName name="Adaequanz_UFaktorEzE">'BVerfG 1 BvL 5-18'!$O$59</definedName>
    <definedName name="Adaequanz_Umrechnungsfaktor">'BVerfG 1 BvL 5-18'!$O$45</definedName>
    <definedName name="Adaequanz_VerzinsungAusglW">'BVerfG 1 BvL 5-18'!$N$18</definedName>
    <definedName name="Adaequanz_Wertkorrektur">'BVerfG 1 BvL 5-18'!$N$16</definedName>
    <definedName name="Adaequanz_Zugangsfaktor">'Berechnungen BVerfG'!$Y$7</definedName>
    <definedName name="AdaequanzEingabe">'BVerfG 1 BvL 5-18'!$C$4,'BVerfG 1 BvL 5-18'!$C$7,'BVerfG 1 BvL 5-18'!$D$9,'BVerfG 1 BvL 5-18'!$G$9,'BVerfG 1 BvL 5-18'!$D$13:$G$21,'BVerfG 1 BvL 5-18'!$D$21:$G$21</definedName>
    <definedName name="Adäquanz_DRVRenteneintritt">'BVerfG 1 BvL 5-18'!$N$13</definedName>
    <definedName name="aktRW">Parameter!$G$5:$I$66</definedName>
    <definedName name="aktRW_DatErf">Fallerfassung!$AK$4</definedName>
    <definedName name="AktuellerRentenwert">Parameter!$G$5:$I$70</definedName>
    <definedName name="AllgemU_Faktoren">Parameter!$Q$14:$X$64</definedName>
    <definedName name="Alt_Neu">'Dies &amp; Das'!$X$31</definedName>
    <definedName name="AlterF">[1]Berechnungsblatt!$E$5</definedName>
    <definedName name="AlterM">[1]Berechnungsblatt!$E$4</definedName>
    <definedName name="AlternativerReZins">Fallerfassung!$AA$10</definedName>
    <definedName name="Altersgrenze">'Dies &amp; Das'!$N$16</definedName>
    <definedName name="AltersgrenzeBerechnen">'Dies &amp; Das'!$N$16:$P$19</definedName>
    <definedName name="Altersstaffel">'BVerfG 1 BvL 5-18'!$AN$29:$AN$37</definedName>
    <definedName name="Altersuebernahme">'BVerfG 1 BvL 5-18'!$O$9</definedName>
    <definedName name="Anpassung33">'§ 33'!$E$3</definedName>
    <definedName name="Anwartschaftszeit">Berechnungstext!$C$17</definedName>
    <definedName name="Atammdaten">'BVerfG 1 BvL 5-18'!$D$4:$D$7,'BVerfG 1 BvL 5-18'!$D$9,'BVerfG 1 BvL 5-18'!$D$12,'BVerfG 1 BvL 5-18'!$D$13,'BVerfG 1 BvL 5-18'!$D$14,'BVerfG 1 BvL 5-18'!$D$17,'BVerfG 1 BvL 5-18'!$D$18,'BVerfG 1 BvL 5-18'!$D$21</definedName>
    <definedName name="Atammdaten1">'BVerfG 1 BvL 5-18'!$D$4:$D$7</definedName>
    <definedName name="Atammdaten2">'BVerfG 1 BvL 5-18'!$D$12:$D$14</definedName>
    <definedName name="Aufabzinsung">'Dies &amp; Das'!$N$34</definedName>
    <definedName name="AufZinsEzE">Verzinsung!$K$23</definedName>
    <definedName name="Aufzinsung">'Dies &amp; Das'!$G$31:$L$39</definedName>
    <definedName name="AusgleichDRV">Fallerfassung!$AP$22</definedName>
    <definedName name="avisierterZahlungsbetrag">'DRV vs. BeamtV'!$Q$8</definedName>
    <definedName name="AW_DynamikVersAusglK">'Dies &amp; Das'!$E$7</definedName>
    <definedName name="B_Dat">'BVerfG 1 BvL 5-18'!$C$4</definedName>
    <definedName name="b_p_AVverbergen">Fallerfassung!$AJ$21</definedName>
    <definedName name="BagatellgrenzeKapital">'BVerfG 1 BvL 5-18'!$U$3</definedName>
    <definedName name="BagatellgrenzeRente">'BVerfG 1 BvL 5-18'!$T$3</definedName>
    <definedName name="BarwertBeitrag">'BVerfG 1 BvL 5-18'!$H$26</definedName>
    <definedName name="Barwertberechnung">'Dies &amp; Das'!$B$26:$E$40</definedName>
    <definedName name="Barwertdifferenz">Fallerfassung!$AB$40</definedName>
    <definedName name="Barwertgleiche">Fallerfassung!$AB$41</definedName>
    <definedName name="Basiszins">'VPI &amp; Zins'!$K$5:$M$50</definedName>
    <definedName name="BBMG">Parameter!$J$5:$N$64</definedName>
    <definedName name="Beamtenanpassung">Parameter!$AD$5:$AE$68</definedName>
    <definedName name="Beamtenversorgung">[2]Abänderung!$H$29</definedName>
    <definedName name="BeamtV_Dienstzeit">'Dies &amp; Das'!$N$20:$P$40</definedName>
    <definedName name="BeamtV_Verbergen">Fallerfassung!$AJ$14</definedName>
    <definedName name="BeitraginEP">Parameter!$T$5:$V$70</definedName>
    <definedName name="BeitragInRente">'VPI &amp; Zins'!$S$733:$U$793</definedName>
    <definedName name="Beitragsbemessungsgrenze">Parameter!$J$5:$N$70</definedName>
    <definedName name="BeitragssatzDRV">Parameter!$O$5:$P$70</definedName>
    <definedName name="Bem_1">Fallerfassung!$B$9</definedName>
    <definedName name="Bem_2">Fallerfassung!$B$10</definedName>
    <definedName name="BerBasis">Ehezeitanteil!$AE$4</definedName>
    <definedName name="BerechnetAuf">'BVerfG 1 BvL 5-18'!$N$5</definedName>
    <definedName name="Berechnungsmethode">Ehezeitanteil!$L$6</definedName>
    <definedName name="Berechnungsparameter">'Dies &amp; Das'!$B$2:$F$8</definedName>
    <definedName name="BerGesamt">'Experten-Diagrammdaten'!$A$12</definedName>
    <definedName name="BerstdV_verbergen">Fallerfassung!$AJ$17</definedName>
    <definedName name="BGHXIIZB23016">'BVerfG 1 BvL 5-18'!$AG$6</definedName>
    <definedName name="BGHXIIZB26016">'BVerfG 1 BvL 5-18'!$AG$6</definedName>
    <definedName name="Bilanz_BilMoG10">Fallerfassung!$AR$25</definedName>
    <definedName name="BilMoG">Fallerfassung!$AR$13</definedName>
    <definedName name="BilMoG_10">'Dies &amp; Das'!$X$34</definedName>
    <definedName name="BilMoG_10_sVA">'sVA § 20'!$AA$48</definedName>
    <definedName name="BilMoG_7">Verzinsung!$O$23</definedName>
    <definedName name="BilMoG10">BilMoG10!$A$9:$AY$702</definedName>
    <definedName name="BilMoG10Anfang">BilMoG10!$A$9</definedName>
    <definedName name="BilMoGAnfang">'BilMoG-7'!$A$9</definedName>
    <definedName name="BilMogEnde">'BilMoG-7'!$A$6</definedName>
    <definedName name="BilMoGmax">BilMoG10!$A$7</definedName>
    <definedName name="BilMoGMin">BilMoG10!$A$6</definedName>
    <definedName name="BilmoGZins">'BilMoG-7'!$A$9:$AY$500</definedName>
    <definedName name="Blitz">#REF!</definedName>
    <definedName name="BWDRV_F">Fallerfassung!$V$13</definedName>
    <definedName name="BWDRV_M">Fallerfassung!$T$13</definedName>
    <definedName name="BWpbAB_M">Fallerfassung!$T$27</definedName>
    <definedName name="BWVergl_F_DRV">BarwertVglDFGT!$B$21:$I$33</definedName>
    <definedName name="BWVergl_F_DRVIR">BarwertVglDFGT!$B$5:$I$17</definedName>
    <definedName name="BWVergl_F_VersAusglK">BarwertVglDFGT!$V$5:$AE$17</definedName>
    <definedName name="BWVergl_M_DRV">BarwertVglDFGT!$L$21:$S$33</definedName>
    <definedName name="BWVergl_M_DRVIR">BarwertVglDFGT!$L$5:$S$17</definedName>
    <definedName name="BWVergl_M_VersAusglK">BarwertVglDFGT!$V$21:$AE$33</definedName>
    <definedName name="C_BilMoG10">'BVerfG 1 BvL 5-18'!$R$15</definedName>
    <definedName name="cc">'[3]Parameter &amp; Berechnungen'!$F$6</definedName>
    <definedName name="Dat_AlterF">Fallerfassung!$AL$2</definedName>
    <definedName name="Dat_AlterM">Fallerfassung!$AK$2</definedName>
    <definedName name="Dat_AZeig">Fallerfassung!$O$6</definedName>
    <definedName name="Dat_AZeit_F">Fallerfassung!$AS$11</definedName>
    <definedName name="Dat_AZeit_M">Fallerfassung!$AR$11</definedName>
    <definedName name="Dat_BilMoG">Fallerfassung!$AR$13</definedName>
    <definedName name="Dat_bstdKoKa_F">Fallerfassung!$V$19</definedName>
    <definedName name="Dat_bstdKoKa_M">Fallerfassung!$T$19</definedName>
    <definedName name="Dat_bstdV_F">Fallerfassung!$U$19</definedName>
    <definedName name="Dat_bstdV_M">Fallerfassung!$S$19</definedName>
    <definedName name="Dat_DRV_ReSumme">Fallerfassung!$BG$23</definedName>
    <definedName name="Dat_EzA">Fallerfassung!$T$3</definedName>
    <definedName name="Dat_EzE">Fallerfassung!$V$3</definedName>
    <definedName name="Dat_GebDat_F">Fallerfassung!$V$6</definedName>
    <definedName name="Dat_GebDat_M">Fallerfassung!$T$6</definedName>
    <definedName name="Dat_GebDatF">Fallerfassung!$U$6</definedName>
    <definedName name="Dat_GebDatM">Fallerfassung!$S$6</definedName>
    <definedName name="Dat_gRV_F1">Fallerfassung!$U$9</definedName>
    <definedName name="Dat_gRV_F2">Fallerfassung!$U$10</definedName>
    <definedName name="Dat_gRV_F3">Fallerfassung!$U$11</definedName>
    <definedName name="Dat_gRV_M1">Fallerfassung!$S$9</definedName>
    <definedName name="Dat_gRV_M2">Fallerfassung!$S$10</definedName>
    <definedName name="Dat_gRV_M3">Fallerfassung!$S$11</definedName>
    <definedName name="Dat_LZeit_F">Fallerfassung!$AS$12</definedName>
    <definedName name="Dat_LZeit_M">Fallerfassung!$AR$12</definedName>
    <definedName name="Dat_Pension_F1">Fallerfassung!$U$15</definedName>
    <definedName name="Dat_Pension_F2">Fallerfassung!$U$16</definedName>
    <definedName name="Dat_Pension_M1">Fallerfassung!$S$15</definedName>
    <definedName name="Dat_Pension_M2">Fallerfassung!$S$16</definedName>
    <definedName name="Dat_RentnerF">Fallerfassung!$AU$6</definedName>
    <definedName name="Dat_RentnerM">Fallerfassung!$AU$5</definedName>
    <definedName name="Dat_UFaktorEzE">Fallerfassung!$AK$5</definedName>
    <definedName name="Dat_Unisex">Fallerfassung!$AL$9</definedName>
    <definedName name="DatenAusBewertung">'BVerfG 1 BvL 5-18'!$P$4</definedName>
    <definedName name="Delta">Zeichen!$B$12</definedName>
    <definedName name="DFGT">'BVerfG 1 BvL 5-18'!$AI$28</definedName>
    <definedName name="Dienstzeitverlängerung">'Dies &amp; Das'!$N$21:$P$40</definedName>
    <definedName name="Dies_und_Das_Ost">'Dies &amp; Das'!$X$17</definedName>
    <definedName name="DiesuDas_AboderAuf">'Dies &amp; Das'!$X$39</definedName>
    <definedName name="DiesundDas">'Dies &amp; Das'!$C$1</definedName>
    <definedName name="DifferenzfaktorDRV">'Berechnungen BVerfG'!$Y$7</definedName>
    <definedName name="divers">Zeichen!$B$11</definedName>
    <definedName name="_xlnm.Print_Area" localSheetId="29">'§ 33'!$C$2:$F$25</definedName>
    <definedName name="_xlnm.Print_Area" localSheetId="27">'§§ 23, 24'!$B$2:$M$42,'§§ 23, 24'!$O$2:$Q$15</definedName>
    <definedName name="_xlnm.Print_Area" localSheetId="20">INDIRECT('Berechnungen BVerfG'!$T$1)</definedName>
    <definedName name="_xlnm.Print_Area" localSheetId="15">Berechnungstext!$B$3:$C$27</definedName>
    <definedName name="_xlnm.Print_Area" localSheetId="23">'BVerfG 1 BvL 5-18'!$B$2:$H$27,'BVerfG 1 BvL 5-18'!$X$2:$Y$27</definedName>
    <definedName name="_xlnm.Print_Area" localSheetId="37">'Dies &amp; Das'!$B$1:$P$41</definedName>
    <definedName name="_xlnm.Print_Area" localSheetId="16">Ehezeitanteil!$B$2:$AA$32</definedName>
    <definedName name="_xlnm.Print_Area" localSheetId="14">'Einzel-Bewertung'!$B$2:$J$26</definedName>
    <definedName name="_xlnm.Print_Area" localSheetId="11">Fallerfassung!$B$2:$AC$41</definedName>
    <definedName name="_xlnm.Print_Area" localSheetId="24">'Gewinn &amp; Verlust'!$B$3:$D$25</definedName>
    <definedName name="_xlnm.Print_Area" localSheetId="31">Grundrentenrechner!$D$1:$L$30</definedName>
    <definedName name="_xlnm.Print_Area" localSheetId="47">'HRIR-Zuschläge'!$B$2:$AB$51</definedName>
    <definedName name="_xlnm.Print_Area" localSheetId="10">Inhalt!$B$4:$J$40</definedName>
    <definedName name="_xlnm.Print_Area" localSheetId="4">Lebenserwartung_M!$A$1:$DR$102</definedName>
    <definedName name="_xlnm.Print_Area" localSheetId="36">Parameter!$B$1:$X$59</definedName>
    <definedName name="_xlnm.Print_Area" localSheetId="26">'sVA § 20'!$B$3:$I$38,'sVA § 20'!$M$2:$W$33</definedName>
    <definedName name="_xlnm.Print_Area" localSheetId="0">'TO Ziff.5'!$C$1:$G$328</definedName>
    <definedName name="_xlnm.Print_Area" localSheetId="25">'TO-Prüfung'!$B$2:$H$21</definedName>
    <definedName name="_xlnm.Print_Area" localSheetId="35">Verzinsung!$I$19:$L$40</definedName>
    <definedName name="_xlnm.Print_Area">INDIRECT('Berechnungen BVerfG'!$T$1)</definedName>
    <definedName name="DruckbereichII">Berechnungstext!$B$3:$C$27</definedName>
    <definedName name="_xlnm.Print_Titles" localSheetId="47">'HRIR-Zuschläge'!$2:$3</definedName>
    <definedName name="_xlnm.Print_Titles" localSheetId="4">Lebenserwartung_M!$A:$A,Lebenserwartung_M!$1:$1</definedName>
    <definedName name="_xlnm.Print_Titles" localSheetId="0">'TO Ziff.5'!$1:$4</definedName>
    <definedName name="DRV_10">'Einzel-Bewertung'!$U$14</definedName>
    <definedName name="DRV_Adressen">'Adressen DRV'!$A$3:$D$33</definedName>
    <definedName name="DRV_Rentensumme">Fallerfassung!$BG$23</definedName>
    <definedName name="DRV_VersorgungenVerbergen">Fallerfassung!$AL$8</definedName>
    <definedName name="DRVAusglBerJa">'Berechnungen BVerfG'!$X$2</definedName>
    <definedName name="DRVJa">'Berechnungen BVerfG'!$U$2</definedName>
    <definedName name="DRVPfl">'BVerfG 1 BvL 5-18'!$AF$9</definedName>
    <definedName name="DuD_RAltersgr1">'Dies &amp; Das'!$X$7</definedName>
    <definedName name="DuD_RAltersgr2">'Dies &amp; Das'!$X$8</definedName>
    <definedName name="DuD_SummeAR">'Dies &amp; Das'!$R$2</definedName>
    <definedName name="DuD_Umrechnung_DRV">'Dies &amp; Das'!$B$11</definedName>
    <definedName name="DuD_VVR">'[4]Dies &amp; Das'!$V$18</definedName>
    <definedName name="DuD_VVR1">'Dies &amp; Das'!$X$18</definedName>
    <definedName name="DuD_VVR2">'Dies &amp; Das'!$Y$18</definedName>
    <definedName name="Durchschnitt">Zeichen!$B$13</definedName>
    <definedName name="DurchschnittsentgeltTabelle">Parameter!$J$3:$L$70</definedName>
    <definedName name="DynamikBerstdV">'Dies &amp; Das'!$E$9</definedName>
    <definedName name="Dynamisierung">'Dies &amp; Das'!$N$2:$P$15</definedName>
    <definedName name="DynDRVZeitDiff">'BVerfG 1 BvL 5-18'!$Q$52</definedName>
    <definedName name="E_Abweichung">'Einzel-Bewertung'!$Q$20</definedName>
    <definedName name="E_Alter">'Einzel-Bewertung'!$S$6</definedName>
    <definedName name="E_AlterABer">'Einzel-Bewertung'!$Q$40</definedName>
    <definedName name="E_Alterswahl">'Einzel-Bewertung'!$Q$6</definedName>
    <definedName name="E_Anwartschaftszeit">'Einzel-Bewertung'!$S$5</definedName>
    <definedName name="E_AnwartschaftszeitABer">'Einzel-Bewertung'!$Q$36</definedName>
    <definedName name="E_BarwertderRente">'Einzel-Bewertung'!$Q$15</definedName>
    <definedName name="E_BarwertDRV">'Einzel-Bewertung'!$AG$15</definedName>
    <definedName name="E_BarwertText">'Einzel-Bewertung'!$Q$25</definedName>
    <definedName name="E_BerDat1">'Einzel-Bewertung'!$D$6</definedName>
    <definedName name="E_BerDat2">'Einzel-Bewertung'!$D$17</definedName>
    <definedName name="E_Bezeichnung">Berechnungstext!$B$8</definedName>
    <definedName name="E_BilMoG10">'Einzel-Bewertung'!$V$26</definedName>
    <definedName name="E_Bilmog10_test">'Einzel-Bewertung'!$Q$13</definedName>
    <definedName name="E_Datum1">'Einzel-Bewertung'!$D$5</definedName>
    <definedName name="E_Ergebnis">'Einzel-Bewertung'!$H$15</definedName>
    <definedName name="E_Geschlecht1">'Einzel-Bewertung'!$E$7</definedName>
    <definedName name="E_Halbteilung">'Einzel-Bewertung'!$U$18</definedName>
    <definedName name="E_HFaktor">'Einzel-Bewertung'!$S$9</definedName>
    <definedName name="E_HfaktorAusglBer">'Einzel-Bewertung'!$S$23</definedName>
    <definedName name="E_Hinterbliebene">'Einzel-Bewertung'!$Q$9</definedName>
    <definedName name="E_HinterbliebeneAusglBer">'Einzel-Bewertung'!$Q$23</definedName>
    <definedName name="E_Ifaktor">'Einzel-Bewertung'!$S$8</definedName>
    <definedName name="E_IFaktorAusglBer">'Einzel-Bewertung'!$S$22</definedName>
    <definedName name="E_Invalidität">'Einzel-Bewertung'!$Q$8</definedName>
    <definedName name="E_InvaliditätAusglBer">'Einzel-Bewertung'!$Q$22</definedName>
    <definedName name="E_Kapital">'Einzel-Bewertung'!$E$9</definedName>
    <definedName name="E_KapWert">'Einzel-Bewertung'!$E$15</definedName>
    <definedName name="E_LebenserwartungManuell">'Einzel-Bewertung'!$J$9</definedName>
    <definedName name="E_LXYAlterABer">'Einzel-Bewertung'!$Q$35</definedName>
    <definedName name="E_LxyRAlter">'Einzel-Bewertung'!$Q$33</definedName>
    <definedName name="E_RelegalterABer">'Einzel-Bewertung'!$Q$34</definedName>
    <definedName name="E_RenteausKapital">'Einzel-Bewertung'!$Q$14</definedName>
    <definedName name="E_RenteausKapitalAglBer">'Einzel-Bewertung'!$Q$16</definedName>
    <definedName name="E_RenteKapital">'Einzel-Bewertung'!$Q$5</definedName>
    <definedName name="E_RenteKapital1">'Einzel-Bewertung'!$E$8</definedName>
    <definedName name="E_Rentenalter">'Einzel-Bewertung'!$Q$29</definedName>
    <definedName name="E_Rentenaltereingabe">'Einzel-Bewertung'!$E$10</definedName>
    <definedName name="E_Renteneintritt">'Einzel-Bewertung'!$Q$27</definedName>
    <definedName name="E_Rentner">'Einzel-Bewertung'!$Q$28</definedName>
    <definedName name="E_ReTrend1">'Einzel-Bewertung'!$E$14</definedName>
    <definedName name="E_Rezins">'Einzel-Bewertung'!$Q$26</definedName>
    <definedName name="E_ReZins1">'Einzel-Bewertung'!$Q$31</definedName>
    <definedName name="E_RezinsAngabe">'Einzel-Bewertung'!$E$13</definedName>
    <definedName name="E_sex">'Einzel-Bewertung'!$S$7</definedName>
    <definedName name="E_T_HRIR">'Einzel-Bewertung'!$X$23</definedName>
    <definedName name="E_T_VVR">'Einzel-Bewertung'!$S$26</definedName>
    <definedName name="E_Tabschritt">'Einzel-Bewertung'!$X$1</definedName>
    <definedName name="E_Tabschritt2">'Einzel-Bewertung'!$W$2</definedName>
    <definedName name="E_Versicherungsjahrgang">'Einzel-Bewertung'!$Q$32</definedName>
    <definedName name="E_Volldynamik">'Einzel-Bewertung'!$Q$17</definedName>
    <definedName name="E_VVR">'Einzel-Bewertung'!$Q$12</definedName>
    <definedName name="E_VVR_T">'Einzel-Bewertung'!$S$11</definedName>
    <definedName name="E_VVR_TAusglBer">'Einzel-Bewertung'!$Q$38</definedName>
    <definedName name="E_VVR1">'Einzel-Bewertung'!$Q$10</definedName>
    <definedName name="E_VVR1AglBer">'Einzel-Bewertung'!$S$39</definedName>
    <definedName name="E_VVR2">'Einzel-Bewertung'!$Q$11</definedName>
    <definedName name="E_VVR2AglBer">'Einzel-Bewertung'!$Q$39</definedName>
    <definedName name="E_VVRAusglBer">'Einzel-Bewertung'!$Q$37</definedName>
    <definedName name="Ehebis">Ehezeitanteil!$W$5</definedName>
    <definedName name="Ehevon">Ehezeitanteil!$V$5</definedName>
    <definedName name="Ehezeitanfang">[5]Erfassungsbogen!$E$4</definedName>
    <definedName name="Ehezeitanfang2">[1]Erfassungsbogen!$C$4</definedName>
    <definedName name="Ehezeitanteil_Druckbereich">Ehezeitanteil!$B$2:$AA$1048576</definedName>
    <definedName name="Ehezeitende">[5]Erfassungsbogen!$H$4</definedName>
    <definedName name="Eingabe">#REF!,#REF!,#REF!,#REF!</definedName>
    <definedName name="Endalter">'Berechnungen BVerfG'!$H$3</definedName>
    <definedName name="EndalterDRV">'Berechnungen BVerfG'!$I$3</definedName>
    <definedName name="Enddatum">'BilMoG-7'!$A$3</definedName>
    <definedName name="Ensalter">'Berechnungen BVerfG'!$H$3</definedName>
    <definedName name="Entgeltpunkte1">'Einzel-Bewertung'!$U$5</definedName>
    <definedName name="EntgeltpunkteInKapital">Parameter!$Q$11:$S$57</definedName>
    <definedName name="entspricht">Zeichen!$B$9</definedName>
    <definedName name="EP_Ost">'BVerfG 1 BvL 5-18'!$N$6</definedName>
    <definedName name="EPOst">Verzinsung!$O$22</definedName>
    <definedName name="ErgebnisABer">'Einzel-Bewertung'!$H$17</definedName>
    <definedName name="Euro_EP">'§ 33'!$I$16</definedName>
    <definedName name="Eurozeit">[2]Parameter!$T$15</definedName>
    <definedName name="EzE_P">'Dies &amp; Das'!$D$13</definedName>
    <definedName name="Fahrrad">Zeichen!$B$6</definedName>
    <definedName name="Fallbezeichnung">[1]Erfassungsbogen!$C$5</definedName>
    <definedName name="FB_Aktiv">'sVA § 20'!$Y$25</definedName>
    <definedName name="ForderungRente">'Dies &amp; Das'!$AE$34</definedName>
    <definedName name="Frau">Zeichen!$B$15</definedName>
    <definedName name="G_Kohorte_F">G_Kohorte_F!$A$2:$DZ$102</definedName>
    <definedName name="G_Kohorte_M">G_Kohorte_M!$A$2:$DZ$102</definedName>
    <definedName name="G_Kohorte_N">G_Kohorte_N!$A$2:$DO$102</definedName>
    <definedName name="Geschlecht">'§ 33'!$Q$14</definedName>
    <definedName name="gesRentenalteralternativ">'Dies &amp; Das'!$E$9</definedName>
    <definedName name="GesVersrgPfl">'BVerfG 1 BvL 5-18'!$AI$9</definedName>
    <definedName name="Gewinn">'Gewinn &amp; Verlust'!$H$3</definedName>
    <definedName name="GR_Bagatellgrenze">Grundrentenrechner!$O$3</definedName>
    <definedName name="GR_EP_Teilung">Grundrentenrechner!$O$9</definedName>
    <definedName name="GR_Ost">Grundrentenrechner!$O$2</definedName>
    <definedName name="GrafikSchalter">'Hilfstabelle für Grafik'!$C$2</definedName>
    <definedName name="GRRente_EzE">Grundrentenrechner!$E$4</definedName>
    <definedName name="Grundrentenrechner">Grundrentenrechner!$D$1</definedName>
    <definedName name="Halbierung">'Dies &amp; Das'!$AE$4</definedName>
    <definedName name="HalbzeitAusgleichsber">'Einzel-Bewertung'!$R$36</definedName>
    <definedName name="Haus">Zeichen!$B$8</definedName>
    <definedName name="Hauß">#REF!</definedName>
    <definedName name="Heubeck">'Einzel-Bewertung'!$S$1</definedName>
    <definedName name="Heute">'Einzel-Bewertung'!$P$2</definedName>
    <definedName name="Höchstrechnungszins">'Dies &amp; Das'!$K$2:$L$16</definedName>
    <definedName name="Hoechstrechnungszins">'Dies &amp; Das'!$K$4:$L$17</definedName>
    <definedName name="HR_Quote">'Dies &amp; Das'!$E$6</definedName>
    <definedName name="HR_Quote05">'[3]Parameter &amp; Berechnungen'!$F$6</definedName>
    <definedName name="HRIR">'HRIR-Zuschläge'!$B$4:$AB$84</definedName>
    <definedName name="HRIR_Zuschlag">'Einzel-Bewertung'!$U$8</definedName>
    <definedName name="HRIR60">HRIR60!$B$4:$AB$84</definedName>
    <definedName name="HRIR61">HRIR61!$B$4:$AB$84</definedName>
    <definedName name="HRIR62">HRIR62!$B$4:$AB$84</definedName>
    <definedName name="HRIR63">HRIR63!$B$4:$AB$84</definedName>
    <definedName name="HRIR64">HRIR64!$B$4:$AB$84</definedName>
    <definedName name="HRIR66">'HIRI-Zuschläge66'!$B$4:$AB$84</definedName>
    <definedName name="HRIR67">'HIRI-Zuschläge67'!$B$4:$AB$84</definedName>
    <definedName name="Inhalt">Inhalt!$C$5</definedName>
    <definedName name="Interpolation">'Dies &amp; Das'!$AE$6</definedName>
    <definedName name="Intro">Inhalt!$A$4:$K$1048576</definedName>
    <definedName name="Invaliditätsrente">'BVerfG 1 BvL 5-18'!$N$10</definedName>
    <definedName name="IR_Quote">'Dies &amp; Das'!$E$5</definedName>
    <definedName name="Kapital_P">'Dies &amp; Das'!$D$17</definedName>
    <definedName name="Kapital2_p">'Dies &amp; Das'!$D$21</definedName>
    <definedName name="KeineInvaliditätinDRV">'BVerfG 1 BvL 5-18'!$N$29</definedName>
    <definedName name="KoKaDRV">Fallerfassung!$Z$13</definedName>
    <definedName name="KoKaDRV_F">Fallerfassung!$AA$13</definedName>
    <definedName name="KoKaDRV_M">Fallerfassung!$Z$13</definedName>
    <definedName name="KostenDRV">'BVerfG 1 BvL 5-18'!$P$31</definedName>
    <definedName name="KostenEuroDRV">'BVerfG 1 BvL 5-18'!$P$32</definedName>
    <definedName name="KV_Beitrag">'Einzel-Bewertung'!$Z$6</definedName>
    <definedName name="KV_Beitragssatz">'Dies &amp; Das'!$E$4</definedName>
    <definedName name="KVundPV">'KV&amp;PV'!$C$4:$K$55</definedName>
    <definedName name="L_DynamikVersAusglK">'Dies &amp; Das'!$E$8</definedName>
    <definedName name="Längerlebigkeitszuschlag">'Einzel-Bewertung'!$AB$6</definedName>
    <definedName name="Laufzeitbegrenzung">'Einzel-Bewertung'!$R$3</definedName>
    <definedName name="Lebenserwartung_F_V2">Lebenserwartung_F!$A$2:$DZ$102</definedName>
    <definedName name="Lebenserwartung_M_V2">Lebenserwartung_M!$A$2:$DZ$102</definedName>
    <definedName name="Lebenserwartung_N_V2">Lebenserwartung_N!$A$2:$DZ$102</definedName>
    <definedName name="LebenserwartungabRente">Berechnungstext!$C$16</definedName>
    <definedName name="LetzterVPI">'VPI &amp; Zins'!$D$3</definedName>
    <definedName name="LetzteZeile">'BilMoG-7'!$P$5</definedName>
    <definedName name="Mandant">Fallerfassung!$AK$3</definedName>
    <definedName name="Mann">Zeichen!$B$14</definedName>
    <definedName name="männlich">Zeichen!$B$4</definedName>
    <definedName name="MonatlicheBezugsgroesse">Parameter!$B$5:$F$70</definedName>
    <definedName name="MonatlicheBezugsgröße">Parameter!$B$5:$F$70</definedName>
    <definedName name="Monatsbasis">Ehezeitanteil!$AD$28</definedName>
    <definedName name="MonBezugsgr_120">Abänderungsampel!$S$15</definedName>
    <definedName name="NächstesDatum">'Dies &amp; Das'!$K$5</definedName>
    <definedName name="NameAusglBer">'BVerfG 1 BvL 5-18'!$L$32:$L$32</definedName>
    <definedName name="NameAusglPfl">'BVerfG 1 BvL 5-18'!$H$57</definedName>
    <definedName name="O_BewG">'§ 22'!$P$25</definedName>
    <definedName name="O_BilMoG">'Dies &amp; Das'!$AD$20</definedName>
    <definedName name="ö_r_VersorgungenVerbergen">Fallerfassung!$AL$8</definedName>
    <definedName name="Ost">'Einzel-Bewertung'!$Q$45</definedName>
    <definedName name="P_Sterbetafeln">[6]SterbetafelVVR!$A$1:$M$113</definedName>
    <definedName name="P_StTafel">'[6]Anlage 9a zu § 13 BewG'!$V$3</definedName>
    <definedName name="Pensionistenprivileg">'Adressen DRV'!$D$3:$H$19</definedName>
    <definedName name="PfeilLinks">Zeichen!$E$7</definedName>
    <definedName name="PfeilOben">Zeichen!$C$7</definedName>
    <definedName name="PfeilRechts">Zeichen!$D$7</definedName>
    <definedName name="PfeilUnten">Zeichen!$B$7</definedName>
    <definedName name="PfelRechts">Zeichen!$D$7</definedName>
    <definedName name="PflGesamt">#REF!</definedName>
    <definedName name="QuellVersrg">'BVerfG 1 BvL 5-18'!$AE$9</definedName>
    <definedName name="QVersJa">'Berechnungen BVerfG'!$Y$2</definedName>
    <definedName name="Realdauer">'Einzel-Bewertung'!$Q$44</definedName>
    <definedName name="Rechenblatt">'BVerfG 1 BvL 5-18'!$B$2:$H$27</definedName>
    <definedName name="RechenrentenalterInterpolation">'Dies &amp; Das'!$AE$6</definedName>
    <definedName name="Redifferenz">'Berechnungen BVerfG'!$Y$8</definedName>
    <definedName name="Regelaltersgrenze">Renteneintritt!$B$3:$D$22</definedName>
    <definedName name="Rente_P">'Dies &amp; Das'!$D$19</definedName>
    <definedName name="Rentenalter">'Einzel-Bewertung'!$Q$43</definedName>
    <definedName name="Rentenbewertung">'Einzel-Bewertung'!$1:$28</definedName>
    <definedName name="Rentenbewertung_Druck">'Einzel-Bewertung'!$B$1:$H$25</definedName>
    <definedName name="Renteneintrittsalter">[7]Berechnungsblatt!$J$5</definedName>
    <definedName name="Renteneintrittstabelle">Renteneintritt!$B$3:$F$21</definedName>
    <definedName name="RentenerwerbDRV">'BVerfG 1 BvL 5-18'!$AO$9</definedName>
    <definedName name="RentenerwerbDRVBer">'BVerfG 1 BvL 5-18'!$AP$9</definedName>
    <definedName name="Rentenparameter">Parameter!$B$2</definedName>
    <definedName name="RententrendDRV">'Dies &amp; Das'!$E$3</definedName>
    <definedName name="Rentner">'BVerfG 1 BvL 5-18'!$AO$27</definedName>
    <definedName name="RestleistungszeitAGlBer">'Berechnungen BVerfG'!$Y$14</definedName>
    <definedName name="RestleistungszeitAusglBer">'Berechnungen BVerfG'!$Y$10</definedName>
    <definedName name="RestleistungszeitBer">'Berechnungen BVerfG'!$Z$13</definedName>
    <definedName name="Resttleistungszeit">'Berechnungen BVerfG'!$Y$13</definedName>
    <definedName name="ReSummeM">Fallerfassung!$AP$15</definedName>
    <definedName name="Rextleistungszeit">'Berechnungen BVerfG'!$Y$13</definedName>
    <definedName name="ReZins">'BVerfG 1 BvL 5-18'!$P$15</definedName>
    <definedName name="RK_AlterAusglBer">'Einzel-Bewertung'!$M$9</definedName>
    <definedName name="RK_Anwartschaftszeit">'Einzel-Bewertung'!$S$36</definedName>
    <definedName name="RK_AnwZeit">'Einzel-Bewertung'!$M$14</definedName>
    <definedName name="RK_aufgezinsterBW">'Einzel-Bewertung'!$M$8</definedName>
    <definedName name="RK_AusgW">'Einzel-Bewertung'!$M$11</definedName>
    <definedName name="RK_biometrKorrektur">'Einzel-Bewertung'!$M$10</definedName>
    <definedName name="RK_Datum">'Einzel-Bewertung'!$M$5</definedName>
    <definedName name="RK_KorrekturfaktorNebenleistung">'Einzel-Bewertung'!$Y$11</definedName>
    <definedName name="RK_Leistungezeit">'Einzel-Bewertung'!$S$35</definedName>
    <definedName name="RK_Leistungszeit">'Einzel-Bewertung'!$M$15</definedName>
    <definedName name="RK_Nebenleistungen">'Einzel-Bewertung'!$X$10</definedName>
    <definedName name="RK_Nebenleistungen_ABer">'Einzel-Bewertung'!$X$10</definedName>
    <definedName name="RK_VVAAusglBer">'Einzel-Bewertung'!$U$39</definedName>
    <definedName name="RK_VVR_Korrektur">'Einzel-Bewertung'!$U$12</definedName>
    <definedName name="RK_VVRAglBer_Faktor">'Einzel-Bewertung'!$W$39</definedName>
    <definedName name="RK_VVRZahlbeiRK">'Einzel-Bewertung'!$U$10</definedName>
    <definedName name="RK_Zeitabstand_EzE">'Einzel-Bewertung'!$M$7</definedName>
    <definedName name="Screen">'Einzel-Bewertung'!$A$3:$J$22</definedName>
    <definedName name="Sexwahl">'BVerfG 1 BvL 5-18'!$N$8</definedName>
    <definedName name="Sexwahl_alt">'BVerfG 1 BvL 5-18'!$T$7</definedName>
    <definedName name="SexWahlSVA">'sVA § 20'!$AA$47</definedName>
    <definedName name="SonstJa">'Berechnungen BVerfG'!$W$2</definedName>
    <definedName name="SonstPfl">'BVerfG 1 BvL 5-18'!$AH$9</definedName>
    <definedName name="Sozialabgaben_sVA">'sVA § 20'!$M$4:$R$33</definedName>
    <definedName name="Spalten">'BVerfG 1 BvL 5-18'!$AO$26</definedName>
    <definedName name="Speicherort">'Dies &amp; Das'!$D$4</definedName>
    <definedName name="St_Forderung">Sterbetafel_P!$T$29</definedName>
    <definedName name="St_Sex">Sterbetafel_P!$T$27</definedName>
    <definedName name="St_Zins">Sterbetafel_P!$T$30</definedName>
    <definedName name="Stammdaten1">'BVerfG 1 BvL 5-18'!$D$4:$D$7</definedName>
    <definedName name="Stammdaten3">'BVerfG 1 BvL 5-18'!$D$17:$D$18</definedName>
    <definedName name="Stammdaten4">'BVerfG 1 BvL 5-18'!$J$4:$K$6</definedName>
    <definedName name="Stammdaten5">'BVerfG 1 BvL 5-18'!$I$9:$K$9</definedName>
    <definedName name="Stammdaten6">'BVerfG 1 BvL 5-18'!$I$12:$K$14</definedName>
    <definedName name="Stammdaten7">'BVerfG 1 BvL 5-18'!$I$17:$K$18</definedName>
    <definedName name="Stammdatenerfassung">Fallerfassung!$B$2</definedName>
    <definedName name="Startverzeichnis">'Dies &amp; Das'!$D$5</definedName>
    <definedName name="StDat_GrusiAdd">Fallerfassung!$BC$13</definedName>
    <definedName name="Sterbetafel">Sterbetafel_P!$A$13:$P$113</definedName>
    <definedName name="SummeAR">'Dies &amp; Das'!$R$2</definedName>
    <definedName name="Summenzeichen">Zeichen!$B$5</definedName>
    <definedName name="SummeVersrgPfl">#REF!</definedName>
    <definedName name="SV_Abzug">'VPI &amp; Zins'!$H$5:$I$25</definedName>
    <definedName name="sVA">'sVA § 20'!$C$2:$I$38</definedName>
    <definedName name="sVA_AnzahlehezeitlicherV">'sVA § 20'!$AC$32</definedName>
    <definedName name="sVA_DatenlisteGeschlecht">'sVA § 20'!$AA$43:$AA$45</definedName>
    <definedName name="sVA_Einkommensauswahl">'sVA § 20'!$Y$30</definedName>
    <definedName name="sVA_EPOst">'sVA § 20'!$AA$42</definedName>
    <definedName name="sVA_Geschlecht">'§ 22'!$P$6</definedName>
    <definedName name="sVA_Hauß">#REF!</definedName>
    <definedName name="sVA_Heubeck">#REF!</definedName>
    <definedName name="sVA_Höchst3b">'sVA § 20'!$AA$5</definedName>
    <definedName name="sVA_Privat">'sVA § 20'!$Y$22</definedName>
    <definedName name="sVA_Stammdaten">'sVA § 20'!$H$3</definedName>
    <definedName name="sVA_VVRQuoteMet2">'sVA § 20'!$AA$60</definedName>
    <definedName name="sVA_VVRQuoteMeth1">'sVA § 20'!$AB$60</definedName>
    <definedName name="SVAbgaben">'sVA § 20'!$AA$41</definedName>
    <definedName name="T_Barwert">'Einzel-Bewertung'!$Q$24</definedName>
    <definedName name="T_Verrentung">'Einzel-Bewertung'!$Q$18</definedName>
    <definedName name="Tabelle">'BVerfG 1 BvL 5-18'!$C$51</definedName>
    <definedName name="Tabelle9a">Parameter!$AG$43:$AH$142</definedName>
    <definedName name="TabellenAuswahlDRV">'BVerfG 1 BvL 5-18'!$AH$32</definedName>
    <definedName name="TabSchritteBer">'BVerfG 1 BvL 5-18'!$O$4</definedName>
    <definedName name="TabSchrittePfl">'BVerfG 1 BvL 5-18'!$O$3</definedName>
    <definedName name="Tage">Ehezeitanteil!$AD$3</definedName>
    <definedName name="Teilungsordnungsprüfung">'TO-Prüfung'!$B$2</definedName>
    <definedName name="Tenorierungsvorschlag">'TO-Prüfung'!$B$12</definedName>
    <definedName name="Tenorschalter">'Berechnungen BVerfG'!$U$4</definedName>
    <definedName name="Text">Zeichen!$D$11</definedName>
    <definedName name="TO_Bemerkung1">'TO-Prüfung'!$E$6</definedName>
    <definedName name="TO_Bemerkung2">'TO-Prüfung'!$C$10</definedName>
    <definedName name="TO_Sex">'TO-Prüfung'!$K$8</definedName>
    <definedName name="TO_vorhanden">'TO Ziff.5'!$S$5</definedName>
    <definedName name="TO_Ziffer">Fallerfassung!$AS$40</definedName>
    <definedName name="Tod">#REF!</definedName>
    <definedName name="TOs">Fallerfassung!$AQ$40</definedName>
    <definedName name="TOZiff5">'TO Ziff.5'!$B$7:$O$253</definedName>
    <definedName name="Transfergewinnverteilung">'Gewinn &amp; Verlust'!$B$3</definedName>
    <definedName name="TZ_Faktor">Ehezeitanteil!$AD$6</definedName>
    <definedName name="Umrechnung">Parameter!$Q$3:$X$66</definedName>
    <definedName name="Umrechnungen">'Dies &amp; Das'!$B$12:$E$24</definedName>
    <definedName name="UmrechnungEP_Kap">Parameter!$Q$5:$S$64</definedName>
    <definedName name="Umrechnungsfaktoren">Parameter!$T$5:$X$64</definedName>
    <definedName name="Umrechnungsfaktoren_BeitraginEP">Parameter!$T$17:$X$64</definedName>
    <definedName name="Umrechnungsfaktoren_BinEP">Parameter!$T$5:$V$70</definedName>
    <definedName name="Unbesetzt">#REF!</definedName>
    <definedName name="ungefähr">Zeichen!$B$10</definedName>
    <definedName name="Unterhaltsprivileg">'§ 33'!$C$2</definedName>
    <definedName name="VBL_Altersfaktoren">Parameter!$AB$4:$AC$51</definedName>
    <definedName name="VereinbarterUnterhalt">'§ 33'!$I$15</definedName>
    <definedName name="VerglVers">'Berechnungen BVerfG'!$T$3</definedName>
    <definedName name="verheiratet">Grundrentenrechner!$O$21</definedName>
    <definedName name="Verheiratet2">Grundrentenrechner!$P$21</definedName>
    <definedName name="Verrentung">'Dies &amp; Das'!$G$19:$L$30</definedName>
    <definedName name="VersAusglKJa">'Berechnungen BVerfG'!$V$2</definedName>
    <definedName name="VersAusglKPfl">'BVerfG 1 BvL 5-18'!$AG$9</definedName>
    <definedName name="VersBer">'BVerfG 1 BvL 5-18'!$AJ$9</definedName>
    <definedName name="VersGebJahrgBer">'BVerfG 1 BvL 5-18'!$U$3</definedName>
    <definedName name="VersGebJahrgPfl">'BVerfG 1 BvL 5-18'!$N$3</definedName>
    <definedName name="VersicherungsNrFrau">[1]Erfassungsbogen!$F$9</definedName>
    <definedName name="VersicherungsNrMann">[1]Erfassungsbogen!$C$9</definedName>
    <definedName name="Versionsstand">Inhalt!$C$15</definedName>
    <definedName name="VersorgungenEU">Zielversorgungsstart:Zins</definedName>
    <definedName name="Vertins_BilMoG10">Verzinsung!$P$23</definedName>
    <definedName name="VerzinsungAusgleichswert">Verzinsung!$J$22</definedName>
    <definedName name="VPI">'VPI &amp; Zins'!$B$3:$D$900</definedName>
    <definedName name="VPI_10">'Einzel-Bewertung'!$S$14</definedName>
    <definedName name="VPI_Jahr">'VPI &amp; Zins'!$O$4:$P$87</definedName>
    <definedName name="vv">'Einzel-Bewertung'!$E$15</definedName>
    <definedName name="VVR">'Dies &amp; Das'!$AE$36</definedName>
    <definedName name="weiblich">Zeichen!$B$1</definedName>
    <definedName name="West_Ost">'BVerfG 1 BvL 5-18'!$Q$25</definedName>
    <definedName name="WO_Schalter">'BVerfG 1 BvL 5-18'!$N$30</definedName>
    <definedName name="Zinsstaffel">'BVerfG 1 BvL 5-18'!$AM$29:$AM$43</definedName>
    <definedName name="Zuschlag">'Einzel-Bewertung'!$AB$7</definedName>
    <definedName name="ZVAusglBerAlternativ">'§§ 23, 24'!$V$33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U2" i="31" l="1"/>
  <c r="DU3" i="31"/>
  <c r="DU4" i="31"/>
  <c r="DU5" i="31"/>
  <c r="DU6" i="31"/>
  <c r="DU7" i="31"/>
  <c r="DU8" i="31"/>
  <c r="DU9" i="31"/>
  <c r="DU10" i="31"/>
  <c r="DU11" i="31"/>
  <c r="DU12" i="31"/>
  <c r="DU13" i="31"/>
  <c r="DU14" i="31"/>
  <c r="DU15" i="31"/>
  <c r="DU16" i="31"/>
  <c r="DU17" i="31"/>
  <c r="DU18" i="31"/>
  <c r="DU19" i="31"/>
  <c r="DU20" i="31"/>
  <c r="DU21" i="31"/>
  <c r="DU22" i="31"/>
  <c r="DU23" i="31"/>
  <c r="DU24" i="31"/>
  <c r="DU25" i="31"/>
  <c r="DU26" i="31"/>
  <c r="DU27" i="31"/>
  <c r="DU28" i="31"/>
  <c r="DU29" i="31"/>
  <c r="DU30" i="31"/>
  <c r="DU31" i="31"/>
  <c r="DU32" i="31"/>
  <c r="DU33" i="31"/>
  <c r="DU34" i="31"/>
  <c r="DU35" i="31"/>
  <c r="DU36" i="31"/>
  <c r="DU37" i="31"/>
  <c r="DU38" i="31"/>
  <c r="DU39" i="31"/>
  <c r="DU40" i="31"/>
  <c r="DU41" i="31"/>
  <c r="DU42" i="31"/>
  <c r="DU43" i="31"/>
  <c r="DU44" i="31"/>
  <c r="DU45" i="31"/>
  <c r="DU46" i="31"/>
  <c r="DU47" i="31"/>
  <c r="DU48" i="31"/>
  <c r="DU49" i="31"/>
  <c r="DU50" i="31"/>
  <c r="DU51" i="31"/>
  <c r="DU52" i="31"/>
  <c r="DU53" i="31"/>
  <c r="DU54" i="31"/>
  <c r="DU55" i="31"/>
  <c r="DU56" i="31"/>
  <c r="DU57" i="31"/>
  <c r="DU58" i="31"/>
  <c r="DU59" i="31"/>
  <c r="DU60" i="31"/>
  <c r="DU61" i="31"/>
  <c r="DU62" i="31"/>
  <c r="DU63" i="31"/>
  <c r="DU64" i="31"/>
  <c r="DU65" i="31"/>
  <c r="DU66" i="31"/>
  <c r="DU67" i="31"/>
  <c r="DU68" i="31"/>
  <c r="DU69" i="31"/>
  <c r="DU70" i="31"/>
  <c r="DU71" i="31"/>
  <c r="DU72" i="31"/>
  <c r="DU73" i="31"/>
  <c r="DU74" i="31"/>
  <c r="DU75" i="31"/>
  <c r="DU76" i="31"/>
  <c r="DU77" i="31"/>
  <c r="DU78" i="31"/>
  <c r="DU79" i="31"/>
  <c r="DU80" i="31"/>
  <c r="DU81" i="31"/>
  <c r="DU82" i="31"/>
  <c r="DU83" i="31"/>
  <c r="DU84" i="31"/>
  <c r="DU85" i="31"/>
  <c r="DU86" i="31"/>
  <c r="DU87" i="31"/>
  <c r="DU88" i="31"/>
  <c r="DU89" i="31"/>
  <c r="DU90" i="31"/>
  <c r="DU91" i="31"/>
  <c r="DU92" i="31"/>
  <c r="DU93" i="31"/>
  <c r="DU94" i="31"/>
  <c r="DU95" i="31"/>
  <c r="DU96" i="31"/>
  <c r="DU97" i="31"/>
  <c r="DU98" i="31"/>
  <c r="DU99" i="31"/>
  <c r="DU100" i="31"/>
  <c r="DU101" i="31"/>
  <c r="DU102" i="31"/>
  <c r="DQ2" i="31"/>
  <c r="DR2" i="31"/>
  <c r="DS2" i="31"/>
  <c r="DT2" i="31"/>
  <c r="DQ3" i="31"/>
  <c r="DR3" i="31"/>
  <c r="DS3" i="31"/>
  <c r="DT3" i="31"/>
  <c r="DQ4" i="31"/>
  <c r="DR4" i="31"/>
  <c r="DS4" i="31"/>
  <c r="DT4" i="31"/>
  <c r="DQ5" i="31"/>
  <c r="DR5" i="31"/>
  <c r="DS5" i="31"/>
  <c r="DT5" i="31"/>
  <c r="DQ6" i="31"/>
  <c r="DR6" i="31"/>
  <c r="DS6" i="31"/>
  <c r="DT6" i="31"/>
  <c r="DQ7" i="31"/>
  <c r="DR7" i="31"/>
  <c r="DS7" i="31"/>
  <c r="DT7" i="31"/>
  <c r="DQ8" i="31"/>
  <c r="DR8" i="31"/>
  <c r="DS8" i="31"/>
  <c r="DT8" i="31"/>
  <c r="DQ9" i="31"/>
  <c r="DR9" i="31"/>
  <c r="DS9" i="31"/>
  <c r="DT9" i="31"/>
  <c r="DQ10" i="31"/>
  <c r="DR10" i="31"/>
  <c r="DS10" i="31"/>
  <c r="DT10" i="31"/>
  <c r="DQ11" i="31"/>
  <c r="DR11" i="31"/>
  <c r="DS11" i="31"/>
  <c r="DT11" i="31"/>
  <c r="DQ12" i="31"/>
  <c r="DR12" i="31"/>
  <c r="DS12" i="31"/>
  <c r="DT12" i="31"/>
  <c r="DQ13" i="31"/>
  <c r="DR13" i="31"/>
  <c r="DS13" i="31"/>
  <c r="DT13" i="31"/>
  <c r="DQ14" i="31"/>
  <c r="DR14" i="31"/>
  <c r="DS14" i="31"/>
  <c r="DT14" i="31"/>
  <c r="DQ15" i="31"/>
  <c r="DR15" i="31"/>
  <c r="DS15" i="31"/>
  <c r="DT15" i="31"/>
  <c r="DQ16" i="31"/>
  <c r="DR16" i="31"/>
  <c r="DS16" i="31"/>
  <c r="DT16" i="31"/>
  <c r="DQ17" i="31"/>
  <c r="DR17" i="31"/>
  <c r="DS17" i="31"/>
  <c r="DT17" i="31"/>
  <c r="DQ18" i="31"/>
  <c r="DR18" i="31"/>
  <c r="DS18" i="31"/>
  <c r="DT18" i="31"/>
  <c r="DQ19" i="31"/>
  <c r="DR19" i="31"/>
  <c r="DS19" i="31"/>
  <c r="DT19" i="31"/>
  <c r="DQ20" i="31"/>
  <c r="DR20" i="31"/>
  <c r="DS20" i="31"/>
  <c r="DT20" i="31"/>
  <c r="DQ21" i="31"/>
  <c r="DR21" i="31"/>
  <c r="DS21" i="31"/>
  <c r="DT21" i="31"/>
  <c r="DQ22" i="31"/>
  <c r="DR22" i="31"/>
  <c r="DS22" i="31"/>
  <c r="DT22" i="31"/>
  <c r="DQ23" i="31"/>
  <c r="DR23" i="31"/>
  <c r="DS23" i="31"/>
  <c r="DT23" i="31"/>
  <c r="DQ24" i="31"/>
  <c r="DR24" i="31"/>
  <c r="DS24" i="31"/>
  <c r="DT24" i="31"/>
  <c r="DQ25" i="31"/>
  <c r="DR25" i="31"/>
  <c r="DS25" i="31"/>
  <c r="DT25" i="31"/>
  <c r="DQ26" i="31"/>
  <c r="DR26" i="31"/>
  <c r="DS26" i="31"/>
  <c r="DT26" i="31"/>
  <c r="DQ27" i="31"/>
  <c r="DR27" i="31"/>
  <c r="DS27" i="31"/>
  <c r="DT27" i="31"/>
  <c r="DQ28" i="31"/>
  <c r="DR28" i="31"/>
  <c r="DS28" i="31"/>
  <c r="DT28" i="31"/>
  <c r="DQ29" i="31"/>
  <c r="DR29" i="31"/>
  <c r="DS29" i="31"/>
  <c r="DT29" i="31"/>
  <c r="DQ30" i="31"/>
  <c r="DR30" i="31"/>
  <c r="DS30" i="31"/>
  <c r="DT30" i="31"/>
  <c r="DQ31" i="31"/>
  <c r="DR31" i="31"/>
  <c r="DS31" i="31"/>
  <c r="DT31" i="31"/>
  <c r="DQ32" i="31"/>
  <c r="DR32" i="31"/>
  <c r="DS32" i="31"/>
  <c r="DT32" i="31"/>
  <c r="DQ33" i="31"/>
  <c r="DR33" i="31"/>
  <c r="DS33" i="31"/>
  <c r="DT33" i="31"/>
  <c r="DQ34" i="31"/>
  <c r="DR34" i="31"/>
  <c r="DS34" i="31"/>
  <c r="DT34" i="31"/>
  <c r="DQ35" i="31"/>
  <c r="DR35" i="31"/>
  <c r="DS35" i="31"/>
  <c r="DT35" i="31"/>
  <c r="DQ36" i="31"/>
  <c r="DR36" i="31"/>
  <c r="DS36" i="31"/>
  <c r="DT36" i="31"/>
  <c r="DQ37" i="31"/>
  <c r="DR37" i="31"/>
  <c r="DS37" i="31"/>
  <c r="DT37" i="31"/>
  <c r="DQ38" i="31"/>
  <c r="DR38" i="31"/>
  <c r="DS38" i="31"/>
  <c r="DT38" i="31"/>
  <c r="DQ39" i="31"/>
  <c r="DR39" i="31"/>
  <c r="DS39" i="31"/>
  <c r="DT39" i="31"/>
  <c r="DQ40" i="31"/>
  <c r="DR40" i="31"/>
  <c r="DS40" i="31"/>
  <c r="DT40" i="31"/>
  <c r="DQ41" i="31"/>
  <c r="DR41" i="31"/>
  <c r="DS41" i="31"/>
  <c r="DT41" i="31"/>
  <c r="DQ42" i="31"/>
  <c r="DR42" i="31"/>
  <c r="DS42" i="31"/>
  <c r="DT42" i="31"/>
  <c r="DQ43" i="31"/>
  <c r="DR43" i="31"/>
  <c r="DS43" i="31"/>
  <c r="DT43" i="31"/>
  <c r="DQ44" i="31"/>
  <c r="DR44" i="31"/>
  <c r="DS44" i="31"/>
  <c r="DT44" i="31"/>
  <c r="DQ45" i="31"/>
  <c r="DR45" i="31"/>
  <c r="DS45" i="31"/>
  <c r="DT45" i="31"/>
  <c r="DQ46" i="31"/>
  <c r="DR46" i="31"/>
  <c r="DS46" i="31"/>
  <c r="DT46" i="31"/>
  <c r="DQ47" i="31"/>
  <c r="DR47" i="31"/>
  <c r="DS47" i="31"/>
  <c r="DT47" i="31"/>
  <c r="DQ48" i="31"/>
  <c r="DR48" i="31"/>
  <c r="DS48" i="31"/>
  <c r="DT48" i="31"/>
  <c r="DQ49" i="31"/>
  <c r="DR49" i="31"/>
  <c r="DS49" i="31"/>
  <c r="DT49" i="31"/>
  <c r="DQ50" i="31"/>
  <c r="DR50" i="31"/>
  <c r="DS50" i="31"/>
  <c r="DT50" i="31"/>
  <c r="DQ51" i="31"/>
  <c r="DR51" i="31"/>
  <c r="DS51" i="31"/>
  <c r="DT51" i="31"/>
  <c r="DQ52" i="31"/>
  <c r="DR52" i="31"/>
  <c r="DS52" i="31"/>
  <c r="DT52" i="31"/>
  <c r="DQ53" i="31"/>
  <c r="DR53" i="31"/>
  <c r="DS53" i="31"/>
  <c r="DT53" i="31"/>
  <c r="DQ54" i="31"/>
  <c r="DR54" i="31"/>
  <c r="DS54" i="31"/>
  <c r="DT54" i="31"/>
  <c r="DQ55" i="31"/>
  <c r="DR55" i="31"/>
  <c r="DS55" i="31"/>
  <c r="DT55" i="31"/>
  <c r="DQ56" i="31"/>
  <c r="DR56" i="31"/>
  <c r="DS56" i="31"/>
  <c r="DT56" i="31"/>
  <c r="DQ57" i="31"/>
  <c r="DR57" i="31"/>
  <c r="DS57" i="31"/>
  <c r="DT57" i="31"/>
  <c r="DQ58" i="31"/>
  <c r="DR58" i="31"/>
  <c r="DS58" i="31"/>
  <c r="DT58" i="31"/>
  <c r="DQ59" i="31"/>
  <c r="DR59" i="31"/>
  <c r="DS59" i="31"/>
  <c r="DT59" i="31"/>
  <c r="DQ60" i="31"/>
  <c r="DR60" i="31"/>
  <c r="DS60" i="31"/>
  <c r="DT60" i="31"/>
  <c r="DQ61" i="31"/>
  <c r="DR61" i="31"/>
  <c r="DS61" i="31"/>
  <c r="DT61" i="31"/>
  <c r="DQ62" i="31"/>
  <c r="DR62" i="31"/>
  <c r="DS62" i="31"/>
  <c r="DT62" i="31"/>
  <c r="DQ63" i="31"/>
  <c r="DR63" i="31"/>
  <c r="DS63" i="31"/>
  <c r="DT63" i="31"/>
  <c r="DQ64" i="31"/>
  <c r="DR64" i="31"/>
  <c r="DS64" i="31"/>
  <c r="DT64" i="31"/>
  <c r="DQ65" i="31"/>
  <c r="DR65" i="31"/>
  <c r="DS65" i="31"/>
  <c r="DT65" i="31"/>
  <c r="DQ66" i="31"/>
  <c r="DR66" i="31"/>
  <c r="DS66" i="31"/>
  <c r="DT66" i="31"/>
  <c r="DQ67" i="31"/>
  <c r="DR67" i="31"/>
  <c r="DS67" i="31"/>
  <c r="DT67" i="31"/>
  <c r="DQ68" i="31"/>
  <c r="DR68" i="31"/>
  <c r="DS68" i="31"/>
  <c r="DT68" i="31"/>
  <c r="DQ69" i="31"/>
  <c r="DR69" i="31"/>
  <c r="DS69" i="31"/>
  <c r="DT69" i="31"/>
  <c r="DQ70" i="31"/>
  <c r="DR70" i="31"/>
  <c r="DS70" i="31"/>
  <c r="DT70" i="31"/>
  <c r="DQ71" i="31"/>
  <c r="DR71" i="31"/>
  <c r="DS71" i="31"/>
  <c r="DT71" i="31"/>
  <c r="DQ72" i="31"/>
  <c r="DR72" i="31"/>
  <c r="DS72" i="31"/>
  <c r="DT72" i="31"/>
  <c r="DQ73" i="31"/>
  <c r="DR73" i="31"/>
  <c r="DS73" i="31"/>
  <c r="DT73" i="31"/>
  <c r="DQ74" i="31"/>
  <c r="DR74" i="31"/>
  <c r="DS74" i="31"/>
  <c r="DT74" i="31"/>
  <c r="DQ75" i="31"/>
  <c r="DR75" i="31"/>
  <c r="DS75" i="31"/>
  <c r="DT75" i="31"/>
  <c r="DQ76" i="31"/>
  <c r="DR76" i="31"/>
  <c r="DS76" i="31"/>
  <c r="DT76" i="31"/>
  <c r="DQ77" i="31"/>
  <c r="DR77" i="31"/>
  <c r="DS77" i="31"/>
  <c r="DT77" i="31"/>
  <c r="DQ78" i="31"/>
  <c r="DR78" i="31"/>
  <c r="DS78" i="31"/>
  <c r="DT78" i="31"/>
  <c r="DQ79" i="31"/>
  <c r="DR79" i="31"/>
  <c r="DS79" i="31"/>
  <c r="DT79" i="31"/>
  <c r="DQ80" i="31"/>
  <c r="DR80" i="31"/>
  <c r="DS80" i="31"/>
  <c r="DT80" i="31"/>
  <c r="DQ81" i="31"/>
  <c r="DR81" i="31"/>
  <c r="DS81" i="31"/>
  <c r="DT81" i="31"/>
  <c r="DQ82" i="31"/>
  <c r="DR82" i="31"/>
  <c r="DS82" i="31"/>
  <c r="DT82" i="31"/>
  <c r="DQ83" i="31"/>
  <c r="DR83" i="31"/>
  <c r="DS83" i="31"/>
  <c r="DT83" i="31"/>
  <c r="DQ84" i="31"/>
  <c r="DR84" i="31"/>
  <c r="DS84" i="31"/>
  <c r="DT84" i="31"/>
  <c r="DQ85" i="31"/>
  <c r="DR85" i="31"/>
  <c r="DS85" i="31"/>
  <c r="DT85" i="31"/>
  <c r="DQ86" i="31"/>
  <c r="DR86" i="31"/>
  <c r="DS86" i="31"/>
  <c r="DT86" i="31"/>
  <c r="DQ87" i="31"/>
  <c r="DR87" i="31"/>
  <c r="DS87" i="31"/>
  <c r="DT87" i="31"/>
  <c r="DQ88" i="31"/>
  <c r="DR88" i="31"/>
  <c r="DS88" i="31"/>
  <c r="DT88" i="31"/>
  <c r="DQ89" i="31"/>
  <c r="DR89" i="31"/>
  <c r="DS89" i="31"/>
  <c r="DT89" i="31"/>
  <c r="DQ90" i="31"/>
  <c r="DR90" i="31"/>
  <c r="DS90" i="31"/>
  <c r="DT90" i="31"/>
  <c r="DQ91" i="31"/>
  <c r="DR91" i="31"/>
  <c r="DS91" i="31"/>
  <c r="DT91" i="31"/>
  <c r="DQ92" i="31"/>
  <c r="DR92" i="31"/>
  <c r="DS92" i="31"/>
  <c r="DT92" i="31"/>
  <c r="DQ93" i="31"/>
  <c r="DR93" i="31"/>
  <c r="DS93" i="31"/>
  <c r="DT93" i="31"/>
  <c r="DQ94" i="31"/>
  <c r="DR94" i="31"/>
  <c r="DS94" i="31"/>
  <c r="DT94" i="31"/>
  <c r="DQ95" i="31"/>
  <c r="DR95" i="31"/>
  <c r="DS95" i="31"/>
  <c r="DT95" i="31"/>
  <c r="DQ96" i="31"/>
  <c r="DR96" i="31"/>
  <c r="DS96" i="31"/>
  <c r="DT96" i="31"/>
  <c r="DQ97" i="31"/>
  <c r="DR97" i="31"/>
  <c r="DS97" i="31"/>
  <c r="DT97" i="31"/>
  <c r="DQ98" i="31"/>
  <c r="DR98" i="31"/>
  <c r="DS98" i="31"/>
  <c r="DT98" i="31"/>
  <c r="DQ99" i="31"/>
  <c r="DR99" i="31"/>
  <c r="DS99" i="31"/>
  <c r="DT99" i="31"/>
  <c r="DQ100" i="31"/>
  <c r="DR100" i="31"/>
  <c r="DS100" i="31"/>
  <c r="DT100" i="31"/>
  <c r="DQ101" i="31"/>
  <c r="DR101" i="31"/>
  <c r="DS101" i="31"/>
  <c r="DT101" i="31"/>
  <c r="DQ102" i="31"/>
  <c r="DR102" i="31"/>
  <c r="DS102" i="31"/>
  <c r="DT102" i="31"/>
  <c r="DP3" i="31"/>
  <c r="DP4" i="31"/>
  <c r="DP5" i="31"/>
  <c r="DP6" i="31"/>
  <c r="DP7" i="31"/>
  <c r="DP8" i="31"/>
  <c r="DP9" i="31"/>
  <c r="DP10" i="31"/>
  <c r="DP11" i="31"/>
  <c r="DP12" i="31"/>
  <c r="DP13" i="31"/>
  <c r="DP14" i="31"/>
  <c r="DP15" i="31"/>
  <c r="DP16" i="31"/>
  <c r="DP17" i="31"/>
  <c r="DP18" i="31"/>
  <c r="DP19" i="31"/>
  <c r="DP20" i="31"/>
  <c r="DP21" i="31"/>
  <c r="DP22" i="31"/>
  <c r="DP23" i="31"/>
  <c r="DP24" i="31"/>
  <c r="DP25" i="31"/>
  <c r="DP26" i="31"/>
  <c r="DP27" i="31"/>
  <c r="DP28" i="31"/>
  <c r="DP29" i="31"/>
  <c r="DP30" i="31"/>
  <c r="DP31" i="31"/>
  <c r="DP32" i="31"/>
  <c r="DP33" i="31"/>
  <c r="DP34" i="31"/>
  <c r="DP35" i="31"/>
  <c r="DP36" i="31"/>
  <c r="DP37" i="31"/>
  <c r="DP38" i="31"/>
  <c r="DP39" i="31"/>
  <c r="DP40" i="31"/>
  <c r="DP41" i="31"/>
  <c r="DP42" i="31"/>
  <c r="DP43" i="31"/>
  <c r="DP44" i="31"/>
  <c r="DP45" i="31"/>
  <c r="DP46" i="31"/>
  <c r="DP47" i="31"/>
  <c r="DP48" i="31"/>
  <c r="DP49" i="31"/>
  <c r="DP50" i="31"/>
  <c r="DP51" i="31"/>
  <c r="DP52" i="31"/>
  <c r="DP53" i="31"/>
  <c r="DP54" i="31"/>
  <c r="DP55" i="31"/>
  <c r="DP56" i="31"/>
  <c r="DP57" i="31"/>
  <c r="DP58" i="31"/>
  <c r="DP59" i="31"/>
  <c r="DP60" i="31"/>
  <c r="DP61" i="31"/>
  <c r="DP62" i="31"/>
  <c r="DP63" i="31"/>
  <c r="DP64" i="31"/>
  <c r="DP65" i="31"/>
  <c r="DP66" i="31"/>
  <c r="DP67" i="31"/>
  <c r="DP68" i="31"/>
  <c r="DP69" i="31"/>
  <c r="DP70" i="31"/>
  <c r="DP71" i="31"/>
  <c r="DP72" i="31"/>
  <c r="DP73" i="31"/>
  <c r="DP74" i="31"/>
  <c r="DP75" i="31"/>
  <c r="DP76" i="31"/>
  <c r="DP77" i="31"/>
  <c r="DP78" i="31"/>
  <c r="DP79" i="31"/>
  <c r="DP80" i="31"/>
  <c r="DP81" i="31"/>
  <c r="DP82" i="31"/>
  <c r="DP83" i="31"/>
  <c r="DP84" i="31"/>
  <c r="DP85" i="31"/>
  <c r="DP86" i="31"/>
  <c r="DP87" i="31"/>
  <c r="DP88" i="31"/>
  <c r="DP89" i="31"/>
  <c r="DP90" i="31"/>
  <c r="DP91" i="31"/>
  <c r="DP92" i="31"/>
  <c r="DP93" i="31"/>
  <c r="DP94" i="31"/>
  <c r="DP95" i="31"/>
  <c r="DP96" i="31"/>
  <c r="DP97" i="31"/>
  <c r="DP98" i="31"/>
  <c r="DP99" i="31"/>
  <c r="DP100" i="31"/>
  <c r="DP101" i="31"/>
  <c r="DP102" i="31"/>
  <c r="DP2" i="31"/>
  <c r="P30" i="138" l="1"/>
  <c r="P31" i="138"/>
  <c r="P32" i="138"/>
  <c r="P33" i="138"/>
  <c r="P34" i="138"/>
  <c r="P35" i="138"/>
  <c r="P36" i="138"/>
  <c r="P37" i="138"/>
  <c r="V6" i="138"/>
  <c r="I61" i="103"/>
  <c r="W58" i="103" l="1"/>
  <c r="Y58" i="103" s="1"/>
  <c r="S58" i="103"/>
  <c r="X58" i="103" s="1"/>
  <c r="Z58" i="103" s="1"/>
  <c r="V58" i="103"/>
  <c r="D61" i="103"/>
  <c r="E61" i="103"/>
  <c r="F61" i="103"/>
  <c r="I1" i="165" l="1"/>
  <c r="A141" i="124"/>
  <c r="B141" i="124"/>
  <c r="G1" i="165"/>
  <c r="E1" i="165"/>
  <c r="C1" i="165"/>
  <c r="U57" i="103"/>
  <c r="H33" i="74" l="1"/>
  <c r="F36" i="74"/>
  <c r="F37" i="74" s="1"/>
  <c r="M24" i="74"/>
  <c r="M25" i="74"/>
  <c r="M26" i="74"/>
  <c r="M27" i="74"/>
  <c r="M28" i="74"/>
  <c r="M29" i="74"/>
  <c r="M30" i="74"/>
  <c r="D5" i="140"/>
  <c r="F38" i="74" l="1"/>
  <c r="AA13" i="138"/>
  <c r="G142" i="124"/>
  <c r="B142" i="124"/>
  <c r="A142" i="124"/>
  <c r="G179" i="124"/>
  <c r="A179" i="124"/>
  <c r="G178" i="124"/>
  <c r="A178" i="124"/>
  <c r="B178" i="124"/>
  <c r="G122" i="124"/>
  <c r="B122" i="124"/>
  <c r="A122" i="124"/>
  <c r="A98" i="124"/>
  <c r="B98" i="124"/>
  <c r="G6" i="124"/>
  <c r="G7" i="124"/>
  <c r="G8" i="124"/>
  <c r="G9" i="124"/>
  <c r="G10" i="124"/>
  <c r="G11" i="124"/>
  <c r="G12" i="124"/>
  <c r="G13" i="124"/>
  <c r="G14" i="124"/>
  <c r="G15" i="124"/>
  <c r="G16" i="124"/>
  <c r="G17" i="124"/>
  <c r="G18" i="124"/>
  <c r="G19" i="124"/>
  <c r="G20" i="124"/>
  <c r="G21" i="124"/>
  <c r="G22" i="124"/>
  <c r="G23" i="124"/>
  <c r="G24" i="124"/>
  <c r="G25" i="124"/>
  <c r="G26" i="124"/>
  <c r="G27" i="124"/>
  <c r="G28" i="124"/>
  <c r="G29" i="124"/>
  <c r="G30" i="124"/>
  <c r="G31" i="124"/>
  <c r="G32" i="124"/>
  <c r="G33" i="124"/>
  <c r="G34" i="124"/>
  <c r="G35" i="124"/>
  <c r="G36" i="124"/>
  <c r="G37" i="124"/>
  <c r="G38" i="124"/>
  <c r="G39" i="124"/>
  <c r="G40" i="124"/>
  <c r="G41" i="124"/>
  <c r="G42" i="124"/>
  <c r="G43" i="124"/>
  <c r="G44" i="124"/>
  <c r="G45" i="124"/>
  <c r="G46" i="124"/>
  <c r="G47" i="124"/>
  <c r="G48" i="124"/>
  <c r="G49" i="124"/>
  <c r="G50" i="124"/>
  <c r="G51" i="124"/>
  <c r="G52" i="124"/>
  <c r="G53" i="124"/>
  <c r="G54" i="124"/>
  <c r="G55" i="124"/>
  <c r="G56" i="124"/>
  <c r="G57" i="124"/>
  <c r="G58" i="124"/>
  <c r="G59" i="124"/>
  <c r="G60" i="124"/>
  <c r="G61" i="124"/>
  <c r="G62" i="124"/>
  <c r="G63" i="124"/>
  <c r="G64" i="124"/>
  <c r="G65" i="124"/>
  <c r="G66" i="124"/>
  <c r="G67" i="124"/>
  <c r="G68" i="124"/>
  <c r="G69" i="124"/>
  <c r="G70" i="124"/>
  <c r="G71" i="124"/>
  <c r="G72" i="124"/>
  <c r="G73" i="124"/>
  <c r="G74" i="124"/>
  <c r="G75" i="124"/>
  <c r="G77" i="124"/>
  <c r="G78" i="124"/>
  <c r="G79" i="124"/>
  <c r="G80" i="124"/>
  <c r="G81" i="124"/>
  <c r="G82" i="124"/>
  <c r="G83" i="124"/>
  <c r="G84" i="124"/>
  <c r="G85" i="124"/>
  <c r="G86" i="124"/>
  <c r="G87" i="124"/>
  <c r="G88" i="124"/>
  <c r="G89" i="124"/>
  <c r="G90" i="124"/>
  <c r="G91" i="124"/>
  <c r="G92" i="124"/>
  <c r="G93" i="124"/>
  <c r="G94" i="124"/>
  <c r="G95" i="124"/>
  <c r="G96" i="124"/>
  <c r="G97" i="124"/>
  <c r="G99" i="124"/>
  <c r="G100" i="124"/>
  <c r="G101" i="124"/>
  <c r="G102" i="124"/>
  <c r="G103" i="124"/>
  <c r="G104" i="124"/>
  <c r="G105" i="124"/>
  <c r="G106" i="124"/>
  <c r="G107" i="124"/>
  <c r="G108" i="124"/>
  <c r="G109" i="124"/>
  <c r="G110" i="124"/>
  <c r="G111" i="124"/>
  <c r="G112" i="124"/>
  <c r="G113" i="124"/>
  <c r="G114" i="124"/>
  <c r="G115" i="124"/>
  <c r="G116" i="124"/>
  <c r="G117" i="124"/>
  <c r="G118" i="124"/>
  <c r="G119" i="124"/>
  <c r="G120" i="124"/>
  <c r="G121" i="124"/>
  <c r="G123" i="124"/>
  <c r="G124" i="124"/>
  <c r="G125" i="124"/>
  <c r="G126" i="124"/>
  <c r="G127" i="124"/>
  <c r="G128" i="124"/>
  <c r="G129" i="124"/>
  <c r="G130" i="124"/>
  <c r="G131" i="124"/>
  <c r="G132" i="124"/>
  <c r="G133" i="124"/>
  <c r="G134" i="124"/>
  <c r="G135" i="124"/>
  <c r="G136" i="124"/>
  <c r="G137" i="124"/>
  <c r="G138" i="124"/>
  <c r="G139" i="124"/>
  <c r="G140" i="124"/>
  <c r="G143" i="124"/>
  <c r="G144" i="124"/>
  <c r="G145" i="124"/>
  <c r="G146" i="124"/>
  <c r="G147" i="124"/>
  <c r="G148" i="124"/>
  <c r="G149" i="124"/>
  <c r="G150" i="124"/>
  <c r="G151" i="124"/>
  <c r="G152" i="124"/>
  <c r="G153" i="124"/>
  <c r="G154" i="124"/>
  <c r="G155" i="124"/>
  <c r="G156" i="124"/>
  <c r="G157" i="124"/>
  <c r="G158" i="124"/>
  <c r="G159" i="124"/>
  <c r="G160" i="124"/>
  <c r="G161" i="124"/>
  <c r="G162" i="124"/>
  <c r="G163" i="124"/>
  <c r="G164" i="124"/>
  <c r="G165" i="124"/>
  <c r="G166" i="124"/>
  <c r="G167" i="124"/>
  <c r="G168" i="124"/>
  <c r="G169" i="124"/>
  <c r="G170" i="124"/>
  <c r="G171" i="124"/>
  <c r="G172" i="124"/>
  <c r="G173" i="124"/>
  <c r="G174" i="124"/>
  <c r="G175" i="124"/>
  <c r="G176" i="124"/>
  <c r="G177" i="124"/>
  <c r="G180" i="124"/>
  <c r="G181" i="124"/>
  <c r="G182" i="124"/>
  <c r="G183" i="124"/>
  <c r="G184" i="124"/>
  <c r="G185" i="124"/>
  <c r="G186" i="124"/>
  <c r="G187" i="124"/>
  <c r="G188" i="124"/>
  <c r="G189" i="124"/>
  <c r="G190" i="124"/>
  <c r="G191" i="124"/>
  <c r="G192" i="124"/>
  <c r="G193" i="124"/>
  <c r="G194" i="124"/>
  <c r="G195" i="124"/>
  <c r="G196" i="124"/>
  <c r="G197" i="124"/>
  <c r="G198" i="124"/>
  <c r="G199" i="124"/>
  <c r="G200" i="124"/>
  <c r="G201" i="124"/>
  <c r="G202" i="124"/>
  <c r="G203" i="124"/>
  <c r="G204" i="124"/>
  <c r="G205" i="124"/>
  <c r="G206" i="124"/>
  <c r="G207" i="124"/>
  <c r="G208" i="124"/>
  <c r="G209" i="124"/>
  <c r="G210" i="124"/>
  <c r="G211" i="124"/>
  <c r="G212" i="124"/>
  <c r="G213" i="124"/>
  <c r="G214" i="124"/>
  <c r="G215" i="124"/>
  <c r="G216" i="124"/>
  <c r="G217" i="124"/>
  <c r="G218" i="124"/>
  <c r="G219" i="124"/>
  <c r="G220" i="124"/>
  <c r="G221" i="124"/>
  <c r="G222" i="124"/>
  <c r="G223" i="124"/>
  <c r="G224" i="124"/>
  <c r="G225" i="124"/>
  <c r="G226" i="124"/>
  <c r="G227" i="124"/>
  <c r="G228" i="124"/>
  <c r="G229" i="124"/>
  <c r="G230" i="124"/>
  <c r="G231" i="124"/>
  <c r="G232" i="124"/>
  <c r="G233" i="124"/>
  <c r="G234" i="124"/>
  <c r="G235" i="124"/>
  <c r="G236" i="124"/>
  <c r="G237" i="124"/>
  <c r="G238" i="124"/>
  <c r="G239" i="124"/>
  <c r="G240" i="124"/>
  <c r="G241" i="124"/>
  <c r="G242" i="124"/>
  <c r="G243" i="124"/>
  <c r="G244" i="124"/>
  <c r="G245" i="124"/>
  <c r="G246" i="124"/>
  <c r="G247" i="124"/>
  <c r="G248" i="124"/>
  <c r="G249" i="124"/>
  <c r="G250" i="124"/>
  <c r="G251" i="124"/>
  <c r="G252" i="124"/>
  <c r="G253" i="124"/>
  <c r="G254" i="124"/>
  <c r="G255" i="124"/>
  <c r="G256" i="124"/>
  <c r="G257" i="124"/>
  <c r="G258" i="124"/>
  <c r="G259" i="124"/>
  <c r="G260" i="124"/>
  <c r="G261" i="124"/>
  <c r="G262" i="124"/>
  <c r="G263" i="124"/>
  <c r="G264" i="124"/>
  <c r="G265" i="124"/>
  <c r="G266" i="124"/>
  <c r="G267" i="124"/>
  <c r="G268" i="124"/>
  <c r="G269" i="124"/>
  <c r="G270" i="124"/>
  <c r="G271" i="124"/>
  <c r="G272" i="124"/>
  <c r="G273" i="124"/>
  <c r="G274" i="124"/>
  <c r="G275" i="124"/>
  <c r="G276" i="124"/>
  <c r="G277" i="124"/>
  <c r="G278" i="124"/>
  <c r="G279" i="124"/>
  <c r="G280" i="124"/>
  <c r="G281" i="124"/>
  <c r="G282" i="124"/>
  <c r="G283" i="124"/>
  <c r="G284" i="124"/>
  <c r="G285" i="124"/>
  <c r="G286" i="124"/>
  <c r="G287" i="124"/>
  <c r="G288" i="124"/>
  <c r="G289" i="124"/>
  <c r="G290" i="124"/>
  <c r="G291" i="124"/>
  <c r="G292" i="124"/>
  <c r="G293" i="124"/>
  <c r="G294" i="124"/>
  <c r="G295" i="124"/>
  <c r="G296" i="124"/>
  <c r="G297" i="124"/>
  <c r="G298" i="124"/>
  <c r="G299" i="124"/>
  <c r="G300" i="124"/>
  <c r="G301" i="124"/>
  <c r="G302" i="124"/>
  <c r="G303" i="124"/>
  <c r="G304" i="124"/>
  <c r="G305" i="124"/>
  <c r="G306" i="124"/>
  <c r="G307" i="124"/>
  <c r="G308" i="124"/>
  <c r="G309" i="124"/>
  <c r="G310" i="124"/>
  <c r="G311" i="124"/>
  <c r="G312" i="124"/>
  <c r="G313" i="124"/>
  <c r="G314" i="124"/>
  <c r="G315" i="124"/>
  <c r="G316" i="124"/>
  <c r="G317" i="124"/>
  <c r="G318" i="124"/>
  <c r="G319" i="124"/>
  <c r="G320" i="124"/>
  <c r="G321" i="124"/>
  <c r="G322" i="124"/>
  <c r="G323" i="124"/>
  <c r="G324" i="124"/>
  <c r="G325" i="124"/>
  <c r="G326" i="124"/>
  <c r="G327" i="124"/>
  <c r="G328" i="124"/>
  <c r="G329" i="124"/>
  <c r="G330" i="124"/>
  <c r="G331" i="124"/>
  <c r="G332" i="124"/>
  <c r="G333" i="124"/>
  <c r="G334" i="124"/>
  <c r="G335" i="124"/>
  <c r="G336" i="124"/>
  <c r="G337" i="124"/>
  <c r="G338" i="124"/>
  <c r="G339" i="124"/>
  <c r="G340" i="124"/>
  <c r="G341" i="124"/>
  <c r="G342" i="124"/>
  <c r="G343" i="124"/>
  <c r="G344" i="124"/>
  <c r="G345" i="124"/>
  <c r="G346" i="124"/>
  <c r="G347" i="124"/>
  <c r="G348" i="124"/>
  <c r="G76" i="124"/>
  <c r="B76" i="124"/>
  <c r="A76" i="124"/>
  <c r="A9" i="124"/>
  <c r="B301" i="124"/>
  <c r="U25" i="138"/>
  <c r="V24" i="138"/>
  <c r="U24" i="138"/>
  <c r="B14" i="22"/>
  <c r="B21" i="22"/>
  <c r="V3" i="17"/>
  <c r="W3" i="17"/>
  <c r="C34" i="94"/>
  <c r="C35" i="94"/>
  <c r="R43" i="96"/>
  <c r="W57" i="103"/>
  <c r="Y57" i="103" s="1"/>
  <c r="V57" i="103"/>
  <c r="S57" i="103"/>
  <c r="E60" i="103"/>
  <c r="F60" i="103"/>
  <c r="K60" i="103"/>
  <c r="E41" i="149"/>
  <c r="E42" i="149"/>
  <c r="J42" i="149"/>
  <c r="B15" i="124"/>
  <c r="B23" i="166"/>
  <c r="BE14" i="138"/>
  <c r="K24" i="166"/>
  <c r="M22" i="166"/>
  <c r="B24" i="166"/>
  <c r="Q26" i="98"/>
  <c r="R26" i="98"/>
  <c r="Q25" i="98"/>
  <c r="N13" i="166"/>
  <c r="R12" i="19"/>
  <c r="F39" i="74" l="1"/>
  <c r="Q6" i="166"/>
  <c r="Q43" i="166"/>
  <c r="N21" i="166"/>
  <c r="B27" i="166"/>
  <c r="M16" i="166"/>
  <c r="M15" i="166"/>
  <c r="L14" i="166"/>
  <c r="M13" i="166"/>
  <c r="B19" i="166" s="1"/>
  <c r="M11" i="166"/>
  <c r="G11" i="166"/>
  <c r="M9" i="166"/>
  <c r="O5" i="166"/>
  <c r="M5" i="166"/>
  <c r="I5" i="166"/>
  <c r="O4" i="166"/>
  <c r="I4" i="166"/>
  <c r="L2" i="166"/>
  <c r="K2" i="166"/>
  <c r="G2" i="166"/>
  <c r="R24" i="17"/>
  <c r="U3" i="17"/>
  <c r="F40" i="74" l="1"/>
  <c r="L33" i="166"/>
  <c r="L34" i="166"/>
  <c r="L29" i="166"/>
  <c r="L30" i="166"/>
  <c r="M29" i="166"/>
  <c r="M30" i="166" s="1"/>
  <c r="M34" i="166"/>
  <c r="M33" i="166"/>
  <c r="B17" i="166"/>
  <c r="G12" i="166"/>
  <c r="G13" i="166"/>
  <c r="R43" i="166"/>
  <c r="I11" i="166"/>
  <c r="I13" i="166" s="1"/>
  <c r="I2" i="166"/>
  <c r="B65" i="98"/>
  <c r="S39" i="17"/>
  <c r="Z16" i="138"/>
  <c r="AA16" i="138"/>
  <c r="AA15" i="138"/>
  <c r="Z15" i="138"/>
  <c r="F41" i="74" l="1"/>
  <c r="N30" i="166"/>
  <c r="N29" i="166"/>
  <c r="G18" i="166" s="1"/>
  <c r="N34" i="166"/>
  <c r="N33" i="166"/>
  <c r="I12" i="166"/>
  <c r="I19" i="166"/>
  <c r="G14" i="166"/>
  <c r="Q19" i="166" s="1"/>
  <c r="P2" i="28"/>
  <c r="Y2" i="28" s="1"/>
  <c r="Y2" i="27"/>
  <c r="P2" i="27"/>
  <c r="Y2" i="26"/>
  <c r="P2" i="26"/>
  <c r="P2" i="25"/>
  <c r="Y2" i="25" s="1"/>
  <c r="P2" i="24"/>
  <c r="Y2" i="24" s="1"/>
  <c r="P2" i="8"/>
  <c r="Y2" i="8" s="1"/>
  <c r="P2" i="9"/>
  <c r="X2" i="10"/>
  <c r="P2" i="10"/>
  <c r="AP28" i="138"/>
  <c r="BB23" i="138"/>
  <c r="AA24" i="138"/>
  <c r="AB39" i="138"/>
  <c r="F42" i="74" l="1"/>
  <c r="G41" i="74"/>
  <c r="H41" i="74" s="1"/>
  <c r="G15" i="166"/>
  <c r="R15" i="166"/>
  <c r="G19" i="166"/>
  <c r="K21" i="166" s="1"/>
  <c r="I14" i="166"/>
  <c r="BG10" i="138"/>
  <c r="AA41" i="138"/>
  <c r="Z41" i="138"/>
  <c r="Z6" i="17"/>
  <c r="Z5" i="17"/>
  <c r="H4" i="117"/>
  <c r="S40" i="17"/>
  <c r="F282" i="124"/>
  <c r="P282" i="124"/>
  <c r="A282" i="124"/>
  <c r="B282" i="124"/>
  <c r="A269" i="124"/>
  <c r="B269" i="124"/>
  <c r="AT22" i="138"/>
  <c r="AR22" i="138"/>
  <c r="AB20" i="138"/>
  <c r="F43" i="74" l="1"/>
  <c r="G42" i="74"/>
  <c r="H42" i="74" s="1"/>
  <c r="G21" i="166"/>
  <c r="I15" i="166"/>
  <c r="G16" i="166"/>
  <c r="D392" i="74"/>
  <c r="D391" i="74" s="1"/>
  <c r="D390" i="74" s="1"/>
  <c r="D389" i="74" s="1"/>
  <c r="D388" i="74" s="1"/>
  <c r="D387" i="74" s="1"/>
  <c r="D386" i="74" s="1"/>
  <c r="D385" i="74" s="1"/>
  <c r="D384" i="74" s="1"/>
  <c r="D383" i="74" s="1"/>
  <c r="D382" i="74" s="1"/>
  <c r="D381" i="74" s="1"/>
  <c r="D380" i="74" s="1"/>
  <c r="D379" i="74" s="1"/>
  <c r="D378" i="74" s="1"/>
  <c r="D377" i="74" s="1"/>
  <c r="D376" i="74" s="1"/>
  <c r="D375" i="74" s="1"/>
  <c r="D374" i="74" s="1"/>
  <c r="D373" i="74" s="1"/>
  <c r="D372" i="74" s="1"/>
  <c r="D371" i="74" s="1"/>
  <c r="D370" i="74" s="1"/>
  <c r="D369" i="74" s="1"/>
  <c r="D368" i="74" s="1"/>
  <c r="D367" i="74" s="1"/>
  <c r="D366" i="74" s="1"/>
  <c r="D365" i="74" s="1"/>
  <c r="D364" i="74" s="1"/>
  <c r="D363" i="74" s="1"/>
  <c r="D362" i="74" s="1"/>
  <c r="D361" i="74" s="1"/>
  <c r="D360" i="74" s="1"/>
  <c r="D359" i="74" s="1"/>
  <c r="D358" i="74" s="1"/>
  <c r="D357" i="74" s="1"/>
  <c r="D356" i="74" s="1"/>
  <c r="D355" i="74" s="1"/>
  <c r="D354" i="74" s="1"/>
  <c r="D353" i="74" s="1"/>
  <c r="D352" i="74" s="1"/>
  <c r="D351" i="74" s="1"/>
  <c r="D350" i="74" s="1"/>
  <c r="D349" i="74" s="1"/>
  <c r="D348" i="74" s="1"/>
  <c r="D347" i="74" s="1"/>
  <c r="D346" i="74" s="1"/>
  <c r="D345" i="74" s="1"/>
  <c r="D344" i="74" s="1"/>
  <c r="D343" i="74" s="1"/>
  <c r="D342" i="74" s="1"/>
  <c r="D341" i="74" s="1"/>
  <c r="D340" i="74" s="1"/>
  <c r="D339" i="74" s="1"/>
  <c r="D338" i="74" s="1"/>
  <c r="D337" i="74" s="1"/>
  <c r="D336" i="74" s="1"/>
  <c r="D335" i="74" s="1"/>
  <c r="D334" i="74" s="1"/>
  <c r="D333" i="74" s="1"/>
  <c r="D332" i="74" s="1"/>
  <c r="D331" i="74" s="1"/>
  <c r="D330" i="74" s="1"/>
  <c r="D329" i="74" s="1"/>
  <c r="D328" i="74" s="1"/>
  <c r="D327" i="74" s="1"/>
  <c r="D326" i="74" s="1"/>
  <c r="D325" i="74" s="1"/>
  <c r="D324" i="74" s="1"/>
  <c r="D323" i="74" s="1"/>
  <c r="D322" i="74" s="1"/>
  <c r="D321" i="74" s="1"/>
  <c r="D320" i="74" s="1"/>
  <c r="D319" i="74" s="1"/>
  <c r="D318" i="74" s="1"/>
  <c r="D317" i="74" s="1"/>
  <c r="D316" i="74" s="1"/>
  <c r="D315" i="74" s="1"/>
  <c r="D314" i="74" s="1"/>
  <c r="D313" i="74" s="1"/>
  <c r="D312" i="74" s="1"/>
  <c r="D311" i="74" s="1"/>
  <c r="D310" i="74" s="1"/>
  <c r="D309" i="74" s="1"/>
  <c r="D308" i="74" s="1"/>
  <c r="D307" i="74" s="1"/>
  <c r="D306" i="74" s="1"/>
  <c r="D305" i="74" s="1"/>
  <c r="D304" i="74" s="1"/>
  <c r="D303" i="74" s="1"/>
  <c r="D302" i="74" s="1"/>
  <c r="D301" i="74" s="1"/>
  <c r="D300" i="74" s="1"/>
  <c r="D299" i="74" s="1"/>
  <c r="D298" i="74" s="1"/>
  <c r="D297" i="74" s="1"/>
  <c r="D296" i="74" s="1"/>
  <c r="D295" i="74" s="1"/>
  <c r="D294" i="74" s="1"/>
  <c r="D293" i="74" s="1"/>
  <c r="D292" i="74" s="1"/>
  <c r="D291" i="74" s="1"/>
  <c r="D290" i="74" s="1"/>
  <c r="D289" i="74" s="1"/>
  <c r="D288" i="74" s="1"/>
  <c r="D287" i="74" s="1"/>
  <c r="D286" i="74" s="1"/>
  <c r="D285" i="74" s="1"/>
  <c r="D284" i="74" s="1"/>
  <c r="D283" i="74" s="1"/>
  <c r="D282" i="74" s="1"/>
  <c r="D281" i="74" s="1"/>
  <c r="D280" i="74" s="1"/>
  <c r="D279" i="74" s="1"/>
  <c r="D278" i="74" s="1"/>
  <c r="D277" i="74" s="1"/>
  <c r="D276" i="74" s="1"/>
  <c r="D275" i="74" s="1"/>
  <c r="D274" i="74" s="1"/>
  <c r="D273" i="74" s="1"/>
  <c r="D272" i="74" s="1"/>
  <c r="D271" i="74" s="1"/>
  <c r="D270" i="74" s="1"/>
  <c r="D269" i="74" s="1"/>
  <c r="D268" i="74" s="1"/>
  <c r="D267" i="74" s="1"/>
  <c r="D266" i="74" s="1"/>
  <c r="D265" i="74" s="1"/>
  <c r="D264" i="74" s="1"/>
  <c r="D263" i="74" s="1"/>
  <c r="D262" i="74" s="1"/>
  <c r="D261" i="74" s="1"/>
  <c r="D260" i="74" s="1"/>
  <c r="D259" i="74" s="1"/>
  <c r="D258" i="74" s="1"/>
  <c r="D257" i="74" s="1"/>
  <c r="D256" i="74" s="1"/>
  <c r="D255" i="74" s="1"/>
  <c r="D254" i="74" s="1"/>
  <c r="D253" i="74" s="1"/>
  <c r="D252" i="74" s="1"/>
  <c r="D251" i="74" s="1"/>
  <c r="D250" i="74" s="1"/>
  <c r="D249" i="74" s="1"/>
  <c r="D248" i="74" s="1"/>
  <c r="D247" i="74" s="1"/>
  <c r="D246" i="74" s="1"/>
  <c r="D245" i="74" s="1"/>
  <c r="D244" i="74" s="1"/>
  <c r="D243" i="74" s="1"/>
  <c r="D242" i="74" s="1"/>
  <c r="D241" i="74" s="1"/>
  <c r="D240" i="74" s="1"/>
  <c r="D239" i="74" s="1"/>
  <c r="D238" i="74" s="1"/>
  <c r="D237" i="74" s="1"/>
  <c r="D236" i="74" s="1"/>
  <c r="D235" i="74" s="1"/>
  <c r="D234" i="74" s="1"/>
  <c r="D233" i="74" s="1"/>
  <c r="D232" i="74" s="1"/>
  <c r="D231" i="74" s="1"/>
  <c r="D230" i="74" s="1"/>
  <c r="D229" i="74" s="1"/>
  <c r="D228" i="74" s="1"/>
  <c r="D227" i="74" s="1"/>
  <c r="D226" i="74" s="1"/>
  <c r="D225" i="74" s="1"/>
  <c r="D224" i="74" s="1"/>
  <c r="D223" i="74" s="1"/>
  <c r="D222" i="74" s="1"/>
  <c r="D221" i="74" s="1"/>
  <c r="D220" i="74" s="1"/>
  <c r="D219" i="74" s="1"/>
  <c r="D218" i="74" s="1"/>
  <c r="D217" i="74" s="1"/>
  <c r="D216" i="74" s="1"/>
  <c r="D215" i="74" s="1"/>
  <c r="D214" i="74" s="1"/>
  <c r="D213" i="74" s="1"/>
  <c r="D212" i="74" s="1"/>
  <c r="D211" i="74" s="1"/>
  <c r="D210" i="74" s="1"/>
  <c r="D209" i="74" s="1"/>
  <c r="D208" i="74" s="1"/>
  <c r="D207" i="74" s="1"/>
  <c r="D206" i="74" s="1"/>
  <c r="D205" i="74" s="1"/>
  <c r="D204" i="74" s="1"/>
  <c r="D203" i="74" s="1"/>
  <c r="D202" i="74" s="1"/>
  <c r="D201" i="74" s="1"/>
  <c r="D200" i="74" s="1"/>
  <c r="D199" i="74" s="1"/>
  <c r="D198" i="74" s="1"/>
  <c r="D197" i="74" s="1"/>
  <c r="D196" i="74" s="1"/>
  <c r="D195" i="74" s="1"/>
  <c r="D194" i="74" s="1"/>
  <c r="D193" i="74" s="1"/>
  <c r="D192" i="74" s="1"/>
  <c r="D191" i="74" s="1"/>
  <c r="D190" i="74" s="1"/>
  <c r="D189" i="74" s="1"/>
  <c r="D188" i="74" s="1"/>
  <c r="D187" i="74" s="1"/>
  <c r="D186" i="74" s="1"/>
  <c r="D185" i="74" s="1"/>
  <c r="D184" i="74" s="1"/>
  <c r="D183" i="74" s="1"/>
  <c r="D182" i="74" s="1"/>
  <c r="D181" i="74" s="1"/>
  <c r="D180" i="74" s="1"/>
  <c r="D179" i="74" s="1"/>
  <c r="D178" i="74" s="1"/>
  <c r="D177" i="74" s="1"/>
  <c r="D176" i="74" s="1"/>
  <c r="D175" i="74" s="1"/>
  <c r="D174" i="74" s="1"/>
  <c r="D173" i="74" s="1"/>
  <c r="D172" i="74" s="1"/>
  <c r="D171" i="74" s="1"/>
  <c r="D170" i="74" s="1"/>
  <c r="D169" i="74" s="1"/>
  <c r="D168" i="74" s="1"/>
  <c r="D167" i="74" s="1"/>
  <c r="D166" i="74" s="1"/>
  <c r="D165" i="74" s="1"/>
  <c r="D164" i="74" s="1"/>
  <c r="D163" i="74" s="1"/>
  <c r="D162" i="74" s="1"/>
  <c r="D161" i="74" s="1"/>
  <c r="D160" i="74" s="1"/>
  <c r="D159" i="74" s="1"/>
  <c r="D158" i="74" s="1"/>
  <c r="D157" i="74" s="1"/>
  <c r="D156" i="74" s="1"/>
  <c r="D155" i="74" s="1"/>
  <c r="D154" i="74" s="1"/>
  <c r="D153" i="74" s="1"/>
  <c r="D152" i="74" s="1"/>
  <c r="D151" i="74" s="1"/>
  <c r="D150" i="74" s="1"/>
  <c r="D149" i="74" s="1"/>
  <c r="D148" i="74" s="1"/>
  <c r="D147" i="74" s="1"/>
  <c r="D146" i="74" s="1"/>
  <c r="D145" i="74" s="1"/>
  <c r="D144" i="74" s="1"/>
  <c r="D143" i="74" s="1"/>
  <c r="D142" i="74" s="1"/>
  <c r="D141" i="74" s="1"/>
  <c r="D140" i="74" s="1"/>
  <c r="D139" i="74" s="1"/>
  <c r="D138" i="74" s="1"/>
  <c r="D137" i="74" s="1"/>
  <c r="D136" i="74" s="1"/>
  <c r="D135" i="74" s="1"/>
  <c r="D134" i="74" s="1"/>
  <c r="D133" i="74" s="1"/>
  <c r="D132" i="74" s="1"/>
  <c r="D131" i="74" s="1"/>
  <c r="D130" i="74" s="1"/>
  <c r="D129" i="74" s="1"/>
  <c r="D128" i="74" s="1"/>
  <c r="D127" i="74" s="1"/>
  <c r="D126" i="74" s="1"/>
  <c r="D125" i="74" s="1"/>
  <c r="D124" i="74" s="1"/>
  <c r="D123" i="74" s="1"/>
  <c r="D122" i="74" s="1"/>
  <c r="D121" i="74" s="1"/>
  <c r="D120" i="74" s="1"/>
  <c r="D119" i="74" s="1"/>
  <c r="D118" i="74" s="1"/>
  <c r="D117" i="74" s="1"/>
  <c r="D116" i="74" s="1"/>
  <c r="D115" i="74" s="1"/>
  <c r="D114" i="74" s="1"/>
  <c r="D113" i="74" s="1"/>
  <c r="D112" i="74" s="1"/>
  <c r="D111" i="74" s="1"/>
  <c r="D110" i="74" s="1"/>
  <c r="D109" i="74" s="1"/>
  <c r="D108" i="74" s="1"/>
  <c r="D107" i="74" s="1"/>
  <c r="D106" i="74" s="1"/>
  <c r="D105" i="74" s="1"/>
  <c r="D104" i="74" s="1"/>
  <c r="D103" i="74" s="1"/>
  <c r="D102" i="74" s="1"/>
  <c r="D101" i="74" s="1"/>
  <c r="D100" i="74" s="1"/>
  <c r="D99" i="74" s="1"/>
  <c r="D98" i="74" s="1"/>
  <c r="D97" i="74" s="1"/>
  <c r="D96" i="74" s="1"/>
  <c r="D95" i="74" s="1"/>
  <c r="D94" i="74" s="1"/>
  <c r="D93" i="74" s="1"/>
  <c r="D92" i="74" s="1"/>
  <c r="D91" i="74" s="1"/>
  <c r="D90" i="74" s="1"/>
  <c r="D89" i="74" s="1"/>
  <c r="D88" i="74" s="1"/>
  <c r="D87" i="74" s="1"/>
  <c r="D86" i="74" s="1"/>
  <c r="D85" i="74" s="1"/>
  <c r="D84" i="74" s="1"/>
  <c r="D83" i="74" s="1"/>
  <c r="D82" i="74" s="1"/>
  <c r="D81" i="74" s="1"/>
  <c r="D80" i="74" s="1"/>
  <c r="D79" i="74" s="1"/>
  <c r="D78" i="74" s="1"/>
  <c r="D77" i="74" s="1"/>
  <c r="D76" i="74" s="1"/>
  <c r="D75" i="74" s="1"/>
  <c r="D74" i="74" s="1"/>
  <c r="D73" i="74" s="1"/>
  <c r="D72" i="74" s="1"/>
  <c r="D71" i="74" s="1"/>
  <c r="D70" i="74" s="1"/>
  <c r="D69" i="74" s="1"/>
  <c r="D68" i="74" s="1"/>
  <c r="D67" i="74" s="1"/>
  <c r="D66" i="74" s="1"/>
  <c r="D65" i="74" s="1"/>
  <c r="D64" i="74" s="1"/>
  <c r="D63" i="74" s="1"/>
  <c r="D62" i="74" s="1"/>
  <c r="D61" i="74" s="1"/>
  <c r="D60" i="74" s="1"/>
  <c r="D59" i="74" s="1"/>
  <c r="D58" i="74" s="1"/>
  <c r="D57" i="74" s="1"/>
  <c r="D56" i="74" s="1"/>
  <c r="D55" i="74" s="1"/>
  <c r="D54" i="74" s="1"/>
  <c r="D53" i="74" s="1"/>
  <c r="D52" i="74" s="1"/>
  <c r="D51" i="74" s="1"/>
  <c r="D50" i="74" s="1"/>
  <c r="D49" i="74" s="1"/>
  <c r="D48" i="74" s="1"/>
  <c r="D47" i="74" s="1"/>
  <c r="D46" i="74" s="1"/>
  <c r="D45" i="74" s="1"/>
  <c r="D44" i="74" s="1"/>
  <c r="D43" i="74" s="1"/>
  <c r="D42" i="74" s="1"/>
  <c r="D41" i="74" s="1"/>
  <c r="D40" i="74" s="1"/>
  <c r="D39" i="74" s="1"/>
  <c r="D38" i="74" s="1"/>
  <c r="D37" i="74" s="1"/>
  <c r="D36" i="74" s="1"/>
  <c r="D35" i="74" s="1"/>
  <c r="D34" i="74" s="1"/>
  <c r="D33" i="74" s="1"/>
  <c r="D32" i="74" s="1"/>
  <c r="D31" i="74" s="1"/>
  <c r="D30" i="74" s="1"/>
  <c r="D29" i="74" s="1"/>
  <c r="D28" i="74" s="1"/>
  <c r="D27" i="74" s="1"/>
  <c r="D26" i="74" s="1"/>
  <c r="D25" i="74" s="1"/>
  <c r="D24" i="74" s="1"/>
  <c r="D23" i="74" s="1"/>
  <c r="D22" i="74" s="1"/>
  <c r="D21" i="74" s="1"/>
  <c r="D20" i="74" s="1"/>
  <c r="D19" i="74" s="1"/>
  <c r="D18" i="74" s="1"/>
  <c r="D17" i="74" s="1"/>
  <c r="D16" i="74" s="1"/>
  <c r="D15" i="74" s="1"/>
  <c r="D14" i="74" s="1"/>
  <c r="D13" i="74" s="1"/>
  <c r="D12" i="74" s="1"/>
  <c r="D11" i="74" s="1"/>
  <c r="D10" i="74" s="1"/>
  <c r="D9" i="74" s="1"/>
  <c r="D8" i="74" s="1"/>
  <c r="D7" i="74" s="1"/>
  <c r="D6" i="74" s="1"/>
  <c r="D5" i="74" s="1"/>
  <c r="D4" i="74" s="1"/>
  <c r="D3" i="74" s="1"/>
  <c r="F44" i="74" l="1"/>
  <c r="G43" i="74"/>
  <c r="H43" i="74" s="1"/>
  <c r="F36" i="166"/>
  <c r="C36" i="166"/>
  <c r="B30" i="166"/>
  <c r="B34" i="166"/>
  <c r="I20" i="166"/>
  <c r="K15" i="166"/>
  <c r="I16" i="166"/>
  <c r="AR13" i="138"/>
  <c r="P28" i="138" s="1"/>
  <c r="F45" i="74" l="1"/>
  <c r="G44" i="74"/>
  <c r="H44" i="74" s="1"/>
  <c r="P29" i="138"/>
  <c r="P27" i="138"/>
  <c r="BE19" i="138" s="1"/>
  <c r="A36" i="124"/>
  <c r="B36" i="124"/>
  <c r="F46" i="74" l="1"/>
  <c r="G45" i="74"/>
  <c r="H45" i="74" s="1"/>
  <c r="J8" i="138"/>
  <c r="G46" i="74" l="1"/>
  <c r="H46" i="74" s="1"/>
  <c r="F47" i="74"/>
  <c r="R33" i="17"/>
  <c r="T32" i="17"/>
  <c r="T31" i="17" s="1"/>
  <c r="G47" i="74" l="1"/>
  <c r="H47" i="74" s="1"/>
  <c r="F48" i="74"/>
  <c r="Q5" i="164"/>
  <c r="Q8" i="164" s="1"/>
  <c r="Q4" i="164"/>
  <c r="Q6" i="164" l="1"/>
  <c r="G48" i="74"/>
  <c r="H48" i="74" s="1"/>
  <c r="F49" i="74"/>
  <c r="S22" i="164"/>
  <c r="S20" i="164"/>
  <c r="S21" i="164"/>
  <c r="S19" i="164"/>
  <c r="F50" i="74" l="1"/>
  <c r="G49" i="74"/>
  <c r="H49" i="74" s="1"/>
  <c r="O11" i="164"/>
  <c r="O12" i="164"/>
  <c r="O13" i="164"/>
  <c r="O14" i="164"/>
  <c r="O15" i="164"/>
  <c r="O16" i="164"/>
  <c r="O17" i="164"/>
  <c r="O18" i="164"/>
  <c r="O19" i="164"/>
  <c r="O20" i="164"/>
  <c r="O21" i="164"/>
  <c r="O22" i="164"/>
  <c r="O23" i="164"/>
  <c r="O24" i="164"/>
  <c r="O25" i="164"/>
  <c r="O26" i="164"/>
  <c r="O27" i="164"/>
  <c r="O28" i="164"/>
  <c r="O29" i="164"/>
  <c r="O10" i="164"/>
  <c r="M10" i="164"/>
  <c r="N10" i="164" s="1"/>
  <c r="K28" i="164"/>
  <c r="K11" i="164"/>
  <c r="K12" i="164"/>
  <c r="K13" i="164"/>
  <c r="K14" i="164"/>
  <c r="K15" i="164"/>
  <c r="K16" i="164"/>
  <c r="K17" i="164"/>
  <c r="K18" i="164"/>
  <c r="K19" i="164"/>
  <c r="K20" i="164"/>
  <c r="K21" i="164"/>
  <c r="K22" i="164"/>
  <c r="K23" i="164"/>
  <c r="K24" i="164"/>
  <c r="K25" i="164"/>
  <c r="K26" i="164"/>
  <c r="K27" i="164"/>
  <c r="K10" i="164"/>
  <c r="J13" i="164"/>
  <c r="J14" i="164" s="1"/>
  <c r="J15" i="164" s="1"/>
  <c r="J16" i="164" s="1"/>
  <c r="J17" i="164" s="1"/>
  <c r="J18" i="164" s="1"/>
  <c r="J19" i="164" s="1"/>
  <c r="J20" i="164" s="1"/>
  <c r="J21" i="164" s="1"/>
  <c r="J22" i="164" s="1"/>
  <c r="J23" i="164" s="1"/>
  <c r="J24" i="164" s="1"/>
  <c r="J25" i="164" s="1"/>
  <c r="J26" i="164" s="1"/>
  <c r="J27" i="164" s="1"/>
  <c r="J28" i="164" s="1"/>
  <c r="J29" i="164" s="1"/>
  <c r="F11" i="164"/>
  <c r="E11" i="164"/>
  <c r="F51" i="74" l="1"/>
  <c r="G50" i="74"/>
  <c r="H50" i="74" s="1"/>
  <c r="L11" i="164"/>
  <c r="M11" i="164" s="1"/>
  <c r="N11" i="164" s="1"/>
  <c r="J31" i="164"/>
  <c r="J30" i="164"/>
  <c r="B307" i="124"/>
  <c r="A307" i="124"/>
  <c r="P110" i="124"/>
  <c r="B110" i="124"/>
  <c r="A110" i="124"/>
  <c r="F52" i="74" l="1"/>
  <c r="G51" i="74"/>
  <c r="H51" i="74" s="1"/>
  <c r="L12" i="164"/>
  <c r="M12" i="164" s="1"/>
  <c r="N12" i="164" s="1"/>
  <c r="L13" i="164"/>
  <c r="A232" i="124"/>
  <c r="B232" i="124"/>
  <c r="A233" i="124"/>
  <c r="B264" i="124"/>
  <c r="A264" i="124"/>
  <c r="A263" i="124"/>
  <c r="B263" i="124"/>
  <c r="F53" i="74" l="1"/>
  <c r="G52" i="74"/>
  <c r="H52" i="74" s="1"/>
  <c r="L14" i="164"/>
  <c r="M13" i="164"/>
  <c r="N13" i="164" s="1"/>
  <c r="A314" i="124"/>
  <c r="B314" i="124"/>
  <c r="G53" i="74" l="1"/>
  <c r="H53" i="74" s="1"/>
  <c r="F54" i="74"/>
  <c r="L15" i="164"/>
  <c r="M14" i="164"/>
  <c r="N14" i="164" s="1"/>
  <c r="A18" i="161"/>
  <c r="B94" i="162"/>
  <c r="D94" i="161"/>
  <c r="B94" i="161"/>
  <c r="A94" i="161"/>
  <c r="A93" i="161"/>
  <c r="A92" i="161"/>
  <c r="A91" i="161"/>
  <c r="A90" i="161"/>
  <c r="A89" i="161"/>
  <c r="A88" i="161"/>
  <c r="A87" i="161"/>
  <c r="A86" i="161"/>
  <c r="A85" i="161"/>
  <c r="A84" i="161"/>
  <c r="A83" i="161"/>
  <c r="A82" i="161"/>
  <c r="A81" i="161"/>
  <c r="A80" i="161"/>
  <c r="A79" i="161"/>
  <c r="A78" i="161"/>
  <c r="A77" i="161"/>
  <c r="A76" i="161"/>
  <c r="A75" i="161"/>
  <c r="A74" i="161"/>
  <c r="A73" i="161"/>
  <c r="A72" i="161"/>
  <c r="A71" i="161"/>
  <c r="A70" i="161"/>
  <c r="A69" i="161"/>
  <c r="A68" i="161"/>
  <c r="A67" i="161"/>
  <c r="A66" i="161"/>
  <c r="A65" i="161"/>
  <c r="A64" i="161"/>
  <c r="A63" i="161"/>
  <c r="A62" i="161"/>
  <c r="A61" i="161"/>
  <c r="A60" i="161"/>
  <c r="A59" i="161"/>
  <c r="A58" i="161"/>
  <c r="A57" i="161"/>
  <c r="A56" i="161"/>
  <c r="A55" i="161"/>
  <c r="A54" i="161"/>
  <c r="A53" i="161"/>
  <c r="A52" i="161"/>
  <c r="A51" i="161"/>
  <c r="A50" i="161"/>
  <c r="A49" i="161"/>
  <c r="A48" i="161"/>
  <c r="A47" i="161"/>
  <c r="A46" i="161"/>
  <c r="A45" i="161"/>
  <c r="A44" i="161"/>
  <c r="A43" i="161"/>
  <c r="A42" i="161"/>
  <c r="A41" i="161"/>
  <c r="A40" i="161"/>
  <c r="A39" i="161"/>
  <c r="A38" i="161"/>
  <c r="A37" i="161"/>
  <c r="A36" i="161"/>
  <c r="A35" i="161"/>
  <c r="A34" i="161"/>
  <c r="A33" i="161"/>
  <c r="A32" i="161"/>
  <c r="A31" i="161"/>
  <c r="A30" i="161"/>
  <c r="A29" i="161"/>
  <c r="A28" i="161"/>
  <c r="A27" i="161"/>
  <c r="A26" i="161"/>
  <c r="A25" i="161"/>
  <c r="A24" i="161"/>
  <c r="A23" i="161"/>
  <c r="A22" i="161"/>
  <c r="A21" i="161"/>
  <c r="A20" i="161"/>
  <c r="A19" i="161"/>
  <c r="L16" i="161"/>
  <c r="G54" i="74" l="1"/>
  <c r="H54" i="74" s="1"/>
  <c r="F55" i="74"/>
  <c r="L16" i="164"/>
  <c r="M15" i="164"/>
  <c r="N15" i="164" s="1"/>
  <c r="K18" i="161"/>
  <c r="F56" i="74" l="1"/>
  <c r="G55" i="74"/>
  <c r="H55" i="74" s="1"/>
  <c r="L17" i="164"/>
  <c r="M16" i="164"/>
  <c r="N16" i="164" s="1"/>
  <c r="M18" i="161"/>
  <c r="F57" i="74" l="1"/>
  <c r="G56" i="74"/>
  <c r="H56" i="74" s="1"/>
  <c r="L18" i="164"/>
  <c r="M17" i="164"/>
  <c r="N17" i="164" s="1"/>
  <c r="O18" i="161"/>
  <c r="F58" i="74" l="1"/>
  <c r="G57" i="74"/>
  <c r="H57" i="74" s="1"/>
  <c r="L19" i="164"/>
  <c r="M18" i="164"/>
  <c r="N18" i="164" s="1"/>
  <c r="N18" i="161"/>
  <c r="F59" i="74" l="1"/>
  <c r="G58" i="74"/>
  <c r="H58" i="74" s="1"/>
  <c r="L20" i="164"/>
  <c r="M19" i="164"/>
  <c r="N19" i="164" s="1"/>
  <c r="F24" i="161"/>
  <c r="G26" i="161" s="1"/>
  <c r="F60" i="74" l="1"/>
  <c r="G59" i="74"/>
  <c r="H59" i="74" s="1"/>
  <c r="L21" i="164"/>
  <c r="M20" i="164"/>
  <c r="N20" i="164" s="1"/>
  <c r="H24" i="161"/>
  <c r="G28" i="161" s="1"/>
  <c r="I23" i="161"/>
  <c r="F61" i="74" l="1"/>
  <c r="G60" i="74"/>
  <c r="H60" i="74" s="1"/>
  <c r="L22" i="164"/>
  <c r="M21" i="164"/>
  <c r="N21" i="164" s="1"/>
  <c r="I24" i="161"/>
  <c r="G29" i="161" s="1"/>
  <c r="D91" i="161"/>
  <c r="D74" i="161"/>
  <c r="D77" i="161"/>
  <c r="D81" i="161"/>
  <c r="D89" i="161"/>
  <c r="D88" i="161"/>
  <c r="D90" i="161"/>
  <c r="D79" i="161"/>
  <c r="D85" i="161"/>
  <c r="D84" i="161"/>
  <c r="D87" i="161"/>
  <c r="D78" i="161"/>
  <c r="D72" i="161"/>
  <c r="D86" i="161"/>
  <c r="D71" i="161"/>
  <c r="D93" i="161"/>
  <c r="D82" i="161"/>
  <c r="D80" i="161"/>
  <c r="D92" i="161"/>
  <c r="D83" i="161"/>
  <c r="D73" i="161"/>
  <c r="D75" i="161"/>
  <c r="D76" i="161"/>
  <c r="F29" i="161"/>
  <c r="K19" i="161"/>
  <c r="F62" i="74" l="1"/>
  <c r="G61" i="74"/>
  <c r="H61" i="74" s="1"/>
  <c r="L23" i="164"/>
  <c r="M22" i="164"/>
  <c r="N22" i="164" s="1"/>
  <c r="O19" i="161"/>
  <c r="N19" i="161"/>
  <c r="K20" i="161"/>
  <c r="F63" i="74" l="1"/>
  <c r="G62" i="74"/>
  <c r="H62" i="74" s="1"/>
  <c r="L24" i="164"/>
  <c r="M23" i="164"/>
  <c r="N23" i="164" s="1"/>
  <c r="O20" i="161"/>
  <c r="N20" i="161"/>
  <c r="K21" i="161"/>
  <c r="F64" i="74" l="1"/>
  <c r="G63" i="74"/>
  <c r="H63" i="74" s="1"/>
  <c r="L25" i="164"/>
  <c r="M24" i="164"/>
  <c r="N24" i="164" s="1"/>
  <c r="O21" i="161"/>
  <c r="N21" i="161"/>
  <c r="K22" i="161"/>
  <c r="F65" i="74" l="1"/>
  <c r="G64" i="74"/>
  <c r="H64" i="74" s="1"/>
  <c r="L26" i="164"/>
  <c r="M25" i="164"/>
  <c r="N25" i="164" s="1"/>
  <c r="N22" i="161"/>
  <c r="O22" i="161"/>
  <c r="K23" i="161"/>
  <c r="F66" i="74" l="1"/>
  <c r="G65" i="74"/>
  <c r="H65" i="74" s="1"/>
  <c r="L27" i="164"/>
  <c r="M26" i="164"/>
  <c r="N26" i="164" s="1"/>
  <c r="O23" i="161"/>
  <c r="N23" i="161"/>
  <c r="K24" i="161"/>
  <c r="F67" i="74" l="1"/>
  <c r="G66" i="74"/>
  <c r="H66" i="74" s="1"/>
  <c r="L28" i="164"/>
  <c r="M27" i="164"/>
  <c r="N27" i="164" s="1"/>
  <c r="N24" i="161"/>
  <c r="O24" i="161"/>
  <c r="K25" i="161"/>
  <c r="F68" i="74" l="1"/>
  <c r="G67" i="74"/>
  <c r="H67" i="74" s="1"/>
  <c r="M28" i="164"/>
  <c r="N28" i="164" s="1"/>
  <c r="N25" i="161"/>
  <c r="O25" i="161"/>
  <c r="K26" i="161"/>
  <c r="F69" i="74" l="1"/>
  <c r="G68" i="74"/>
  <c r="H68" i="74" s="1"/>
  <c r="N26" i="161"/>
  <c r="O26" i="161"/>
  <c r="G69" i="74" l="1"/>
  <c r="H69" i="74" s="1"/>
  <c r="F70" i="74"/>
  <c r="K27" i="161"/>
  <c r="F71" i="74" l="1"/>
  <c r="G70" i="74"/>
  <c r="H70" i="74" s="1"/>
  <c r="K28" i="161"/>
  <c r="O27" i="161"/>
  <c r="N27" i="161"/>
  <c r="F72" i="74" l="1"/>
  <c r="G71" i="74"/>
  <c r="H71" i="74" s="1"/>
  <c r="H72" i="74"/>
  <c r="O28" i="161"/>
  <c r="N28" i="161"/>
  <c r="K29" i="161"/>
  <c r="F73" i="74" l="1"/>
  <c r="H73" i="74" s="1"/>
  <c r="K30" i="161"/>
  <c r="N29" i="161"/>
  <c r="O29" i="161"/>
  <c r="F74" i="74" l="1"/>
  <c r="H74" i="74"/>
  <c r="K31" i="161"/>
  <c r="O30" i="161"/>
  <c r="N30" i="161"/>
  <c r="F75" i="74" l="1"/>
  <c r="H75" i="74" s="1"/>
  <c r="K32" i="161"/>
  <c r="O31" i="161"/>
  <c r="N31" i="161"/>
  <c r="F76" i="74" l="1"/>
  <c r="O32" i="161"/>
  <c r="N32" i="161"/>
  <c r="K33" i="161"/>
  <c r="F77" i="74" l="1"/>
  <c r="H77" i="74"/>
  <c r="H76" i="74"/>
  <c r="N33" i="161"/>
  <c r="O33" i="161"/>
  <c r="K34" i="161"/>
  <c r="F78" i="74" l="1"/>
  <c r="H78" i="74"/>
  <c r="N34" i="161"/>
  <c r="O34" i="161"/>
  <c r="K35" i="161"/>
  <c r="F79" i="74" l="1"/>
  <c r="H79" i="74" s="1"/>
  <c r="K36" i="161"/>
  <c r="N35" i="161"/>
  <c r="O35" i="161"/>
  <c r="F80" i="74" l="1"/>
  <c r="H80" i="74" s="1"/>
  <c r="K37" i="161"/>
  <c r="N36" i="161"/>
  <c r="O36" i="161"/>
  <c r="F81" i="74" l="1"/>
  <c r="H81" i="74" s="1"/>
  <c r="K38" i="161"/>
  <c r="N37" i="161"/>
  <c r="O37" i="161"/>
  <c r="F82" i="74" l="1"/>
  <c r="H82" i="74" s="1"/>
  <c r="O38" i="161"/>
  <c r="N38" i="161"/>
  <c r="K39" i="161"/>
  <c r="F83" i="74" l="1"/>
  <c r="H83" i="74" s="1"/>
  <c r="K40" i="161"/>
  <c r="O39" i="161"/>
  <c r="N39" i="161"/>
  <c r="F84" i="74" l="1"/>
  <c r="H84" i="74"/>
  <c r="O40" i="161"/>
  <c r="N40" i="161"/>
  <c r="K41" i="161"/>
  <c r="F85" i="74" l="1"/>
  <c r="H85" i="74"/>
  <c r="K42" i="161"/>
  <c r="N41" i="161"/>
  <c r="O41" i="161"/>
  <c r="F86" i="74" l="1"/>
  <c r="H86" i="74" s="1"/>
  <c r="K43" i="161"/>
  <c r="O42" i="161"/>
  <c r="N42" i="161"/>
  <c r="F87" i="74" l="1"/>
  <c r="H87" i="74"/>
  <c r="K44" i="161"/>
  <c r="N43" i="161"/>
  <c r="O43" i="161"/>
  <c r="F88" i="74" l="1"/>
  <c r="H88" i="74"/>
  <c r="N44" i="161"/>
  <c r="O44" i="161"/>
  <c r="K45" i="161"/>
  <c r="F89" i="74" l="1"/>
  <c r="H89" i="74" s="1"/>
  <c r="K46" i="161"/>
  <c r="N45" i="161"/>
  <c r="O45" i="161"/>
  <c r="F90" i="74" l="1"/>
  <c r="H90" i="74" s="1"/>
  <c r="O46" i="161"/>
  <c r="N46" i="161"/>
  <c r="K47" i="161"/>
  <c r="F91" i="74" l="1"/>
  <c r="H91" i="74" s="1"/>
  <c r="K48" i="161"/>
  <c r="O47" i="161"/>
  <c r="N47" i="161"/>
  <c r="F92" i="74" l="1"/>
  <c r="H92" i="74"/>
  <c r="K49" i="161"/>
  <c r="O48" i="161"/>
  <c r="N48" i="161"/>
  <c r="F93" i="74" l="1"/>
  <c r="H93" i="74"/>
  <c r="O49" i="161"/>
  <c r="N49" i="161"/>
  <c r="K50" i="161"/>
  <c r="F94" i="74" l="1"/>
  <c r="H94" i="74"/>
  <c r="O50" i="161"/>
  <c r="N50" i="161"/>
  <c r="K51" i="161"/>
  <c r="F95" i="74" l="1"/>
  <c r="H95" i="74"/>
  <c r="K52" i="161"/>
  <c r="N51" i="161"/>
  <c r="O51" i="161"/>
  <c r="F96" i="74" l="1"/>
  <c r="H96" i="74" s="1"/>
  <c r="K53" i="161"/>
  <c r="N52" i="161"/>
  <c r="O52" i="161"/>
  <c r="F97" i="74" l="1"/>
  <c r="H97" i="74" s="1"/>
  <c r="K54" i="161"/>
  <c r="O53" i="161"/>
  <c r="N53" i="161"/>
  <c r="F98" i="74" l="1"/>
  <c r="H98" i="74"/>
  <c r="K55" i="161"/>
  <c r="O54" i="161"/>
  <c r="N54" i="161"/>
  <c r="F99" i="74" l="1"/>
  <c r="H99" i="74" s="1"/>
  <c r="K56" i="161"/>
  <c r="O55" i="161"/>
  <c r="N55" i="161"/>
  <c r="K57" i="161" l="1"/>
  <c r="N56" i="161"/>
  <c r="O56" i="161"/>
  <c r="K58" i="161" l="1"/>
  <c r="N57" i="161"/>
  <c r="O57" i="161"/>
  <c r="O58" i="161" l="1"/>
  <c r="N58" i="161"/>
  <c r="K59" i="161"/>
  <c r="K60" i="161" l="1"/>
  <c r="N59" i="161"/>
  <c r="O59" i="161"/>
  <c r="K61" i="161" l="1"/>
  <c r="N60" i="161"/>
  <c r="O60" i="161"/>
  <c r="K62" i="161" l="1"/>
  <c r="N61" i="161"/>
  <c r="O61" i="161"/>
  <c r="K63" i="161" l="1"/>
  <c r="O62" i="161"/>
  <c r="N62" i="161"/>
  <c r="K64" i="161" l="1"/>
  <c r="O63" i="161"/>
  <c r="N63" i="161"/>
  <c r="K65" i="161" l="1"/>
  <c r="O64" i="161"/>
  <c r="N64" i="161"/>
  <c r="N65" i="161" l="1"/>
  <c r="O65" i="161"/>
  <c r="K66" i="161"/>
  <c r="O66" i="161" l="1"/>
  <c r="N66" i="161"/>
  <c r="K67" i="161"/>
  <c r="N67" i="161" l="1"/>
  <c r="O67" i="161"/>
  <c r="K68" i="161"/>
  <c r="K69" i="161" l="1"/>
  <c r="O68" i="161"/>
  <c r="N68" i="161"/>
  <c r="K70" i="161" l="1"/>
  <c r="O69" i="161"/>
  <c r="N69" i="161"/>
  <c r="O70" i="161" l="1"/>
  <c r="N70" i="161"/>
  <c r="L18" i="161" l="1"/>
  <c r="P18" i="161" s="1"/>
  <c r="C18" i="161" s="1"/>
  <c r="L19" i="161"/>
  <c r="L20" i="161"/>
  <c r="L21" i="161"/>
  <c r="L22" i="161"/>
  <c r="L23" i="161"/>
  <c r="L24" i="161"/>
  <c r="L25" i="161"/>
  <c r="L26" i="161"/>
  <c r="L27" i="161"/>
  <c r="L28" i="161"/>
  <c r="L29" i="161"/>
  <c r="L30" i="161"/>
  <c r="L31" i="161"/>
  <c r="L32" i="161"/>
  <c r="L33" i="161"/>
  <c r="L34" i="161"/>
  <c r="L35" i="161"/>
  <c r="L36" i="161"/>
  <c r="L37" i="161"/>
  <c r="L38" i="161"/>
  <c r="L39" i="161"/>
  <c r="L40" i="161"/>
  <c r="L41" i="161"/>
  <c r="L42" i="161"/>
  <c r="L43" i="161"/>
  <c r="L44" i="161"/>
  <c r="L45" i="161"/>
  <c r="L46" i="161"/>
  <c r="L47" i="161"/>
  <c r="L48" i="161"/>
  <c r="L49" i="161"/>
  <c r="L50" i="161"/>
  <c r="L51" i="161"/>
  <c r="L52" i="161"/>
  <c r="L53" i="161"/>
  <c r="L54" i="161"/>
  <c r="L55" i="161"/>
  <c r="L56" i="161"/>
  <c r="L57" i="161"/>
  <c r="L58" i="161"/>
  <c r="L59" i="161"/>
  <c r="L60" i="161"/>
  <c r="L61" i="161"/>
  <c r="L62" i="161"/>
  <c r="L63" i="161"/>
  <c r="L64" i="161"/>
  <c r="L65" i="161"/>
  <c r="L66" i="161"/>
  <c r="L67" i="161"/>
  <c r="L68" i="161"/>
  <c r="L69" i="161"/>
  <c r="L70" i="161"/>
  <c r="C94" i="161" l="1"/>
  <c r="H23" i="161" l="1"/>
  <c r="F28" i="161" s="1"/>
  <c r="M19" i="161" l="1"/>
  <c r="P19" i="161" s="1"/>
  <c r="C19" i="161" s="1"/>
  <c r="M20" i="161"/>
  <c r="P20" i="161" s="1"/>
  <c r="C20" i="161" s="1"/>
  <c r="M21" i="161"/>
  <c r="P21" i="161" s="1"/>
  <c r="C21" i="161" s="1"/>
  <c r="M22" i="161"/>
  <c r="P22" i="161" s="1"/>
  <c r="C22" i="161" s="1"/>
  <c r="M23" i="161"/>
  <c r="P23" i="161" s="1"/>
  <c r="C23" i="161" s="1"/>
  <c r="M24" i="161"/>
  <c r="P24" i="161" s="1"/>
  <c r="C24" i="161" s="1"/>
  <c r="M25" i="161"/>
  <c r="P25" i="161" s="1"/>
  <c r="C25" i="161" s="1"/>
  <c r="M26" i="161"/>
  <c r="P26" i="161" s="1"/>
  <c r="C26" i="161" s="1"/>
  <c r="M27" i="161"/>
  <c r="P27" i="161" s="1"/>
  <c r="C27" i="161" s="1"/>
  <c r="M28" i="161"/>
  <c r="P28" i="161" s="1"/>
  <c r="C28" i="161" s="1"/>
  <c r="M29" i="161"/>
  <c r="P29" i="161" s="1"/>
  <c r="C29" i="161" s="1"/>
  <c r="M30" i="161"/>
  <c r="P30" i="161" s="1"/>
  <c r="C30" i="161" s="1"/>
  <c r="M31" i="161"/>
  <c r="P31" i="161" s="1"/>
  <c r="C31" i="161" s="1"/>
  <c r="M32" i="161"/>
  <c r="P32" i="161" s="1"/>
  <c r="C32" i="161" s="1"/>
  <c r="M33" i="161"/>
  <c r="P33" i="161" s="1"/>
  <c r="C33" i="161" s="1"/>
  <c r="M34" i="161"/>
  <c r="P34" i="161" s="1"/>
  <c r="C34" i="161" s="1"/>
  <c r="M35" i="161"/>
  <c r="P35" i="161" s="1"/>
  <c r="C35" i="161" s="1"/>
  <c r="M36" i="161"/>
  <c r="P36" i="161" s="1"/>
  <c r="C36" i="161" s="1"/>
  <c r="M37" i="161"/>
  <c r="P37" i="161" s="1"/>
  <c r="C37" i="161" s="1"/>
  <c r="M38" i="161"/>
  <c r="P38" i="161" s="1"/>
  <c r="C38" i="161" s="1"/>
  <c r="M39" i="161"/>
  <c r="P39" i="161" s="1"/>
  <c r="C39" i="161" s="1"/>
  <c r="M40" i="161"/>
  <c r="P40" i="161" s="1"/>
  <c r="C40" i="161" s="1"/>
  <c r="M41" i="161"/>
  <c r="P41" i="161" s="1"/>
  <c r="C41" i="161" s="1"/>
  <c r="M42" i="161"/>
  <c r="P42" i="161" s="1"/>
  <c r="C42" i="161" s="1"/>
  <c r="M43" i="161"/>
  <c r="P43" i="161" s="1"/>
  <c r="C43" i="161" s="1"/>
  <c r="M44" i="161"/>
  <c r="P44" i="161" s="1"/>
  <c r="C44" i="161" s="1"/>
  <c r="M45" i="161"/>
  <c r="P45" i="161" s="1"/>
  <c r="C45" i="161" s="1"/>
  <c r="M46" i="161"/>
  <c r="P46" i="161" s="1"/>
  <c r="C46" i="161" s="1"/>
  <c r="M47" i="161"/>
  <c r="P47" i="161" s="1"/>
  <c r="C47" i="161" s="1"/>
  <c r="M48" i="161"/>
  <c r="P48" i="161" s="1"/>
  <c r="C48" i="161" s="1"/>
  <c r="M49" i="161"/>
  <c r="P49" i="161" s="1"/>
  <c r="C49" i="161" s="1"/>
  <c r="M50" i="161"/>
  <c r="P50" i="161" s="1"/>
  <c r="C50" i="161" s="1"/>
  <c r="M51" i="161"/>
  <c r="P51" i="161" s="1"/>
  <c r="C51" i="161" s="1"/>
  <c r="M52" i="161"/>
  <c r="P52" i="161" s="1"/>
  <c r="C52" i="161" s="1"/>
  <c r="M53" i="161"/>
  <c r="P53" i="161" s="1"/>
  <c r="C53" i="161" s="1"/>
  <c r="M54" i="161"/>
  <c r="P54" i="161" s="1"/>
  <c r="C54" i="161" s="1"/>
  <c r="M55" i="161"/>
  <c r="P55" i="161" s="1"/>
  <c r="C55" i="161" s="1"/>
  <c r="M56" i="161"/>
  <c r="P56" i="161" s="1"/>
  <c r="C56" i="161" s="1"/>
  <c r="M57" i="161"/>
  <c r="P57" i="161" s="1"/>
  <c r="C57" i="161" s="1"/>
  <c r="M58" i="161"/>
  <c r="P58" i="161" s="1"/>
  <c r="C58" i="161" s="1"/>
  <c r="M59" i="161"/>
  <c r="P59" i="161" s="1"/>
  <c r="C59" i="161" s="1"/>
  <c r="M60" i="161"/>
  <c r="P60" i="161" s="1"/>
  <c r="C60" i="161" s="1"/>
  <c r="M61" i="161"/>
  <c r="P61" i="161" s="1"/>
  <c r="C61" i="161" s="1"/>
  <c r="M62" i="161"/>
  <c r="P62" i="161" s="1"/>
  <c r="C62" i="161" s="1"/>
  <c r="M63" i="161"/>
  <c r="P63" i="161" s="1"/>
  <c r="C63" i="161" s="1"/>
  <c r="M64" i="161"/>
  <c r="P64" i="161" s="1"/>
  <c r="C64" i="161" s="1"/>
  <c r="M65" i="161"/>
  <c r="P65" i="161" s="1"/>
  <c r="C65" i="161" s="1"/>
  <c r="M66" i="161"/>
  <c r="P66" i="161" s="1"/>
  <c r="C66" i="161" s="1"/>
  <c r="M67" i="161"/>
  <c r="P67" i="161" s="1"/>
  <c r="C67" i="161" s="1"/>
  <c r="M68" i="161"/>
  <c r="P68" i="161" s="1"/>
  <c r="C68" i="161" s="1"/>
  <c r="M69" i="161"/>
  <c r="P69" i="161" s="1"/>
  <c r="C69" i="161" s="1"/>
  <c r="M70" i="161"/>
  <c r="P70" i="161" s="1"/>
  <c r="C70" i="161" s="1"/>
  <c r="B87" i="161"/>
  <c r="B87" i="162"/>
  <c r="C74" i="161" l="1"/>
  <c r="C77" i="161"/>
  <c r="C88" i="161"/>
  <c r="C90" i="161"/>
  <c r="C81" i="161"/>
  <c r="C89" i="161"/>
  <c r="C72" i="161"/>
  <c r="C75" i="161"/>
  <c r="C91" i="161"/>
  <c r="C93" i="161"/>
  <c r="C78" i="161"/>
  <c r="C71" i="161"/>
  <c r="C85" i="161"/>
  <c r="C80" i="161"/>
  <c r="C82" i="161"/>
  <c r="C92" i="161"/>
  <c r="C84" i="161"/>
  <c r="C73" i="161"/>
  <c r="C87" i="161"/>
  <c r="C76" i="161"/>
  <c r="C79" i="161"/>
  <c r="C83" i="161"/>
  <c r="C86" i="161"/>
  <c r="D31" i="161"/>
  <c r="B31" i="161"/>
  <c r="B31" i="162"/>
  <c r="B32" i="161"/>
  <c r="B32" i="162"/>
  <c r="D32" i="161"/>
  <c r="B80" i="161"/>
  <c r="B80" i="162"/>
  <c r="D51" i="161"/>
  <c r="B51" i="162"/>
  <c r="B51" i="161"/>
  <c r="D25" i="161"/>
  <c r="B25" i="161"/>
  <c r="B25" i="162"/>
  <c r="B58" i="161"/>
  <c r="D58" i="161"/>
  <c r="B58" i="162"/>
  <c r="B59" i="162"/>
  <c r="B59" i="161"/>
  <c r="D59" i="161"/>
  <c r="B30" i="162"/>
  <c r="D30" i="161"/>
  <c r="B30" i="161"/>
  <c r="D67" i="161"/>
  <c r="B67" i="161"/>
  <c r="B67" i="162"/>
  <c r="B61" i="162"/>
  <c r="D61" i="161"/>
  <c r="B61" i="161"/>
  <c r="B66" i="162"/>
  <c r="D66" i="161"/>
  <c r="B66" i="161"/>
  <c r="B24" i="162"/>
  <c r="D24" i="161"/>
  <c r="B24" i="161"/>
  <c r="D65" i="161"/>
  <c r="B65" i="161"/>
  <c r="B65" i="162"/>
  <c r="B34" i="161"/>
  <c r="D34" i="161"/>
  <c r="B34" i="162"/>
  <c r="B74" i="161"/>
  <c r="B74" i="162"/>
  <c r="B43" i="162"/>
  <c r="B43" i="161"/>
  <c r="D43" i="161"/>
  <c r="B76" i="162"/>
  <c r="B76" i="161"/>
  <c r="B81" i="161"/>
  <c r="B81" i="162"/>
  <c r="B88" i="161"/>
  <c r="B88" i="162"/>
  <c r="B29" i="162"/>
  <c r="D29" i="161"/>
  <c r="B29" i="161"/>
  <c r="B38" i="161"/>
  <c r="B38" i="162"/>
  <c r="D38" i="161"/>
  <c r="B75" i="162"/>
  <c r="B75" i="161"/>
  <c r="B77" i="162"/>
  <c r="B77" i="161"/>
  <c r="D18" i="161"/>
  <c r="B18" i="161"/>
  <c r="B18" i="162"/>
  <c r="D48" i="161"/>
  <c r="B48" i="161"/>
  <c r="B48" i="162"/>
  <c r="B71" i="161"/>
  <c r="B71" i="162"/>
  <c r="B27" i="162"/>
  <c r="D27" i="161"/>
  <c r="B27" i="161"/>
  <c r="B57" i="161"/>
  <c r="D57" i="161"/>
  <c r="B57" i="162"/>
  <c r="D56" i="161"/>
  <c r="B56" i="162"/>
  <c r="B56" i="161"/>
  <c r="B22" i="162"/>
  <c r="D22" i="161"/>
  <c r="B22" i="161"/>
  <c r="B53" i="161"/>
  <c r="D53" i="161"/>
  <c r="B53" i="162"/>
  <c r="B35" i="161"/>
  <c r="B35" i="162"/>
  <c r="D35" i="161"/>
  <c r="B73" i="162"/>
  <c r="B73" i="161"/>
  <c r="D45" i="161"/>
  <c r="B45" i="161"/>
  <c r="B45" i="162"/>
  <c r="B41" i="162"/>
  <c r="B41" i="161"/>
  <c r="D41" i="161"/>
  <c r="B46" i="162"/>
  <c r="D46" i="161"/>
  <c r="B46" i="161"/>
  <c r="D19" i="161"/>
  <c r="B19" i="161"/>
  <c r="B19" i="162"/>
  <c r="D23" i="161"/>
  <c r="B23" i="161"/>
  <c r="B23" i="162"/>
  <c r="B36" i="162"/>
  <c r="D36" i="161"/>
  <c r="B36" i="161"/>
  <c r="B85" i="161"/>
  <c r="B85" i="162"/>
  <c r="B82" i="161"/>
  <c r="B82" i="162"/>
  <c r="B42" i="162"/>
  <c r="D42" i="161"/>
  <c r="B42" i="161"/>
  <c r="B63" i="161"/>
  <c r="D63" i="161"/>
  <c r="B63" i="162"/>
  <c r="B84" i="162"/>
  <c r="B84" i="161"/>
  <c r="B89" i="162"/>
  <c r="B89" i="161"/>
  <c r="B20" i="162"/>
  <c r="B20" i="161"/>
  <c r="D20" i="161"/>
  <c r="B52" i="161"/>
  <c r="B52" i="162"/>
  <c r="D52" i="161"/>
  <c r="B86" i="161"/>
  <c r="B86" i="162"/>
  <c r="B55" i="162"/>
  <c r="D55" i="161"/>
  <c r="B55" i="161"/>
  <c r="B40" i="162"/>
  <c r="B40" i="161"/>
  <c r="D40" i="161"/>
  <c r="B26" i="162"/>
  <c r="B26" i="161"/>
  <c r="D26" i="161"/>
  <c r="B93" i="162"/>
  <c r="B93" i="161"/>
  <c r="B37" i="162"/>
  <c r="B37" i="161"/>
  <c r="D37" i="161"/>
  <c r="D33" i="161"/>
  <c r="B33" i="161"/>
  <c r="B33" i="162"/>
  <c r="B79" i="162"/>
  <c r="B79" i="161"/>
  <c r="D28" i="161"/>
  <c r="B28" i="162"/>
  <c r="B28" i="161"/>
  <c r="D39" i="161"/>
  <c r="B39" i="162"/>
  <c r="B39" i="161"/>
  <c r="B91" i="162"/>
  <c r="B91" i="161"/>
  <c r="B21" i="162"/>
  <c r="D21" i="161"/>
  <c r="B21" i="161"/>
  <c r="B50" i="162"/>
  <c r="D50" i="161"/>
  <c r="B50" i="161"/>
  <c r="B62" i="161"/>
  <c r="D62" i="161"/>
  <c r="B62" i="162"/>
  <c r="D64" i="161"/>
  <c r="B64" i="161"/>
  <c r="B64" i="162"/>
  <c r="B90" i="162"/>
  <c r="B90" i="161"/>
  <c r="B68" i="161"/>
  <c r="B68" i="162"/>
  <c r="D68" i="161"/>
  <c r="B70" i="162"/>
  <c r="B70" i="161"/>
  <c r="D70" i="161"/>
  <c r="D47" i="161"/>
  <c r="B47" i="162"/>
  <c r="B47" i="161"/>
  <c r="B69" i="162"/>
  <c r="D69" i="161"/>
  <c r="B69" i="161"/>
  <c r="B92" i="161"/>
  <c r="B92" i="162"/>
  <c r="B78" i="162"/>
  <c r="B78" i="161"/>
  <c r="B72" i="161"/>
  <c r="B72" i="162"/>
  <c r="B83" i="162"/>
  <c r="B83" i="161"/>
  <c r="B60" i="162"/>
  <c r="D60" i="161"/>
  <c r="B60" i="161"/>
  <c r="B44" i="161"/>
  <c r="D44" i="161"/>
  <c r="B44" i="162"/>
  <c r="B54" i="162"/>
  <c r="B54" i="161"/>
  <c r="D54" i="161"/>
  <c r="D49" i="161"/>
  <c r="B49" i="161"/>
  <c r="B49" i="162"/>
  <c r="G24" i="161" l="1"/>
  <c r="G23" i="161" l="1"/>
  <c r="G27" i="161"/>
  <c r="J24" i="161"/>
  <c r="F27" i="161" l="1"/>
  <c r="I21" i="117" l="1"/>
  <c r="J41" i="149"/>
  <c r="C26" i="117"/>
  <c r="B10" i="22" l="1"/>
  <c r="G22" i="117" l="1"/>
  <c r="I6" i="117"/>
  <c r="H26" i="117" l="1"/>
  <c r="P280" i="124" l="1"/>
  <c r="A280" i="124"/>
  <c r="B280" i="124"/>
  <c r="A212" i="124" l="1"/>
  <c r="B212" i="124"/>
  <c r="W26" i="17" l="1"/>
  <c r="P158" i="124"/>
  <c r="A158" i="124"/>
  <c r="B158" i="124"/>
  <c r="E31" i="17" l="1"/>
  <c r="E14" i="158" l="1"/>
  <c r="D23" i="158"/>
  <c r="B187" i="124" l="1"/>
  <c r="A187" i="124"/>
  <c r="B188" i="124"/>
  <c r="A188" i="124"/>
  <c r="BH25" i="138" l="1"/>
  <c r="B29" i="124" l="1"/>
  <c r="A29" i="124"/>
  <c r="D23" i="17" l="1"/>
  <c r="AD32" i="17" l="1"/>
  <c r="B40" i="156"/>
  <c r="AP13" i="138" l="1"/>
  <c r="AP12" i="138"/>
  <c r="AP14" i="138"/>
  <c r="T6" i="138"/>
  <c r="AZ5" i="138" l="1"/>
  <c r="AK2" i="138"/>
  <c r="S3" i="17"/>
  <c r="F5" i="19"/>
  <c r="X6" i="156"/>
  <c r="J24" i="105"/>
  <c r="L21" i="17" l="1"/>
  <c r="AL2" i="138"/>
  <c r="T3" i="17"/>
  <c r="G5" i="19"/>
  <c r="X5" i="156"/>
  <c r="O2" i="156"/>
  <c r="O35" i="156"/>
  <c r="R3" i="156"/>
  <c r="R4" i="156" s="1"/>
  <c r="R5" i="156" s="1"/>
  <c r="R6" i="156" s="1"/>
  <c r="R7" i="156" s="1"/>
  <c r="R8" i="156" s="1"/>
  <c r="R9" i="156" s="1"/>
  <c r="R10" i="156" s="1"/>
  <c r="R11" i="156" s="1"/>
  <c r="R12" i="156" s="1"/>
  <c r="R13" i="156" s="1"/>
  <c r="R14" i="156" s="1"/>
  <c r="R15" i="156" s="1"/>
  <c r="R16" i="156" s="1"/>
  <c r="R17" i="156" s="1"/>
  <c r="R18" i="156" s="1"/>
  <c r="R19" i="156" s="1"/>
  <c r="R20" i="156" s="1"/>
  <c r="R21" i="156" s="1"/>
  <c r="R22" i="156" s="1"/>
  <c r="R23" i="156" s="1"/>
  <c r="R24" i="156" s="1"/>
  <c r="R25" i="156" s="1"/>
  <c r="R26" i="156" s="1"/>
  <c r="R27" i="156" s="1"/>
  <c r="R28" i="156" s="1"/>
  <c r="R29" i="156" s="1"/>
  <c r="R30" i="156" s="1"/>
  <c r="R31" i="156" s="1"/>
  <c r="R32" i="156" s="1"/>
  <c r="R33" i="156" s="1"/>
  <c r="R34" i="156" s="1"/>
  <c r="R35" i="156" s="1"/>
  <c r="R36" i="156" s="1"/>
  <c r="R37" i="156" s="1"/>
  <c r="R38" i="156" s="1"/>
  <c r="R39" i="156" s="1"/>
  <c r="R40" i="156" s="1"/>
  <c r="R41" i="156" s="1"/>
  <c r="R42" i="156" s="1"/>
  <c r="R43" i="156" s="1"/>
  <c r="R44" i="156" s="1"/>
  <c r="A3" i="156"/>
  <c r="A4" i="156" s="1"/>
  <c r="A5" i="156" s="1"/>
  <c r="A6" i="156" s="1"/>
  <c r="A7" i="156" s="1"/>
  <c r="A8" i="156" s="1"/>
  <c r="A9" i="156" s="1"/>
  <c r="A10" i="156" s="1"/>
  <c r="A11" i="156" s="1"/>
  <c r="A12" i="156" s="1"/>
  <c r="A13" i="156" s="1"/>
  <c r="A14" i="156" s="1"/>
  <c r="A15" i="156" s="1"/>
  <c r="A16" i="156" s="1"/>
  <c r="A17" i="156" s="1"/>
  <c r="A18" i="156" s="1"/>
  <c r="A19" i="156" s="1"/>
  <c r="A20" i="156" s="1"/>
  <c r="A21" i="156" s="1"/>
  <c r="A22" i="156" s="1"/>
  <c r="A23" i="156" s="1"/>
  <c r="A24" i="156" s="1"/>
  <c r="A25" i="156" s="1"/>
  <c r="A26" i="156" s="1"/>
  <c r="A27" i="156" s="1"/>
  <c r="A28" i="156" s="1"/>
  <c r="A29" i="156" s="1"/>
  <c r="A30" i="156" s="1"/>
  <c r="A31" i="156" s="1"/>
  <c r="A32" i="156" s="1"/>
  <c r="A33" i="156" s="1"/>
  <c r="A34" i="156" s="1"/>
  <c r="A35" i="156" s="1"/>
  <c r="A36" i="156" s="1"/>
  <c r="A37" i="156" s="1"/>
  <c r="A38" i="156" s="1"/>
  <c r="A39" i="156" s="1"/>
  <c r="A40" i="156" s="1"/>
  <c r="A41" i="156" s="1"/>
  <c r="A42" i="156" s="1"/>
  <c r="A43" i="156" s="1"/>
  <c r="A44" i="156" s="1"/>
  <c r="J20" i="156"/>
  <c r="V14" i="138" l="1"/>
  <c r="T14" i="138"/>
  <c r="S20" i="138"/>
  <c r="V12" i="138"/>
  <c r="T12" i="138"/>
  <c r="H7" i="19"/>
  <c r="F13" i="157"/>
  <c r="B6" i="158"/>
  <c r="B7" i="157"/>
  <c r="G8" i="157"/>
  <c r="G11" i="157"/>
  <c r="F8" i="157"/>
  <c r="E7" i="157"/>
  <c r="P6" i="157"/>
  <c r="F5" i="157"/>
  <c r="E5" i="157"/>
  <c r="B3" i="157"/>
  <c r="AC29" i="156" l="1"/>
  <c r="E41" i="17" l="1"/>
  <c r="B34" i="156" l="1"/>
  <c r="B35" i="156"/>
  <c r="B16" i="156" l="1"/>
  <c r="C777" i="74"/>
  <c r="C778" i="74" s="1"/>
  <c r="C779" i="74" s="1"/>
  <c r="C780" i="74" s="1"/>
  <c r="C781" i="74" s="1"/>
  <c r="C782" i="74" s="1"/>
  <c r="C783" i="74" s="1"/>
  <c r="C784" i="74" s="1"/>
  <c r="C785" i="74" s="1"/>
  <c r="C786" i="74" s="1"/>
  <c r="C787" i="74" s="1"/>
  <c r="C788" i="74" s="1"/>
  <c r="C789" i="74" s="1"/>
  <c r="C790" i="74" s="1"/>
  <c r="C791" i="74" s="1"/>
  <c r="C792" i="74" s="1"/>
  <c r="C793" i="74" s="1"/>
  <c r="C794" i="74" s="1"/>
  <c r="C795" i="74" s="1"/>
  <c r="C796" i="74" s="1"/>
  <c r="C797" i="74" s="1"/>
  <c r="C798" i="74" s="1"/>
  <c r="C799" i="74" s="1"/>
  <c r="C800" i="74" s="1"/>
  <c r="C801" i="74" s="1"/>
  <c r="C802" i="74" s="1"/>
  <c r="C803" i="74" s="1"/>
  <c r="C804" i="74" s="1"/>
  <c r="C805" i="74" s="1"/>
  <c r="C806" i="74" s="1"/>
  <c r="C807" i="74" s="1"/>
  <c r="C808" i="74" s="1"/>
  <c r="C809" i="74" s="1"/>
  <c r="C810" i="74" s="1"/>
  <c r="C811" i="74" s="1"/>
  <c r="C812" i="74" s="1"/>
  <c r="C813" i="74" s="1"/>
  <c r="C814" i="74" s="1"/>
  <c r="C815" i="74" s="1"/>
  <c r="C816" i="74" s="1"/>
  <c r="J40" i="156" l="1"/>
  <c r="M30" i="156"/>
  <c r="X21" i="156"/>
  <c r="Y21" i="156" s="1"/>
  <c r="B18" i="156"/>
  <c r="W17" i="156"/>
  <c r="V14" i="156"/>
  <c r="Y11" i="156"/>
  <c r="W11" i="156"/>
  <c r="V11" i="156"/>
  <c r="Y10" i="156"/>
  <c r="I5" i="156" s="1"/>
  <c r="B5" i="156" s="1"/>
  <c r="W10" i="156"/>
  <c r="V10" i="156"/>
  <c r="H6" i="156"/>
  <c r="O28" i="156" l="1"/>
  <c r="O29" i="156"/>
  <c r="Q5" i="156"/>
  <c r="V22" i="156" s="1"/>
  <c r="U43" i="156"/>
  <c r="V21" i="156"/>
  <c r="I9" i="156" s="1"/>
  <c r="V23" i="156"/>
  <c r="J33" i="156" s="1"/>
  <c r="V15" i="156"/>
  <c r="V6" i="156"/>
  <c r="M6" i="156" s="1"/>
  <c r="AB21" i="156" l="1"/>
  <c r="AA21" i="156"/>
  <c r="V37" i="156"/>
  <c r="Q6" i="156"/>
  <c r="W39" i="156" s="1"/>
  <c r="O6" i="156"/>
  <c r="Q9" i="156"/>
  <c r="AC39" i="156"/>
  <c r="AF43" i="156"/>
  <c r="AH37" i="156" s="1"/>
  <c r="AB43" i="156"/>
  <c r="AA43" i="156"/>
  <c r="Z43" i="156"/>
  <c r="AB36" i="156"/>
  <c r="Z36" i="156"/>
  <c r="AA36" i="156"/>
  <c r="AC36" i="156"/>
  <c r="AC43" i="156" s="1"/>
  <c r="AC37" i="156"/>
  <c r="L33" i="156"/>
  <c r="AA37" i="156" s="1"/>
  <c r="AA38" i="156" s="1"/>
  <c r="W36" i="156"/>
  <c r="V36" i="156"/>
  <c r="O37" i="156" l="1"/>
  <c r="B43" i="156"/>
  <c r="V39" i="156"/>
  <c r="O14" i="156" s="1"/>
  <c r="Q11" i="156"/>
  <c r="AB39" i="156"/>
  <c r="AD39" i="156" s="1"/>
  <c r="AA39" i="156"/>
  <c r="Z39" i="156"/>
  <c r="Q10" i="156"/>
  <c r="AD45" i="156"/>
  <c r="V43" i="156"/>
  <c r="W43" i="156"/>
  <c r="AB37" i="156"/>
  <c r="AD37" i="156" s="1"/>
  <c r="AD38" i="156" s="1"/>
  <c r="AG43" i="156"/>
  <c r="AH43" i="156" s="1"/>
  <c r="Z37" i="156"/>
  <c r="Z38" i="156" s="1"/>
  <c r="W37" i="156"/>
  <c r="AD36" i="156"/>
  <c r="AH38" i="156" l="1"/>
  <c r="Q30" i="156"/>
  <c r="E23" i="17"/>
  <c r="AD22" i="17"/>
  <c r="AD30" i="17" l="1"/>
  <c r="A15" i="124" l="1"/>
  <c r="BC7" i="138" l="1"/>
  <c r="AY22" i="138" l="1"/>
  <c r="F30" i="154" l="1"/>
  <c r="D8" i="154"/>
  <c r="D9" i="154" s="1"/>
  <c r="E32" i="17" l="1"/>
  <c r="C9" i="154"/>
  <c r="G26" i="154"/>
  <c r="S56" i="103" l="1"/>
  <c r="X56" i="103" s="1"/>
  <c r="Z56" i="103" s="1"/>
  <c r="R56" i="103"/>
  <c r="M59" i="103"/>
  <c r="N59" i="103" s="1"/>
  <c r="E59" i="103"/>
  <c r="F59" i="103"/>
  <c r="U56" i="103" l="1"/>
  <c r="Q8" i="166"/>
  <c r="I28" i="166"/>
  <c r="I59" i="103"/>
  <c r="X57" i="103" s="1"/>
  <c r="Z57" i="103" s="1"/>
  <c r="K29" i="164"/>
  <c r="W56" i="103"/>
  <c r="Y56" i="103" s="1"/>
  <c r="V56" i="103"/>
  <c r="Q7" i="166" l="1"/>
  <c r="G22" i="166"/>
  <c r="K30" i="164"/>
  <c r="K31" i="164"/>
  <c r="L29" i="164"/>
  <c r="E15" i="140"/>
  <c r="G26" i="166" l="1"/>
  <c r="C33" i="166" s="1"/>
  <c r="M29" i="164"/>
  <c r="L31" i="164"/>
  <c r="L30" i="164"/>
  <c r="N29" i="164" l="1"/>
  <c r="M30" i="164"/>
  <c r="M31" i="164"/>
  <c r="B14" i="140"/>
  <c r="P7" i="17" l="1"/>
  <c r="O7" i="17"/>
  <c r="W21" i="156"/>
  <c r="Z21" i="156" s="1"/>
  <c r="B15" i="156" s="1"/>
  <c r="X6" i="17" l="1"/>
  <c r="F39" i="124" l="1"/>
  <c r="A39" i="124"/>
  <c r="B39" i="124"/>
  <c r="F143" i="124"/>
  <c r="F144" i="124"/>
  <c r="A139" i="124"/>
  <c r="B139" i="124"/>
  <c r="U13" i="138" l="1"/>
  <c r="I51" i="124" l="1"/>
  <c r="P184" i="124"/>
  <c r="F184" i="124"/>
  <c r="B184" i="124"/>
  <c r="A184" i="124"/>
  <c r="AA5" i="117" l="1"/>
  <c r="AA28" i="117" l="1"/>
  <c r="AC28" i="117" s="1"/>
  <c r="E20" i="117" l="1"/>
  <c r="H23" i="117" s="1"/>
  <c r="I23" i="117" s="1"/>
  <c r="E4" i="117"/>
  <c r="C33" i="117" s="1"/>
  <c r="I29" i="117"/>
  <c r="AA31" i="117"/>
  <c r="AA30" i="117"/>
  <c r="AA29" i="117"/>
  <c r="A177" i="124"/>
  <c r="F177" i="124"/>
  <c r="B177" i="124"/>
  <c r="A133" i="124"/>
  <c r="B133" i="124"/>
  <c r="F133" i="124"/>
  <c r="A132" i="124"/>
  <c r="B304" i="124"/>
  <c r="A304" i="124"/>
  <c r="AC30" i="117" l="1"/>
  <c r="AC31" i="117"/>
  <c r="AC29" i="117"/>
  <c r="AA32" i="117"/>
  <c r="AB28" i="117" s="1"/>
  <c r="AC32" i="117" l="1"/>
  <c r="C32" i="117" s="1"/>
  <c r="AB30" i="117"/>
  <c r="AB31" i="117"/>
  <c r="AB29" i="117"/>
  <c r="I32" i="117" s="1"/>
  <c r="G17" i="117"/>
  <c r="G18" i="117"/>
  <c r="G19" i="117"/>
  <c r="G16" i="117"/>
  <c r="AB32" i="117" l="1"/>
  <c r="H22" i="117" l="1"/>
  <c r="Y21" i="117" l="1"/>
  <c r="I7" i="117"/>
  <c r="J5" i="149" l="1"/>
  <c r="J6" i="149"/>
  <c r="J7" i="149"/>
  <c r="J8" i="149"/>
  <c r="J9" i="149"/>
  <c r="J10" i="149"/>
  <c r="J11" i="149"/>
  <c r="J12" i="149"/>
  <c r="J13" i="149"/>
  <c r="J14" i="149"/>
  <c r="J15" i="149"/>
  <c r="J16" i="149"/>
  <c r="J17" i="149"/>
  <c r="J18" i="149"/>
  <c r="J19" i="149"/>
  <c r="J20" i="149"/>
  <c r="J21" i="149"/>
  <c r="J22" i="149"/>
  <c r="J23" i="149"/>
  <c r="J24" i="149"/>
  <c r="J25" i="149"/>
  <c r="J26" i="149"/>
  <c r="J27" i="149"/>
  <c r="J28" i="149"/>
  <c r="J29" i="149"/>
  <c r="J30" i="149"/>
  <c r="J31" i="149"/>
  <c r="J32" i="149"/>
  <c r="J33" i="149"/>
  <c r="J34" i="149"/>
  <c r="J35" i="149"/>
  <c r="J36" i="149"/>
  <c r="J37" i="149"/>
  <c r="J38" i="149"/>
  <c r="J39" i="149"/>
  <c r="J40" i="149"/>
  <c r="J4" i="149"/>
  <c r="F116" i="124" l="1"/>
  <c r="A116" i="124"/>
  <c r="B116" i="124"/>
  <c r="F115" i="124"/>
  <c r="B115" i="124"/>
  <c r="A115" i="124"/>
  <c r="I37" i="115" l="1"/>
  <c r="F40" i="138" l="1"/>
  <c r="E40" i="138"/>
  <c r="R20" i="138" l="1"/>
  <c r="D6" i="19" l="1"/>
  <c r="X6" i="29" l="1"/>
  <c r="AA6" i="29"/>
  <c r="G5" i="29"/>
  <c r="E8" i="29"/>
  <c r="E9" i="29"/>
  <c r="E10" i="29"/>
  <c r="E11" i="29"/>
  <c r="E12" i="29"/>
  <c r="E13" i="29"/>
  <c r="E14" i="29"/>
  <c r="E15" i="29"/>
  <c r="E7" i="29"/>
  <c r="P38" i="138"/>
  <c r="D7" i="134" l="1"/>
  <c r="F39" i="138" l="1"/>
  <c r="Y17" i="138" l="1"/>
  <c r="J17" i="138"/>
  <c r="J14" i="138"/>
  <c r="B165" i="124" l="1"/>
  <c r="A165" i="124"/>
  <c r="M765" i="74" l="1"/>
  <c r="M766" i="74" s="1"/>
  <c r="M767" i="74" s="1"/>
  <c r="M768" i="74" s="1"/>
  <c r="M769" i="74" s="1"/>
  <c r="M770" i="74" s="1"/>
  <c r="M771" i="74" s="1"/>
  <c r="M772" i="74" s="1"/>
  <c r="M773" i="74" s="1"/>
  <c r="M774" i="74" s="1"/>
  <c r="M775" i="74" s="1"/>
  <c r="M776" i="74" s="1"/>
  <c r="M777" i="74" s="1"/>
  <c r="M778" i="74" s="1"/>
  <c r="M779" i="74" s="1"/>
  <c r="M780" i="74" s="1"/>
  <c r="M781" i="74" s="1"/>
  <c r="M782" i="74" s="1"/>
  <c r="M783" i="74" s="1"/>
  <c r="M784" i="74" s="1"/>
  <c r="M785" i="74" s="1"/>
  <c r="M786" i="74" s="1"/>
  <c r="M787" i="74" s="1"/>
  <c r="M788" i="74" s="1"/>
  <c r="M789" i="74" s="1"/>
  <c r="M790" i="74" s="1"/>
  <c r="M791" i="74" s="1"/>
  <c r="M792" i="74" s="1"/>
  <c r="M793" i="74" s="1"/>
  <c r="M794" i="74" s="1"/>
  <c r="M795" i="74" s="1"/>
  <c r="M796" i="74" s="1"/>
  <c r="M797" i="74" s="1"/>
  <c r="M798" i="74" s="1"/>
  <c r="M799" i="74" s="1"/>
  <c r="M800" i="74" s="1"/>
  <c r="M801" i="74" s="1"/>
  <c r="M802" i="74" s="1"/>
  <c r="N802" i="74" s="1"/>
  <c r="J776" i="74"/>
  <c r="U20" i="138" l="1"/>
  <c r="I23" i="140" l="1"/>
  <c r="M5" i="19" l="1"/>
  <c r="L3" i="19"/>
  <c r="L11" i="19" l="1"/>
  <c r="L10" i="19"/>
  <c r="M7" i="19"/>
  <c r="W33" i="19"/>
  <c r="W35" i="19" s="1"/>
  <c r="V14" i="19"/>
  <c r="V13" i="19"/>
  <c r="B17" i="19"/>
  <c r="M6" i="19" l="1"/>
  <c r="R36" i="19" l="1"/>
  <c r="B231" i="124" l="1"/>
  <c r="A231" i="124"/>
  <c r="A203" i="124" l="1"/>
  <c r="B203" i="124"/>
  <c r="P50" i="124" l="1"/>
  <c r="A50" i="124"/>
  <c r="B50" i="124"/>
  <c r="B68" i="124" l="1"/>
  <c r="A68" i="124"/>
  <c r="G40" i="138" l="1"/>
  <c r="E39" i="138"/>
  <c r="B53" i="124" l="1"/>
  <c r="A53" i="124"/>
  <c r="A317" i="124"/>
  <c r="B317" i="124"/>
  <c r="B22" i="124" l="1"/>
  <c r="A22" i="124"/>
  <c r="A52" i="124" l="1"/>
  <c r="N30" i="17" l="1"/>
  <c r="X31" i="17"/>
  <c r="C8" i="140" l="1"/>
  <c r="E10" i="140" l="1"/>
  <c r="E6" i="140"/>
  <c r="Y6" i="138"/>
  <c r="O23" i="138"/>
  <c r="F15" i="19" l="1"/>
  <c r="AK10" i="138" l="1"/>
  <c r="D17" i="19" l="1"/>
  <c r="J3" i="156"/>
  <c r="AV6" i="138"/>
  <c r="T5" i="138"/>
  <c r="AV5" i="138"/>
  <c r="V5" i="138"/>
  <c r="U7" i="138"/>
  <c r="D5" i="19"/>
  <c r="S7" i="138"/>
  <c r="H4" i="138"/>
  <c r="C5" i="19"/>
  <c r="Q6" i="19" l="1"/>
  <c r="S6" i="19"/>
  <c r="Q40" i="19"/>
  <c r="BD5" i="138"/>
  <c r="AW6" i="138" l="1"/>
  <c r="V7" i="138" s="1"/>
  <c r="AW5" i="138"/>
  <c r="T7" i="138" s="1"/>
  <c r="L3" i="140" l="1"/>
  <c r="L2" i="140" s="1"/>
  <c r="B8" i="140"/>
  <c r="K3" i="140"/>
  <c r="K2" i="140" s="1"/>
  <c r="R9" i="140"/>
  <c r="C7" i="98" l="1"/>
  <c r="B9" i="98" s="1"/>
  <c r="W11" i="98"/>
  <c r="N4" i="98"/>
  <c r="O4" i="98" s="1"/>
  <c r="BD6" i="138" l="1"/>
  <c r="E34" i="17"/>
  <c r="B26" i="17" l="1"/>
  <c r="I25" i="115"/>
  <c r="C4" i="98"/>
  <c r="H8" i="98" l="1"/>
  <c r="P15" i="98"/>
  <c r="P78" i="124"/>
  <c r="B78" i="124"/>
  <c r="A78" i="124"/>
  <c r="C6" i="19" l="1"/>
  <c r="P81" i="124" l="1"/>
  <c r="A81" i="124"/>
  <c r="B81" i="124"/>
  <c r="AA6" i="138" l="1"/>
  <c r="O24" i="138" l="1"/>
  <c r="F4" i="105"/>
  <c r="C4" i="105" s="1"/>
  <c r="H7" i="127"/>
  <c r="F4" i="127"/>
  <c r="D4" i="127" s="1"/>
  <c r="F7" i="127"/>
  <c r="G8" i="127" l="1"/>
  <c r="E9" i="127"/>
  <c r="E8" i="127"/>
  <c r="K23" i="115"/>
  <c r="I23" i="115" l="1"/>
  <c r="L24" i="115"/>
  <c r="J25" i="115" s="1"/>
  <c r="I33" i="115" s="1"/>
  <c r="O24" i="115"/>
  <c r="O23" i="115"/>
  <c r="B7" i="98"/>
  <c r="P7" i="19" l="1"/>
  <c r="I10" i="19" l="1"/>
  <c r="B5" i="19"/>
  <c r="F6" i="19"/>
  <c r="W5" i="29"/>
  <c r="V5" i="29"/>
  <c r="M9" i="19" l="1"/>
  <c r="C12" i="22"/>
  <c r="H38" i="140"/>
  <c r="K38" i="140"/>
  <c r="M38" i="140" s="1"/>
  <c r="Q61" i="140"/>
  <c r="Q62" i="140" s="1"/>
  <c r="R62" i="140" s="1"/>
  <c r="R63" i="140" s="1"/>
  <c r="R64" i="140" s="1"/>
  <c r="Q58" i="140"/>
  <c r="R49" i="140"/>
  <c r="R44" i="140"/>
  <c r="R46" i="140" s="1"/>
  <c r="V47" i="140"/>
  <c r="U45" i="140"/>
  <c r="U47" i="140" s="1"/>
  <c r="J31" i="140"/>
  <c r="I31" i="140"/>
  <c r="H31" i="140"/>
  <c r="J30" i="140"/>
  <c r="I30" i="140"/>
  <c r="H30" i="140"/>
  <c r="J29" i="140"/>
  <c r="I29" i="140"/>
  <c r="H29" i="140"/>
  <c r="R31" i="140"/>
  <c r="Q31" i="140"/>
  <c r="H28" i="140"/>
  <c r="R30" i="140"/>
  <c r="Q30" i="140"/>
  <c r="H27" i="140"/>
  <c r="R29" i="140"/>
  <c r="Q29" i="140"/>
  <c r="H26" i="140"/>
  <c r="D26" i="140"/>
  <c r="B26" i="140"/>
  <c r="R28" i="140"/>
  <c r="Q28" i="140"/>
  <c r="H25" i="140"/>
  <c r="R27" i="140"/>
  <c r="Q27" i="140"/>
  <c r="H24" i="140"/>
  <c r="D24" i="140"/>
  <c r="R26" i="140"/>
  <c r="Q26" i="140"/>
  <c r="I6" i="140"/>
  <c r="I7" i="140" s="1"/>
  <c r="H23" i="140"/>
  <c r="R25" i="140"/>
  <c r="Q25" i="140"/>
  <c r="R24" i="140"/>
  <c r="Q24" i="140"/>
  <c r="N19" i="140"/>
  <c r="M19" i="140"/>
  <c r="S17" i="140"/>
  <c r="S16" i="140"/>
  <c r="Q14" i="140"/>
  <c r="D16" i="140" s="1"/>
  <c r="B9" i="140"/>
  <c r="B7" i="140"/>
  <c r="S5" i="140"/>
  <c r="R5" i="140"/>
  <c r="S18" i="140"/>
  <c r="S2" i="140"/>
  <c r="Q2" i="140"/>
  <c r="C7" i="139"/>
  <c r="D18" i="140" l="1"/>
  <c r="B18" i="140"/>
  <c r="B16" i="140"/>
  <c r="E8" i="140"/>
  <c r="S15" i="140"/>
  <c r="D17" i="140" s="1"/>
  <c r="B17" i="140"/>
  <c r="B25" i="140" s="1"/>
  <c r="R2" i="140"/>
  <c r="M2" i="140" s="1"/>
  <c r="I24" i="140"/>
  <c r="D25" i="140"/>
  <c r="D27" i="140" s="1"/>
  <c r="H5" i="140"/>
  <c r="D32" i="140"/>
  <c r="U48" i="140"/>
  <c r="U49" i="140" s="1"/>
  <c r="Q50" i="140"/>
  <c r="R50" i="140"/>
  <c r="E36" i="140"/>
  <c r="D36" i="140"/>
  <c r="Q11" i="140"/>
  <c r="Q63" i="140"/>
  <c r="Q64" i="140" s="1"/>
  <c r="E20" i="140" l="1"/>
  <c r="E16" i="140"/>
  <c r="E17" i="140" s="1"/>
  <c r="E9" i="140"/>
  <c r="E27" i="140"/>
  <c r="U50" i="140"/>
  <c r="U51" i="140" s="1"/>
  <c r="V49" i="140"/>
  <c r="V50" i="140" s="1"/>
  <c r="V51" i="140" s="1"/>
  <c r="E5" i="140"/>
  <c r="G2" i="140" s="1"/>
  <c r="D33" i="140"/>
  <c r="Q51" i="140"/>
  <c r="Q52" i="140" s="1"/>
  <c r="R52" i="140" s="1"/>
  <c r="E18" i="140" l="1"/>
  <c r="D19" i="140" s="1"/>
  <c r="L32" i="140"/>
  <c r="D34" i="140"/>
  <c r="B34" i="140"/>
  <c r="D35" i="140" l="1"/>
  <c r="B35" i="140"/>
  <c r="E39" i="140" l="1"/>
  <c r="D39" i="140"/>
  <c r="C3" i="139" l="1"/>
  <c r="C18" i="139" s="1"/>
  <c r="F10" i="139"/>
  <c r="C15" i="139"/>
  <c r="C12" i="139"/>
  <c r="C10" i="139"/>
  <c r="G10" i="139" l="1"/>
  <c r="D10" i="139"/>
  <c r="E10" i="139"/>
  <c r="C11" i="139" l="1"/>
  <c r="C13" i="139" s="1"/>
  <c r="C14" i="139" s="1"/>
  <c r="C16" i="139" s="1"/>
  <c r="C17" i="139" s="1"/>
  <c r="C19" i="139" s="1"/>
  <c r="C20" i="139" l="1"/>
  <c r="C21" i="139"/>
  <c r="B9" i="19" l="1"/>
  <c r="S60" i="96" l="1"/>
  <c r="R60" i="96"/>
  <c r="Y8" i="74"/>
  <c r="Z8" i="74"/>
  <c r="AA8" i="74"/>
  <c r="AB8" i="74"/>
  <c r="AC8" i="74"/>
  <c r="AD8" i="74"/>
  <c r="AE8" i="74"/>
  <c r="AF8" i="74"/>
  <c r="AG8" i="74"/>
  <c r="AH8" i="74"/>
  <c r="AI8" i="74"/>
  <c r="AJ8" i="74"/>
  <c r="AK8" i="74"/>
  <c r="X8" i="74"/>
  <c r="B28" i="124" l="1"/>
  <c r="A28" i="124"/>
  <c r="AP29" i="138"/>
  <c r="AQ29" i="138"/>
  <c r="AP30" i="138"/>
  <c r="AQ30" i="138"/>
  <c r="AP31" i="138"/>
  <c r="AQ31" i="138"/>
  <c r="AP32" i="138"/>
  <c r="AQ32" i="138"/>
  <c r="AP33" i="138"/>
  <c r="AQ33" i="138"/>
  <c r="AP34" i="138"/>
  <c r="AQ34" i="138"/>
  <c r="AP35" i="138"/>
  <c r="AQ35" i="138"/>
  <c r="AP36" i="138"/>
  <c r="AQ36" i="138"/>
  <c r="AP37" i="138"/>
  <c r="AQ37" i="138"/>
  <c r="AP38" i="138"/>
  <c r="AQ38" i="138"/>
  <c r="AR38" i="138" l="1"/>
  <c r="AR35" i="138"/>
  <c r="AR37" i="138"/>
  <c r="AT37" i="138"/>
  <c r="AR36" i="138"/>
  <c r="AR34" i="138"/>
  <c r="AR30" i="138"/>
  <c r="AR33" i="138"/>
  <c r="AR32" i="138"/>
  <c r="AR31" i="138"/>
  <c r="AT29" i="138"/>
  <c r="AR29" i="138"/>
  <c r="AT31" i="138"/>
  <c r="AT32" i="138"/>
  <c r="AT38" i="138"/>
  <c r="BE33" i="138"/>
  <c r="BD33" i="138"/>
  <c r="BE31" i="138"/>
  <c r="BD31" i="138"/>
  <c r="BD35" i="138"/>
  <c r="BE35" i="138"/>
  <c r="BD29" i="138"/>
  <c r="BE29" i="138"/>
  <c r="BD38" i="138"/>
  <c r="BE38" i="138"/>
  <c r="BE30" i="138"/>
  <c r="BD30" i="138"/>
  <c r="BD37" i="138"/>
  <c r="BE37" i="138"/>
  <c r="BD36" i="138"/>
  <c r="BE36" i="138"/>
  <c r="BD34" i="138"/>
  <c r="BE34" i="138"/>
  <c r="BE32" i="138"/>
  <c r="BD32" i="138"/>
  <c r="AT30" i="138"/>
  <c r="AT36" i="138"/>
  <c r="AT34" i="138"/>
  <c r="AT33" i="138"/>
  <c r="AT35" i="138"/>
  <c r="AW35" i="138"/>
  <c r="AX35" i="138"/>
  <c r="AW32" i="138"/>
  <c r="AX32" i="138"/>
  <c r="AW30" i="138"/>
  <c r="AX30" i="138"/>
  <c r="AW34" i="138"/>
  <c r="AX34" i="138"/>
  <c r="AW36" i="138"/>
  <c r="AX36" i="138"/>
  <c r="AW33" i="138"/>
  <c r="AX33" i="138"/>
  <c r="AW31" i="138"/>
  <c r="AX31" i="138"/>
  <c r="AW38" i="138"/>
  <c r="AX38" i="138"/>
  <c r="AW37" i="138"/>
  <c r="AX37" i="138"/>
  <c r="AW29" i="138"/>
  <c r="AX29" i="138"/>
  <c r="AU37" i="138"/>
  <c r="AU38" i="138"/>
  <c r="AU36" i="138"/>
  <c r="AU34" i="138"/>
  <c r="AU35" i="138"/>
  <c r="AU33" i="138"/>
  <c r="AU31" i="138"/>
  <c r="AU29" i="138"/>
  <c r="AU32" i="138"/>
  <c r="AU30" i="138"/>
  <c r="AK4" i="138"/>
  <c r="AV29" i="138" l="1"/>
  <c r="AV30" i="138"/>
  <c r="AV36" i="138"/>
  <c r="AV38" i="138"/>
  <c r="AV32" i="138"/>
  <c r="AV33" i="138"/>
  <c r="AV37" i="138"/>
  <c r="AV31" i="138"/>
  <c r="AV35" i="138"/>
  <c r="AV34" i="138"/>
  <c r="AP9" i="138"/>
  <c r="AP10" i="138"/>
  <c r="AO13" i="138" l="1"/>
  <c r="AO12" i="138" l="1"/>
  <c r="AP27" i="138" l="1"/>
  <c r="AS28" i="138" l="1"/>
  <c r="BC12" i="138"/>
  <c r="BC10" i="138"/>
  <c r="L15" i="140" l="1"/>
  <c r="P23" i="140"/>
  <c r="R23" i="140"/>
  <c r="AQ28" i="138" l="1"/>
  <c r="AR28" i="138" s="1"/>
  <c r="AQ27" i="138"/>
  <c r="AX27" i="138" s="1"/>
  <c r="AR27" i="138" l="1"/>
  <c r="BA22" i="138"/>
  <c r="AT28" i="138"/>
  <c r="AT27" i="138"/>
  <c r="AU27" i="138"/>
  <c r="AU28" i="138"/>
  <c r="AV27" i="138" l="1"/>
  <c r="AV28" i="138"/>
  <c r="AS38" i="138"/>
  <c r="AS34" i="138"/>
  <c r="AS35" i="138"/>
  <c r="AS32" i="138"/>
  <c r="AS36" i="138"/>
  <c r="AS33" i="138"/>
  <c r="AO36" i="138"/>
  <c r="AS31" i="138"/>
  <c r="AO37" i="138"/>
  <c r="AO38" i="138"/>
  <c r="AO35" i="138"/>
  <c r="AO33" i="138"/>
  <c r="AO31" i="138"/>
  <c r="AS37" i="138"/>
  <c r="AO34" i="138"/>
  <c r="AO32" i="138"/>
  <c r="AO29" i="138"/>
  <c r="AS29" i="138"/>
  <c r="AS30" i="138"/>
  <c r="AO30" i="138"/>
  <c r="AO27" i="138"/>
  <c r="AO28" i="138"/>
  <c r="AS27" i="138"/>
  <c r="AC38" i="138" l="1"/>
  <c r="AC37" i="138"/>
  <c r="AC36" i="138"/>
  <c r="AY29" i="138"/>
  <c r="AZ29" i="138" s="1"/>
  <c r="AY30" i="138"/>
  <c r="AZ30" i="138" s="1"/>
  <c r="AY31" i="138"/>
  <c r="AZ31" i="138" s="1"/>
  <c r="AY37" i="138"/>
  <c r="AZ37" i="138" s="1"/>
  <c r="BA37" i="138" s="1"/>
  <c r="V37" i="138" s="1"/>
  <c r="AY33" i="138"/>
  <c r="AZ33" i="138" s="1"/>
  <c r="AY36" i="138"/>
  <c r="AZ36" i="138" s="1"/>
  <c r="AY32" i="138"/>
  <c r="AZ32" i="138" s="1"/>
  <c r="AY35" i="138"/>
  <c r="AZ35" i="138" s="1"/>
  <c r="AY34" i="138"/>
  <c r="AZ34" i="138" s="1"/>
  <c r="AY38" i="138"/>
  <c r="AZ38" i="138" s="1"/>
  <c r="BA38" i="138" s="1"/>
  <c r="F275" i="124"/>
  <c r="F274" i="124"/>
  <c r="F273" i="124"/>
  <c r="F278" i="124"/>
  <c r="A275" i="124"/>
  <c r="B275" i="124"/>
  <c r="A274" i="124"/>
  <c r="B274" i="124"/>
  <c r="B273" i="124"/>
  <c r="A273" i="124"/>
  <c r="T38" i="138" l="1"/>
  <c r="V38" i="138"/>
  <c r="Y38" i="138" s="1"/>
  <c r="T32" i="138"/>
  <c r="BI37" i="138"/>
  <c r="BJ37" i="138" s="1"/>
  <c r="BK37" i="138" s="1"/>
  <c r="T37" i="138"/>
  <c r="Q37" i="138" s="1"/>
  <c r="BI38" i="138"/>
  <c r="BJ38" i="138" s="1"/>
  <c r="BK38" i="138" s="1"/>
  <c r="BA36" i="138"/>
  <c r="V36" i="138" s="1"/>
  <c r="BA33" i="138"/>
  <c r="V33" i="138" s="1"/>
  <c r="BA35" i="138"/>
  <c r="T35" i="138" s="1"/>
  <c r="BA30" i="138"/>
  <c r="V30" i="138" s="1"/>
  <c r="N3" i="124"/>
  <c r="M3" i="124"/>
  <c r="L3" i="124"/>
  <c r="K3" i="124"/>
  <c r="F17" i="124"/>
  <c r="F14" i="124"/>
  <c r="F16" i="124"/>
  <c r="F13" i="124"/>
  <c r="F18" i="124"/>
  <c r="F19" i="124"/>
  <c r="F20" i="124"/>
  <c r="F21" i="124"/>
  <c r="F23" i="124"/>
  <c r="F24" i="124"/>
  <c r="F25" i="124"/>
  <c r="F26" i="124"/>
  <c r="F27" i="124"/>
  <c r="F30" i="124"/>
  <c r="F31" i="124"/>
  <c r="F32" i="124"/>
  <c r="F33" i="124"/>
  <c r="F34" i="124"/>
  <c r="F35" i="124"/>
  <c r="F37" i="124"/>
  <c r="F38" i="124"/>
  <c r="F40" i="124"/>
  <c r="F41" i="124"/>
  <c r="F42" i="124"/>
  <c r="F43" i="124"/>
  <c r="F44" i="124"/>
  <c r="F45" i="124"/>
  <c r="F46" i="124"/>
  <c r="F47" i="124"/>
  <c r="F48" i="124"/>
  <c r="F49" i="124"/>
  <c r="F51" i="124"/>
  <c r="F54" i="124"/>
  <c r="F55" i="124"/>
  <c r="F56" i="124"/>
  <c r="F57" i="124"/>
  <c r="F58" i="124"/>
  <c r="F59" i="124"/>
  <c r="F60" i="124"/>
  <c r="F61" i="124"/>
  <c r="F62" i="124"/>
  <c r="F64" i="124"/>
  <c r="F63" i="124"/>
  <c r="F65" i="124"/>
  <c r="F66" i="124"/>
  <c r="F67" i="124"/>
  <c r="F69" i="124"/>
  <c r="F72" i="124"/>
  <c r="F70" i="124"/>
  <c r="F71" i="124"/>
  <c r="F73" i="124"/>
  <c r="F74" i="124"/>
  <c r="F75" i="124"/>
  <c r="F77" i="124"/>
  <c r="F79" i="124"/>
  <c r="F80" i="124"/>
  <c r="F82" i="124"/>
  <c r="F83" i="124"/>
  <c r="F84" i="124"/>
  <c r="F85" i="124"/>
  <c r="F86" i="124"/>
  <c r="F87" i="124"/>
  <c r="F88" i="124"/>
  <c r="F89" i="124"/>
  <c r="F90" i="124"/>
  <c r="F91" i="124"/>
  <c r="F92" i="124"/>
  <c r="F93" i="124"/>
  <c r="F94" i="124"/>
  <c r="F95" i="124"/>
  <c r="F96" i="124"/>
  <c r="F97" i="124"/>
  <c r="F100" i="124"/>
  <c r="F99" i="124"/>
  <c r="F101" i="124"/>
  <c r="F102" i="124"/>
  <c r="F103" i="124"/>
  <c r="F104" i="124"/>
  <c r="F105" i="124"/>
  <c r="F106" i="124"/>
  <c r="F107" i="124"/>
  <c r="F108" i="124"/>
  <c r="F109" i="124"/>
  <c r="F111" i="124"/>
  <c r="F113" i="124"/>
  <c r="F114" i="124"/>
  <c r="F112" i="124"/>
  <c r="F117" i="124"/>
  <c r="F118" i="124"/>
  <c r="F119" i="124"/>
  <c r="F120" i="124"/>
  <c r="F121" i="124"/>
  <c r="F123" i="124"/>
  <c r="F124" i="124"/>
  <c r="F125" i="124"/>
  <c r="F126" i="124"/>
  <c r="F127" i="124"/>
  <c r="F128" i="124"/>
  <c r="F129" i="124"/>
  <c r="F130" i="124"/>
  <c r="F131" i="124"/>
  <c r="F132" i="124"/>
  <c r="F134" i="124"/>
  <c r="F135" i="124"/>
  <c r="F136" i="124"/>
  <c r="F137" i="124"/>
  <c r="F140" i="124"/>
  <c r="F138" i="124"/>
  <c r="F145" i="124"/>
  <c r="F147" i="124"/>
  <c r="F146" i="124"/>
  <c r="F148" i="124"/>
  <c r="F149" i="124"/>
  <c r="F150" i="124"/>
  <c r="F151" i="124"/>
  <c r="F152" i="124"/>
  <c r="F155" i="124"/>
  <c r="F153" i="124"/>
  <c r="F154" i="124"/>
  <c r="F156" i="124"/>
  <c r="F157" i="124"/>
  <c r="F160" i="124"/>
  <c r="F159" i="124"/>
  <c r="F161" i="124"/>
  <c r="F162" i="124"/>
  <c r="F163" i="124"/>
  <c r="F164" i="124"/>
  <c r="F166" i="124"/>
  <c r="F167" i="124"/>
  <c r="F168" i="124"/>
  <c r="F169" i="124"/>
  <c r="F170" i="124"/>
  <c r="F171" i="124"/>
  <c r="F172" i="124"/>
  <c r="F173" i="124"/>
  <c r="F174" i="124"/>
  <c r="F175" i="124"/>
  <c r="F176" i="124"/>
  <c r="F180" i="124"/>
  <c r="F181" i="124"/>
  <c r="F182" i="124"/>
  <c r="F183" i="124"/>
  <c r="F185" i="124"/>
  <c r="F186" i="124"/>
  <c r="F189" i="124"/>
  <c r="F190" i="124"/>
  <c r="F191" i="124"/>
  <c r="F192" i="124"/>
  <c r="F193" i="124"/>
  <c r="F194" i="124"/>
  <c r="F195" i="124"/>
  <c r="F196" i="124"/>
  <c r="F198" i="124"/>
  <c r="F197" i="124"/>
  <c r="F199" i="124"/>
  <c r="F200" i="124"/>
  <c r="F201" i="124"/>
  <c r="F202" i="124"/>
  <c r="F204" i="124"/>
  <c r="F205" i="124"/>
  <c r="F206" i="124"/>
  <c r="F207" i="124"/>
  <c r="F208" i="124"/>
  <c r="F209" i="124"/>
  <c r="F210" i="124"/>
  <c r="F211" i="124"/>
  <c r="F213" i="124"/>
  <c r="F214" i="124"/>
  <c r="F215" i="124"/>
  <c r="F216" i="124"/>
  <c r="F217" i="124"/>
  <c r="F218" i="124"/>
  <c r="F219" i="124"/>
  <c r="F220" i="124"/>
  <c r="F221" i="124"/>
  <c r="F222" i="124"/>
  <c r="F223" i="124"/>
  <c r="F225" i="124"/>
  <c r="F224" i="124"/>
  <c r="F227" i="124"/>
  <c r="F228" i="124"/>
  <c r="F226" i="124"/>
  <c r="F229" i="124"/>
  <c r="F230" i="124"/>
  <c r="F236" i="124"/>
  <c r="F233" i="124"/>
  <c r="F235" i="124"/>
  <c r="F234" i="124"/>
  <c r="F238" i="124"/>
  <c r="F237" i="124"/>
  <c r="F239" i="124"/>
  <c r="F240" i="124"/>
  <c r="F241" i="124"/>
  <c r="F242" i="124"/>
  <c r="F243" i="124"/>
  <c r="F244" i="124"/>
  <c r="F245" i="124"/>
  <c r="F251" i="124"/>
  <c r="F246" i="124"/>
  <c r="F247" i="124"/>
  <c r="F249" i="124"/>
  <c r="F248" i="124"/>
  <c r="F250" i="124"/>
  <c r="F253" i="124"/>
  <c r="F252" i="124"/>
  <c r="F254" i="124"/>
  <c r="F256" i="124"/>
  <c r="F255" i="124"/>
  <c r="F257" i="124"/>
  <c r="F258" i="124"/>
  <c r="F259" i="124"/>
  <c r="F260" i="124"/>
  <c r="F261" i="124"/>
  <c r="F262" i="124"/>
  <c r="F265" i="124"/>
  <c r="F266" i="124"/>
  <c r="F267" i="124"/>
  <c r="F268" i="124"/>
  <c r="F270" i="124"/>
  <c r="F271" i="124"/>
  <c r="F272" i="124"/>
  <c r="F276" i="124"/>
  <c r="F277" i="124"/>
  <c r="F279" i="124"/>
  <c r="F281" i="124"/>
  <c r="F283" i="124"/>
  <c r="F284" i="124"/>
  <c r="F286" i="124"/>
  <c r="F285" i="124"/>
  <c r="F287" i="124"/>
  <c r="F288" i="124"/>
  <c r="F289" i="124"/>
  <c r="F290" i="124"/>
  <c r="F291" i="124"/>
  <c r="F292" i="124"/>
  <c r="F293" i="124"/>
  <c r="F294" i="124"/>
  <c r="F295" i="124"/>
  <c r="F296" i="124"/>
  <c r="F297" i="124"/>
  <c r="F298" i="124"/>
  <c r="F299" i="124"/>
  <c r="F300" i="124"/>
  <c r="F302" i="124"/>
  <c r="F303" i="124"/>
  <c r="F305" i="124"/>
  <c r="F306" i="124"/>
  <c r="F308" i="124"/>
  <c r="F309" i="124"/>
  <c r="F310" i="124"/>
  <c r="F311" i="124"/>
  <c r="F312" i="124"/>
  <c r="F313" i="124"/>
  <c r="F315" i="124"/>
  <c r="F316" i="124"/>
  <c r="F318" i="124"/>
  <c r="F319" i="124"/>
  <c r="F320" i="124"/>
  <c r="F321" i="124"/>
  <c r="F322" i="124"/>
  <c r="F323" i="124"/>
  <c r="F324" i="124"/>
  <c r="F325" i="124"/>
  <c r="F326" i="124"/>
  <c r="F327" i="124"/>
  <c r="F328" i="124"/>
  <c r="F52" i="124"/>
  <c r="F329" i="124"/>
  <c r="F330" i="124"/>
  <c r="F331" i="124"/>
  <c r="F332" i="124"/>
  <c r="F333" i="124"/>
  <c r="F334" i="124"/>
  <c r="F335" i="124"/>
  <c r="F336" i="124"/>
  <c r="F337" i="124"/>
  <c r="F338" i="124"/>
  <c r="F339" i="124"/>
  <c r="F340" i="124"/>
  <c r="F341" i="124"/>
  <c r="F342" i="124"/>
  <c r="F343" i="124"/>
  <c r="F344" i="124"/>
  <c r="F345" i="124"/>
  <c r="F346" i="124"/>
  <c r="F347" i="124"/>
  <c r="F348" i="124"/>
  <c r="F349" i="124"/>
  <c r="F350" i="124"/>
  <c r="F351" i="124"/>
  <c r="F352" i="124"/>
  <c r="F353" i="124"/>
  <c r="F354" i="124"/>
  <c r="F355" i="124"/>
  <c r="F356" i="124"/>
  <c r="F357" i="124"/>
  <c r="F358" i="124"/>
  <c r="F359" i="124"/>
  <c r="F360" i="124"/>
  <c r="F361" i="124"/>
  <c r="F362" i="124"/>
  <c r="F363" i="124"/>
  <c r="F7" i="124"/>
  <c r="F8" i="124"/>
  <c r="F10" i="124"/>
  <c r="F11" i="124"/>
  <c r="F12" i="124"/>
  <c r="F6" i="124"/>
  <c r="P247" i="124"/>
  <c r="P250" i="124"/>
  <c r="P253" i="124"/>
  <c r="P252" i="124"/>
  <c r="P254" i="124"/>
  <c r="P256" i="124"/>
  <c r="P255" i="124"/>
  <c r="A247" i="124"/>
  <c r="B247" i="124"/>
  <c r="A236" i="124"/>
  <c r="P201" i="124"/>
  <c r="A201" i="124"/>
  <c r="B201" i="124"/>
  <c r="P200" i="124"/>
  <c r="A200" i="124"/>
  <c r="B200" i="124"/>
  <c r="B52" i="124"/>
  <c r="B329" i="124"/>
  <c r="B330" i="124"/>
  <c r="B331" i="124"/>
  <c r="B332" i="124"/>
  <c r="B333" i="124"/>
  <c r="B334" i="124"/>
  <c r="B335" i="124"/>
  <c r="B336" i="124"/>
  <c r="B337" i="124"/>
  <c r="B338" i="124"/>
  <c r="B339" i="124"/>
  <c r="B340" i="124"/>
  <c r="B341" i="124"/>
  <c r="B342" i="124"/>
  <c r="B343" i="124"/>
  <c r="B344" i="124"/>
  <c r="B345" i="124"/>
  <c r="B346" i="124"/>
  <c r="B347" i="124"/>
  <c r="B348" i="124"/>
  <c r="S32" i="138" l="1"/>
  <c r="AB32" i="138" s="1"/>
  <c r="U32" i="138"/>
  <c r="AC32" i="138" s="1"/>
  <c r="S38" i="138"/>
  <c r="AB38" i="138" s="1"/>
  <c r="U38" i="138"/>
  <c r="S37" i="138"/>
  <c r="U37" i="138"/>
  <c r="Q38" i="138"/>
  <c r="BH38" i="138"/>
  <c r="BI33" i="138"/>
  <c r="BJ33" i="138" s="1"/>
  <c r="BK33" i="138" s="1"/>
  <c r="T33" i="138"/>
  <c r="Q32" i="138"/>
  <c r="T30" i="138"/>
  <c r="BH37" i="138"/>
  <c r="Y37" i="138"/>
  <c r="BI36" i="138"/>
  <c r="BJ36" i="138" s="1"/>
  <c r="BK36" i="138" s="1"/>
  <c r="T36" i="138"/>
  <c r="Q36" i="138" s="1"/>
  <c r="BI35" i="138"/>
  <c r="BJ35" i="138" s="1"/>
  <c r="BK35" i="138" s="1"/>
  <c r="U35" i="138" s="1"/>
  <c r="AC35" i="138" s="1"/>
  <c r="V35" i="138"/>
  <c r="Q35" i="138" s="1"/>
  <c r="BI30" i="138"/>
  <c r="BJ30" i="138" s="1"/>
  <c r="BK30" i="138" s="1"/>
  <c r="F3" i="124"/>
  <c r="A19" i="124"/>
  <c r="B19" i="124"/>
  <c r="BH30" i="138" l="1"/>
  <c r="BB38" i="138"/>
  <c r="BB37" i="138"/>
  <c r="AB37" i="138"/>
  <c r="BB32" i="138"/>
  <c r="S33" i="138"/>
  <c r="AB33" i="138" s="1"/>
  <c r="U33" i="138"/>
  <c r="AC33" i="138" s="1"/>
  <c r="BC37" i="138"/>
  <c r="BC35" i="138"/>
  <c r="BC38" i="138"/>
  <c r="S30" i="138"/>
  <c r="AB30" i="138" s="1"/>
  <c r="U30" i="138"/>
  <c r="AC30" i="138" s="1"/>
  <c r="BC32" i="138"/>
  <c r="S36" i="138"/>
  <c r="U36" i="138"/>
  <c r="S35" i="138"/>
  <c r="AB35" i="138" s="1"/>
  <c r="BH33" i="138"/>
  <c r="Q33" i="138"/>
  <c r="Y33" i="138"/>
  <c r="Q30" i="138"/>
  <c r="BH36" i="138"/>
  <c r="Y36" i="138"/>
  <c r="BH35" i="138"/>
  <c r="Y35" i="138"/>
  <c r="B12" i="98"/>
  <c r="BB36" i="138" l="1"/>
  <c r="AB36" i="138"/>
  <c r="BB33" i="138"/>
  <c r="BC33" i="138"/>
  <c r="BB30" i="138"/>
  <c r="BC36" i="138"/>
  <c r="BC30" i="138"/>
  <c r="BB35" i="138"/>
  <c r="A287" i="124"/>
  <c r="B255" i="124" l="1"/>
  <c r="A255" i="124"/>
  <c r="P226" i="124"/>
  <c r="B226" i="124"/>
  <c r="A226" i="124"/>
  <c r="M23" i="74" l="1"/>
  <c r="X15" i="17"/>
  <c r="G37" i="74" l="1"/>
  <c r="H37" i="74" s="1"/>
  <c r="G36" i="74"/>
  <c r="H36" i="74" s="1"/>
  <c r="G38" i="74"/>
  <c r="H38" i="74" s="1"/>
  <c r="G39" i="74"/>
  <c r="H39" i="74" s="1"/>
  <c r="G40" i="74"/>
  <c r="H40" i="74" s="1"/>
  <c r="E13" i="17"/>
  <c r="E16" i="29"/>
  <c r="E17" i="29"/>
  <c r="E18" i="29"/>
  <c r="E19" i="29"/>
  <c r="E20" i="29"/>
  <c r="E21" i="29"/>
  <c r="E22" i="29"/>
  <c r="E23" i="29"/>
  <c r="E24" i="29"/>
  <c r="E25" i="29"/>
  <c r="E26" i="29"/>
  <c r="I37" i="74" l="1"/>
  <c r="I97" i="74"/>
  <c r="I77" i="74"/>
  <c r="I90" i="74"/>
  <c r="I54" i="74"/>
  <c r="I58" i="74"/>
  <c r="I69" i="74"/>
  <c r="I64" i="74"/>
  <c r="I81" i="74"/>
  <c r="I89" i="74"/>
  <c r="I68" i="74"/>
  <c r="I76" i="74"/>
  <c r="I88" i="74"/>
  <c r="I79" i="74"/>
  <c r="I47" i="74"/>
  <c r="I99" i="74"/>
  <c r="I94" i="74"/>
  <c r="I40" i="74"/>
  <c r="I78" i="74"/>
  <c r="I67" i="74"/>
  <c r="I59" i="74"/>
  <c r="I87" i="74"/>
  <c r="I46" i="74"/>
  <c r="I43" i="74"/>
  <c r="I86" i="74"/>
  <c r="I82" i="74"/>
  <c r="I93" i="74"/>
  <c r="I71" i="74"/>
  <c r="I65" i="74"/>
  <c r="I61" i="74"/>
  <c r="I74" i="74"/>
  <c r="I38" i="74"/>
  <c r="I96" i="74"/>
  <c r="I45" i="74"/>
  <c r="I85" i="74"/>
  <c r="I80" i="74"/>
  <c r="I66" i="74"/>
  <c r="I42" i="74"/>
  <c r="I53" i="74"/>
  <c r="I48" i="74"/>
  <c r="I49" i="74"/>
  <c r="I73" i="74"/>
  <c r="I36" i="74"/>
  <c r="I98" i="74"/>
  <c r="I63" i="74"/>
  <c r="I57" i="74"/>
  <c r="I84" i="74"/>
  <c r="I50" i="74"/>
  <c r="I92" i="74"/>
  <c r="I41" i="74"/>
  <c r="I95" i="74"/>
  <c r="I52" i="74"/>
  <c r="I60" i="74"/>
  <c r="I72" i="74"/>
  <c r="I55" i="74"/>
  <c r="I44" i="74"/>
  <c r="I56" i="74"/>
  <c r="I91" i="74"/>
  <c r="I83" i="74"/>
  <c r="I75" i="74"/>
  <c r="I39" i="74"/>
  <c r="I62" i="74"/>
  <c r="I51" i="74"/>
  <c r="I70" i="74"/>
  <c r="E27" i="29"/>
  <c r="Q32" i="74"/>
  <c r="B118" i="124" l="1"/>
  <c r="P324" i="124" l="1"/>
  <c r="A324" i="124"/>
  <c r="B324" i="124"/>
  <c r="P277" i="124"/>
  <c r="B277" i="124"/>
  <c r="A277" i="124"/>
  <c r="A279" i="124"/>
  <c r="P233" i="124" l="1"/>
  <c r="P235" i="124"/>
  <c r="P234" i="124"/>
  <c r="P238" i="124"/>
  <c r="P237" i="124"/>
  <c r="P240" i="124"/>
  <c r="P241" i="124"/>
  <c r="P243" i="124"/>
  <c r="P244" i="124"/>
  <c r="P245" i="124"/>
  <c r="P246" i="124"/>
  <c r="P249" i="124"/>
  <c r="P248" i="124"/>
  <c r="P251" i="124"/>
  <c r="P257" i="124"/>
  <c r="P258" i="124"/>
  <c r="P259" i="124"/>
  <c r="P260" i="124"/>
  <c r="P261" i="124"/>
  <c r="P262" i="124"/>
  <c r="P267" i="124"/>
  <c r="P268" i="124"/>
  <c r="P270" i="124"/>
  <c r="P271" i="124"/>
  <c r="P272" i="124"/>
  <c r="P276" i="124"/>
  <c r="P278" i="124"/>
  <c r="P279" i="124"/>
  <c r="P281" i="124"/>
  <c r="P283" i="124"/>
  <c r="P286" i="124"/>
  <c r="P285" i="124"/>
  <c r="P289" i="124"/>
  <c r="P290" i="124"/>
  <c r="P291" i="124"/>
  <c r="P292" i="124"/>
  <c r="P293" i="124"/>
  <c r="P294" i="124"/>
  <c r="P295" i="124"/>
  <c r="P296" i="124"/>
  <c r="P297" i="124"/>
  <c r="P298" i="124"/>
  <c r="P299" i="124"/>
  <c r="P300" i="124"/>
  <c r="P302" i="124"/>
  <c r="P303" i="124"/>
  <c r="P305" i="124"/>
  <c r="P306" i="124"/>
  <c r="P308" i="124"/>
  <c r="P309" i="124"/>
  <c r="P310" i="124"/>
  <c r="P311" i="124"/>
  <c r="P312" i="124"/>
  <c r="P313" i="124"/>
  <c r="P315" i="124"/>
  <c r="P316" i="124"/>
  <c r="P318" i="124"/>
  <c r="P319" i="124"/>
  <c r="P320" i="124"/>
  <c r="P321" i="124"/>
  <c r="P322" i="124"/>
  <c r="P323" i="124"/>
  <c r="P325" i="124"/>
  <c r="P326" i="124"/>
  <c r="P327" i="124"/>
  <c r="P328" i="124"/>
  <c r="P242" i="124"/>
  <c r="P265" i="124"/>
  <c r="P185" i="124"/>
  <c r="P99" i="124"/>
  <c r="P189" i="124"/>
  <c r="P146" i="124"/>
  <c r="P190" i="124"/>
  <c r="P192" i="124"/>
  <c r="P287" i="124"/>
  <c r="P288" i="124"/>
  <c r="P284" i="124"/>
  <c r="P181" i="124"/>
  <c r="P266" i="124"/>
  <c r="P135" i="124"/>
  <c r="P176" i="124"/>
  <c r="P7" i="124"/>
  <c r="P11" i="124"/>
  <c r="P18" i="124"/>
  <c r="P21" i="124"/>
  <c r="P166" i="124"/>
  <c r="P239" i="124"/>
  <c r="P33" i="124"/>
  <c r="P52" i="124"/>
  <c r="P329" i="124"/>
  <c r="P330" i="124"/>
  <c r="P331" i="124"/>
  <c r="P332" i="124"/>
  <c r="P333" i="124"/>
  <c r="P334" i="124"/>
  <c r="P335" i="124"/>
  <c r="P336" i="124"/>
  <c r="P337" i="124"/>
  <c r="P338" i="124"/>
  <c r="P339" i="124"/>
  <c r="P340" i="124"/>
  <c r="P341" i="124"/>
  <c r="P342" i="124"/>
  <c r="P343" i="124"/>
  <c r="P344" i="124"/>
  <c r="P345" i="124"/>
  <c r="P346" i="124"/>
  <c r="P347" i="124"/>
  <c r="P348" i="124"/>
  <c r="P349" i="124"/>
  <c r="P350" i="124"/>
  <c r="P8" i="124"/>
  <c r="P10" i="124"/>
  <c r="P12" i="124"/>
  <c r="P17" i="124"/>
  <c r="P14" i="124"/>
  <c r="P16" i="124"/>
  <c r="P13" i="124"/>
  <c r="P20" i="124"/>
  <c r="P23" i="124"/>
  <c r="P24" i="124"/>
  <c r="P25" i="124"/>
  <c r="P26" i="124"/>
  <c r="P27" i="124"/>
  <c r="P30" i="124"/>
  <c r="P31" i="124"/>
  <c r="P32" i="124"/>
  <c r="P34" i="124"/>
  <c r="P35" i="124"/>
  <c r="P37" i="124"/>
  <c r="P38" i="124"/>
  <c r="P40" i="124"/>
  <c r="P41" i="124"/>
  <c r="P42" i="124"/>
  <c r="P43" i="124"/>
  <c r="P44" i="124"/>
  <c r="P45" i="124"/>
  <c r="P46" i="124"/>
  <c r="P47" i="124"/>
  <c r="P48" i="124"/>
  <c r="P49" i="124"/>
  <c r="P51" i="124"/>
  <c r="P54" i="124"/>
  <c r="P55" i="124"/>
  <c r="P56" i="124"/>
  <c r="P57" i="124"/>
  <c r="P58" i="124"/>
  <c r="P59" i="124"/>
  <c r="P60" i="124"/>
  <c r="P61" i="124"/>
  <c r="P62" i="124"/>
  <c r="P64" i="124"/>
  <c r="P63" i="124"/>
  <c r="P65" i="124"/>
  <c r="P67" i="124"/>
  <c r="P66" i="124"/>
  <c r="P69" i="124"/>
  <c r="P72" i="124"/>
  <c r="P70" i="124"/>
  <c r="P71" i="124"/>
  <c r="P73" i="124"/>
  <c r="P74" i="124"/>
  <c r="P75" i="124"/>
  <c r="P77" i="124"/>
  <c r="P79" i="124"/>
  <c r="P80" i="124"/>
  <c r="P82" i="124"/>
  <c r="P83" i="124"/>
  <c r="P84" i="124"/>
  <c r="P85" i="124"/>
  <c r="P86" i="124"/>
  <c r="P87" i="124"/>
  <c r="P88" i="124"/>
  <c r="P89" i="124"/>
  <c r="P90" i="124"/>
  <c r="P91" i="124"/>
  <c r="P92" i="124"/>
  <c r="P93" i="124"/>
  <c r="P94" i="124"/>
  <c r="P95" i="124"/>
  <c r="P96" i="124"/>
  <c r="P97" i="124"/>
  <c r="P100" i="124"/>
  <c r="P101" i="124"/>
  <c r="P102" i="124"/>
  <c r="P103" i="124"/>
  <c r="P104" i="124"/>
  <c r="P105" i="124"/>
  <c r="P106" i="124"/>
  <c r="P107" i="124"/>
  <c r="P108" i="124"/>
  <c r="P109" i="124"/>
  <c r="P111" i="124"/>
  <c r="P113" i="124"/>
  <c r="P114" i="124"/>
  <c r="P112" i="124"/>
  <c r="P117" i="124"/>
  <c r="P118" i="124"/>
  <c r="P119" i="124"/>
  <c r="P120" i="124"/>
  <c r="P121" i="124"/>
  <c r="P123" i="124"/>
  <c r="P124" i="124"/>
  <c r="P125" i="124"/>
  <c r="P126" i="124"/>
  <c r="P127" i="124"/>
  <c r="P128" i="124"/>
  <c r="P129" i="124"/>
  <c r="P130" i="124"/>
  <c r="P131" i="124"/>
  <c r="P132" i="124"/>
  <c r="P134" i="124"/>
  <c r="P136" i="124"/>
  <c r="P137" i="124"/>
  <c r="P140" i="124"/>
  <c r="P138" i="124"/>
  <c r="P143" i="124"/>
  <c r="P144" i="124"/>
  <c r="P145" i="124"/>
  <c r="P147" i="124"/>
  <c r="P148" i="124"/>
  <c r="P149" i="124"/>
  <c r="P150" i="124"/>
  <c r="P151" i="124"/>
  <c r="P152" i="124"/>
  <c r="P155" i="124"/>
  <c r="P153" i="124"/>
  <c r="P154" i="124"/>
  <c r="P156" i="124"/>
  <c r="P157" i="124"/>
  <c r="P160" i="124"/>
  <c r="P159" i="124"/>
  <c r="P161" i="124"/>
  <c r="P162" i="124"/>
  <c r="P163" i="124"/>
  <c r="P164" i="124"/>
  <c r="P167" i="124"/>
  <c r="P168" i="124"/>
  <c r="P169" i="124"/>
  <c r="P170" i="124"/>
  <c r="P171" i="124"/>
  <c r="P172" i="124"/>
  <c r="P173" i="124"/>
  <c r="P174" i="124"/>
  <c r="P175" i="124"/>
  <c r="P180" i="124"/>
  <c r="P182" i="124"/>
  <c r="P183" i="124"/>
  <c r="P186" i="124"/>
  <c r="P191" i="124"/>
  <c r="P193" i="124"/>
  <c r="P194" i="124"/>
  <c r="P195" i="124"/>
  <c r="P196" i="124"/>
  <c r="P198" i="124"/>
  <c r="P197" i="124"/>
  <c r="P199" i="124"/>
  <c r="P202" i="124"/>
  <c r="P204" i="124"/>
  <c r="P205" i="124"/>
  <c r="P206" i="124"/>
  <c r="P207" i="124"/>
  <c r="P208" i="124"/>
  <c r="P209" i="124"/>
  <c r="P210" i="124"/>
  <c r="P211" i="124"/>
  <c r="P213" i="124"/>
  <c r="P214" i="124"/>
  <c r="P215" i="124"/>
  <c r="P216" i="124"/>
  <c r="P217" i="124"/>
  <c r="P218" i="124"/>
  <c r="P219" i="124"/>
  <c r="P220" i="124"/>
  <c r="P221" i="124"/>
  <c r="P222" i="124"/>
  <c r="P223" i="124"/>
  <c r="P225" i="124"/>
  <c r="P224" i="124"/>
  <c r="P227" i="124"/>
  <c r="P228" i="124"/>
  <c r="P229" i="124"/>
  <c r="P230" i="124"/>
  <c r="P236" i="124"/>
  <c r="P6" i="124"/>
  <c r="H5" i="98"/>
  <c r="A118" i="124" l="1"/>
  <c r="B185" i="124" l="1"/>
  <c r="B99" i="124"/>
  <c r="B189" i="124"/>
  <c r="B146" i="124"/>
  <c r="B190" i="124"/>
  <c r="B192" i="124"/>
  <c r="B287" i="124"/>
  <c r="B288" i="124"/>
  <c r="B284" i="124"/>
  <c r="B181" i="124"/>
  <c r="B266" i="124"/>
  <c r="B135" i="124"/>
  <c r="B176" i="124"/>
  <c r="B7" i="124"/>
  <c r="B11" i="124"/>
  <c r="B18" i="124"/>
  <c r="B21" i="124"/>
  <c r="B166" i="124"/>
  <c r="B239" i="124"/>
  <c r="B33" i="124"/>
  <c r="N5" i="124"/>
  <c r="M5" i="124"/>
  <c r="L5" i="124"/>
  <c r="K5" i="124"/>
  <c r="N19" i="105" l="1"/>
  <c r="W36" i="17"/>
  <c r="AE6" i="98"/>
  <c r="B35" i="17" l="1"/>
  <c r="B36" i="17"/>
  <c r="V6" i="19"/>
  <c r="Z14" i="19" l="1"/>
  <c r="A107" i="124"/>
  <c r="B107" i="124"/>
  <c r="B102" i="124"/>
  <c r="A102" i="124"/>
  <c r="A91" i="124"/>
  <c r="B91" i="124"/>
  <c r="B87" i="124"/>
  <c r="A87" i="124"/>
  <c r="B85" i="124"/>
  <c r="A85" i="124"/>
  <c r="B272" i="124"/>
  <c r="A272" i="124"/>
  <c r="A291" i="124"/>
  <c r="A95" i="124"/>
  <c r="B291" i="124"/>
  <c r="B95" i="124"/>
  <c r="A47" i="124"/>
  <c r="B47" i="124"/>
  <c r="N15" i="105" l="1"/>
  <c r="N28" i="105" s="1"/>
  <c r="T62" i="96" l="1"/>
  <c r="T65" i="96" s="1"/>
  <c r="T64" i="96" l="1"/>
  <c r="E5" i="127" l="1"/>
  <c r="N25" i="105" l="1"/>
  <c r="P22" i="115" l="1"/>
  <c r="B14" i="19" l="1"/>
  <c r="V2" i="19" l="1"/>
  <c r="W2" i="19" s="1"/>
  <c r="V1" i="19"/>
  <c r="X1" i="19" s="1"/>
  <c r="AG5" i="19" l="1"/>
  <c r="AG6" i="19" s="1"/>
  <c r="A303" i="124" l="1"/>
  <c r="S55" i="103"/>
  <c r="X55" i="103" s="1"/>
  <c r="Z55" i="103" s="1"/>
  <c r="R55" i="103"/>
  <c r="J29" i="115" s="1"/>
  <c r="S54" i="103"/>
  <c r="L55" i="103"/>
  <c r="L54" i="103"/>
  <c r="W55" i="103" l="1"/>
  <c r="Y55" i="103" s="1"/>
  <c r="Y32" i="138" l="1"/>
  <c r="Y30" i="138"/>
  <c r="X16" i="17"/>
  <c r="E17" i="17" s="1"/>
  <c r="O32" i="17"/>
  <c r="P22" i="17"/>
  <c r="P30" i="17"/>
  <c r="E21" i="17" l="1"/>
  <c r="E19" i="17"/>
  <c r="P32" i="17"/>
  <c r="N33" i="17"/>
  <c r="P33" i="17"/>
  <c r="E58" i="103"/>
  <c r="F58" i="103"/>
  <c r="C22" i="139" l="1"/>
  <c r="A79" i="124"/>
  <c r="A5" i="124" l="1"/>
  <c r="B312" i="124"/>
  <c r="B186" i="124"/>
  <c r="B120" i="124"/>
  <c r="B6" i="124"/>
  <c r="B64" i="124"/>
  <c r="B303" i="124"/>
  <c r="B319" i="124"/>
  <c r="B320" i="124"/>
  <c r="B318" i="124"/>
  <c r="B20" i="124"/>
  <c r="B221" i="124"/>
  <c r="B112" i="124"/>
  <c r="B63" i="124"/>
  <c r="B69" i="124"/>
  <c r="B325" i="124"/>
  <c r="B322" i="124"/>
  <c r="B323" i="124"/>
  <c r="B125" i="124"/>
  <c r="B121" i="124"/>
  <c r="B127" i="124"/>
  <c r="B128" i="124"/>
  <c r="B126" i="124"/>
  <c r="B38" i="124"/>
  <c r="B242" i="124"/>
  <c r="B265" i="124"/>
  <c r="D2" i="98" l="1"/>
  <c r="A8" i="124"/>
  <c r="A244" i="124"/>
  <c r="B244" i="124"/>
  <c r="A224" i="124"/>
  <c r="B224" i="124"/>
  <c r="A215" i="124"/>
  <c r="B215" i="124"/>
  <c r="A211" i="124"/>
  <c r="B211" i="124"/>
  <c r="A149" i="124"/>
  <c r="B149" i="124"/>
  <c r="A147" i="124"/>
  <c r="B147" i="124"/>
  <c r="B8" i="98" l="1"/>
  <c r="A270" i="124"/>
  <c r="A271" i="124"/>
  <c r="A276" i="124"/>
  <c r="A278" i="124"/>
  <c r="A281" i="124"/>
  <c r="A283" i="124"/>
  <c r="A286" i="124"/>
  <c r="A285" i="124"/>
  <c r="A289" i="124"/>
  <c r="A290" i="124"/>
  <c r="A292" i="124"/>
  <c r="A293" i="124"/>
  <c r="A294" i="124"/>
  <c r="A295" i="124"/>
  <c r="A296" i="124"/>
  <c r="A297" i="124"/>
  <c r="A298" i="124"/>
  <c r="A299" i="124"/>
  <c r="A300" i="124"/>
  <c r="A302" i="124"/>
  <c r="A305" i="124"/>
  <c r="A306" i="124"/>
  <c r="A308" i="124"/>
  <c r="A309" i="124"/>
  <c r="A310" i="124"/>
  <c r="A311" i="124"/>
  <c r="A313" i="124"/>
  <c r="A315" i="124"/>
  <c r="A316" i="124"/>
  <c r="A321" i="124"/>
  <c r="A326" i="124"/>
  <c r="A327" i="124"/>
  <c r="A328" i="124"/>
  <c r="A312" i="124"/>
  <c r="A186" i="124"/>
  <c r="A120" i="124"/>
  <c r="A6" i="124"/>
  <c r="A64" i="124"/>
  <c r="A319" i="124"/>
  <c r="A320" i="124"/>
  <c r="A318" i="124"/>
  <c r="A20" i="124"/>
  <c r="A221" i="124"/>
  <c r="A112" i="124"/>
  <c r="A63" i="124"/>
  <c r="A69" i="124"/>
  <c r="A325" i="124"/>
  <c r="A322" i="124"/>
  <c r="A323" i="124"/>
  <c r="A125" i="124"/>
  <c r="A121" i="124"/>
  <c r="A127" i="124"/>
  <c r="A128" i="124"/>
  <c r="A126" i="124"/>
  <c r="A38" i="124"/>
  <c r="A242" i="124"/>
  <c r="A265" i="124"/>
  <c r="A185" i="124"/>
  <c r="A99" i="124"/>
  <c r="A189" i="124"/>
  <c r="A146" i="124"/>
  <c r="A190" i="124"/>
  <c r="A192" i="124"/>
  <c r="A288" i="124"/>
  <c r="A284" i="124"/>
  <c r="A181" i="124"/>
  <c r="A266" i="124"/>
  <c r="A135" i="124"/>
  <c r="A176" i="124"/>
  <c r="A7" i="124"/>
  <c r="A11" i="124"/>
  <c r="A18" i="124"/>
  <c r="A21" i="124"/>
  <c r="A166" i="124"/>
  <c r="A239" i="124"/>
  <c r="A33" i="124"/>
  <c r="A329" i="124"/>
  <c r="A330" i="124"/>
  <c r="A331" i="124"/>
  <c r="A332" i="124"/>
  <c r="A333" i="124"/>
  <c r="A334" i="124"/>
  <c r="A335" i="124"/>
  <c r="A336" i="124"/>
  <c r="A337" i="124"/>
  <c r="A338" i="124"/>
  <c r="A339" i="124"/>
  <c r="A340" i="124"/>
  <c r="A341" i="124"/>
  <c r="A342" i="124"/>
  <c r="A343" i="124"/>
  <c r="A344" i="124"/>
  <c r="A345" i="124"/>
  <c r="A346" i="124"/>
  <c r="A347" i="124"/>
  <c r="A348" i="124"/>
  <c r="A349" i="124"/>
  <c r="A350" i="124"/>
  <c r="A351" i="124"/>
  <c r="A352" i="124"/>
  <c r="A353" i="124"/>
  <c r="A354" i="124"/>
  <c r="A355" i="124"/>
  <c r="A356" i="124"/>
  <c r="A357" i="124"/>
  <c r="A358" i="124"/>
  <c r="A359" i="124"/>
  <c r="A360" i="124"/>
  <c r="A361" i="124"/>
  <c r="A362" i="124"/>
  <c r="A363" i="124"/>
  <c r="A364" i="124"/>
  <c r="A365" i="124"/>
  <c r="A366" i="124"/>
  <c r="A367" i="124"/>
  <c r="A368" i="124"/>
  <c r="A369" i="124"/>
  <c r="A370" i="124"/>
  <c r="A371" i="124"/>
  <c r="A372" i="124"/>
  <c r="A373" i="124"/>
  <c r="A374" i="124"/>
  <c r="A375" i="124"/>
  <c r="A376" i="124"/>
  <c r="A377" i="124"/>
  <c r="A378" i="124"/>
  <c r="A379" i="124"/>
  <c r="A380" i="124"/>
  <c r="A381" i="124"/>
  <c r="A382" i="124"/>
  <c r="A383" i="124"/>
  <c r="A384" i="124"/>
  <c r="A385" i="124"/>
  <c r="A386" i="124"/>
  <c r="A387" i="124"/>
  <c r="A388" i="124"/>
  <c r="A389" i="124"/>
  <c r="A390" i="124"/>
  <c r="A391" i="124"/>
  <c r="A392" i="124"/>
  <c r="A393" i="124"/>
  <c r="A394" i="124"/>
  <c r="A395" i="124"/>
  <c r="A396" i="124"/>
  <c r="A397" i="124"/>
  <c r="A398" i="124"/>
  <c r="A399" i="124"/>
  <c r="A400" i="124"/>
  <c r="A401" i="124"/>
  <c r="A402" i="124"/>
  <c r="A403" i="124"/>
  <c r="A404" i="124"/>
  <c r="A405" i="124"/>
  <c r="A406" i="124"/>
  <c r="A407" i="124"/>
  <c r="A408" i="124"/>
  <c r="A409" i="124"/>
  <c r="A410" i="124"/>
  <c r="A411" i="124"/>
  <c r="A412" i="124"/>
  <c r="A413" i="124"/>
  <c r="A414" i="124"/>
  <c r="A415" i="124"/>
  <c r="A416" i="124"/>
  <c r="A417" i="124"/>
  <c r="A418" i="124"/>
  <c r="A419" i="124"/>
  <c r="A420" i="124"/>
  <c r="A421" i="124"/>
  <c r="A422" i="124"/>
  <c r="A423" i="124"/>
  <c r="A424" i="124"/>
  <c r="A425" i="124"/>
  <c r="A426" i="124"/>
  <c r="A427" i="124"/>
  <c r="A428" i="124"/>
  <c r="A429" i="124"/>
  <c r="A430" i="124"/>
  <c r="A431" i="124"/>
  <c r="A432" i="124"/>
  <c r="A433" i="124"/>
  <c r="A434" i="124"/>
  <c r="A435" i="124"/>
  <c r="A436" i="124"/>
  <c r="A437" i="124"/>
  <c r="A438" i="124"/>
  <c r="A439" i="124"/>
  <c r="A440" i="124"/>
  <c r="A441" i="124"/>
  <c r="A442" i="124"/>
  <c r="A443" i="124"/>
  <c r="A444" i="124"/>
  <c r="A445" i="124"/>
  <c r="A446" i="124"/>
  <c r="A447" i="124"/>
  <c r="A448" i="124"/>
  <c r="A449" i="124"/>
  <c r="A450" i="124"/>
  <c r="A451" i="124"/>
  <c r="A452" i="124"/>
  <c r="A453" i="124"/>
  <c r="A454" i="124"/>
  <c r="A455" i="124"/>
  <c r="A456" i="124"/>
  <c r="A457" i="124"/>
  <c r="A458" i="124"/>
  <c r="A459" i="124"/>
  <c r="A460" i="124"/>
  <c r="A461" i="124"/>
  <c r="A462" i="124"/>
  <c r="A463" i="124"/>
  <c r="A464" i="124"/>
  <c r="A465" i="124"/>
  <c r="A466" i="124"/>
  <c r="A467" i="124"/>
  <c r="A468" i="124"/>
  <c r="A469" i="124"/>
  <c r="A470" i="124"/>
  <c r="A471" i="124"/>
  <c r="A472" i="124"/>
  <c r="A473" i="124"/>
  <c r="A474" i="124"/>
  <c r="A475" i="124"/>
  <c r="B328" i="124" l="1"/>
  <c r="B276" i="124"/>
  <c r="B173" i="124"/>
  <c r="B66" i="124"/>
  <c r="B168" i="124"/>
  <c r="B250" i="124"/>
  <c r="P38" i="17" l="1"/>
  <c r="N38" i="17"/>
  <c r="P25" i="17"/>
  <c r="L20" i="127" l="1"/>
  <c r="K20" i="127"/>
  <c r="L16" i="127"/>
  <c r="K16" i="127"/>
  <c r="L12" i="127"/>
  <c r="K12" i="127"/>
  <c r="K9" i="127"/>
  <c r="A268" i="124" l="1"/>
  <c r="A267" i="124"/>
  <c r="A262" i="124" l="1"/>
  <c r="A261" i="124" l="1"/>
  <c r="A260" i="124"/>
  <c r="B234" i="124"/>
  <c r="B30" i="124"/>
  <c r="B279" i="124"/>
  <c r="B281" i="124"/>
  <c r="B283" i="124"/>
  <c r="B286" i="124"/>
  <c r="B285" i="124"/>
  <c r="B289" i="124"/>
  <c r="B290" i="124"/>
  <c r="B292" i="124"/>
  <c r="B293" i="124"/>
  <c r="B294" i="124"/>
  <c r="B295" i="124"/>
  <c r="B296" i="124"/>
  <c r="B297" i="124"/>
  <c r="B298" i="124"/>
  <c r="B299" i="124"/>
  <c r="B300" i="124"/>
  <c r="B302" i="124"/>
  <c r="B305" i="124"/>
  <c r="B306" i="124"/>
  <c r="B308" i="124"/>
  <c r="B309" i="124"/>
  <c r="B310" i="124"/>
  <c r="B311" i="124"/>
  <c r="B313" i="124"/>
  <c r="B315" i="124"/>
  <c r="B316" i="124"/>
  <c r="B321" i="124"/>
  <c r="B326" i="124"/>
  <c r="B327" i="124"/>
  <c r="B73" i="124"/>
  <c r="B74" i="124"/>
  <c r="B257" i="124"/>
  <c r="A259" i="124"/>
  <c r="G5" i="127"/>
  <c r="H5" i="127" l="1"/>
  <c r="G24" i="127" s="1"/>
  <c r="L24" i="127" s="1"/>
  <c r="D33" i="127"/>
  <c r="D23" i="127" l="1"/>
  <c r="D24" i="127"/>
  <c r="E24" i="127"/>
  <c r="K24" i="127" s="1"/>
  <c r="F14" i="127"/>
  <c r="G23" i="127"/>
  <c r="L23" i="127" s="1"/>
  <c r="H14" i="127"/>
  <c r="E23" i="127"/>
  <c r="K23" i="127" s="1"/>
  <c r="F17" i="127"/>
  <c r="K17" i="127" s="1"/>
  <c r="H19" i="127"/>
  <c r="L19" i="127" s="1"/>
  <c r="H13" i="127"/>
  <c r="F19" i="127"/>
  <c r="K19" i="127" s="1"/>
  <c r="F13" i="127"/>
  <c r="H17" i="127"/>
  <c r="L17" i="127" s="1"/>
  <c r="A258" i="124"/>
  <c r="L14" i="127" l="1"/>
  <c r="L27" i="127" s="1"/>
  <c r="K14" i="127"/>
  <c r="K27" i="127" s="1"/>
  <c r="K13" i="127"/>
  <c r="L13" i="127"/>
  <c r="G9" i="127"/>
  <c r="L21" i="127" l="1"/>
  <c r="L26" i="127" s="1"/>
  <c r="L29" i="127" s="1"/>
  <c r="K21" i="127"/>
  <c r="K26" i="127" s="1"/>
  <c r="K29" i="127" s="1"/>
  <c r="D28" i="127"/>
  <c r="D29" i="127"/>
  <c r="D26" i="127"/>
  <c r="P35" i="74"/>
  <c r="P36" i="74"/>
  <c r="N58" i="103"/>
  <c r="M58" i="103"/>
  <c r="L28" i="127" l="1"/>
  <c r="L30" i="127" s="1"/>
  <c r="K28" i="127"/>
  <c r="K30" i="127" s="1"/>
  <c r="K31" i="127" l="1"/>
  <c r="P19" i="17"/>
  <c r="A257" i="124" l="1"/>
  <c r="A250" i="124" l="1"/>
  <c r="A251" i="124"/>
  <c r="A253" i="124"/>
  <c r="A252" i="124"/>
  <c r="A254" i="124"/>
  <c r="A256" i="124"/>
  <c r="B262" i="124"/>
  <c r="B61" i="124"/>
  <c r="B162" i="124"/>
  <c r="B60" i="124"/>
  <c r="B59" i="124"/>
  <c r="B213" i="124"/>
  <c r="B268" i="124"/>
  <c r="B131" i="124"/>
  <c r="B86" i="124"/>
  <c r="B84" i="124"/>
  <c r="P26" i="17" l="1"/>
  <c r="P29" i="17"/>
  <c r="P34" i="17" s="1"/>
  <c r="A74" i="124" l="1"/>
  <c r="O35" i="17" l="1"/>
  <c r="P35" i="17"/>
  <c r="P36" i="17" s="1"/>
  <c r="P39" i="17" l="1"/>
  <c r="N39" i="17" s="1"/>
  <c r="N36" i="17"/>
  <c r="A227" i="124"/>
  <c r="A228" i="124"/>
  <c r="A229" i="124"/>
  <c r="A230" i="124"/>
  <c r="A235" i="124"/>
  <c r="A234" i="124"/>
  <c r="A238" i="124"/>
  <c r="A237" i="124"/>
  <c r="A240" i="124"/>
  <c r="A241" i="124"/>
  <c r="A243" i="124"/>
  <c r="A245" i="124"/>
  <c r="A246" i="124"/>
  <c r="A249" i="124"/>
  <c r="A248" i="124"/>
  <c r="B251" i="124"/>
  <c r="B111" i="124"/>
  <c r="B34" i="124"/>
  <c r="B32" i="124"/>
  <c r="B65" i="124"/>
  <c r="B72" i="124"/>
  <c r="B67" i="124"/>
  <c r="B70" i="124"/>
  <c r="B71" i="124"/>
  <c r="B45" i="124"/>
  <c r="B42" i="124"/>
  <c r="B113" i="124"/>
  <c r="B114" i="124"/>
  <c r="B161" i="124"/>
  <c r="B24" i="124"/>
  <c r="A223" i="124"/>
  <c r="A225" i="124"/>
  <c r="A222" i="124"/>
  <c r="A220" i="124"/>
  <c r="A219" i="124"/>
  <c r="N40" i="17" l="1"/>
  <c r="T88" i="74"/>
  <c r="U88" i="74" s="1"/>
  <c r="A214" i="124"/>
  <c r="A216" i="124"/>
  <c r="A217" i="124"/>
  <c r="A218" i="124"/>
  <c r="B119" i="124" l="1"/>
  <c r="B92" i="124"/>
  <c r="B243" i="124"/>
  <c r="B27" i="124"/>
  <c r="B25" i="124"/>
  <c r="B117" i="124"/>
  <c r="B261" i="124"/>
  <c r="B253" i="124"/>
  <c r="B260" i="124"/>
  <c r="B259" i="124"/>
  <c r="W14" i="17" l="1"/>
  <c r="B20" i="22" l="1"/>
  <c r="B180" i="124" l="1"/>
  <c r="B183" i="124"/>
  <c r="B196" i="124"/>
  <c r="B198" i="124"/>
  <c r="B197" i="124"/>
  <c r="B199" i="124"/>
  <c r="B202" i="124"/>
  <c r="B204" i="124"/>
  <c r="B205" i="124"/>
  <c r="B206" i="124"/>
  <c r="B208" i="124"/>
  <c r="B209" i="124"/>
  <c r="B207" i="124"/>
  <c r="B210" i="124"/>
  <c r="B214" i="124"/>
  <c r="B216" i="124"/>
  <c r="B218" i="124"/>
  <c r="B219" i="124"/>
  <c r="B220" i="124"/>
  <c r="B222" i="124"/>
  <c r="B223" i="124"/>
  <c r="B225" i="124"/>
  <c r="B229" i="124"/>
  <c r="B230" i="124"/>
  <c r="B233" i="124"/>
  <c r="B235" i="124"/>
  <c r="B237" i="124"/>
  <c r="B236" i="124"/>
  <c r="B240" i="124"/>
  <c r="B245" i="124"/>
  <c r="B246" i="124"/>
  <c r="B248" i="124"/>
  <c r="B252" i="124"/>
  <c r="B254" i="124"/>
  <c r="B256" i="124"/>
  <c r="B258" i="124"/>
  <c r="B270" i="124"/>
  <c r="B271" i="124"/>
  <c r="B278" i="124"/>
  <c r="B241" i="124"/>
  <c r="B249" i="124"/>
  <c r="B193" i="124"/>
  <c r="B194" i="124"/>
  <c r="B195" i="124"/>
  <c r="B191" i="124"/>
  <c r="B151" i="124"/>
  <c r="B80" i="124"/>
  <c r="B62" i="124"/>
  <c r="B31" i="124"/>
  <c r="B35" i="124"/>
  <c r="B170" i="124"/>
  <c r="B217" i="124"/>
  <c r="B228" i="124"/>
  <c r="B267" i="124"/>
  <c r="B88" i="124"/>
  <c r="B182" i="124"/>
  <c r="B227" i="124"/>
  <c r="B238" i="124"/>
  <c r="B90" i="124"/>
  <c r="B23" i="124"/>
  <c r="B8" i="124"/>
  <c r="B10" i="124"/>
  <c r="B12" i="124"/>
  <c r="B17" i="124"/>
  <c r="B14" i="124"/>
  <c r="B16" i="124"/>
  <c r="B13" i="124"/>
  <c r="B26" i="124"/>
  <c r="B37" i="124"/>
  <c r="B40" i="124"/>
  <c r="B43" i="124"/>
  <c r="B44" i="124"/>
  <c r="B41" i="124"/>
  <c r="B46" i="124"/>
  <c r="B48" i="124"/>
  <c r="B49" i="124"/>
  <c r="B51" i="124"/>
  <c r="B54" i="124"/>
  <c r="B55" i="124"/>
  <c r="B56" i="124"/>
  <c r="B57" i="124"/>
  <c r="B58" i="124"/>
  <c r="B75" i="124"/>
  <c r="B77" i="124"/>
  <c r="B79" i="124"/>
  <c r="B82" i="124"/>
  <c r="B83" i="124"/>
  <c r="B89" i="124"/>
  <c r="B93" i="124"/>
  <c r="B94" i="124"/>
  <c r="B96" i="124"/>
  <c r="B97" i="124"/>
  <c r="B100" i="124"/>
  <c r="B101" i="124"/>
  <c r="B103" i="124"/>
  <c r="B104" i="124"/>
  <c r="B105" i="124"/>
  <c r="B106" i="124"/>
  <c r="B108" i="124"/>
  <c r="B109" i="124"/>
  <c r="B123" i="124"/>
  <c r="B124" i="124"/>
  <c r="B129" i="124"/>
  <c r="B130" i="124"/>
  <c r="B132" i="124"/>
  <c r="B134" i="124"/>
  <c r="B136" i="124"/>
  <c r="B137" i="124"/>
  <c r="B140" i="124"/>
  <c r="B138" i="124"/>
  <c r="B143" i="124"/>
  <c r="B144" i="124"/>
  <c r="B145" i="124"/>
  <c r="B148" i="124"/>
  <c r="B150" i="124"/>
  <c r="B152" i="124"/>
  <c r="B155" i="124"/>
  <c r="B153" i="124"/>
  <c r="B154" i="124"/>
  <c r="B156" i="124"/>
  <c r="B157" i="124"/>
  <c r="B160" i="124"/>
  <c r="B159" i="124"/>
  <c r="B163" i="124"/>
  <c r="B164" i="124"/>
  <c r="B167" i="124"/>
  <c r="B169" i="124"/>
  <c r="B171" i="124"/>
  <c r="B172" i="124"/>
  <c r="B174" i="124"/>
  <c r="B175" i="124"/>
  <c r="C10" i="134" l="1"/>
  <c r="B2" i="124"/>
  <c r="AS40" i="138"/>
  <c r="AX41" i="138"/>
  <c r="AY41" i="138"/>
  <c r="AV41" i="138"/>
  <c r="AW41" i="138"/>
  <c r="Q2" i="134"/>
  <c r="J9" i="134"/>
  <c r="B6" i="134"/>
  <c r="H7" i="134"/>
  <c r="G17" i="138" s="1"/>
  <c r="R11" i="134"/>
  <c r="Q11" i="134"/>
  <c r="O11" i="134"/>
  <c r="O12" i="134" s="1"/>
  <c r="P11" i="134"/>
  <c r="N14" i="17"/>
  <c r="P12" i="17"/>
  <c r="O12" i="17"/>
  <c r="L2" i="124" l="1"/>
  <c r="M2" i="124"/>
  <c r="N2" i="124"/>
  <c r="K2" i="124"/>
  <c r="P12" i="134"/>
  <c r="AZ41" i="138"/>
  <c r="O15" i="17"/>
  <c r="S11" i="134"/>
  <c r="B23" i="134" s="1"/>
  <c r="B12" i="134" s="1"/>
  <c r="O8" i="17"/>
  <c r="O10" i="17" s="1"/>
  <c r="O13" i="17"/>
  <c r="O14" i="17" s="1"/>
  <c r="O9" i="17"/>
  <c r="Q12" i="134" l="1"/>
  <c r="R12" i="134" s="1"/>
  <c r="AP42" i="138"/>
  <c r="E6" i="134"/>
  <c r="H27" i="127"/>
  <c r="F27" i="127"/>
  <c r="I24" i="98"/>
  <c r="N8" i="98"/>
  <c r="AJ10" i="98" l="1"/>
  <c r="AI10" i="98"/>
  <c r="AH10" i="98"/>
  <c r="AG10" i="98"/>
  <c r="AF10" i="98"/>
  <c r="AE10" i="98"/>
  <c r="O13" i="134"/>
  <c r="B18" i="138" s="1"/>
  <c r="U17" i="98"/>
  <c r="V17" i="98"/>
  <c r="W17" i="98"/>
  <c r="T18" i="98"/>
  <c r="AK10" i="98"/>
  <c r="E28" i="29" l="1"/>
  <c r="E5" i="98" l="1"/>
  <c r="A168" i="124"/>
  <c r="B18" i="17"/>
  <c r="B16" i="17"/>
  <c r="B13" i="17"/>
  <c r="Q3" i="74"/>
  <c r="P3" i="74"/>
  <c r="P68" i="74"/>
  <c r="R13" i="74" s="1"/>
  <c r="P67" i="74"/>
  <c r="P66" i="74"/>
  <c r="R11" i="74" s="1"/>
  <c r="P65" i="74"/>
  <c r="P64" i="74"/>
  <c r="P63" i="74"/>
  <c r="P62" i="74"/>
  <c r="P61" i="74"/>
  <c r="P60" i="74"/>
  <c r="P59" i="74"/>
  <c r="P58" i="74"/>
  <c r="P57" i="74"/>
  <c r="P56" i="74"/>
  <c r="P55" i="74"/>
  <c r="P54" i="74"/>
  <c r="P53" i="74"/>
  <c r="P52" i="74"/>
  <c r="P51" i="74"/>
  <c r="P50" i="74"/>
  <c r="P49" i="74"/>
  <c r="P48" i="74"/>
  <c r="P47" i="74"/>
  <c r="P46" i="74"/>
  <c r="P45" i="74"/>
  <c r="P44" i="74"/>
  <c r="P43" i="74"/>
  <c r="P42" i="74"/>
  <c r="P41" i="74"/>
  <c r="P40" i="74"/>
  <c r="P39" i="74"/>
  <c r="P38" i="74"/>
  <c r="P37" i="74"/>
  <c r="P34" i="74"/>
  <c r="P33" i="74"/>
  <c r="P32" i="74"/>
  <c r="P31" i="74"/>
  <c r="P30" i="74"/>
  <c r="P29" i="74"/>
  <c r="P28" i="74"/>
  <c r="P27" i="74"/>
  <c r="P26" i="74"/>
  <c r="P25" i="74"/>
  <c r="P24" i="74"/>
  <c r="P23" i="74"/>
  <c r="P22" i="74"/>
  <c r="P21" i="74"/>
  <c r="P20" i="74"/>
  <c r="P19" i="74"/>
  <c r="P18" i="74"/>
  <c r="P17" i="74"/>
  <c r="P16" i="74"/>
  <c r="P15" i="74"/>
  <c r="P14" i="74"/>
  <c r="P13" i="74"/>
  <c r="P12" i="74"/>
  <c r="P11" i="74"/>
  <c r="P10" i="74"/>
  <c r="P9" i="74"/>
  <c r="P8" i="74"/>
  <c r="P7" i="74"/>
  <c r="P6" i="74"/>
  <c r="P5" i="74"/>
  <c r="P4" i="74"/>
  <c r="V9" i="74" l="1"/>
  <c r="R12" i="74"/>
  <c r="U9" i="74"/>
  <c r="P69" i="74"/>
  <c r="R14" i="74" s="1"/>
  <c r="W9" i="74"/>
  <c r="R3" i="74"/>
  <c r="W8" i="74" l="1"/>
  <c r="V8" i="74"/>
  <c r="W12" i="74"/>
  <c r="X9" i="74"/>
  <c r="P70" i="74"/>
  <c r="R15" i="74" s="1"/>
  <c r="W11" i="74"/>
  <c r="V11" i="74"/>
  <c r="A162" i="124"/>
  <c r="A163" i="124"/>
  <c r="A164" i="124"/>
  <c r="A167" i="124"/>
  <c r="A169" i="124"/>
  <c r="A170" i="124"/>
  <c r="A171" i="124"/>
  <c r="A172" i="124"/>
  <c r="A173" i="124"/>
  <c r="A174" i="124"/>
  <c r="A175" i="124"/>
  <c r="A180" i="124"/>
  <c r="A182" i="124"/>
  <c r="A183" i="124"/>
  <c r="A191" i="124"/>
  <c r="A193" i="124"/>
  <c r="A194" i="124"/>
  <c r="A195" i="124"/>
  <c r="A196" i="124"/>
  <c r="A198" i="124"/>
  <c r="A197" i="124"/>
  <c r="A199" i="124"/>
  <c r="A202" i="124"/>
  <c r="A204" i="124"/>
  <c r="A205" i="124"/>
  <c r="A206" i="124"/>
  <c r="A208" i="124"/>
  <c r="A209" i="124"/>
  <c r="A207" i="124"/>
  <c r="A210" i="124"/>
  <c r="A213" i="124"/>
  <c r="A159" i="124"/>
  <c r="A161" i="124"/>
  <c r="P71" i="74" l="1"/>
  <c r="R16" i="74" s="1"/>
  <c r="Y9" i="74"/>
  <c r="Y14" i="74" s="1"/>
  <c r="X12" i="74"/>
  <c r="X13" i="74"/>
  <c r="X11" i="74"/>
  <c r="A160" i="124"/>
  <c r="Y13" i="74" l="1"/>
  <c r="Y12" i="74"/>
  <c r="Y11" i="74"/>
  <c r="P72" i="74"/>
  <c r="R17" i="74" s="1"/>
  <c r="Z9" i="74"/>
  <c r="Z13" i="74" s="1"/>
  <c r="Z15" i="74" l="1"/>
  <c r="Z14" i="74"/>
  <c r="Z12" i="74"/>
  <c r="Z11" i="74"/>
  <c r="P73" i="74"/>
  <c r="R18" i="74" s="1"/>
  <c r="AA9" i="74"/>
  <c r="AA13" i="74" s="1"/>
  <c r="E7" i="98"/>
  <c r="D8" i="98" l="1"/>
  <c r="E8" i="98"/>
  <c r="AA16" i="74"/>
  <c r="AA12" i="74"/>
  <c r="AA14" i="74"/>
  <c r="AA15" i="74"/>
  <c r="AA11" i="74"/>
  <c r="P74" i="74"/>
  <c r="R19" i="74" s="1"/>
  <c r="AB9" i="74"/>
  <c r="AB14" i="74" s="1"/>
  <c r="R19" i="99"/>
  <c r="R20" i="99"/>
  <c r="R21" i="99"/>
  <c r="R22" i="99"/>
  <c r="R23" i="99"/>
  <c r="R24" i="99"/>
  <c r="R25" i="99"/>
  <c r="R26" i="99"/>
  <c r="R27" i="99"/>
  <c r="R28" i="99"/>
  <c r="R29" i="99"/>
  <c r="R30" i="99"/>
  <c r="R31" i="99"/>
  <c r="R32" i="99"/>
  <c r="R33" i="99"/>
  <c r="R34" i="99"/>
  <c r="R35" i="99"/>
  <c r="R36" i="99"/>
  <c r="R37" i="99"/>
  <c r="R38" i="99"/>
  <c r="R39" i="99"/>
  <c r="R40" i="99"/>
  <c r="R41" i="99"/>
  <c r="R42" i="99"/>
  <c r="R43" i="99"/>
  <c r="R44" i="99"/>
  <c r="R45" i="99"/>
  <c r="R46" i="99"/>
  <c r="R47" i="99"/>
  <c r="R48" i="99"/>
  <c r="R49" i="99"/>
  <c r="R50" i="99"/>
  <c r="R51" i="99"/>
  <c r="R52" i="99"/>
  <c r="R53" i="99"/>
  <c r="R54" i="99"/>
  <c r="R55" i="99"/>
  <c r="R56" i="99"/>
  <c r="R57" i="99"/>
  <c r="R58" i="99"/>
  <c r="R59" i="99"/>
  <c r="R60" i="99"/>
  <c r="R61" i="99"/>
  <c r="R62" i="99"/>
  <c r="R63" i="99"/>
  <c r="R64" i="99"/>
  <c r="R65" i="99"/>
  <c r="R66" i="99"/>
  <c r="R67" i="99"/>
  <c r="R68" i="99"/>
  <c r="R69" i="99"/>
  <c r="R70" i="99"/>
  <c r="R18" i="99"/>
  <c r="Q32" i="19"/>
  <c r="D11" i="98" l="1"/>
  <c r="D15" i="98" s="1"/>
  <c r="P13" i="98"/>
  <c r="P8" i="98"/>
  <c r="P11" i="98"/>
  <c r="AB17" i="74"/>
  <c r="AB16" i="74"/>
  <c r="AB15" i="74"/>
  <c r="AB11" i="74"/>
  <c r="AB12" i="74"/>
  <c r="AB13" i="74"/>
  <c r="P75" i="74"/>
  <c r="R20" i="74" s="1"/>
  <c r="AC9" i="74"/>
  <c r="AC18" i="74" s="1"/>
  <c r="AC15" i="74" l="1"/>
  <c r="AC12" i="74"/>
  <c r="AC13" i="74"/>
  <c r="AC17" i="74"/>
  <c r="AC14" i="74"/>
  <c r="AC16" i="74"/>
  <c r="AC11" i="74"/>
  <c r="P76" i="74"/>
  <c r="R21" i="74" s="1"/>
  <c r="AD9" i="74"/>
  <c r="AD19" i="74" s="1"/>
  <c r="AA9" i="98"/>
  <c r="J22" i="98"/>
  <c r="J23" i="98"/>
  <c r="AM10" i="98"/>
  <c r="AL10" i="98"/>
  <c r="AA4" i="98"/>
  <c r="AN10" i="98"/>
  <c r="AA8" i="98"/>
  <c r="AA7" i="98"/>
  <c r="AA6" i="98"/>
  <c r="AA5" i="98"/>
  <c r="N3" i="98"/>
  <c r="O3" i="98" s="1"/>
  <c r="G8" i="29"/>
  <c r="G9" i="29"/>
  <c r="G10" i="29"/>
  <c r="G11" i="29"/>
  <c r="G12" i="29"/>
  <c r="G13" i="29"/>
  <c r="G14" i="29"/>
  <c r="G15" i="29"/>
  <c r="G16" i="29"/>
  <c r="G17" i="29"/>
  <c r="G18" i="29"/>
  <c r="G19" i="29"/>
  <c r="G20" i="29"/>
  <c r="G21" i="29"/>
  <c r="G22" i="29"/>
  <c r="G23" i="29"/>
  <c r="G24" i="29"/>
  <c r="G25" i="29"/>
  <c r="G26" i="29"/>
  <c r="G7" i="29"/>
  <c r="G27" i="29" l="1"/>
  <c r="R17" i="98"/>
  <c r="S17" i="98"/>
  <c r="P18" i="98"/>
  <c r="Q18" i="98"/>
  <c r="AD18" i="74"/>
  <c r="AD17" i="74"/>
  <c r="AD13" i="74"/>
  <c r="AD16" i="74"/>
  <c r="AD14" i="74"/>
  <c r="AD15" i="74"/>
  <c r="AD12" i="74"/>
  <c r="AD11" i="74"/>
  <c r="P77" i="74"/>
  <c r="R22" i="74" s="1"/>
  <c r="AE9" i="74"/>
  <c r="AE20" i="74" s="1"/>
  <c r="AE19" i="74" l="1"/>
  <c r="AE18" i="74"/>
  <c r="AE17" i="74"/>
  <c r="AE11" i="74"/>
  <c r="AE15" i="74"/>
  <c r="AE16" i="74"/>
  <c r="AE12" i="74"/>
  <c r="AE13" i="74"/>
  <c r="AE14" i="74"/>
  <c r="P78" i="74"/>
  <c r="R23" i="74" s="1"/>
  <c r="AF9" i="74"/>
  <c r="AF21" i="74" s="1"/>
  <c r="D6" i="126"/>
  <c r="AF13" i="74" l="1"/>
  <c r="AF12" i="74"/>
  <c r="AF11" i="74"/>
  <c r="AF20" i="74"/>
  <c r="AF17" i="74"/>
  <c r="AF16" i="74"/>
  <c r="P79" i="74"/>
  <c r="R24" i="74" s="1"/>
  <c r="AG9" i="74"/>
  <c r="AG22" i="74" s="1"/>
  <c r="AF19" i="74"/>
  <c r="AF18" i="74"/>
  <c r="AF14" i="74"/>
  <c r="AF15" i="74"/>
  <c r="C5" i="126"/>
  <c r="BD156" i="11"/>
  <c r="BE156" i="11"/>
  <c r="BF156" i="11"/>
  <c r="BG156" i="11"/>
  <c r="BD157" i="11"/>
  <c r="BE157" i="11"/>
  <c r="BF157" i="11"/>
  <c r="BG157" i="11"/>
  <c r="BD158" i="11"/>
  <c r="BE158" i="11"/>
  <c r="BF158" i="11"/>
  <c r="BG158" i="11"/>
  <c r="BD159" i="11"/>
  <c r="BE159" i="11"/>
  <c r="BF159" i="11"/>
  <c r="BG159" i="11"/>
  <c r="BD160" i="11"/>
  <c r="BE160" i="11"/>
  <c r="BF160" i="11"/>
  <c r="BG160" i="11"/>
  <c r="BD161" i="11"/>
  <c r="BE161" i="11"/>
  <c r="BF161" i="11"/>
  <c r="BG161" i="11"/>
  <c r="BD162" i="11"/>
  <c r="BE162" i="11"/>
  <c r="BF162" i="11"/>
  <c r="BG162" i="11"/>
  <c r="BD163" i="11"/>
  <c r="BE163" i="11"/>
  <c r="BF163" i="11"/>
  <c r="BG163" i="11"/>
  <c r="BD164" i="11"/>
  <c r="BE164" i="11"/>
  <c r="BF164" i="11"/>
  <c r="BG164" i="11"/>
  <c r="BD165" i="11"/>
  <c r="BE165" i="11"/>
  <c r="BF165" i="11"/>
  <c r="BG165" i="11"/>
  <c r="BE155" i="11"/>
  <c r="BF155" i="11"/>
  <c r="BG155" i="11"/>
  <c r="BD155" i="11"/>
  <c r="BD144" i="11"/>
  <c r="BE144" i="11"/>
  <c r="BF144" i="11"/>
  <c r="BG144" i="11"/>
  <c r="BD145" i="11"/>
  <c r="BE145" i="11"/>
  <c r="BF145" i="11"/>
  <c r="BG145" i="11"/>
  <c r="BD146" i="11"/>
  <c r="BE146" i="11"/>
  <c r="BF146" i="11"/>
  <c r="BG146" i="11"/>
  <c r="BD147" i="11"/>
  <c r="BE147" i="11"/>
  <c r="BF147" i="11"/>
  <c r="BG147" i="11"/>
  <c r="BD148" i="11"/>
  <c r="BE148" i="11"/>
  <c r="BF148" i="11"/>
  <c r="BG148" i="11"/>
  <c r="BD149" i="11"/>
  <c r="BE149" i="11"/>
  <c r="BF149" i="11"/>
  <c r="BG149" i="11"/>
  <c r="BD150" i="11"/>
  <c r="BE150" i="11"/>
  <c r="BF150" i="11"/>
  <c r="BG150" i="11"/>
  <c r="BD151" i="11"/>
  <c r="BE151" i="11"/>
  <c r="BF151" i="11"/>
  <c r="BG151" i="11"/>
  <c r="BD152" i="11"/>
  <c r="BE152" i="11"/>
  <c r="BF152" i="11"/>
  <c r="BG152" i="11"/>
  <c r="BD153" i="11"/>
  <c r="BE153" i="11"/>
  <c r="BF153" i="11"/>
  <c r="BG153" i="11"/>
  <c r="BE143" i="11"/>
  <c r="BF143" i="11"/>
  <c r="BG143" i="11"/>
  <c r="BD143" i="11"/>
  <c r="BD132" i="11"/>
  <c r="BE132" i="11"/>
  <c r="BF132" i="11"/>
  <c r="BG132" i="11"/>
  <c r="BD133" i="11"/>
  <c r="BE133" i="11"/>
  <c r="BF133" i="11"/>
  <c r="BG133" i="11"/>
  <c r="BD134" i="11"/>
  <c r="BE134" i="11"/>
  <c r="BF134" i="11"/>
  <c r="BG134" i="11"/>
  <c r="BD135" i="11"/>
  <c r="BE135" i="11"/>
  <c r="BF135" i="11"/>
  <c r="BG135" i="11"/>
  <c r="BD136" i="11"/>
  <c r="BE136" i="11"/>
  <c r="BF136" i="11"/>
  <c r="BG136" i="11"/>
  <c r="BD137" i="11"/>
  <c r="BE137" i="11"/>
  <c r="BF137" i="11"/>
  <c r="BG137" i="11"/>
  <c r="BD138" i="11"/>
  <c r="BE138" i="11"/>
  <c r="BF138" i="11"/>
  <c r="BG138" i="11"/>
  <c r="BD139" i="11"/>
  <c r="BE139" i="11"/>
  <c r="BF139" i="11"/>
  <c r="BG139" i="11"/>
  <c r="BD140" i="11"/>
  <c r="BE140" i="11"/>
  <c r="BF140" i="11"/>
  <c r="BG140" i="11"/>
  <c r="BD141" i="11"/>
  <c r="BE141" i="11"/>
  <c r="BF141" i="11"/>
  <c r="BG141" i="11"/>
  <c r="BE131" i="11"/>
  <c r="BF131" i="11"/>
  <c r="BG131" i="11"/>
  <c r="BD131" i="11"/>
  <c r="BD120" i="11"/>
  <c r="BE120" i="11"/>
  <c r="BF120" i="11"/>
  <c r="BG120" i="11"/>
  <c r="BD121" i="11"/>
  <c r="BE121" i="11"/>
  <c r="BF121" i="11"/>
  <c r="BG121" i="11"/>
  <c r="BD122" i="11"/>
  <c r="BE122" i="11"/>
  <c r="BF122" i="11"/>
  <c r="BG122" i="11"/>
  <c r="BD123" i="11"/>
  <c r="BE123" i="11"/>
  <c r="BF123" i="11"/>
  <c r="BG123" i="11"/>
  <c r="BD124" i="11"/>
  <c r="BE124" i="11"/>
  <c r="BF124" i="11"/>
  <c r="BG124" i="11"/>
  <c r="BD125" i="11"/>
  <c r="BE125" i="11"/>
  <c r="BF125" i="11"/>
  <c r="BG125" i="11"/>
  <c r="BD126" i="11"/>
  <c r="BE126" i="11"/>
  <c r="BF126" i="11"/>
  <c r="BG126" i="11"/>
  <c r="BD127" i="11"/>
  <c r="BE127" i="11"/>
  <c r="BF127" i="11"/>
  <c r="BG127" i="11"/>
  <c r="BD128" i="11"/>
  <c r="BE128" i="11"/>
  <c r="BF128" i="11"/>
  <c r="BG128" i="11"/>
  <c r="BD129" i="11"/>
  <c r="BE129" i="11"/>
  <c r="BF129" i="11"/>
  <c r="BG129" i="11"/>
  <c r="BE119" i="11"/>
  <c r="BF119" i="11"/>
  <c r="BG119" i="11"/>
  <c r="BD119" i="11"/>
  <c r="BD108" i="11"/>
  <c r="BE108" i="11"/>
  <c r="BF108" i="11"/>
  <c r="BG108" i="11"/>
  <c r="BD109" i="11"/>
  <c r="BE109" i="11"/>
  <c r="BF109" i="11"/>
  <c r="BG109" i="11"/>
  <c r="BD110" i="11"/>
  <c r="BE110" i="11"/>
  <c r="BF110" i="11"/>
  <c r="BG110" i="11"/>
  <c r="BD111" i="11"/>
  <c r="BE111" i="11"/>
  <c r="BF111" i="11"/>
  <c r="BG111" i="11"/>
  <c r="BD112" i="11"/>
  <c r="BE112" i="11"/>
  <c r="BF112" i="11"/>
  <c r="BG112" i="11"/>
  <c r="BD113" i="11"/>
  <c r="BE113" i="11"/>
  <c r="BF113" i="11"/>
  <c r="BG113" i="11"/>
  <c r="BD114" i="11"/>
  <c r="BE114" i="11"/>
  <c r="BF114" i="11"/>
  <c r="BG114" i="11"/>
  <c r="BD115" i="11"/>
  <c r="BE115" i="11"/>
  <c r="BF115" i="11"/>
  <c r="BG115" i="11"/>
  <c r="BD116" i="11"/>
  <c r="BE116" i="11"/>
  <c r="BF116" i="11"/>
  <c r="BG116" i="11"/>
  <c r="BD117" i="11"/>
  <c r="BE117" i="11"/>
  <c r="BF117" i="11"/>
  <c r="BG117" i="11"/>
  <c r="BE107" i="11"/>
  <c r="BF107" i="11"/>
  <c r="BG107" i="11"/>
  <c r="BD107" i="11"/>
  <c r="BE95" i="11"/>
  <c r="BF95" i="11"/>
  <c r="BG95" i="11"/>
  <c r="BE96" i="11"/>
  <c r="BF96" i="11"/>
  <c r="BG96" i="11"/>
  <c r="BE97" i="11"/>
  <c r="BF97" i="11"/>
  <c r="BG97" i="11"/>
  <c r="BE98" i="11"/>
  <c r="BF98" i="11"/>
  <c r="BG98" i="11"/>
  <c r="BE99" i="11"/>
  <c r="BF99" i="11"/>
  <c r="BG99" i="11"/>
  <c r="BE100" i="11"/>
  <c r="BF100" i="11"/>
  <c r="BG100" i="11"/>
  <c r="BE101" i="11"/>
  <c r="BF101" i="11"/>
  <c r="BG101" i="11"/>
  <c r="BE102" i="11"/>
  <c r="BF102" i="11"/>
  <c r="BG102" i="11"/>
  <c r="BE103" i="11"/>
  <c r="BF103" i="11"/>
  <c r="BG103" i="11"/>
  <c r="BE104" i="11"/>
  <c r="BF104" i="11"/>
  <c r="BG104" i="11"/>
  <c r="BE105" i="11"/>
  <c r="BF105" i="11"/>
  <c r="BG105" i="11"/>
  <c r="BD96" i="11"/>
  <c r="BD97" i="11"/>
  <c r="BD98" i="11"/>
  <c r="BD99" i="11"/>
  <c r="BD100" i="11"/>
  <c r="BD101" i="11"/>
  <c r="BD102" i="11"/>
  <c r="BD103" i="11"/>
  <c r="BD104" i="11"/>
  <c r="BD105" i="11"/>
  <c r="BD95" i="11"/>
  <c r="BD84" i="11"/>
  <c r="BE84" i="11"/>
  <c r="BF84" i="11"/>
  <c r="BG84" i="11"/>
  <c r="BD85" i="11"/>
  <c r="BE85" i="11"/>
  <c r="BF85" i="11"/>
  <c r="BG85" i="11"/>
  <c r="BD86" i="11"/>
  <c r="BE86" i="11"/>
  <c r="BF86" i="11"/>
  <c r="BG86" i="11"/>
  <c r="BD87" i="11"/>
  <c r="BE87" i="11"/>
  <c r="BF87" i="11"/>
  <c r="BG87" i="11"/>
  <c r="BD88" i="11"/>
  <c r="BE88" i="11"/>
  <c r="BF88" i="11"/>
  <c r="BG88" i="11"/>
  <c r="BD89" i="11"/>
  <c r="BE89" i="11"/>
  <c r="BF89" i="11"/>
  <c r="BG89" i="11"/>
  <c r="BD90" i="11"/>
  <c r="BE90" i="11"/>
  <c r="BF90" i="11"/>
  <c r="BG90" i="11"/>
  <c r="BD91" i="11"/>
  <c r="BE91" i="11"/>
  <c r="BF91" i="11"/>
  <c r="BG91" i="11"/>
  <c r="BD92" i="11"/>
  <c r="BE92" i="11"/>
  <c r="BF92" i="11"/>
  <c r="BG92" i="11"/>
  <c r="BD93" i="11"/>
  <c r="BE93" i="11"/>
  <c r="BF93" i="11"/>
  <c r="BG93" i="11"/>
  <c r="BE83" i="11"/>
  <c r="BF83" i="11"/>
  <c r="BG83" i="11"/>
  <c r="BD83" i="11"/>
  <c r="AG11" i="74" l="1"/>
  <c r="AG21" i="74"/>
  <c r="AG20" i="74"/>
  <c r="AG19" i="74"/>
  <c r="AG18" i="74"/>
  <c r="AG16" i="74"/>
  <c r="P80" i="74"/>
  <c r="R25" i="74" s="1"/>
  <c r="AH9" i="74"/>
  <c r="AH16" i="74" s="1"/>
  <c r="AG17" i="74"/>
  <c r="AG14" i="74"/>
  <c r="AG15" i="74"/>
  <c r="AG12" i="74"/>
  <c r="AG13" i="74"/>
  <c r="R80" i="74"/>
  <c r="P7" i="99"/>
  <c r="AH11" i="74" l="1"/>
  <c r="AH23" i="74"/>
  <c r="AH20" i="74"/>
  <c r="AH22" i="74"/>
  <c r="AH21" i="74"/>
  <c r="AH12" i="74"/>
  <c r="AH15" i="74"/>
  <c r="AH14" i="74"/>
  <c r="AH19" i="74"/>
  <c r="AH17" i="74"/>
  <c r="AH18" i="74"/>
  <c r="AH13" i="74"/>
  <c r="P81" i="74"/>
  <c r="R26" i="74" s="1"/>
  <c r="AI9" i="74"/>
  <c r="AI24" i="74" s="1"/>
  <c r="A157" i="124"/>
  <c r="P2" i="19"/>
  <c r="T23" i="17" s="1"/>
  <c r="X10" i="17" l="1"/>
  <c r="S23" i="17"/>
  <c r="X11" i="17"/>
  <c r="Y13" i="17" s="1"/>
  <c r="R23" i="17"/>
  <c r="I4" i="117"/>
  <c r="I9" i="117" s="1"/>
  <c r="H19" i="117" s="1"/>
  <c r="AC22" i="17"/>
  <c r="T11" i="17"/>
  <c r="T13" i="17" s="1"/>
  <c r="D4" i="157"/>
  <c r="S11" i="17"/>
  <c r="V1" i="17" s="1"/>
  <c r="S14" i="19"/>
  <c r="U14" i="19" s="1"/>
  <c r="AI16" i="74"/>
  <c r="AI15" i="74"/>
  <c r="AI12" i="74"/>
  <c r="AI13" i="74"/>
  <c r="AI14" i="74"/>
  <c r="AI23" i="74"/>
  <c r="AI20" i="74"/>
  <c r="AI21" i="74"/>
  <c r="AI11" i="74"/>
  <c r="AI22" i="74"/>
  <c r="AJ9" i="74"/>
  <c r="P82" i="74"/>
  <c r="R27" i="74" s="1"/>
  <c r="AI19" i="74"/>
  <c r="AI18" i="74"/>
  <c r="AI17" i="74"/>
  <c r="X13" i="17" l="1"/>
  <c r="C8" i="117"/>
  <c r="I8" i="117"/>
  <c r="G13" i="117" s="1"/>
  <c r="C34" i="117"/>
  <c r="C9" i="117"/>
  <c r="H24" i="117"/>
  <c r="H25" i="117"/>
  <c r="H17" i="117"/>
  <c r="H16" i="117"/>
  <c r="H18" i="117"/>
  <c r="I18" i="117" s="1"/>
  <c r="AC23" i="17"/>
  <c r="L24" i="17"/>
  <c r="R17" i="17"/>
  <c r="S13" i="17"/>
  <c r="R19" i="17"/>
  <c r="T18" i="17"/>
  <c r="T12" i="17"/>
  <c r="S12" i="17"/>
  <c r="S18" i="17"/>
  <c r="F6" i="157"/>
  <c r="AK9" i="74"/>
  <c r="P83" i="74"/>
  <c r="P84" i="74" s="1"/>
  <c r="P85" i="74" s="1"/>
  <c r="P86" i="74" s="1"/>
  <c r="AJ12" i="74"/>
  <c r="AJ15" i="74"/>
  <c r="AJ16" i="74"/>
  <c r="AJ14" i="74"/>
  <c r="AJ13" i="74"/>
  <c r="AJ11" i="74"/>
  <c r="AJ17" i="74"/>
  <c r="AJ18" i="74"/>
  <c r="AJ19" i="74"/>
  <c r="AJ20" i="74"/>
  <c r="AJ21" i="74"/>
  <c r="AJ22" i="74"/>
  <c r="AJ23" i="74"/>
  <c r="AJ24" i="74"/>
  <c r="AJ25" i="74"/>
  <c r="I23" i="19"/>
  <c r="T14" i="17" l="1"/>
  <c r="T15" i="17" s="1"/>
  <c r="S14" i="17"/>
  <c r="S15" i="17" s="1"/>
  <c r="S16" i="17" s="1"/>
  <c r="C25" i="117"/>
  <c r="I16" i="117"/>
  <c r="I17" i="117"/>
  <c r="I19" i="117"/>
  <c r="I25" i="117"/>
  <c r="R15" i="17"/>
  <c r="I13" i="117"/>
  <c r="H20" i="117"/>
  <c r="C24" i="117" s="1"/>
  <c r="T19" i="17"/>
  <c r="T21" i="17" s="1"/>
  <c r="S19" i="17"/>
  <c r="R21" i="17" s="1"/>
  <c r="B9" i="157"/>
  <c r="B15" i="157"/>
  <c r="C15" i="157" s="1"/>
  <c r="D15" i="157" s="1"/>
  <c r="F9" i="157"/>
  <c r="C14" i="157"/>
  <c r="D14" i="157" s="1"/>
  <c r="R28" i="74"/>
  <c r="AK15" i="74"/>
  <c r="AK14" i="74"/>
  <c r="AK13" i="74"/>
  <c r="AK16" i="74"/>
  <c r="AK12" i="74"/>
  <c r="AK11" i="74"/>
  <c r="AK17" i="74"/>
  <c r="AK18" i="74"/>
  <c r="AK19" i="74"/>
  <c r="AK20" i="74"/>
  <c r="AK21" i="74"/>
  <c r="AK22" i="74"/>
  <c r="AK23" i="74"/>
  <c r="AK24" i="74"/>
  <c r="AK25" i="74"/>
  <c r="AK26" i="74"/>
  <c r="B3" i="29"/>
  <c r="S21" i="17" l="1"/>
  <c r="AB10" i="17"/>
  <c r="AA9" i="17"/>
  <c r="T16" i="17"/>
  <c r="B16" i="157"/>
  <c r="C16" i="157" s="1"/>
  <c r="D16" i="157" s="1"/>
  <c r="E16" i="157" s="1"/>
  <c r="E14" i="157"/>
  <c r="E13" i="157"/>
  <c r="F10" i="157"/>
  <c r="B11" i="157" s="1"/>
  <c r="B10" i="157"/>
  <c r="F11" i="157"/>
  <c r="E15" i="157"/>
  <c r="B12" i="22"/>
  <c r="B17" i="157" l="1"/>
  <c r="C17" i="157" s="1"/>
  <c r="D17" i="157" s="1"/>
  <c r="E17" i="157" s="1"/>
  <c r="B18" i="157"/>
  <c r="B12" i="157"/>
  <c r="F12" i="157"/>
  <c r="A156" i="124"/>
  <c r="C18" i="157" l="1"/>
  <c r="D18" i="157" s="1"/>
  <c r="E18" i="157" s="1"/>
  <c r="F18" i="157" s="1"/>
  <c r="G18" i="157" s="1"/>
  <c r="B19" i="157"/>
  <c r="G25" i="157"/>
  <c r="B25" i="157"/>
  <c r="F16" i="157"/>
  <c r="G16" i="157" s="1"/>
  <c r="F14" i="157"/>
  <c r="G14" i="157"/>
  <c r="F15" i="157"/>
  <c r="G15" i="157" s="1"/>
  <c r="F17" i="157"/>
  <c r="G17" i="157" s="1"/>
  <c r="I37" i="117"/>
  <c r="C19" i="157" l="1"/>
  <c r="D19" i="157" s="1"/>
  <c r="E19" i="157" s="1"/>
  <c r="F19" i="157" s="1"/>
  <c r="G19" i="157" s="1"/>
  <c r="B20" i="157"/>
  <c r="J5" i="99"/>
  <c r="H7" i="99"/>
  <c r="H9" i="99"/>
  <c r="J11" i="99"/>
  <c r="B21" i="157" l="1"/>
  <c r="C20" i="157"/>
  <c r="D20" i="157" s="1"/>
  <c r="E20" i="157" s="1"/>
  <c r="F20" i="157" s="1"/>
  <c r="G20" i="157" s="1"/>
  <c r="A154" i="124"/>
  <c r="C21" i="157" l="1"/>
  <c r="D21" i="157" s="1"/>
  <c r="E21" i="157" s="1"/>
  <c r="F21" i="157" s="1"/>
  <c r="G21" i="157" s="1"/>
  <c r="B22" i="157"/>
  <c r="A153" i="124"/>
  <c r="A155" i="124"/>
  <c r="C22" i="157" l="1"/>
  <c r="D22" i="157" s="1"/>
  <c r="E22" i="157" s="1"/>
  <c r="F22" i="157" s="1"/>
  <c r="G22" i="157" s="1"/>
  <c r="B23" i="157"/>
  <c r="C23" i="157" s="1"/>
  <c r="D23" i="157" s="1"/>
  <c r="E23" i="157" s="1"/>
  <c r="F23" i="157" s="1"/>
  <c r="G23" i="157" s="1"/>
  <c r="W3" i="99"/>
  <c r="V3" i="99"/>
  <c r="G24" i="157" l="1"/>
  <c r="G27" i="157" s="1"/>
  <c r="B26" i="157"/>
  <c r="B27" i="157"/>
  <c r="I14" i="19"/>
  <c r="G28" i="157" l="1"/>
  <c r="B28" i="157"/>
  <c r="A152" i="124"/>
  <c r="A16" i="124" l="1"/>
  <c r="A13" i="124"/>
  <c r="A23" i="124"/>
  <c r="A24" i="124"/>
  <c r="A25" i="124"/>
  <c r="A27" i="124"/>
  <c r="A26" i="124"/>
  <c r="A30" i="124"/>
  <c r="A31" i="124"/>
  <c r="A32" i="124"/>
  <c r="A34" i="124"/>
  <c r="A35" i="124"/>
  <c r="A37" i="124"/>
  <c r="A40" i="124"/>
  <c r="A43" i="124"/>
  <c r="A44" i="124"/>
  <c r="A41" i="124"/>
  <c r="A42" i="124"/>
  <c r="A45" i="124"/>
  <c r="A46" i="124"/>
  <c r="A48" i="124"/>
  <c r="A49" i="124"/>
  <c r="A51" i="124"/>
  <c r="A54" i="124"/>
  <c r="A55" i="124"/>
  <c r="A56" i="124"/>
  <c r="A57" i="124"/>
  <c r="A58" i="124"/>
  <c r="A59" i="124"/>
  <c r="A60" i="124"/>
  <c r="A61" i="124"/>
  <c r="A62" i="124"/>
  <c r="A65" i="124"/>
  <c r="A67" i="124"/>
  <c r="A66" i="124"/>
  <c r="A72" i="124"/>
  <c r="A70" i="124"/>
  <c r="A71" i="124"/>
  <c r="A73" i="124"/>
  <c r="A75" i="124"/>
  <c r="A77" i="124"/>
  <c r="A80" i="124"/>
  <c r="A82" i="124"/>
  <c r="A83" i="124"/>
  <c r="A84" i="124"/>
  <c r="A86" i="124"/>
  <c r="A88" i="124"/>
  <c r="A89" i="124"/>
  <c r="A90" i="124"/>
  <c r="A92" i="124"/>
  <c r="A93" i="124"/>
  <c r="A94" i="124"/>
  <c r="A96" i="124"/>
  <c r="A97" i="124"/>
  <c r="A100" i="124"/>
  <c r="A101" i="124"/>
  <c r="A103" i="124"/>
  <c r="A104" i="124"/>
  <c r="A105" i="124"/>
  <c r="A106" i="124"/>
  <c r="A108" i="124"/>
  <c r="A109" i="124"/>
  <c r="A111" i="124"/>
  <c r="A113" i="124"/>
  <c r="A114" i="124"/>
  <c r="A117" i="124"/>
  <c r="A119" i="124"/>
  <c r="A123" i="124"/>
  <c r="A124" i="124"/>
  <c r="A129" i="124"/>
  <c r="A130" i="124"/>
  <c r="A131" i="124"/>
  <c r="A134" i="124"/>
  <c r="A136" i="124"/>
  <c r="A137" i="124"/>
  <c r="A140" i="124"/>
  <c r="A138" i="124"/>
  <c r="A143" i="124"/>
  <c r="A144" i="124"/>
  <c r="A145" i="124"/>
  <c r="A148" i="124"/>
  <c r="A150" i="124"/>
  <c r="A151" i="124"/>
  <c r="A10" i="124"/>
  <c r="A12" i="124"/>
  <c r="A17" i="124"/>
  <c r="A14" i="124"/>
  <c r="S6" i="124" l="1"/>
  <c r="C3" i="124"/>
  <c r="P9" i="99"/>
  <c r="S13" i="124" l="1"/>
  <c r="S17" i="124"/>
  <c r="S14" i="124"/>
  <c r="S19" i="124"/>
  <c r="S20" i="124"/>
  <c r="S18" i="124"/>
  <c r="S16" i="124"/>
  <c r="S12" i="124"/>
  <c r="S10" i="124"/>
  <c r="L34" i="115"/>
  <c r="I35" i="115"/>
  <c r="K34" i="115" l="1"/>
  <c r="I34" i="115"/>
  <c r="T15" i="96" l="1"/>
  <c r="U40" i="96" l="1"/>
  <c r="U38" i="96"/>
  <c r="U39" i="96" s="1"/>
  <c r="T38" i="96"/>
  <c r="U41" i="96" s="1"/>
  <c r="U42" i="96" l="1"/>
  <c r="T42" i="96" s="1"/>
  <c r="T39" i="96"/>
  <c r="E17" i="98" l="1"/>
  <c r="CA16" i="96" l="1"/>
  <c r="P6" i="96"/>
  <c r="O14" i="96"/>
  <c r="P14" i="96"/>
  <c r="O15" i="96"/>
  <c r="P15" i="96"/>
  <c r="O16" i="96"/>
  <c r="P16" i="96"/>
  <c r="O17" i="96"/>
  <c r="P17" i="96"/>
  <c r="O18" i="96"/>
  <c r="P18" i="96"/>
  <c r="O19" i="96"/>
  <c r="P19" i="96"/>
  <c r="O20" i="96"/>
  <c r="P20" i="96"/>
  <c r="O21" i="96"/>
  <c r="P21" i="96"/>
  <c r="O22" i="96"/>
  <c r="P22" i="96"/>
  <c r="O23" i="96"/>
  <c r="P23" i="96"/>
  <c r="O24" i="96"/>
  <c r="P24" i="96"/>
  <c r="O25" i="96"/>
  <c r="P25" i="96"/>
  <c r="O26" i="96"/>
  <c r="P26" i="96"/>
  <c r="O27" i="96"/>
  <c r="P27" i="96"/>
  <c r="O28" i="96"/>
  <c r="P28" i="96"/>
  <c r="O29" i="96"/>
  <c r="P29" i="96"/>
  <c r="O30" i="96"/>
  <c r="P30" i="96"/>
  <c r="O31" i="96"/>
  <c r="P31" i="96"/>
  <c r="O32" i="96"/>
  <c r="P32" i="96"/>
  <c r="O33" i="96"/>
  <c r="P33" i="96"/>
  <c r="O34" i="96"/>
  <c r="P34" i="96"/>
  <c r="O35" i="96"/>
  <c r="P35" i="96"/>
  <c r="O36" i="96"/>
  <c r="P36" i="96"/>
  <c r="O37" i="96"/>
  <c r="P37" i="96"/>
  <c r="O38" i="96"/>
  <c r="P38" i="96"/>
  <c r="O39" i="96"/>
  <c r="P39" i="96"/>
  <c r="O40" i="96"/>
  <c r="P40" i="96"/>
  <c r="O41" i="96"/>
  <c r="P41" i="96"/>
  <c r="O42" i="96"/>
  <c r="P42" i="96"/>
  <c r="O43" i="96"/>
  <c r="P43" i="96"/>
  <c r="O44" i="96"/>
  <c r="P44" i="96"/>
  <c r="O45" i="96"/>
  <c r="P45" i="96"/>
  <c r="O46" i="96"/>
  <c r="P46" i="96"/>
  <c r="O47" i="96"/>
  <c r="P47" i="96"/>
  <c r="O48" i="96"/>
  <c r="P48" i="96"/>
  <c r="O49" i="96"/>
  <c r="P49" i="96"/>
  <c r="O50" i="96"/>
  <c r="P50" i="96"/>
  <c r="O51" i="96"/>
  <c r="P51" i="96"/>
  <c r="O52" i="96"/>
  <c r="P52" i="96"/>
  <c r="O53" i="96"/>
  <c r="P53" i="96"/>
  <c r="O54" i="96"/>
  <c r="P54" i="96"/>
  <c r="O55" i="96"/>
  <c r="P55" i="96"/>
  <c r="O56" i="96"/>
  <c r="P56" i="96"/>
  <c r="O57" i="96"/>
  <c r="P57" i="96"/>
  <c r="O58" i="96"/>
  <c r="P58" i="96"/>
  <c r="O59" i="96"/>
  <c r="P59" i="96"/>
  <c r="O60" i="96"/>
  <c r="P60" i="96"/>
  <c r="O61" i="96"/>
  <c r="P61" i="96"/>
  <c r="O62" i="96"/>
  <c r="P62" i="96"/>
  <c r="O63" i="96"/>
  <c r="P63" i="96"/>
  <c r="O64" i="96"/>
  <c r="P64" i="96"/>
  <c r="O65" i="96"/>
  <c r="P65" i="96"/>
  <c r="O66" i="96"/>
  <c r="P66" i="96"/>
  <c r="O67" i="96"/>
  <c r="P67" i="96"/>
  <c r="O68" i="96"/>
  <c r="P68" i="96"/>
  <c r="O69" i="96"/>
  <c r="P69" i="96"/>
  <c r="O70" i="96"/>
  <c r="P70" i="96"/>
  <c r="O71" i="96"/>
  <c r="P71" i="96"/>
  <c r="O72" i="96"/>
  <c r="P72" i="96"/>
  <c r="O73" i="96"/>
  <c r="P73" i="96"/>
  <c r="O74" i="96"/>
  <c r="P74" i="96"/>
  <c r="O75" i="96"/>
  <c r="P75" i="96"/>
  <c r="O76" i="96"/>
  <c r="P76" i="96"/>
  <c r="O77" i="96"/>
  <c r="P77" i="96"/>
  <c r="O78" i="96"/>
  <c r="P78" i="96"/>
  <c r="O79" i="96"/>
  <c r="P79" i="96"/>
  <c r="O80" i="96"/>
  <c r="P80" i="96"/>
  <c r="CA17" i="96" s="1"/>
  <c r="O81" i="96"/>
  <c r="P81" i="96"/>
  <c r="O82" i="96"/>
  <c r="P82" i="96"/>
  <c r="O83" i="96"/>
  <c r="P83" i="96"/>
  <c r="O84" i="96"/>
  <c r="P84" i="96"/>
  <c r="O85" i="96"/>
  <c r="P85" i="96"/>
  <c r="O86" i="96"/>
  <c r="P86" i="96"/>
  <c r="O87" i="96"/>
  <c r="P87" i="96"/>
  <c r="O88" i="96"/>
  <c r="P88" i="96"/>
  <c r="O89" i="96"/>
  <c r="P89" i="96"/>
  <c r="O90" i="96"/>
  <c r="P90" i="96"/>
  <c r="O91" i="96"/>
  <c r="P91" i="96"/>
  <c r="O92" i="96"/>
  <c r="P92" i="96"/>
  <c r="O93" i="96"/>
  <c r="P93" i="96"/>
  <c r="O94" i="96"/>
  <c r="P94" i="96"/>
  <c r="O95" i="96"/>
  <c r="P95" i="96"/>
  <c r="O96" i="96"/>
  <c r="P96" i="96"/>
  <c r="O97" i="96"/>
  <c r="P97" i="96"/>
  <c r="O98" i="96"/>
  <c r="P98" i="96"/>
  <c r="O99" i="96"/>
  <c r="P99" i="96"/>
  <c r="O100" i="96"/>
  <c r="P100" i="96"/>
  <c r="O101" i="96"/>
  <c r="P101" i="96"/>
  <c r="O102" i="96"/>
  <c r="P102" i="96"/>
  <c r="O103" i="96"/>
  <c r="P103" i="96"/>
  <c r="O104" i="96"/>
  <c r="P104" i="96"/>
  <c r="O105" i="96"/>
  <c r="P105" i="96"/>
  <c r="O106" i="96"/>
  <c r="P106" i="96"/>
  <c r="O107" i="96"/>
  <c r="P107" i="96"/>
  <c r="O108" i="96"/>
  <c r="P108" i="96"/>
  <c r="O109" i="96"/>
  <c r="P109" i="96"/>
  <c r="O110" i="96"/>
  <c r="P110" i="96"/>
  <c r="O111" i="96"/>
  <c r="P111" i="96"/>
  <c r="O112" i="96"/>
  <c r="P112" i="96"/>
  <c r="O113" i="96"/>
  <c r="P113" i="96"/>
  <c r="P13" i="96"/>
  <c r="O13" i="96"/>
  <c r="CA15" i="96" l="1"/>
  <c r="CV52" i="96" s="1"/>
  <c r="CF43" i="96" l="1"/>
  <c r="CS13" i="96"/>
  <c r="CL32" i="96"/>
  <c r="CI22" i="96"/>
  <c r="CV14" i="96"/>
  <c r="CR16" i="96"/>
  <c r="CW39" i="96"/>
  <c r="CJ17" i="96"/>
  <c r="CM44" i="96"/>
  <c r="CJ44" i="96"/>
  <c r="CD17" i="96"/>
  <c r="CO22" i="96"/>
  <c r="CL36" i="96"/>
  <c r="CP41" i="96"/>
  <c r="CO47" i="96"/>
  <c r="CW43" i="96"/>
  <c r="CN45" i="96"/>
  <c r="CF53" i="96"/>
  <c r="CE25" i="96"/>
  <c r="CT27" i="96"/>
  <c r="CO23" i="96"/>
  <c r="CH37" i="96"/>
  <c r="CM28" i="96"/>
  <c r="CU18" i="96"/>
  <c r="CW15" i="96"/>
  <c r="CW14" i="96"/>
  <c r="CQ38" i="96"/>
  <c r="CH16" i="96"/>
  <c r="CN19" i="96"/>
  <c r="CE44" i="96"/>
  <c r="CR20" i="96"/>
  <c r="CM41" i="96"/>
  <c r="CM30" i="96"/>
  <c r="CF29" i="96"/>
  <c r="CF44" i="96"/>
  <c r="CU33" i="96"/>
  <c r="CV28" i="96"/>
  <c r="CR14" i="96"/>
  <c r="CE27" i="96"/>
  <c r="CK13" i="96"/>
  <c r="CT17" i="96"/>
  <c r="CS43" i="96"/>
  <c r="CG34" i="96"/>
  <c r="CT44" i="96"/>
  <c r="CP29" i="96"/>
  <c r="CW48" i="96"/>
  <c r="CQ29" i="96"/>
  <c r="CH47" i="96"/>
  <c r="CS46" i="96"/>
  <c r="CN48" i="96"/>
  <c r="CT48" i="96"/>
  <c r="CV38" i="96"/>
  <c r="CQ16" i="96"/>
  <c r="CM23" i="96"/>
  <c r="CH36" i="96"/>
  <c r="CJ37" i="96"/>
  <c r="CR30" i="96"/>
  <c r="CV35" i="96"/>
  <c r="CU30" i="96"/>
  <c r="CL18" i="96"/>
  <c r="CF28" i="96"/>
  <c r="CV20" i="96"/>
  <c r="CK28" i="96"/>
  <c r="CW44" i="96"/>
  <c r="CQ21" i="96"/>
  <c r="CG14" i="96"/>
  <c r="CO30" i="96"/>
  <c r="CO13" i="96"/>
  <c r="CK24" i="96"/>
  <c r="CV29" i="96"/>
  <c r="CL31" i="96"/>
  <c r="CV30" i="96"/>
  <c r="CV31" i="96"/>
  <c r="CE50" i="96"/>
  <c r="CW26" i="96"/>
  <c r="CH19" i="96"/>
  <c r="CQ46" i="96"/>
  <c r="CT39" i="96"/>
  <c r="CD31" i="96"/>
  <c r="CQ24" i="96"/>
  <c r="CJ42" i="96"/>
  <c r="CK36" i="96"/>
  <c r="CI26" i="96"/>
  <c r="CF47" i="96"/>
  <c r="CW28" i="96"/>
  <c r="CT13" i="96"/>
  <c r="CR41" i="96"/>
  <c r="CJ19" i="96"/>
  <c r="CI43" i="96"/>
  <c r="CE20" i="96"/>
  <c r="CF30" i="96"/>
  <c r="CQ43" i="96"/>
  <c r="CE18" i="96"/>
  <c r="CM35" i="96"/>
  <c r="CF15" i="96"/>
  <c r="CK34" i="96"/>
  <c r="CT42" i="96"/>
  <c r="CN13" i="96"/>
  <c r="CT52" i="96"/>
  <c r="CE49" i="96"/>
  <c r="CM29" i="96"/>
  <c r="CP20" i="96"/>
  <c r="CR48" i="96"/>
  <c r="CG42" i="96"/>
  <c r="CJ32" i="96"/>
  <c r="CL14" i="96"/>
  <c r="CN43" i="96"/>
  <c r="CO37" i="96"/>
  <c r="CS28" i="96"/>
  <c r="CD29" i="96"/>
  <c r="CK27" i="96"/>
  <c r="CO46" i="96"/>
  <c r="CV40" i="96"/>
  <c r="CN18" i="96"/>
  <c r="CM42" i="96"/>
  <c r="CM18" i="96"/>
  <c r="CR27" i="96"/>
  <c r="CI41" i="96"/>
  <c r="CQ15" i="96"/>
  <c r="CG39" i="96"/>
  <c r="CD24" i="96"/>
  <c r="CI38" i="96"/>
  <c r="CP43" i="96"/>
  <c r="CH13" i="96"/>
  <c r="CH50" i="96"/>
  <c r="CF49" i="96"/>
  <c r="CG33" i="96"/>
  <c r="CD52" i="96"/>
  <c r="CV21" i="96"/>
  <c r="CT34" i="96"/>
  <c r="CG30" i="96"/>
  <c r="CO42" i="96"/>
  <c r="CU40" i="96"/>
  <c r="CU14" i="96"/>
  <c r="CN39" i="96"/>
  <c r="CH52" i="96"/>
  <c r="CS16" i="96"/>
  <c r="CV46" i="96"/>
  <c r="CW40" i="96"/>
  <c r="CL22" i="96"/>
  <c r="CK53" i="96"/>
  <c r="CQ34" i="96"/>
  <c r="CP25" i="96"/>
  <c r="CG18" i="96"/>
  <c r="CR46" i="96"/>
  <c r="CU39" i="96"/>
  <c r="CP19" i="96"/>
  <c r="CF13" i="96"/>
  <c r="CK42" i="96"/>
  <c r="CW33" i="96"/>
  <c r="CL27" i="96"/>
  <c r="CS21" i="96"/>
  <c r="CK39" i="96"/>
  <c r="CJ35" i="96"/>
  <c r="CT37" i="96"/>
  <c r="CQ37" i="96"/>
  <c r="CI15" i="96"/>
  <c r="CR23" i="96"/>
  <c r="CM36" i="96"/>
  <c r="CT23" i="96"/>
  <c r="CE45" i="96"/>
  <c r="CL30" i="96"/>
  <c r="CO48" i="96"/>
  <c r="CD39" i="96"/>
  <c r="CM13" i="96"/>
  <c r="CL50" i="96"/>
  <c r="CG49" i="96"/>
  <c r="CW31" i="96"/>
  <c r="CH43" i="96"/>
  <c r="CQ44" i="96"/>
  <c r="CD37" i="96"/>
  <c r="CN38" i="96"/>
  <c r="CF26" i="96"/>
  <c r="CK40" i="96"/>
  <c r="CV49" i="96"/>
  <c r="CL24" i="96"/>
  <c r="CL44" i="96"/>
  <c r="CL37" i="96"/>
  <c r="CH41" i="96"/>
  <c r="CM31" i="96"/>
  <c r="CK23" i="96"/>
  <c r="CV36" i="96"/>
  <c r="CE40" i="96"/>
  <c r="CU16" i="96"/>
  <c r="CE38" i="96"/>
  <c r="CH29" i="96"/>
  <c r="CK25" i="96"/>
  <c r="CD53" i="96"/>
  <c r="CD27" i="96"/>
  <c r="CS47" i="96"/>
  <c r="CE41" i="96"/>
  <c r="CH22" i="96"/>
  <c r="CU15" i="96"/>
  <c r="CO43" i="96"/>
  <c r="CO36" i="96"/>
  <c r="CT25" i="96"/>
  <c r="CG20" i="96"/>
  <c r="CG36" i="96"/>
  <c r="CN34" i="96"/>
  <c r="CP34" i="96"/>
  <c r="CU36" i="96"/>
  <c r="CM14" i="96"/>
  <c r="CV22" i="96"/>
  <c r="CU34" i="96"/>
  <c r="CT28" i="96"/>
  <c r="CN17" i="96"/>
  <c r="CJ34" i="96"/>
  <c r="CH15" i="96"/>
  <c r="CO17" i="96"/>
  <c r="CG45" i="96"/>
  <c r="CM51" i="96"/>
  <c r="CD51" i="96"/>
  <c r="CQ51" i="96"/>
  <c r="CI14" i="96"/>
  <c r="CF17" i="96"/>
  <c r="CW38" i="96"/>
  <c r="CG24" i="96"/>
  <c r="CF16" i="96"/>
  <c r="CQ17" i="96"/>
  <c r="CM40" i="96"/>
  <c r="CL25" i="96"/>
  <c r="CE31" i="96"/>
  <c r="CT24" i="96"/>
  <c r="CK33" i="96"/>
  <c r="CJ18" i="96"/>
  <c r="CT33" i="96"/>
  <c r="CJ15" i="96"/>
  <c r="CN24" i="96"/>
  <c r="CU43" i="96"/>
  <c r="CN47" i="96"/>
  <c r="CS44" i="96"/>
  <c r="CG37" i="96"/>
  <c r="CM19" i="96"/>
  <c r="CK38" i="96"/>
  <c r="CN29" i="96"/>
  <c r="CW21" i="96"/>
  <c r="CS48" i="96"/>
  <c r="CH42" i="96"/>
  <c r="CN23" i="96"/>
  <c r="CG17" i="96"/>
  <c r="CV45" i="96"/>
  <c r="CE39" i="96"/>
  <c r="CL23" i="96"/>
  <c r="CO18" i="96"/>
  <c r="CO34" i="96"/>
  <c r="CR33" i="96"/>
  <c r="CT29" i="96"/>
  <c r="CM34" i="96"/>
  <c r="CR43" i="96"/>
  <c r="CJ21" i="96"/>
  <c r="CE34" i="96"/>
  <c r="CH30" i="96"/>
  <c r="CT18" i="96"/>
  <c r="CP35" i="96"/>
  <c r="CP16" i="96"/>
  <c r="CT46" i="96"/>
  <c r="CV15" i="96"/>
  <c r="CU53" i="96"/>
  <c r="CT51" i="96"/>
  <c r="CP39" i="96"/>
  <c r="CD32" i="96"/>
  <c r="CG23" i="96"/>
  <c r="CJ14" i="96"/>
  <c r="CO44" i="96"/>
  <c r="CR24" i="96"/>
  <c r="CK18" i="96"/>
  <c r="CW46" i="96"/>
  <c r="CI40" i="96"/>
  <c r="CP18" i="96"/>
  <c r="CG16" i="96"/>
  <c r="CS29" i="96"/>
  <c r="CF32" i="96"/>
  <c r="CP26" i="96"/>
  <c r="CU32" i="96"/>
  <c r="CV42" i="96"/>
  <c r="CN20" i="96"/>
  <c r="CI33" i="96"/>
  <c r="CD34" i="96"/>
  <c r="CR22" i="96"/>
  <c r="CD44" i="96"/>
  <c r="CL20" i="96"/>
  <c r="CW18" i="96"/>
  <c r="CI46" i="96"/>
  <c r="CQ49" i="96"/>
  <c r="CH49" i="96"/>
  <c r="CW41" i="96"/>
  <c r="CR34" i="96"/>
  <c r="CO24" i="96"/>
  <c r="CT16" i="96"/>
  <c r="CP45" i="96"/>
  <c r="CH27" i="96"/>
  <c r="CE21" i="96"/>
  <c r="CW47" i="96"/>
  <c r="CL41" i="96"/>
  <c r="CP14" i="96"/>
  <c r="CO14" i="96"/>
  <c r="CG28" i="96"/>
  <c r="CJ31" i="96"/>
  <c r="CH24" i="96"/>
  <c r="CI31" i="96"/>
  <c r="CN40" i="96"/>
  <c r="CF18" i="96"/>
  <c r="CQ31" i="96"/>
  <c r="CP36" i="96"/>
  <c r="CV23" i="96"/>
  <c r="CH45" i="96"/>
  <c r="CP21" i="96"/>
  <c r="CW34" i="96"/>
  <c r="CG27" i="96"/>
  <c r="CJ52" i="96"/>
  <c r="CD50" i="96"/>
  <c r="CI34" i="96"/>
  <c r="CN50" i="96"/>
  <c r="CW17" i="96"/>
  <c r="CP46" i="96"/>
  <c r="CS39" i="96"/>
  <c r="CO29" i="96"/>
  <c r="CD22" i="96"/>
  <c r="CK14" i="96"/>
  <c r="CP33" i="96"/>
  <c r="CG26" i="96"/>
  <c r="CQ18" i="96"/>
  <c r="CD46" i="96"/>
  <c r="CS41" i="96"/>
  <c r="CH28" i="96"/>
  <c r="CF48" i="96"/>
  <c r="CR25" i="96"/>
  <c r="CW16" i="96"/>
  <c r="CE28" i="96"/>
  <c r="CN36" i="96"/>
  <c r="CJ13" i="96"/>
  <c r="CQ27" i="96"/>
  <c r="CS18" i="96"/>
  <c r="CD38" i="96"/>
  <c r="CU17" i="96"/>
  <c r="CT35" i="96"/>
  <c r="CD30" i="96"/>
  <c r="CK41" i="96"/>
  <c r="CO51" i="96"/>
  <c r="CR52" i="96"/>
  <c r="CG19" i="96"/>
  <c r="CQ48" i="96"/>
  <c r="CT40" i="96"/>
  <c r="CI32" i="96"/>
  <c r="CP24" i="96"/>
  <c r="CS15" i="96"/>
  <c r="CD35" i="96"/>
  <c r="CM27" i="96"/>
  <c r="CU19" i="96"/>
  <c r="CH48" i="96"/>
  <c r="CO38" i="96"/>
  <c r="CD25" i="96"/>
  <c r="CJ47" i="96"/>
  <c r="CF24" i="96"/>
  <c r="CR13" i="96"/>
  <c r="CI27" i="96"/>
  <c r="CR35" i="96"/>
  <c r="CQ47" i="96"/>
  <c r="CQ23" i="96"/>
  <c r="CW19" i="96"/>
  <c r="CH39" i="96"/>
  <c r="CE19" i="96"/>
  <c r="CF37" i="96"/>
  <c r="CS36" i="96"/>
  <c r="CT19" i="96"/>
  <c r="CW53" i="96"/>
  <c r="CN53" i="96"/>
  <c r="CU50" i="96"/>
  <c r="CU21" i="96"/>
  <c r="CH14" i="96"/>
  <c r="CD42" i="96"/>
  <c r="CS34" i="96"/>
  <c r="CV25" i="96"/>
  <c r="CI18" i="96"/>
  <c r="CN37" i="96"/>
  <c r="CQ28" i="96"/>
  <c r="CG21" i="96"/>
  <c r="CI13" i="96"/>
  <c r="CK35" i="96"/>
  <c r="CT21" i="96"/>
  <c r="CN46" i="96"/>
  <c r="CN22" i="96"/>
  <c r="CI47" i="96"/>
  <c r="CU24" i="96"/>
  <c r="CF34" i="96"/>
  <c r="CU46" i="96"/>
  <c r="CE22" i="96"/>
  <c r="CU23" i="96"/>
  <c r="CS42" i="96"/>
  <c r="CW27" i="96"/>
  <c r="CR40" i="96"/>
  <c r="CK30" i="96"/>
  <c r="CD13" i="96"/>
  <c r="CS49" i="96"/>
  <c r="CV50" i="96"/>
  <c r="CE23" i="96"/>
  <c r="CN15" i="96"/>
  <c r="CK44" i="96"/>
  <c r="CK37" i="96"/>
  <c r="CF27" i="96"/>
  <c r="CS20" i="96"/>
  <c r="CT38" i="96"/>
  <c r="CG31" i="96"/>
  <c r="CS23" i="96"/>
  <c r="CJ26" i="96"/>
  <c r="CS33" i="96"/>
  <c r="CL19" i="96"/>
  <c r="CV44" i="96"/>
  <c r="CR21" i="96"/>
  <c r="CQ45" i="96"/>
  <c r="CE24" i="96"/>
  <c r="CJ33" i="96"/>
  <c r="CE46" i="96"/>
  <c r="CI21" i="96"/>
  <c r="CG25" i="96"/>
  <c r="CV43" i="96"/>
  <c r="CK29" i="96"/>
  <c r="CV41" i="96"/>
  <c r="CM37" i="96"/>
  <c r="CG51" i="96"/>
  <c r="CP50" i="96"/>
  <c r="CW51" i="96"/>
  <c r="CF52" i="96"/>
  <c r="CJ50" i="96"/>
  <c r="CK51" i="96"/>
  <c r="CU49" i="96"/>
  <c r="CT14" i="96"/>
  <c r="CN49" i="96"/>
  <c r="CV51" i="96"/>
  <c r="CS50" i="96"/>
  <c r="CI53" i="96"/>
  <c r="CR49" i="96"/>
  <c r="CP49" i="96"/>
  <c r="CH51" i="96"/>
  <c r="CO40" i="96"/>
  <c r="CS38" i="96"/>
  <c r="CL48" i="96"/>
  <c r="CF41" i="96"/>
  <c r="CS22" i="96"/>
  <c r="CL34" i="96"/>
  <c r="CD14" i="96"/>
  <c r="CU31" i="96"/>
  <c r="CM47" i="96"/>
  <c r="CV27" i="96"/>
  <c r="CO41" i="96"/>
  <c r="CL21" i="96"/>
  <c r="CW37" i="96"/>
  <c r="CM17" i="96"/>
  <c r="CP27" i="96"/>
  <c r="CQ19" i="96"/>
  <c r="CM32" i="96"/>
  <c r="CI45" i="96"/>
  <c r="CF22" i="96"/>
  <c r="CV34" i="96"/>
  <c r="CE16" i="96"/>
  <c r="CU28" i="96"/>
  <c r="CQ41" i="96"/>
  <c r="CH20" i="96"/>
  <c r="CF20" i="96"/>
  <c r="CV32" i="96"/>
  <c r="CR45" i="96"/>
  <c r="CS37" i="96"/>
  <c r="CD33" i="96"/>
  <c r="CG32" i="96"/>
  <c r="CP30" i="96"/>
  <c r="CP42" i="96"/>
  <c r="CK22" i="96"/>
  <c r="CD40" i="96"/>
  <c r="CS19" i="96"/>
  <c r="CJ36" i="96"/>
  <c r="CT15" i="96"/>
  <c r="CL43" i="96"/>
  <c r="CH23" i="96"/>
  <c r="CD41" i="96"/>
  <c r="CQ20" i="96"/>
  <c r="CL38" i="96"/>
  <c r="CD18" i="96"/>
  <c r="CU35" i="96"/>
  <c r="CM15" i="96"/>
  <c r="CR53" i="96"/>
  <c r="CF51" i="96"/>
  <c r="CW49" i="96"/>
  <c r="CM52" i="96"/>
  <c r="CV53" i="96"/>
  <c r="CT53" i="96"/>
  <c r="CS52" i="96"/>
  <c r="CV33" i="96"/>
  <c r="CS31" i="96"/>
  <c r="CM43" i="96"/>
  <c r="CN27" i="96"/>
  <c r="CK48" i="96"/>
  <c r="CH33" i="96"/>
  <c r="CP13" i="96"/>
  <c r="CQ30" i="96"/>
  <c r="CJ46" i="96"/>
  <c r="CR26" i="96"/>
  <c r="CL40" i="96"/>
  <c r="CD20" i="96"/>
  <c r="CQ36" i="96"/>
  <c r="CI16" i="96"/>
  <c r="CF25" i="96"/>
  <c r="CM20" i="96"/>
  <c r="CM49" i="96"/>
  <c r="CI49" i="96"/>
  <c r="CO52" i="96"/>
  <c r="CT49" i="96"/>
  <c r="CN51" i="96"/>
  <c r="CL51" i="96"/>
  <c r="CD48" i="96"/>
  <c r="CO33" i="96"/>
  <c r="CP44" i="96"/>
  <c r="CJ22" i="96"/>
  <c r="CH40" i="96"/>
  <c r="CU29" i="96"/>
  <c r="CL29" i="96"/>
  <c r="CK46" i="96"/>
  <c r="CS26" i="96"/>
  <c r="CW42" i="96"/>
  <c r="CT22" i="96"/>
  <c r="CR36" i="96"/>
  <c r="CJ16" i="96"/>
  <c r="CS32" i="96"/>
  <c r="CF46" i="96"/>
  <c r="CH21" i="96"/>
  <c r="CU22" i="96"/>
  <c r="CQ35" i="96"/>
  <c r="CM48" i="96"/>
  <c r="CJ25" i="96"/>
  <c r="CF38" i="96"/>
  <c r="CI19" i="96"/>
  <c r="CE32" i="96"/>
  <c r="CU44" i="96"/>
  <c r="CH32" i="96"/>
  <c r="CJ23" i="96"/>
  <c r="CF36" i="96"/>
  <c r="CV48" i="96"/>
  <c r="CG44" i="96"/>
  <c r="CS17" i="96"/>
  <c r="CG40" i="96"/>
  <c r="CI48" i="96"/>
  <c r="CU37" i="96"/>
  <c r="CK17" i="96"/>
  <c r="CE35" i="96"/>
  <c r="CQ14" i="96"/>
  <c r="CF31" i="96"/>
  <c r="CG22" i="96"/>
  <c r="CR38" i="96"/>
  <c r="CH18" i="96"/>
  <c r="CW35" i="96"/>
  <c r="CO15" i="96"/>
  <c r="CL33" i="96"/>
  <c r="CU13" i="96"/>
  <c r="CS30" i="96"/>
  <c r="CE52" i="96"/>
  <c r="CM53" i="96"/>
  <c r="CS51" i="96"/>
  <c r="CD49" i="96"/>
  <c r="CI51" i="96"/>
  <c r="CK50" i="96"/>
  <c r="CI36" i="96"/>
  <c r="CQ26" i="96"/>
  <c r="CG38" i="96"/>
  <c r="CL42" i="96"/>
  <c r="CH17" i="96"/>
  <c r="CM21" i="96"/>
  <c r="CD28" i="96"/>
  <c r="CK45" i="96"/>
  <c r="CM25" i="96"/>
  <c r="CT41" i="96"/>
  <c r="CN21" i="96"/>
  <c r="CN35" i="96"/>
  <c r="CD15" i="96"/>
  <c r="CO31" i="96"/>
  <c r="CT43" i="96"/>
  <c r="CV19" i="96"/>
  <c r="CW50" i="96"/>
  <c r="CQ52" i="96"/>
  <c r="CJ51" i="96"/>
  <c r="CH53" i="96"/>
  <c r="CR50" i="96"/>
  <c r="CO49" i="96"/>
  <c r="CF21" i="96"/>
  <c r="CV39" i="96"/>
  <c r="CH31" i="96"/>
  <c r="CG29" i="96"/>
  <c r="CW45" i="96"/>
  <c r="CL46" i="96"/>
  <c r="CT26" i="96"/>
  <c r="CH44" i="96"/>
  <c r="CI24" i="96"/>
  <c r="CP40" i="96"/>
  <c r="CJ20" i="96"/>
  <c r="CH34" i="96"/>
  <c r="CL13" i="96"/>
  <c r="CI30" i="96"/>
  <c r="CQ42" i="96"/>
  <c r="CR18" i="96"/>
  <c r="CM24" i="96"/>
  <c r="CI37" i="96"/>
  <c r="CF14" i="96"/>
  <c r="CV26" i="96"/>
  <c r="CR39" i="96"/>
  <c r="CU20" i="96"/>
  <c r="CQ33" i="96"/>
  <c r="CM46" i="96"/>
  <c r="CL35" i="96"/>
  <c r="CV24" i="96"/>
  <c r="CR37" i="96"/>
  <c r="CK15" i="96"/>
  <c r="CG48" i="96"/>
  <c r="CK19" i="96"/>
  <c r="CK43" i="96"/>
  <c r="CD45" i="96"/>
  <c r="CG35" i="96"/>
  <c r="CS14" i="96"/>
  <c r="CO32" i="96"/>
  <c r="CV47" i="96"/>
  <c r="CP28" i="96"/>
  <c r="CO19" i="96"/>
  <c r="CD36" i="96"/>
  <c r="CP15" i="96"/>
  <c r="CM33" i="96"/>
  <c r="CV13" i="96"/>
  <c r="CT30" i="96"/>
  <c r="CP47" i="96"/>
  <c r="CI28" i="96"/>
  <c r="CG50" i="96"/>
  <c r="CU51" i="96"/>
  <c r="CI50" i="96"/>
  <c r="CL52" i="96"/>
  <c r="CN52" i="96"/>
  <c r="CS53" i="96"/>
  <c r="CI42" i="96"/>
  <c r="CH26" i="96"/>
  <c r="CW23" i="96"/>
  <c r="CU47" i="96"/>
  <c r="CK16" i="96"/>
  <c r="CL45" i="96"/>
  <c r="CN25" i="96"/>
  <c r="CD43" i="96"/>
  <c r="CW22" i="96"/>
  <c r="CM39" i="96"/>
  <c r="CD19" i="96"/>
  <c r="CT32" i="96"/>
  <c r="CJ48" i="96"/>
  <c r="CE29" i="96"/>
  <c r="CJ40" i="96"/>
  <c r="CL17" i="96"/>
  <c r="CI25" i="96"/>
  <c r="CK49" i="96"/>
  <c r="CE51" i="96"/>
  <c r="CQ53" i="96"/>
  <c r="CP51" i="96"/>
  <c r="CQ50" i="96"/>
  <c r="CW52" i="96"/>
  <c r="CI20" i="96"/>
  <c r="CQ13" i="96"/>
  <c r="CE33" i="96"/>
  <c r="CO35" i="96"/>
  <c r="CT45" i="96"/>
  <c r="CI44" i="96"/>
  <c r="CJ24" i="96"/>
  <c r="CU41" i="96"/>
  <c r="CO21" i="96"/>
  <c r="CH38" i="96"/>
  <c r="CP17" i="96"/>
  <c r="CP31" i="96"/>
  <c r="CG47" i="96"/>
  <c r="CS27" i="96"/>
  <c r="CF39" i="96"/>
  <c r="CD16" i="96"/>
  <c r="CE26" i="96"/>
  <c r="CU38" i="96"/>
  <c r="CR15" i="96"/>
  <c r="CN28" i="96"/>
  <c r="CJ41" i="96"/>
  <c r="CM22" i="96"/>
  <c r="CI35" i="96"/>
  <c r="CE48" i="96"/>
  <c r="CP38" i="96"/>
  <c r="CN26" i="96"/>
  <c r="CJ39" i="96"/>
  <c r="CW24" i="96"/>
  <c r="CL15" i="96"/>
  <c r="CW20" i="96"/>
  <c r="CK47" i="96"/>
  <c r="CH35" i="96"/>
  <c r="CQ32" i="96"/>
  <c r="CG13" i="96"/>
  <c r="CW29" i="96"/>
  <c r="CU45" i="96"/>
  <c r="CD26" i="96"/>
  <c r="CE17" i="96"/>
  <c r="CN33" i="96"/>
  <c r="CW13" i="96"/>
  <c r="CW30" i="96"/>
  <c r="CR47" i="96"/>
  <c r="CJ28" i="96"/>
  <c r="CM45" i="96"/>
  <c r="CO25" i="96"/>
  <c r="CO53" i="96"/>
  <c r="CT50" i="96"/>
  <c r="CU52" i="96"/>
  <c r="CO50" i="96"/>
  <c r="CM50" i="96"/>
  <c r="CG52" i="96"/>
  <c r="CF35" i="96"/>
  <c r="CL39" i="96"/>
  <c r="CP32" i="96"/>
  <c r="CR28" i="96"/>
  <c r="CW25" i="96"/>
  <c r="CE43" i="96"/>
  <c r="CD23" i="96"/>
  <c r="CQ40" i="96"/>
  <c r="CK20" i="96"/>
  <c r="CT36" i="96"/>
  <c r="CL16" i="96"/>
  <c r="CJ30" i="96"/>
  <c r="CG46" i="96"/>
  <c r="CK26" i="96"/>
  <c r="CV37" i="96"/>
  <c r="CE14" i="96"/>
  <c r="CU26" i="96"/>
  <c r="CQ39" i="96"/>
  <c r="CN16" i="96"/>
  <c r="CJ29" i="96"/>
  <c r="CF42" i="96"/>
  <c r="CI23" i="96"/>
  <c r="CE36" i="96"/>
  <c r="CU48" i="96"/>
  <c r="CN14" i="96"/>
  <c r="CJ27" i="96"/>
  <c r="CF40" i="96"/>
  <c r="CO26" i="96"/>
  <c r="CF50" i="96"/>
  <c r="CL53" i="96"/>
  <c r="CJ53" i="96"/>
  <c r="CG53" i="96"/>
  <c r="CE53" i="96"/>
  <c r="CL49" i="96"/>
  <c r="CU27" i="96"/>
  <c r="CK32" i="96"/>
  <c r="CP23" i="96"/>
  <c r="CO28" i="96"/>
  <c r="CE13" i="96"/>
  <c r="CO39" i="96"/>
  <c r="CF19" i="96"/>
  <c r="CE37" i="96"/>
  <c r="CO16" i="96"/>
  <c r="CF33" i="96"/>
  <c r="CH46" i="96"/>
  <c r="CL26" i="96"/>
  <c r="CR42" i="96"/>
  <c r="CQ22" i="96"/>
  <c r="CR32" i="96"/>
  <c r="CM16" i="96"/>
  <c r="CI29" i="96"/>
  <c r="CE42" i="96"/>
  <c r="CV18" i="96"/>
  <c r="CR31" i="96"/>
  <c r="CN44" i="96"/>
  <c r="CQ25" i="96"/>
  <c r="CM38" i="96"/>
  <c r="CW36" i="96"/>
  <c r="CV16" i="96"/>
  <c r="CR29" i="96"/>
  <c r="CN42" i="96"/>
  <c r="CK31" i="96"/>
  <c r="CP22" i="96"/>
  <c r="CS25" i="96"/>
  <c r="CD21" i="96"/>
  <c r="CE47" i="96"/>
  <c r="CO27" i="96"/>
  <c r="CR44" i="96"/>
  <c r="CS24" i="96"/>
  <c r="CG41" i="96"/>
  <c r="CT20" i="96"/>
  <c r="CT47" i="96"/>
  <c r="CL28" i="96"/>
  <c r="CO45" i="96"/>
  <c r="CU25" i="96"/>
  <c r="CG43" i="96"/>
  <c r="CF23" i="96"/>
  <c r="CS40" i="96"/>
  <c r="CO20" i="96"/>
  <c r="CJ49" i="96"/>
  <c r="CP52" i="96"/>
  <c r="CR51" i="96"/>
  <c r="CK52" i="96"/>
  <c r="CI52" i="96"/>
  <c r="CP53" i="96"/>
  <c r="CD47" i="96"/>
  <c r="CE15" i="96"/>
  <c r="CP48" i="96"/>
  <c r="CL47" i="96"/>
  <c r="CP37" i="96"/>
  <c r="CJ38" i="96"/>
  <c r="CV17" i="96"/>
  <c r="CS35" i="96"/>
  <c r="CG15" i="96"/>
  <c r="CT31" i="96"/>
  <c r="CF45" i="96"/>
  <c r="CH25" i="96"/>
  <c r="CN41" i="96"/>
  <c r="CK21" i="96"/>
  <c r="CN31" i="96"/>
  <c r="CI17" i="96"/>
  <c r="CE30" i="96"/>
  <c r="CU42" i="96"/>
  <c r="CR19" i="96"/>
  <c r="CN32" i="96"/>
  <c r="CJ45" i="96"/>
  <c r="CM26" i="96"/>
  <c r="CI39" i="96"/>
  <c r="CS45" i="96"/>
  <c r="CR17" i="96"/>
  <c r="CN30" i="96"/>
  <c r="CJ43" i="96"/>
  <c r="CW32" i="96"/>
  <c r="P5" i="99"/>
  <c r="X54" i="103" l="1"/>
  <c r="Z54" i="103" s="1"/>
  <c r="R54" i="103"/>
  <c r="J30" i="156" s="1"/>
  <c r="N57" i="103"/>
  <c r="M57" i="103"/>
  <c r="BC11" i="138" s="1"/>
  <c r="E57" i="103"/>
  <c r="F57" i="103"/>
  <c r="I5" i="19" l="1"/>
  <c r="W54" i="103"/>
  <c r="Y54" i="103" s="1"/>
  <c r="V54" i="103"/>
  <c r="AQ41" i="138" l="1"/>
  <c r="B20" i="17"/>
  <c r="BA31" i="138"/>
  <c r="T31" i="138" s="1"/>
  <c r="AK5" i="138"/>
  <c r="F14" i="98"/>
  <c r="J9" i="99" s="1"/>
  <c r="F13" i="98"/>
  <c r="E14" i="98"/>
  <c r="I9" i="99" s="1"/>
  <c r="E13" i="98"/>
  <c r="V31" i="138" l="1"/>
  <c r="E22" i="17"/>
  <c r="BI31" i="138"/>
  <c r="BJ31" i="138" s="1"/>
  <c r="BK31" i="138" s="1"/>
  <c r="B22" i="17"/>
  <c r="BA20" i="138"/>
  <c r="J7" i="99"/>
  <c r="I7" i="99"/>
  <c r="H14" i="98"/>
  <c r="Q7" i="99"/>
  <c r="R7" i="99"/>
  <c r="R9" i="99"/>
  <c r="R6" i="99"/>
  <c r="R5" i="99"/>
  <c r="Q9" i="99"/>
  <c r="Q6" i="99"/>
  <c r="Q5" i="99"/>
  <c r="I7" i="98"/>
  <c r="Y31" i="138" l="1"/>
  <c r="BA32" i="138"/>
  <c r="S31" i="138"/>
  <c r="AB31" i="138" s="1"/>
  <c r="U31" i="138"/>
  <c r="AC31" i="138" s="1"/>
  <c r="BH31" i="138"/>
  <c r="Q31" i="138"/>
  <c r="I8" i="98"/>
  <c r="O2" i="99"/>
  <c r="M18" i="99" s="1"/>
  <c r="J7" i="98"/>
  <c r="J8" i="98" s="1"/>
  <c r="V32" i="138" l="1"/>
  <c r="BH32" i="138" s="1"/>
  <c r="BI32" i="138"/>
  <c r="BJ32" i="138" s="1"/>
  <c r="BK32" i="138" s="1"/>
  <c r="BB31" i="138"/>
  <c r="BC31" i="138"/>
  <c r="U13" i="98"/>
  <c r="U12" i="98"/>
  <c r="V12" i="98"/>
  <c r="V13" i="98"/>
  <c r="V18" i="98"/>
  <c r="V11" i="98"/>
  <c r="U18" i="98"/>
  <c r="U11" i="98"/>
  <c r="M17" i="99"/>
  <c r="K7" i="98"/>
  <c r="K8" i="98" s="1"/>
  <c r="W18" i="98" l="1"/>
  <c r="W13" i="98"/>
  <c r="W12" i="98"/>
  <c r="I36" i="115"/>
  <c r="U3" i="99"/>
  <c r="X3" i="99"/>
  <c r="T3" i="99" l="1"/>
  <c r="H44" i="98"/>
  <c r="G45" i="98" s="1"/>
  <c r="AE44" i="98"/>
  <c r="AD44" i="98"/>
  <c r="AE45" i="98" l="1"/>
  <c r="AD45" i="98" s="1"/>
  <c r="F45" i="98"/>
  <c r="H33" i="117"/>
  <c r="H34" i="117" l="1"/>
  <c r="C35" i="117" l="1"/>
  <c r="I35" i="117"/>
  <c r="I39" i="115"/>
  <c r="J28" i="115"/>
  <c r="J30" i="115" s="1"/>
  <c r="F14" i="19"/>
  <c r="I30" i="115" l="1"/>
  <c r="L33" i="115"/>
  <c r="K33" i="115"/>
  <c r="J31" i="115"/>
  <c r="I32" i="115" s="1"/>
  <c r="J36" i="115"/>
  <c r="O5" i="98" l="1"/>
  <c r="AE33" i="98"/>
  <c r="U51" i="103" l="1"/>
  <c r="U33" i="103"/>
  <c r="U32" i="103"/>
  <c r="J32" i="115" l="1"/>
  <c r="J37" i="115" s="1"/>
  <c r="G16" i="74" l="1"/>
  <c r="AG7" i="19" l="1"/>
  <c r="AG8" i="19"/>
  <c r="F60" i="98" l="1"/>
  <c r="R20" i="98"/>
  <c r="N28" i="98"/>
  <c r="N26" i="98" s="1"/>
  <c r="N27" i="98"/>
  <c r="N24" i="98" s="1"/>
  <c r="AE34" i="98" l="1"/>
  <c r="AF12" i="98"/>
  <c r="AG12" i="98" s="1"/>
  <c r="B6" i="98"/>
  <c r="AE5" i="98" l="1"/>
  <c r="C6" i="126" l="1"/>
  <c r="D10" i="98"/>
  <c r="D16" i="98" s="1"/>
  <c r="P17" i="98"/>
  <c r="H2" i="99"/>
  <c r="I2" i="99" s="1"/>
  <c r="J2" i="99" s="1"/>
  <c r="AH34" i="98"/>
  <c r="AH36" i="98"/>
  <c r="I10" i="98" l="1"/>
  <c r="J10" i="98"/>
  <c r="K10" i="98"/>
  <c r="B18" i="99"/>
  <c r="AH35" i="98"/>
  <c r="P11" i="99" l="1"/>
  <c r="U14" i="99"/>
  <c r="U11" i="99"/>
  <c r="Y11" i="99"/>
  <c r="F16" i="105" l="1"/>
  <c r="F18" i="105" s="1"/>
  <c r="E17" i="105"/>
  <c r="E16" i="105"/>
  <c r="J19" i="105"/>
  <c r="N16" i="105"/>
  <c r="N4" i="105"/>
  <c r="J23" i="105"/>
  <c r="N10" i="105"/>
  <c r="N24" i="105"/>
  <c r="N27" i="105"/>
  <c r="M31" i="105"/>
  <c r="M32" i="105" s="1"/>
  <c r="M33" i="105" s="1"/>
  <c r="M34" i="105" s="1"/>
  <c r="M35" i="105" s="1"/>
  <c r="M36" i="105" s="1"/>
  <c r="M37" i="105" s="1"/>
  <c r="M38" i="105" s="1"/>
  <c r="M39" i="105" s="1"/>
  <c r="M40" i="105" s="1"/>
  <c r="M41" i="105" s="1"/>
  <c r="M42" i="105" s="1"/>
  <c r="M43" i="105" s="1"/>
  <c r="M44" i="105" s="1"/>
  <c r="M45" i="105" s="1"/>
  <c r="M46" i="105" s="1"/>
  <c r="M47" i="105" s="1"/>
  <c r="M48" i="105" s="1"/>
  <c r="M49" i="105" s="1"/>
  <c r="M50" i="105" s="1"/>
  <c r="M51" i="105" s="1"/>
  <c r="M52" i="105" s="1"/>
  <c r="M53" i="105" s="1"/>
  <c r="C22" i="105"/>
  <c r="C16" i="105"/>
  <c r="J11" i="105"/>
  <c r="J10" i="105"/>
  <c r="N11" i="105"/>
  <c r="C12" i="105"/>
  <c r="C21" i="105"/>
  <c r="E22" i="105"/>
  <c r="F21" i="105"/>
  <c r="F22" i="105" s="1"/>
  <c r="F12" i="105"/>
  <c r="F13" i="105" s="1"/>
  <c r="E12" i="105"/>
  <c r="E13" i="105" s="1"/>
  <c r="N15" i="17"/>
  <c r="N5" i="105" l="1"/>
  <c r="N18" i="105"/>
  <c r="N17" i="105"/>
  <c r="N6" i="105"/>
  <c r="N30" i="105"/>
  <c r="J9" i="105"/>
  <c r="N53" i="105"/>
  <c r="N29" i="105"/>
  <c r="N37" i="105"/>
  <c r="N51" i="105"/>
  <c r="N39" i="105"/>
  <c r="N38" i="105"/>
  <c r="N35" i="105"/>
  <c r="N45" i="105"/>
  <c r="N43" i="105"/>
  <c r="N31" i="105"/>
  <c r="N47" i="105"/>
  <c r="N46" i="105"/>
  <c r="N33" i="105"/>
  <c r="M54" i="105"/>
  <c r="N42" i="105"/>
  <c r="N49" i="105"/>
  <c r="N36" i="105"/>
  <c r="N32" i="105"/>
  <c r="N41" i="105"/>
  <c r="N50" i="105"/>
  <c r="N48" i="105"/>
  <c r="N34" i="105"/>
  <c r="N44" i="105"/>
  <c r="N52" i="105"/>
  <c r="N40" i="105"/>
  <c r="E14" i="105"/>
  <c r="F23" i="105"/>
  <c r="H13" i="98"/>
  <c r="O7" i="99" s="1"/>
  <c r="F56" i="103"/>
  <c r="E56" i="103"/>
  <c r="F55" i="103"/>
  <c r="E55" i="103"/>
  <c r="F54" i="103"/>
  <c r="E54" i="103"/>
  <c r="X53" i="103"/>
  <c r="Z53" i="103" s="1"/>
  <c r="W53" i="103"/>
  <c r="F53" i="103"/>
  <c r="E53" i="103"/>
  <c r="X52" i="103"/>
  <c r="Z52" i="103" s="1"/>
  <c r="W52" i="103"/>
  <c r="Y52" i="103" s="1"/>
  <c r="F52" i="103"/>
  <c r="E52" i="103"/>
  <c r="X51" i="103"/>
  <c r="Z51" i="103" s="1"/>
  <c r="W51" i="103"/>
  <c r="Y51" i="103" s="1"/>
  <c r="F51" i="103"/>
  <c r="E51" i="103"/>
  <c r="X50" i="103"/>
  <c r="Z50" i="103" s="1"/>
  <c r="W50" i="103"/>
  <c r="Y50" i="103" s="1"/>
  <c r="F50" i="103"/>
  <c r="E50" i="103"/>
  <c r="X49" i="103"/>
  <c r="Z49" i="103" s="1"/>
  <c r="W49" i="103"/>
  <c r="Y49" i="103" s="1"/>
  <c r="F49" i="103"/>
  <c r="E49" i="103"/>
  <c r="X48" i="103"/>
  <c r="Z48" i="103" s="1"/>
  <c r="W48" i="103"/>
  <c r="Y48" i="103" s="1"/>
  <c r="F48" i="103"/>
  <c r="E48" i="103"/>
  <c r="X47" i="103"/>
  <c r="Z47" i="103" s="1"/>
  <c r="W47" i="103"/>
  <c r="Y47" i="103" s="1"/>
  <c r="F47" i="103"/>
  <c r="E47" i="103"/>
  <c r="X46" i="103"/>
  <c r="Z46" i="103" s="1"/>
  <c r="W46" i="103"/>
  <c r="Y46" i="103" s="1"/>
  <c r="F46" i="103"/>
  <c r="E46" i="103"/>
  <c r="X45" i="103"/>
  <c r="Z45" i="103" s="1"/>
  <c r="W45" i="103"/>
  <c r="Y45" i="103" s="1"/>
  <c r="F45" i="103"/>
  <c r="E45" i="103"/>
  <c r="X44" i="103"/>
  <c r="Z44" i="103" s="1"/>
  <c r="W44" i="103"/>
  <c r="Y44" i="103" s="1"/>
  <c r="F44" i="103"/>
  <c r="E44" i="103"/>
  <c r="X43" i="103"/>
  <c r="Z43" i="103" s="1"/>
  <c r="W43" i="103"/>
  <c r="Y43" i="103" s="1"/>
  <c r="F43" i="103"/>
  <c r="E43" i="103"/>
  <c r="X42" i="103"/>
  <c r="Z42" i="103" s="1"/>
  <c r="W42" i="103"/>
  <c r="Y42" i="103" s="1"/>
  <c r="F42" i="103"/>
  <c r="E42" i="103"/>
  <c r="X41" i="103"/>
  <c r="Z41" i="103" s="1"/>
  <c r="W41" i="103"/>
  <c r="Y41" i="103" s="1"/>
  <c r="F41" i="103"/>
  <c r="E41" i="103"/>
  <c r="X40" i="103"/>
  <c r="Z40" i="103" s="1"/>
  <c r="W40" i="103"/>
  <c r="Y40" i="103" s="1"/>
  <c r="F40" i="103"/>
  <c r="E40" i="103"/>
  <c r="X39" i="103"/>
  <c r="Z39" i="103" s="1"/>
  <c r="W39" i="103"/>
  <c r="Y39" i="103" s="1"/>
  <c r="F39" i="103"/>
  <c r="E39" i="103"/>
  <c r="X38" i="103"/>
  <c r="Z38" i="103" s="1"/>
  <c r="W38" i="103"/>
  <c r="Y38" i="103" s="1"/>
  <c r="F38" i="103"/>
  <c r="E38" i="103"/>
  <c r="X37" i="103"/>
  <c r="Z37" i="103" s="1"/>
  <c r="W37" i="103"/>
  <c r="Y37" i="103" s="1"/>
  <c r="F37" i="103"/>
  <c r="E37" i="103"/>
  <c r="X36" i="103"/>
  <c r="Z36" i="103" s="1"/>
  <c r="W36" i="103"/>
  <c r="Y36" i="103" s="1"/>
  <c r="F36" i="103"/>
  <c r="E36" i="103"/>
  <c r="X35" i="103"/>
  <c r="Z35" i="103" s="1"/>
  <c r="W35" i="103"/>
  <c r="Y35" i="103" s="1"/>
  <c r="F35" i="103"/>
  <c r="E35" i="103"/>
  <c r="X34" i="103"/>
  <c r="Z34" i="103" s="1"/>
  <c r="W34" i="103"/>
  <c r="Y34" i="103" s="1"/>
  <c r="F34" i="103"/>
  <c r="E34" i="103"/>
  <c r="X33" i="103"/>
  <c r="Z33" i="103" s="1"/>
  <c r="W33" i="103"/>
  <c r="Y33" i="103" s="1"/>
  <c r="F33" i="103"/>
  <c r="E33" i="103"/>
  <c r="X32" i="103"/>
  <c r="Z32" i="103" s="1"/>
  <c r="W32" i="103"/>
  <c r="Y32" i="103" s="1"/>
  <c r="F32" i="103"/>
  <c r="E32" i="103"/>
  <c r="X31" i="103"/>
  <c r="Z31" i="103" s="1"/>
  <c r="W31" i="103"/>
  <c r="Y31" i="103" s="1"/>
  <c r="F31" i="103"/>
  <c r="E31" i="103"/>
  <c r="X30" i="103"/>
  <c r="Z30" i="103" s="1"/>
  <c r="W30" i="103"/>
  <c r="Y30" i="103" s="1"/>
  <c r="F30" i="103"/>
  <c r="E30" i="103"/>
  <c r="X29" i="103"/>
  <c r="Z29" i="103" s="1"/>
  <c r="W29" i="103"/>
  <c r="Y29" i="103" s="1"/>
  <c r="F29" i="103"/>
  <c r="E29" i="103"/>
  <c r="X28" i="103"/>
  <c r="Z28" i="103" s="1"/>
  <c r="W28" i="103"/>
  <c r="Y28" i="103" s="1"/>
  <c r="F28" i="103"/>
  <c r="E28" i="103"/>
  <c r="X27" i="103"/>
  <c r="Z27" i="103" s="1"/>
  <c r="W27" i="103"/>
  <c r="Y27" i="103" s="1"/>
  <c r="F27" i="103"/>
  <c r="E27" i="103"/>
  <c r="X26" i="103"/>
  <c r="Z26" i="103" s="1"/>
  <c r="W26" i="103"/>
  <c r="Y26" i="103" s="1"/>
  <c r="F26" i="103"/>
  <c r="E26" i="103"/>
  <c r="X25" i="103"/>
  <c r="Z25" i="103" s="1"/>
  <c r="W25" i="103"/>
  <c r="Y25" i="103" s="1"/>
  <c r="F25" i="103"/>
  <c r="E25" i="103"/>
  <c r="X24" i="103"/>
  <c r="Z24" i="103" s="1"/>
  <c r="W24" i="103"/>
  <c r="Y24" i="103" s="1"/>
  <c r="F24" i="103"/>
  <c r="E24" i="103"/>
  <c r="X23" i="103"/>
  <c r="Z23" i="103" s="1"/>
  <c r="W23" i="103"/>
  <c r="Y23" i="103" s="1"/>
  <c r="F23" i="103"/>
  <c r="E23" i="103"/>
  <c r="X22" i="103"/>
  <c r="W22" i="103"/>
  <c r="Y22" i="103" s="1"/>
  <c r="F22" i="103"/>
  <c r="E22" i="103"/>
  <c r="X21" i="103"/>
  <c r="W21" i="103"/>
  <c r="Y21" i="103" s="1"/>
  <c r="F21" i="103"/>
  <c r="E21" i="103"/>
  <c r="X20" i="103"/>
  <c r="W20" i="103"/>
  <c r="Y20" i="103" s="1"/>
  <c r="F20" i="103"/>
  <c r="E20" i="103"/>
  <c r="X19" i="103"/>
  <c r="W19" i="103"/>
  <c r="Y19" i="103" s="1"/>
  <c r="F19" i="103"/>
  <c r="E19" i="103"/>
  <c r="X18" i="103"/>
  <c r="W18" i="103"/>
  <c r="Y18" i="103" s="1"/>
  <c r="F18" i="103"/>
  <c r="E18" i="103"/>
  <c r="X17" i="103"/>
  <c r="W17" i="103"/>
  <c r="Y17" i="103" s="1"/>
  <c r="F17" i="103"/>
  <c r="E17" i="103"/>
  <c r="X16" i="103"/>
  <c r="W16" i="103"/>
  <c r="Y16" i="103" s="1"/>
  <c r="F16" i="103"/>
  <c r="E16" i="103"/>
  <c r="X15" i="103"/>
  <c r="W15" i="103"/>
  <c r="Y15" i="103" s="1"/>
  <c r="F15" i="103"/>
  <c r="E15" i="103"/>
  <c r="X14" i="103"/>
  <c r="W14" i="103"/>
  <c r="Y14" i="103" s="1"/>
  <c r="F14" i="103"/>
  <c r="E14" i="103"/>
  <c r="X13" i="103"/>
  <c r="W13" i="103"/>
  <c r="Y13" i="103" s="1"/>
  <c r="F13" i="103"/>
  <c r="E13" i="103"/>
  <c r="X12" i="103"/>
  <c r="W12" i="103"/>
  <c r="Y12" i="103" s="1"/>
  <c r="X11" i="103"/>
  <c r="W11" i="103"/>
  <c r="Y11" i="103" s="1"/>
  <c r="X10" i="103"/>
  <c r="W10" i="103"/>
  <c r="Y10" i="103" s="1"/>
  <c r="X9" i="103"/>
  <c r="W9" i="103"/>
  <c r="Y9" i="103" s="1"/>
  <c r="X8" i="103"/>
  <c r="W8" i="103"/>
  <c r="Y8" i="103" s="1"/>
  <c r="X7" i="103"/>
  <c r="W7" i="103"/>
  <c r="Y7" i="103" s="1"/>
  <c r="X6" i="103"/>
  <c r="W6" i="103"/>
  <c r="Y6" i="103" s="1"/>
  <c r="X5" i="103"/>
  <c r="W5" i="103"/>
  <c r="Y5" i="103" s="1"/>
  <c r="Y53" i="103" l="1"/>
  <c r="T3" i="98"/>
  <c r="C12" i="98" s="1"/>
  <c r="U3" i="98"/>
  <c r="AA2" i="19"/>
  <c r="AB2" i="19"/>
  <c r="P30" i="105"/>
  <c r="Q30" i="105" s="1"/>
  <c r="P32" i="105"/>
  <c r="Q32" i="105" s="1"/>
  <c r="P52" i="105"/>
  <c r="Q52" i="105" s="1"/>
  <c r="P46" i="105"/>
  <c r="Q46" i="105" s="1"/>
  <c r="O9" i="99"/>
  <c r="P38" i="105"/>
  <c r="Q38" i="105" s="1"/>
  <c r="P44" i="105"/>
  <c r="Q44" i="105" s="1"/>
  <c r="P50" i="105"/>
  <c r="Q50" i="105" s="1"/>
  <c r="P36" i="105"/>
  <c r="Q36" i="105" s="1"/>
  <c r="P39" i="105"/>
  <c r="Q39" i="105" s="1"/>
  <c r="P49" i="105"/>
  <c r="Q49" i="105" s="1"/>
  <c r="P51" i="105"/>
  <c r="Q51" i="105" s="1"/>
  <c r="P40" i="105"/>
  <c r="Q40" i="105" s="1"/>
  <c r="P33" i="105"/>
  <c r="Q33" i="105" s="1"/>
  <c r="P34" i="105"/>
  <c r="Q34" i="105" s="1"/>
  <c r="P31" i="105"/>
  <c r="Q31" i="105" s="1"/>
  <c r="P48" i="105"/>
  <c r="Q48" i="105" s="1"/>
  <c r="P43" i="105"/>
  <c r="Q43" i="105" s="1"/>
  <c r="P45" i="105"/>
  <c r="Q45" i="105" s="1"/>
  <c r="P41" i="105"/>
  <c r="Q41" i="105" s="1"/>
  <c r="P35" i="105"/>
  <c r="Q35" i="105" s="1"/>
  <c r="P42" i="105"/>
  <c r="Q42" i="105" s="1"/>
  <c r="P37" i="105"/>
  <c r="Q37" i="105" s="1"/>
  <c r="P53" i="105"/>
  <c r="Q53" i="105" s="1"/>
  <c r="P47" i="105"/>
  <c r="Q47" i="105" s="1"/>
  <c r="M55" i="105"/>
  <c r="N54" i="105"/>
  <c r="P54" i="105" s="1"/>
  <c r="Q54" i="105" s="1"/>
  <c r="C15" i="105"/>
  <c r="H18" i="98"/>
  <c r="H17" i="98"/>
  <c r="X12" i="99"/>
  <c r="N55" i="105" l="1"/>
  <c r="P55" i="105" s="1"/>
  <c r="Q55" i="105" s="1"/>
  <c r="M56" i="105"/>
  <c r="N56" i="105" l="1"/>
  <c r="P56" i="105" s="1"/>
  <c r="Q56" i="105" s="1"/>
  <c r="M57" i="105"/>
  <c r="N30" i="98"/>
  <c r="N57" i="105" l="1"/>
  <c r="P57" i="105" s="1"/>
  <c r="Q57" i="105" s="1"/>
  <c r="M58" i="105"/>
  <c r="N7" i="98"/>
  <c r="N58" i="105" l="1"/>
  <c r="P58" i="105" s="1"/>
  <c r="Q58" i="105" s="1"/>
  <c r="M59" i="105"/>
  <c r="N59" i="105" l="1"/>
  <c r="P59" i="105" s="1"/>
  <c r="Q59" i="105" s="1"/>
  <c r="M60" i="105"/>
  <c r="N60" i="105" l="1"/>
  <c r="P60" i="105" s="1"/>
  <c r="Q60" i="105" s="1"/>
  <c r="M61" i="105"/>
  <c r="F50" i="98"/>
  <c r="E50" i="98"/>
  <c r="N61" i="105" l="1"/>
  <c r="P61" i="105" s="1"/>
  <c r="Q61" i="105" s="1"/>
  <c r="M62" i="105"/>
  <c r="N62" i="105" l="1"/>
  <c r="P62" i="105" s="1"/>
  <c r="Q62" i="105" s="1"/>
  <c r="M63" i="105"/>
  <c r="N63" i="105" l="1"/>
  <c r="P63" i="105" s="1"/>
  <c r="Q63" i="105" s="1"/>
  <c r="M64" i="105"/>
  <c r="K6" i="99"/>
  <c r="K5" i="99"/>
  <c r="N64" i="105" l="1"/>
  <c r="P64" i="105" s="1"/>
  <c r="Q64" i="105" s="1"/>
  <c r="M65" i="105"/>
  <c r="N65" i="105" l="1"/>
  <c r="P65" i="105" s="1"/>
  <c r="Q65" i="105" s="1"/>
  <c r="M66" i="105"/>
  <c r="N66" i="105" l="1"/>
  <c r="P66" i="105" s="1"/>
  <c r="Q66" i="105" s="1"/>
  <c r="M67" i="105"/>
  <c r="N67" i="105" l="1"/>
  <c r="P67" i="105" s="1"/>
  <c r="Q67" i="105" s="1"/>
  <c r="M68" i="105"/>
  <c r="F16" i="99"/>
  <c r="K16" i="99" s="1"/>
  <c r="C16" i="99"/>
  <c r="H16" i="99" s="1"/>
  <c r="N68" i="105" l="1"/>
  <c r="P68" i="105" s="1"/>
  <c r="Q68" i="105" s="1"/>
  <c r="M69" i="105"/>
  <c r="K9" i="99"/>
  <c r="K7" i="99"/>
  <c r="N69" i="105" l="1"/>
  <c r="P69" i="105" s="1"/>
  <c r="Q69" i="105" s="1"/>
  <c r="M70" i="105"/>
  <c r="N70" i="105" l="1"/>
  <c r="P70" i="105" s="1"/>
  <c r="Q70" i="105" s="1"/>
  <c r="M71" i="105"/>
  <c r="N71" i="105" l="1"/>
  <c r="P71" i="105" s="1"/>
  <c r="Q71" i="105" s="1"/>
  <c r="M72" i="105"/>
  <c r="N72" i="105" l="1"/>
  <c r="P72" i="105" s="1"/>
  <c r="Q72" i="105" s="1"/>
  <c r="M73" i="105"/>
  <c r="X11" i="99" l="1"/>
  <c r="K2" i="99"/>
  <c r="N73" i="105"/>
  <c r="P73" i="105" s="1"/>
  <c r="Q73" i="105" s="1"/>
  <c r="M74" i="105"/>
  <c r="K29" i="17"/>
  <c r="G29" i="17"/>
  <c r="N74" i="105" l="1"/>
  <c r="P74" i="105" s="1"/>
  <c r="Q74" i="105" s="1"/>
  <c r="M75" i="105"/>
  <c r="K26" i="17" l="1"/>
  <c r="L26" i="17"/>
  <c r="N75" i="105"/>
  <c r="P75" i="105" s="1"/>
  <c r="Q75" i="105" s="1"/>
  <c r="M76" i="105"/>
  <c r="N76" i="105" l="1"/>
  <c r="P76" i="105" s="1"/>
  <c r="Q76" i="105" s="1"/>
  <c r="Q28" i="105" l="1"/>
  <c r="F7" i="98" l="1"/>
  <c r="F8" i="98" s="1"/>
  <c r="R18" i="98" s="1"/>
  <c r="R11" i="98" l="1"/>
  <c r="G7" i="98"/>
  <c r="G8" i="98" s="1"/>
  <c r="BL83" i="96"/>
  <c r="BL82" i="96"/>
  <c r="BL81" i="96"/>
  <c r="BL80" i="96"/>
  <c r="BL79" i="96"/>
  <c r="BL78" i="96"/>
  <c r="BL77" i="96"/>
  <c r="BL76" i="96"/>
  <c r="BL75" i="96"/>
  <c r="BL74" i="96"/>
  <c r="BL73" i="96"/>
  <c r="BL72" i="96"/>
  <c r="BL71" i="96"/>
  <c r="BL70" i="96"/>
  <c r="BL69" i="96"/>
  <c r="BL68" i="96"/>
  <c r="BL67" i="96"/>
  <c r="BL66" i="96"/>
  <c r="BL65" i="96"/>
  <c r="BL64" i="96"/>
  <c r="H64" i="96"/>
  <c r="H65" i="96" s="1"/>
  <c r="H66" i="96" s="1"/>
  <c r="H67" i="96" s="1"/>
  <c r="H68" i="96" s="1"/>
  <c r="H69" i="96" s="1"/>
  <c r="H70" i="96" s="1"/>
  <c r="H71" i="96" s="1"/>
  <c r="H72" i="96" s="1"/>
  <c r="H73" i="96" s="1"/>
  <c r="H74" i="96" s="1"/>
  <c r="H75" i="96" s="1"/>
  <c r="H76" i="96" s="1"/>
  <c r="H77" i="96" s="1"/>
  <c r="H78" i="96" s="1"/>
  <c r="H79" i="96" s="1"/>
  <c r="H80" i="96" s="1"/>
  <c r="H81" i="96" s="1"/>
  <c r="H82" i="96" s="1"/>
  <c r="H83" i="96" s="1"/>
  <c r="H84" i="96" s="1"/>
  <c r="H85" i="96" s="1"/>
  <c r="H86" i="96" s="1"/>
  <c r="H87" i="96" s="1"/>
  <c r="H88" i="96" s="1"/>
  <c r="H89" i="96" s="1"/>
  <c r="H90" i="96" s="1"/>
  <c r="H91" i="96" s="1"/>
  <c r="H92" i="96" s="1"/>
  <c r="H93" i="96" s="1"/>
  <c r="H94" i="96" s="1"/>
  <c r="H95" i="96" s="1"/>
  <c r="H96" i="96" s="1"/>
  <c r="H97" i="96" s="1"/>
  <c r="H98" i="96" s="1"/>
  <c r="H99" i="96" s="1"/>
  <c r="H100" i="96" s="1"/>
  <c r="H101" i="96" s="1"/>
  <c r="H102" i="96" s="1"/>
  <c r="H103" i="96" s="1"/>
  <c r="H104" i="96" s="1"/>
  <c r="H105" i="96" s="1"/>
  <c r="H106" i="96" s="1"/>
  <c r="H107" i="96" s="1"/>
  <c r="H108" i="96" s="1"/>
  <c r="H109" i="96" s="1"/>
  <c r="H110" i="96" s="1"/>
  <c r="H111" i="96" s="1"/>
  <c r="H112" i="96" s="1"/>
  <c r="H113" i="96" s="1"/>
  <c r="BL63" i="96"/>
  <c r="M63" i="96"/>
  <c r="L63" i="96"/>
  <c r="F63" i="96"/>
  <c r="E63" i="96"/>
  <c r="BL62" i="96"/>
  <c r="M62" i="96"/>
  <c r="L62" i="96"/>
  <c r="F62" i="96"/>
  <c r="E62" i="96"/>
  <c r="BL61" i="96"/>
  <c r="M61" i="96"/>
  <c r="L61" i="96"/>
  <c r="F61" i="96"/>
  <c r="E61" i="96"/>
  <c r="BL60" i="96"/>
  <c r="M60" i="96"/>
  <c r="L60" i="96"/>
  <c r="F60" i="96"/>
  <c r="E60" i="96"/>
  <c r="BL59" i="96"/>
  <c r="M59" i="96"/>
  <c r="L59" i="96"/>
  <c r="F59" i="96"/>
  <c r="E59" i="96"/>
  <c r="BL58" i="96"/>
  <c r="M58" i="96"/>
  <c r="L58" i="96"/>
  <c r="F58" i="96"/>
  <c r="E58" i="96"/>
  <c r="BL57" i="96"/>
  <c r="M57" i="96"/>
  <c r="L57" i="96"/>
  <c r="F57" i="96"/>
  <c r="E57" i="96"/>
  <c r="BL56" i="96"/>
  <c r="M56" i="96"/>
  <c r="L56" i="96"/>
  <c r="F56" i="96"/>
  <c r="E56" i="96"/>
  <c r="BL55" i="96"/>
  <c r="M55" i="96"/>
  <c r="L55" i="96"/>
  <c r="F55" i="96"/>
  <c r="E55" i="96"/>
  <c r="BL54" i="96"/>
  <c r="M54" i="96"/>
  <c r="L54" i="96"/>
  <c r="F54" i="96"/>
  <c r="E54" i="96"/>
  <c r="BL53" i="96"/>
  <c r="M53" i="96"/>
  <c r="L53" i="96"/>
  <c r="F53" i="96"/>
  <c r="E53" i="96"/>
  <c r="BL52" i="96"/>
  <c r="M52" i="96"/>
  <c r="L52" i="96"/>
  <c r="F52" i="96"/>
  <c r="E52" i="96"/>
  <c r="BL51" i="96"/>
  <c r="M51" i="96"/>
  <c r="L51" i="96"/>
  <c r="F51" i="96"/>
  <c r="E51" i="96"/>
  <c r="BL50" i="96"/>
  <c r="M50" i="96"/>
  <c r="L50" i="96"/>
  <c r="F50" i="96"/>
  <c r="E50" i="96"/>
  <c r="BL49" i="96"/>
  <c r="M49" i="96"/>
  <c r="L49" i="96"/>
  <c r="F49" i="96"/>
  <c r="E49" i="96"/>
  <c r="BL48" i="96"/>
  <c r="M48" i="96"/>
  <c r="L48" i="96"/>
  <c r="F48" i="96"/>
  <c r="E48" i="96"/>
  <c r="BL47" i="96"/>
  <c r="Y47" i="96"/>
  <c r="M47" i="96"/>
  <c r="L47" i="96"/>
  <c r="F47" i="96"/>
  <c r="E47" i="96"/>
  <c r="BL46" i="96"/>
  <c r="Y46" i="96"/>
  <c r="M46" i="96"/>
  <c r="L46" i="96"/>
  <c r="F46" i="96"/>
  <c r="E46" i="96"/>
  <c r="BL45" i="96"/>
  <c r="Y45" i="96"/>
  <c r="M45" i="96"/>
  <c r="L45" i="96"/>
  <c r="F45" i="96"/>
  <c r="E45" i="96"/>
  <c r="BL44" i="96"/>
  <c r="Y44" i="96"/>
  <c r="M44" i="96"/>
  <c r="L44" i="96"/>
  <c r="F44" i="96"/>
  <c r="E44" i="96"/>
  <c r="BL43" i="96"/>
  <c r="Y43" i="96"/>
  <c r="M43" i="96"/>
  <c r="L43" i="96"/>
  <c r="F43" i="96"/>
  <c r="E43" i="96"/>
  <c r="Y42" i="96"/>
  <c r="M42" i="96"/>
  <c r="L42" i="96"/>
  <c r="F42" i="96"/>
  <c r="E42" i="96"/>
  <c r="Y41" i="96"/>
  <c r="M41" i="96"/>
  <c r="L41" i="96"/>
  <c r="F41" i="96"/>
  <c r="E41" i="96"/>
  <c r="Y40" i="96"/>
  <c r="M40" i="96"/>
  <c r="L40" i="96"/>
  <c r="F40" i="96"/>
  <c r="E40" i="96"/>
  <c r="Y39" i="96"/>
  <c r="M39" i="96"/>
  <c r="L39" i="96"/>
  <c r="F39" i="96"/>
  <c r="E39" i="96"/>
  <c r="Y38" i="96"/>
  <c r="M38" i="96"/>
  <c r="L38" i="96"/>
  <c r="F38" i="96"/>
  <c r="E38" i="96"/>
  <c r="Y37" i="96"/>
  <c r="M37" i="96"/>
  <c r="L37" i="96"/>
  <c r="F37" i="96"/>
  <c r="E37" i="96"/>
  <c r="Y36" i="96"/>
  <c r="M36" i="96"/>
  <c r="L36" i="96"/>
  <c r="F36" i="96"/>
  <c r="E36" i="96"/>
  <c r="Y35" i="96"/>
  <c r="M35" i="96"/>
  <c r="L35" i="96"/>
  <c r="F35" i="96"/>
  <c r="E35" i="96"/>
  <c r="Y34" i="96"/>
  <c r="M34" i="96"/>
  <c r="L34" i="96"/>
  <c r="F34" i="96"/>
  <c r="E34" i="96"/>
  <c r="Y33" i="96"/>
  <c r="M33" i="96"/>
  <c r="L33" i="96"/>
  <c r="F33" i="96"/>
  <c r="E33" i="96"/>
  <c r="Y32" i="96"/>
  <c r="T32" i="96"/>
  <c r="M32" i="96"/>
  <c r="L32" i="96"/>
  <c r="F32" i="96"/>
  <c r="E32" i="96"/>
  <c r="Y31" i="96"/>
  <c r="T31" i="96"/>
  <c r="M31" i="96"/>
  <c r="L31" i="96"/>
  <c r="F31" i="96"/>
  <c r="E31" i="96"/>
  <c r="Y30" i="96"/>
  <c r="M30" i="96"/>
  <c r="L30" i="96"/>
  <c r="F30" i="96"/>
  <c r="E30" i="96"/>
  <c r="Y29" i="96"/>
  <c r="M29" i="96"/>
  <c r="L29" i="96"/>
  <c r="F29" i="96"/>
  <c r="E29" i="96"/>
  <c r="Y28" i="96"/>
  <c r="M28" i="96"/>
  <c r="L28" i="96"/>
  <c r="F28" i="96"/>
  <c r="E28" i="96"/>
  <c r="Y27" i="96"/>
  <c r="M27" i="96"/>
  <c r="L27" i="96"/>
  <c r="F27" i="96"/>
  <c r="E27" i="96"/>
  <c r="BY26" i="96"/>
  <c r="BV26" i="96"/>
  <c r="BW26" i="96" s="1"/>
  <c r="Y26" i="96"/>
  <c r="M26" i="96"/>
  <c r="L26" i="96"/>
  <c r="F26" i="96"/>
  <c r="E26" i="96"/>
  <c r="Y25" i="96"/>
  <c r="M25" i="96"/>
  <c r="L25" i="96"/>
  <c r="F25" i="96"/>
  <c r="E25" i="96"/>
  <c r="Y24" i="96"/>
  <c r="M24" i="96"/>
  <c r="L24" i="96"/>
  <c r="F24" i="96"/>
  <c r="E24" i="96"/>
  <c r="Y23" i="96"/>
  <c r="M23" i="96"/>
  <c r="L23" i="96"/>
  <c r="F23" i="96"/>
  <c r="E23" i="96"/>
  <c r="Y22" i="96"/>
  <c r="M22" i="96"/>
  <c r="L22" i="96"/>
  <c r="F22" i="96"/>
  <c r="E22" i="96"/>
  <c r="Y21" i="96"/>
  <c r="M21" i="96"/>
  <c r="L21" i="96"/>
  <c r="F21" i="96"/>
  <c r="E21" i="96"/>
  <c r="Y20" i="96"/>
  <c r="M20" i="96"/>
  <c r="L20" i="96"/>
  <c r="F20" i="96"/>
  <c r="E20" i="96"/>
  <c r="Y19" i="96"/>
  <c r="M19" i="96"/>
  <c r="L19" i="96"/>
  <c r="F19" i="96"/>
  <c r="E19" i="96"/>
  <c r="Y18" i="96"/>
  <c r="M18" i="96"/>
  <c r="L18" i="96"/>
  <c r="F18" i="96"/>
  <c r="E18" i="96"/>
  <c r="Y17" i="96"/>
  <c r="M17" i="96"/>
  <c r="L17" i="96"/>
  <c r="F17" i="96"/>
  <c r="E17" i="96"/>
  <c r="Y16" i="96"/>
  <c r="M16" i="96"/>
  <c r="L16" i="96"/>
  <c r="F16" i="96"/>
  <c r="E16" i="96"/>
  <c r="Y15" i="96"/>
  <c r="U15" i="96"/>
  <c r="U16" i="96" s="1"/>
  <c r="T19" i="96"/>
  <c r="M15" i="96"/>
  <c r="L15" i="96"/>
  <c r="F15" i="96"/>
  <c r="E15" i="96"/>
  <c r="Y14" i="96"/>
  <c r="M14" i="96"/>
  <c r="L14" i="96"/>
  <c r="F14" i="96"/>
  <c r="E14" i="96"/>
  <c r="Y13" i="96"/>
  <c r="U13" i="96"/>
  <c r="T13" i="96"/>
  <c r="Z11" i="96"/>
  <c r="Z24" i="96" s="1"/>
  <c r="F6" i="96"/>
  <c r="J6" i="96" s="1"/>
  <c r="M6" i="96" s="1"/>
  <c r="S18" i="98" l="1"/>
  <c r="S12" i="98"/>
  <c r="S13" i="98"/>
  <c r="F10" i="98"/>
  <c r="BR43" i="96"/>
  <c r="BS43" i="96"/>
  <c r="BM43" i="96"/>
  <c r="Z16" i="96"/>
  <c r="U17" i="96"/>
  <c r="BV27" i="96"/>
  <c r="BW27" i="96" s="1"/>
  <c r="BX27" i="96" s="1"/>
  <c r="BY27" i="96" s="1"/>
  <c r="BS45" i="96"/>
  <c r="Z14" i="96"/>
  <c r="BO48" i="96"/>
  <c r="BS51" i="96"/>
  <c r="BS56" i="96"/>
  <c r="BS80" i="96"/>
  <c r="Z29" i="96"/>
  <c r="Z12" i="96"/>
  <c r="U19" i="96"/>
  <c r="T20" i="96" s="1"/>
  <c r="Z17" i="96"/>
  <c r="BR65" i="96"/>
  <c r="BR64" i="96"/>
  <c r="BR63" i="96"/>
  <c r="BN77" i="96"/>
  <c r="BN82" i="96"/>
  <c r="BN76" i="96"/>
  <c r="BN59" i="96"/>
  <c r="BN83" i="96"/>
  <c r="BN73" i="96"/>
  <c r="BN72" i="96"/>
  <c r="BN71" i="96"/>
  <c r="BN70" i="96"/>
  <c r="BN69" i="96"/>
  <c r="BN68" i="96"/>
  <c r="BN67" i="96"/>
  <c r="BN66" i="96"/>
  <c r="BN65" i="96"/>
  <c r="BN64" i="96"/>
  <c r="BR62" i="96"/>
  <c r="BR54" i="96"/>
  <c r="BN81" i="96"/>
  <c r="BR77" i="96"/>
  <c r="BN74" i="96"/>
  <c r="BN55" i="96"/>
  <c r="BR45" i="96"/>
  <c r="BR58" i="96"/>
  <c r="BN51" i="96"/>
  <c r="BN47" i="96"/>
  <c r="BN43" i="96"/>
  <c r="BN75" i="96"/>
  <c r="BR50" i="96"/>
  <c r="BN63" i="96"/>
  <c r="BN50" i="96"/>
  <c r="Z26" i="96"/>
  <c r="BM65" i="96"/>
  <c r="BM64" i="96"/>
  <c r="BM63" i="96"/>
  <c r="BM77" i="96"/>
  <c r="BM58" i="96"/>
  <c r="BM62" i="96"/>
  <c r="BQ57" i="96"/>
  <c r="BM50" i="96"/>
  <c r="BM54" i="96"/>
  <c r="BM45" i="96"/>
  <c r="BQ48" i="96"/>
  <c r="BM49" i="96"/>
  <c r="BM46" i="96"/>
  <c r="Z28" i="96"/>
  <c r="Z45" i="96"/>
  <c r="BN45" i="96"/>
  <c r="BQ63" i="96"/>
  <c r="Z20" i="96"/>
  <c r="BR52" i="96"/>
  <c r="BR73" i="96"/>
  <c r="T16" i="96"/>
  <c r="T17" i="96" s="1"/>
  <c r="Z46" i="96"/>
  <c r="Z44" i="96"/>
  <c r="Z47" i="96"/>
  <c r="Z41" i="96"/>
  <c r="Z37" i="96"/>
  <c r="Z42" i="96"/>
  <c r="Z38" i="96"/>
  <c r="Z34" i="96"/>
  <c r="Z43" i="96"/>
  <c r="Z40" i="96"/>
  <c r="Z39" i="96"/>
  <c r="Z36" i="96"/>
  <c r="Z35" i="96"/>
  <c r="Z32" i="96"/>
  <c r="Z27" i="96"/>
  <c r="Z23" i="96"/>
  <c r="Z33" i="96"/>
  <c r="Z30" i="96"/>
  <c r="Z21" i="96"/>
  <c r="Z15" i="96"/>
  <c r="AA11" i="96"/>
  <c r="Z31" i="96"/>
  <c r="Z25" i="96"/>
  <c r="Z22" i="96"/>
  <c r="Z18" i="96"/>
  <c r="Z19" i="96"/>
  <c r="BR67" i="96"/>
  <c r="BS44" i="96"/>
  <c r="BN44" i="96"/>
  <c r="BQ44" i="96"/>
  <c r="BO44" i="96"/>
  <c r="BR44" i="96"/>
  <c r="BQ65" i="96"/>
  <c r="BO77" i="96"/>
  <c r="BO54" i="96"/>
  <c r="BO83" i="96"/>
  <c r="BO82" i="96"/>
  <c r="BO81" i="96"/>
  <c r="BS77" i="96"/>
  <c r="BO76" i="96"/>
  <c r="BO75" i="96"/>
  <c r="BO74" i="96"/>
  <c r="BO73" i="96"/>
  <c r="BO72" i="96"/>
  <c r="BO71" i="96"/>
  <c r="BO70" i="96"/>
  <c r="BO69" i="96"/>
  <c r="BO68" i="96"/>
  <c r="BO67" i="96"/>
  <c r="BO66" i="96"/>
  <c r="BO65" i="96"/>
  <c r="BO64" i="96"/>
  <c r="BO63" i="96"/>
  <c r="BO59" i="96"/>
  <c r="BS83" i="96"/>
  <c r="BS73" i="96"/>
  <c r="BS72" i="96"/>
  <c r="BS71" i="96"/>
  <c r="BS70" i="96"/>
  <c r="BS69" i="96"/>
  <c r="BS68" i="96"/>
  <c r="BS67" i="96"/>
  <c r="BS66" i="96"/>
  <c r="BS65" i="96"/>
  <c r="BS64" i="96"/>
  <c r="BO60" i="96"/>
  <c r="BO79" i="96"/>
  <c r="BS74" i="96"/>
  <c r="BS63" i="96"/>
  <c r="BS55" i="96"/>
  <c r="BO50" i="96"/>
  <c r="BO51" i="96"/>
  <c r="BO47" i="96"/>
  <c r="BS82" i="96"/>
  <c r="BS75" i="96"/>
  <c r="BS50" i="96"/>
  <c r="BO45" i="96"/>
  <c r="BO43" i="96"/>
  <c r="BS81" i="96"/>
  <c r="BS59" i="96"/>
  <c r="BO52" i="96"/>
  <c r="BS76" i="96"/>
  <c r="BO56" i="96"/>
  <c r="BS47" i="96"/>
  <c r="BQ43" i="96"/>
  <c r="BM44" i="96"/>
  <c r="BR47" i="96"/>
  <c r="BO80" i="96"/>
  <c r="BQ54" i="96"/>
  <c r="BO61" i="96"/>
  <c r="BS61" i="96"/>
  <c r="BN61" i="96"/>
  <c r="BR61" i="96"/>
  <c r="BM61" i="96"/>
  <c r="BQ61" i="96"/>
  <c r="BR71" i="96"/>
  <c r="BO46" i="96"/>
  <c r="BS46" i="96"/>
  <c r="BN46" i="96"/>
  <c r="BR46" i="96"/>
  <c r="BQ46" i="96"/>
  <c r="BO49" i="96"/>
  <c r="BS49" i="96"/>
  <c r="BN49" i="96"/>
  <c r="BR49" i="96"/>
  <c r="BQ49" i="96"/>
  <c r="BR51" i="96"/>
  <c r="BR69" i="96"/>
  <c r="BQ50" i="96"/>
  <c r="BR55" i="96"/>
  <c r="BQ62" i="96"/>
  <c r="BR74" i="96"/>
  <c r="BQ45" i="96"/>
  <c r="BS48" i="96"/>
  <c r="BN48" i="96"/>
  <c r="BR48" i="96"/>
  <c r="BM48" i="96"/>
  <c r="BQ52" i="96"/>
  <c r="BN52" i="96"/>
  <c r="BS52" i="96"/>
  <c r="BM52" i="96"/>
  <c r="BO53" i="96"/>
  <c r="BS53" i="96"/>
  <c r="BN53" i="96"/>
  <c r="BR53" i="96"/>
  <c r="BM53" i="96"/>
  <c r="BQ53" i="96"/>
  <c r="BQ64" i="96"/>
  <c r="BR66" i="96"/>
  <c r="BR68" i="96"/>
  <c r="BR70" i="96"/>
  <c r="BR72" i="96"/>
  <c r="BS79" i="96"/>
  <c r="BR83" i="96"/>
  <c r="BQ47" i="96"/>
  <c r="BQ51" i="96"/>
  <c r="BQ58" i="96"/>
  <c r="BR59" i="96"/>
  <c r="BS60" i="96"/>
  <c r="BR76" i="96"/>
  <c r="BQ77" i="96"/>
  <c r="BO78" i="96"/>
  <c r="BS78" i="96"/>
  <c r="BN78" i="96"/>
  <c r="BR78" i="96"/>
  <c r="BM78" i="96"/>
  <c r="BR82" i="96"/>
  <c r="BM47" i="96"/>
  <c r="BM51" i="96"/>
  <c r="BO57" i="96"/>
  <c r="BS57" i="96"/>
  <c r="BN57" i="96"/>
  <c r="BR57" i="96"/>
  <c r="BM57" i="96"/>
  <c r="BR75" i="96"/>
  <c r="BQ78" i="96"/>
  <c r="BR81" i="96"/>
  <c r="BN54" i="96"/>
  <c r="BS54" i="96"/>
  <c r="BO55" i="96"/>
  <c r="BQ56" i="96"/>
  <c r="BN58" i="96"/>
  <c r="BS58" i="96"/>
  <c r="BQ60" i="96"/>
  <c r="BN62" i="96"/>
  <c r="BS62" i="96"/>
  <c r="BQ79" i="96"/>
  <c r="BQ80" i="96"/>
  <c r="BQ55" i="96"/>
  <c r="BM56" i="96"/>
  <c r="BR56" i="96"/>
  <c r="BO58" i="96"/>
  <c r="BQ59" i="96"/>
  <c r="BM60" i="96"/>
  <c r="BR60" i="96"/>
  <c r="BO62" i="96"/>
  <c r="BQ66" i="96"/>
  <c r="BQ67" i="96"/>
  <c r="BQ68" i="96"/>
  <c r="BQ69" i="96"/>
  <c r="BQ70" i="96"/>
  <c r="BQ71" i="96"/>
  <c r="BQ72" i="96"/>
  <c r="BQ73" i="96"/>
  <c r="BQ74" i="96"/>
  <c r="BQ75" i="96"/>
  <c r="BQ76" i="96"/>
  <c r="BM79" i="96"/>
  <c r="BR79" i="96"/>
  <c r="BM80" i="96"/>
  <c r="BR80" i="96"/>
  <c r="BQ81" i="96"/>
  <c r="BQ82" i="96"/>
  <c r="BQ83" i="96"/>
  <c r="BM55" i="96"/>
  <c r="BN56" i="96"/>
  <c r="BM59" i="96"/>
  <c r="BN60" i="96"/>
  <c r="BM66" i="96"/>
  <c r="BM67" i="96"/>
  <c r="BM68" i="96"/>
  <c r="BM69" i="96"/>
  <c r="BM70" i="96"/>
  <c r="BM71" i="96"/>
  <c r="BM72" i="96"/>
  <c r="BM73" i="96"/>
  <c r="BM74" i="96"/>
  <c r="BM75" i="96"/>
  <c r="BM76" i="96"/>
  <c r="BN79" i="96"/>
  <c r="BN80" i="96"/>
  <c r="BM81" i="96"/>
  <c r="BM82" i="96"/>
  <c r="BM83" i="96"/>
  <c r="S11" i="98" l="1"/>
  <c r="G10" i="98" s="1"/>
  <c r="T18" i="96"/>
  <c r="S21" i="96" s="1"/>
  <c r="BV28" i="96"/>
  <c r="BV29" i="96" s="1"/>
  <c r="AA44" i="96"/>
  <c r="AA42" i="96"/>
  <c r="AA38" i="96"/>
  <c r="AA34" i="96"/>
  <c r="AA45" i="96"/>
  <c r="AA43" i="96"/>
  <c r="AA39" i="96"/>
  <c r="AA35" i="96"/>
  <c r="AA33" i="96"/>
  <c r="AA28" i="96"/>
  <c r="AA24" i="96"/>
  <c r="AA31" i="96"/>
  <c r="AA27" i="96"/>
  <c r="AA25" i="96"/>
  <c r="AA22" i="96"/>
  <c r="AA20" i="96"/>
  <c r="AA19" i="96"/>
  <c r="AA13" i="96"/>
  <c r="AA47" i="96"/>
  <c r="AA40" i="96"/>
  <c r="AA36" i="96"/>
  <c r="AA29" i="96"/>
  <c r="AA26" i="96"/>
  <c r="AA23" i="96"/>
  <c r="AA17" i="96"/>
  <c r="AA30" i="96"/>
  <c r="AA41" i="96"/>
  <c r="AA37" i="96"/>
  <c r="AA32" i="96"/>
  <c r="AA12" i="96"/>
  <c r="AA21" i="96"/>
  <c r="AA16" i="96"/>
  <c r="AA46" i="96"/>
  <c r="AA18" i="96"/>
  <c r="AA15" i="96"/>
  <c r="AB11" i="96"/>
  <c r="BW28" i="96"/>
  <c r="BX28" i="96" s="1"/>
  <c r="BY28" i="96" s="1"/>
  <c r="T21" i="96" l="1"/>
  <c r="BW29" i="96"/>
  <c r="BX29" i="96" s="1"/>
  <c r="BY29" i="96" s="1"/>
  <c r="BV30" i="96"/>
  <c r="AB47" i="96"/>
  <c r="AB45" i="96"/>
  <c r="AB43" i="96"/>
  <c r="AB39" i="96"/>
  <c r="AB35" i="96"/>
  <c r="AB46" i="96"/>
  <c r="AB40" i="96"/>
  <c r="AB36" i="96"/>
  <c r="AB29" i="96"/>
  <c r="AB26" i="96"/>
  <c r="AB25" i="96"/>
  <c r="AB23" i="96"/>
  <c r="AB18" i="96"/>
  <c r="AB17" i="96"/>
  <c r="AB14" i="96"/>
  <c r="AB12" i="96"/>
  <c r="AB41" i="96"/>
  <c r="AB37" i="96"/>
  <c r="AB32" i="96"/>
  <c r="AB44" i="96"/>
  <c r="AB24" i="96"/>
  <c r="AB22" i="96"/>
  <c r="AB20" i="96"/>
  <c r="AC11" i="96"/>
  <c r="AB34" i="96"/>
  <c r="AB31" i="96"/>
  <c r="AB19" i="96"/>
  <c r="AB28" i="96"/>
  <c r="AB27" i="96"/>
  <c r="AB21" i="96"/>
  <c r="AB16" i="96"/>
  <c r="AB13" i="96"/>
  <c r="AB30" i="96"/>
  <c r="AB42" i="96"/>
  <c r="AB38" i="96"/>
  <c r="AB33" i="96"/>
  <c r="AC47" i="96" l="1"/>
  <c r="AC46" i="96"/>
  <c r="AC45" i="96"/>
  <c r="AC40" i="96"/>
  <c r="AC36" i="96"/>
  <c r="AC41" i="96"/>
  <c r="AC37" i="96"/>
  <c r="AC33" i="96"/>
  <c r="AC32" i="96"/>
  <c r="AC31" i="96"/>
  <c r="AC30" i="96"/>
  <c r="AC43" i="96"/>
  <c r="AC39" i="96"/>
  <c r="AC35" i="96"/>
  <c r="AC29" i="96"/>
  <c r="AC26" i="96"/>
  <c r="AC28" i="96"/>
  <c r="AC24" i="96"/>
  <c r="AC21" i="96"/>
  <c r="AC27" i="96"/>
  <c r="AC13" i="96"/>
  <c r="AC12" i="96"/>
  <c r="AC44" i="96"/>
  <c r="AC22" i="96"/>
  <c r="AC20" i="96"/>
  <c r="AC17" i="96"/>
  <c r="AD11" i="96"/>
  <c r="AC42" i="96"/>
  <c r="AC38" i="96"/>
  <c r="AC34" i="96"/>
  <c r="AC23" i="96"/>
  <c r="AC19" i="96"/>
  <c r="AC18" i="96"/>
  <c r="AC15" i="96"/>
  <c r="AC14" i="96"/>
  <c r="AC25" i="96"/>
  <c r="BW30" i="96"/>
  <c r="BX30" i="96" s="1"/>
  <c r="BY30" i="96" s="1"/>
  <c r="BV31" i="96"/>
  <c r="BW31" i="96" l="1"/>
  <c r="BX31" i="96" s="1"/>
  <c r="BY31" i="96" s="1"/>
  <c r="BV32" i="96"/>
  <c r="AD46" i="96"/>
  <c r="AD44" i="96"/>
  <c r="AD41" i="96"/>
  <c r="AD37" i="96"/>
  <c r="AD42" i="96"/>
  <c r="AD38" i="96"/>
  <c r="AD34" i="96"/>
  <c r="AD27" i="96"/>
  <c r="AD23" i="96"/>
  <c r="AD45" i="96"/>
  <c r="AD47" i="96"/>
  <c r="AD40" i="96"/>
  <c r="AD36" i="96"/>
  <c r="AD32" i="96"/>
  <c r="AD28" i="96"/>
  <c r="AD24" i="96"/>
  <c r="AD21" i="96"/>
  <c r="AD16" i="96"/>
  <c r="AE11" i="96"/>
  <c r="AD33" i="96"/>
  <c r="AD30" i="96"/>
  <c r="AD22" i="96"/>
  <c r="AD43" i="96"/>
  <c r="AD39" i="96"/>
  <c r="AD35" i="96"/>
  <c r="AD26" i="96"/>
  <c r="AD19" i="96"/>
  <c r="AD18" i="96"/>
  <c r="AD15" i="96"/>
  <c r="AD14" i="96"/>
  <c r="AD31" i="96"/>
  <c r="AD29" i="96"/>
  <c r="AD25" i="96"/>
  <c r="AD20" i="96"/>
  <c r="AD13" i="96"/>
  <c r="AD12" i="96"/>
  <c r="AE42" i="96" l="1"/>
  <c r="AE38" i="96"/>
  <c r="AE34" i="96"/>
  <c r="AE47" i="96"/>
  <c r="AE44" i="96"/>
  <c r="AE43" i="96"/>
  <c r="AE39" i="96"/>
  <c r="AE35" i="96"/>
  <c r="AE45" i="96"/>
  <c r="AE32" i="96"/>
  <c r="AE28" i="96"/>
  <c r="AE24" i="96"/>
  <c r="AE41" i="96"/>
  <c r="AE40" i="96"/>
  <c r="AE37" i="96"/>
  <c r="AE36" i="96"/>
  <c r="AE33" i="96"/>
  <c r="AE30" i="96"/>
  <c r="AE22" i="96"/>
  <c r="AE20" i="96"/>
  <c r="AE19" i="96"/>
  <c r="AE15" i="96"/>
  <c r="AE13" i="96"/>
  <c r="AE31" i="96"/>
  <c r="AE27" i="96"/>
  <c r="AE25" i="96"/>
  <c r="AE26" i="96"/>
  <c r="AE21" i="96"/>
  <c r="AE17" i="96"/>
  <c r="AE16" i="96"/>
  <c r="AE14" i="96"/>
  <c r="AF11" i="96"/>
  <c r="AE12" i="96"/>
  <c r="AE29" i="96"/>
  <c r="AE23" i="96"/>
  <c r="AE46" i="96"/>
  <c r="BW32" i="96"/>
  <c r="BX32" i="96" s="1"/>
  <c r="BY32" i="96" s="1"/>
  <c r="BV33" i="96"/>
  <c r="AF47" i="96" l="1"/>
  <c r="AF45" i="96"/>
  <c r="AF44" i="96"/>
  <c r="AF43" i="96"/>
  <c r="AF39" i="96"/>
  <c r="AF35" i="96"/>
  <c r="AF40" i="96"/>
  <c r="AF36" i="96"/>
  <c r="AF41" i="96"/>
  <c r="AF37" i="96"/>
  <c r="AF33" i="96"/>
  <c r="AF29" i="96"/>
  <c r="AF26" i="96"/>
  <c r="AF25" i="96"/>
  <c r="AF46" i="96"/>
  <c r="AF42" i="96"/>
  <c r="AF38" i="96"/>
  <c r="AF34" i="96"/>
  <c r="AF31" i="96"/>
  <c r="AF27" i="96"/>
  <c r="AF14" i="96"/>
  <c r="AF12" i="96"/>
  <c r="AF23" i="96"/>
  <c r="AF32" i="96"/>
  <c r="AF28" i="96"/>
  <c r="AF18" i="96"/>
  <c r="AF15" i="96"/>
  <c r="AG11" i="96"/>
  <c r="AF30" i="96"/>
  <c r="AF20" i="96"/>
  <c r="AF22" i="96"/>
  <c r="AF13" i="96"/>
  <c r="AF24" i="96"/>
  <c r="AF21" i="96"/>
  <c r="AF17" i="96"/>
  <c r="AF16" i="96"/>
  <c r="BW33" i="96"/>
  <c r="BX33" i="96" s="1"/>
  <c r="BY33" i="96" s="1"/>
  <c r="BV34" i="96"/>
  <c r="AG47" i="96" l="1"/>
  <c r="AG40" i="96"/>
  <c r="AG36" i="96"/>
  <c r="AG46" i="96"/>
  <c r="AG45" i="96"/>
  <c r="AG41" i="96"/>
  <c r="AG37" i="96"/>
  <c r="AG33" i="96"/>
  <c r="AG32" i="96"/>
  <c r="AG42" i="96"/>
  <c r="AG38" i="96"/>
  <c r="AG34" i="96"/>
  <c r="AG31" i="96"/>
  <c r="AG30" i="96"/>
  <c r="AG22" i="96"/>
  <c r="AG44" i="96"/>
  <c r="AG43" i="96"/>
  <c r="AG39" i="96"/>
  <c r="AG35" i="96"/>
  <c r="AG25" i="96"/>
  <c r="AG23" i="96"/>
  <c r="AG18" i="96"/>
  <c r="AG17" i="96"/>
  <c r="AG29" i="96"/>
  <c r="AG26" i="96"/>
  <c r="AG21" i="96"/>
  <c r="AG19" i="96"/>
  <c r="AG16" i="96"/>
  <c r="AH11" i="96"/>
  <c r="AG15" i="96"/>
  <c r="AG13" i="96"/>
  <c r="AG12" i="96"/>
  <c r="AG24" i="96"/>
  <c r="AG28" i="96"/>
  <c r="AG27" i="96"/>
  <c r="AG14" i="96"/>
  <c r="BV35" i="96"/>
  <c r="BW34" i="96"/>
  <c r="BX34" i="96" s="1"/>
  <c r="BY34" i="96" s="1"/>
  <c r="BV36" i="96" l="1"/>
  <c r="BW35" i="96"/>
  <c r="BX35" i="96" s="1"/>
  <c r="BY35" i="96" s="1"/>
  <c r="AH46" i="96"/>
  <c r="AH44" i="96"/>
  <c r="AH47" i="96"/>
  <c r="AH45" i="96"/>
  <c r="AH41" i="96"/>
  <c r="AH37" i="96"/>
  <c r="AH42" i="96"/>
  <c r="AH38" i="96"/>
  <c r="AH34" i="96"/>
  <c r="AH43" i="96"/>
  <c r="AH40" i="96"/>
  <c r="AH39" i="96"/>
  <c r="AH36" i="96"/>
  <c r="AH35" i="96"/>
  <c r="AH27" i="96"/>
  <c r="AH23" i="96"/>
  <c r="AH33" i="96"/>
  <c r="AH29" i="96"/>
  <c r="AH26" i="96"/>
  <c r="AH16" i="96"/>
  <c r="AI11" i="96"/>
  <c r="AH28" i="96"/>
  <c r="AH24" i="96"/>
  <c r="AH30" i="96"/>
  <c r="AH20" i="96"/>
  <c r="AH13" i="96"/>
  <c r="AH12" i="96"/>
  <c r="AH15" i="96"/>
  <c r="AH18" i="96"/>
  <c r="AH31" i="96"/>
  <c r="AH25" i="96"/>
  <c r="AH22" i="96"/>
  <c r="AH17" i="96"/>
  <c r="AH14" i="96"/>
  <c r="AH32" i="96"/>
  <c r="AH19" i="96"/>
  <c r="AI46" i="96" l="1"/>
  <c r="AI42" i="96"/>
  <c r="AI38" i="96"/>
  <c r="AI34" i="96"/>
  <c r="AI43" i="96"/>
  <c r="AI39" i="96"/>
  <c r="AI35" i="96"/>
  <c r="AI44" i="96"/>
  <c r="AI28" i="96"/>
  <c r="AI24" i="96"/>
  <c r="AI47" i="96"/>
  <c r="AI41" i="96"/>
  <c r="AI37" i="96"/>
  <c r="AI21" i="96"/>
  <c r="AI15" i="96"/>
  <c r="AI13" i="96"/>
  <c r="AI45" i="96"/>
  <c r="AI32" i="96"/>
  <c r="AI30" i="96"/>
  <c r="AI31" i="96"/>
  <c r="AI29" i="96"/>
  <c r="AI25" i="96"/>
  <c r="AI23" i="96"/>
  <c r="AI18" i="96"/>
  <c r="AI12" i="96"/>
  <c r="AI17" i="96"/>
  <c r="AI16" i="96"/>
  <c r="AI14" i="96"/>
  <c r="AJ11" i="96"/>
  <c r="AI40" i="96"/>
  <c r="AI36" i="96"/>
  <c r="AI33" i="96"/>
  <c r="AI27" i="96"/>
  <c r="AI19" i="96"/>
  <c r="AI26" i="96"/>
  <c r="AI20" i="96"/>
  <c r="BW36" i="96"/>
  <c r="BX36" i="96" s="1"/>
  <c r="BY36" i="96" s="1"/>
  <c r="BV37" i="96"/>
  <c r="BW37" i="96" l="1"/>
  <c r="BX37" i="96" s="1"/>
  <c r="BY37" i="96" s="1"/>
  <c r="BV38" i="96"/>
  <c r="AJ47" i="96"/>
  <c r="AJ45" i="96"/>
  <c r="AJ43" i="96"/>
  <c r="AJ39" i="96"/>
  <c r="AJ35" i="96"/>
  <c r="AJ44" i="96"/>
  <c r="AJ40" i="96"/>
  <c r="AJ36" i="96"/>
  <c r="AJ46" i="96"/>
  <c r="AJ32" i="96"/>
  <c r="AJ29" i="96"/>
  <c r="AJ26" i="96"/>
  <c r="AJ25" i="96"/>
  <c r="AJ33" i="96"/>
  <c r="AJ30" i="96"/>
  <c r="AJ28" i="96"/>
  <c r="AJ24" i="96"/>
  <c r="AJ20" i="96"/>
  <c r="AJ19" i="96"/>
  <c r="AJ14" i="96"/>
  <c r="AJ12" i="96"/>
  <c r="AJ42" i="96"/>
  <c r="AJ38" i="96"/>
  <c r="AJ34" i="96"/>
  <c r="AJ31" i="96"/>
  <c r="AJ27" i="96"/>
  <c r="AJ22" i="96"/>
  <c r="AJ41" i="96"/>
  <c r="AJ37" i="96"/>
  <c r="AJ17" i="96"/>
  <c r="AJ16" i="96"/>
  <c r="AK11" i="96"/>
  <c r="AJ18" i="96"/>
  <c r="AJ15" i="96"/>
  <c r="AJ21" i="96"/>
  <c r="AJ13" i="96"/>
  <c r="AK47" i="96" l="1"/>
  <c r="AK44" i="96"/>
  <c r="AK40" i="96"/>
  <c r="AK36" i="96"/>
  <c r="AK41" i="96"/>
  <c r="AK37" i="96"/>
  <c r="AK33" i="96"/>
  <c r="AK32" i="96"/>
  <c r="AK31" i="96"/>
  <c r="AK30" i="96"/>
  <c r="AK45" i="96"/>
  <c r="AK42" i="96"/>
  <c r="AK38" i="96"/>
  <c r="AK34" i="96"/>
  <c r="AK27" i="96"/>
  <c r="AK22" i="96"/>
  <c r="AK18" i="96"/>
  <c r="AK17" i="96"/>
  <c r="AK46" i="96"/>
  <c r="AK25" i="96"/>
  <c r="AK15" i="96"/>
  <c r="AK14" i="96"/>
  <c r="AK35" i="96"/>
  <c r="AK23" i="96"/>
  <c r="AL11" i="96"/>
  <c r="AK21" i="96"/>
  <c r="AK19" i="96"/>
  <c r="AK28" i="96"/>
  <c r="AK26" i="96"/>
  <c r="AK20" i="96"/>
  <c r="AK13" i="96"/>
  <c r="AK12" i="96"/>
  <c r="AK43" i="96"/>
  <c r="AK39" i="96"/>
  <c r="AK29" i="96"/>
  <c r="AK16" i="96"/>
  <c r="BV39" i="96"/>
  <c r="BW38" i="96"/>
  <c r="BX38" i="96" s="1"/>
  <c r="BY38" i="96" s="1"/>
  <c r="BV40" i="96" l="1"/>
  <c r="BW39" i="96"/>
  <c r="BX39" i="96" s="1"/>
  <c r="BY39" i="96" s="1"/>
  <c r="AL46" i="96"/>
  <c r="AL44" i="96"/>
  <c r="AL41" i="96"/>
  <c r="AL37" i="96"/>
  <c r="AL45" i="96"/>
  <c r="AL42" i="96"/>
  <c r="AL38" i="96"/>
  <c r="AL34" i="96"/>
  <c r="AL47" i="96"/>
  <c r="AL33" i="96"/>
  <c r="AL27" i="96"/>
  <c r="AL22" i="96"/>
  <c r="AL32" i="96"/>
  <c r="AL31" i="96"/>
  <c r="AL16" i="96"/>
  <c r="AM11" i="96"/>
  <c r="AL43" i="96"/>
  <c r="AL39" i="96"/>
  <c r="AL35" i="96"/>
  <c r="AL29" i="96"/>
  <c r="AL26" i="96"/>
  <c r="AL23" i="96"/>
  <c r="AL21" i="96"/>
  <c r="AL19" i="96"/>
  <c r="AL18" i="96"/>
  <c r="AL17" i="96"/>
  <c r="AL15" i="96"/>
  <c r="AL14" i="96"/>
  <c r="AL40" i="96"/>
  <c r="AL36" i="96"/>
  <c r="AL28" i="96"/>
  <c r="AL24" i="96"/>
  <c r="AL20" i="96"/>
  <c r="AL13" i="96"/>
  <c r="AL12" i="96"/>
  <c r="AL30" i="96"/>
  <c r="AM45" i="96" l="1"/>
  <c r="AM42" i="96"/>
  <c r="AM38" i="96"/>
  <c r="AM34" i="96"/>
  <c r="AM47" i="96"/>
  <c r="AM46" i="96"/>
  <c r="AM43" i="96"/>
  <c r="AM39" i="96"/>
  <c r="AM35" i="96"/>
  <c r="AM28" i="96"/>
  <c r="AM23" i="96"/>
  <c r="AM41" i="96"/>
  <c r="AM40" i="96"/>
  <c r="AM37" i="96"/>
  <c r="AM36" i="96"/>
  <c r="AM29" i="96"/>
  <c r="AM25" i="96"/>
  <c r="AM21" i="96"/>
  <c r="AM15" i="96"/>
  <c r="AM13" i="96"/>
  <c r="AM44" i="96"/>
  <c r="AM24" i="96"/>
  <c r="AM22" i="96"/>
  <c r="AM20" i="96"/>
  <c r="AM12" i="96"/>
  <c r="AM17" i="96"/>
  <c r="AN11" i="96"/>
  <c r="AM19" i="96"/>
  <c r="AM33" i="96"/>
  <c r="AM27" i="96"/>
  <c r="AM32" i="96"/>
  <c r="AM30" i="96"/>
  <c r="AM16" i="96"/>
  <c r="AM14" i="96"/>
  <c r="AM31" i="96"/>
  <c r="AM18" i="96"/>
  <c r="BW40" i="96"/>
  <c r="BX40" i="96" s="1"/>
  <c r="BY40" i="96" s="1"/>
  <c r="BV41" i="96"/>
  <c r="BW41" i="96" l="1"/>
  <c r="BX41" i="96" s="1"/>
  <c r="BY41" i="96" s="1"/>
  <c r="BV42" i="96"/>
  <c r="AN47" i="96"/>
  <c r="AN45" i="96"/>
  <c r="AN46" i="96"/>
  <c r="AN43" i="96"/>
  <c r="AN39" i="96"/>
  <c r="AN35" i="96"/>
  <c r="AN40" i="96"/>
  <c r="AN36" i="96"/>
  <c r="AN41" i="96"/>
  <c r="AN37" i="96"/>
  <c r="AN29" i="96"/>
  <c r="AN24" i="96"/>
  <c r="AN42" i="96"/>
  <c r="AN38" i="96"/>
  <c r="AN34" i="96"/>
  <c r="AN44" i="96"/>
  <c r="AN26" i="96"/>
  <c r="AN23" i="96"/>
  <c r="AN20" i="96"/>
  <c r="AN19" i="96"/>
  <c r="AN14" i="96"/>
  <c r="AN12" i="96"/>
  <c r="AN33" i="96"/>
  <c r="AN30" i="96"/>
  <c r="AN28" i="96"/>
  <c r="AN21" i="96"/>
  <c r="AN13" i="96"/>
  <c r="AN22" i="96"/>
  <c r="AN32" i="96"/>
  <c r="AN17" i="96"/>
  <c r="AN16" i="96"/>
  <c r="AO11" i="96"/>
  <c r="AN31" i="96"/>
  <c r="AN18" i="96"/>
  <c r="AN15" i="96"/>
  <c r="AN25" i="96"/>
  <c r="AO47" i="96" l="1"/>
  <c r="AO40" i="96"/>
  <c r="AO36" i="96"/>
  <c r="AO44" i="96"/>
  <c r="AO41" i="96"/>
  <c r="AO37" i="96"/>
  <c r="AO33" i="96"/>
  <c r="AO32" i="96"/>
  <c r="AO42" i="96"/>
  <c r="AO38" i="96"/>
  <c r="AO34" i="96"/>
  <c r="AO31" i="96"/>
  <c r="AO30" i="96"/>
  <c r="AO26" i="96"/>
  <c r="AO25" i="96"/>
  <c r="AO45" i="96"/>
  <c r="AO43" i="96"/>
  <c r="AO39" i="96"/>
  <c r="AO35" i="96"/>
  <c r="AO46" i="96"/>
  <c r="AO18" i="96"/>
  <c r="AO17" i="96"/>
  <c r="AO24" i="96"/>
  <c r="AO22" i="96"/>
  <c r="AO27" i="96"/>
  <c r="AO16" i="96"/>
  <c r="AP11" i="96"/>
  <c r="AO21" i="96"/>
  <c r="AO20" i="96"/>
  <c r="AO15" i="96"/>
  <c r="AO14" i="96"/>
  <c r="AO29" i="96"/>
  <c r="AO23" i="96"/>
  <c r="AO19" i="96"/>
  <c r="AO13" i="96"/>
  <c r="AO12" i="96"/>
  <c r="BV43" i="96"/>
  <c r="BW42" i="96"/>
  <c r="BX42" i="96" s="1"/>
  <c r="BY42" i="96" s="1"/>
  <c r="AP46" i="96" l="1"/>
  <c r="AP44" i="96"/>
  <c r="AP47" i="96"/>
  <c r="AP41" i="96"/>
  <c r="AP37" i="96"/>
  <c r="AP42" i="96"/>
  <c r="AP38" i="96"/>
  <c r="AP34" i="96"/>
  <c r="AP45" i="96"/>
  <c r="AP43" i="96"/>
  <c r="AP40" i="96"/>
  <c r="AP39" i="96"/>
  <c r="AP36" i="96"/>
  <c r="AP35" i="96"/>
  <c r="AP32" i="96"/>
  <c r="AP22" i="96"/>
  <c r="AP33" i="96"/>
  <c r="AP30" i="96"/>
  <c r="AP28" i="96"/>
  <c r="AP24" i="96"/>
  <c r="AP16" i="96"/>
  <c r="AQ11" i="96"/>
  <c r="AP31" i="96"/>
  <c r="AP27" i="96"/>
  <c r="AP21" i="96"/>
  <c r="AP17" i="96"/>
  <c r="AP15" i="96"/>
  <c r="AP14" i="96"/>
  <c r="AP12" i="96"/>
  <c r="AP26" i="96"/>
  <c r="AP23" i="96"/>
  <c r="AP19" i="96"/>
  <c r="AP18" i="96"/>
  <c r="AP25" i="96"/>
  <c r="AP20" i="96"/>
  <c r="AP13" i="96"/>
  <c r="BW43" i="96"/>
  <c r="BX43" i="96" s="1"/>
  <c r="BY43" i="96" s="1"/>
  <c r="BV44" i="96"/>
  <c r="BW44" i="96" l="1"/>
  <c r="BX44" i="96" s="1"/>
  <c r="BY44" i="96" s="1"/>
  <c r="BV45" i="96"/>
  <c r="AQ44" i="96"/>
  <c r="AQ42" i="96"/>
  <c r="AQ38" i="96"/>
  <c r="AQ34" i="96"/>
  <c r="AQ45" i="96"/>
  <c r="AQ43" i="96"/>
  <c r="AQ39" i="96"/>
  <c r="AQ35" i="96"/>
  <c r="AQ33" i="96"/>
  <c r="AQ27" i="96"/>
  <c r="AQ23" i="96"/>
  <c r="AQ46" i="96"/>
  <c r="AQ31" i="96"/>
  <c r="AQ22" i="96"/>
  <c r="AQ21" i="96"/>
  <c r="AQ15" i="96"/>
  <c r="AQ13" i="96"/>
  <c r="AQ40" i="96"/>
  <c r="AQ36" i="96"/>
  <c r="AQ32" i="96"/>
  <c r="AQ25" i="96"/>
  <c r="AQ20" i="96"/>
  <c r="AQ47" i="96"/>
  <c r="AQ28" i="96"/>
  <c r="AQ26" i="96"/>
  <c r="AQ19" i="96"/>
  <c r="AQ18" i="96"/>
  <c r="AQ29" i="96"/>
  <c r="AQ12" i="96"/>
  <c r="AQ41" i="96"/>
  <c r="AQ37" i="96"/>
  <c r="AQ24" i="96"/>
  <c r="AQ17" i="96"/>
  <c r="AQ16" i="96"/>
  <c r="AQ14" i="96"/>
  <c r="AR11" i="96"/>
  <c r="AR47" i="96" l="1"/>
  <c r="AR45" i="96"/>
  <c r="AR43" i="96"/>
  <c r="AR39" i="96"/>
  <c r="AR35" i="96"/>
  <c r="AR46" i="96"/>
  <c r="AR40" i="96"/>
  <c r="AR36" i="96"/>
  <c r="AR28" i="96"/>
  <c r="AR24" i="96"/>
  <c r="AR44" i="96"/>
  <c r="AR33" i="96"/>
  <c r="AR32" i="96"/>
  <c r="AR27" i="96"/>
  <c r="AR25" i="96"/>
  <c r="AR20" i="96"/>
  <c r="AR19" i="96"/>
  <c r="AR14" i="96"/>
  <c r="AR12" i="96"/>
  <c r="AR41" i="96"/>
  <c r="AR37" i="96"/>
  <c r="AR29" i="96"/>
  <c r="AR26" i="96"/>
  <c r="AR23" i="96"/>
  <c r="AR16" i="96"/>
  <c r="AS11" i="96"/>
  <c r="AR18" i="96"/>
  <c r="AR42" i="96"/>
  <c r="AR38" i="96"/>
  <c r="AR34" i="96"/>
  <c r="AR30" i="96"/>
  <c r="AR13" i="96"/>
  <c r="AR22" i="96"/>
  <c r="AR21" i="96"/>
  <c r="AR17" i="96"/>
  <c r="AR15" i="96"/>
  <c r="BV46" i="96"/>
  <c r="BW45" i="96"/>
  <c r="BX45" i="96" s="1"/>
  <c r="BY45" i="96" s="1"/>
  <c r="AS47" i="96" l="1"/>
  <c r="AS46" i="96"/>
  <c r="AS45" i="96"/>
  <c r="AS40" i="96"/>
  <c r="AS36" i="96"/>
  <c r="AS41" i="96"/>
  <c r="AS37" i="96"/>
  <c r="AS33" i="96"/>
  <c r="AS44" i="96"/>
  <c r="AS29" i="96"/>
  <c r="AS26" i="96"/>
  <c r="AS25" i="96"/>
  <c r="AS43" i="96"/>
  <c r="AS39" i="96"/>
  <c r="AS35" i="96"/>
  <c r="AS23" i="96"/>
  <c r="AS18" i="96"/>
  <c r="AS17" i="96"/>
  <c r="AS42" i="96"/>
  <c r="AS38" i="96"/>
  <c r="AS34" i="96"/>
  <c r="AS30" i="96"/>
  <c r="AS13" i="96"/>
  <c r="AS12" i="96"/>
  <c r="AS15" i="96"/>
  <c r="AS19" i="96"/>
  <c r="AS31" i="96"/>
  <c r="AS22" i="96"/>
  <c r="AS21" i="96"/>
  <c r="AS20" i="96"/>
  <c r="AS16" i="96"/>
  <c r="AT11" i="96"/>
  <c r="AS24" i="96"/>
  <c r="AS14" i="96"/>
  <c r="AS28" i="96"/>
  <c r="AS27" i="96"/>
  <c r="BV47" i="96"/>
  <c r="BW46" i="96"/>
  <c r="BX46" i="96" s="1"/>
  <c r="BY46" i="96" s="1"/>
  <c r="BW47" i="96" l="1"/>
  <c r="BX47" i="96" s="1"/>
  <c r="BY47" i="96" s="1"/>
  <c r="BV48" i="96"/>
  <c r="AT46" i="96"/>
  <c r="AT44" i="96"/>
  <c r="AT41" i="96"/>
  <c r="AT37" i="96"/>
  <c r="AT42" i="96"/>
  <c r="AT38" i="96"/>
  <c r="AT34" i="96"/>
  <c r="AT32" i="96"/>
  <c r="AT31" i="96"/>
  <c r="AT30" i="96"/>
  <c r="AT22" i="96"/>
  <c r="AT40" i="96"/>
  <c r="AT36" i="96"/>
  <c r="AT29" i="96"/>
  <c r="AT26" i="96"/>
  <c r="AT16" i="96"/>
  <c r="AU11" i="96"/>
  <c r="AT28" i="96"/>
  <c r="AT24" i="96"/>
  <c r="AT21" i="96"/>
  <c r="AT23" i="96"/>
  <c r="AT20" i="96"/>
  <c r="AT18" i="96"/>
  <c r="AT12" i="96"/>
  <c r="AT45" i="96"/>
  <c r="AT25" i="96"/>
  <c r="AT17" i="96"/>
  <c r="AT15" i="96"/>
  <c r="AT14" i="96"/>
  <c r="AT43" i="96"/>
  <c r="AT39" i="96"/>
  <c r="AT35" i="96"/>
  <c r="AT27" i="96"/>
  <c r="AT19" i="96"/>
  <c r="AT47" i="96"/>
  <c r="AT13" i="96"/>
  <c r="BV49" i="96" l="1"/>
  <c r="BW48" i="96"/>
  <c r="BX48" i="96" s="1"/>
  <c r="BY48" i="96" s="1"/>
  <c r="AU42" i="96"/>
  <c r="AU38" i="96"/>
  <c r="AU47" i="96"/>
  <c r="AU44" i="96"/>
  <c r="AU43" i="96"/>
  <c r="AU39" i="96"/>
  <c r="AU35" i="96"/>
  <c r="AU46" i="96"/>
  <c r="AU31" i="96"/>
  <c r="AU27" i="96"/>
  <c r="AU23" i="96"/>
  <c r="AU41" i="96"/>
  <c r="AU40" i="96"/>
  <c r="AU37" i="96"/>
  <c r="AU36" i="96"/>
  <c r="AU28" i="96"/>
  <c r="AU24" i="96"/>
  <c r="AU21" i="96"/>
  <c r="AU15" i="96"/>
  <c r="AU13" i="96"/>
  <c r="AU30" i="96"/>
  <c r="AU22" i="96"/>
  <c r="AU20" i="96"/>
  <c r="AU45" i="96"/>
  <c r="AU33" i="96"/>
  <c r="AU32" i="96"/>
  <c r="AU29" i="96"/>
  <c r="AU25" i="96"/>
  <c r="AU17" i="96"/>
  <c r="AU16" i="96"/>
  <c r="AU14" i="96"/>
  <c r="AV11" i="96"/>
  <c r="AU26" i="96"/>
  <c r="AU19" i="96"/>
  <c r="AU18" i="96"/>
  <c r="AU12" i="96"/>
  <c r="AV47" i="96" l="1"/>
  <c r="AV45" i="96"/>
  <c r="AV44" i="96"/>
  <c r="AV43" i="96"/>
  <c r="AV39" i="96"/>
  <c r="AV34" i="96"/>
  <c r="AV40" i="96"/>
  <c r="AV36" i="96"/>
  <c r="AV41" i="96"/>
  <c r="AV37" i="96"/>
  <c r="AV32" i="96"/>
  <c r="AV28" i="96"/>
  <c r="AV24" i="96"/>
  <c r="AV42" i="96"/>
  <c r="AV38" i="96"/>
  <c r="AV33" i="96"/>
  <c r="AV30" i="96"/>
  <c r="AV22" i="96"/>
  <c r="AV20" i="96"/>
  <c r="AV19" i="96"/>
  <c r="AV14" i="96"/>
  <c r="AV12" i="96"/>
  <c r="AV27" i="96"/>
  <c r="AV25" i="96"/>
  <c r="AV31" i="96"/>
  <c r="AV21" i="96"/>
  <c r="AV18" i="96"/>
  <c r="AV15" i="96"/>
  <c r="AV29" i="96"/>
  <c r="AW11" i="96"/>
  <c r="AV46" i="96"/>
  <c r="AV26" i="96"/>
  <c r="AV13" i="96"/>
  <c r="AV23" i="96"/>
  <c r="AV17" i="96"/>
  <c r="AV16" i="96"/>
  <c r="BV50" i="96"/>
  <c r="BW49" i="96"/>
  <c r="BX49" i="96" s="1"/>
  <c r="BY49" i="96" s="1"/>
  <c r="AW47" i="96" l="1"/>
  <c r="AW40" i="96"/>
  <c r="AW35" i="96"/>
  <c r="AW46" i="96"/>
  <c r="AW45" i="96"/>
  <c r="AW41" i="96"/>
  <c r="AW37" i="96"/>
  <c r="AW42" i="96"/>
  <c r="AW38" i="96"/>
  <c r="AW33" i="96"/>
  <c r="AW29" i="96"/>
  <c r="AW26" i="96"/>
  <c r="AW25" i="96"/>
  <c r="AW43" i="96"/>
  <c r="AW39" i="96"/>
  <c r="AW34" i="96"/>
  <c r="AW27" i="96"/>
  <c r="AW18" i="96"/>
  <c r="AW17" i="96"/>
  <c r="AW31" i="96"/>
  <c r="AW23" i="96"/>
  <c r="AW22" i="96"/>
  <c r="AW19" i="96"/>
  <c r="AW16" i="96"/>
  <c r="AX11" i="96"/>
  <c r="AW32" i="96"/>
  <c r="AW30" i="96"/>
  <c r="AW15" i="96"/>
  <c r="AW14" i="96"/>
  <c r="AW24" i="96"/>
  <c r="AW13" i="96"/>
  <c r="AW12" i="96"/>
  <c r="AW44" i="96"/>
  <c r="AW28" i="96"/>
  <c r="AW21" i="96"/>
  <c r="AW20" i="96"/>
  <c r="BW50" i="96"/>
  <c r="BX50" i="96" s="1"/>
  <c r="BY50" i="96" s="1"/>
  <c r="BV51" i="96"/>
  <c r="BV52" i="96" l="1"/>
  <c r="BW51" i="96"/>
  <c r="BX51" i="96" s="1"/>
  <c r="BY51" i="96" s="1"/>
  <c r="AX46" i="96"/>
  <c r="AX44" i="96"/>
  <c r="AX47" i="96"/>
  <c r="AX45" i="96"/>
  <c r="AX41" i="96"/>
  <c r="AX36" i="96"/>
  <c r="AX42" i="96"/>
  <c r="AX38" i="96"/>
  <c r="AX33" i="96"/>
  <c r="AX32" i="96"/>
  <c r="AX31" i="96"/>
  <c r="AX43" i="96"/>
  <c r="AX40" i="96"/>
  <c r="AX39" i="96"/>
  <c r="AX34" i="96"/>
  <c r="AX30" i="96"/>
  <c r="AX22" i="96"/>
  <c r="AX35" i="96"/>
  <c r="AX25" i="96"/>
  <c r="AX23" i="96"/>
  <c r="AX16" i="96"/>
  <c r="AY11" i="96"/>
  <c r="AX29" i="96"/>
  <c r="AX26" i="96"/>
  <c r="AX21" i="96"/>
  <c r="AX24" i="96"/>
  <c r="AX13" i="96"/>
  <c r="AX12" i="96"/>
  <c r="AX17" i="96"/>
  <c r="AX19" i="96"/>
  <c r="AX28" i="96"/>
  <c r="AX27" i="96"/>
  <c r="AX20" i="96"/>
  <c r="AX15" i="96"/>
  <c r="AX14" i="96"/>
  <c r="AX18" i="96"/>
  <c r="AY46" i="96" l="1"/>
  <c r="AY42" i="96"/>
  <c r="AY37" i="96"/>
  <c r="AY43" i="96"/>
  <c r="AY39" i="96"/>
  <c r="AY34" i="96"/>
  <c r="AY36" i="96"/>
  <c r="AY35" i="96"/>
  <c r="AY27" i="96"/>
  <c r="AY23" i="96"/>
  <c r="AY47" i="96"/>
  <c r="AY45" i="96"/>
  <c r="AY41" i="96"/>
  <c r="AY31" i="96"/>
  <c r="AY29" i="96"/>
  <c r="AY26" i="96"/>
  <c r="AY21" i="96"/>
  <c r="AY15" i="96"/>
  <c r="AY13" i="96"/>
  <c r="AY32" i="96"/>
  <c r="AY28" i="96"/>
  <c r="AY24" i="96"/>
  <c r="AY20" i="96"/>
  <c r="AY40" i="96"/>
  <c r="AY22" i="96"/>
  <c r="AY12" i="96"/>
  <c r="AY44" i="96"/>
  <c r="AY17" i="96"/>
  <c r="AY16" i="96"/>
  <c r="AY14" i="96"/>
  <c r="AZ11" i="96"/>
  <c r="AY30" i="96"/>
  <c r="AY19" i="96"/>
  <c r="AY18" i="96"/>
  <c r="AY33" i="96"/>
  <c r="AY25" i="96"/>
  <c r="BV53" i="96"/>
  <c r="BW52" i="96"/>
  <c r="BX52" i="96" s="1"/>
  <c r="BY52" i="96" s="1"/>
  <c r="AZ47" i="96" l="1"/>
  <c r="AZ45" i="96"/>
  <c r="AZ43" i="96"/>
  <c r="AZ38" i="96"/>
  <c r="AZ34" i="96"/>
  <c r="AZ44" i="96"/>
  <c r="AZ40" i="96"/>
  <c r="AZ35" i="96"/>
  <c r="AZ31" i="96"/>
  <c r="AZ28" i="96"/>
  <c r="AZ24" i="96"/>
  <c r="AZ32" i="96"/>
  <c r="AZ37" i="96"/>
  <c r="AZ20" i="96"/>
  <c r="AZ19" i="96"/>
  <c r="AZ14" i="96"/>
  <c r="AZ12" i="96"/>
  <c r="AZ42" i="96"/>
  <c r="AZ33" i="96"/>
  <c r="AZ30" i="96"/>
  <c r="AZ22" i="96"/>
  <c r="AZ46" i="96"/>
  <c r="AZ36" i="96"/>
  <c r="AZ27" i="96"/>
  <c r="AZ17" i="96"/>
  <c r="AZ16" i="96"/>
  <c r="BA11" i="96"/>
  <c r="AZ26" i="96"/>
  <c r="AZ18" i="96"/>
  <c r="AZ15" i="96"/>
  <c r="AZ41" i="96"/>
  <c r="AZ29" i="96"/>
  <c r="AZ25" i="96"/>
  <c r="AZ23" i="96"/>
  <c r="AZ21" i="96"/>
  <c r="AZ13" i="96"/>
  <c r="BV54" i="96"/>
  <c r="BW53" i="96"/>
  <c r="BX53" i="96" s="1"/>
  <c r="BY53" i="96" s="1"/>
  <c r="BA47" i="96" l="1"/>
  <c r="BA44" i="96"/>
  <c r="BA39" i="96"/>
  <c r="BA35" i="96"/>
  <c r="BA41" i="96"/>
  <c r="BA36" i="96"/>
  <c r="BA45" i="96"/>
  <c r="BA32" i="96"/>
  <c r="BA29" i="96"/>
  <c r="BA26" i="96"/>
  <c r="BA25" i="96"/>
  <c r="BA46" i="96"/>
  <c r="BA33" i="96"/>
  <c r="BA42" i="96"/>
  <c r="BA30" i="96"/>
  <c r="BA28" i="96"/>
  <c r="BA24" i="96"/>
  <c r="BA22" i="96"/>
  <c r="BA18" i="96"/>
  <c r="BA17" i="96"/>
  <c r="BA38" i="96"/>
  <c r="BA34" i="96"/>
  <c r="BA27" i="96"/>
  <c r="BA15" i="96"/>
  <c r="BA14" i="96"/>
  <c r="BA12" i="96"/>
  <c r="BA31" i="96"/>
  <c r="BA43" i="96"/>
  <c r="BA23" i="96"/>
  <c r="BA21" i="96"/>
  <c r="BA20" i="96"/>
  <c r="BA19" i="96"/>
  <c r="BA37" i="96"/>
  <c r="BA13" i="96"/>
  <c r="BA16" i="96"/>
  <c r="BB11" i="96"/>
  <c r="BW54" i="96"/>
  <c r="BX54" i="96" s="1"/>
  <c r="BY54" i="96" s="1"/>
  <c r="BV55" i="96"/>
  <c r="BW55" i="96" l="1"/>
  <c r="BX55" i="96" s="1"/>
  <c r="BY55" i="96" s="1"/>
  <c r="BV56" i="96"/>
  <c r="BB46" i="96"/>
  <c r="BB44" i="96"/>
  <c r="BB40" i="96"/>
  <c r="BB36" i="96"/>
  <c r="BB45" i="96"/>
  <c r="BB42" i="96"/>
  <c r="BB37" i="96"/>
  <c r="BB33" i="96"/>
  <c r="BB32" i="96"/>
  <c r="BB31" i="96"/>
  <c r="BB47" i="96"/>
  <c r="BB30" i="96"/>
  <c r="BB22" i="96"/>
  <c r="BB38" i="96"/>
  <c r="BB34" i="96"/>
  <c r="BB27" i="96"/>
  <c r="BB16" i="96"/>
  <c r="BC11" i="96"/>
  <c r="BB43" i="96"/>
  <c r="BB25" i="96"/>
  <c r="BB23" i="96"/>
  <c r="BB21" i="96"/>
  <c r="BB28" i="96"/>
  <c r="BB26" i="96"/>
  <c r="BB20" i="96"/>
  <c r="BB19" i="96"/>
  <c r="BB18" i="96"/>
  <c r="BB17" i="96"/>
  <c r="BB15" i="96"/>
  <c r="BB39" i="96"/>
  <c r="BB35" i="96"/>
  <c r="BB29" i="96"/>
  <c r="BB13" i="96"/>
  <c r="BB12" i="96"/>
  <c r="BB24" i="96"/>
  <c r="BB14" i="96"/>
  <c r="BV57" i="96" l="1"/>
  <c r="BY56" i="96"/>
  <c r="BW56" i="96"/>
  <c r="BX56" i="96" s="1"/>
  <c r="BC46" i="96"/>
  <c r="BC45" i="96"/>
  <c r="BC41" i="96"/>
  <c r="BC37" i="96"/>
  <c r="BC47" i="96"/>
  <c r="BC43" i="96"/>
  <c r="BC38" i="96"/>
  <c r="BC34" i="96"/>
  <c r="BC33" i="96"/>
  <c r="BC27" i="96"/>
  <c r="BC23" i="96"/>
  <c r="BC44" i="96"/>
  <c r="BC32" i="96"/>
  <c r="BC25" i="96"/>
  <c r="BC21" i="96"/>
  <c r="BC15" i="96"/>
  <c r="BC13" i="96"/>
  <c r="BC39" i="96"/>
  <c r="BC35" i="96"/>
  <c r="BC29" i="96"/>
  <c r="BC26" i="96"/>
  <c r="BC20" i="96"/>
  <c r="BC12" i="96"/>
  <c r="BD11" i="96"/>
  <c r="BC19" i="96"/>
  <c r="BC18" i="96"/>
  <c r="BC30" i="96"/>
  <c r="BC31" i="96"/>
  <c r="BC24" i="96"/>
  <c r="BC22" i="96"/>
  <c r="BC17" i="96"/>
  <c r="BC16" i="96"/>
  <c r="BC14" i="96"/>
  <c r="BC40" i="96"/>
  <c r="BC36" i="96"/>
  <c r="BC28" i="96"/>
  <c r="BD47" i="96" l="1"/>
  <c r="BD45" i="96"/>
  <c r="BD42" i="96"/>
  <c r="BD38" i="96"/>
  <c r="BD34" i="96"/>
  <c r="BD46" i="96"/>
  <c r="BD39" i="96"/>
  <c r="BD35" i="96"/>
  <c r="BD44" i="96"/>
  <c r="BD28" i="96"/>
  <c r="BD24" i="96"/>
  <c r="BD41" i="96"/>
  <c r="BD40" i="96"/>
  <c r="BD37" i="96"/>
  <c r="BD36" i="96"/>
  <c r="BD33" i="96"/>
  <c r="BD29" i="96"/>
  <c r="BD26" i="96"/>
  <c r="BD23" i="96"/>
  <c r="BD20" i="96"/>
  <c r="BD19" i="96"/>
  <c r="BD14" i="96"/>
  <c r="BD12" i="96"/>
  <c r="BD31" i="96"/>
  <c r="BD30" i="96"/>
  <c r="BD21" i="96"/>
  <c r="BD13" i="96"/>
  <c r="BD18" i="96"/>
  <c r="BD15" i="96"/>
  <c r="BD25" i="96"/>
  <c r="BD22" i="96"/>
  <c r="BD17" i="96"/>
  <c r="BD16" i="96"/>
  <c r="BE11" i="96"/>
  <c r="BD32" i="96"/>
  <c r="BD27" i="96"/>
  <c r="BV58" i="96"/>
  <c r="BY57" i="96"/>
  <c r="BW57" i="96"/>
  <c r="BX57" i="96" s="1"/>
  <c r="BW58" i="96" l="1"/>
  <c r="BX58" i="96" s="1"/>
  <c r="BV59" i="96"/>
  <c r="BY58" i="96"/>
  <c r="BE47" i="96"/>
  <c r="BE46" i="96"/>
  <c r="BE43" i="96"/>
  <c r="BE39" i="96"/>
  <c r="BE35" i="96"/>
  <c r="BE40" i="96"/>
  <c r="BE36" i="96"/>
  <c r="BE41" i="96"/>
  <c r="BE37" i="96"/>
  <c r="BE31" i="96"/>
  <c r="BE29" i="96"/>
  <c r="BE26" i="96"/>
  <c r="BE25" i="96"/>
  <c r="BE42" i="96"/>
  <c r="BE38" i="96"/>
  <c r="BE34" i="96"/>
  <c r="BE32" i="96"/>
  <c r="BE18" i="96"/>
  <c r="BE17" i="96"/>
  <c r="BE45" i="96"/>
  <c r="BE30" i="96"/>
  <c r="BE28" i="96"/>
  <c r="BE24" i="96"/>
  <c r="BE22" i="96"/>
  <c r="BE23" i="96"/>
  <c r="BE16" i="96"/>
  <c r="BF11" i="96"/>
  <c r="BE21" i="96"/>
  <c r="BE20" i="96"/>
  <c r="BE12" i="96"/>
  <c r="BE15" i="96"/>
  <c r="BE14" i="96"/>
  <c r="BE33" i="96"/>
  <c r="BE27" i="96"/>
  <c r="BE19" i="96"/>
  <c r="BE13" i="96"/>
  <c r="BF46" i="96" l="1"/>
  <c r="BF47" i="96"/>
  <c r="BF40" i="96"/>
  <c r="BF36" i="96"/>
  <c r="BF44" i="96"/>
  <c r="BF41" i="96"/>
  <c r="BF37" i="96"/>
  <c r="BF33" i="96"/>
  <c r="BF32" i="96"/>
  <c r="BF31" i="96"/>
  <c r="BF42" i="96"/>
  <c r="BF38" i="96"/>
  <c r="BF34" i="96"/>
  <c r="BF30" i="96"/>
  <c r="BF22" i="96"/>
  <c r="BF43" i="96"/>
  <c r="BF39" i="96"/>
  <c r="BF35" i="96"/>
  <c r="BF28" i="96"/>
  <c r="BF24" i="96"/>
  <c r="BF16" i="96"/>
  <c r="BG11" i="96"/>
  <c r="BF27" i="96"/>
  <c r="BF21" i="96"/>
  <c r="BF29" i="96"/>
  <c r="BF25" i="96"/>
  <c r="BF17" i="96"/>
  <c r="BF15" i="96"/>
  <c r="BF14" i="96"/>
  <c r="BF12" i="96"/>
  <c r="BF26" i="96"/>
  <c r="BF19" i="96"/>
  <c r="BF18" i="96"/>
  <c r="BF20" i="96"/>
  <c r="BF13" i="96"/>
  <c r="BF23" i="96"/>
  <c r="BW59" i="96"/>
  <c r="BX59" i="96" s="1"/>
  <c r="BY59" i="96"/>
  <c r="BV60" i="96"/>
  <c r="BV61" i="96" l="1"/>
  <c r="BY60" i="96"/>
  <c r="BW60" i="96"/>
  <c r="BX60" i="96" s="1"/>
  <c r="BG44" i="96"/>
  <c r="BG41" i="96"/>
  <c r="BG37" i="96"/>
  <c r="BG42" i="96"/>
  <c r="BG38" i="96"/>
  <c r="BG34" i="96"/>
  <c r="BG43" i="96"/>
  <c r="BG40" i="96"/>
  <c r="BG39" i="96"/>
  <c r="BG36" i="96"/>
  <c r="BG35" i="96"/>
  <c r="BG32" i="96"/>
  <c r="BG27" i="96"/>
  <c r="BG23" i="96"/>
  <c r="BG33" i="96"/>
  <c r="BG45" i="96"/>
  <c r="BG31" i="96"/>
  <c r="BG30" i="96"/>
  <c r="BG22" i="96"/>
  <c r="BG21" i="96"/>
  <c r="BG15" i="96"/>
  <c r="BG13" i="96"/>
  <c r="BG47" i="96"/>
  <c r="BG25" i="96"/>
  <c r="BG20" i="96"/>
  <c r="BG19" i="96"/>
  <c r="BG18" i="96"/>
  <c r="BG14" i="96"/>
  <c r="BH11" i="96"/>
  <c r="BG24" i="96"/>
  <c r="BG12" i="96"/>
  <c r="BG28" i="96"/>
  <c r="BG26" i="96"/>
  <c r="BG29" i="96"/>
  <c r="BG17" i="96"/>
  <c r="BG16" i="96"/>
  <c r="BH46" i="96" l="1"/>
  <c r="BH44" i="96"/>
  <c r="BH42" i="96"/>
  <c r="BH38" i="96"/>
  <c r="BH34" i="96"/>
  <c r="BH45" i="96"/>
  <c r="BH43" i="96"/>
  <c r="BH39" i="96"/>
  <c r="BH35" i="96"/>
  <c r="BH33" i="96"/>
  <c r="BH28" i="96"/>
  <c r="BH24" i="96"/>
  <c r="BH27" i="96"/>
  <c r="BH25" i="96"/>
  <c r="BH20" i="96"/>
  <c r="BH19" i="96"/>
  <c r="BH14" i="96"/>
  <c r="BH12" i="96"/>
  <c r="BH40" i="96"/>
  <c r="BH36" i="96"/>
  <c r="BH29" i="96"/>
  <c r="BH26" i="96"/>
  <c r="BH23" i="96"/>
  <c r="BH22" i="96"/>
  <c r="BH16" i="96"/>
  <c r="BH18" i="96"/>
  <c r="BH15" i="96"/>
  <c r="BH41" i="96"/>
  <c r="BH37" i="96"/>
  <c r="BH32" i="96"/>
  <c r="BH31" i="96"/>
  <c r="BH13" i="96"/>
  <c r="BH21" i="96"/>
  <c r="BH17" i="96"/>
  <c r="BH30" i="96"/>
  <c r="BV62" i="96"/>
  <c r="BY61" i="96"/>
  <c r="BW61" i="96"/>
  <c r="BX61" i="96" s="1"/>
  <c r="BW62" i="96" l="1"/>
  <c r="BX62" i="96" s="1"/>
  <c r="BV63" i="96"/>
  <c r="BY62" i="96"/>
  <c r="BW63" i="96" l="1"/>
  <c r="BX63" i="96" s="1"/>
  <c r="BV64" i="96"/>
  <c r="BY63" i="96"/>
  <c r="BW64" i="96" l="1"/>
  <c r="BX64" i="96" s="1"/>
  <c r="BV65" i="96"/>
  <c r="BY64" i="96"/>
  <c r="BW65" i="96" l="1"/>
  <c r="BX65" i="96" s="1"/>
  <c r="BV66" i="96"/>
  <c r="BY65" i="96"/>
  <c r="BW66" i="96" l="1"/>
  <c r="BX66" i="96" s="1"/>
  <c r="BV67" i="96"/>
  <c r="BY66" i="96"/>
  <c r="BW67" i="96" l="1"/>
  <c r="BX67" i="96" s="1"/>
  <c r="BV68" i="96"/>
  <c r="BY67" i="96"/>
  <c r="BW68" i="96" l="1"/>
  <c r="BX68" i="96" s="1"/>
  <c r="BV69" i="96"/>
  <c r="BY68" i="96"/>
  <c r="BW69" i="96" l="1"/>
  <c r="BX69" i="96" s="1"/>
  <c r="BV70" i="96"/>
  <c r="BY69" i="96"/>
  <c r="BW70" i="96" l="1"/>
  <c r="BX70" i="96" s="1"/>
  <c r="BV71" i="96"/>
  <c r="BY70" i="96"/>
  <c r="BW71" i="96" l="1"/>
  <c r="BX71" i="96" s="1"/>
  <c r="BV72" i="96"/>
  <c r="BY71" i="96"/>
  <c r="BW72" i="96" l="1"/>
  <c r="BX72" i="96" s="1"/>
  <c r="BY72" i="96"/>
  <c r="BY25" i="96" s="1"/>
  <c r="T33" i="96" s="1"/>
  <c r="L35" i="17" l="1"/>
  <c r="L34" i="17"/>
  <c r="K37" i="17" s="1"/>
  <c r="E6" i="17"/>
  <c r="E5" i="17"/>
  <c r="D21" i="12"/>
  <c r="D20" i="12"/>
  <c r="D19" i="12"/>
  <c r="D18" i="12"/>
  <c r="D17" i="12"/>
  <c r="D16" i="12"/>
  <c r="D15" i="12"/>
  <c r="D14" i="12"/>
  <c r="D13" i="12"/>
  <c r="D12" i="12"/>
  <c r="D11" i="12"/>
  <c r="D10" i="12"/>
  <c r="D9" i="12"/>
  <c r="D8" i="12"/>
  <c r="D7" i="12"/>
  <c r="Q34" i="19" s="1"/>
  <c r="Q36" i="19" s="1"/>
  <c r="D6" i="12"/>
  <c r="D5" i="12"/>
  <c r="D4" i="12"/>
  <c r="W26" i="29"/>
  <c r="V26" i="29"/>
  <c r="AA26" i="29" s="1"/>
  <c r="K26" i="29"/>
  <c r="W25" i="29"/>
  <c r="V25" i="29"/>
  <c r="AA25" i="29" s="1"/>
  <c r="K25" i="29"/>
  <c r="W24" i="29"/>
  <c r="V24" i="29"/>
  <c r="X24" i="29" s="1"/>
  <c r="K24" i="29"/>
  <c r="W23" i="29"/>
  <c r="V23" i="29"/>
  <c r="AA23" i="29" s="1"/>
  <c r="K23" i="29"/>
  <c r="W22" i="29"/>
  <c r="V22" i="29"/>
  <c r="X22" i="29" s="1"/>
  <c r="K22" i="29"/>
  <c r="W21" i="29"/>
  <c r="V21" i="29"/>
  <c r="X21" i="29" s="1"/>
  <c r="K21" i="29"/>
  <c r="W20" i="29"/>
  <c r="V20" i="29"/>
  <c r="X20" i="29" s="1"/>
  <c r="K20" i="29"/>
  <c r="W19" i="29"/>
  <c r="V19" i="29"/>
  <c r="AA19" i="29" s="1"/>
  <c r="K19" i="29"/>
  <c r="W18" i="29"/>
  <c r="V18" i="29"/>
  <c r="X18" i="29" s="1"/>
  <c r="K18" i="29"/>
  <c r="W17" i="29"/>
  <c r="V17" i="29"/>
  <c r="AA17" i="29" s="1"/>
  <c r="K17" i="29"/>
  <c r="W16" i="29"/>
  <c r="V16" i="29"/>
  <c r="X16" i="29" s="1"/>
  <c r="K16" i="29"/>
  <c r="V15" i="29"/>
  <c r="K15" i="29"/>
  <c r="V14" i="29"/>
  <c r="K14" i="29"/>
  <c r="V13" i="29"/>
  <c r="K13" i="29"/>
  <c r="V12" i="29"/>
  <c r="K12" i="29"/>
  <c r="V11" i="29"/>
  <c r="K11" i="29"/>
  <c r="V10" i="29"/>
  <c r="K10" i="29"/>
  <c r="V9" i="29"/>
  <c r="K9" i="29"/>
  <c r="V8" i="29"/>
  <c r="K8" i="29"/>
  <c r="V7" i="29"/>
  <c r="K7" i="29"/>
  <c r="L6" i="29"/>
  <c r="C11" i="22"/>
  <c r="B11" i="22"/>
  <c r="C10" i="22"/>
  <c r="C9" i="22"/>
  <c r="B9" i="22"/>
  <c r="B6" i="22"/>
  <c r="B5" i="22"/>
  <c r="T26" i="19"/>
  <c r="B15" i="19"/>
  <c r="AB7" i="19"/>
  <c r="AA7" i="19"/>
  <c r="V5" i="19"/>
  <c r="T3" i="19"/>
  <c r="G15" i="74"/>
  <c r="G14" i="74"/>
  <c r="G13" i="74"/>
  <c r="G12" i="74"/>
  <c r="G11" i="74"/>
  <c r="I10" i="74"/>
  <c r="G10" i="74"/>
  <c r="I9" i="74"/>
  <c r="G9" i="74"/>
  <c r="I8" i="74"/>
  <c r="G8" i="74"/>
  <c r="I7" i="74"/>
  <c r="G7" i="74"/>
  <c r="I6" i="74"/>
  <c r="G6" i="74"/>
  <c r="I5" i="74"/>
  <c r="G5" i="74"/>
  <c r="G4" i="74"/>
  <c r="A7" i="23"/>
  <c r="A6" i="23"/>
  <c r="BA147" i="11"/>
  <c r="BA146" i="11"/>
  <c r="BA145" i="11"/>
  <c r="BA144" i="11"/>
  <c r="BA143" i="11"/>
  <c r="BA142" i="11"/>
  <c r="BA141" i="11"/>
  <c r="BA140" i="11"/>
  <c r="BA139" i="11"/>
  <c r="BA138" i="11"/>
  <c r="BA137" i="11"/>
  <c r="BA136" i="11"/>
  <c r="BA135" i="11"/>
  <c r="BA134" i="11"/>
  <c r="BA133" i="11"/>
  <c r="BA132" i="11"/>
  <c r="BA131" i="11"/>
  <c r="BA130" i="11"/>
  <c r="BA129" i="11"/>
  <c r="BA128" i="11"/>
  <c r="BA127" i="11"/>
  <c r="BA126" i="11"/>
  <c r="BA125" i="11"/>
  <c r="BA124" i="11"/>
  <c r="BA123" i="11"/>
  <c r="BA122" i="11"/>
  <c r="BA121" i="11"/>
  <c r="BA120" i="11"/>
  <c r="BA119" i="11"/>
  <c r="BA118" i="11"/>
  <c r="BA117" i="11"/>
  <c r="BA116" i="11"/>
  <c r="BA115" i="11"/>
  <c r="BA114" i="11"/>
  <c r="BA113" i="11"/>
  <c r="BA112" i="11"/>
  <c r="BA111" i="11"/>
  <c r="BA110" i="11"/>
  <c r="BA109" i="11"/>
  <c r="BA108" i="11"/>
  <c r="BA107" i="11"/>
  <c r="BA106" i="11"/>
  <c r="BA105" i="11"/>
  <c r="BA104" i="11"/>
  <c r="BA103" i="11"/>
  <c r="BA102" i="11"/>
  <c r="BA101" i="11"/>
  <c r="BA100" i="11"/>
  <c r="BA99" i="11"/>
  <c r="BA98" i="11"/>
  <c r="BA97" i="11"/>
  <c r="BA96" i="11"/>
  <c r="BA95" i="11"/>
  <c r="BA94" i="11"/>
  <c r="BA93" i="11"/>
  <c r="BA92" i="11"/>
  <c r="BA91" i="11"/>
  <c r="BA90" i="11"/>
  <c r="BA89" i="11"/>
  <c r="BA88" i="11"/>
  <c r="BA87" i="11"/>
  <c r="BA86" i="11"/>
  <c r="BA85" i="11"/>
  <c r="BA84" i="11"/>
  <c r="BA83" i="11"/>
  <c r="BA82" i="11"/>
  <c r="BA81" i="11"/>
  <c r="BA80" i="11"/>
  <c r="BA79" i="11"/>
  <c r="BA78" i="11"/>
  <c r="BA77" i="11"/>
  <c r="BA76" i="11"/>
  <c r="BA75" i="11"/>
  <c r="BA74" i="11"/>
  <c r="BA73" i="11"/>
  <c r="BA72" i="11"/>
  <c r="BA71" i="11"/>
  <c r="BA70" i="11"/>
  <c r="BA69" i="11"/>
  <c r="BA68" i="11"/>
  <c r="BA67" i="11"/>
  <c r="BA66" i="11"/>
  <c r="BA65" i="11"/>
  <c r="BA64" i="11"/>
  <c r="BA63" i="11"/>
  <c r="BA62" i="11"/>
  <c r="BA61" i="11"/>
  <c r="BA60" i="11"/>
  <c r="BA59" i="11"/>
  <c r="BA58" i="11"/>
  <c r="BA57" i="11"/>
  <c r="BA56" i="11"/>
  <c r="BA55" i="11"/>
  <c r="BA54" i="11"/>
  <c r="BA53" i="11"/>
  <c r="BA52" i="11"/>
  <c r="BA51" i="11"/>
  <c r="BA50" i="11"/>
  <c r="BA49" i="11"/>
  <c r="BA48" i="11"/>
  <c r="BA47" i="11"/>
  <c r="BA46" i="11"/>
  <c r="BA45" i="11"/>
  <c r="BA44" i="11"/>
  <c r="BA43" i="11"/>
  <c r="BA42" i="11"/>
  <c r="BA41" i="11"/>
  <c r="BA40" i="11"/>
  <c r="BA39" i="11"/>
  <c r="BA38" i="11"/>
  <c r="BA37" i="11"/>
  <c r="BA36" i="11"/>
  <c r="BA35" i="11"/>
  <c r="BA34" i="11"/>
  <c r="BA33" i="11"/>
  <c r="BA32" i="11"/>
  <c r="BA31" i="11"/>
  <c r="BA30" i="11"/>
  <c r="BA29" i="11"/>
  <c r="BA28" i="11"/>
  <c r="BA27" i="11"/>
  <c r="BA26" i="11"/>
  <c r="BA25" i="11"/>
  <c r="BA24" i="11"/>
  <c r="BA23" i="11"/>
  <c r="BA22" i="11"/>
  <c r="BA21" i="11"/>
  <c r="BA20" i="11"/>
  <c r="BA19" i="11"/>
  <c r="BA18" i="11"/>
  <c r="BA17" i="11"/>
  <c r="BA16" i="11"/>
  <c r="BA15" i="11"/>
  <c r="BA14" i="11"/>
  <c r="BA13" i="11"/>
  <c r="BA12" i="11"/>
  <c r="BA11" i="11"/>
  <c r="BA10" i="11"/>
  <c r="BA9" i="11"/>
  <c r="P6" i="11"/>
  <c r="A6" i="11"/>
  <c r="R26" i="19" s="1"/>
  <c r="A3" i="11"/>
  <c r="AD24" i="17" l="1"/>
  <c r="M6" i="166"/>
  <c r="R1" i="138"/>
  <c r="R2" i="138"/>
  <c r="B14" i="156"/>
  <c r="C6" i="105"/>
  <c r="AD29" i="17"/>
  <c r="AD31" i="17" s="1"/>
  <c r="AD28" i="17"/>
  <c r="AD27" i="17"/>
  <c r="AD26" i="17"/>
  <c r="AD25" i="17"/>
  <c r="AG33" i="17" s="1"/>
  <c r="X7" i="17"/>
  <c r="X8" i="17"/>
  <c r="AX28" i="138"/>
  <c r="BE28" i="138"/>
  <c r="AW28" i="138"/>
  <c r="BD28" i="138"/>
  <c r="S8" i="138"/>
  <c r="BE27" i="138"/>
  <c r="BD27" i="138"/>
  <c r="U10" i="19"/>
  <c r="S39" i="19"/>
  <c r="U39" i="19"/>
  <c r="Q10" i="19"/>
  <c r="AG14" i="19" s="1"/>
  <c r="S36" i="19"/>
  <c r="S22" i="19"/>
  <c r="Q35" i="19"/>
  <c r="R17" i="19" s="1"/>
  <c r="S35" i="19"/>
  <c r="M15" i="19" s="1"/>
  <c r="N12" i="98"/>
  <c r="E9" i="98" s="1"/>
  <c r="N19" i="98"/>
  <c r="AS10" i="138"/>
  <c r="BB7" i="138"/>
  <c r="AZ6" i="138"/>
  <c r="S4" i="140"/>
  <c r="R4" i="140"/>
  <c r="F10" i="19"/>
  <c r="AR10" i="138"/>
  <c r="H5" i="19"/>
  <c r="O2" i="138"/>
  <c r="G37" i="17"/>
  <c r="L37" i="17"/>
  <c r="AW27" i="138"/>
  <c r="C39" i="98"/>
  <c r="N7" i="17"/>
  <c r="W9" i="29"/>
  <c r="AA9" i="29" s="1"/>
  <c r="W11" i="29"/>
  <c r="X11" i="29" s="1"/>
  <c r="W12" i="29"/>
  <c r="X12" i="29" s="1"/>
  <c r="W13" i="29"/>
  <c r="X13" i="29" s="1"/>
  <c r="W14" i="29"/>
  <c r="AA14" i="29" s="1"/>
  <c r="W15" i="29"/>
  <c r="X15" i="29" s="1"/>
  <c r="Q39" i="19"/>
  <c r="Q29" i="19"/>
  <c r="H9" i="98"/>
  <c r="J10" i="99"/>
  <c r="J4" i="99"/>
  <c r="J3" i="99" s="1"/>
  <c r="C15" i="94"/>
  <c r="K10" i="99"/>
  <c r="K4" i="99"/>
  <c r="K3" i="99" s="1"/>
  <c r="W10" i="29"/>
  <c r="X10" i="29" s="1"/>
  <c r="W8" i="29"/>
  <c r="AA8" i="29" s="1"/>
  <c r="AC24" i="17"/>
  <c r="AC26" i="17" s="1"/>
  <c r="W7" i="29"/>
  <c r="AA7" i="29" s="1"/>
  <c r="X26" i="29"/>
  <c r="AA22" i="29"/>
  <c r="AA18" i="29"/>
  <c r="AA21" i="29"/>
  <c r="X25" i="29"/>
  <c r="Q13" i="19"/>
  <c r="I13" i="19" s="1"/>
  <c r="Q2" i="19"/>
  <c r="AA20" i="29"/>
  <c r="X17" i="29"/>
  <c r="D35" i="17"/>
  <c r="E33" i="17"/>
  <c r="AA16" i="29"/>
  <c r="AA24" i="29"/>
  <c r="B27" i="19"/>
  <c r="R40" i="19"/>
  <c r="Q41" i="19" s="1"/>
  <c r="R41" i="19" s="1"/>
  <c r="C14" i="22"/>
  <c r="X19" i="29"/>
  <c r="X23" i="29"/>
  <c r="R8" i="17" l="1"/>
  <c r="G23" i="166"/>
  <c r="G24" i="166" s="1"/>
  <c r="B25" i="166" s="1"/>
  <c r="C23" i="166"/>
  <c r="S22" i="17"/>
  <c r="T22" i="17"/>
  <c r="B22" i="166"/>
  <c r="Q13" i="166"/>
  <c r="Q15" i="166"/>
  <c r="Q11" i="166"/>
  <c r="N6" i="166"/>
  <c r="I24" i="166"/>
  <c r="B7" i="166"/>
  <c r="Y8" i="17"/>
  <c r="Y7" i="17"/>
  <c r="AD33" i="17"/>
  <c r="E24" i="17" s="1"/>
  <c r="T13" i="98"/>
  <c r="T12" i="98"/>
  <c r="Q13" i="98"/>
  <c r="Q12" i="98"/>
  <c r="Q17" i="98"/>
  <c r="Q19" i="98" s="1"/>
  <c r="BC6" i="138"/>
  <c r="BE6" i="138" s="1"/>
  <c r="AS20" i="138" s="1"/>
  <c r="BB6" i="138"/>
  <c r="BC5" i="138"/>
  <c r="BE5" i="138" s="1"/>
  <c r="AS19" i="138" s="1"/>
  <c r="BB5" i="138"/>
  <c r="W39" i="19"/>
  <c r="AX5" i="138"/>
  <c r="AY5" i="138"/>
  <c r="AX6" i="138"/>
  <c r="AY6" i="138"/>
  <c r="AT19" i="138"/>
  <c r="AU19" i="138"/>
  <c r="AT20" i="138"/>
  <c r="AU20" i="138"/>
  <c r="AA15" i="29"/>
  <c r="AA13" i="29"/>
  <c r="AA12" i="29"/>
  <c r="AA11" i="29"/>
  <c r="AA10" i="29"/>
  <c r="S23" i="19"/>
  <c r="T22" i="19" s="1"/>
  <c r="W14" i="19"/>
  <c r="S9" i="19"/>
  <c r="F12" i="19" s="1"/>
  <c r="W11" i="19"/>
  <c r="M14" i="19"/>
  <c r="V31" i="19"/>
  <c r="F9" i="19"/>
  <c r="AS11" i="138"/>
  <c r="Q11" i="98"/>
  <c r="E10" i="98" s="1"/>
  <c r="AR11" i="138"/>
  <c r="R6" i="140"/>
  <c r="M14" i="140" s="1"/>
  <c r="S6" i="140"/>
  <c r="N31" i="140" s="1"/>
  <c r="BA6" i="138"/>
  <c r="BG11" i="138" s="1"/>
  <c r="BH11" i="138" s="1"/>
  <c r="BA5" i="138"/>
  <c r="T17" i="98"/>
  <c r="T19" i="98" s="1"/>
  <c r="H59" i="98" s="1"/>
  <c r="H11" i="98"/>
  <c r="Q11" i="19"/>
  <c r="T11" i="98"/>
  <c r="H10" i="98" s="1"/>
  <c r="Q33" i="19"/>
  <c r="I18" i="19"/>
  <c r="C15" i="22"/>
  <c r="X8" i="29"/>
  <c r="X14" i="29"/>
  <c r="P1" i="19"/>
  <c r="X7" i="29"/>
  <c r="X9" i="29"/>
  <c r="Q43" i="19"/>
  <c r="S5" i="19" s="1"/>
  <c r="Q27" i="19"/>
  <c r="Q38" i="19"/>
  <c r="E29" i="29"/>
  <c r="S19" i="98"/>
  <c r="AC25" i="17"/>
  <c r="H54" i="98"/>
  <c r="O5" i="99"/>
  <c r="R19" i="98"/>
  <c r="F59" i="98" s="1"/>
  <c r="Q37" i="19"/>
  <c r="Z15" i="99"/>
  <c r="E36" i="17"/>
  <c r="B38" i="17" s="1"/>
  <c r="R42" i="19"/>
  <c r="I29" i="166" l="1"/>
  <c r="I27" i="166"/>
  <c r="S24" i="17"/>
  <c r="T24" i="17"/>
  <c r="AC13" i="138"/>
  <c r="Q26" i="19"/>
  <c r="F13" i="19" s="1"/>
  <c r="Z35" i="138"/>
  <c r="BG35" i="138" s="1"/>
  <c r="Z38" i="138"/>
  <c r="BG38" i="138" s="1"/>
  <c r="Z37" i="138"/>
  <c r="BG37" i="138" s="1"/>
  <c r="BF12" i="138"/>
  <c r="BG12" i="138" s="1"/>
  <c r="AA18" i="19"/>
  <c r="AR12" i="138"/>
  <c r="Z33" i="138"/>
  <c r="BG33" i="138" s="1"/>
  <c r="Z36" i="138"/>
  <c r="BG36" i="138" s="1"/>
  <c r="AA27" i="29"/>
  <c r="X27" i="29"/>
  <c r="X30" i="29" s="1"/>
  <c r="B19" i="22"/>
  <c r="Z31" i="138"/>
  <c r="BG31" i="138" s="1"/>
  <c r="AS12" i="138"/>
  <c r="AC15" i="138" s="1"/>
  <c r="B22" i="22"/>
  <c r="B16" i="22"/>
  <c r="Z32" i="138"/>
  <c r="BG32" i="138" s="1"/>
  <c r="Z30" i="138"/>
  <c r="BG30" i="138" s="1"/>
  <c r="AP20" i="138"/>
  <c r="AZ12" i="138"/>
  <c r="AX12" i="138"/>
  <c r="BB20" i="138"/>
  <c r="S8" i="19"/>
  <c r="U8" i="19" s="1"/>
  <c r="W13" i="19"/>
  <c r="X13" i="19" s="1"/>
  <c r="W10" i="19"/>
  <c r="X10" i="19" s="1"/>
  <c r="Q12" i="19"/>
  <c r="C18" i="22" s="1"/>
  <c r="U11" i="19"/>
  <c r="U12" i="19" s="1"/>
  <c r="AX10" i="138"/>
  <c r="N6" i="140"/>
  <c r="N13" i="140"/>
  <c r="N26" i="140"/>
  <c r="N12" i="140"/>
  <c r="N8" i="140"/>
  <c r="N10" i="140"/>
  <c r="N9" i="140"/>
  <c r="AW14" i="138"/>
  <c r="AP19" i="138"/>
  <c r="AY12" i="138"/>
  <c r="AW12" i="138"/>
  <c r="N25" i="140"/>
  <c r="N30" i="140"/>
  <c r="N11" i="140"/>
  <c r="N7" i="140"/>
  <c r="N28" i="140"/>
  <c r="N24" i="140"/>
  <c r="M8" i="140"/>
  <c r="M24" i="140"/>
  <c r="BF5" i="138"/>
  <c r="M31" i="140"/>
  <c r="M26" i="140"/>
  <c r="M12" i="140"/>
  <c r="M29" i="140"/>
  <c r="M11" i="140"/>
  <c r="M28" i="140"/>
  <c r="M25" i="140"/>
  <c r="BF6" i="138"/>
  <c r="M9" i="140"/>
  <c r="N29" i="140"/>
  <c r="M30" i="140"/>
  <c r="M27" i="140"/>
  <c r="N23" i="140"/>
  <c r="N14" i="140"/>
  <c r="M10" i="140"/>
  <c r="M7" i="140"/>
  <c r="N27" i="140"/>
  <c r="M13" i="140"/>
  <c r="K27" i="17"/>
  <c r="L27" i="17"/>
  <c r="I9" i="19"/>
  <c r="C20" i="22"/>
  <c r="AG10" i="19" s="1"/>
  <c r="Q28" i="19"/>
  <c r="C17" i="22"/>
  <c r="G59" i="98"/>
  <c r="S11" i="19"/>
  <c r="O4" i="99"/>
  <c r="O3" i="99" s="1"/>
  <c r="M19" i="99" s="1"/>
  <c r="S26" i="19"/>
  <c r="O8" i="99"/>
  <c r="H8" i="99"/>
  <c r="I5" i="99"/>
  <c r="S14" i="98"/>
  <c r="T14" i="98"/>
  <c r="H19" i="98" s="1"/>
  <c r="H60" i="98" s="1"/>
  <c r="AA15" i="99"/>
  <c r="Y9" i="99" s="1"/>
  <c r="E11" i="98"/>
  <c r="E38" i="17"/>
  <c r="E39" i="17" s="1"/>
  <c r="V28" i="29" l="1"/>
  <c r="Q27" i="29"/>
  <c r="X32" i="29"/>
  <c r="Y8" i="99"/>
  <c r="Y7" i="99" s="1"/>
  <c r="AW15" i="138"/>
  <c r="AW13" i="138"/>
  <c r="T15" i="138" s="1"/>
  <c r="B13" i="19"/>
  <c r="AA31" i="138"/>
  <c r="AA36" i="138"/>
  <c r="AA33" i="138"/>
  <c r="AA37" i="138"/>
  <c r="AA30" i="138"/>
  <c r="AA32" i="138"/>
  <c r="AA38" i="138"/>
  <c r="AA35" i="138"/>
  <c r="Q31" i="19"/>
  <c r="Q14" i="19" s="1"/>
  <c r="AC16" i="138"/>
  <c r="AB16" i="138"/>
  <c r="AB15" i="138"/>
  <c r="W17" i="19"/>
  <c r="X17" i="19" s="1"/>
  <c r="Y17" i="19" s="1"/>
  <c r="Z17" i="19" s="1"/>
  <c r="Q15" i="19" s="1"/>
  <c r="AO19" i="138"/>
  <c r="AB19" i="138" s="1"/>
  <c r="Q14" i="98"/>
  <c r="E19" i="98" s="1"/>
  <c r="B18" i="22"/>
  <c r="AX13" i="138"/>
  <c r="V15" i="138" s="1"/>
  <c r="AX11" i="138"/>
  <c r="V13" i="138" s="1"/>
  <c r="AZ8" i="138"/>
  <c r="AY13" i="138"/>
  <c r="T16" i="138" s="1"/>
  <c r="AZ13" i="138"/>
  <c r="V16" i="138" s="1"/>
  <c r="AO20" i="138"/>
  <c r="AC19" i="138" s="1"/>
  <c r="BC20" i="138"/>
  <c r="AA18" i="138" s="1"/>
  <c r="L8" i="19"/>
  <c r="Z13" i="19"/>
  <c r="M12" i="19" s="1"/>
  <c r="U13" i="19"/>
  <c r="M10" i="19" s="1"/>
  <c r="Z11" i="19"/>
  <c r="M16" i="19"/>
  <c r="Y11" i="19"/>
  <c r="Y14" i="19"/>
  <c r="Q25" i="19"/>
  <c r="X23" i="19"/>
  <c r="N15" i="140"/>
  <c r="N20" i="140" s="1"/>
  <c r="N32" i="140"/>
  <c r="F11" i="19"/>
  <c r="C19" i="22"/>
  <c r="AG9" i="19" s="1"/>
  <c r="I8" i="99"/>
  <c r="B39" i="17"/>
  <c r="G19" i="98"/>
  <c r="S20" i="98" s="1"/>
  <c r="O10" i="99"/>
  <c r="Z10" i="99" s="1"/>
  <c r="AG11" i="19"/>
  <c r="AG12" i="19" s="1"/>
  <c r="M20" i="99"/>
  <c r="I10" i="99"/>
  <c r="Z13" i="99" s="1"/>
  <c r="I4" i="99"/>
  <c r="I3" i="99" s="1"/>
  <c r="Q19" i="19"/>
  <c r="O11" i="99"/>
  <c r="T20" i="98"/>
  <c r="E59" i="98"/>
  <c r="C16" i="22"/>
  <c r="B23" i="22" l="1"/>
  <c r="B12" i="99"/>
  <c r="E4" i="98"/>
  <c r="AV19" i="138"/>
  <c r="B20" i="19"/>
  <c r="B19" i="19" s="1"/>
  <c r="AG13" i="19"/>
  <c r="AG15" i="19" s="1"/>
  <c r="I6" i="19" s="1"/>
  <c r="Y14" i="99"/>
  <c r="G60" i="98"/>
  <c r="K11" i="99"/>
  <c r="E60" i="98"/>
  <c r="I11" i="99"/>
  <c r="M21" i="99"/>
  <c r="Q20" i="98"/>
  <c r="AW19" i="138" l="1"/>
  <c r="AX19" i="138" s="1"/>
  <c r="AY19" i="138" s="1"/>
  <c r="T20" i="138" s="1"/>
  <c r="Q24" i="19"/>
  <c r="B24" i="22"/>
  <c r="U28" i="19"/>
  <c r="X32" i="19"/>
  <c r="X33" i="19" s="1"/>
  <c r="X34" i="19"/>
  <c r="V34" i="19"/>
  <c r="V32" i="19"/>
  <c r="V33" i="19" s="1"/>
  <c r="M22" i="99"/>
  <c r="C13" i="22"/>
  <c r="Q18" i="19"/>
  <c r="V35" i="19" l="1"/>
  <c r="H15" i="19"/>
  <c r="Q16" i="19" s="1"/>
  <c r="G38" i="19"/>
  <c r="G40" i="19" s="1"/>
  <c r="M23" i="99"/>
  <c r="B21" i="19"/>
  <c r="B26" i="22" s="1"/>
  <c r="Z18" i="19" l="1"/>
  <c r="C26" i="19" s="1"/>
  <c r="H17" i="19"/>
  <c r="Z19" i="19" s="1"/>
  <c r="F26" i="19" s="1"/>
  <c r="S16" i="19"/>
  <c r="T16" i="19" s="1"/>
  <c r="R16" i="19"/>
  <c r="I8" i="19"/>
  <c r="M8" i="19"/>
  <c r="M11" i="19" s="1"/>
  <c r="M13" i="19" s="1"/>
  <c r="M17" i="19" s="1"/>
  <c r="I16" i="19"/>
  <c r="I17" i="19"/>
  <c r="U5" i="19"/>
  <c r="W6" i="19" s="1"/>
  <c r="X6" i="19" s="1"/>
  <c r="E29" i="19"/>
  <c r="E30" i="19" s="1"/>
  <c r="I25" i="19" s="1"/>
  <c r="I19" i="19"/>
  <c r="C21" i="22"/>
  <c r="C23" i="22" s="1"/>
  <c r="Q20" i="19"/>
  <c r="B18" i="19" s="1"/>
  <c r="M24" i="99"/>
  <c r="G11" i="98"/>
  <c r="G15" i="98" s="1"/>
  <c r="G16" i="98" s="1"/>
  <c r="F11" i="98"/>
  <c r="F15" i="98" s="1"/>
  <c r="F16" i="98" s="1"/>
  <c r="X8" i="19" l="1"/>
  <c r="AA19" i="19"/>
  <c r="W5" i="19"/>
  <c r="X5" i="19" s="1"/>
  <c r="B24" i="19" s="1"/>
  <c r="J8" i="99"/>
  <c r="M25" i="99"/>
  <c r="K8" i="99"/>
  <c r="I15" i="19" l="1"/>
  <c r="E33" i="19"/>
  <c r="I24" i="19" s="1"/>
  <c r="C22" i="22"/>
  <c r="M26" i="99"/>
  <c r="M27" i="99" l="1"/>
  <c r="M28" i="99" l="1"/>
  <c r="M29" i="99" l="1"/>
  <c r="M30" i="99" l="1"/>
  <c r="M31" i="99" l="1"/>
  <c r="M32" i="99" l="1"/>
  <c r="M33" i="99" l="1"/>
  <c r="M34" i="99" s="1"/>
  <c r="M35" i="99" l="1"/>
  <c r="M36" i="99" l="1"/>
  <c r="M37" i="99" l="1"/>
  <c r="M38" i="99" l="1"/>
  <c r="M39" i="99" l="1"/>
  <c r="M40" i="99" l="1"/>
  <c r="M41" i="99" l="1"/>
  <c r="M42" i="99" l="1"/>
  <c r="M43" i="99" l="1"/>
  <c r="M44" i="99" l="1"/>
  <c r="M45" i="99" l="1"/>
  <c r="M46" i="99" l="1"/>
  <c r="M47" i="99" l="1"/>
  <c r="M48" i="99" l="1"/>
  <c r="M49" i="99" l="1"/>
  <c r="M50" i="99" l="1"/>
  <c r="M51" i="99" l="1"/>
  <c r="M52" i="99" l="1"/>
  <c r="M53" i="99" l="1"/>
  <c r="M54" i="99" l="1"/>
  <c r="M55" i="99" l="1"/>
  <c r="M56" i="99" l="1"/>
  <c r="M57" i="99" l="1"/>
  <c r="M58" i="99" l="1"/>
  <c r="M59" i="99" l="1"/>
  <c r="M60" i="99" l="1"/>
  <c r="M61" i="99" l="1"/>
  <c r="M62" i="99" l="1"/>
  <c r="M63" i="99" l="1"/>
  <c r="M64" i="99" l="1"/>
  <c r="M65" i="99" l="1"/>
  <c r="M66" i="99" l="1"/>
  <c r="M67" i="99" l="1"/>
  <c r="M68" i="99" l="1"/>
  <c r="M69" i="99" l="1"/>
  <c r="M70" i="99" l="1"/>
  <c r="M71" i="99" l="1"/>
  <c r="M72" i="99" l="1"/>
  <c r="M73" i="99" l="1"/>
  <c r="M74" i="99" l="1"/>
  <c r="M75" i="99" l="1"/>
  <c r="M76" i="99" l="1"/>
  <c r="M77" i="99" l="1"/>
  <c r="M78" i="99" l="1"/>
  <c r="M79" i="99" l="1"/>
  <c r="M80" i="99" l="1"/>
  <c r="M81" i="99" l="1"/>
  <c r="M82" i="99" l="1"/>
  <c r="M83" i="99" l="1"/>
  <c r="M84" i="99" l="1"/>
  <c r="M85" i="99" l="1"/>
  <c r="M86" i="99" l="1"/>
  <c r="M87" i="99" l="1"/>
  <c r="M88" i="99" l="1"/>
  <c r="M89" i="99" l="1"/>
  <c r="M90" i="99" l="1"/>
  <c r="M91" i="99" l="1"/>
  <c r="M92" i="99" l="1"/>
  <c r="M93" i="99" l="1"/>
  <c r="E15" i="105" l="1"/>
  <c r="E18" i="105" l="1"/>
  <c r="C19" i="105" l="1"/>
  <c r="C20" i="105"/>
  <c r="E20" i="105"/>
  <c r="E23" i="105" s="1"/>
  <c r="E24" i="105" l="1"/>
  <c r="E25" i="105" s="1"/>
  <c r="F25" i="105" s="1"/>
  <c r="K12" i="99" l="1"/>
  <c r="F18" i="99" l="1"/>
  <c r="K18" i="99" s="1"/>
  <c r="K35" i="115" l="1"/>
  <c r="K37" i="115" s="1"/>
  <c r="L35" i="115"/>
  <c r="L37" i="115" s="1"/>
  <c r="U4" i="99" l="1"/>
  <c r="X19" i="98" s="1"/>
  <c r="J6" i="99" l="1"/>
  <c r="F52" i="98"/>
  <c r="BD168" i="11" l="1"/>
  <c r="BD167" i="11"/>
  <c r="BD170" i="11"/>
  <c r="BD169" i="11"/>
  <c r="BD171" i="11"/>
  <c r="BE167" i="11"/>
  <c r="BE169" i="11"/>
  <c r="BE168" i="11"/>
  <c r="BE171" i="11"/>
  <c r="BE170" i="11"/>
  <c r="BF170" i="11"/>
  <c r="BF171" i="11"/>
  <c r="BF168" i="11"/>
  <c r="BF169" i="11"/>
  <c r="BF167" i="11"/>
  <c r="BG171" i="11"/>
  <c r="BG168" i="11"/>
  <c r="BG169" i="11"/>
  <c r="BG167" i="11"/>
  <c r="BG170" i="11"/>
  <c r="J12" i="99"/>
  <c r="G52" i="98"/>
  <c r="F51" i="98"/>
  <c r="B20" i="98" l="1"/>
  <c r="R16" i="98"/>
  <c r="S16" i="98"/>
  <c r="G57" i="98" s="1"/>
  <c r="G58" i="98" s="1"/>
  <c r="G61" i="98" s="1"/>
  <c r="E18" i="99"/>
  <c r="J18" i="99" s="1"/>
  <c r="P2" i="99"/>
  <c r="J11" i="98"/>
  <c r="J15" i="98" s="1"/>
  <c r="Q2" i="99"/>
  <c r="R2" i="99"/>
  <c r="V19" i="98"/>
  <c r="V21" i="98" s="1"/>
  <c r="AJ29" i="98"/>
  <c r="AL14" i="98" s="1"/>
  <c r="I11" i="98"/>
  <c r="W19" i="98"/>
  <c r="W21" i="98" s="1"/>
  <c r="U19" i="98"/>
  <c r="U21" i="98" s="1"/>
  <c r="R4" i="99"/>
  <c r="R10" i="99" s="1"/>
  <c r="K11" i="98"/>
  <c r="S21" i="98" l="1"/>
  <c r="R21" i="98"/>
  <c r="S22" i="98"/>
  <c r="S23" i="98" s="1"/>
  <c r="Q12" i="99"/>
  <c r="Q31" i="99" s="1"/>
  <c r="V31" i="99" s="1"/>
  <c r="V16" i="98"/>
  <c r="U14" i="98"/>
  <c r="I19" i="98" s="1"/>
  <c r="U20" i="98" s="1"/>
  <c r="Q8" i="99"/>
  <c r="P8" i="99"/>
  <c r="P4" i="99"/>
  <c r="R3" i="99"/>
  <c r="I15" i="98"/>
  <c r="P6" i="99"/>
  <c r="Q4" i="99"/>
  <c r="W14" i="98"/>
  <c r="K19" i="98" s="1"/>
  <c r="V14" i="98"/>
  <c r="J19" i="98" s="1"/>
  <c r="K15" i="98"/>
  <c r="R8" i="99"/>
  <c r="AK29" i="98"/>
  <c r="AL29" i="98" s="1"/>
  <c r="C7" i="106"/>
  <c r="J16" i="98"/>
  <c r="Q71" i="99" l="1"/>
  <c r="V71" i="99" s="1"/>
  <c r="Q38" i="99"/>
  <c r="V38" i="99" s="1"/>
  <c r="Q28" i="99"/>
  <c r="V28" i="99" s="1"/>
  <c r="Q80" i="99"/>
  <c r="V80" i="99" s="1"/>
  <c r="Q24" i="99"/>
  <c r="V24" i="99" s="1"/>
  <c r="Q76" i="99"/>
  <c r="V76" i="99" s="1"/>
  <c r="Q79" i="99"/>
  <c r="V79" i="99" s="1"/>
  <c r="Q75" i="99"/>
  <c r="V75" i="99" s="1"/>
  <c r="Q32" i="99"/>
  <c r="V32" i="99" s="1"/>
  <c r="Q27" i="99"/>
  <c r="V27" i="99" s="1"/>
  <c r="Q23" i="99"/>
  <c r="V23" i="99" s="1"/>
  <c r="Q78" i="99"/>
  <c r="V78" i="99" s="1"/>
  <c r="Q74" i="99"/>
  <c r="V74" i="99" s="1"/>
  <c r="Q30" i="99"/>
  <c r="V30" i="99" s="1"/>
  <c r="Q26" i="99"/>
  <c r="V26" i="99" s="1"/>
  <c r="Q22" i="99"/>
  <c r="V22" i="99" s="1"/>
  <c r="Q77" i="99"/>
  <c r="V77" i="99" s="1"/>
  <c r="Q73" i="99"/>
  <c r="V73" i="99" s="1"/>
  <c r="Q29" i="99"/>
  <c r="V29" i="99" s="1"/>
  <c r="Q25" i="99"/>
  <c r="V25" i="99" s="1"/>
  <c r="Q93" i="99"/>
  <c r="V93" i="99" s="1"/>
  <c r="Q92" i="99"/>
  <c r="V92" i="99" s="1"/>
  <c r="Q91" i="99"/>
  <c r="V91" i="99" s="1"/>
  <c r="Q90" i="99"/>
  <c r="V90" i="99" s="1"/>
  <c r="Q88" i="99"/>
  <c r="V88" i="99" s="1"/>
  <c r="Q89" i="99"/>
  <c r="V89" i="99" s="1"/>
  <c r="Q86" i="99"/>
  <c r="V86" i="99" s="1"/>
  <c r="Q87" i="99"/>
  <c r="V87" i="99" s="1"/>
  <c r="Q85" i="99"/>
  <c r="V85" i="99" s="1"/>
  <c r="Q83" i="99"/>
  <c r="V83" i="99" s="1"/>
  <c r="Q84" i="99"/>
  <c r="V84" i="99" s="1"/>
  <c r="Q82" i="99"/>
  <c r="V82" i="99" s="1"/>
  <c r="Q81" i="99"/>
  <c r="V81" i="99" s="1"/>
  <c r="Q70" i="99"/>
  <c r="V70" i="99" s="1"/>
  <c r="Q69" i="99"/>
  <c r="V69" i="99" s="1"/>
  <c r="Q68" i="99"/>
  <c r="V68" i="99" s="1"/>
  <c r="Q67" i="99"/>
  <c r="V67" i="99" s="1"/>
  <c r="Q66" i="99"/>
  <c r="V66" i="99" s="1"/>
  <c r="Q65" i="99"/>
  <c r="V65" i="99" s="1"/>
  <c r="Q63" i="99"/>
  <c r="V63" i="99" s="1"/>
  <c r="Q62" i="99"/>
  <c r="V62" i="99" s="1"/>
  <c r="Q60" i="99"/>
  <c r="V60" i="99" s="1"/>
  <c r="Q59" i="99"/>
  <c r="V59" i="99" s="1"/>
  <c r="Q58" i="99"/>
  <c r="V58" i="99" s="1"/>
  <c r="Q57" i="99"/>
  <c r="V57" i="99" s="1"/>
  <c r="Q56" i="99"/>
  <c r="V56" i="99" s="1"/>
  <c r="Q55" i="99"/>
  <c r="V55" i="99" s="1"/>
  <c r="Q54" i="99"/>
  <c r="V54" i="99" s="1"/>
  <c r="Q53" i="99"/>
  <c r="V53" i="99" s="1"/>
  <c r="Q49" i="99"/>
  <c r="V49" i="99" s="1"/>
  <c r="Q47" i="99"/>
  <c r="V47" i="99" s="1"/>
  <c r="Q46" i="99"/>
  <c r="V46" i="99" s="1"/>
  <c r="Q45" i="99"/>
  <c r="V45" i="99" s="1"/>
  <c r="Q44" i="99"/>
  <c r="V44" i="99" s="1"/>
  <c r="Q43" i="99"/>
  <c r="V43" i="99" s="1"/>
  <c r="Q42" i="99"/>
  <c r="V42" i="99" s="1"/>
  <c r="Q61" i="99"/>
  <c r="V61" i="99" s="1"/>
  <c r="Q40" i="99"/>
  <c r="V40" i="99" s="1"/>
  <c r="Q39" i="99"/>
  <c r="V39" i="99" s="1"/>
  <c r="Q41" i="99"/>
  <c r="V41" i="99" s="1"/>
  <c r="Q21" i="99"/>
  <c r="V21" i="99" s="1"/>
  <c r="Q37" i="99"/>
  <c r="V37" i="99" s="1"/>
  <c r="Q20" i="99"/>
  <c r="V20" i="99" s="1"/>
  <c r="Q52" i="99"/>
  <c r="V52" i="99" s="1"/>
  <c r="Q36" i="99"/>
  <c r="V36" i="99" s="1"/>
  <c r="Q19" i="99"/>
  <c r="V19" i="99" s="1"/>
  <c r="Q51" i="99"/>
  <c r="V51" i="99" s="1"/>
  <c r="Q35" i="99"/>
  <c r="V35" i="99" s="1"/>
  <c r="Q18" i="99"/>
  <c r="V18" i="99" s="1"/>
  <c r="Q50" i="99"/>
  <c r="V50" i="99" s="1"/>
  <c r="Q34" i="99"/>
  <c r="V34" i="99" s="1"/>
  <c r="Q72" i="99"/>
  <c r="V72" i="99" s="1"/>
  <c r="Q64" i="99"/>
  <c r="V64" i="99" s="1"/>
  <c r="Q48" i="99"/>
  <c r="V48" i="99" s="1"/>
  <c r="Q33" i="99"/>
  <c r="V33" i="99" s="1"/>
  <c r="G22" i="98"/>
  <c r="G20" i="98"/>
  <c r="G40" i="98" s="1"/>
  <c r="P12" i="99"/>
  <c r="P31" i="99" s="1"/>
  <c r="U16" i="98"/>
  <c r="U22" i="98" s="1"/>
  <c r="U23" i="98" s="1"/>
  <c r="I20" i="98" s="1"/>
  <c r="R12" i="99"/>
  <c r="W32" i="99" s="1"/>
  <c r="W16" i="98"/>
  <c r="I16" i="98"/>
  <c r="W62" i="99"/>
  <c r="W46" i="99"/>
  <c r="W30" i="99"/>
  <c r="Q10" i="99"/>
  <c r="Q3" i="99"/>
  <c r="W61" i="99"/>
  <c r="W45" i="99"/>
  <c r="W29" i="99"/>
  <c r="W60" i="99"/>
  <c r="W44" i="99"/>
  <c r="W28" i="99"/>
  <c r="W59" i="99"/>
  <c r="W43" i="99"/>
  <c r="W27" i="99"/>
  <c r="W58" i="99"/>
  <c r="W26" i="99"/>
  <c r="W57" i="99"/>
  <c r="W25" i="99"/>
  <c r="W56" i="99"/>
  <c r="W40" i="99"/>
  <c r="W24" i="99"/>
  <c r="W55" i="99"/>
  <c r="W39" i="99"/>
  <c r="W23" i="99"/>
  <c r="W20" i="98"/>
  <c r="R11" i="99"/>
  <c r="W70" i="99"/>
  <c r="W54" i="99"/>
  <c r="W38" i="99"/>
  <c r="W22" i="99"/>
  <c r="W69" i="99"/>
  <c r="W53" i="99"/>
  <c r="W37" i="99"/>
  <c r="W21" i="99"/>
  <c r="W68" i="99"/>
  <c r="W52" i="99"/>
  <c r="W36" i="99"/>
  <c r="W20" i="99"/>
  <c r="W67" i="99"/>
  <c r="W51" i="99"/>
  <c r="W35" i="99"/>
  <c r="W19" i="99"/>
  <c r="W66" i="99"/>
  <c r="W50" i="99"/>
  <c r="W34" i="99"/>
  <c r="W65" i="99"/>
  <c r="W49" i="99"/>
  <c r="W33" i="99"/>
  <c r="V20" i="98"/>
  <c r="V22" i="98" s="1"/>
  <c r="V23" i="98" s="1"/>
  <c r="J20" i="98" s="1"/>
  <c r="J40" i="98" s="1"/>
  <c r="Q11" i="99"/>
  <c r="W64" i="99"/>
  <c r="W48" i="99"/>
  <c r="W31" i="99"/>
  <c r="P10" i="99"/>
  <c r="P3" i="99"/>
  <c r="W63" i="99"/>
  <c r="W47" i="99"/>
  <c r="K16" i="98"/>
  <c r="P19" i="99" l="1"/>
  <c r="U19" i="99" s="1"/>
  <c r="P20" i="99"/>
  <c r="U20" i="99" s="1"/>
  <c r="P22" i="99"/>
  <c r="U22" i="99" s="1"/>
  <c r="P23" i="99"/>
  <c r="U23" i="99" s="1"/>
  <c r="P72" i="99"/>
  <c r="U72" i="99" s="1"/>
  <c r="P76" i="99"/>
  <c r="U76" i="99" s="1"/>
  <c r="R81" i="99"/>
  <c r="W81" i="99" s="1"/>
  <c r="P80" i="99"/>
  <c r="U80" i="99" s="1"/>
  <c r="R75" i="99"/>
  <c r="W75" i="99" s="1"/>
  <c r="P84" i="99"/>
  <c r="U84" i="99" s="1"/>
  <c r="R91" i="99"/>
  <c r="W91" i="99" s="1"/>
  <c r="P88" i="99"/>
  <c r="U88" i="99" s="1"/>
  <c r="P92" i="99"/>
  <c r="U92" i="99" s="1"/>
  <c r="U13" i="99"/>
  <c r="R80" i="99"/>
  <c r="W80" i="99" s="1"/>
  <c r="R71" i="99"/>
  <c r="W71" i="99" s="1"/>
  <c r="P73" i="99"/>
  <c r="U73" i="99" s="1"/>
  <c r="R87" i="99"/>
  <c r="W87" i="99" s="1"/>
  <c r="R84" i="99"/>
  <c r="W84" i="99" s="1"/>
  <c r="P24" i="99"/>
  <c r="U24" i="99" s="1"/>
  <c r="R85" i="99"/>
  <c r="W85" i="99" s="1"/>
  <c r="R88" i="99"/>
  <c r="W88" i="99" s="1"/>
  <c r="P77" i="99"/>
  <c r="U77" i="99" s="1"/>
  <c r="R79" i="99"/>
  <c r="W79" i="99" s="1"/>
  <c r="R92" i="99"/>
  <c r="W92" i="99" s="1"/>
  <c r="P79" i="99"/>
  <c r="U79" i="99" s="1"/>
  <c r="P56" i="99"/>
  <c r="U56" i="99" s="1"/>
  <c r="R76" i="99"/>
  <c r="W76" i="99" s="1"/>
  <c r="R73" i="99"/>
  <c r="W73" i="99" s="1"/>
  <c r="P27" i="99"/>
  <c r="U27" i="99" s="1"/>
  <c r="R82" i="99"/>
  <c r="W82" i="99" s="1"/>
  <c r="R86" i="99"/>
  <c r="W86" i="99" s="1"/>
  <c r="P26" i="99"/>
  <c r="U26" i="99" s="1"/>
  <c r="R83" i="99"/>
  <c r="W83" i="99" s="1"/>
  <c r="P25" i="99"/>
  <c r="U25" i="99" s="1"/>
  <c r="P85" i="99"/>
  <c r="U85" i="99" s="1"/>
  <c r="P89" i="99"/>
  <c r="U89" i="99" s="1"/>
  <c r="R89" i="99"/>
  <c r="W89" i="99" s="1"/>
  <c r="R77" i="99"/>
  <c r="W77" i="99" s="1"/>
  <c r="P93" i="99"/>
  <c r="U93" i="99" s="1"/>
  <c r="R74" i="99"/>
  <c r="W74" i="99" s="1"/>
  <c r="R90" i="99"/>
  <c r="W90" i="99" s="1"/>
  <c r="R93" i="99"/>
  <c r="W93" i="99" s="1"/>
  <c r="P78" i="99"/>
  <c r="U78" i="99" s="1"/>
  <c r="P71" i="99"/>
  <c r="U71" i="99" s="1"/>
  <c r="P21" i="99"/>
  <c r="U21" i="99" s="1"/>
  <c r="P87" i="99"/>
  <c r="U87" i="99" s="1"/>
  <c r="P83" i="99"/>
  <c r="U83" i="99" s="1"/>
  <c r="P75" i="99"/>
  <c r="U75" i="99" s="1"/>
  <c r="P91" i="99"/>
  <c r="U91" i="99" s="1"/>
  <c r="P82" i="99"/>
  <c r="U82" i="99" s="1"/>
  <c r="P67" i="99"/>
  <c r="U67" i="99" s="1"/>
  <c r="P63" i="99"/>
  <c r="U63" i="99" s="1"/>
  <c r="P61" i="99"/>
  <c r="U61" i="99" s="1"/>
  <c r="P45" i="99"/>
  <c r="U45" i="99" s="1"/>
  <c r="P60" i="99"/>
  <c r="U60" i="99" s="1"/>
  <c r="P44" i="99"/>
  <c r="U44" i="99" s="1"/>
  <c r="P49" i="99"/>
  <c r="U49" i="99" s="1"/>
  <c r="P43" i="99"/>
  <c r="U43" i="99" s="1"/>
  <c r="P86" i="99"/>
  <c r="U86" i="99" s="1"/>
  <c r="P58" i="99"/>
  <c r="U58" i="99" s="1"/>
  <c r="P40" i="99"/>
  <c r="U40" i="99" s="1"/>
  <c r="P57" i="99"/>
  <c r="U57" i="99" s="1"/>
  <c r="U12" i="99"/>
  <c r="P41" i="99"/>
  <c r="U41" i="99" s="1"/>
  <c r="P39" i="99"/>
  <c r="U39" i="99" s="1"/>
  <c r="P18" i="99"/>
  <c r="U18" i="99" s="1"/>
  <c r="P90" i="99"/>
  <c r="U90" i="99" s="1"/>
  <c r="P51" i="99"/>
  <c r="U51" i="99" s="1"/>
  <c r="P81" i="99"/>
  <c r="P74" i="99"/>
  <c r="U74" i="99" s="1"/>
  <c r="P37" i="99"/>
  <c r="U37" i="99" s="1"/>
  <c r="P54" i="99"/>
  <c r="U54" i="99" s="1"/>
  <c r="P64" i="99"/>
  <c r="U64" i="99" s="1"/>
  <c r="P42" i="99"/>
  <c r="U42" i="99" s="1"/>
  <c r="P38" i="99"/>
  <c r="U38" i="99" s="1"/>
  <c r="P55" i="99"/>
  <c r="U55" i="99" s="1"/>
  <c r="P70" i="99"/>
  <c r="U70" i="99" s="1"/>
  <c r="P36" i="99"/>
  <c r="U36" i="99" s="1"/>
  <c r="R72" i="99"/>
  <c r="W72" i="99" s="1"/>
  <c r="P69" i="99"/>
  <c r="U69" i="99" s="1"/>
  <c r="P53" i="99"/>
  <c r="U53" i="99" s="1"/>
  <c r="P35" i="99"/>
  <c r="U35" i="99" s="1"/>
  <c r="P68" i="99"/>
  <c r="U68" i="99" s="1"/>
  <c r="P52" i="99"/>
  <c r="U52" i="99" s="1"/>
  <c r="P50" i="99"/>
  <c r="U50" i="99" s="1"/>
  <c r="P48" i="99"/>
  <c r="U48" i="99" s="1"/>
  <c r="P47" i="99"/>
  <c r="U47" i="99" s="1"/>
  <c r="P65" i="99"/>
  <c r="U65" i="99" s="1"/>
  <c r="P59" i="99"/>
  <c r="U59" i="99" s="1"/>
  <c r="P62" i="99"/>
  <c r="U62" i="99" s="1"/>
  <c r="P66" i="99"/>
  <c r="U66" i="99" s="1"/>
  <c r="P33" i="99"/>
  <c r="U33" i="99" s="1"/>
  <c r="P46" i="99"/>
  <c r="U46" i="99" s="1"/>
  <c r="P34" i="99"/>
  <c r="U34" i="99" s="1"/>
  <c r="R78" i="99"/>
  <c r="W78" i="99" s="1"/>
  <c r="P32" i="99"/>
  <c r="U32" i="99" s="1"/>
  <c r="Q13" i="99"/>
  <c r="P30" i="99"/>
  <c r="U30" i="99" s="1"/>
  <c r="P29" i="99"/>
  <c r="U29" i="99" s="1"/>
  <c r="P28" i="99"/>
  <c r="U28" i="99" s="1"/>
  <c r="I40" i="98"/>
  <c r="I25" i="98"/>
  <c r="I21" i="98"/>
  <c r="U31" i="99"/>
  <c r="W22" i="98"/>
  <c r="W23" i="98" s="1"/>
  <c r="K20" i="98" s="1"/>
  <c r="K40" i="98" s="1"/>
  <c r="W18" i="99"/>
  <c r="W42" i="99"/>
  <c r="W41" i="99"/>
  <c r="AO27" i="98"/>
  <c r="AO26" i="98" s="1"/>
  <c r="AH33" i="98" s="1"/>
  <c r="AH39" i="98" s="1"/>
  <c r="P19" i="98"/>
  <c r="H5" i="99"/>
  <c r="D53" i="98"/>
  <c r="E53" i="98" s="1"/>
  <c r="E52" i="98" s="1"/>
  <c r="U81" i="99" l="1"/>
  <c r="R13" i="99"/>
  <c r="P13" i="99"/>
  <c r="AI33" i="98"/>
  <c r="AI39" i="98" s="1"/>
  <c r="AO30" i="98" s="1"/>
  <c r="AO29" i="98"/>
  <c r="AO33" i="98"/>
  <c r="B18" i="98"/>
  <c r="H10" i="99"/>
  <c r="Y13" i="99" s="1"/>
  <c r="D52" i="98"/>
  <c r="H4" i="99"/>
  <c r="H3" i="99" s="1"/>
  <c r="B19" i="99" s="1"/>
  <c r="F19" i="99" l="1"/>
  <c r="K19" i="99" s="1"/>
  <c r="E19" i="99"/>
  <c r="J19" i="99" s="1"/>
  <c r="AO31" i="98"/>
  <c r="B20" i="99"/>
  <c r="F20" i="99" l="1"/>
  <c r="K20" i="99" s="1"/>
  <c r="E20" i="99"/>
  <c r="J20" i="99" s="1"/>
  <c r="B21" i="99"/>
  <c r="F21" i="99" l="1"/>
  <c r="K21" i="99" s="1"/>
  <c r="E21" i="99"/>
  <c r="J21" i="99" s="1"/>
  <c r="B22" i="99"/>
  <c r="F22" i="99" l="1"/>
  <c r="K22" i="99" s="1"/>
  <c r="E22" i="99"/>
  <c r="J22" i="99" s="1"/>
  <c r="B23" i="99"/>
  <c r="F23" i="99" l="1"/>
  <c r="K23" i="99" s="1"/>
  <c r="E23" i="99"/>
  <c r="J23" i="99" s="1"/>
  <c r="B24" i="99"/>
  <c r="F24" i="99" l="1"/>
  <c r="K24" i="99" s="1"/>
  <c r="E24" i="99"/>
  <c r="J24" i="99" s="1"/>
  <c r="B25" i="99"/>
  <c r="F25" i="99" l="1"/>
  <c r="K25" i="99" s="1"/>
  <c r="E25" i="99"/>
  <c r="J25" i="99" s="1"/>
  <c r="B26" i="99"/>
  <c r="F26" i="99" l="1"/>
  <c r="K26" i="99" s="1"/>
  <c r="E26" i="99"/>
  <c r="J26" i="99" s="1"/>
  <c r="B27" i="99"/>
  <c r="F27" i="99" l="1"/>
  <c r="K27" i="99" s="1"/>
  <c r="E27" i="99"/>
  <c r="J27" i="99" s="1"/>
  <c r="B28" i="99"/>
  <c r="F28" i="99" l="1"/>
  <c r="K28" i="99" s="1"/>
  <c r="E28" i="99"/>
  <c r="J28" i="99" s="1"/>
  <c r="B29" i="99"/>
  <c r="F29" i="99" l="1"/>
  <c r="K29" i="99" s="1"/>
  <c r="E29" i="99"/>
  <c r="J29" i="99" s="1"/>
  <c r="B30" i="99"/>
  <c r="F30" i="99" l="1"/>
  <c r="K30" i="99" s="1"/>
  <c r="E30" i="99"/>
  <c r="J30" i="99" s="1"/>
  <c r="B31" i="99"/>
  <c r="F31" i="99" l="1"/>
  <c r="K31" i="99" s="1"/>
  <c r="E31" i="99"/>
  <c r="J31" i="99" s="1"/>
  <c r="B32" i="99"/>
  <c r="F32" i="99" l="1"/>
  <c r="K32" i="99" s="1"/>
  <c r="E32" i="99"/>
  <c r="J32" i="99" s="1"/>
  <c r="B33" i="99"/>
  <c r="F33" i="99" l="1"/>
  <c r="K33" i="99" s="1"/>
  <c r="E33" i="99"/>
  <c r="J33" i="99" s="1"/>
  <c r="B34" i="99"/>
  <c r="F34" i="99" l="1"/>
  <c r="K34" i="99" s="1"/>
  <c r="E34" i="99"/>
  <c r="J34" i="99" s="1"/>
  <c r="B35" i="99"/>
  <c r="F35" i="99" l="1"/>
  <c r="K35" i="99" s="1"/>
  <c r="E35" i="99"/>
  <c r="J35" i="99" s="1"/>
  <c r="B36" i="99"/>
  <c r="F36" i="99" l="1"/>
  <c r="K36" i="99" s="1"/>
  <c r="E36" i="99"/>
  <c r="J36" i="99" s="1"/>
  <c r="B37" i="99"/>
  <c r="F37" i="99" l="1"/>
  <c r="K37" i="99" s="1"/>
  <c r="E37" i="99"/>
  <c r="J37" i="99" s="1"/>
  <c r="B38" i="99"/>
  <c r="F38" i="99" l="1"/>
  <c r="K38" i="99" s="1"/>
  <c r="E38" i="99"/>
  <c r="J38" i="99" s="1"/>
  <c r="B39" i="99"/>
  <c r="F39" i="99" l="1"/>
  <c r="K39" i="99" s="1"/>
  <c r="E39" i="99"/>
  <c r="J39" i="99" s="1"/>
  <c r="B40" i="99"/>
  <c r="F40" i="99" l="1"/>
  <c r="K40" i="99" s="1"/>
  <c r="E40" i="99"/>
  <c r="J40" i="99" s="1"/>
  <c r="B41" i="99"/>
  <c r="F41" i="99" l="1"/>
  <c r="K41" i="99" s="1"/>
  <c r="E41" i="99"/>
  <c r="J41" i="99" s="1"/>
  <c r="B42" i="99"/>
  <c r="F42" i="99" l="1"/>
  <c r="K42" i="99" s="1"/>
  <c r="E42" i="99"/>
  <c r="J42" i="99" s="1"/>
  <c r="B43" i="99"/>
  <c r="F43" i="99" l="1"/>
  <c r="K43" i="99" s="1"/>
  <c r="E43" i="99"/>
  <c r="J43" i="99" s="1"/>
  <c r="B44" i="99"/>
  <c r="F44" i="99" l="1"/>
  <c r="K44" i="99" s="1"/>
  <c r="E44" i="99"/>
  <c r="J44" i="99" s="1"/>
  <c r="B45" i="99"/>
  <c r="F45" i="99" l="1"/>
  <c r="K45" i="99" s="1"/>
  <c r="E45" i="99"/>
  <c r="J45" i="99" s="1"/>
  <c r="B46" i="99"/>
  <c r="F46" i="99" l="1"/>
  <c r="K46" i="99" s="1"/>
  <c r="E46" i="99"/>
  <c r="J46" i="99" s="1"/>
  <c r="B47" i="99"/>
  <c r="F47" i="99" l="1"/>
  <c r="K47" i="99" s="1"/>
  <c r="E47" i="99"/>
  <c r="J47" i="99" s="1"/>
  <c r="B48" i="99"/>
  <c r="F48" i="99" l="1"/>
  <c r="K48" i="99" s="1"/>
  <c r="E48" i="99"/>
  <c r="J48" i="99" s="1"/>
  <c r="B49" i="99"/>
  <c r="F49" i="99" l="1"/>
  <c r="K49" i="99" s="1"/>
  <c r="E49" i="99"/>
  <c r="J49" i="99" s="1"/>
  <c r="B50" i="99"/>
  <c r="F50" i="99" l="1"/>
  <c r="K50" i="99" s="1"/>
  <c r="E50" i="99"/>
  <c r="J50" i="99" s="1"/>
  <c r="B51" i="99"/>
  <c r="F51" i="99" l="1"/>
  <c r="K51" i="99" s="1"/>
  <c r="E51" i="99"/>
  <c r="J51" i="99" s="1"/>
  <c r="B52" i="99"/>
  <c r="F52" i="99" l="1"/>
  <c r="K52" i="99" s="1"/>
  <c r="E52" i="99"/>
  <c r="J52" i="99" s="1"/>
  <c r="B53" i="99"/>
  <c r="F53" i="99" l="1"/>
  <c r="K53" i="99" s="1"/>
  <c r="E53" i="99"/>
  <c r="J53" i="99" s="1"/>
  <c r="B54" i="99"/>
  <c r="F54" i="99" l="1"/>
  <c r="K54" i="99" s="1"/>
  <c r="E54" i="99"/>
  <c r="J54" i="99" s="1"/>
  <c r="B55" i="99"/>
  <c r="F55" i="99" l="1"/>
  <c r="K55" i="99" s="1"/>
  <c r="E55" i="99"/>
  <c r="J55" i="99" s="1"/>
  <c r="B56" i="99"/>
  <c r="F56" i="99" l="1"/>
  <c r="K56" i="99" s="1"/>
  <c r="E56" i="99"/>
  <c r="J56" i="99" s="1"/>
  <c r="B57" i="99"/>
  <c r="F57" i="99" l="1"/>
  <c r="K57" i="99" s="1"/>
  <c r="E57" i="99"/>
  <c r="J57" i="99" s="1"/>
  <c r="B58" i="99"/>
  <c r="F58" i="99" l="1"/>
  <c r="K58" i="99" s="1"/>
  <c r="E58" i="99"/>
  <c r="J58" i="99" s="1"/>
  <c r="B59" i="99"/>
  <c r="F59" i="99" l="1"/>
  <c r="K59" i="99" s="1"/>
  <c r="E59" i="99"/>
  <c r="J59" i="99" s="1"/>
  <c r="B60" i="99"/>
  <c r="F60" i="99" l="1"/>
  <c r="K60" i="99" s="1"/>
  <c r="E60" i="99"/>
  <c r="J60" i="99" s="1"/>
  <c r="B61" i="99"/>
  <c r="F61" i="99" l="1"/>
  <c r="K61" i="99" s="1"/>
  <c r="E61" i="99"/>
  <c r="J61" i="99" s="1"/>
  <c r="B62" i="99"/>
  <c r="F62" i="99" l="1"/>
  <c r="K62" i="99" s="1"/>
  <c r="E62" i="99"/>
  <c r="J62" i="99" s="1"/>
  <c r="B63" i="99"/>
  <c r="F63" i="99" l="1"/>
  <c r="K63" i="99" s="1"/>
  <c r="E63" i="99"/>
  <c r="J63" i="99" s="1"/>
  <c r="B64" i="99"/>
  <c r="F64" i="99" l="1"/>
  <c r="K64" i="99" s="1"/>
  <c r="E64" i="99"/>
  <c r="J64" i="99" s="1"/>
  <c r="B65" i="99"/>
  <c r="F65" i="99" l="1"/>
  <c r="K65" i="99" s="1"/>
  <c r="E65" i="99"/>
  <c r="J65" i="99" s="1"/>
  <c r="B66" i="99"/>
  <c r="F66" i="99" l="1"/>
  <c r="K66" i="99" s="1"/>
  <c r="E66" i="99"/>
  <c r="J66" i="99" s="1"/>
  <c r="B67" i="99"/>
  <c r="F67" i="99" l="1"/>
  <c r="K67" i="99" s="1"/>
  <c r="E67" i="99"/>
  <c r="J67" i="99" s="1"/>
  <c r="B68" i="99"/>
  <c r="F68" i="99" l="1"/>
  <c r="K68" i="99" s="1"/>
  <c r="E68" i="99"/>
  <c r="J68" i="99" s="1"/>
  <c r="B69" i="99"/>
  <c r="F69" i="99" l="1"/>
  <c r="K69" i="99" s="1"/>
  <c r="E69" i="99"/>
  <c r="J69" i="99" s="1"/>
  <c r="B70" i="99"/>
  <c r="F70" i="99" l="1"/>
  <c r="K70" i="99" s="1"/>
  <c r="E70" i="99"/>
  <c r="J70" i="99" s="1"/>
  <c r="B71" i="99"/>
  <c r="F71" i="99" l="1"/>
  <c r="K71" i="99" s="1"/>
  <c r="E71" i="99"/>
  <c r="J71" i="99" s="1"/>
  <c r="B72" i="99"/>
  <c r="F72" i="99" l="1"/>
  <c r="K72" i="99" s="1"/>
  <c r="E72" i="99"/>
  <c r="J72" i="99" s="1"/>
  <c r="B73" i="99"/>
  <c r="F73" i="99" l="1"/>
  <c r="K73" i="99" s="1"/>
  <c r="E73" i="99"/>
  <c r="J73" i="99" s="1"/>
  <c r="B74" i="99"/>
  <c r="F74" i="99" l="1"/>
  <c r="K74" i="99" s="1"/>
  <c r="E74" i="99"/>
  <c r="J74" i="99" s="1"/>
  <c r="B75" i="99"/>
  <c r="F75" i="99" l="1"/>
  <c r="K75" i="99" s="1"/>
  <c r="E75" i="99"/>
  <c r="J75" i="99" s="1"/>
  <c r="B76" i="99"/>
  <c r="F76" i="99" l="1"/>
  <c r="K76" i="99" s="1"/>
  <c r="E76" i="99"/>
  <c r="J76" i="99" s="1"/>
  <c r="B77" i="99"/>
  <c r="F77" i="99" l="1"/>
  <c r="K77" i="99" s="1"/>
  <c r="E77" i="99"/>
  <c r="J77" i="99" s="1"/>
  <c r="B78" i="99"/>
  <c r="F78" i="99" l="1"/>
  <c r="K78" i="99" s="1"/>
  <c r="E78" i="99"/>
  <c r="J78" i="99" s="1"/>
  <c r="B79" i="99"/>
  <c r="F79" i="99" l="1"/>
  <c r="K79" i="99" s="1"/>
  <c r="E79" i="99"/>
  <c r="J79" i="99" s="1"/>
  <c r="B80" i="99"/>
  <c r="F80" i="99" l="1"/>
  <c r="K80" i="99" s="1"/>
  <c r="E80" i="99"/>
  <c r="J80" i="99" s="1"/>
  <c r="B81" i="99"/>
  <c r="F81" i="99" l="1"/>
  <c r="K81" i="99" s="1"/>
  <c r="E81" i="99"/>
  <c r="J81" i="99" s="1"/>
  <c r="B82" i="99"/>
  <c r="F82" i="99" l="1"/>
  <c r="K82" i="99" s="1"/>
  <c r="E82" i="99"/>
  <c r="J82" i="99" s="1"/>
  <c r="B83" i="99"/>
  <c r="F83" i="99" l="1"/>
  <c r="K83" i="99" s="1"/>
  <c r="E83" i="99"/>
  <c r="J83" i="99" s="1"/>
  <c r="B84" i="99"/>
  <c r="F84" i="99" l="1"/>
  <c r="K84" i="99" s="1"/>
  <c r="E84" i="99"/>
  <c r="J84" i="99" s="1"/>
  <c r="B85" i="99"/>
  <c r="F85" i="99" l="1"/>
  <c r="K85" i="99" s="1"/>
  <c r="E85" i="99"/>
  <c r="J85" i="99" s="1"/>
  <c r="B86" i="99"/>
  <c r="F86" i="99" l="1"/>
  <c r="K86" i="99" s="1"/>
  <c r="E86" i="99"/>
  <c r="J86" i="99" s="1"/>
  <c r="B87" i="99"/>
  <c r="F87" i="99" l="1"/>
  <c r="K87" i="99" s="1"/>
  <c r="E87" i="99"/>
  <c r="J87" i="99" s="1"/>
  <c r="B88" i="99"/>
  <c r="F88" i="99" l="1"/>
  <c r="K88" i="99" s="1"/>
  <c r="E88" i="99"/>
  <c r="J88" i="99" s="1"/>
  <c r="B89" i="99"/>
  <c r="F89" i="99" l="1"/>
  <c r="K89" i="99" s="1"/>
  <c r="E89" i="99"/>
  <c r="J89" i="99" s="1"/>
  <c r="B90" i="99"/>
  <c r="F90" i="99" l="1"/>
  <c r="K90" i="99" s="1"/>
  <c r="E90" i="99"/>
  <c r="J90" i="99" s="1"/>
  <c r="B91" i="99"/>
  <c r="F91" i="99" l="1"/>
  <c r="K91" i="99" s="1"/>
  <c r="E91" i="99"/>
  <c r="J91" i="99" s="1"/>
  <c r="B92" i="99"/>
  <c r="F92" i="99" l="1"/>
  <c r="K92" i="99" s="1"/>
  <c r="E92" i="99"/>
  <c r="J92" i="99" s="1"/>
  <c r="B93" i="99"/>
  <c r="F93" i="99" l="1"/>
  <c r="K93" i="99" s="1"/>
  <c r="K13" i="99" s="1"/>
  <c r="E93" i="99"/>
  <c r="J93" i="99" s="1"/>
  <c r="J13" i="99" s="1"/>
  <c r="B94" i="99"/>
  <c r="T1" i="99" l="1"/>
  <c r="H6" i="99"/>
  <c r="C8" i="126"/>
  <c r="B9" i="126" s="1"/>
  <c r="P16" i="98" l="1"/>
  <c r="P21" i="98" s="1"/>
  <c r="H12" i="99"/>
  <c r="C49" i="99" s="1"/>
  <c r="H49" i="99" s="1"/>
  <c r="N35" i="98"/>
  <c r="AH30" i="98"/>
  <c r="AH31" i="98"/>
  <c r="P12" i="98"/>
  <c r="B17" i="98" l="1"/>
  <c r="P14" i="98"/>
  <c r="C27" i="99"/>
  <c r="H27" i="99" s="1"/>
  <c r="C25" i="99"/>
  <c r="H25" i="99" s="1"/>
  <c r="C29" i="99"/>
  <c r="H29" i="99" s="1"/>
  <c r="C28" i="99"/>
  <c r="H28" i="99" s="1"/>
  <c r="C21" i="99"/>
  <c r="H21" i="99" s="1"/>
  <c r="C31" i="99"/>
  <c r="H31" i="99" s="1"/>
  <c r="C23" i="99"/>
  <c r="H23" i="99" s="1"/>
  <c r="C69" i="99"/>
  <c r="H69" i="99" s="1"/>
  <c r="C72" i="99"/>
  <c r="H72" i="99" s="1"/>
  <c r="C56" i="99"/>
  <c r="H56" i="99" s="1"/>
  <c r="C40" i="99"/>
  <c r="H40" i="99" s="1"/>
  <c r="C78" i="99"/>
  <c r="H78" i="99" s="1"/>
  <c r="C45" i="99"/>
  <c r="H45" i="99" s="1"/>
  <c r="C67" i="99"/>
  <c r="H67" i="99" s="1"/>
  <c r="C51" i="99"/>
  <c r="H51" i="99" s="1"/>
  <c r="C35" i="99"/>
  <c r="H35" i="99" s="1"/>
  <c r="C46" i="99"/>
  <c r="H46" i="99" s="1"/>
  <c r="C68" i="99"/>
  <c r="H68" i="99" s="1"/>
  <c r="C36" i="99"/>
  <c r="H36" i="99" s="1"/>
  <c r="C34" i="99"/>
  <c r="H34" i="99" s="1"/>
  <c r="C41" i="99"/>
  <c r="H41" i="99" s="1"/>
  <c r="C64" i="99"/>
  <c r="H64" i="99" s="1"/>
  <c r="C48" i="99"/>
  <c r="H48" i="99" s="1"/>
  <c r="C32" i="99"/>
  <c r="H32" i="99" s="1"/>
  <c r="C73" i="99"/>
  <c r="H73" i="99" s="1"/>
  <c r="C75" i="99"/>
  <c r="H75" i="99" s="1"/>
  <c r="C59" i="99"/>
  <c r="H59" i="99" s="1"/>
  <c r="C43" i="99"/>
  <c r="H43" i="99" s="1"/>
  <c r="C54" i="99"/>
  <c r="H54" i="99" s="1"/>
  <c r="C77" i="99"/>
  <c r="H77" i="99" s="1"/>
  <c r="C62" i="99"/>
  <c r="H62" i="99" s="1"/>
  <c r="C57" i="99"/>
  <c r="H57" i="99" s="1"/>
  <c r="C52" i="99"/>
  <c r="H52" i="99" s="1"/>
  <c r="C66" i="99"/>
  <c r="H66" i="99" s="1"/>
  <c r="C79" i="99"/>
  <c r="H79" i="99" s="1"/>
  <c r="C63" i="99"/>
  <c r="H63" i="99" s="1"/>
  <c r="C47" i="99"/>
  <c r="H47" i="99" s="1"/>
  <c r="C58" i="99"/>
  <c r="H58" i="99" s="1"/>
  <c r="C74" i="99"/>
  <c r="H74" i="99" s="1"/>
  <c r="C76" i="99"/>
  <c r="H76" i="99" s="1"/>
  <c r="C60" i="99"/>
  <c r="H60" i="99" s="1"/>
  <c r="C44" i="99"/>
  <c r="H44" i="99" s="1"/>
  <c r="C61" i="99"/>
  <c r="H61" i="99" s="1"/>
  <c r="C71" i="99"/>
  <c r="H71" i="99" s="1"/>
  <c r="C55" i="99"/>
  <c r="H55" i="99" s="1"/>
  <c r="C39" i="99"/>
  <c r="H39" i="99" s="1"/>
  <c r="C70" i="99"/>
  <c r="H70" i="99" s="1"/>
  <c r="C50" i="99"/>
  <c r="H50" i="99" s="1"/>
  <c r="C37" i="99"/>
  <c r="H37" i="99" s="1"/>
  <c r="C81" i="99"/>
  <c r="H81" i="99" s="1"/>
  <c r="C92" i="99"/>
  <c r="H92" i="99" s="1"/>
  <c r="C85" i="99"/>
  <c r="H85" i="99" s="1"/>
  <c r="C91" i="99"/>
  <c r="H91" i="99" s="1"/>
  <c r="C93" i="99"/>
  <c r="H93" i="99" s="1"/>
  <c r="C80" i="99"/>
  <c r="H80" i="99" s="1"/>
  <c r="C90" i="99"/>
  <c r="H90" i="99" s="1"/>
  <c r="C88" i="99"/>
  <c r="H88" i="99" s="1"/>
  <c r="C94" i="99"/>
  <c r="C87" i="99"/>
  <c r="H87" i="99" s="1"/>
  <c r="C82" i="99"/>
  <c r="H82" i="99" s="1"/>
  <c r="C84" i="99"/>
  <c r="H84" i="99" s="1"/>
  <c r="C83" i="99"/>
  <c r="H83" i="99" s="1"/>
  <c r="C38" i="99"/>
  <c r="H38" i="99" s="1"/>
  <c r="C65" i="99"/>
  <c r="H65" i="99" s="1"/>
  <c r="C26" i="99"/>
  <c r="H26" i="99" s="1"/>
  <c r="C22" i="99"/>
  <c r="H22" i="99" s="1"/>
  <c r="C30" i="99"/>
  <c r="H30" i="99" s="1"/>
  <c r="C33" i="99"/>
  <c r="H33" i="99" s="1"/>
  <c r="C24" i="99"/>
  <c r="H24" i="99" s="1"/>
  <c r="C20" i="99"/>
  <c r="H20" i="99" s="1"/>
  <c r="C19" i="99"/>
  <c r="H19" i="99" s="1"/>
  <c r="C18" i="99"/>
  <c r="H18" i="99" s="1"/>
  <c r="C42" i="99"/>
  <c r="H42" i="99" s="1"/>
  <c r="C86" i="99"/>
  <c r="H86" i="99" s="1"/>
  <c r="C53" i="99"/>
  <c r="H53" i="99" s="1"/>
  <c r="C89" i="99"/>
  <c r="H89" i="99" s="1"/>
  <c r="AH32" i="98"/>
  <c r="D19" i="98" l="1"/>
  <c r="H11" i="99" s="1"/>
  <c r="H13" i="99"/>
  <c r="AL13" i="98"/>
  <c r="P20" i="98" l="1"/>
  <c r="P22" i="98" s="1"/>
  <c r="P23" i="98" s="1"/>
  <c r="E21" i="98"/>
  <c r="D20" i="98" l="1"/>
  <c r="G23" i="98" s="1"/>
  <c r="G24" i="98" s="1"/>
  <c r="AE16" i="98" l="1"/>
  <c r="F26" i="161"/>
  <c r="F23" i="161"/>
  <c r="J23" i="161" s="1"/>
  <c r="C21" i="98"/>
  <c r="D22" i="98"/>
  <c r="E12" i="98" s="1"/>
  <c r="E15" i="98" s="1"/>
  <c r="E16" i="98" s="1"/>
  <c r="B43" i="98"/>
  <c r="B45" i="98"/>
  <c r="C4" i="106"/>
  <c r="B21" i="98"/>
  <c r="G63" i="98"/>
  <c r="G64" i="98" s="1"/>
  <c r="G65" i="98" s="1"/>
  <c r="C9" i="126"/>
  <c r="D14" i="126" s="1"/>
  <c r="F3" i="98"/>
  <c r="E16" i="99" s="1"/>
  <c r="J16" i="99" s="1"/>
  <c r="D43" i="98"/>
  <c r="B64" i="98"/>
  <c r="G62" i="98"/>
  <c r="I23" i="98"/>
  <c r="AE17" i="98"/>
  <c r="D40" i="98"/>
  <c r="I42" i="98" s="1"/>
  <c r="G25" i="98"/>
  <c r="D70" i="98"/>
  <c r="F57" i="98" l="1"/>
  <c r="F58" i="98" s="1"/>
  <c r="F61" i="98" s="1"/>
  <c r="R22" i="98"/>
  <c r="R23" i="98" s="1"/>
  <c r="F20" i="98" s="1"/>
  <c r="F22" i="98" l="1"/>
  <c r="F40" i="98"/>
  <c r="C6" i="106"/>
  <c r="F62" i="98"/>
  <c r="F63" i="98"/>
  <c r="F64" i="98" s="1"/>
  <c r="F65" i="98" s="1"/>
  <c r="F23" i="98" l="1"/>
  <c r="F25" i="98" l="1"/>
  <c r="F24" i="98"/>
  <c r="G26" i="98" l="1"/>
  <c r="G27" i="98" s="1"/>
  <c r="AE32" i="98" s="1"/>
  <c r="F26" i="98"/>
  <c r="I22" i="98"/>
  <c r="C7" i="126"/>
  <c r="B10" i="126" s="1"/>
  <c r="H12" i="98" l="1"/>
  <c r="H15" i="98" s="1"/>
  <c r="H16" i="98" s="1"/>
  <c r="M25" i="98"/>
  <c r="F27" i="98"/>
  <c r="D69" i="98"/>
  <c r="D45" i="98"/>
  <c r="D10" i="126"/>
  <c r="B11" i="126" s="1"/>
  <c r="C17" i="126"/>
  <c r="B48" i="98"/>
  <c r="T16" i="98" l="1"/>
  <c r="O12" i="99"/>
  <c r="B15" i="98"/>
  <c r="AE31" i="98"/>
  <c r="I6" i="99"/>
  <c r="I12" i="99" s="1"/>
  <c r="Q16" i="98"/>
  <c r="Q21" i="98" s="1"/>
  <c r="O6" i="99"/>
  <c r="H52" i="98"/>
  <c r="H53" i="98" s="1"/>
  <c r="H55" i="98" s="1"/>
  <c r="K26" i="98"/>
  <c r="N18" i="99" l="1"/>
  <c r="N19" i="99"/>
  <c r="N20" i="99"/>
  <c r="O20" i="99" s="1"/>
  <c r="N21" i="99"/>
  <c r="N22" i="99"/>
  <c r="N23" i="99"/>
  <c r="O23" i="99" s="1"/>
  <c r="N24" i="99"/>
  <c r="N25" i="99"/>
  <c r="N26" i="99"/>
  <c r="O26" i="99" s="1"/>
  <c r="N27" i="99"/>
  <c r="O27" i="99" s="1"/>
  <c r="N28" i="99"/>
  <c r="O28" i="99" s="1"/>
  <c r="N29" i="99"/>
  <c r="N30" i="99"/>
  <c r="N31" i="99"/>
  <c r="O31" i="99" s="1"/>
  <c r="N32" i="99"/>
  <c r="N34" i="99"/>
  <c r="N33" i="99"/>
  <c r="N35" i="99"/>
  <c r="N36" i="99"/>
  <c r="O36" i="99" s="1"/>
  <c r="N37" i="99"/>
  <c r="N38" i="99"/>
  <c r="N39" i="99"/>
  <c r="N40" i="99"/>
  <c r="N41" i="99"/>
  <c r="O41" i="99" s="1"/>
  <c r="N42" i="99"/>
  <c r="O42" i="99" s="1"/>
  <c r="N43" i="99"/>
  <c r="N44" i="99"/>
  <c r="N45" i="99"/>
  <c r="N46" i="99"/>
  <c r="O46" i="99" s="1"/>
  <c r="N47" i="99"/>
  <c r="N48" i="99"/>
  <c r="O48" i="99" s="1"/>
  <c r="N49" i="99"/>
  <c r="N50" i="99"/>
  <c r="N51" i="99"/>
  <c r="N52" i="99"/>
  <c r="N53" i="99"/>
  <c r="N54" i="99"/>
  <c r="N55" i="99"/>
  <c r="N56" i="99"/>
  <c r="N57" i="99"/>
  <c r="O57" i="99" s="1"/>
  <c r="N58" i="99"/>
  <c r="O58" i="99" s="1"/>
  <c r="N59" i="99"/>
  <c r="N60" i="99"/>
  <c r="O60" i="99" s="1"/>
  <c r="N61" i="99"/>
  <c r="N62" i="99"/>
  <c r="O62" i="99" s="1"/>
  <c r="N63" i="99"/>
  <c r="O63" i="99" s="1"/>
  <c r="N64" i="99"/>
  <c r="O64" i="99" s="1"/>
  <c r="N65" i="99"/>
  <c r="N66" i="99"/>
  <c r="N67" i="99"/>
  <c r="N68" i="99"/>
  <c r="O68" i="99" s="1"/>
  <c r="N69" i="99"/>
  <c r="O69" i="99" s="1"/>
  <c r="N70" i="99"/>
  <c r="O70" i="99" s="1"/>
  <c r="N71" i="99"/>
  <c r="O71" i="99" s="1"/>
  <c r="N72" i="99"/>
  <c r="N73" i="99"/>
  <c r="N74" i="99"/>
  <c r="O74" i="99" s="1"/>
  <c r="N75" i="99"/>
  <c r="N76" i="99"/>
  <c r="N77" i="99"/>
  <c r="O77" i="99" s="1"/>
  <c r="N78" i="99"/>
  <c r="N79" i="99"/>
  <c r="N80" i="99"/>
  <c r="O80" i="99" s="1"/>
  <c r="N81" i="99"/>
  <c r="N82" i="99"/>
  <c r="N83" i="99"/>
  <c r="O83" i="99" s="1"/>
  <c r="N84" i="99"/>
  <c r="N85" i="99"/>
  <c r="O85" i="99" s="1"/>
  <c r="N86" i="99"/>
  <c r="N87" i="99"/>
  <c r="O87" i="99" s="1"/>
  <c r="N88" i="99"/>
  <c r="O88" i="99" s="1"/>
  <c r="N89" i="99"/>
  <c r="O89" i="99" s="1"/>
  <c r="N90" i="99"/>
  <c r="O90" i="99" s="1"/>
  <c r="N91" i="99"/>
  <c r="N92" i="99"/>
  <c r="N93" i="99"/>
  <c r="O93" i="99" s="1"/>
  <c r="T21" i="98"/>
  <c r="H57" i="98"/>
  <c r="H58" i="98" s="1"/>
  <c r="H61" i="98" s="1"/>
  <c r="H62" i="98" s="1"/>
  <c r="J26" i="98"/>
  <c r="D30" i="99"/>
  <c r="I30" i="99" s="1"/>
  <c r="D23" i="99"/>
  <c r="D20" i="99"/>
  <c r="D22" i="99"/>
  <c r="D26" i="99"/>
  <c r="D18" i="99"/>
  <c r="D24" i="99"/>
  <c r="D25" i="99"/>
  <c r="D19" i="99"/>
  <c r="D28" i="99"/>
  <c r="D21" i="99"/>
  <c r="D27" i="99"/>
  <c r="E49" i="98"/>
  <c r="F48" i="98"/>
  <c r="D86" i="99"/>
  <c r="I86" i="99" s="1"/>
  <c r="D37" i="99"/>
  <c r="I37" i="99" s="1"/>
  <c r="D69" i="99"/>
  <c r="I69" i="99" s="1"/>
  <c r="D52" i="99"/>
  <c r="I52" i="99" s="1"/>
  <c r="D53" i="99"/>
  <c r="I53" i="99" s="1"/>
  <c r="D56" i="99"/>
  <c r="D80" i="99"/>
  <c r="D65" i="99"/>
  <c r="I65" i="99" s="1"/>
  <c r="D93" i="99"/>
  <c r="D48" i="99"/>
  <c r="I48" i="99" s="1"/>
  <c r="D72" i="99"/>
  <c r="D81" i="99"/>
  <c r="I81" i="99" s="1"/>
  <c r="D36" i="99"/>
  <c r="I36" i="99" s="1"/>
  <c r="D51" i="99"/>
  <c r="D62" i="99"/>
  <c r="I62" i="99" s="1"/>
  <c r="D29" i="99"/>
  <c r="I29" i="99" s="1"/>
  <c r="D83" i="99"/>
  <c r="D76" i="99"/>
  <c r="D63" i="99"/>
  <c r="D33" i="99"/>
  <c r="I33" i="99" s="1"/>
  <c r="D68" i="99"/>
  <c r="D92" i="99"/>
  <c r="D85" i="99"/>
  <c r="I85" i="99" s="1"/>
  <c r="D57" i="99"/>
  <c r="I57" i="99" s="1"/>
  <c r="D91" i="99"/>
  <c r="I91" i="99" s="1"/>
  <c r="D31" i="99"/>
  <c r="I31" i="99" s="1"/>
  <c r="D38" i="99"/>
  <c r="I38" i="99" s="1"/>
  <c r="D44" i="99"/>
  <c r="I44" i="99" s="1"/>
  <c r="D46" i="99"/>
  <c r="I46" i="99" s="1"/>
  <c r="D88" i="99"/>
  <c r="D50" i="99"/>
  <c r="D70" i="99"/>
  <c r="I70" i="99" s="1"/>
  <c r="D79" i="99"/>
  <c r="I79" i="99" s="1"/>
  <c r="D58" i="99"/>
  <c r="I58" i="99" s="1"/>
  <c r="D59" i="99"/>
  <c r="I59" i="99" s="1"/>
  <c r="D73" i="99"/>
  <c r="I73" i="99" s="1"/>
  <c r="D67" i="99"/>
  <c r="D35" i="99"/>
  <c r="D41" i="99"/>
  <c r="D78" i="99"/>
  <c r="I78" i="99" s="1"/>
  <c r="D34" i="99"/>
  <c r="I34" i="99" s="1"/>
  <c r="D64" i="99"/>
  <c r="I64" i="99" s="1"/>
  <c r="D49" i="99"/>
  <c r="I49" i="99" s="1"/>
  <c r="D47" i="99"/>
  <c r="I47" i="99" s="1"/>
  <c r="D90" i="99"/>
  <c r="D77" i="99"/>
  <c r="D74" i="99"/>
  <c r="I74" i="99" s="1"/>
  <c r="D39" i="99"/>
  <c r="D66" i="99"/>
  <c r="I66" i="99" s="1"/>
  <c r="D60" i="99"/>
  <c r="D43" i="99"/>
  <c r="I43" i="99" s="1"/>
  <c r="D40" i="99"/>
  <c r="D84" i="99"/>
  <c r="I84" i="99" s="1"/>
  <c r="D82" i="99"/>
  <c r="I82" i="99" s="1"/>
  <c r="D71" i="99"/>
  <c r="I71" i="99" s="1"/>
  <c r="D55" i="99"/>
  <c r="D45" i="99"/>
  <c r="I45" i="99" s="1"/>
  <c r="D75" i="99"/>
  <c r="I75" i="99" s="1"/>
  <c r="D89" i="99"/>
  <c r="D61" i="99"/>
  <c r="I61" i="99" s="1"/>
  <c r="D87" i="99"/>
  <c r="I87" i="99" s="1"/>
  <c r="D54" i="99"/>
  <c r="I54" i="99" s="1"/>
  <c r="D42" i="99"/>
  <c r="I42" i="99" s="1"/>
  <c r="D32" i="99"/>
  <c r="I32" i="99" s="1"/>
  <c r="T22" i="98"/>
  <c r="T23" i="98" s="1"/>
  <c r="H22" i="98" s="1"/>
  <c r="H23" i="98" s="1"/>
  <c r="D71" i="98" s="1"/>
  <c r="C8" i="106" l="1"/>
  <c r="H63" i="98"/>
  <c r="H64" i="98" s="1"/>
  <c r="O59" i="99"/>
  <c r="O30" i="99"/>
  <c r="O29" i="99"/>
  <c r="O38" i="99"/>
  <c r="O75" i="99"/>
  <c r="O56" i="99"/>
  <c r="O24" i="99"/>
  <c r="O92" i="99"/>
  <c r="O51" i="99"/>
  <c r="O81" i="99"/>
  <c r="O82" i="99"/>
  <c r="O25" i="99"/>
  <c r="O39" i="99"/>
  <c r="O76" i="99"/>
  <c r="O50" i="99"/>
  <c r="O52" i="99"/>
  <c r="O84" i="99"/>
  <c r="O91" i="99"/>
  <c r="O43" i="99"/>
  <c r="O49" i="99"/>
  <c r="O54" i="99"/>
  <c r="O44" i="99"/>
  <c r="O45" i="99"/>
  <c r="O33" i="99"/>
  <c r="O65" i="99"/>
  <c r="O35" i="99"/>
  <c r="O73" i="99"/>
  <c r="O34" i="99"/>
  <c r="O72" i="99"/>
  <c r="O53" i="99"/>
  <c r="O37" i="99"/>
  <c r="O78" i="99"/>
  <c r="O66" i="99"/>
  <c r="O40" i="99"/>
  <c r="O79" i="99"/>
  <c r="O32" i="99"/>
  <c r="O47" i="99"/>
  <c r="O67" i="99"/>
  <c r="O61" i="99"/>
  <c r="O86" i="99"/>
  <c r="O55" i="99"/>
  <c r="O19" i="99"/>
  <c r="O18" i="99"/>
  <c r="O22" i="99"/>
  <c r="O21" i="99"/>
  <c r="I27" i="99"/>
  <c r="I21" i="99"/>
  <c r="I28" i="99"/>
  <c r="I19" i="99"/>
  <c r="I25" i="99"/>
  <c r="I24" i="99"/>
  <c r="I18" i="99"/>
  <c r="I26" i="99"/>
  <c r="I22" i="99"/>
  <c r="I20" i="99"/>
  <c r="I23" i="99"/>
  <c r="I77" i="99"/>
  <c r="Q22" i="98"/>
  <c r="Q23" i="98" s="1"/>
  <c r="E22" i="98" s="1"/>
  <c r="I55" i="99"/>
  <c r="I40" i="99"/>
  <c r="I50" i="99"/>
  <c r="I63" i="99"/>
  <c r="I41" i="99"/>
  <c r="I72" i="99"/>
  <c r="E57" i="98"/>
  <c r="E58" i="98" s="1"/>
  <c r="E61" i="98" s="1"/>
  <c r="E62" i="98" s="1"/>
  <c r="I90" i="99"/>
  <c r="I80" i="99"/>
  <c r="I56" i="99"/>
  <c r="I93" i="99"/>
  <c r="I67" i="99"/>
  <c r="I83" i="99"/>
  <c r="I35" i="99"/>
  <c r="I92" i="99"/>
  <c r="I88" i="99"/>
  <c r="I76" i="99"/>
  <c r="I60" i="99"/>
  <c r="I51" i="99"/>
  <c r="I68" i="99"/>
  <c r="I39" i="99"/>
  <c r="I89" i="99"/>
  <c r="H20" i="98"/>
  <c r="K22" i="98" s="1"/>
  <c r="O13" i="99" l="1"/>
  <c r="E20" i="98"/>
  <c r="E23" i="98" s="1"/>
  <c r="B22" i="98"/>
  <c r="C5" i="106"/>
  <c r="E47" i="98"/>
  <c r="E63" i="98"/>
  <c r="E64" i="98" s="1"/>
  <c r="E65" i="98" s="1"/>
  <c r="I13" i="99"/>
  <c r="H24" i="98"/>
  <c r="I26" i="98"/>
  <c r="H40" i="98"/>
  <c r="H3" i="126" l="1"/>
  <c r="B3" i="126" s="1"/>
  <c r="K23" i="98"/>
  <c r="J24" i="98" s="1"/>
  <c r="D11" i="126"/>
  <c r="E40" i="98"/>
  <c r="E43" i="98"/>
  <c r="D44" i="98" s="1"/>
  <c r="E3" i="98"/>
  <c r="D16" i="99" s="1"/>
  <c r="I16" i="99" s="1"/>
  <c r="F17" i="98"/>
  <c r="E45" i="98"/>
  <c r="D46" i="98" s="1"/>
  <c r="D68" i="98"/>
  <c r="B35" i="98"/>
  <c r="E25" i="98"/>
  <c r="E26" i="98" s="1"/>
  <c r="E27" i="98" s="1"/>
  <c r="AE30" i="98" l="1"/>
  <c r="AE29" i="98" s="1"/>
  <c r="X21" i="98" s="1"/>
  <c r="K24" i="98"/>
  <c r="D12" i="126"/>
  <c r="B16" i="126" s="1"/>
  <c r="B12" i="126"/>
  <c r="D16" i="126" l="1"/>
  <c r="B13" i="126"/>
  <c r="C15" i="126"/>
  <c r="D17" i="126"/>
  <c r="B17" i="126"/>
  <c r="B15" i="126"/>
  <c r="D13" i="126"/>
  <c r="B14" i="126" s="1"/>
  <c r="D18" i="126" l="1"/>
  <c r="D19" i="126" s="1"/>
  <c r="B18" i="126"/>
  <c r="C18" i="126"/>
  <c r="C19" i="126" l="1"/>
  <c r="B19" i="126"/>
  <c r="B23" i="126"/>
  <c r="D23" i="126"/>
  <c r="D24" i="126" l="1"/>
  <c r="B24" i="126"/>
  <c r="C20" i="126"/>
  <c r="B20" i="126"/>
  <c r="B21" i="126" l="1"/>
  <c r="C21" i="126"/>
  <c r="D24" i="98" s="1"/>
  <c r="F21" i="126" l="1"/>
  <c r="C22" i="126"/>
  <c r="B22" i="126"/>
  <c r="G11" i="127" l="1"/>
  <c r="P3" i="127"/>
  <c r="E11" i="127"/>
  <c r="Q3" i="127"/>
  <c r="H4" i="127"/>
  <c r="O3" i="127"/>
  <c r="D15" i="127" s="1"/>
  <c r="F15" i="127" l="1"/>
  <c r="F18" i="127" s="1"/>
  <c r="F21" i="127" s="1"/>
  <c r="E15" i="127"/>
  <c r="H15" i="127"/>
  <c r="H18" i="127" s="1"/>
  <c r="H21" i="127" s="1"/>
  <c r="G15" i="127"/>
  <c r="E26" i="127" l="1"/>
  <c r="F25" i="127"/>
  <c r="F26" i="127"/>
  <c r="G26" i="127"/>
  <c r="H26" i="127"/>
  <c r="H25" i="127"/>
  <c r="E28" i="127" l="1"/>
  <c r="F28" i="127"/>
  <c r="E29" i="127"/>
  <c r="F29" i="127"/>
  <c r="G28" i="127"/>
  <c r="H28" i="127"/>
  <c r="H29" i="127"/>
  <c r="G29" i="127"/>
  <c r="K15" i="140"/>
  <c r="M6" i="140"/>
  <c r="M15" i="140" s="1"/>
  <c r="D30" i="127" l="1"/>
  <c r="F30" i="127"/>
  <c r="H30" i="127"/>
  <c r="K16" i="140"/>
  <c r="L17" i="140" s="1"/>
  <c r="P19" i="140" s="1"/>
  <c r="M20" i="140"/>
  <c r="M16" i="140"/>
  <c r="Q23" i="140"/>
  <c r="T27" i="140" s="1"/>
  <c r="K32" i="140"/>
  <c r="M23" i="140"/>
  <c r="M32" i="140" s="1"/>
  <c r="M33" i="140" s="1"/>
  <c r="E31" i="127" l="1"/>
  <c r="M36" i="140"/>
  <c r="M37" i="140" s="1"/>
  <c r="M39" i="140" s="1"/>
  <c r="K17" i="140"/>
  <c r="P20" i="140" s="1"/>
  <c r="P21" i="140" s="1"/>
  <c r="K18" i="140" s="1"/>
  <c r="K33" i="140"/>
  <c r="K34" i="140" s="1"/>
  <c r="BA19" i="138" l="1"/>
  <c r="BB19" i="138" s="1"/>
  <c r="BC19" i="138" s="1"/>
  <c r="Z18" i="138" s="1"/>
  <c r="Z19" i="138" s="1"/>
  <c r="AX14" i="138"/>
  <c r="L34" i="140"/>
  <c r="K37" i="140"/>
  <c r="K36" i="140"/>
  <c r="AX15" i="138" l="1"/>
  <c r="AV20" i="138"/>
  <c r="AW20" i="138" s="1"/>
  <c r="AX20" i="138" s="1"/>
  <c r="AZ20" i="138" s="1"/>
  <c r="V20" i="138" s="1"/>
  <c r="K39" i="140"/>
  <c r="R16" i="138" l="1"/>
  <c r="AA19" i="138"/>
  <c r="BA34" i="138" l="1"/>
  <c r="G39" i="138"/>
  <c r="V34" i="138" l="1"/>
  <c r="T34" i="138"/>
  <c r="Y34" i="138" s="1"/>
  <c r="V29" i="138"/>
  <c r="S8" i="124"/>
  <c r="BI34" i="138"/>
  <c r="BJ34" i="138" s="1"/>
  <c r="BK34" i="138" s="1"/>
  <c r="S34" i="138" l="1"/>
  <c r="AB34" i="138" s="1"/>
  <c r="U34" i="138"/>
  <c r="AC34" i="138" s="1"/>
  <c r="Q34" i="138"/>
  <c r="BH34" i="138"/>
  <c r="Z34" i="138"/>
  <c r="BG34" i="138" s="1"/>
  <c r="U29" i="138"/>
  <c r="AC29" i="138" s="1"/>
  <c r="BB34" i="138" l="1"/>
  <c r="BC34" i="138"/>
  <c r="AA34" i="138"/>
  <c r="BC29" i="138"/>
  <c r="I26" i="117" l="1"/>
  <c r="C27" i="117"/>
  <c r="I20" i="117"/>
  <c r="I24" i="117"/>
  <c r="I27" i="117" l="1"/>
  <c r="I28" i="117" s="1"/>
  <c r="I30" i="117" s="1"/>
  <c r="I31" i="117" s="1"/>
  <c r="C30" i="117" l="1"/>
  <c r="I36" i="117"/>
  <c r="C36" i="117"/>
  <c r="C38" i="117" l="1"/>
  <c r="I7" i="156"/>
  <c r="X43" i="156" s="1"/>
  <c r="C37" i="117"/>
  <c r="O36" i="156"/>
  <c r="U4" i="156" l="1"/>
  <c r="AB22" i="156"/>
  <c r="AA22" i="156" s="1"/>
  <c r="J16" i="156" s="1"/>
  <c r="Y43" i="156"/>
  <c r="AE43" i="156" s="1"/>
  <c r="Q28" i="156" l="1"/>
  <c r="AI43" i="156"/>
  <c r="J17" i="156"/>
  <c r="J18" i="156"/>
  <c r="V31" i="156"/>
  <c r="J19" i="156" l="1"/>
  <c r="X36" i="156" s="1"/>
  <c r="Y36" i="156" s="1"/>
  <c r="S27" i="156"/>
  <c r="B27" i="156" s="1"/>
  <c r="X31" i="156"/>
  <c r="AJ43" i="156"/>
  <c r="Q32" i="156"/>
  <c r="O33" i="156" s="1"/>
  <c r="Q29" i="156"/>
  <c r="J26" i="156" l="1"/>
  <c r="X26" i="156" s="1"/>
  <c r="Q33" i="156"/>
  <c r="O34" i="156" s="1"/>
  <c r="AK43" i="156"/>
  <c r="Q34" i="156" s="1"/>
  <c r="Q37" i="156" s="1"/>
  <c r="AE36" i="156"/>
  <c r="V26" i="156"/>
  <c r="J31" i="156" l="1"/>
  <c r="J32" i="156" s="1"/>
  <c r="V28" i="156"/>
  <c r="M23" i="156" s="1"/>
  <c r="V29" i="156"/>
  <c r="M24" i="156" s="1"/>
  <c r="M22" i="156"/>
  <c r="L26" i="156" l="1"/>
  <c r="M25" i="156"/>
  <c r="J34" i="156"/>
  <c r="J35" i="156"/>
  <c r="B26" i="156" l="1"/>
  <c r="V17" i="156"/>
  <c r="X17" i="156" s="1"/>
  <c r="Y17" i="156" s="1"/>
  <c r="L31" i="156"/>
  <c r="L32" i="156" s="1"/>
  <c r="W38" i="156"/>
  <c r="Q8" i="156"/>
  <c r="V13" i="156" s="1"/>
  <c r="Y26" i="156"/>
  <c r="B31" i="156" s="1"/>
  <c r="J36" i="156"/>
  <c r="J41" i="156" s="1"/>
  <c r="B32" i="156" l="1"/>
  <c r="X32" i="156"/>
  <c r="J43" i="156" s="1"/>
  <c r="J44" i="156" s="1"/>
  <c r="U46" i="156"/>
  <c r="U47" i="156" s="1"/>
  <c r="J42" i="156"/>
  <c r="Q7" i="156"/>
  <c r="L34" i="156"/>
  <c r="L35" i="156"/>
  <c r="Y31" i="156" l="1"/>
  <c r="L36" i="156"/>
  <c r="V32" i="156" s="1"/>
  <c r="Q12" i="156"/>
  <c r="X39" i="156" s="1"/>
  <c r="Y39" i="156" s="1"/>
  <c r="AE39" i="156" s="1"/>
  <c r="Q13" i="156" s="1"/>
  <c r="O13" i="156" s="1"/>
  <c r="AF39" i="156"/>
  <c r="Q14" i="156" s="1"/>
  <c r="AB26" i="156" l="1"/>
  <c r="X37" i="156"/>
  <c r="Y37" i="156" s="1"/>
  <c r="AE37" i="156" s="1"/>
  <c r="L41" i="156" s="1"/>
  <c r="L40" i="156" s="1"/>
  <c r="X38" i="156"/>
  <c r="Y38" i="156" s="1"/>
  <c r="AE38" i="156" s="1"/>
  <c r="L43" i="156"/>
  <c r="L44" i="156" s="1"/>
  <c r="Q38" i="156" s="1"/>
  <c r="W31" i="156"/>
  <c r="B42" i="156" l="1"/>
  <c r="L42" i="156"/>
  <c r="Q35" i="156"/>
  <c r="Q36" i="156" s="1"/>
  <c r="V46" i="156"/>
  <c r="L37" i="156" s="1"/>
  <c r="V47" i="156" l="1"/>
  <c r="B41" i="156" s="1"/>
  <c r="G27" i="166"/>
  <c r="G25" i="166" l="1"/>
  <c r="P26" i="166" l="1"/>
  <c r="C34" i="166"/>
  <c r="C35" i="166" s="1"/>
  <c r="G28" i="166"/>
  <c r="F33" i="166" s="1"/>
  <c r="F34" i="166" l="1"/>
  <c r="F35" i="166" s="1"/>
  <c r="O21" i="166"/>
  <c r="AJ9" i="138"/>
  <c r="Z13" i="138"/>
  <c r="AP41" i="138" s="1"/>
  <c r="AR41" i="138" s="1"/>
  <c r="S13" i="138"/>
  <c r="AW10" i="138" s="1"/>
  <c r="AJ11" i="138" l="1"/>
  <c r="R11" i="138" s="1"/>
  <c r="AJ10" i="138"/>
  <c r="R10" i="138" s="1"/>
  <c r="AW11" i="138"/>
  <c r="AB13" i="138"/>
  <c r="R19" i="138"/>
  <c r="R9" i="138"/>
  <c r="R15" i="138" l="1"/>
  <c r="T13" i="138"/>
  <c r="AY28" i="138" l="1"/>
  <c r="AZ28" i="138" s="1"/>
  <c r="BA28" i="138" s="1"/>
  <c r="T28" i="138" s="1"/>
  <c r="V28" i="138" l="1"/>
  <c r="Q28" i="138" s="1"/>
  <c r="BI28" i="138"/>
  <c r="BJ28" i="138" s="1"/>
  <c r="BK28" i="138" s="1"/>
  <c r="Y28" i="138"/>
  <c r="Z28" i="138" s="1"/>
  <c r="BG28" i="138" s="1"/>
  <c r="AY27" i="138"/>
  <c r="AZ27" i="138" s="1"/>
  <c r="BA27" i="138" s="1"/>
  <c r="V27" i="138" s="1"/>
  <c r="S28" i="138" l="1"/>
  <c r="BB28" i="138" s="1"/>
  <c r="U28" i="138"/>
  <c r="BH28" i="138"/>
  <c r="V39" i="138"/>
  <c r="BC41" i="138"/>
  <c r="BI27" i="138"/>
  <c r="BJ27" i="138" s="1"/>
  <c r="BK27" i="138" s="1"/>
  <c r="T27" i="138"/>
  <c r="Q27" i="138" l="1"/>
  <c r="BA29" i="138"/>
  <c r="AB28" i="138"/>
  <c r="BC28" i="138"/>
  <c r="AC28" i="138"/>
  <c r="AA28" i="138"/>
  <c r="S27" i="138"/>
  <c r="U27" i="138"/>
  <c r="Y27" i="138"/>
  <c r="BH27" i="138"/>
  <c r="BI29" i="138" l="1"/>
  <c r="BJ29" i="138" s="1"/>
  <c r="BK29" i="138" s="1"/>
  <c r="S29" i="138" s="1"/>
  <c r="T29" i="138"/>
  <c r="Q29" i="138" s="1"/>
  <c r="AB27" i="138"/>
  <c r="R27" i="138"/>
  <c r="BB27" i="138"/>
  <c r="AC27" i="138"/>
  <c r="AC40" i="138" s="1"/>
  <c r="U39" i="138"/>
  <c r="V40" i="138" s="1"/>
  <c r="BC27" i="138"/>
  <c r="BC39" i="138" s="1"/>
  <c r="R28" i="138"/>
  <c r="Z27" i="138"/>
  <c r="BG18" i="138"/>
  <c r="AB29" i="138" l="1"/>
  <c r="AB40" i="138" s="1"/>
  <c r="AB41" i="138" s="1"/>
  <c r="BB29" i="138"/>
  <c r="BB39" i="138" s="1"/>
  <c r="S39" i="138"/>
  <c r="BH29" i="138"/>
  <c r="Y29" i="138"/>
  <c r="Z29" i="138" s="1"/>
  <c r="BG29" i="138" s="1"/>
  <c r="AA29" i="138" s="1"/>
  <c r="T39" i="138"/>
  <c r="BI17" i="138"/>
  <c r="BG27" i="138"/>
  <c r="AA27" i="138" s="1"/>
  <c r="T40" i="138" l="1"/>
  <c r="T41" i="138" s="1"/>
  <c r="U42" i="138" s="1"/>
  <c r="H40" i="138"/>
  <c r="H42" i="138"/>
  <c r="S7" i="124"/>
  <c r="S11" i="124"/>
  <c r="R29" i="138"/>
  <c r="R30" i="138"/>
  <c r="S42" i="138" l="1"/>
  <c r="S43" i="138" s="1"/>
  <c r="S5" i="124"/>
  <c r="B15" i="138" s="1"/>
  <c r="R31" i="138" l="1"/>
  <c r="R32" i="138" l="1"/>
  <c r="R33" i="138" l="1"/>
  <c r="R34" i="138"/>
  <c r="R35" i="138" l="1"/>
  <c r="R36" i="138" l="1"/>
  <c r="R37" i="138" l="1"/>
  <c r="R38" i="1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Hauß</author>
  </authors>
  <commentList>
    <comment ref="C16" authorId="0" shapeId="0" xr:uid="{57B20EB1-E1CF-41C9-AB0A-F77DFC905363}">
      <text>
        <r>
          <rPr>
            <b/>
            <sz val="8"/>
            <color indexed="81"/>
            <rFont val="Segoe UI"/>
            <family val="2"/>
          </rPr>
          <t>Hauß:</t>
        </r>
        <r>
          <rPr>
            <sz val="8"/>
            <color indexed="81"/>
            <rFont val="Segoe UI"/>
            <family val="2"/>
          </rPr>
          <t xml:space="preserve">
Saldo der Versorgungskürzung =
Versorgungsverlust - Versorgungsgewinn (Grünberg/Siede § 33 VersAusglG Rn. 5)</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<sst xmlns="http://schemas.openxmlformats.org/spreadsheetml/2006/main" count="3184" uniqueCount="2036">
  <si>
    <t>Invalidenrente</t>
  </si>
  <si>
    <t>Alters und Invaliditätsrente</t>
  </si>
  <si>
    <t>Witwenrente 100%</t>
  </si>
  <si>
    <t>Witwenrente 0,6</t>
  </si>
  <si>
    <t>Anwartschafts-barwert</t>
  </si>
  <si>
    <r>
      <rPr>
        <sz val="12"/>
        <color indexed="8"/>
        <rFont val="Calibri"/>
        <family val="2"/>
      </rPr>
      <t xml:space="preserve">Zuschläge zum Barwert für </t>
    </r>
    <r>
      <rPr>
        <b/>
        <sz val="12"/>
        <color indexed="8"/>
        <rFont val="Calibri"/>
        <family val="2"/>
      </rPr>
      <t xml:space="preserve">
Invaliditäts- und Hinterbliebenenversorgung </t>
    </r>
    <r>
      <rPr>
        <sz val="11"/>
        <color theme="1"/>
        <rFont val="Arial"/>
        <family val="2"/>
      </rPr>
      <t xml:space="preserve">
- Männer -</t>
    </r>
  </si>
  <si>
    <r>
      <t xml:space="preserve">Zuschläge zum Barwert für 
</t>
    </r>
    <r>
      <rPr>
        <b/>
        <sz val="12"/>
        <color indexed="8"/>
        <rFont val="Calibri"/>
        <family val="2"/>
      </rPr>
      <t xml:space="preserve">Invaliditäts- und Hinterbliebenenversorgung </t>
    </r>
    <r>
      <rPr>
        <sz val="11"/>
        <color theme="1"/>
        <rFont val="Arial"/>
        <family val="2"/>
      </rPr>
      <t xml:space="preserve">
- Frauen -</t>
    </r>
  </si>
  <si>
    <t>Alter</t>
  </si>
  <si>
    <t>Anteil IR</t>
  </si>
  <si>
    <t>Anteil HR</t>
  </si>
  <si>
    <t>Gesamt IR + HR</t>
  </si>
  <si>
    <t>Deutschland</t>
  </si>
  <si>
    <t>ReZi 6%/0%</t>
  </si>
  <si>
    <t>x</t>
  </si>
  <si>
    <t>(12)axaiA</t>
  </si>
  <si>
    <t>(12)axaiZ</t>
  </si>
  <si>
    <t>0,6 axaaw</t>
  </si>
  <si>
    <r>
      <t>(12)a</t>
    </r>
    <r>
      <rPr>
        <vertAlign val="subscript"/>
        <sz val="9"/>
        <color indexed="8"/>
        <rFont val="Calibri"/>
        <family val="2"/>
      </rPr>
      <t>x</t>
    </r>
    <r>
      <rPr>
        <sz val="9"/>
        <color indexed="8"/>
        <rFont val="Arial"/>
        <family val="2"/>
      </rPr>
      <t>aiz</t>
    </r>
  </si>
  <si>
    <r>
      <t>(12)a</t>
    </r>
    <r>
      <rPr>
        <vertAlign val="subscript"/>
        <sz val="9"/>
        <color indexed="8"/>
        <rFont val="Calibri"/>
        <family val="2"/>
      </rPr>
      <t>x</t>
    </r>
    <r>
      <rPr>
        <sz val="9"/>
        <color indexed="8"/>
        <rFont val="Arial"/>
        <family val="2"/>
      </rPr>
      <t>aia</t>
    </r>
  </si>
  <si>
    <r>
      <t>(12)a</t>
    </r>
    <r>
      <rPr>
        <vertAlign val="subscript"/>
        <sz val="9"/>
        <color indexed="8"/>
        <rFont val="Calibri"/>
        <family val="2"/>
      </rPr>
      <t>y</t>
    </r>
    <r>
      <rPr>
        <sz val="9"/>
        <color indexed="8"/>
        <rFont val="Arial"/>
        <family val="2"/>
      </rPr>
      <t>aiz</t>
    </r>
  </si>
  <si>
    <r>
      <t>(12)a</t>
    </r>
    <r>
      <rPr>
        <vertAlign val="subscript"/>
        <sz val="9"/>
        <color indexed="8"/>
        <rFont val="Calibri"/>
        <family val="2"/>
      </rPr>
      <t>y</t>
    </r>
    <r>
      <rPr>
        <sz val="9"/>
        <color indexed="8"/>
        <rFont val="Arial"/>
        <family val="2"/>
      </rPr>
      <t>aia</t>
    </r>
  </si>
  <si>
    <t>Rente</t>
  </si>
  <si>
    <t>von</t>
  </si>
  <si>
    <t>bis</t>
  </si>
  <si>
    <r>
      <t>a</t>
    </r>
    <r>
      <rPr>
        <vertAlign val="subscript"/>
        <sz val="9"/>
        <color indexed="8"/>
        <rFont val="Calibri"/>
        <family val="2"/>
      </rPr>
      <t>x</t>
    </r>
    <r>
      <rPr>
        <sz val="9"/>
        <color indexed="8"/>
        <rFont val="Arial"/>
        <family val="2"/>
      </rPr>
      <t>aw</t>
    </r>
  </si>
  <si>
    <r>
      <t>0,6 a</t>
    </r>
    <r>
      <rPr>
        <vertAlign val="subscript"/>
        <sz val="9"/>
        <color indexed="8"/>
        <rFont val="Calibri"/>
        <family val="2"/>
      </rPr>
      <t>x</t>
    </r>
    <r>
      <rPr>
        <sz val="9"/>
        <color indexed="8"/>
        <rFont val="Arial"/>
        <family val="2"/>
      </rPr>
      <t>aw</t>
    </r>
  </si>
  <si>
    <t>ayaw</t>
  </si>
  <si>
    <t>0,6 ayaw</t>
  </si>
  <si>
    <r>
      <t>a</t>
    </r>
    <r>
      <rPr>
        <vertAlign val="subscript"/>
        <sz val="11"/>
        <color indexed="8"/>
        <rFont val="Arial"/>
        <family val="2"/>
      </rPr>
      <t>x</t>
    </r>
    <r>
      <rPr>
        <sz val="11"/>
        <color theme="1"/>
        <rFont val="Arial"/>
        <family val="2"/>
      </rPr>
      <t>aw</t>
    </r>
  </si>
  <si>
    <r>
      <t>a</t>
    </r>
    <r>
      <rPr>
        <vertAlign val="subscript"/>
        <sz val="11"/>
        <color indexed="8"/>
        <rFont val="Arial"/>
        <family val="2"/>
      </rPr>
      <t>y</t>
    </r>
    <r>
      <rPr>
        <sz val="11"/>
        <color theme="1"/>
        <rFont val="Arial"/>
        <family val="2"/>
      </rPr>
      <t>aw</t>
    </r>
  </si>
  <si>
    <t>% p.a.</t>
  </si>
  <si>
    <t>Abzinsungszinssatz gemäß §253 Abs. 2 HGB bei einer Restlaufzeit von .... Jahr(en)</t>
  </si>
  <si>
    <t>Abzinsungszinssatz gemäß §253 Abs. 2 HGB bei einer Restlaufzeit von .... Jahren</t>
  </si>
  <si>
    <t>Für den Geburtsjahrgang</t>
  </si>
  <si>
    <t>erfolgt eine Anhebung um ... Monate</t>
  </si>
  <si>
    <t>auf Vollendung eines Lebensalters von</t>
  </si>
  <si>
    <t>65 Jahre</t>
  </si>
  <si>
    <t>65 Jahren und 1 Monat</t>
  </si>
  <si>
    <t>65 Jahren und 2 Monaten</t>
  </si>
  <si>
    <t>65 Jahren und 3 Monaten</t>
  </si>
  <si>
    <t>65 Jahren und 4 Monaten</t>
  </si>
  <si>
    <t>65 Jahren und 5 Monaten</t>
  </si>
  <si>
    <t>65 Jahren und 6 Monaten</t>
  </si>
  <si>
    <t>65 Jahren und 7 Monaten</t>
  </si>
  <si>
    <t>65 Jahren und 8 Monaten</t>
  </si>
  <si>
    <t>65 Jahren und 9 Monaten</t>
  </si>
  <si>
    <t>65 Jahren und 10 Monaten</t>
  </si>
  <si>
    <t>65 Jahren und 11 Monaten</t>
  </si>
  <si>
    <t>66 Jahren</t>
  </si>
  <si>
    <t>66 Jahren und 2 Monaten</t>
  </si>
  <si>
    <t>66 Jahren und 4 Monaten</t>
  </si>
  <si>
    <t>66 Jahren und 6 Monaten</t>
  </si>
  <si>
    <t>66 Jahren und 8 Monaten</t>
  </si>
  <si>
    <t>66 Jahren und 10 Monaten</t>
  </si>
  <si>
    <t>67 Jahren</t>
  </si>
  <si>
    <t>aktueller Rentenwert in €</t>
  </si>
  <si>
    <t>1.</t>
  </si>
  <si>
    <t>Ost</t>
  </si>
  <si>
    <t>West</t>
  </si>
  <si>
    <t>Jahr</t>
  </si>
  <si>
    <t>Datum</t>
  </si>
  <si>
    <t>Kapital</t>
  </si>
  <si>
    <t>EP</t>
  </si>
  <si>
    <t>Ehezeitende</t>
  </si>
  <si>
    <t>Anwartschaftszeit bis Renteneintritt:</t>
  </si>
  <si>
    <t>Renteneintrittsalter in Jahren:</t>
  </si>
  <si>
    <t>Rechnungszins:</t>
  </si>
  <si>
    <t>Falldaten:</t>
  </si>
  <si>
    <t>Realdauer</t>
  </si>
  <si>
    <t>Die hier durchgeführte Berechnung ist automatisiert erstellt. Sie folgt versicherungsmathematischen Grundsätzen. Die mit diesem Programm gefundenen Ergebnisse bedürfen im Einzelfall sachverständiger Prüfung. Autor, Verleger und Vertreiber haften daher nicht für die ermittelten Ergebnisse</t>
  </si>
  <si>
    <t xml:space="preserve">4. </t>
  </si>
  <si>
    <t>Laufzeitbeginn</t>
  </si>
  <si>
    <t>Laufzeitende</t>
  </si>
  <si>
    <t>Geburtsdatum des/der Berechtigten</t>
  </si>
  <si>
    <t>Kohortenzahl</t>
  </si>
  <si>
    <r>
      <t>a</t>
    </r>
    <r>
      <rPr>
        <vertAlign val="subscript"/>
        <sz val="9"/>
        <color indexed="8"/>
        <rFont val="Arial"/>
        <family val="2"/>
      </rPr>
      <t>x</t>
    </r>
    <r>
      <rPr>
        <sz val="9"/>
        <color indexed="8"/>
        <rFont val="Arial"/>
        <family val="2"/>
      </rPr>
      <t>aw</t>
    </r>
  </si>
  <si>
    <r>
      <t>a</t>
    </r>
    <r>
      <rPr>
        <vertAlign val="subscript"/>
        <sz val="9"/>
        <color indexed="8"/>
        <rFont val="Arial"/>
        <family val="2"/>
      </rPr>
      <t>y</t>
    </r>
    <r>
      <rPr>
        <sz val="9"/>
        <color indexed="8"/>
        <rFont val="Arial"/>
        <family val="2"/>
      </rPr>
      <t>aw</t>
    </r>
  </si>
  <si>
    <t>E_RenteKapital</t>
  </si>
  <si>
    <t>E_Alterswahl</t>
  </si>
  <si>
    <t>E_sex</t>
  </si>
  <si>
    <t>E_VVR</t>
  </si>
  <si>
    <t>E_Alter</t>
  </si>
  <si>
    <t>E_LxyRAlter</t>
  </si>
  <si>
    <t>E_RenteausKapital</t>
  </si>
  <si>
    <t>E_BarwertderRente</t>
  </si>
  <si>
    <t>E_Invalidität</t>
  </si>
  <si>
    <t>E_Ifaktor</t>
  </si>
  <si>
    <t>E_Hinterbliebene</t>
  </si>
  <si>
    <t>E_Hfaktor</t>
  </si>
  <si>
    <t>E_Abweichung</t>
  </si>
  <si>
    <t>((E_Kapital*(1+(E_ReZins1))^(E_Rentenalter-E_Alter)*(E_ReZins1-E_ReTrend1))/(1-1/(1+(E_ReZins1-E_ReTrend1))^E_LxyRAlterI)/E_VVR/12)/WENN(ODER(E_Invalidität;E_Hinterbliebene);(1+L7);1)</t>
  </si>
  <si>
    <t>E_Anwartschaftszeit</t>
  </si>
  <si>
    <t>T_Barwert</t>
  </si>
  <si>
    <t>T_Verrentung</t>
  </si>
  <si>
    <t>E_VerrentungText</t>
  </si>
  <si>
    <t>E_ReZins</t>
  </si>
  <si>
    <t>E_Rentner</t>
  </si>
  <si>
    <t>E_Renteneintritt</t>
  </si>
  <si>
    <t>E_Rezins1</t>
  </si>
  <si>
    <t>Berechnungsstichtag</t>
  </si>
  <si>
    <t>ForderungRente</t>
  </si>
  <si>
    <t>E_VVR_T</t>
  </si>
  <si>
    <t>E_RenteausKapitalAglBer</t>
  </si>
  <si>
    <t>E_AlterABer</t>
  </si>
  <si>
    <t>E_AnwartschaftszeitABer</t>
  </si>
  <si>
    <t>E_RelegalterABer</t>
  </si>
  <si>
    <t>E_LXYAlterABer</t>
  </si>
  <si>
    <t>E_VVR1AglBer</t>
  </si>
  <si>
    <t>E_VVR2AglBer</t>
  </si>
  <si>
    <t>E_VVRAusglBer</t>
  </si>
  <si>
    <t>E_InvaliditätAusglBer</t>
  </si>
  <si>
    <t>E_IFaktorAusglBer</t>
  </si>
  <si>
    <t>E_HinterbliebeneAusglBer</t>
  </si>
  <si>
    <t>E_HFaktorAusglBer</t>
  </si>
  <si>
    <t>E_Laufzeitbegrenzung</t>
  </si>
  <si>
    <r>
      <t xml:space="preserve">4. Ist der </t>
    </r>
    <r>
      <rPr>
        <b/>
        <sz val="11"/>
        <color indexed="8"/>
        <rFont val="Arial"/>
        <family val="2"/>
      </rPr>
      <t>Barwert</t>
    </r>
    <r>
      <rPr>
        <sz val="11"/>
        <color theme="1"/>
        <rFont val="Arial"/>
        <family val="2"/>
      </rPr>
      <t xml:space="preserve"> einer Rente oder die </t>
    </r>
    <r>
      <rPr>
        <b/>
        <sz val="11"/>
        <color indexed="8"/>
        <rFont val="Arial"/>
        <family val="2"/>
      </rPr>
      <t>Verrentung</t>
    </r>
    <r>
      <rPr>
        <sz val="11"/>
        <color theme="1"/>
        <rFont val="Arial"/>
        <family val="2"/>
      </rPr>
      <t xml:space="preserve"> eines Kapitals zu berechnen?</t>
    </r>
  </si>
  <si>
    <t>VA-Kasse</t>
  </si>
  <si>
    <t>© Rechtsanwalt Jörn Hauß, Vom-Rath-Str. 10, 47051 Duisburg, Tel: 0203/286870</t>
  </si>
  <si>
    <t>Büro Glockner, Tiefentalstr. 176228 Karlsruhe, Tel: 0721/491434</t>
  </si>
  <si>
    <r>
      <t>2.</t>
    </r>
    <r>
      <rPr>
        <b/>
        <sz val="11"/>
        <color indexed="8"/>
        <rFont val="Arial"/>
        <family val="2"/>
      </rPr>
      <t xml:space="preserve"> Berechnungsdatum</t>
    </r>
    <r>
      <rPr>
        <sz val="11"/>
        <color theme="1"/>
        <rFont val="Arial"/>
        <family val="2"/>
      </rPr>
      <t xml:space="preserve"> (z.B. Ehezeitende)</t>
    </r>
  </si>
  <si>
    <r>
      <t xml:space="preserve">3. </t>
    </r>
    <r>
      <rPr>
        <b/>
        <sz val="11"/>
        <color indexed="8"/>
        <rFont val="Arial"/>
        <family val="2"/>
      </rPr>
      <t>Geschlecht</t>
    </r>
    <r>
      <rPr>
        <sz val="11"/>
        <color theme="1"/>
        <rFont val="Arial"/>
        <family val="2"/>
      </rPr>
      <t xml:space="preserve"> des Inhabers der Versorgung</t>
    </r>
  </si>
  <si>
    <r>
      <t xml:space="preserve">6. </t>
    </r>
    <r>
      <rPr>
        <b/>
        <sz val="11"/>
        <color indexed="8"/>
        <rFont val="Arial"/>
        <family val="2"/>
      </rPr>
      <t>Rentenalter</t>
    </r>
    <r>
      <rPr>
        <sz val="11"/>
        <color theme="1"/>
        <rFont val="Arial"/>
        <family val="2"/>
      </rPr>
      <t xml:space="preserve">, wenn dies von der Regelaltersgrenze abweicht
    </t>
    </r>
    <r>
      <rPr>
        <sz val="8"/>
        <color indexed="8"/>
        <rFont val="Arial"/>
        <family val="2"/>
      </rPr>
      <t>bei laufenden Renten vor der Regelaltersgrenze das Alter im Berechnungszeitpunkt eingeben</t>
    </r>
  </si>
  <si>
    <r>
      <t>7. Enthält die Versorgungszusage eine</t>
    </r>
    <r>
      <rPr>
        <b/>
        <sz val="11"/>
        <color indexed="8"/>
        <rFont val="Arial"/>
        <family val="2"/>
      </rPr>
      <t xml:space="preserve"> Invaliditätsabsicherung</t>
    </r>
    <r>
      <rPr>
        <sz val="11"/>
        <color theme="1"/>
        <rFont val="Arial"/>
        <family val="2"/>
      </rPr>
      <t>?</t>
    </r>
  </si>
  <si>
    <r>
      <t xml:space="preserve">8. Enthält die Versorgungszusage </t>
    </r>
    <r>
      <rPr>
        <b/>
        <sz val="11"/>
        <color indexed="8"/>
        <rFont val="Arial"/>
        <family val="2"/>
      </rPr>
      <t>Hinterbliebenenabsicherung</t>
    </r>
    <r>
      <rPr>
        <sz val="11"/>
        <color theme="1"/>
        <rFont val="Arial"/>
        <family val="2"/>
      </rPr>
      <t>?</t>
    </r>
  </si>
  <si>
    <t>2.</t>
  </si>
  <si>
    <t>Halbierung</t>
  </si>
  <si>
    <t>DRV</t>
  </si>
  <si>
    <t>Abzinsungszinssatz gemäß § 253 Abs. 2 HGB (10-Jahresdurchschnitt) bei einer Restlaufzeit von .... Jahr(en)</t>
  </si>
  <si>
    <t>E_BilMoG10-Test</t>
  </si>
  <si>
    <t>anzunehmende Dynamik der gesetzlichen Rentenversicherung</t>
  </si>
  <si>
    <t>Forderung, Ausgleichswert im Ehezeitende</t>
  </si>
  <si>
    <t>vom Versorgungsträger verwendeter Rechnungszins</t>
  </si>
  <si>
    <t>AufAbzinsung</t>
  </si>
  <si>
    <t>Verzinsung</t>
  </si>
  <si>
    <t>3.</t>
  </si>
  <si>
    <t>Hinterbliebenenquote (Prozentsatz der Witwen-/Witwerrente)</t>
  </si>
  <si>
    <t>Invaliditätsquote (Höhe der Invaliditätsrente zur Altersrente)</t>
  </si>
  <si>
    <r>
      <t>12. Voraussichtliche Rente für die ausgleichsberechtigte Person</t>
    </r>
    <r>
      <rPr>
        <sz val="10"/>
        <color indexed="8"/>
        <rFont val="Arial"/>
        <family val="2"/>
      </rPr>
      <t xml:space="preserve"> (bitte Halbteilung und Teilungskosten beachten)</t>
    </r>
    <r>
      <rPr>
        <sz val="11"/>
        <color theme="1"/>
        <rFont val="Arial"/>
        <family val="2"/>
      </rPr>
      <t>:</t>
    </r>
  </si>
  <si>
    <t>©Institut für Versorgungsausgleich, Jörn Hauß, Duisburg, Hauss@anwaelte-du.de</t>
  </si>
  <si>
    <t>360 Tage / Jahr</t>
  </si>
  <si>
    <t>Ehezeitanteilsbestimmung</t>
  </si>
  <si>
    <t>365 Tage / Jahr</t>
  </si>
  <si>
    <t>tragen Sie die Daten von … bis … in die weißen Felder ein</t>
  </si>
  <si>
    <t>Summen</t>
  </si>
  <si>
    <r>
      <t>Faktor</t>
    </r>
    <r>
      <rPr>
        <b/>
        <vertAlign val="superscript"/>
        <sz val="8"/>
        <color indexed="10"/>
        <rFont val="Arial"/>
        <family val="2"/>
      </rPr>
      <t>*)</t>
    </r>
    <r>
      <rPr>
        <sz val="8"/>
        <color indexed="10"/>
        <rFont val="Arial"/>
        <family val="2"/>
      </rPr>
      <t xml:space="preserve"> </t>
    </r>
    <r>
      <rPr>
        <sz val="8"/>
        <rFont val="Arial"/>
        <family val="2"/>
      </rPr>
      <t xml:space="preserve">ist stets &lt;1, bei Teilzeitbeschäftigung von Beamten. Stundenweise Berechnung möglich durch Eingabe von '=' vor den Teilzeitfaktor also bei 21 von 28 Std.: =21/28. Die Beschränkung wirkt sich nur auf die mit </t>
    </r>
    <r>
      <rPr>
        <sz val="8"/>
        <color indexed="10"/>
        <rFont val="Arial"/>
        <family val="2"/>
      </rPr>
      <t>*)</t>
    </r>
    <r>
      <rPr>
        <sz val="8"/>
        <rFont val="Arial"/>
        <family val="2"/>
      </rPr>
      <t xml:space="preserve"> gekennzeichneten Spalten aus.</t>
    </r>
  </si>
  <si>
    <t>© Rechtsanwalt Jörn Hauß, Fachanwalt f. Familienrecht, Duisburg, Tel: 0203/286870 Fax: 0203/2868777, Mail Hauss@anwaelte-du.de, www.anwaelte-du.de</t>
  </si>
  <si>
    <r>
      <t>(12)an</t>
    </r>
    <r>
      <rPr>
        <sz val="9"/>
        <color indexed="8"/>
        <rFont val="Arial"/>
        <family val="2"/>
      </rPr>
      <t>aiz</t>
    </r>
  </si>
  <si>
    <r>
      <t>(12)an</t>
    </r>
    <r>
      <rPr>
        <sz val="9"/>
        <color indexed="8"/>
        <rFont val="Arial"/>
        <family val="2"/>
      </rPr>
      <t>aia</t>
    </r>
  </si>
  <si>
    <t>anaw</t>
  </si>
  <si>
    <t>0,6 anaw</t>
  </si>
  <si>
    <t>n</t>
  </si>
  <si>
    <t>(12)anaiZ</t>
  </si>
  <si>
    <t>(12)anaiA</t>
  </si>
  <si>
    <r>
      <t>an</t>
    </r>
    <r>
      <rPr>
        <sz val="9"/>
        <color indexed="8"/>
        <rFont val="Arial"/>
        <family val="2"/>
      </rPr>
      <t>aw</t>
    </r>
  </si>
  <si>
    <t>E_VVR2 (Überlebende im Rentenalter)</t>
  </si>
  <si>
    <t>E_VVR1 (Überlebende im Berechnungsalter)</t>
  </si>
  <si>
    <t>E_RentenEintrittABer</t>
  </si>
  <si>
    <t>https://www.bundesbank.de/dynamic/action/de/startseite/suche/747716/allgemeine-suche?query=Abzinsungszinss%C3%A4tze</t>
  </si>
  <si>
    <t>Information:</t>
  </si>
  <si>
    <t>Rentenerwartung1</t>
  </si>
  <si>
    <t>Rentenerwartung2</t>
  </si>
  <si>
    <t>E_Halbteilung</t>
  </si>
  <si>
    <r>
      <rPr>
        <sz val="10"/>
        <color indexed="8"/>
        <rFont val="Calibri"/>
        <family val="2"/>
      </rPr>
      <t xml:space="preserve">Zuschläge zum Barwert für </t>
    </r>
    <r>
      <rPr>
        <b/>
        <sz val="10"/>
        <color indexed="8"/>
        <rFont val="Calibri"/>
        <family val="2"/>
      </rPr>
      <t xml:space="preserve">
Invaliditäts- und Hinterbliebenenversorgung </t>
    </r>
    <r>
      <rPr>
        <sz val="10"/>
        <color indexed="8"/>
        <rFont val="Arial"/>
        <family val="2"/>
      </rPr>
      <t xml:space="preserve">
- Männer -</t>
    </r>
  </si>
  <si>
    <r>
      <t xml:space="preserve">Zuschläge zum Barwert für 
</t>
    </r>
    <r>
      <rPr>
        <b/>
        <sz val="10"/>
        <color indexed="8"/>
        <rFont val="Calibri"/>
        <family val="2"/>
      </rPr>
      <t xml:space="preserve">Invaliditäts- und Hinterbliebenenversorgung </t>
    </r>
    <r>
      <rPr>
        <sz val="10"/>
        <color indexed="8"/>
        <rFont val="Arial"/>
        <family val="2"/>
      </rPr>
      <t xml:space="preserve">
- Frauen -</t>
    </r>
  </si>
  <si>
    <t>1970,3%,0%,65</t>
  </si>
  <si>
    <r>
      <t>(12)a</t>
    </r>
    <r>
      <rPr>
        <vertAlign val="subscript"/>
        <sz val="9"/>
        <color indexed="8"/>
        <rFont val="Calibri"/>
        <family val="2"/>
      </rPr>
      <t>x</t>
    </r>
    <r>
      <rPr>
        <sz val="9"/>
        <color indexed="8"/>
        <rFont val="Arial"/>
        <family val="2"/>
      </rPr>
      <t>auiz</t>
    </r>
  </si>
  <si>
    <r>
      <t>(12)a</t>
    </r>
    <r>
      <rPr>
        <vertAlign val="subscript"/>
        <sz val="9"/>
        <color indexed="8"/>
        <rFont val="Calibri"/>
        <family val="2"/>
      </rPr>
      <t>y</t>
    </r>
    <r>
      <rPr>
        <sz val="9"/>
        <color indexed="8"/>
        <rFont val="Arial"/>
        <family val="2"/>
      </rPr>
      <t>auiz</t>
    </r>
  </si>
  <si>
    <r>
      <t xml:space="preserve">Zuschläge zum Barwert für 
</t>
    </r>
    <r>
      <rPr>
        <b/>
        <sz val="10"/>
        <color indexed="8"/>
        <rFont val="Calibri"/>
        <family val="2"/>
      </rPr>
      <t xml:space="preserve">Invaliditäts- und Hinterbliebenenversorgung </t>
    </r>
    <r>
      <rPr>
        <sz val="10"/>
        <color indexed="8"/>
        <rFont val="Arial"/>
        <family val="2"/>
      </rPr>
      <t xml:space="preserve">
- Divers -</t>
    </r>
  </si>
  <si>
    <t>1970(48),3%,0%,66</t>
  </si>
  <si>
    <t>1970,3%,0,64,(48)</t>
  </si>
  <si>
    <r>
      <rPr>
        <b/>
        <sz val="10"/>
        <rFont val="Arial"/>
        <family val="2"/>
      </rPr>
      <t xml:space="preserve">von         Ehezeit          </t>
    </r>
    <r>
      <rPr>
        <sz val="10"/>
        <rFont val="Arial"/>
        <family val="2"/>
      </rPr>
      <t>bis</t>
    </r>
  </si>
  <si>
    <t>Heubeck</t>
  </si>
  <si>
    <t>Monatsbasis</t>
  </si>
  <si>
    <t>Interpolation</t>
  </si>
  <si>
    <t>Rentenalter</t>
  </si>
  <si>
    <t>Mann</t>
  </si>
  <si>
    <t>Frau</t>
  </si>
  <si>
    <t>Umrechenfaktoren Entgeltpunkte in Beiträge</t>
  </si>
  <si>
    <t>1970, 3%,0%,60,(48)</t>
  </si>
  <si>
    <r>
      <t>(12)a</t>
    </r>
    <r>
      <rPr>
        <vertAlign val="subscript"/>
        <sz val="8"/>
        <color indexed="8"/>
        <rFont val="Calibri"/>
        <family val="2"/>
      </rPr>
      <t>x</t>
    </r>
    <r>
      <rPr>
        <sz val="8"/>
        <color indexed="8"/>
        <rFont val="Arial"/>
        <family val="2"/>
      </rPr>
      <t>aiz</t>
    </r>
  </si>
  <si>
    <r>
      <t>(12)a</t>
    </r>
    <r>
      <rPr>
        <vertAlign val="subscript"/>
        <sz val="8"/>
        <color indexed="8"/>
        <rFont val="Calibri"/>
        <family val="2"/>
      </rPr>
      <t>x</t>
    </r>
    <r>
      <rPr>
        <sz val="8"/>
        <color indexed="8"/>
        <rFont val="Arial"/>
        <family val="2"/>
      </rPr>
      <t>aia</t>
    </r>
  </si>
  <si>
    <r>
      <t>a</t>
    </r>
    <r>
      <rPr>
        <vertAlign val="subscript"/>
        <sz val="8"/>
        <color indexed="8"/>
        <rFont val="Calibri"/>
        <family val="2"/>
      </rPr>
      <t>x</t>
    </r>
    <r>
      <rPr>
        <sz val="8"/>
        <color indexed="8"/>
        <rFont val="Arial"/>
        <family val="2"/>
      </rPr>
      <t>aw</t>
    </r>
  </si>
  <si>
    <r>
      <t>(12)a</t>
    </r>
    <r>
      <rPr>
        <vertAlign val="subscript"/>
        <sz val="8"/>
        <color indexed="8"/>
        <rFont val="Calibri"/>
        <family val="2"/>
      </rPr>
      <t>y</t>
    </r>
    <r>
      <rPr>
        <sz val="8"/>
        <color indexed="8"/>
        <rFont val="Arial"/>
        <family val="2"/>
      </rPr>
      <t>aiz</t>
    </r>
  </si>
  <si>
    <r>
      <t>(12)a</t>
    </r>
    <r>
      <rPr>
        <vertAlign val="subscript"/>
        <sz val="8"/>
        <color indexed="8"/>
        <rFont val="Calibri"/>
        <family val="2"/>
      </rPr>
      <t>y</t>
    </r>
    <r>
      <rPr>
        <sz val="8"/>
        <color indexed="8"/>
        <rFont val="Arial"/>
        <family val="2"/>
      </rPr>
      <t>aia</t>
    </r>
  </si>
  <si>
    <t>Längerlebigkeitszuschlag</t>
  </si>
  <si>
    <t>Witwenrente x x%</t>
  </si>
  <si>
    <t>KV_Beitrag</t>
  </si>
  <si>
    <t>KV_Beitragssatz</t>
  </si>
  <si>
    <t>Beitragszuschuss der ges. Rentenversicherung zur Krankenkasse:</t>
  </si>
  <si>
    <t>Summe</t>
  </si>
  <si>
    <t>VPI</t>
  </si>
  <si>
    <t>Forderung</t>
  </si>
  <si>
    <t>BilMoG-7</t>
  </si>
  <si>
    <t>BilMoG-10</t>
  </si>
  <si>
    <t>Aufzinsung</t>
  </si>
  <si>
    <t>5.</t>
  </si>
  <si>
    <t>6.</t>
  </si>
  <si>
    <t>7.</t>
  </si>
  <si>
    <t>VBL Altersfaktoren</t>
  </si>
  <si>
    <t>ab</t>
  </si>
  <si>
    <t>SV_Abzug</t>
  </si>
  <si>
    <t>SV-Abzug</t>
  </si>
  <si>
    <t>Basiszins</t>
  </si>
  <si>
    <t>5%&gt; Basiszins</t>
  </si>
  <si>
    <t>https://www.destatis.de/DE/Themen/Wirtschaft/Preise/Verbraucherpreisindex/Publikationen/_publikationen-verbraucherpreisindex.html?nn=206104</t>
  </si>
  <si>
    <t>Höchstrech-nungszins</t>
  </si>
  <si>
    <t>Zinsvergleich</t>
  </si>
  <si>
    <t>Vorversterben</t>
  </si>
  <si>
    <t>Beamtenversorgung</t>
  </si>
  <si>
    <t>Anpassung</t>
  </si>
  <si>
    <t>Forderungshöhe</t>
  </si>
  <si>
    <t>Programm zur Unterstützung im Versorgungsausgleich</t>
  </si>
  <si>
    <t>Jörn Hauß</t>
  </si>
  <si>
    <t>Vom-Rath-Str. 10</t>
  </si>
  <si>
    <t>47051 Duisburg</t>
  </si>
  <si>
    <t>Höchstrechnungszins</t>
  </si>
  <si>
    <t>Witwenrente</t>
  </si>
  <si>
    <t>m</t>
  </si>
  <si>
    <t>Männer</t>
  </si>
  <si>
    <t>Frauen</t>
  </si>
  <si>
    <t>Quelle, Statistisches Bundesamt</t>
  </si>
  <si>
    <t>Vollendetes Alter</t>
  </si>
  <si>
    <t>Überlebende im Alter x</t>
  </si>
  <si>
    <t>Durchschn. Lebenserwar-tung im Alter x</t>
  </si>
  <si>
    <t>Überlebende</t>
  </si>
  <si>
    <t xml:space="preserve">Durchschnittliche </t>
  </si>
  <si>
    <t>Vorversterbensrisiko nach Periodensterbetafel</t>
  </si>
  <si>
    <t>im Alter x</t>
  </si>
  <si>
    <t>Lebenserwartung</t>
  </si>
  <si>
    <t>Der 'gemeinsame Lebensabend'</t>
  </si>
  <si>
    <t>Zielalter Mann / Startalter Frau</t>
  </si>
  <si>
    <t>in Jahren</t>
  </si>
  <si>
    <r>
      <t xml:space="preserve">l </t>
    </r>
    <r>
      <rPr>
        <vertAlign val="subscript"/>
        <sz val="7"/>
        <rFont val="MetaNormalLF-Roman"/>
        <family val="2"/>
      </rPr>
      <t>x</t>
    </r>
  </si>
  <si>
    <r>
      <t xml:space="preserve"> e </t>
    </r>
    <r>
      <rPr>
        <vertAlign val="subscript"/>
        <sz val="7"/>
        <rFont val="MetaNormalLF-Roman"/>
        <family val="2"/>
      </rPr>
      <t>x</t>
    </r>
  </si>
  <si>
    <t>Startalter Mann / Zielalter Frau</t>
  </si>
  <si>
    <t>Kohortenzahl 1</t>
  </si>
  <si>
    <t>Alter bei Ruhestandsgemeinschaft</t>
  </si>
  <si>
    <t>Kohortenzahl 2</t>
  </si>
  <si>
    <t>Erlebenswahrscheinlichkeit: Kohortenzahl 2 / Kzahl 1</t>
  </si>
  <si>
    <t>gemeinsame Erlebenswahrscheinlichkeit: 0,79 x 0,91</t>
  </si>
  <si>
    <t>Lebenserwartung im Rentenalter</t>
  </si>
  <si>
    <t>gemeinsame Zeit bei Erleben gemeinsamen Renteneintritts</t>
  </si>
  <si>
    <t>Barwert einer zeitlich befristeten periodischen Forderung</t>
  </si>
  <si>
    <t>Alter des Gläubigers bei Beginn der Zahlung</t>
  </si>
  <si>
    <t>Geschlecht des Gläubigers</t>
  </si>
  <si>
    <t>f</t>
  </si>
  <si>
    <t>Laufzeit der Forderung in Jahren</t>
  </si>
  <si>
    <t>Jahresbetrag der Forderung</t>
  </si>
  <si>
    <t>Abzinsungszinssatz</t>
  </si>
  <si>
    <t>Summe aller Zahlungen</t>
  </si>
  <si>
    <t>Barwert (BW) aller Zahlungen</t>
  </si>
  <si>
    <t>Barwert aller Zahlungen bei Berücksichtigung des periodischen Vorversterbensrisikos</t>
  </si>
  <si>
    <r>
      <rPr>
        <b/>
        <sz val="11"/>
        <color theme="1"/>
        <rFont val="Arial"/>
        <family val="2"/>
      </rPr>
      <t>M ä n n e r</t>
    </r>
    <r>
      <rPr>
        <sz val="11"/>
        <color theme="1"/>
        <rFont val="Arial"/>
        <family val="2"/>
      </rPr>
      <t>, Renteneintritt mit</t>
    </r>
  </si>
  <si>
    <r>
      <rPr>
        <b/>
        <sz val="11"/>
        <color theme="1"/>
        <rFont val="Arial"/>
        <family val="2"/>
      </rPr>
      <t>F r a u e n</t>
    </r>
    <r>
      <rPr>
        <sz val="11"/>
        <color theme="1"/>
        <rFont val="Arial"/>
        <family val="2"/>
      </rPr>
      <t>, Renteneintritt mit</t>
    </r>
  </si>
  <si>
    <t>Monatliche Bezugsgröße nach § 18 SGB VI</t>
  </si>
  <si>
    <t>Geschlecht</t>
  </si>
  <si>
    <t>Leistungszeit</t>
  </si>
  <si>
    <t>Anwartschaftszeit</t>
  </si>
  <si>
    <t>Anwartschaftsdynamik</t>
  </si>
  <si>
    <t>Leistungsdynamik</t>
  </si>
  <si>
    <t>Adaequanz_Renteneintritt</t>
  </si>
  <si>
    <t>Anzunehmende Anwartschaftsdynamik der VersAusglK</t>
  </si>
  <si>
    <t>Anzunehmende Leistungsdynamik der VersAusglK</t>
  </si>
  <si>
    <t>w</t>
  </si>
  <si>
    <t>Verrentung von Kapital</t>
  </si>
  <si>
    <t>Geburtsdatum d. Vermögensinhabers</t>
  </si>
  <si>
    <t>Geschlecht (m/w)</t>
  </si>
  <si>
    <t>Höhe des zu verrentenen Vermögens</t>
  </si>
  <si>
    <t>Stichtag der Verrentung</t>
  </si>
  <si>
    <t>Rechnungszins</t>
  </si>
  <si>
    <t>Zeit in Jahren</t>
  </si>
  <si>
    <t>Verrentung lebenslang, Monatsbetrag</t>
  </si>
  <si>
    <t>Verrentung ab Regelaltersgrenze Monatsbetrag</t>
  </si>
  <si>
    <t>Verrentung über einen Zeitraum von</t>
  </si>
  <si>
    <t>Jahren</t>
  </si>
  <si>
    <t>Alter im Stichtag</t>
  </si>
  <si>
    <t>Lebenserwartung im Stichtag</t>
  </si>
  <si>
    <t>Regelaltersgrenze</t>
  </si>
  <si>
    <t>L ab Regelaltersgr</t>
  </si>
  <si>
    <t>HR</t>
  </si>
  <si>
    <t>IR</t>
  </si>
  <si>
    <t>Rezins</t>
  </si>
  <si>
    <t>Barwert in Leistungszeit</t>
  </si>
  <si>
    <t>VVR Renteneintritt</t>
  </si>
  <si>
    <t>VVR Alter</t>
  </si>
  <si>
    <t>Nebenleistungen</t>
  </si>
  <si>
    <t>Quellversorgung</t>
  </si>
  <si>
    <t>VersAusglK</t>
  </si>
  <si>
    <t>Sonst</t>
  </si>
  <si>
    <t>Renteneintrittsalter</t>
  </si>
  <si>
    <t>Restleistungszeit</t>
  </si>
  <si>
    <t>Spalte2</t>
  </si>
  <si>
    <t>Spalte4</t>
  </si>
  <si>
    <t>Spalte6</t>
  </si>
  <si>
    <t>Spalte8</t>
  </si>
  <si>
    <t>Invaliditätsrentner</t>
  </si>
  <si>
    <t>Monatliche Rentenzahlungen</t>
  </si>
  <si>
    <t>jährliche Rentenzahlungen</t>
  </si>
  <si>
    <t>Alter im Ehezeitende</t>
  </si>
  <si>
    <t>Alter d. ausglpfl. Person</t>
  </si>
  <si>
    <t>Leistungsreduktion DRV</t>
  </si>
  <si>
    <t>Differenz</t>
  </si>
  <si>
    <t>ReDifferenz</t>
  </si>
  <si>
    <t>Differenzfaktor</t>
  </si>
  <si>
    <t>DRVJa</t>
  </si>
  <si>
    <t>VersAusglKJa</t>
  </si>
  <si>
    <t>SonstJa</t>
  </si>
  <si>
    <t>Sonstige</t>
  </si>
  <si>
    <t>Summe Nebenleistung</t>
  </si>
  <si>
    <t>Adaequanz_DRVReeintritt</t>
  </si>
  <si>
    <r>
      <t xml:space="preserve">Zuschläge zum Barwert für 
</t>
    </r>
    <r>
      <rPr>
        <b/>
        <sz val="12"/>
        <color indexed="8"/>
        <rFont val="Calibri"/>
        <family val="2"/>
      </rPr>
      <t xml:space="preserve">Invaliditäts- und Hinterbliebenenversorgung </t>
    </r>
    <r>
      <rPr>
        <sz val="11"/>
        <color theme="1"/>
        <rFont val="Arial"/>
        <family val="2"/>
      </rPr>
      <t xml:space="preserve">
- Divers -</t>
    </r>
  </si>
  <si>
    <t>Adaequanz_Kapitalleistung</t>
  </si>
  <si>
    <t>vom EzE abweichendes Berechnungsdatum eingeben:</t>
  </si>
  <si>
    <t>Adaequanz_VerzinsungAusglW</t>
  </si>
  <si>
    <t>auf- bzw. verzinster AusglW</t>
  </si>
  <si>
    <t>Die Berechnungs-parameter der Ziel-Versorgung sind von dieser zu erfragen.</t>
  </si>
  <si>
    <t>Leistungsdynamik bzw. Rententrend</t>
  </si>
  <si>
    <t>BerechnetAuf</t>
  </si>
  <si>
    <t>EzE</t>
  </si>
  <si>
    <t>WO_Schalter</t>
  </si>
  <si>
    <t>EP_Ost</t>
  </si>
  <si>
    <t>Differenz:</t>
  </si>
  <si>
    <t>Rentenvolumen-Kosten-Vergleich</t>
  </si>
  <si>
    <t>2. Textdarstellung der Berechnung zu Ziff. 1.</t>
  </si>
  <si>
    <t>1. Berechnung &amp; Kontrolle von Kapitalwerten einzelner Versorgungen (Rentenbewertung)</t>
  </si>
  <si>
    <t>Leistungszeit, gemessen an Quellversorgung</t>
  </si>
  <si>
    <t>Sterbealter</t>
  </si>
  <si>
    <t>Tabelle (Feld zur Bestimmung der Rentensumme. Tabelle = wahr dann aus ADÄQUANZ-Berechnunge, sonst aus Formel</t>
  </si>
  <si>
    <t>Quell-versorgung</t>
  </si>
  <si>
    <t>DRV alternativ</t>
  </si>
  <si>
    <t>Bagatellgrenze § 18 VersAusglG in €</t>
  </si>
  <si>
    <t>Beitragssatz in gesetzlicher RV</t>
  </si>
  <si>
    <t>Umrechenfaktor Beitrag in Entgeltpunkte</t>
  </si>
  <si>
    <t>Rentenererwerb aus 1.000 € Beitrag</t>
  </si>
  <si>
    <t>West in Euro</t>
  </si>
  <si>
    <t>Ost in Euro</t>
  </si>
  <si>
    <t>Beitrags-satz</t>
  </si>
  <si>
    <t>Rechenparameter für Versorgungsausgleich und Sozialversicherung*</t>
  </si>
  <si>
    <t>*) Der Autor übernimmt keine Haftung für die aufgeführten Werte</t>
  </si>
  <si>
    <t xml:space="preserve">Ost in Euro </t>
  </si>
  <si>
    <t>© Autor: Rechtsanwalt Jörn Hauß, Vom-Rath-Str. 10, 47051 Duisburg, Tel: 0203/286870, Hauss@anwaelte-du.de</t>
  </si>
  <si>
    <t>Dynamisierungen</t>
  </si>
  <si>
    <t>AktRW</t>
  </si>
  <si>
    <t>Kapitalwertkontrolle und Kapitalwertberechnung etc.</t>
  </si>
  <si>
    <t>3. zeitratierliche Berechnung des Ehezeitanteils einer Versorgung</t>
  </si>
  <si>
    <t>anrechenbar</t>
  </si>
  <si>
    <t>gesetzl. Unterhalt</t>
  </si>
  <si>
    <t xml:space="preserve">Aussetzung der Kürzung, § 33 VersAusglG </t>
  </si>
  <si>
    <t>Euro/EP</t>
  </si>
  <si>
    <t xml:space="preserve">Bezeichnung der Sache: </t>
  </si>
  <si>
    <t xml:space="preserve">Mindestbetrag der Aussetzung gem. § 33 Abs. 2 VersAusglG </t>
  </si>
  <si>
    <r>
      <t xml:space="preserve">Erwerbstätigenbonus </t>
    </r>
    <r>
      <rPr>
        <sz val="8"/>
        <color theme="1"/>
        <rFont val="Arial"/>
        <family val="2"/>
      </rPr>
      <t>(als Bruch eingeben, also 1/10 oder 1/7)</t>
    </r>
    <r>
      <rPr>
        <sz val="11"/>
        <color theme="1"/>
        <rFont val="Arial"/>
        <family val="2"/>
      </rPr>
      <t xml:space="preserve">: </t>
    </r>
  </si>
  <si>
    <t>unterhaltsrechtlich anrechenbares Einkommen:</t>
  </si>
  <si>
    <t>VereinbarterUnterhalt</t>
  </si>
  <si>
    <t>Geburtstag der ausgleichsberechtigten Person</t>
  </si>
  <si>
    <t>Zeitabstand zwischen Ehezeitende und Renteneintritt</t>
  </si>
  <si>
    <t>Zeitabstand zwischen Berechnungsdatum und Renteneintritt</t>
  </si>
  <si>
    <t>gezahlte Unterhaltsabfindung</t>
  </si>
  <si>
    <r>
      <t xml:space="preserve">Unterhaltsabfindung und § 33 VersAusglG 
</t>
    </r>
    <r>
      <rPr>
        <sz val="6"/>
        <color theme="1"/>
        <rFont val="Arial"/>
        <family val="2"/>
      </rPr>
      <t>auch bei Abfindung des Unterhaltsanspruchs kommt eine Anpassung der Kürzung nach § 33 VersAusglG in Betracht (vgl. Hauß in Schulz/Hauß NK-FamR § 33 Rn. 6) vgl auch Palandt/Brudermüller § 33 VersAusglG RN 3 a.E.</t>
    </r>
  </si>
  <si>
    <t>Berechnung einer Unterhaltsabfindung</t>
  </si>
  <si>
    <t>Berechnungstag</t>
  </si>
  <si>
    <t>Kohorte Stichtag</t>
  </si>
  <si>
    <t>AlterStichtag</t>
  </si>
  <si>
    <t>Jahrgang</t>
  </si>
  <si>
    <t>Quote</t>
  </si>
  <si>
    <t xml:space="preserve">Abfindungsbetrag gem. Anlage 9a zu § 13 BewertG (5,5%): </t>
  </si>
  <si>
    <t>Barwert-Summe</t>
  </si>
  <si>
    <t>angenommene Dauer der Unterhaltsabfindung eingeben</t>
  </si>
  <si>
    <t>Höhe der monatlichen Unterhaltszahlung:</t>
  </si>
  <si>
    <t>Wenn Rente jährlich steigen soll, Leistungsdynamik eingeben:</t>
  </si>
  <si>
    <t>angenommene Dauer der Unterhaltsberechtigung</t>
  </si>
  <si>
    <t xml:space="preserve">anrechenbare Rente ohne versorgungsausgleichsbedingte Kürzung: </t>
  </si>
  <si>
    <t xml:space="preserve">anrechenbares Erwerbseinkommen: </t>
  </si>
  <si>
    <t>Erweiterte Suche - Statistisches Bundesamt (destatis.de)</t>
  </si>
  <si>
    <t>Inflation</t>
  </si>
  <si>
    <t>RestleistungszeitAusglBer</t>
  </si>
  <si>
    <t>Monatsrente DRV Ausglber. Person</t>
  </si>
  <si>
    <t>Jahresrenten-volumen</t>
  </si>
  <si>
    <t>Rente an ausglber. Person aus DRV</t>
  </si>
  <si>
    <r>
      <t xml:space="preserve">Rente an </t>
    </r>
    <r>
      <rPr>
        <b/>
        <u/>
        <sz val="18"/>
        <color theme="1"/>
        <rFont val="Arial"/>
        <family val="2"/>
      </rPr>
      <t>ausglber. Person</t>
    </r>
    <r>
      <rPr>
        <b/>
        <sz val="18"/>
        <color theme="1"/>
        <rFont val="Arial"/>
        <family val="2"/>
      </rPr>
      <t xml:space="preserve"> aus DRV</t>
    </r>
  </si>
  <si>
    <t>DRVAusglBerJa</t>
  </si>
  <si>
    <t>RestleistungszeitAGlBer</t>
  </si>
  <si>
    <t>BGH XII ZB 230/16</t>
  </si>
  <si>
    <t>SexWahl</t>
  </si>
  <si>
    <t>d</t>
  </si>
  <si>
    <t>Ber.</t>
  </si>
  <si>
    <t>Pfl.</t>
  </si>
  <si>
    <t>Bitte den Rentenwert im Rechner der VersAusglK im Internet ermitteln</t>
  </si>
  <si>
    <t>Achstitel</t>
  </si>
  <si>
    <t>Rentenbericht der BuReg 2020 S. 37</t>
  </si>
  <si>
    <t>§ 315 SGB VI</t>
  </si>
  <si>
    <t>§ 241 SGB V</t>
  </si>
  <si>
    <t>Berechnungsparameter, die die Berechnungen des Programms steuern!</t>
  </si>
  <si>
    <t>Zuschlag zum Ausgleichswert zur Erreichung einer adäquaten Versorgung in der Zielversorgung:</t>
  </si>
  <si>
    <t>ZusatzWert:</t>
  </si>
  <si>
    <t>C_BilMoG10</t>
  </si>
  <si>
    <t>E_BimMoG10</t>
  </si>
  <si>
    <t>BilMoG-7 für EzE</t>
  </si>
  <si>
    <t>BilMoG-10 für EzE</t>
  </si>
  <si>
    <t>BilMoG10vorhanden</t>
  </si>
  <si>
    <t>BilMoG7vorhanden</t>
  </si>
  <si>
    <t>Barwert der Alters-Rentenleistung bei Rentenbeginn</t>
  </si>
  <si>
    <t>Vorversterbensrisiko</t>
  </si>
  <si>
    <t>Zuschlag für Nebenleistung</t>
  </si>
  <si>
    <t>Aufstockung des Ausgleichswerts zur erreichung einer Volladäquanz</t>
  </si>
  <si>
    <t>Werte ür Grafik:</t>
  </si>
  <si>
    <t>DRVAusglBer</t>
  </si>
  <si>
    <t>GrafikSchalter</t>
  </si>
  <si>
    <t>Deutsche Rentenversicherung Nord (Mecklenburg-Vorpommern)</t>
  </si>
  <si>
    <t>Platanenstr. 43, 17033 Neubrandenburg</t>
  </si>
  <si>
    <t>Deutsche Rentenversicherung Mitteldeutschland (Thüringen)</t>
  </si>
  <si>
    <t>Kranichfelder Str. 3, 99097 Erfurt</t>
  </si>
  <si>
    <t>Deutsche Rentenversicherung Berlin-Brandenburg (Brandenburg)</t>
  </si>
  <si>
    <t>Knobelsdorffstraße 92, 14059 Berlin</t>
  </si>
  <si>
    <t>Deutsche Rentenversicherung Mitteldeutschland (Sachsen-Anhalt)</t>
  </si>
  <si>
    <t>Paracelsusstr. 21, 06114 Halle</t>
  </si>
  <si>
    <t>Deutsche Rentenversicherung Mitteldeutschland (Sachsen)</t>
  </si>
  <si>
    <t>Georg-Schumann-Straße 146, 4159 Leipzig</t>
  </si>
  <si>
    <t>Deutsche Rentenversicherung Braunschweig-Hannover (Hannover)</t>
  </si>
  <si>
    <t>Lange Weihe 2, 30880 Laatzen</t>
  </si>
  <si>
    <t>Deutsche Rentenversicherung Westfalen</t>
  </si>
  <si>
    <t>Gartenstr. 194, 48147 Münster</t>
  </si>
  <si>
    <t>Deutsche Rentenversicherung Hessen</t>
  </si>
  <si>
    <t>Städelstraße 28, 60596 Frankfurt/Main</t>
  </si>
  <si>
    <t>Deutsche Rentenversicherung Rheinland (Rheinprovinz)</t>
  </si>
  <si>
    <t>40194 Düsseldorf</t>
  </si>
  <si>
    <t>Deutsche Rentenversicherung Bayern Süd (Oberbayern)</t>
  </si>
  <si>
    <t>84024 Landshut</t>
  </si>
  <si>
    <t>Deutsche Rentenversicherung Bayern Süd (Niederbayern-Oberpfalz)</t>
  </si>
  <si>
    <t>81729 München</t>
  </si>
  <si>
    <t>Deutsche Rentenversicherung Rheinland-Pfalz</t>
  </si>
  <si>
    <t>Eichendorffstr. 4-6, 67346 Speyer</t>
  </si>
  <si>
    <t>Deutsche Rentenversicherung Saarland</t>
  </si>
  <si>
    <t>Martin-Luther-Str. 2-4. 66111 Saarbrücken</t>
  </si>
  <si>
    <t>Deutsche Rentenversicherung Nordbayern (Ober- und Mittelfranken)</t>
  </si>
  <si>
    <t>95440 Bayreuth</t>
  </si>
  <si>
    <t>Deutsche Rentenversicherung Nord (Hamburg)</t>
  </si>
  <si>
    <t>Friedrich-Ebert-Damm 245, 22159 Hamburg</t>
  </si>
  <si>
    <t>Deutsche Rentenversicherung Nordbayern (Unterfranken)</t>
  </si>
  <si>
    <t>Friedenstr. 12/14, 97072 Würzburg</t>
  </si>
  <si>
    <t>Deutsche Rentenversicherung Schwaben</t>
  </si>
  <si>
    <t>70429 Stuttgart</t>
  </si>
  <si>
    <t>Deutsche Rentenversicherung Baden-Württemberg (Württemberg)</t>
  </si>
  <si>
    <t>76122 Karlsruhe</t>
  </si>
  <si>
    <t>Deutsche Rentenversicherung Baden-Württemberg (Baden)</t>
  </si>
  <si>
    <t>Deutsche Rentenversicherung Berlin-Brandenburg (Berlin)</t>
  </si>
  <si>
    <t>Knobelsdorffstr. 92, 14059 Berlin</t>
  </si>
  <si>
    <t>Deutsche Rentenversicherung Nord (Schleswig-Holstein)</t>
  </si>
  <si>
    <t>Ziegelstr. 150, 23556 Lübeck</t>
  </si>
  <si>
    <t>Deutsche Rentenversicherung Oldenburg-Bremen</t>
  </si>
  <si>
    <t>Huntestr. 11, 26135 Oldenburg</t>
  </si>
  <si>
    <t>Deutsche Rentenversicherung Braunschweig-Hannover (Braunschweig)</t>
  </si>
  <si>
    <t>Kurt-Schumacher-Str. 20, 38120 Braunschweig</t>
  </si>
  <si>
    <t>Deutsche Rentenversicherung Knappschaft-Bahn-See (Wirtschaftsbereich Bahn)</t>
  </si>
  <si>
    <t>Pieperstraße 14 - 28, 44789 Bochum</t>
  </si>
  <si>
    <t>Deutsche Rentenversicherung Knappschaft-Bahn-See (Wirtschaftsbereich Seefahrt)</t>
  </si>
  <si>
    <t>Zentrale Zulagenstelle für Altersvermögen (Zulagenummer nach § 90 I 2 EStG)</t>
  </si>
  <si>
    <t>Deutsche Rentenversicherung Bund</t>
  </si>
  <si>
    <t>10704 Berlin</t>
  </si>
  <si>
    <t>Deutsche Rentenversicherung Knappschaft-Bahn-See (Berlin, Bremen, Hamburg, Niedersachsen, Westfalen und Schleswig-Holstein)</t>
  </si>
  <si>
    <t>Deutsche Rentenversicherung Knappschaft-Bahn-See (Hessen und Rheinprovinz)</t>
  </si>
  <si>
    <t>Deutsche Rentenversicherung Knappschaft-Bahn-See (Baden-Württemberg, Bayern, Rheinland-Pfalz und Saarland)</t>
  </si>
  <si>
    <t>Deutsche Rentenversicherung Knappschaft-Bahn-See (Brandenburg, Mecklenburg-Vorpommern, Sachsen-Anhalt, Sachsen und Thüringen)</t>
  </si>
  <si>
    <t>Ja</t>
  </si>
  <si>
    <t>Baden-Württemberg</t>
  </si>
  <si>
    <t>Landesbeamtenversorgungsgesetz Baden-Württemberg (LBeamtVGBW)</t>
  </si>
  <si>
    <t>§ 13</t>
  </si>
  <si>
    <t>nein</t>
  </si>
  <si>
    <t>Bayern</t>
  </si>
  <si>
    <t>Bayerisches Beamtenversorgungsgesetz (BayBeamtVG)</t>
  </si>
  <si>
    <t>Berlin</t>
  </si>
  <si>
    <t>Beamtenversorgungsgesetz 2006 mit landesrechtlichen Änderungen</t>
  </si>
  <si>
    <t>§ 57 BeamtVG</t>
  </si>
  <si>
    <t>ja</t>
  </si>
  <si>
    <t>Brandenburg</t>
  </si>
  <si>
    <t>Bremen</t>
  </si>
  <si>
    <t>Bremisches Beamtenversorgungsgesetz vom 23. Oktober 2007</t>
  </si>
  <si>
    <t>§ 7</t>
  </si>
  <si>
    <t>bis 31.12.2010</t>
  </si>
  <si>
    <t>Hamburg</t>
  </si>
  <si>
    <t>Hamburgisches Beamtenversorgungsgesetz (HmbBeamtVG) vom 26. Januar 2010</t>
  </si>
  <si>
    <t>§ 68</t>
  </si>
  <si>
    <t>Hessen</t>
  </si>
  <si>
    <t>Hessisches Beamtenversorgungsgesetzes (HBeamtVG) vom 28. Januar 2011</t>
  </si>
  <si>
    <t>§ 57</t>
  </si>
  <si>
    <t>Mecklenburg-Vorp.</t>
  </si>
  <si>
    <t>Niedersachsen</t>
  </si>
  <si>
    <t>Nordrhein-Westfalen</t>
  </si>
  <si>
    <t>ja bis 31.5.2013</t>
  </si>
  <si>
    <t>Rheinland-Pfalz</t>
  </si>
  <si>
    <t>Saarland</t>
  </si>
  <si>
    <t>Saarländisches Beamtenversorgungsgesetz (SBeamtVG) vom 14. Mai 2008</t>
  </si>
  <si>
    <t>Sachsen</t>
  </si>
  <si>
    <t>Sachsen-Anhalt</t>
  </si>
  <si>
    <t>Schleswig-Holstein</t>
  </si>
  <si>
    <t>Beamtenversorgungsgesetz Schleswig-Holstein - SHBeamtVG</t>
  </si>
  <si>
    <t>ja bis 28.2.2012</t>
  </si>
  <si>
    <t>Thüringen</t>
  </si>
  <si>
    <t>Pensionistenprivileg</t>
  </si>
  <si>
    <t>Altersrente</t>
  </si>
  <si>
    <t>Ausgleichswert</t>
  </si>
  <si>
    <t>Teilungsart</t>
  </si>
  <si>
    <t>Zielversorgung</t>
  </si>
  <si>
    <t>Bund</t>
  </si>
  <si>
    <t>Bundesbeamtenversorgungsgesetz</t>
  </si>
  <si>
    <t>Barwertvergleich BGH XII ZB 230/16</t>
  </si>
  <si>
    <t>Datum der Altentscheidung über den Versorgungsausgleich</t>
  </si>
  <si>
    <t>alt</t>
  </si>
  <si>
    <t>neu</t>
  </si>
  <si>
    <t>Ausgleichswert alt/neu</t>
  </si>
  <si>
    <t>Datum der Prüfung</t>
  </si>
  <si>
    <t>Abänderung möglich?</t>
  </si>
  <si>
    <t>Beamtenversorgung nach Altentscheidung / Neuauskunft</t>
  </si>
  <si>
    <t>dynamisierter Wert in Altentscheidung</t>
  </si>
  <si>
    <t>aktueller Rentenwert Ehezeitende</t>
  </si>
  <si>
    <t>aktueller Rentenwert Abänderungszeitpunkt</t>
  </si>
  <si>
    <t xml:space="preserve">Betriebliche &amp; private Altersversorgung, § 51 Abs. 3 VersAusglG </t>
  </si>
  <si>
    <t>wurde bezügl. dieser Versorgung der sVA vorbehalten?</t>
  </si>
  <si>
    <t>Differenz des Ausgleichswerts</t>
  </si>
  <si>
    <t>Deutsche Rentenversicherung DRV</t>
  </si>
  <si>
    <t>Ost:</t>
  </si>
  <si>
    <t>absWGrenze</t>
  </si>
  <si>
    <t>akt.Veränderung ca.:</t>
  </si>
  <si>
    <t>Barwert der Alters-Rentenleistung im Berechnungszeitpunkt</t>
  </si>
  <si>
    <r>
      <t xml:space="preserve">Zuschlag an </t>
    </r>
    <r>
      <rPr>
        <b/>
        <sz val="11"/>
        <color theme="1"/>
        <rFont val="Arial"/>
        <family val="2"/>
      </rPr>
      <t>EP</t>
    </r>
    <r>
      <rPr>
        <sz val="11"/>
        <color theme="1"/>
        <rFont val="Arial"/>
        <family val="2"/>
      </rPr>
      <t xml:space="preserve"> für vor 1992 geborene Kinder (Mütterrente I + II)</t>
    </r>
  </si>
  <si>
    <t>Deutsche Rentenversicherung</t>
  </si>
  <si>
    <t>berufsständische Versorgung</t>
  </si>
  <si>
    <t>Altentscheidung</t>
  </si>
  <si>
    <t>Ausgleich</t>
  </si>
  <si>
    <t>Sonstige 3</t>
  </si>
  <si>
    <t>Sonstige 4</t>
  </si>
  <si>
    <t>Stammdaten</t>
  </si>
  <si>
    <t>Prüfung einzelner Versorgungen</t>
  </si>
  <si>
    <r>
      <t xml:space="preserve">mindestens 2% der mon. Bezugsgröße bei Antragstellung </t>
    </r>
    <r>
      <rPr>
        <sz val="8"/>
        <color theme="1"/>
        <rFont val="Arial"/>
        <family val="2"/>
      </rPr>
      <t>(§ 51 III S. 3 VersAusglG)</t>
    </r>
  </si>
  <si>
    <t>Abweichung des Barwerts der in der alternativen Versorgung erzielbaren Renenleistung</t>
  </si>
  <si>
    <t>Barwert der Versorgung in alternativer Zielversorgung im Berechnungszeitpunkt</t>
  </si>
  <si>
    <t>Jahre</t>
  </si>
  <si>
    <t>berufsstd. Versorgung</t>
  </si>
  <si>
    <t xml:space="preserve">Zuschlag für Invaliditäts- und Hinterbliebenenversorgung in %  </t>
  </si>
  <si>
    <t>ist einer der Ehegatten bereits oder in 12 Monaten Rentenbezieher</t>
  </si>
  <si>
    <t>Inhalt: gewünschtes Ziel anklicken</t>
  </si>
  <si>
    <t>Ausgleichswert im Ehezeitende</t>
  </si>
  <si>
    <t>Entscheidungsdatum</t>
  </si>
  <si>
    <t>keine Zinsen</t>
  </si>
  <si>
    <t>Umrechnungsfaktor im Ehezeitende</t>
  </si>
  <si>
    <t>aktueller Rentenwert im EzE</t>
  </si>
  <si>
    <t>BilMoG-7-Zins</t>
  </si>
  <si>
    <t>abweichender Zinssatz des Versorgungsträgers</t>
  </si>
  <si>
    <t>Versorgungserwerb in ges. Rentenversicherung (DRV)
aus einem Ausgleichswert mit und ohne Zinsen (§ 76 SGB VI)</t>
  </si>
  <si>
    <t>Darstellung der Berechnung:</t>
  </si>
  <si>
    <t>Ausgleichswert (Kapitalwert)</t>
  </si>
  <si>
    <t>KV</t>
  </si>
  <si>
    <t>PV</t>
  </si>
  <si>
    <t>davon auszugleichen 1/2</t>
  </si>
  <si>
    <t>sVAEP_Ost</t>
  </si>
  <si>
    <t>KV-Zusatz</t>
  </si>
  <si>
    <t>Ehezeitende eingeben</t>
  </si>
  <si>
    <t>SVAbgaben</t>
  </si>
  <si>
    <t>Nominalwert des ehezeitl. Versorgungserwerbs in der Altentscheidung</t>
  </si>
  <si>
    <t>Barwert</t>
  </si>
  <si>
    <t>Kosten pro € Rente</t>
  </si>
  <si>
    <t>Anteil</t>
  </si>
  <si>
    <t>gemittelter Barwert</t>
  </si>
  <si>
    <t>VerglVers</t>
  </si>
  <si>
    <t>Angezeigt wird der Versorgungserwerb in der DRV aus dem Ausglwert in der DRV bei Beitragszahlung im EzE (linke Sp.) und deren Entwicklung bis Entscheidungsdatum, sowie bei Verzinsung zwischen EzE und Entscheidung (mi) und bei Aufzinsung (re)</t>
  </si>
  <si>
    <t>VersAusglBer1</t>
  </si>
  <si>
    <t>VersAusglBer2</t>
  </si>
  <si>
    <t>AusgBer Vers 2</t>
  </si>
  <si>
    <t>AusgBer Vers 3</t>
  </si>
  <si>
    <t>AusgBer Vers 4</t>
  </si>
  <si>
    <t>Pflichtiger</t>
  </si>
  <si>
    <t>Berechtigter</t>
  </si>
  <si>
    <t>Umrechnungsfaktor 2009</t>
  </si>
  <si>
    <t>aktRW 2009</t>
  </si>
  <si>
    <t>Korrespondierender Kapitalwert</t>
  </si>
  <si>
    <t>Faktor</t>
  </si>
  <si>
    <t>Wertunterschied</t>
  </si>
  <si>
    <t>Wertdifferenz</t>
  </si>
  <si>
    <t>Ausgleich 2009</t>
  </si>
  <si>
    <t>Rente nach Ausgleich:</t>
  </si>
  <si>
    <t>errechneter Kapitalwert</t>
  </si>
  <si>
    <t>Rentenminus / Rentenplus: 
17.957 / (104805 / 300)</t>
  </si>
  <si>
    <r>
      <t>Renten +/-:</t>
    </r>
    <r>
      <rPr>
        <sz val="8"/>
        <color theme="1"/>
        <rFont val="Arial"/>
        <family val="2"/>
      </rPr>
      <t xml:space="preserve"> -6.662,43 / 6.144,9210 x 27,20</t>
    </r>
  </si>
  <si>
    <t>ausgleichsbe-rechtigte Person</t>
  </si>
  <si>
    <t>ausgleichspflich-tige Person</t>
  </si>
  <si>
    <t>Unisex</t>
  </si>
  <si>
    <t>l y</t>
  </si>
  <si>
    <t xml:space="preserve"> ey</t>
  </si>
  <si>
    <t>ld</t>
  </si>
  <si>
    <t xml:space="preserve"> ed</t>
  </si>
  <si>
    <t>Tabelle zur Bestimmung des Rentenvolumens aus einer Rente von 1 € 
im Alter …. 
bei Annahme einer Dynamik in Anwartschafts- und Leistungsstadium in Höhe von … %</t>
  </si>
  <si>
    <t>Renteneintrittsalter:</t>
  </si>
  <si>
    <t>Geschlecht m/w/d:</t>
  </si>
  <si>
    <t>Berechnung f. Tabelle</t>
  </si>
  <si>
    <t>Geburtsdatum:</t>
  </si>
  <si>
    <t>LxPerioden</t>
  </si>
  <si>
    <t>LxGenerationen</t>
  </si>
  <si>
    <t>Bei fehlendem Geburtsdatum wird die Leistungszeit aus der Periodensterbetafel, anderenfalls aus der Generationensterbetafel bestimmt</t>
  </si>
  <si>
    <t>Höhe der Rente</t>
  </si>
  <si>
    <t>Das Rentenvolumen, also die Summe der zuerwartenden Rentenleistungen errechnet sich aus der Multiplikation der monatlichen Rentenzahlung mit dem auszulesenden Multiplikationsfaktor</t>
  </si>
  <si>
    <t>KeineInvaliditätinDRV</t>
  </si>
  <si>
    <t>Barwertbergleich</t>
  </si>
  <si>
    <r>
      <rPr>
        <b/>
        <sz val="11"/>
        <color theme="4" tint="-0.249977111117893"/>
        <rFont val="Arial"/>
        <family val="2"/>
      </rPr>
      <t>Männer</t>
    </r>
    <r>
      <rPr>
        <b/>
        <sz val="11"/>
        <color rgb="FFFF0000"/>
        <rFont val="Arial"/>
        <family val="2"/>
      </rPr>
      <t xml:space="preserve"> mit</t>
    </r>
    <r>
      <rPr>
        <sz val="11"/>
        <color theme="1"/>
        <rFont val="Arial"/>
        <family val="2"/>
      </rPr>
      <t xml:space="preserve"> Einschluss von Erwerbsminderungsrente</t>
    </r>
  </si>
  <si>
    <r>
      <rPr>
        <b/>
        <sz val="11"/>
        <color theme="4" tint="-0.249977111117893"/>
        <rFont val="Arial"/>
        <family val="2"/>
      </rPr>
      <t>Männer</t>
    </r>
    <r>
      <rPr>
        <sz val="11"/>
        <color theme="1"/>
        <rFont val="Arial"/>
        <family val="2"/>
      </rPr>
      <t xml:space="preserve"> </t>
    </r>
    <r>
      <rPr>
        <b/>
        <sz val="11"/>
        <color rgb="FFFF0000"/>
        <rFont val="Arial"/>
        <family val="2"/>
      </rPr>
      <t>ohne</t>
    </r>
    <r>
      <rPr>
        <sz val="11"/>
        <color theme="1"/>
        <rFont val="Arial"/>
        <family val="2"/>
      </rPr>
      <t xml:space="preserve"> Einschluss von Erwerbsminderungsrente</t>
    </r>
  </si>
  <si>
    <r>
      <rPr>
        <b/>
        <sz val="11"/>
        <color rgb="FFFF0000"/>
        <rFont val="Arial"/>
        <family val="2"/>
      </rPr>
      <t>Frauen</t>
    </r>
    <r>
      <rPr>
        <sz val="11"/>
        <color theme="1"/>
        <rFont val="Arial"/>
        <family val="2"/>
      </rPr>
      <t xml:space="preserve"> </t>
    </r>
    <r>
      <rPr>
        <b/>
        <sz val="11"/>
        <color rgb="FFFF0000"/>
        <rFont val="Arial"/>
        <family val="2"/>
      </rPr>
      <t>ohne</t>
    </r>
    <r>
      <rPr>
        <sz val="11"/>
        <color theme="1"/>
        <rFont val="Arial"/>
        <family val="2"/>
      </rPr>
      <t xml:space="preserve"> Einschluss von Erwerbsminderungsrente</t>
    </r>
  </si>
  <si>
    <r>
      <rPr>
        <b/>
        <sz val="11"/>
        <color rgb="FFFF0000"/>
        <rFont val="Arial"/>
        <family val="2"/>
      </rPr>
      <t>Frauen mit</t>
    </r>
    <r>
      <rPr>
        <sz val="11"/>
        <color theme="1"/>
        <rFont val="Arial"/>
        <family val="2"/>
      </rPr>
      <t xml:space="preserve"> Einschluss von Erwerbsminderungsrente</t>
    </r>
  </si>
  <si>
    <r>
      <rPr>
        <b/>
        <sz val="11"/>
        <color rgb="FFFF0000"/>
        <rFont val="Arial"/>
        <family val="2"/>
      </rPr>
      <t>Frauen</t>
    </r>
    <r>
      <rPr>
        <sz val="11"/>
        <color theme="1"/>
        <rFont val="Arial"/>
        <family val="2"/>
      </rPr>
      <t xml:space="preserve"> VersAusglK vs. Interne Teilung</t>
    </r>
  </si>
  <si>
    <r>
      <rPr>
        <b/>
        <sz val="11"/>
        <color theme="4" tint="-0.249977111117893"/>
        <rFont val="Arial"/>
        <family val="2"/>
      </rPr>
      <t>Männe</t>
    </r>
    <r>
      <rPr>
        <sz val="11"/>
        <color theme="1"/>
        <rFont val="Arial"/>
        <family val="2"/>
      </rPr>
      <t>r VersAusglK vs. Interne Teilung</t>
    </r>
  </si>
  <si>
    <t>Barwertvergleich</t>
  </si>
  <si>
    <t>DFGT-Adäquanzprüfung</t>
  </si>
  <si>
    <t>Tabelle:</t>
  </si>
  <si>
    <t>TabellenAuswahlDRV</t>
  </si>
  <si>
    <t>Spalte</t>
  </si>
  <si>
    <t>Rückspalte</t>
  </si>
  <si>
    <t>TabellenKonformerZins</t>
  </si>
  <si>
    <t>AW-Dyn.</t>
  </si>
  <si>
    <t>geboren</t>
  </si>
  <si>
    <t>ReZins</t>
  </si>
  <si>
    <t>ReEintritt</t>
  </si>
  <si>
    <t>LxabRente_Alter</t>
  </si>
  <si>
    <t xml:space="preserve">Mann </t>
  </si>
  <si>
    <t>L-Dyn.</t>
  </si>
  <si>
    <r>
      <t>Bitte alle Werte</t>
    </r>
    <r>
      <rPr>
        <b/>
        <u/>
        <sz val="11"/>
        <rFont val="Arial"/>
        <family val="2"/>
      </rPr>
      <t xml:space="preserve"> auf Ehezeitende</t>
    </r>
    <r>
      <rPr>
        <sz val="11"/>
        <rFont val="Arial"/>
        <family val="2"/>
      </rPr>
      <t xml:space="preserve"> eingeben!</t>
    </r>
  </si>
  <si>
    <t>Zinsstaffel</t>
  </si>
  <si>
    <t>Alter aus Tabelle;</t>
  </si>
  <si>
    <t>Altersstaffel</t>
  </si>
  <si>
    <t>Alter + 1 Tabstufe</t>
  </si>
  <si>
    <t>Rentnerfälle</t>
  </si>
  <si>
    <t>Rentner?</t>
  </si>
  <si>
    <t>Spalten</t>
  </si>
  <si>
    <t>Abänderungssituation</t>
  </si>
  <si>
    <t>Ehezeitende (EzE)</t>
  </si>
  <si>
    <t>DRV KV-Zuschuss</t>
  </si>
  <si>
    <t>Hilfreiche Adressen im WWW</t>
  </si>
  <si>
    <t>Versorgungsausgleichskasse - Rechner</t>
  </si>
  <si>
    <t>ges. Beitragssatz Krankenversicherung:</t>
  </si>
  <si>
    <t>Generationensterbetafeln DESTATIS</t>
  </si>
  <si>
    <t>Periodensterbetafeln 2018/2020 DESTATIS</t>
  </si>
  <si>
    <r>
      <rPr>
        <b/>
        <u/>
        <sz val="11"/>
        <color indexed="12"/>
        <rFont val="Arial"/>
        <family val="2"/>
      </rPr>
      <t>FamRB-Podcast</t>
    </r>
    <r>
      <rPr>
        <u/>
        <sz val="11"/>
        <color indexed="12"/>
        <rFont val="Arial"/>
        <family val="2"/>
      </rPr>
      <t xml:space="preserve"> rund um das FamR</t>
    </r>
  </si>
  <si>
    <t>Email an RA Hauß</t>
  </si>
  <si>
    <t>Tabelle BMF zur Bewertung lebenslanger Nutzungen</t>
  </si>
  <si>
    <t xml:space="preserve">                 FamRB / Rechenhilfen &amp; Blog</t>
  </si>
  <si>
    <t>Name der Versicherung</t>
  </si>
  <si>
    <t>Fundstelle</t>
  </si>
  <si>
    <t>Bemerkung</t>
  </si>
  <si>
    <t>Hamburger Pensionskasse</t>
  </si>
  <si>
    <t>§ 25</t>
  </si>
  <si>
    <t>Rechtsprechung</t>
  </si>
  <si>
    <t>R+V ebensversicherung AG</t>
  </si>
  <si>
    <t>Ziff. 5, 6. Spiegelstr.</t>
  </si>
  <si>
    <t>ERGO</t>
  </si>
  <si>
    <t>Ziff. 5</t>
  </si>
  <si>
    <t>Internet</t>
  </si>
  <si>
    <t>AVB-F (hpv-versorgungsausgleich.de)</t>
  </si>
  <si>
    <t>Teilungsordnung_Januar_2021.pdf (union-investment.de)</t>
  </si>
  <si>
    <t>RVL_AG_TO_20200301.pdf (ruv.de)</t>
  </si>
  <si>
    <t>Deutsche Bank</t>
  </si>
  <si>
    <t>Ziff. 5.2.2.1.</t>
  </si>
  <si>
    <t>Microsoft Word - 72-337-0617.docx (sparkassenversicherung.de)</t>
  </si>
  <si>
    <t>Ziff. IV.1. 2. SpStrich;
IV.4. 2.SpStrich</t>
  </si>
  <si>
    <t>OLG FfM 1 UF 437/12</t>
  </si>
  <si>
    <t>LVM Versicherung</t>
  </si>
  <si>
    <t>081-teilungsordnung-lebensversicherung-rentenversicherung-l272.pdf (lvm.de)</t>
  </si>
  <si>
    <t>Ziff. 5.3)</t>
  </si>
  <si>
    <t>Microsoft Word - Teilungsordnung PNWL (Stand 01.2022) (provinzial.de)</t>
  </si>
  <si>
    <t>Ziff. IV.1. 6. SpStrich</t>
  </si>
  <si>
    <t>PB Lebensversicherung AG</t>
  </si>
  <si>
    <t>Ziff. 5 3. SpStrich</t>
  </si>
  <si>
    <t>Microsoft Word - Teilungsordnung_PB_2017-01-01 (pb-versicherung.de)</t>
  </si>
  <si>
    <t>Swiss Life AG</t>
  </si>
  <si>
    <t>[PDF] Stand: Swiss Life AG, Niederlassung für Deutschland (im Folgenden: Swiss Life AG) Teilungsordnung zum Versorgungsausgleich - Free Download PDF (silo.tips)</t>
  </si>
  <si>
    <t>Allianz Lebensversicherung AG</t>
  </si>
  <si>
    <t>Ziff. 5 gg)</t>
  </si>
  <si>
    <t>TO-KR-KLAS_2012-12-01_abgestimmt.doc (allianz.de)</t>
  </si>
  <si>
    <t>Neue Leben</t>
  </si>
  <si>
    <t>Ziff. 6. 3.SpStrich</t>
  </si>
  <si>
    <t>Ordnung für die interne Teilung von Lebensversicherungen aufgrund des Ge-setzes zur Strukturreform des Versorgungsausgleichs (Teilungsordnung) (neueleben.de)</t>
  </si>
  <si>
    <t>Versorgungsanstalt der Kaminkehrergesellen</t>
  </si>
  <si>
    <t>Pensionskasse des Schornsteinfegerhandwerks</t>
  </si>
  <si>
    <t>Satzung 2017.pdf</t>
  </si>
  <si>
    <t>§ 27</t>
  </si>
  <si>
    <t>§ 28</t>
  </si>
  <si>
    <t>Nestlé PK Tarif Vorsorgekonto</t>
  </si>
  <si>
    <t>Teilungsordnung</t>
  </si>
  <si>
    <t>Nestlé PK Tarif Baustein L</t>
  </si>
  <si>
    <t>Link zur Rechtsdatensammlung der DRV</t>
  </si>
  <si>
    <t>Tenorierungsvorschlag:</t>
  </si>
  <si>
    <t>Haftungsausschluss: Autor übernimmt keine Haftung für das gefundene Ergebnis</t>
  </si>
  <si>
    <t>divers</t>
  </si>
  <si>
    <t>rvRecht - Rechtsportal der DRV</t>
  </si>
  <si>
    <t>AktRWEZE</t>
  </si>
  <si>
    <t>HUK-Coburg</t>
  </si>
  <si>
    <t>AXA Leben</t>
  </si>
  <si>
    <t>Invaliditätsquote</t>
  </si>
  <si>
    <t>Hinterbliebenenquote</t>
  </si>
  <si>
    <t>OLG Schleswig FamRZ 2014, 1113; OLG Stuttgart, Beschluss vom 31.10.2014 - 15 UF 113/14</t>
  </si>
  <si>
    <t>Metall-Rente</t>
  </si>
  <si>
    <t>§ 5 2.c)</t>
  </si>
  <si>
    <t>Teilungsordnung _Direkt und private AV (volkswohl-bund.de)</t>
  </si>
  <si>
    <t>PB Pensionsfonds</t>
  </si>
  <si>
    <t>5.2. SpStrich</t>
  </si>
  <si>
    <t>https://docplayer.org/69783120-Ordnung-fuer-die-interne-und-externe-teilung-von-versorgungszusagen-aufgrund-des-versorgungsausgleichsgesetzes-teilungsordnung.html</t>
  </si>
  <si>
    <t>§ 6 (1) 3.SpStrich</t>
  </si>
  <si>
    <t>Stand: November Swiss Life AG Teilungsordnung zum Versorgungsausgleich. Inhaltsverzeichnis: Präambel. 1. Anwendungsbereich - PDF Kostenfreier Download (docplayer.org)</t>
  </si>
  <si>
    <t>SelbstHilfe PK Caritas</t>
  </si>
  <si>
    <t>§ 6 2.SpStrich</t>
  </si>
  <si>
    <t>Besondere Versicherungsbedingungen. Teilungsordnung - PDF Free Download (docplayer.org)</t>
  </si>
  <si>
    <t>Zurich Deutscher Herold</t>
  </si>
  <si>
    <t>§ 4 Abs. 2</t>
  </si>
  <si>
    <t>(Teilungsordnung) Versorgungsträger: Zurich Deutscher Herold überbetriebliche Unterstützungskasse e.v. (ZDHUK) 1 Anwendungsbereich - PDF Free Download (docplayer.org)</t>
  </si>
  <si>
    <t>Delta Lloyd Pensionskasse</t>
  </si>
  <si>
    <t>Delta Lloyd Lebensversicherung</t>
  </si>
  <si>
    <t>Hamburger Lebensversicherung AG</t>
  </si>
  <si>
    <t>5.1. Abs.3</t>
  </si>
  <si>
    <t>Tätigkeitsplan für die Teilung von Lebensversicherungen auf Grundlage des Gesetzes zur Strukturreform des Versorgungsausgleichs (Teilungsordnung) - PDF Kostenfreier Download (docplayer.org)</t>
  </si>
  <si>
    <t>5.c)aa)</t>
  </si>
  <si>
    <t>https://docplayer.org/7825648-Ordnung-fuer-die-teilung-von-lebensversicherungen-aufgrund-des-gesetzes-ueber-den-versorgungsausgleich-teilungsordnung-in-der-fassung-vom-01-09.html</t>
  </si>
  <si>
    <t>DAG Stiftung Ruhegehaltskasse</t>
  </si>
  <si>
    <t>§ 5</t>
  </si>
  <si>
    <t>Teilungsordnung. Inhaltsverzeichnis. Vorwort. 1 Anwendungsbereich. 2 Form des Versorgungsausgleichs. 3 Bestimmung des Ausgleichswertes - PDF Kostenfreier Download (docplayer.org)</t>
  </si>
  <si>
    <t>Unilever</t>
  </si>
  <si>
    <t>III. C.</t>
  </si>
  <si>
    <t>TEILUNGSORDNUNG DER UNILEVER DEUTSCHLAND GRUPPE (STAND ) - PDF Kostenfreier Download (docplayer.org)</t>
  </si>
  <si>
    <t>5.(2)</t>
  </si>
  <si>
    <t>Ordnung für die. interne und externe Teilung. von Lebensversicherungsverträgen. aufgrund des. Gesetzes über den Versorgungsausgleich - PDF Free Download (docplayer.org)</t>
  </si>
  <si>
    <t>Targo Lebensversicherung AG</t>
  </si>
  <si>
    <t>HDI Pensionskasse</t>
  </si>
  <si>
    <t>5. 3. SpStrich</t>
  </si>
  <si>
    <t>HDI Pensionskasse AG PBPK-Bestandssegment - PDF Free Download (docplayer.org)</t>
  </si>
  <si>
    <t>7. Abs. 1</t>
  </si>
  <si>
    <t>Richtlinie. zum Versorgungsausgleich gemäß 58a Abs. 1 VAPS. Richtl VersAusgl. der Versorgungsanstalt der Deutschen Bundespost - PDF Free Download (docplayer.org)</t>
  </si>
  <si>
    <t>Versorgungsanstalt der Deutschen Bundespost</t>
  </si>
  <si>
    <t>Presse-Versorgung (Allianz)</t>
  </si>
  <si>
    <t>Allianz Lebensversicherungs-AG Vertragsgesellschaft der Presse-Versorgung - PDF Free Download (docplayer.org)</t>
  </si>
  <si>
    <t>Freies Versorgungswerk e.V.</t>
  </si>
  <si>
    <t>§ 4 Abs. 4 i.V.m. § 3 Abs. 4</t>
  </si>
  <si>
    <t>TO FVW LZ01012012.doc (allianz.de)</t>
  </si>
  <si>
    <t xml:space="preserve">Continental </t>
  </si>
  <si>
    <t>OLG FfM 4 UF 49/17</t>
  </si>
  <si>
    <t>5.3. SpStich</t>
  </si>
  <si>
    <t>PensionsSicherungsVerein PSV</t>
  </si>
  <si>
    <t>4.2.</t>
  </si>
  <si>
    <t>Teilungsordnung des PSVaG aufgrund des Gesetzes zur Strukturreform des Versorgungsausgleichs für Versorgungsverpflichtungen</t>
  </si>
  <si>
    <t>Provinzial LV Hannover</t>
  </si>
  <si>
    <t>Ziff. IV.1. 3. SpStrich</t>
  </si>
  <si>
    <t>Microsoft Word - Teilungsordnung_PH_01.05.2016.doc (vgh.de)</t>
  </si>
  <si>
    <t>DWS Investment</t>
  </si>
  <si>
    <t>5. Abs. 1</t>
  </si>
  <si>
    <t>https://www.dws.de/de-DE/AssetDownload/Index/?filename=Teilungsordnung DWS Investment GmbH 2022 06.pdf&amp;assetGuid=52ca4b21-2d03-4c79-9442-da45c9531d53&amp;source=DWS</t>
  </si>
  <si>
    <t>Anzahl "Nein"</t>
  </si>
  <si>
    <t>Anzahl "Ja"</t>
  </si>
  <si>
    <t>15 UF 188/19 | Schleswig-Holsteinisches Oberlandesgericht</t>
  </si>
  <si>
    <t>5 c) aa)</t>
  </si>
  <si>
    <t xml:space="preserve">OLG FfM - 4 UF 86/17 - </t>
  </si>
  <si>
    <t>Zur Auswahl auf Pfeil klicken</t>
  </si>
  <si>
    <t>Allianz Lebensversicherung AG (Klinik-Rente)</t>
  </si>
  <si>
    <t>VolkswohlBund</t>
  </si>
  <si>
    <t>Secunda Unterstützungskasse für den Mittelstand</t>
  </si>
  <si>
    <t>§ 6 Abs. 3</t>
  </si>
  <si>
    <t>Teilungsordnung U-Kassen_boLz (volkswohl-bund.de)</t>
  </si>
  <si>
    <t>Ziff. 5.3.</t>
  </si>
  <si>
    <t>Ziff. 5.3</t>
  </si>
  <si>
    <t>Ziff. 5 a)</t>
  </si>
  <si>
    <t>real_Group_Holding_GmbH</t>
  </si>
  <si>
    <t>Ziff.5.3.</t>
  </si>
  <si>
    <t>DINEA_Gastronomie_GmbH</t>
  </si>
  <si>
    <t>§ 5.3.</t>
  </si>
  <si>
    <t>5.3.</t>
  </si>
  <si>
    <t>real_SB_Warenhaus_GmbH</t>
  </si>
  <si>
    <t>METRO_AG_EPP_FPP</t>
  </si>
  <si>
    <t>Versorgungswerk der Wohnungswirtschaft (VDW)</t>
  </si>
  <si>
    <t>Hamburger Unterstützungskasse HUK</t>
  </si>
  <si>
    <t>Hamburger Unterstützungskasse HUK Nr. 1</t>
  </si>
  <si>
    <t>Hamburger Unterstützungskasse HUK Nr. 2</t>
  </si>
  <si>
    <t>Deutsche Fertighaus Holding UK DFH</t>
  </si>
  <si>
    <t>Marktkauf Gruppen-Unterstützungskasse e.V.</t>
  </si>
  <si>
    <t>Hamburger Pensionsunterstützungskasse e.V.</t>
  </si>
  <si>
    <t>COOP Schleswig Holstein Rentenzuschusskasse</t>
  </si>
  <si>
    <t>REWE Unterstützungskasse e.V.</t>
  </si>
  <si>
    <t>BKK Mobil Oil</t>
  </si>
  <si>
    <t>BKK VBU kongruent</t>
  </si>
  <si>
    <t>BKK VBU partiell</t>
  </si>
  <si>
    <t>5,3.</t>
  </si>
  <si>
    <t>5.4.</t>
  </si>
  <si>
    <t>Netto_Direktzusagen</t>
  </si>
  <si>
    <t>Real Unterstützungskasse</t>
  </si>
  <si>
    <t>METRO_AG_ASKO</t>
  </si>
  <si>
    <t>COOP eG Gesamr Versorgungsrichtlinie</t>
  </si>
  <si>
    <t>EDEKA Süd</t>
  </si>
  <si>
    <t>EDEKA Südwest</t>
  </si>
  <si>
    <t>Nordsee GmbH</t>
  </si>
  <si>
    <t>Homann Feinkost GmbH</t>
  </si>
  <si>
    <t>IGLO GmbH</t>
  </si>
  <si>
    <t>Edelweiss GmbH &amp; Co KG (EVO)</t>
  </si>
  <si>
    <t>Edelweiss GmbH &amp; Co KG (UVO)</t>
  </si>
  <si>
    <t>Deutsche See</t>
  </si>
  <si>
    <t>Boge Elastmetall Unterstützungskasse e.V.</t>
  </si>
  <si>
    <t>EDEKA Zentrale Handel und Produktion GmbH</t>
  </si>
  <si>
    <t>EDEKA Handelsgesellschaft Nordbayern-Sachsen-Thüringen mbH</t>
  </si>
  <si>
    <t>EKN Betriebs AG &amp; Co. oHG: Direktzusagen</t>
  </si>
  <si>
    <t>EDEKA Rhein-Ruhr R11 R12</t>
  </si>
  <si>
    <t>KKH - Teilungsregeln für den Versorgungsausgleich</t>
  </si>
  <si>
    <t>5.2.1.</t>
  </si>
  <si>
    <t>Unterlagen für Familiengerichte zur Berechnung des Versorgungsausgleichs (hpv-versorgungsausgleich.de)</t>
  </si>
  <si>
    <r>
      <t xml:space="preserve">Hamburger Pensionskasse, </t>
    </r>
    <r>
      <rPr>
        <b/>
        <sz val="11"/>
        <color theme="1"/>
        <rFont val="Arial"/>
        <family val="2"/>
      </rPr>
      <t>Benutzername</t>
    </r>
    <r>
      <rPr>
        <sz val="11"/>
        <color theme="1"/>
        <rFont val="Arial"/>
        <family val="2"/>
      </rPr>
      <t xml:space="preserve">: versorg , </t>
    </r>
    <r>
      <rPr>
        <b/>
        <sz val="11"/>
        <color theme="1"/>
        <rFont val="Arial"/>
        <family val="2"/>
      </rPr>
      <t>Passwort</t>
    </r>
    <r>
      <rPr>
        <sz val="11"/>
        <color theme="1"/>
        <rFont val="Arial"/>
        <family val="2"/>
      </rPr>
      <t>: pension</t>
    </r>
  </si>
  <si>
    <t>Kapital in €</t>
  </si>
  <si>
    <t>Rente in €</t>
  </si>
  <si>
    <r>
      <t>Betriebliche, berufsständische und private Altersversorgung</t>
    </r>
    <r>
      <rPr>
        <sz val="13"/>
        <color theme="1"/>
        <rFont val="Arial"/>
        <family val="2"/>
      </rPr>
      <t xml:space="preserve"> (BarwertVO-Problem)</t>
    </r>
  </si>
  <si>
    <t>4.3.</t>
  </si>
  <si>
    <t>Bewertungszeitpunkt EzE - Umrechnungszeitpunkt RK = Ausgleichswert muss verzinst werden!</t>
  </si>
  <si>
    <t>Jahreswerte der Vers. Der ausglber. Person 2-3</t>
  </si>
  <si>
    <t>Alter der ausglber. Person</t>
  </si>
  <si>
    <t>Rentenerwartung im Ehezeitende</t>
  </si>
  <si>
    <t>Endalter nach Sterbetafel DESTATIS (stat. Bundesamt)</t>
  </si>
  <si>
    <t>Leistungszeit ab Renteneintritt</t>
  </si>
  <si>
    <t>Hinterbliebenen- und Invaliditätszuschlag</t>
  </si>
  <si>
    <t xml:space="preserve">Gothaer Lebensversicherung AG </t>
  </si>
  <si>
    <t>Ziff. 5., 4. Spstrich</t>
  </si>
  <si>
    <t>Tage</t>
  </si>
  <si>
    <t>Monate</t>
  </si>
  <si>
    <t>TeilzeitFaktor</t>
  </si>
  <si>
    <t>Renten-Barwert ausglber. Person in DRV</t>
  </si>
  <si>
    <t>Rentenerwartung in DRV</t>
  </si>
  <si>
    <t>Zuschlag HR + IR</t>
  </si>
  <si>
    <t>Renten-Barwert ausglber. Person in Quellversorgung</t>
  </si>
  <si>
    <t>â</t>
  </si>
  <si>
    <t>VPI-10</t>
  </si>
  <si>
    <t>Ø</t>
  </si>
  <si>
    <t>DRV_10</t>
  </si>
  <si>
    <t>Provinzial Düsseldorf</t>
  </si>
  <si>
    <t>Ziff. IV Abs. 1</t>
  </si>
  <si>
    <t>leben-u-rente_alle-produkte_angaben-provinzial-teilungsordnung_pr-lebensversicherung.pdf</t>
  </si>
  <si>
    <t>Anwendung des bis zum 31.08.2009 geltenden Rechts?</t>
  </si>
  <si>
    <t>QVersJa</t>
  </si>
  <si>
    <t>Barwertdifferenz zur Quellversorgung in %</t>
  </si>
  <si>
    <r>
      <t>alternat. Rezins</t>
    </r>
    <r>
      <rPr>
        <sz val="8"/>
        <color theme="1"/>
        <rFont val="Calibri"/>
        <family val="2"/>
      </rPr>
      <t>↓</t>
    </r>
  </si>
  <si>
    <t>Rente in DRV</t>
  </si>
  <si>
    <t>Beitrag in DRV</t>
  </si>
  <si>
    <t>Barwerte</t>
  </si>
  <si>
    <t>Q-V</t>
  </si>
  <si>
    <t>Ziel: Barwertgleiche</t>
  </si>
  <si>
    <t>aus Auskunft</t>
  </si>
  <si>
    <t>berechnet</t>
  </si>
  <si>
    <t>Der Autor übernimmt keine Haftung für die gefundenen Ergebnisse.
© Rechtsanwalt Jörn Hauß, Vom-Rath-Str. 10, 47051 Duisburg, Tel: 0203/286870</t>
  </si>
  <si>
    <t>Mail an Rechtsanwalt Hauß: Hauss@Anwaelte-DU.de</t>
  </si>
  <si>
    <t>Fallbezeichnung</t>
  </si>
  <si>
    <t>Mail an Rechtsanwalt Hauß</t>
  </si>
  <si>
    <t>alternat. Ges.Rentenalter</t>
  </si>
  <si>
    <t>≙</t>
  </si>
  <si>
    <t>∑</t>
  </si>
  <si>
    <r>
      <t xml:space="preserve">Unterhaltspfl. Person </t>
    </r>
    <r>
      <rPr>
        <sz val="8"/>
        <color theme="1"/>
        <rFont val="Arial"/>
        <family val="2"/>
      </rPr>
      <t>(Versorgungsbezieher)</t>
    </r>
  </si>
  <si>
    <r>
      <t xml:space="preserve">Unterhaltsber. Person 
</t>
    </r>
    <r>
      <rPr>
        <sz val="8"/>
        <color theme="1"/>
        <rFont val="Arial"/>
        <family val="2"/>
      </rPr>
      <t>(kein Versorgungsbezieher)</t>
    </r>
  </si>
  <si>
    <t>vom Versorgungsträger mitgeteilter Ausgleichswert</t>
  </si>
  <si>
    <t>E_Rentenalter</t>
  </si>
  <si>
    <t>LxyabRente(i)</t>
  </si>
  <si>
    <t>VersGebJahrgPfl.</t>
  </si>
  <si>
    <t>E_Versicherungsjahrgang</t>
  </si>
  <si>
    <r>
      <t>Mit diesem Rechenblatt kann die Verteilung und der Ausgleich von Transfergewinnen dargestellt werden. Ob diese Gewinne - und wenn ja in welchem Umfang - auszugleichen sind ist bislang weder entschieden noch erörtert.
Die Daten der Berechnung werden aus dem Rechenblatt&lt;</t>
    </r>
    <r>
      <rPr>
        <b/>
        <sz val="8"/>
        <color rgb="FF0070C0"/>
        <rFont val="Arial"/>
        <family val="2"/>
      </rPr>
      <t>BVerfG Adäquanzprüfung</t>
    </r>
    <r>
      <rPr>
        <sz val="8"/>
        <color rgb="FF0070C0"/>
        <rFont val="Arial"/>
        <family val="2"/>
      </rPr>
      <t>&gt; übernommen.</t>
    </r>
  </si>
  <si>
    <t>Ziff. 5 5. SpStrich</t>
  </si>
  <si>
    <t>Microsoft Word - Teilungsordnung_PB_aktuell.docx (pb-versicherung.de)</t>
  </si>
  <si>
    <t>5. 5. SpStrich</t>
  </si>
  <si>
    <t>Telungsordnung_HLV_2020.pdf (hdi.de)</t>
  </si>
  <si>
    <t>HDI Lebensversicherung AG</t>
  </si>
  <si>
    <t>Teilungsordnung_HDI-Lebensversicherung_AG.pdf</t>
  </si>
  <si>
    <t>♂</t>
  </si>
  <si>
    <t>♀</t>
  </si>
  <si>
    <t>♪♫☼◄↕‼¶§▬↨↑↓→◘←○§▬Ú</t>
  </si>
  <si>
    <t>Jahresinflation</t>
  </si>
  <si>
    <t>Ø pro Jahr</t>
  </si>
  <si>
    <t>von/bis - Datum</t>
  </si>
  <si>
    <t>Inflationsberechnung Deutschland</t>
  </si>
  <si>
    <t>Ø % pro Jahr</t>
  </si>
  <si>
    <t>Proxalto Lebensversicherung</t>
  </si>
  <si>
    <t>Ziff. 3 3. SpStrich</t>
  </si>
  <si>
    <t>probAV</t>
  </si>
  <si>
    <t>§ 6. Ziff. 4</t>
  </si>
  <si>
    <t>Ziff. 7 3. SpStrich</t>
  </si>
  <si>
    <t>Zur Aktivierung der Grafik-Anzeige bitte die jeweilige Check-Box aktivieren</t>
  </si>
  <si>
    <t>Microsoft Word - 08-Teilungsordnung-Ju-VA14-2258-01-A-Anlage 2.doc (flgruppe.de)</t>
  </si>
  <si>
    <t>↓</t>
  </si>
  <si>
    <t>RentenerwerbDRV</t>
  </si>
  <si>
    <t>RentenerwerbDRVBer</t>
  </si>
  <si>
    <t>vom Versorgungsträger mitgeteilter auszugleichender Rentenanteil</t>
  </si>
  <si>
    <t>Anderer Gatte</t>
  </si>
  <si>
    <t>Versorgungserwerb des anderen 
Gatten in DRV</t>
  </si>
  <si>
    <t>Deutscher Pensionsfonds AG</t>
  </si>
  <si>
    <t>Unverbindliches Muster einer (deutscher-pensionsfonds.com)</t>
  </si>
  <si>
    <t>Microsoft Word - 2011_05_26_Entwurf Teilungsordung beitragsorient. Leistungszusage V.H. Stand 07.06. 2011.doc (vdva-unterstuetzungskasse.de)</t>
  </si>
  <si>
    <t>VdVA Unterstützungskasse</t>
  </si>
  <si>
    <t>4.5.</t>
  </si>
  <si>
    <t>5.5. SpStrich</t>
  </si>
  <si>
    <t>PSVAG (Pensions Sicherungs Verein)</t>
  </si>
  <si>
    <t>4.2</t>
  </si>
  <si>
    <t xml:space="preserve">ÖBAV Unterstützungskasse e.V. </t>
  </si>
  <si>
    <t>V.1.</t>
  </si>
  <si>
    <t>verbleibender Barwert</t>
  </si>
  <si>
    <t>Alter im EzE</t>
  </si>
  <si>
    <t>Abänderungssituation:  grün = Abänd.potential wesentlich, rot = Wesentlichkeitsgrenze § 225 Abs. 3 FamFG nicht erreicht</t>
  </si>
  <si>
    <t>Rentenausgleich nach Beschluss des FamG in DRV beim augleichspfl. Gatten mit negativem Vorzeichen eintragen</t>
  </si>
  <si>
    <t>90% des Barwerts der Quellversorgung in der angezeigten Zielversorgung wird erreicht bei Anhebung des Ausgleichswerts auf:</t>
  </si>
  <si>
    <t>Gewinn</t>
  </si>
  <si>
    <t>Jahreseinkommen</t>
  </si>
  <si>
    <t>geschätztes weiteres bis Renteneintritt in EP</t>
  </si>
  <si>
    <t>Grundrentenerwerb</t>
  </si>
  <si>
    <t>Rentengesamteinkommen</t>
  </si>
  <si>
    <t>Grundrentenrechner zur Bestimmung der Sinnhaftigkeit des Ausgleichs von GrEP</t>
  </si>
  <si>
    <t>Renteneintritt nach § 235 SGB VI</t>
  </si>
  <si>
    <t>Zeit zwischen Ehezeitende und Renteneintritt in Jahren</t>
  </si>
  <si>
    <t>Geburtstage:</t>
  </si>
  <si>
    <t>manuelle (abweichende) Eingabe des Renteneintritts:</t>
  </si>
  <si>
    <t>Stammdaten:</t>
  </si>
  <si>
    <t>Ergebnis VPI</t>
  </si>
  <si>
    <t>Ergebnis aktRW</t>
  </si>
  <si>
    <r>
      <rPr>
        <sz val="11"/>
        <color theme="1"/>
        <rFont val="Arial"/>
        <family val="2"/>
      </rPr>
      <t>Steigerung in %</t>
    </r>
  </si>
  <si>
    <t>Forderung:</t>
  </si>
  <si>
    <t>Datum:</t>
  </si>
  <si>
    <t>Cosmos Direkt</t>
  </si>
  <si>
    <t>5.3.SpStrich</t>
  </si>
  <si>
    <t>Neue Bayerische Beamten Lebensversicherung AG</t>
  </si>
  <si>
    <t>5.a)</t>
  </si>
  <si>
    <t>Test</t>
  </si>
  <si>
    <t>Unterstützungskasse der nordostdeutschen Energiewirtschaft e.V.</t>
  </si>
  <si>
    <t>§ 4, unklar. Bedingungen sind zu prüfen.</t>
  </si>
  <si>
    <t>Nürnberger Pensionskasse AG</t>
  </si>
  <si>
    <t>§ 5 (3) b)</t>
  </si>
  <si>
    <t>Nürnberger überbetriebliche Versorgungskasse e.V.</t>
  </si>
  <si>
    <t>§ 4 (5)S. 5</t>
  </si>
  <si>
    <t>https://view.officeapps.live.com/op/view.aspx?src=https%3A%2F%2Fwww.destatis.de%2FDE%2FThemen%2FGesellschaft-Umwelt%2FBevoelkerung%2FSterbefaelle-Lebenserwartung%2FPublikationen%2FDownloads-Sterbefaelle%2Fkohortensterbetafeln-5126101209005.xlsx%3F__blob%3DpublicationFile&amp;wdOrigin=BROWSELINK</t>
  </si>
  <si>
    <t>Nürnberger Lebensversicherung AG</t>
  </si>
  <si>
    <t>Entgeltpunkte</t>
  </si>
  <si>
    <t>Aktueller RW</t>
  </si>
  <si>
    <t>U-Faktor EP in Kapital</t>
  </si>
  <si>
    <t>Inflationsannahme</t>
  </si>
  <si>
    <t>Heidelberger Leben</t>
  </si>
  <si>
    <t>Damovo Deutschland GmbH &amp; Co. KG</t>
  </si>
  <si>
    <t>Baden-Badener Pensionskasse</t>
  </si>
  <si>
    <t>Bayerischer Rundfunk Tarifvertrag</t>
  </si>
  <si>
    <t>Mitteldeutscher Rundfunk Tarifvertrag</t>
  </si>
  <si>
    <t>Radio Bremen Tarifvertrag</t>
  </si>
  <si>
    <t>Saarländischer Rundfunk Tarifvertrag</t>
  </si>
  <si>
    <t>Westdeutscher Rundfunk Tarifvertrag</t>
  </si>
  <si>
    <t>Deutsche Welle Tarifvertrag</t>
  </si>
  <si>
    <t>Norddeutscher Rundfunk Tarifvertrag</t>
  </si>
  <si>
    <t>Rundfunk Berlin-Brandenburg Tarifvertrag</t>
  </si>
  <si>
    <t>Südwestrundfunk Tarifvertrag</t>
  </si>
  <si>
    <t>Deutschlandradio Tarifvertrag</t>
  </si>
  <si>
    <t>Alte Leipziger Lebensversicherung auf Gegenseitigkeit</t>
  </si>
  <si>
    <t>Nr. 5 3.SpStrich</t>
  </si>
  <si>
    <t>FOVERUKA</t>
  </si>
  <si>
    <t>DFS Deutsche Flugsicherung</t>
  </si>
  <si>
    <t>UMU-Unterstützungskasse mittelständischer Unternehmen e.V.</t>
  </si>
  <si>
    <t>10.3</t>
  </si>
  <si>
    <t>Athora Lebensversicherung AG</t>
  </si>
  <si>
    <t>Ziff. 2 Abs. 1 S. 2</t>
  </si>
  <si>
    <t>EY Ernest &amp; Young GmbH</t>
  </si>
  <si>
    <t>5.2.Absatz 3.SpStrich</t>
  </si>
  <si>
    <t>VPV Lebensversicherungs AG für Direktversicherungen</t>
  </si>
  <si>
    <t>VPV Allgemeine Versicherungs AG für Direktversicherungen</t>
  </si>
  <si>
    <t>Vereinigte Postversicherung VVaG für Direktversicherungen</t>
  </si>
  <si>
    <t xml:space="preserve">VPV Lebensversicherungs AG </t>
  </si>
  <si>
    <t xml:space="preserve">VPV Allgemeine Versicherungs AG </t>
  </si>
  <si>
    <t xml:space="preserve">Vereinigte Postversicherung VVaG </t>
  </si>
  <si>
    <t>5. Anwendungsbereich A. und B.</t>
  </si>
  <si>
    <t>6. Anwendungsbereich A. und B.</t>
  </si>
  <si>
    <t>7. Anwendungsbereich A. und B.</t>
  </si>
  <si>
    <t>Umrechnungen Kapital, Rente &amp; Entgeltpunkte</t>
  </si>
  <si>
    <t>§ 106 SGB VI</t>
  </si>
  <si>
    <t xml:space="preserve">Rentenerhöhung d. VA </t>
  </si>
  <si>
    <t>§ 101 SGB VI</t>
  </si>
  <si>
    <t>§ 76 SGB VI</t>
  </si>
  <si>
    <t>⌂</t>
  </si>
  <si>
    <t>Regelaltersgrenze 
§ 235 SGB VI und § 51 BBG</t>
  </si>
  <si>
    <t>Regelaltersgrenze alt</t>
  </si>
  <si>
    <t>Regelaltersgrenze neu</t>
  </si>
  <si>
    <t>bes. Regelaltersgr. (alt) in Jahren</t>
  </si>
  <si>
    <t>Gesamtdienstzeit (alt)</t>
  </si>
  <si>
    <t>Ehezeitanteil (alt)</t>
  </si>
  <si>
    <t>davon in Ehezeit (alt)</t>
  </si>
  <si>
    <t>Ehezeitende:</t>
  </si>
  <si>
    <t>Altersgr. Neu</t>
  </si>
  <si>
    <r>
      <t xml:space="preserve">Dienstzeitverlängerung &amp; VA 
</t>
    </r>
    <r>
      <rPr>
        <b/>
        <sz val="12"/>
        <color theme="1"/>
        <rFont val="Arial"/>
        <family val="2"/>
      </rPr>
      <t>Beamte ab 12.2.2009</t>
    </r>
  </si>
  <si>
    <t>Dienstzeitveränderung</t>
  </si>
  <si>
    <t>...mit Hilfe des Verbraucherpreisindex</t>
  </si>
  <si>
    <t>...mit Hilfe des aktuellen Rentenwerts</t>
  </si>
  <si>
    <t>BASF SE</t>
  </si>
  <si>
    <t>§ 18</t>
  </si>
  <si>
    <t>BASF Pensionskasse VVaG</t>
  </si>
  <si>
    <t>§32a</t>
  </si>
  <si>
    <t>Degussa Pensionskasse</t>
  </si>
  <si>
    <t>§ 12 Ziff. 5</t>
  </si>
  <si>
    <t>Degussa Pensionskasse Riester-Tarif</t>
  </si>
  <si>
    <t>§ 9 Ziff 5</t>
  </si>
  <si>
    <t>Degussa Pensionskasse Marl Troisdorf</t>
  </si>
  <si>
    <t>§ 30</t>
  </si>
  <si>
    <t>§ 7 Abs. 5</t>
  </si>
  <si>
    <t>Degussa UK Leistungsplan RUK vor 2018</t>
  </si>
  <si>
    <t>Bochumer Verband - Entgeldumwandlung</t>
  </si>
  <si>
    <t>Bochumer Verband - Arbeitgeberfinanzierte Versorg.</t>
  </si>
  <si>
    <t>Evonik</t>
  </si>
  <si>
    <t>§ 11</t>
  </si>
  <si>
    <t>MEDA Pharma GmbH</t>
  </si>
  <si>
    <t>Alz Chemie</t>
  </si>
  <si>
    <t xml:space="preserve">VW </t>
  </si>
  <si>
    <t>Daimler Vorsorge Kapital Teilungsordnung</t>
  </si>
  <si>
    <t>3.1.</t>
  </si>
  <si>
    <t>Mercedes Benz AG</t>
  </si>
  <si>
    <t>Daimler Truck AG</t>
  </si>
  <si>
    <t>Daimler Brand &amp; IP Management GmbH &amp; Co.KG</t>
  </si>
  <si>
    <t>Sozialkompass Europa EU-Kommission</t>
  </si>
  <si>
    <t>5.3. SpStrich</t>
  </si>
  <si>
    <t>WWK</t>
  </si>
  <si>
    <t>Renteneintrittstabelle, § 235 SGB VI, § 51 BBG</t>
  </si>
  <si>
    <t>Programmsteuerung</t>
  </si>
  <si>
    <t>Werte für gesetzl. Rentenversicherung DRV</t>
  </si>
  <si>
    <t>geschätztes sonstiges Einkommen i.S.v. § 97a Abs. 2 SGB VI in Euro*</t>
  </si>
  <si>
    <t>Berechnungsstichtag:</t>
  </si>
  <si>
    <t>bezogen auf Berechnungszeitpunkt</t>
  </si>
  <si>
    <t>Bagatellgrenze</t>
  </si>
  <si>
    <t xml:space="preserve">§ 33 VersAusglG </t>
  </si>
  <si>
    <t xml:space="preserve">Anpassungsberechnung - Unterhalt </t>
  </si>
  <si>
    <t>§ 5 c) 4.SpStrich</t>
  </si>
  <si>
    <t>verheiratet</t>
  </si>
  <si>
    <t>Geno Pensionskasse VVaG, Karlsruhe</t>
  </si>
  <si>
    <t>OLG Ka 16 UF 109/22</t>
  </si>
  <si>
    <t>Alter im Ehezeitende (EzE)</t>
  </si>
  <si>
    <r>
      <t xml:space="preserve">bis Ehezeitende </t>
    </r>
    <r>
      <rPr>
        <u/>
        <sz val="11"/>
        <color theme="1"/>
        <rFont val="Arial"/>
        <family val="2"/>
      </rPr>
      <t>außerehezeitlich</t>
    </r>
    <r>
      <rPr>
        <sz val="11"/>
        <color theme="1"/>
        <rFont val="Arial"/>
        <family val="2"/>
      </rPr>
      <t xml:space="preserve"> erworbene EP</t>
    </r>
  </si>
  <si>
    <r>
      <t xml:space="preserve">Nach der Rechtsprechung des </t>
    </r>
    <r>
      <rPr>
        <b/>
        <sz val="11"/>
        <color theme="1"/>
        <rFont val="Arial"/>
        <family val="2"/>
      </rPr>
      <t>BVerfG (1 BvL 5/18)</t>
    </r>
    <r>
      <rPr>
        <sz val="11"/>
        <color theme="1"/>
        <rFont val="Arial"/>
        <family val="2"/>
      </rPr>
      <t xml:space="preserve"> liegt eine </t>
    </r>
    <r>
      <rPr>
        <b/>
        <sz val="11"/>
        <color theme="1"/>
        <rFont val="Arial"/>
        <family val="2"/>
      </rPr>
      <t>grundrechtsverletzende Inadäquanz</t>
    </r>
    <r>
      <rPr>
        <sz val="11"/>
        <color theme="1"/>
        <rFont val="Arial"/>
        <family val="2"/>
      </rPr>
      <t xml:space="preserve"> des </t>
    </r>
    <r>
      <rPr>
        <b/>
        <sz val="11"/>
        <color theme="1"/>
        <rFont val="Arial"/>
        <family val="2"/>
      </rPr>
      <t>Versorgungsertrags</t>
    </r>
    <r>
      <rPr>
        <sz val="11"/>
        <color theme="1"/>
        <rFont val="Arial"/>
        <family val="2"/>
      </rPr>
      <t xml:space="preserve"> in der Zielversorgung vor, wenn der Rentenertrag der ausgleichspflichtigen Person in der Zielversorgung nicht mindestens 90% des Rentenertrags der Quellversorgung erreichen würde. In diesem Fall ist entweder der Ausgleichswert anzuheben oder der Versorgungsträger zur internen Teilung zu verpflichten.</t>
    </r>
  </si>
  <si>
    <r>
      <t xml:space="preserve">gesamter </t>
    </r>
    <r>
      <rPr>
        <b/>
        <sz val="11"/>
        <color theme="1"/>
        <rFont val="Arial"/>
        <family val="2"/>
      </rPr>
      <t>Grundrentenerwerb</t>
    </r>
    <r>
      <rPr>
        <sz val="11"/>
        <color theme="1"/>
        <rFont val="Arial"/>
        <family val="2"/>
      </rPr>
      <t xml:space="preserve"> in GrEP im EzE </t>
    </r>
    <r>
      <rPr>
        <sz val="8"/>
        <color theme="1"/>
        <rFont val="Arial"/>
        <family val="2"/>
      </rPr>
      <t>(aus DRV-Auskunft zu entnehmen)</t>
    </r>
  </si>
  <si>
    <r>
      <rPr>
        <b/>
        <sz val="11"/>
        <color theme="1"/>
        <rFont val="Arial"/>
        <family val="2"/>
      </rPr>
      <t xml:space="preserve">gesamter Rentenerwerb </t>
    </r>
    <r>
      <rPr>
        <sz val="11"/>
        <color theme="1"/>
        <rFont val="Arial"/>
        <family val="2"/>
      </rPr>
      <t xml:space="preserve">bis EZE in EP </t>
    </r>
    <r>
      <rPr>
        <sz val="8"/>
        <color theme="1"/>
        <rFont val="Arial"/>
        <family val="2"/>
      </rPr>
      <t>(aus der DRV-Auskunft zu entnehmen)</t>
    </r>
  </si>
  <si>
    <t>BGH XII ZB 546/10</t>
  </si>
  <si>
    <t>§ 76 SGB Abs. 4 S. 4 VI</t>
  </si>
  <si>
    <t>Mit Hilfe dieses Rechners kann der Anwender abschätzen, ob der Ausgleich von Grundrenten-EP (GrEP) sinnvoll ist, oder unterbleiben kann.
Da GrEP nur dann werthaltig sind, wenn deren Inhaber die in Zeile 23 u. 24 angegebenen dynamischen Einkommensgrenzen bei Renteneintritt nicht überschreitet, muss der Anwender eine Einkommensprognose der Beteiligten vornehmen, die in vielen Fällen allerdings einfach vorzunehmen sein wird, wenn nur Anrechte der DRV in Betracht kommen. Ansonsten ist ggfls. die unterschiedliche Versorgungsdynamik zu beachten.</t>
  </si>
  <si>
    <t>Deutsche Telekom TV Kapitalkontenplan</t>
  </si>
  <si>
    <t>Deutsche Telekom KBV bAV AT</t>
  </si>
  <si>
    <t>BilMoG-7 Zins bis ezE 31.12.2015 danach BilMoG-10 / HR-, IR-Rente Anwartsschaftsdyn. 1% daher sVA möglich; Verzinsung d. AusglWerts bei ext.Teilung beantragen! Nach Ziff. 5.2.2.1 doppelter Kostenabzug möglich</t>
  </si>
  <si>
    <t>Deka-ZukunftsPlan</t>
  </si>
  <si>
    <t>Deka-BonusRente</t>
  </si>
  <si>
    <t>Seite 1 von 4 Teilungsordnung der Dekabank für ... (yumpu.com)</t>
  </si>
  <si>
    <t>Teilungsordnungen auf dem Prüfstand: unzulässige Transferverluste bei interner Teilung</t>
  </si>
  <si>
    <t>Vodafone</t>
  </si>
  <si>
    <t>BilMoG_10</t>
  </si>
  <si>
    <t>Standard Life</t>
  </si>
  <si>
    <t>AXA Überbetriebliche Unterstützungskasse e.V.</t>
  </si>
  <si>
    <t>5. 3.SpStrich</t>
  </si>
  <si>
    <t>Tarifwechsel</t>
  </si>
  <si>
    <t>doppelter Kostenabzug</t>
  </si>
  <si>
    <t>AusglWert-Abweichung</t>
  </si>
  <si>
    <t>Dynamik-Teilhabe zwi EzE und RK anordnen</t>
  </si>
  <si>
    <t>Ziff. 5.c)</t>
  </si>
  <si>
    <t>akt. RW im EzE</t>
  </si>
  <si>
    <t>GrEP-Teilung sinnhaft?</t>
  </si>
  <si>
    <t>regelrechte Duchführung Versorgungsausgleich</t>
  </si>
  <si>
    <t>GR_EP_Teilung</t>
  </si>
  <si>
    <t>Ruhegehaltss. alt/neu</t>
  </si>
  <si>
    <t>Ehezeitanteil alt/neu</t>
  </si>
  <si>
    <r>
      <t xml:space="preserve">Dies &amp; Das - hilfreiche Rechentools für das Familienrecht und insbesondere den Versorgungsausgleich
</t>
    </r>
    <r>
      <rPr>
        <b/>
        <sz val="12"/>
        <color theme="1"/>
        <rFont val="Arial"/>
        <family val="2"/>
      </rPr>
      <t>Der Autor haftet nicht für die mit diesem Rechentool gefundenen Ergebnisse</t>
    </r>
  </si>
  <si>
    <t>Ärzteversorgung Hessen (LÄK)</t>
  </si>
  <si>
    <t>Datum unbekannt</t>
  </si>
  <si>
    <t>Ernest &amp; Young</t>
  </si>
  <si>
    <t>§ 6 (1) und (3)</t>
  </si>
  <si>
    <t xml:space="preserve">Essener Verband </t>
  </si>
  <si>
    <t>Ziff. 7</t>
  </si>
  <si>
    <t>Familienfürsorge UK</t>
  </si>
  <si>
    <t>5.2.3.1.</t>
  </si>
  <si>
    <t>Feuersozietät Berlin Brandenburg AG</t>
  </si>
  <si>
    <t>IV.</t>
  </si>
  <si>
    <t>Generali</t>
  </si>
  <si>
    <t>Generali Lebensversicherung AG</t>
  </si>
  <si>
    <t>AG Heidelberg 35 F 154/17</t>
  </si>
  <si>
    <t>GlaxoSmithKline GmbH &amp; Co KG</t>
  </si>
  <si>
    <t>4.</t>
  </si>
  <si>
    <t>Hamburger Wasserwerke GmbH</t>
  </si>
  <si>
    <t>§ 6</t>
  </si>
  <si>
    <t>Hannoversche Lebensversicherung AG</t>
  </si>
  <si>
    <t>ohne Datum</t>
  </si>
  <si>
    <t>Hewlett Packard GmbH Böblingen</t>
  </si>
  <si>
    <t>HypoVereinsbank HVB</t>
  </si>
  <si>
    <t>4.3.1.</t>
  </si>
  <si>
    <t>HypoVereinsbank Unicredit Group</t>
  </si>
  <si>
    <t>4.3.3.</t>
  </si>
  <si>
    <t>LandesBank Berlin</t>
  </si>
  <si>
    <t>LVM Lebens- und Rentenversicherungen (privat)</t>
  </si>
  <si>
    <t>LVM Pensionsfonds</t>
  </si>
  <si>
    <t>Ziff. 5)c)</t>
  </si>
  <si>
    <t>LVM Pensionsplan V</t>
  </si>
  <si>
    <t>Ziff. 5 Abs. 3 a.E.</t>
  </si>
  <si>
    <t>LVM Unterstützungskasse</t>
  </si>
  <si>
    <t>LVM Versicherung (Direktversicherung)</t>
  </si>
  <si>
    <t>MAN (KBV BAV MEV)</t>
  </si>
  <si>
    <t>Ziff, 6.3.SpStrich</t>
  </si>
  <si>
    <t>Ziff. 5.d)</t>
  </si>
  <si>
    <t>Ziff. 5 3.SpSrich</t>
  </si>
  <si>
    <t>PB Pensionsfonds AG</t>
  </si>
  <si>
    <t>Ziff. 5 2. SpStrich</t>
  </si>
  <si>
    <t>5.c)aa) gg)</t>
  </si>
  <si>
    <t>Provinzial LV</t>
  </si>
  <si>
    <t>Ziff. IV.1. 7. SpStrich</t>
  </si>
  <si>
    <t xml:space="preserve">WDR TO </t>
  </si>
  <si>
    <t>Signal Iduna</t>
  </si>
  <si>
    <t>IBM</t>
  </si>
  <si>
    <t>5.2.</t>
  </si>
  <si>
    <t>10. Grundrenten EP im Versorgungsausgleich - Berechnungshilfe</t>
  </si>
  <si>
    <t>(1) Berechnungsparameter</t>
  </si>
  <si>
    <t>(2) Umrechnungen</t>
  </si>
  <si>
    <t>(3) Barwertberechnung</t>
  </si>
  <si>
    <t>(4) Höchstrechnungszins</t>
  </si>
  <si>
    <t>(5) Kapitalverrentung</t>
  </si>
  <si>
    <t>(6) Aufzinsung</t>
  </si>
  <si>
    <t>(7) Dynamisierung VPI &amp; aktRW</t>
  </si>
  <si>
    <t>(8) Altersgrenze bestimmen</t>
  </si>
  <si>
    <t>(9) Dienstzeitverlängerung &amp; Pension</t>
  </si>
  <si>
    <t>Hoechst Pensionskasse</t>
  </si>
  <si>
    <t>umfassende Prüfung</t>
  </si>
  <si>
    <t>PB Lebensversicherung</t>
  </si>
  <si>
    <t>IV.1. 6. SpStr</t>
  </si>
  <si>
    <t>AusgleichWert-Abweichung</t>
  </si>
  <si>
    <t>Dynamik-Teilhabe-Verlust</t>
  </si>
  <si>
    <t>Wählen Sie bitte im untenstehenden Auswahlfeld eine Teilungsordnung aus. Sollte die zu prüfende Teilungsordnung nicht aufgeführt sein, senden Sie diese bitte an Hauss@Anwaelte-DU.de, damit die TO in die Liste aufgenommen werden kann.</t>
  </si>
  <si>
    <t>Fundstelle der Versorgungsbegründung in Teilungsordnung:</t>
  </si>
  <si>
    <t>GALERIA Logisitik GmbH</t>
  </si>
  <si>
    <t>GALERIA Personalservice GmbH TO</t>
  </si>
  <si>
    <t>Gothaer Pensionskasse AG</t>
  </si>
  <si>
    <t>§ 12 Nr. 12</t>
  </si>
  <si>
    <t>Imperial Logistics</t>
  </si>
  <si>
    <t>Kordoba TO KAVP TMA FHL</t>
  </si>
  <si>
    <t>Mobil Oil BKK</t>
  </si>
  <si>
    <t>Netto Direktzusagen</t>
  </si>
  <si>
    <t>Opel Direktversicherung Hannoversche</t>
  </si>
  <si>
    <t>Pro bAV Pensionskasse AG</t>
  </si>
  <si>
    <t>Ziff. 6</t>
  </si>
  <si>
    <t>Provinzial NordWest LV</t>
  </si>
  <si>
    <t>Sparkassen Pensionskasse AG</t>
  </si>
  <si>
    <t>METRO Cash Carry_Deutschland</t>
  </si>
  <si>
    <t>Union Investment Privatfonds GmbH</t>
  </si>
  <si>
    <t>Adler Modemaerkte Versorgungswerk e.V.</t>
  </si>
  <si>
    <t>allfrisch Unterstuetzungskasse e.V</t>
  </si>
  <si>
    <t>Allianz Klinik-Rente</t>
  </si>
  <si>
    <t>BKK VBU 2012 kongruent TO</t>
  </si>
  <si>
    <t>BKK VBU 2012 partiell TO</t>
  </si>
  <si>
    <t>Bombardier_TransportationTO</t>
  </si>
  <si>
    <t xml:space="preserve">Debeka Lebensversicherungsverein a.G. </t>
  </si>
  <si>
    <t>Degussa UK Leistungsplan RUK</t>
  </si>
  <si>
    <t>Zweite real SB Warenhaus GmbH</t>
  </si>
  <si>
    <t>Kapitalwertkontrolle &amp; Adäquanzprüfung
nach BVerfG 1 BvL 5/18 und BGH XII ZB 230/16</t>
  </si>
  <si>
    <t>BVerfG 1 BvL 5/18</t>
  </si>
  <si>
    <t>Die mit diesem Programmteil errechneten Rentenvolumina (Z. 15) und Barwerte (Z. 19) sind für die Versorgungen nach einheitlichen Kriterien (Sterbetafeln Stat.Bundesamt, Invalidisierungs- und Hinterbliebenenwahrscheinlichkeit und Rechnungszins) berechnet. Dadurch weichen sie von den von den VT mitgeteilten Kapitalwerten oft ab. Das macht aber nur deutlich, dass eine Saldierung auf Basis der mitgeteilten Kapwerte nicht erfolgen kann.</t>
  </si>
  <si>
    <t>Der Autor kann keine Haftung für das Prüfungsergebnis der TO übernehmen. Jeder Anwender ist für die Prüfung der TO eigenverantwortlich. Nicht aufgeführte TO bitte an Autor mailen!</t>
  </si>
  <si>
    <t>Bemerkung zur Teilungsordnung (TO):</t>
  </si>
  <si>
    <t>Name d. Versorgungsträgers:</t>
  </si>
  <si>
    <t>VersNr.:</t>
  </si>
  <si>
    <t>Teilungsordnung vom:</t>
  </si>
  <si>
    <t>Tarifwechsel?</t>
  </si>
  <si>
    <t>Verzinsung zwischen EzE und RK notwendig?</t>
  </si>
  <si>
    <t>Teilungsordnungsfundstelle für Versorgungsbegründung</t>
  </si>
  <si>
    <t>"… abweichend von … der TO …"</t>
  </si>
  <si>
    <t>Ermöglicht die Teilungsordnung …</t>
  </si>
  <si>
    <t>doppelter Kostenabzug?</t>
  </si>
  <si>
    <t>Abweichung vom titulierten AusglWert?</t>
  </si>
  <si>
    <t>2facher Kostenabzug</t>
  </si>
  <si>
    <t>Auswertung der TO &amp; Korrekturen:</t>
  </si>
  <si>
    <t>VRK Lebensversicherung</t>
  </si>
  <si>
    <t>5. Abs. 3 3.SpStrich</t>
  </si>
  <si>
    <t>Lebensversicherung von 1871 a.G. München</t>
  </si>
  <si>
    <t>Bitte suchen Sie aus der Liste die Versicherung aus</t>
  </si>
  <si>
    <t>Essener Verband Leistungsordnung "A"</t>
  </si>
  <si>
    <t>Regelaltersgr.</t>
  </si>
  <si>
    <t>Ruhegehaltsquote</t>
  </si>
  <si>
    <t>Alt=Neu</t>
  </si>
  <si>
    <t>Ruhegehaltssatz manuell alt/neu:</t>
  </si>
  <si>
    <t>Accenture</t>
  </si>
  <si>
    <r>
      <t xml:space="preserve">anderes Alterseinkommen i.S.v. § 97a SGB VI im EzE in Euro </t>
    </r>
    <r>
      <rPr>
        <u/>
        <sz val="8"/>
        <color rgb="FF0000FF"/>
        <rFont val="Arial"/>
        <family val="2"/>
      </rPr>
      <t>z.B. Betriebsrenten</t>
    </r>
  </si>
  <si>
    <r>
      <t xml:space="preserve">Bei </t>
    </r>
    <r>
      <rPr>
        <b/>
        <sz val="9"/>
        <color theme="1"/>
        <rFont val="Arial"/>
        <family val="2"/>
      </rPr>
      <t xml:space="preserve">Halbteilung des ehezeitlichen Versorgungserwerbs </t>
    </r>
    <r>
      <rPr>
        <sz val="9"/>
        <color theme="1"/>
        <rFont val="Arial"/>
        <family val="2"/>
      </rPr>
      <t>ergäbe sich unter Berücksichtigung des außerehelichen Versorgungserwerbs folgende Nutzung der Grundrenten-Entgeltpunkte:</t>
    </r>
  </si>
  <si>
    <t>Abänderung möglich/unmöglich</t>
  </si>
  <si>
    <t xml:space="preserve">DAK Hamburg </t>
  </si>
  <si>
    <t>TO sieht in Ziff. 9. ausdrücklich eigenmächtige Änderungen des Ausgleichswerts gegenüber dem tenorierten Ausgleichswert vor</t>
  </si>
  <si>
    <t>Bemerkung2</t>
  </si>
  <si>
    <t>Hinweis:</t>
  </si>
  <si>
    <r>
      <rPr>
        <b/>
        <sz val="12"/>
        <color indexed="8"/>
        <rFont val="Arial"/>
        <family val="2"/>
      </rPr>
      <t>© Jörn Hauß, FA-FamR</t>
    </r>
    <r>
      <rPr>
        <sz val="11"/>
        <color theme="1"/>
        <rFont val="Arial"/>
        <family val="2"/>
      </rPr>
      <t xml:space="preserve">
Vom-Rath-Str. 10, 47051 Duisburg, Tel: 0203/286870, Hauss@anwaelte-du.de</t>
    </r>
  </si>
  <si>
    <t>Rechtsanwalt Hauß, Hauss@Anwaelte-DU.de</t>
  </si>
  <si>
    <t>Zeitraum bis</t>
  </si>
  <si>
    <t>(pRV und Kapital-LV)</t>
  </si>
  <si>
    <t>Vertreterversorgungswerk der Allianz Beratungs- und Vertreibs AG</t>
  </si>
  <si>
    <t>§ 6; § 9</t>
  </si>
  <si>
    <t>Athora AG Pensionskasse &amp; Lebensversicherung</t>
  </si>
  <si>
    <t>3. 2. SpStrich</t>
  </si>
  <si>
    <t>Wüstenrot &amp; Württembergische DC Pensionszusagen durch Gehaltsumwandlung</t>
  </si>
  <si>
    <t>Wüstenrot &amp; Württembergische Pensionszusage LHB</t>
  </si>
  <si>
    <t>Wüstenrot &amp; Württembergische Pensionskasse</t>
  </si>
  <si>
    <t>Allianz LV</t>
  </si>
  <si>
    <t>Barwert in DRV</t>
  </si>
  <si>
    <t>IR-Zuschlag</t>
  </si>
  <si>
    <t>HR-Zuschlag</t>
  </si>
  <si>
    <t>Renteneintritt Pfl.</t>
  </si>
  <si>
    <t>Renteneintrittsalter Pfl.</t>
  </si>
  <si>
    <t>Barwert Rente ab Beginn</t>
  </si>
  <si>
    <t>Barwert ab EzE</t>
  </si>
  <si>
    <t>+HR-IR</t>
  </si>
  <si>
    <t>* VVR</t>
  </si>
  <si>
    <t>§ 4</t>
  </si>
  <si>
    <t>Nach § 3 TO kann der AusglBer. Externe Teilung verlangen, die vielfach günstiger ist.</t>
  </si>
  <si>
    <t>Nordostdeutsche Energiewirtschaft Unterstützungskasse</t>
  </si>
  <si>
    <t>Zum Download neuer Version hier klicken:</t>
  </si>
  <si>
    <r>
      <rPr>
        <sz val="11"/>
        <color theme="1"/>
        <rFont val="Arial"/>
        <family val="2"/>
      </rPr>
      <t>§ 33 VersAusglG: Voraussetzung für Aussetzung der Kürzung ist, dass</t>
    </r>
    <r>
      <rPr>
        <sz val="8"/>
        <color theme="1"/>
        <rFont val="Arial"/>
        <family val="2"/>
      </rPr>
      <t xml:space="preserve">
- </t>
    </r>
    <r>
      <rPr>
        <b/>
        <sz val="8"/>
        <color theme="1"/>
        <rFont val="Arial"/>
        <family val="2"/>
      </rPr>
      <t>die unterhaltspflichtige Person</t>
    </r>
    <r>
      <rPr>
        <sz val="8"/>
        <color theme="1"/>
        <rFont val="Arial"/>
        <family val="2"/>
      </rPr>
      <t xml:space="preserve"> die gekürzte Rente bezieht und
- </t>
    </r>
    <r>
      <rPr>
        <b/>
        <sz val="8"/>
        <color theme="1"/>
        <rFont val="Arial"/>
        <family val="2"/>
      </rPr>
      <t>die unterhaltsberechtigte Person</t>
    </r>
    <r>
      <rPr>
        <sz val="8"/>
        <color theme="1"/>
        <rFont val="Arial"/>
        <family val="2"/>
      </rPr>
      <t xml:space="preserve"> aus der übertragenen Versorgung noch keine Leistungen bezieht.</t>
    </r>
  </si>
  <si>
    <t>Relative Wesentlichkeit, 5% des AusglWerts</t>
  </si>
  <si>
    <t>Abzinsungszins eingeben………BilMoG-10</t>
  </si>
  <si>
    <t>ERGO Unterstützungskasse</t>
  </si>
  <si>
    <t>TO sieht in § 7 ausdrücklich das Primat der familiengerichtlichen Entscheidung vor. Der Zeitpunkt der Begründung der Versorgung ist nicht definiert.</t>
  </si>
  <si>
    <t>E_VersGebJahrgPfl.</t>
  </si>
  <si>
    <t>E_VersGebJahrgBer.</t>
  </si>
  <si>
    <t>HRIR_Zuschalg</t>
  </si>
  <si>
    <t>Wert</t>
  </si>
  <si>
    <t>Barwert der Leistung ab Renteneintritt im Renteneintritt</t>
  </si>
  <si>
    <t>Barwert des Barwerts der Renteleistung im EzE</t>
  </si>
  <si>
    <t>Barwert EzE incl. HR-IR</t>
  </si>
  <si>
    <t>Barwert EzE incl. HR-IR x VVR</t>
  </si>
  <si>
    <t>E_Tabschritt</t>
  </si>
  <si>
    <t>VVR-Quote</t>
  </si>
  <si>
    <t>abgezinster BW in Leistung</t>
  </si>
  <si>
    <t>abgezinster Barwert incl. VVR und HRIR</t>
  </si>
  <si>
    <t xml:space="preserve">TO ist kurz und verständlich. </t>
  </si>
  <si>
    <t>Decadia GmbH</t>
  </si>
  <si>
    <t>Invaliditätsrente</t>
  </si>
  <si>
    <t>Hinterbliebenenversorgung</t>
  </si>
  <si>
    <t>bAV</t>
  </si>
  <si>
    <t>Zurich Deutsche Herold Unterstützungskasse</t>
  </si>
  <si>
    <t>ZF Friedrichshafen ZF-Rente</t>
  </si>
  <si>
    <t>ZF-MP Altersversorgung e.V. beitragsorientierte Versorgungezusage</t>
  </si>
  <si>
    <t>EPOst</t>
  </si>
  <si>
    <t>Der zur Erreichung 100%iger Adäquanz in der Zielversorgung erforderliche Ausgleichswert (Barwert) beträgt:</t>
  </si>
  <si>
    <t>aufzinsen</t>
  </si>
  <si>
    <t>verzinsen</t>
  </si>
  <si>
    <t>5. Verteilung von Transfergewinnen oder Verlusten bei externer Teilung</t>
  </si>
  <si>
    <t>4. Vergleichende Bewertung von Versorgungen (Adäquanzprüfung nach BVerfG 1 BvL 5/18)</t>
  </si>
  <si>
    <t>9. Anpassung, § 33 VersAusglG, Unterhaltsprivileg</t>
  </si>
  <si>
    <t>11. Abänderungsampel</t>
  </si>
  <si>
    <t>Hauss@Anwaelte-DU.de</t>
  </si>
  <si>
    <t>Tel: 0203-286870    Fax: 0203-28687-77</t>
  </si>
  <si>
    <t>WWW.Anwaelte-DU.de</t>
  </si>
  <si>
    <t>Für Anregungen, Verbesserungsvorschläge und Fehlermeldungen bin ich stets dankbar. Bitte einfach Mail an:</t>
  </si>
  <si>
    <t>Sie können teilnehmen und einfach den Link anklicken:</t>
  </si>
  <si>
    <t>Sie können sich auch über ein Telefon einwählen. 
(Bei Geräten, die diese Funktion unterstützen, ist die sofortige Teilnahme über eine der unten aufgeführten Direktwahlnummern möglich.)
Deutschland: +49 891 2140 2090 
- Direktwahl: tel:+4989121402090,,205481741# 
Zugangscode: 205-481-741
Themenvorschläge und Aufnahme in Verteiler per Mail an</t>
  </si>
  <si>
    <t>BW</t>
  </si>
  <si>
    <t>Math</t>
  </si>
  <si>
    <t>ExxonMobil Central Europe Holding GmbH</t>
  </si>
  <si>
    <t>Esso Deutschland GmbH</t>
  </si>
  <si>
    <t>ExxonMobil Pensions-Verwaltungsgesellschaft mbH</t>
  </si>
  <si>
    <t>ExxonMobil Production Deutschland GmbH</t>
  </si>
  <si>
    <t>ExxonMobil Gas Marketing Deuschland GmbH</t>
  </si>
  <si>
    <t>Vorzeitige Inanspruchnahme mit rel. hohen Abschlag von 0,5% pro Monat vorzeitiger Inanspruchnahme</t>
  </si>
  <si>
    <t>Bayern-Versicherung LV AG</t>
  </si>
  <si>
    <t>CSM Deutschland GmbH</t>
  </si>
  <si>
    <t>Boehringer Ingelheim KG</t>
  </si>
  <si>
    <t>Ulmer Spatz</t>
  </si>
  <si>
    <t>Diamalt</t>
  </si>
  <si>
    <t>Sera-Zusage</t>
  </si>
  <si>
    <t>Einstellung der Leistung ab Kenntnis d. Scheidungsverf. unzulässig (Ziff. 3.1.)</t>
  </si>
  <si>
    <t>Deutsche Flugsicherung</t>
  </si>
  <si>
    <t>Deutsche Telekom AG</t>
  </si>
  <si>
    <t>Diversey GmbH &amp; Co. OHG</t>
  </si>
  <si>
    <t>EDEKA Nordbayern-Schsen-Thüringen GmbH</t>
  </si>
  <si>
    <t>Edelweiss GmbH &amp; Co KG (EVO I und II)</t>
  </si>
  <si>
    <t>BarwertVO</t>
  </si>
  <si>
    <t>berstd.V</t>
  </si>
  <si>
    <t>pAV</t>
  </si>
  <si>
    <t>BeamtV</t>
  </si>
  <si>
    <t>KEZ</t>
  </si>
  <si>
    <t>12 Monate</t>
  </si>
  <si>
    <t>Ruhegehaltssatz</t>
  </si>
  <si>
    <t>§ 14 BeamtVG</t>
  </si>
  <si>
    <t xml:space="preserve">36 Monate </t>
  </si>
  <si>
    <t>linearer Ruhegehaltssatz 75%</t>
  </si>
  <si>
    <t>linearer Ruhegehaltssatz 71,75%</t>
  </si>
  <si>
    <t>Veränderung ReZins &lt;5,5%</t>
  </si>
  <si>
    <t>Veränderung d. ReZins</t>
  </si>
  <si>
    <t>&gt;65</t>
  </si>
  <si>
    <t>§ 235 SGB VI</t>
  </si>
  <si>
    <t>Veränderung Rezins</t>
  </si>
  <si>
    <t>§ 51 BBG</t>
  </si>
  <si>
    <t>BarwertVA außer Kraft</t>
  </si>
  <si>
    <t>§ 56 SGB VI</t>
  </si>
  <si>
    <t>+1 EP für vor 1992 Geborene</t>
  </si>
  <si>
    <t>+0,5 EO für vor 1992 Geborene</t>
  </si>
  <si>
    <t>Grundrente</t>
  </si>
  <si>
    <t>Grundrente für langj. Versicherte &amp; Kleinrentner</t>
  </si>
  <si>
    <t>§ 76g SGB VI</t>
  </si>
  <si>
    <t>Grund</t>
  </si>
  <si>
    <t>Betrifft</t>
  </si>
  <si>
    <t>Berstd.V; bAV; pAV</t>
  </si>
  <si>
    <t>Abänderungszeitpunkte</t>
  </si>
  <si>
    <t>Stichwort</t>
  </si>
  <si>
    <r>
      <rPr>
        <b/>
        <sz val="11"/>
        <color theme="1"/>
        <rFont val="Wingdings 3"/>
        <family val="1"/>
        <charset val="2"/>
      </rPr>
      <t xml:space="preserve">ä </t>
    </r>
    <r>
      <rPr>
        <b/>
        <sz val="11"/>
        <color theme="1"/>
        <rFont val="Arial"/>
        <family val="2"/>
      </rPr>
      <t xml:space="preserve">Abänderungsgründe &amp; -zeitpunkte </t>
    </r>
    <r>
      <rPr>
        <b/>
        <sz val="11"/>
        <color theme="1"/>
        <rFont val="Wingdings 3"/>
        <family val="1"/>
        <charset val="2"/>
      </rPr>
      <t>ä</t>
    </r>
  </si>
  <si>
    <t>11. a) Abänderungsgründe zeitlich gestaffelt</t>
  </si>
  <si>
    <t>+0,5 EP für vor 1992 Geborene</t>
  </si>
  <si>
    <t>Zusatzversorgung öffentlicher Dienst (ZVK)</t>
  </si>
  <si>
    <t>ehezeitl. Versorg.erwerb in €</t>
  </si>
  <si>
    <t xml:space="preserve">       Mann </t>
  </si>
  <si>
    <t xml:space="preserve">     Frau</t>
  </si>
  <si>
    <t>Debeka Lebensversicherungsverein a.G. AltZertG-Verträge</t>
  </si>
  <si>
    <t>Mail an RA Hauß
TO-Übersendung</t>
  </si>
  <si>
    <t>Prüfung der Teilungsordnung (TO)</t>
  </si>
  <si>
    <t>Die Prüfung der TO hat keine eindeutigen Belege für einen Verstoß der TO in den Bereichen 'Tarifwechsel', 'doppelter Kostenabzug', 'Änderung des Ausgleichswerts' und 'Teilhabe an der Wertentwicklung zwischen EzE und RK' erbracht oder konnte noch nicht abschließend durchgeführt werden.</t>
  </si>
  <si>
    <t>Sparkassen-Versicherung private AV</t>
  </si>
  <si>
    <t>8.</t>
  </si>
  <si>
    <t xml:space="preserve">Zurich </t>
  </si>
  <si>
    <t>Philip Morris GmbH</t>
  </si>
  <si>
    <t>Bewertungszeitpunkt und Umrechnungszeitpunkt nach Ziff. 2.2.2. richtigerweise das EzE</t>
  </si>
  <si>
    <t>Roche Diagnostics GmbH</t>
  </si>
  <si>
    <t xml:space="preserve">Landesbank BW (Kapitalkontenplan 2005) TO </t>
  </si>
  <si>
    <t>Inflationserwartung</t>
  </si>
  <si>
    <r>
      <rPr>
        <b/>
        <sz val="11"/>
        <color theme="1"/>
        <rFont val="Arial"/>
        <family val="2"/>
      </rPr>
      <t>von 14:00 bis 15:00 Uhr</t>
    </r>
    <r>
      <rPr>
        <sz val="11"/>
        <color theme="1"/>
        <rFont val="Arial"/>
        <family val="2"/>
      </rPr>
      <t xml:space="preserve">
Wir erörtern online Ihre alltäglichen und manchmal auch spezielle Fragen des VAs, kostenlos und locker.</t>
    </r>
  </si>
  <si>
    <t>Anänd_BilMog7/10</t>
  </si>
  <si>
    <t>AbänderungsReZins</t>
  </si>
  <si>
    <t>Axhtung! Nach § 18 Abs. 3 der TO wird der VA taggenau umgesetzt, weswegen es bei Unterhaltszahlungen zu überzahlungen kommen kann.</t>
  </si>
  <si>
    <t>DWS Investment GmbH Basisrentenverträge AltZertG</t>
  </si>
  <si>
    <r>
      <t xml:space="preserve">Die TO begründet Mitwirkungspflichten der ausglber. Person an einem </t>
    </r>
    <r>
      <rPr>
        <b/>
        <sz val="8"/>
        <color theme="1"/>
        <rFont val="Arial"/>
        <family val="2"/>
      </rPr>
      <t xml:space="preserve">neuen Vertrag </t>
    </r>
    <r>
      <rPr>
        <sz val="8"/>
        <color theme="1"/>
        <rFont val="Arial"/>
        <family val="2"/>
      </rPr>
      <t>zu aktuellen Bedingungen!</t>
    </r>
  </si>
  <si>
    <t xml:space="preserve">Lufthansa Group TO </t>
  </si>
  <si>
    <t>§ 8</t>
  </si>
  <si>
    <t>Lufthansa Group Versorgungskasse Kabine e.V.</t>
  </si>
  <si>
    <t>Dies&amp;Das_Ost</t>
  </si>
  <si>
    <t>TO_Sex</t>
  </si>
  <si>
    <r>
      <t xml:space="preserve">Tarifwechsel! 
</t>
    </r>
    <r>
      <rPr>
        <sz val="9"/>
        <color theme="0" tint="-4.9989318521683403E-2"/>
        <rFont val="Arial"/>
        <family val="2"/>
      </rPr>
      <t>(BGH XII ZB 359/19)</t>
    </r>
  </si>
  <si>
    <t>SGB VI</t>
  </si>
  <si>
    <r>
      <t xml:space="preserve">Wertteilhabe EzE - RK einfordern!
</t>
    </r>
    <r>
      <rPr>
        <sz val="9"/>
        <color theme="0" tint="-4.9989318521683403E-2"/>
        <rFont val="Arial"/>
        <family val="2"/>
      </rPr>
      <t>(BGH XII ZB 443/14; XII ZB 546/10)</t>
    </r>
  </si>
  <si>
    <t>LVM Lebensversicherungs-AG</t>
  </si>
  <si>
    <t>TO enthält in Ziff. V ein Bekenntnis zur Priorität der gerischtlichen Entscheidung, falls diese von TO abweicht.</t>
  </si>
  <si>
    <t>Provinzial</t>
  </si>
  <si>
    <t>TO sieht in Ziff. 7 ausdrücklich das Primat der familiengerichtlichen Entscheidung vor. Der Zeitpunkt der Begründung der Versorgung ist nicht definiert.</t>
  </si>
  <si>
    <t>5.2, 5.3 und 5.4</t>
  </si>
  <si>
    <t>TO enthält in § 9 ein Bekenntnis zur Priorität der gerischtlichen Entscheidung, falls diese von TO abweicht.</t>
  </si>
  <si>
    <t>SwissLife Pensionskasse</t>
  </si>
  <si>
    <t>SwissLife Unterstützungskasse</t>
  </si>
  <si>
    <t>SutorBank</t>
  </si>
  <si>
    <t>§ 3</t>
  </si>
  <si>
    <t>TO enthält in § 6 ein Bekenntnis zur Priorität der gerischtlichen Entscheidung, falls diese von TO abweicht.</t>
  </si>
  <si>
    <t>Kölner Pensionskasse</t>
  </si>
  <si>
    <t>Rosenheimer Unterstützungskasse</t>
  </si>
  <si>
    <t>Fresenius</t>
  </si>
  <si>
    <t>Ineos Phenol</t>
  </si>
  <si>
    <t>Die Versorgungs- und Teilungsordnung sieht Rentenhalbteilung vor und einen pauschalierten Zuschlag von 10% für Verzicht auf IR und HR.</t>
  </si>
  <si>
    <t>ACE European Group Limiteted</t>
  </si>
  <si>
    <t>Allianz KBV Harmonisierung BPV</t>
  </si>
  <si>
    <t>Allianz Lebensversicherungs AG</t>
  </si>
  <si>
    <t>Navh Ziff. 5.c)dd) wird der AusglWert bei bestehendem "gleichartigen" Vertrag diesem gutgeschrieben</t>
  </si>
  <si>
    <t>Allianz-Pensions-Management e.V.</t>
  </si>
  <si>
    <t>Der Zeitpunkt der Begründung des Anrechts z.G. d. ausglber. Person bleibt unklar, weswegen Verzinsung klarstellend geltend zu machen ist.</t>
  </si>
  <si>
    <t>Allianz Lebensversicherungs-AG</t>
  </si>
  <si>
    <t>Zusammenfassung mehrerer AusglW der ausglpfl Person zu einer Neuversicherung der ausglber P möglich (5.c)dd))</t>
  </si>
  <si>
    <t>Helvetia schweizerische Lebensversicherungs-AG</t>
  </si>
  <si>
    <t>Pensionskasse der Deutschen Wirtschaft</t>
  </si>
  <si>
    <t>AusglWert wird kompensatorisch um Wegfall von IR und HR bereits erhöht mitgeteilt</t>
  </si>
  <si>
    <t>Baloise Lebensversicherung AG Deutschland</t>
  </si>
  <si>
    <t>Die TO verwendet den Begriff"Ausgleichsversicherung", der in Ziff.5. Abs. 1 als die zu begründende Versicherung der ausglber. Person definiert wird</t>
  </si>
  <si>
    <t>Ziff. 5.</t>
  </si>
  <si>
    <t>Die TO ist für die verschiedenen BR-Klassen unübersichtlich. Es wird empfohlen, den Versorgungsträger zu einer Mitteilung der aus dem AusglWert resultierenden Versorgung für die auglpfl. Person zu veranlassen</t>
  </si>
  <si>
    <t>Affirmativ sollte tenoriert werden, dass der tenorierte Ausgleichswert zwischen EzE und RK zu verzinsen ist.</t>
  </si>
  <si>
    <t>Provinzial Lebensversicherungen</t>
  </si>
  <si>
    <t>IV.1.</t>
  </si>
  <si>
    <t>TO sieht in Ziff. 9 eine Befolgung abweichender famgerichtlicher Festlegungen vor.</t>
  </si>
  <si>
    <t>Signal Iduna a.G.</t>
  </si>
  <si>
    <t>Signal Iduna AG</t>
  </si>
  <si>
    <t>Signal Iduna Pensionskass AG</t>
  </si>
  <si>
    <t>VVR</t>
  </si>
  <si>
    <t>Anw. Zeit</t>
  </si>
  <si>
    <t>Sex</t>
  </si>
  <si>
    <t>i</t>
  </si>
  <si>
    <t>e</t>
  </si>
  <si>
    <t>BilMoG10</t>
  </si>
  <si>
    <t>Ehezeit von:</t>
  </si>
  <si>
    <t>Pension</t>
  </si>
  <si>
    <t>StDat_GruSiAdd</t>
  </si>
  <si>
    <t>autom.</t>
  </si>
  <si>
    <t>anzunehmende Dynamik berufsstd. Versorgungen</t>
  </si>
  <si>
    <t>berstdV</t>
  </si>
  <si>
    <t>Berufsständische Versorgungen</t>
  </si>
  <si>
    <t>Regelrentenalter</t>
  </si>
  <si>
    <t>Teilungsordnungen</t>
  </si>
  <si>
    <t>AusglWertabweichung</t>
  </si>
  <si>
    <t>Wertteilhabe</t>
  </si>
  <si>
    <t>u</t>
  </si>
  <si>
    <t>GrentwertExterneTeilung</t>
  </si>
  <si>
    <t>Gericht 1. Instanz: FamG</t>
  </si>
  <si>
    <t>Aktenzeichen:</t>
  </si>
  <si>
    <t>Gericht 2. Instanz: OLG</t>
  </si>
  <si>
    <t>GrenzW § 14</t>
  </si>
  <si>
    <t>p</t>
  </si>
  <si>
    <t>eigenes Az:</t>
  </si>
  <si>
    <t>eig. Bezeichnung:</t>
  </si>
  <si>
    <t>b</t>
  </si>
  <si>
    <t>Nr.</t>
  </si>
  <si>
    <t>lfd. Nr.</t>
  </si>
  <si>
    <t>A</t>
  </si>
  <si>
    <t>öffent.-rechtl. Grundversorgungen</t>
  </si>
  <si>
    <t>manuell</t>
  </si>
  <si>
    <t>man. Eing. mögl.</t>
  </si>
  <si>
    <t xml:space="preserve">Alter </t>
  </si>
  <si>
    <t>K</t>
  </si>
  <si>
    <t>P</t>
  </si>
  <si>
    <t>VersNr. Mann</t>
  </si>
  <si>
    <t>VersNr. Frau</t>
  </si>
  <si>
    <t>Text GebDat M</t>
  </si>
  <si>
    <t>Text GebDat F</t>
  </si>
  <si>
    <t>Entgeltpunkte (Ost):</t>
  </si>
  <si>
    <t>Entgeltpunkte:</t>
  </si>
  <si>
    <t>VersNr.-Kontrolle</t>
  </si>
  <si>
    <t>1 = Falsch</t>
  </si>
  <si>
    <t>Weiß hinterlegte Felder = Eingabefelder, gelbe Felder sind Pflichtfelder, rote Felder = Eingabefehler oder Achtung!, orange hinterlegte Felder = ev. zu prüfen.</t>
  </si>
  <si>
    <t>Grenzwerte</t>
  </si>
  <si>
    <t>Rentenerwerb einschl Dyn. bei ReEintritt</t>
  </si>
  <si>
    <t>aktRW EzE</t>
  </si>
  <si>
    <t>AnwZeit</t>
  </si>
  <si>
    <t>LeistZeit</t>
  </si>
  <si>
    <t>DRV-Daten für Barwertberechnung</t>
  </si>
  <si>
    <t>BW-Faktor</t>
  </si>
  <si>
    <t xml:space="preserve">
bis
von</t>
  </si>
  <si>
    <r>
      <t>§ 51 BBG</t>
    </r>
    <r>
      <rPr>
        <u/>
        <vertAlign val="superscript"/>
        <sz val="10"/>
        <color rgb="FF0000FF"/>
        <rFont val="Arial"/>
        <family val="2"/>
      </rPr>
      <t>*)</t>
    </r>
  </si>
  <si>
    <t>*) in den Bundesländern wurde die Altersgrenze für Beamte zu unterschiedlichen Daten und teilweise gar nicht verändert.</t>
  </si>
  <si>
    <t>Mann/Frau</t>
  </si>
  <si>
    <t>DRV-BW</t>
  </si>
  <si>
    <t>BW BeamtV</t>
  </si>
  <si>
    <t>Mann BeamtV</t>
  </si>
  <si>
    <t>Frau BeamtV</t>
  </si>
  <si>
    <t>BW berstdV</t>
  </si>
  <si>
    <t>Datenerfassung &amp; Kontrolle</t>
  </si>
  <si>
    <r>
      <t xml:space="preserve">Abänderungsprüfung 
</t>
    </r>
    <r>
      <rPr>
        <b/>
        <sz val="11"/>
        <color theme="1"/>
        <rFont val="Arial"/>
        <family val="2"/>
      </rPr>
      <t>(Bitte zunächst Stammdaten ausfüllen)</t>
    </r>
  </si>
  <si>
    <t>Bemessungsfaktoren AHV/IV Schweiz Skala44</t>
  </si>
  <si>
    <t>TOZiffer</t>
  </si>
  <si>
    <t>Die TO enthält die Regelungen für die interne Teilung  in Ziff:</t>
  </si>
  <si>
    <t>Tabelle 1 Alters- und Invaliditätsrente</t>
  </si>
  <si>
    <t>Tabelle 2 reine Altersrente</t>
  </si>
  <si>
    <t>Renteneintritssalter</t>
  </si>
  <si>
    <t>Zu-/Abschlag</t>
  </si>
  <si>
    <t>Ldy-Zuschlag</t>
  </si>
  <si>
    <t>max</t>
  </si>
  <si>
    <t>Tab1</t>
  </si>
  <si>
    <t>Jahreswert Rente</t>
  </si>
  <si>
    <t>vor 65</t>
  </si>
  <si>
    <t>Tabelle2</t>
  </si>
  <si>
    <t>Tabelle 2</t>
  </si>
  <si>
    <t>nach 65</t>
  </si>
  <si>
    <t>LDynZuschlag</t>
  </si>
  <si>
    <t>bilanzierter Wert</t>
  </si>
  <si>
    <t>Berechnungsdatum</t>
  </si>
  <si>
    <t>aktRW Berechnungsdatum</t>
  </si>
  <si>
    <t>Abweichung:</t>
  </si>
  <si>
    <t>Absoluter Grenzwert</t>
  </si>
  <si>
    <t>Barwertfaktor</t>
  </si>
  <si>
    <t>RentnerM</t>
  </si>
  <si>
    <t>RentnerF</t>
  </si>
  <si>
    <t>BilmoG-10</t>
  </si>
  <si>
    <t>BilMoG</t>
  </si>
  <si>
    <t>.</t>
  </si>
  <si>
    <t>-</t>
  </si>
  <si>
    <t>KoKa &lt; BW DRV = grün:
KoKa &gt; BW DRV = rot:</t>
  </si>
  <si>
    <t>Berechnungsschritte für betriebl. und private Versorgungen</t>
  </si>
  <si>
    <t>Deutsche Ärzteversicherung AG</t>
  </si>
  <si>
    <t>Deka-Zukunftsplan und BonusRente</t>
  </si>
  <si>
    <t>Die TO fordert unzulässigerweise den Neuabschluss eines Vertrages bei gleichzeitiger freier Auswahl des Produktes d.d. ausglber. Person. Ziff. 7 sieht die Befolgung anderweitiger gerichtlicher Anordnungen vor.</t>
  </si>
  <si>
    <r>
      <rPr>
        <b/>
        <sz val="11"/>
        <color theme="1"/>
        <rFont val="Calibri"/>
        <family val="2"/>
        <scheme val="minor"/>
      </rPr>
      <t xml:space="preserve">3. </t>
    </r>
    <r>
      <rPr>
        <sz val="11"/>
        <color theme="1"/>
        <rFont val="Calibri"/>
        <family val="2"/>
        <scheme val="minor"/>
      </rPr>
      <t>Bitte geben Sie die Bezeichnung des Versorgungsträgers möglichst präzise ein</t>
    </r>
  </si>
  <si>
    <r>
      <rPr>
        <b/>
        <sz val="11"/>
        <color theme="1"/>
        <rFont val="Calibri"/>
        <family val="2"/>
        <scheme val="minor"/>
      </rPr>
      <t xml:space="preserve">14. </t>
    </r>
    <r>
      <rPr>
        <sz val="11"/>
        <color theme="1"/>
        <rFont val="Calibri"/>
        <family val="2"/>
        <scheme val="minor"/>
      </rPr>
      <t>ReZins</t>
    </r>
  </si>
  <si>
    <r>
      <rPr>
        <b/>
        <sz val="11"/>
        <color theme="1"/>
        <rFont val="Calibri"/>
        <family val="2"/>
        <scheme val="minor"/>
      </rPr>
      <t xml:space="preserve">9. </t>
    </r>
    <r>
      <rPr>
        <sz val="11"/>
        <color theme="1"/>
        <rFont val="Calibri"/>
        <family val="2"/>
        <scheme val="minor"/>
      </rPr>
      <t>Anwartschafts-
dynamik in %</t>
    </r>
  </si>
  <si>
    <r>
      <rPr>
        <b/>
        <sz val="11"/>
        <color theme="1"/>
        <rFont val="Calibri"/>
        <family val="2"/>
        <scheme val="minor"/>
      </rPr>
      <t xml:space="preserve">2. </t>
    </r>
    <r>
      <rPr>
        <sz val="11"/>
        <color theme="1"/>
        <rFont val="Calibri"/>
        <family val="2"/>
        <scheme val="minor"/>
      </rPr>
      <t xml:space="preserve">Art: </t>
    </r>
    <r>
      <rPr>
        <b/>
        <sz val="11"/>
        <color theme="1"/>
        <rFont val="Calibri"/>
        <family val="2"/>
        <scheme val="minor"/>
      </rPr>
      <t>b</t>
    </r>
    <r>
      <rPr>
        <sz val="11"/>
        <color theme="1"/>
        <rFont val="Calibri"/>
        <family val="2"/>
        <scheme val="minor"/>
      </rPr>
      <t xml:space="preserve"> betriebl. </t>
    </r>
    <r>
      <rPr>
        <b/>
        <sz val="11"/>
        <color theme="1"/>
        <rFont val="Calibri"/>
        <family val="2"/>
        <scheme val="minor"/>
      </rPr>
      <t xml:space="preserve"> p </t>
    </r>
    <r>
      <rPr>
        <sz val="11"/>
        <color theme="1"/>
        <rFont val="Calibri"/>
        <family val="2"/>
        <scheme val="minor"/>
      </rPr>
      <t>privat</t>
    </r>
  </si>
  <si>
    <r>
      <rPr>
        <b/>
        <sz val="11"/>
        <color theme="1"/>
        <rFont val="Calibri"/>
        <family val="2"/>
        <scheme val="minor"/>
      </rPr>
      <t xml:space="preserve">6. 
</t>
    </r>
    <r>
      <rPr>
        <sz val="11"/>
        <color theme="1"/>
        <rFont val="Calibri"/>
        <family val="2"/>
        <scheme val="minor"/>
      </rPr>
      <t>Für Berech-nung anzuneh-mender Ausglwert</t>
    </r>
  </si>
  <si>
    <t>Abweichung</t>
  </si>
  <si>
    <t>BW ab Leistung</t>
  </si>
  <si>
    <t>abgez. BW</t>
  </si>
  <si>
    <t>BW + HRIR</t>
  </si>
  <si>
    <t>BW HRIR*VVR</t>
  </si>
  <si>
    <t>Berechnung bestd. Versorgung</t>
  </si>
  <si>
    <t>UFaktorEzE</t>
  </si>
  <si>
    <t>DRV EP f. langjährig Versicherte:</t>
  </si>
  <si>
    <t>In diesem Segment werden die Barwerte der auszugl. Versorg.  einheitlich mit einem ggfls. vom ReZins im EzE abweichend einzugebenden Zinssatz berechnet.</t>
  </si>
  <si>
    <r>
      <rPr>
        <b/>
        <sz val="11"/>
        <color theme="1"/>
        <rFont val="Calibri"/>
        <family val="2"/>
        <scheme val="minor"/>
      </rPr>
      <t xml:space="preserve">8. </t>
    </r>
    <r>
      <rPr>
        <sz val="11"/>
        <color theme="1"/>
        <rFont val="Calibri"/>
        <family val="2"/>
        <scheme val="minor"/>
      </rPr>
      <t>Renteneintritt in Jahren</t>
    </r>
  </si>
  <si>
    <t>Geschlecht Sp.B</t>
  </si>
  <si>
    <t>Mandant</t>
  </si>
  <si>
    <t xml:space="preserve">Unisex, Kapital </t>
  </si>
  <si>
    <t>sVA</t>
  </si>
  <si>
    <t>Versorgungsart: p = privat, b = betrieblich</t>
  </si>
  <si>
    <t>Datenauswahl bei Eingabebeschränkung</t>
  </si>
  <si>
    <t>Tabschritte</t>
  </si>
  <si>
    <r>
      <t xml:space="preserve">Ehezeitende </t>
    </r>
    <r>
      <rPr>
        <sz val="11"/>
        <color theme="1"/>
        <rFont val="Arial"/>
        <family val="2"/>
      </rPr>
      <t>(EzE)</t>
    </r>
    <r>
      <rPr>
        <b/>
        <sz val="11"/>
        <color theme="1"/>
        <rFont val="Arial"/>
        <family val="2"/>
      </rPr>
      <t xml:space="preserve"> eingeben:</t>
    </r>
  </si>
  <si>
    <r>
      <rPr>
        <vertAlign val="superscript"/>
        <sz val="10"/>
        <color theme="1"/>
        <rFont val="Arial"/>
        <family val="2"/>
      </rPr>
      <t>*)</t>
    </r>
    <r>
      <rPr>
        <sz val="10"/>
        <color theme="1"/>
        <rFont val="Arial"/>
        <family val="2"/>
      </rPr>
      <t xml:space="preserve"> geschlechtsspezifisch ermittelt</t>
    </r>
  </si>
  <si>
    <r>
      <rPr>
        <vertAlign val="superscript"/>
        <sz val="10"/>
        <color theme="1"/>
        <rFont val="Arial"/>
        <family val="2"/>
      </rPr>
      <t>**)</t>
    </r>
    <r>
      <rPr>
        <sz val="10"/>
        <color theme="1"/>
        <rFont val="Arial"/>
        <family val="2"/>
      </rPr>
      <t xml:space="preserve"> Unisex-Tarif</t>
    </r>
  </si>
  <si>
    <t>Kohorte ReAlter</t>
  </si>
  <si>
    <t>Kohorte Alter</t>
  </si>
  <si>
    <t>AbändBilMoG_Wahl</t>
  </si>
  <si>
    <r>
      <rPr>
        <b/>
        <sz val="11"/>
        <color theme="1"/>
        <rFont val="Calibri"/>
        <family val="2"/>
        <scheme val="minor"/>
      </rPr>
      <t xml:space="preserve">7. </t>
    </r>
    <r>
      <rPr>
        <sz val="11"/>
        <color theme="1"/>
        <rFont val="Calibri"/>
        <family val="2"/>
        <scheme val="minor"/>
      </rPr>
      <t>"U" = Unisex
"K" = Kap.&amp;Fonds</t>
    </r>
  </si>
  <si>
    <t>VVR_EzE</t>
  </si>
  <si>
    <t>VVR_Rente</t>
  </si>
  <si>
    <t>BW Leistungszeit</t>
  </si>
  <si>
    <t>BW reine Rente im EzE</t>
  </si>
  <si>
    <t>Ausgleichswert-abweichung</t>
  </si>
  <si>
    <t>Link zum rechtswahrenden Tenorierungsvorschlag</t>
  </si>
  <si>
    <t>Zurück zur Fallerfassung</t>
  </si>
  <si>
    <t>Altersgrenzenrechner</t>
  </si>
  <si>
    <t>Name, Vorname d. Ehemannes:</t>
  </si>
  <si>
    <t>Name, Vorname Ehefrau:</t>
  </si>
  <si>
    <t xml:space="preserve">  M a n n</t>
  </si>
  <si>
    <t xml:space="preserve">  F r a u</t>
  </si>
  <si>
    <t>Barwert:</t>
  </si>
  <si>
    <t>alternat. einheitl. ReZins:</t>
  </si>
  <si>
    <t>Zum Ändern der Dynamikannahmen hier klicken</t>
  </si>
  <si>
    <r>
      <rPr>
        <b/>
        <sz val="16"/>
        <color theme="1"/>
        <rFont val="Arial"/>
        <family val="2"/>
      </rPr>
      <t>Hinweis zur einfacheren Programmbedienung:</t>
    </r>
    <r>
      <rPr>
        <sz val="11"/>
        <color theme="1"/>
        <rFont val="Arial"/>
        <family val="2"/>
      </rPr>
      <t xml:space="preserve">
Es erleichtert die Arbeit mit dem Programm, wenn Sie es unter dem Namen &lt;</t>
    </r>
    <r>
      <rPr>
        <b/>
        <sz val="11"/>
        <color theme="1"/>
        <rFont val="Arial"/>
        <family val="2"/>
      </rPr>
      <t>Kapitalwertkontrolle 2023.</t>
    </r>
    <r>
      <rPr>
        <b/>
        <u/>
        <sz val="11"/>
        <color theme="1"/>
        <rFont val="Arial"/>
        <family val="2"/>
      </rPr>
      <t>xltx</t>
    </r>
    <r>
      <rPr>
        <sz val="11"/>
        <color theme="1"/>
        <rFont val="Arial"/>
        <family val="2"/>
      </rPr>
      <t>&gt; im Verzeichnis &lt;Dokumente&gt;&lt;Benutzerdefinierte Office-Vorlagen&gt; auf Ihrer Festplatte abspeichern und eine Verbindung zu dieser Datei auf Ihren Desktop legen (rechter Mausklick auf die Datei, 'Verknüpfung erstellen' und die Verknüpfung mit der Maus auf den Desktop ziehen). Die Datei ist dann eine &lt;Vorlage&gt; und ein Doppelklick auf das Desktop-Symbol startet eine Kopie der Datei im &lt;XLSX&gt;-Format. Selbst wenn Sie in dieser Kopie Änderungen vornehmen und die Datei abgespeichert wird (meist versehentlich), wird die Ursprungsdatei nicht verändert. Dadurch werden vor dem Abspeichern versehentlich nicht gelöschte Eingaben nicht in die Ursprungsdatei gespeichert. Diese steht Ihnen beim nächsten Start "jungfräulich" wieder zur Verfügung. Die XLSX-Datei ist wie der Stempel, der gegen ungewollte Veränderungen geschützt ist, die durch Anklicken gestartete Version ist das Formular, das mit dem 'Stempel' erzegt wird. Die mit Eingaben und Daten versehene Datei (das Formular) können Sie dann in einem beliebigen Verzeichnis Ihrer Festplatte unter beliebigem Namen abspeichern.</t>
    </r>
  </si>
  <si>
    <r>
      <rPr>
        <b/>
        <sz val="11"/>
        <color theme="1"/>
        <rFont val="Calibri"/>
        <family val="2"/>
        <scheme val="minor"/>
      </rPr>
      <t xml:space="preserve">12. </t>
    </r>
    <r>
      <rPr>
        <sz val="11"/>
        <color theme="1"/>
        <rFont val="Calibri"/>
        <family val="2"/>
        <scheme val="minor"/>
      </rPr>
      <t>Invaliditäts-V. (Quote in %)</t>
    </r>
  </si>
  <si>
    <r>
      <rPr>
        <b/>
        <sz val="11"/>
        <color theme="1"/>
        <rFont val="Calibri"/>
        <family val="2"/>
        <scheme val="minor"/>
      </rPr>
      <t xml:space="preserve">13. </t>
    </r>
    <r>
      <rPr>
        <sz val="11"/>
        <color theme="1"/>
        <rFont val="Calibri"/>
        <family val="2"/>
        <scheme val="minor"/>
      </rPr>
      <t>Hinterbl.-V (Quote in %)</t>
    </r>
  </si>
  <si>
    <t>Barwert in DRV aus kapAusglW</t>
  </si>
  <si>
    <t>C &amp; A Services GmbH &amp; Co. OHG</t>
  </si>
  <si>
    <t>§ 3 Ziff. 4, 6</t>
  </si>
  <si>
    <t>Bei fondsbasierter Versorgung ist die Bezugsgr. Trotz anderslautender TO der Fondsanteil (Fritsche, NZFam 2023, 370) anders aber falsch: OLG Dresden, 21 UF 687/22.</t>
  </si>
  <si>
    <t>vorauss. RK der VA-Entscheidung bzw. Abzinsungszeitpunkt</t>
  </si>
  <si>
    <t>Ehezeitende bzw. Fälligkeitszeitpunkt</t>
  </si>
  <si>
    <t>Auf- bzw. Abzinsungsergebnis einer Ausgl.forderung:</t>
  </si>
  <si>
    <t>Allianz Pensionskasse</t>
  </si>
  <si>
    <t>Ziff. 4</t>
  </si>
  <si>
    <t>Nach Ziff. 2.2 wird der Ausgleichswert bei lfd. Renten gem. BGH XII ZB 447/13 bestimmt. Das Gericht muss das bewerten u. kontrollieren.</t>
  </si>
  <si>
    <t>Württembergische Lebensversicherung AG</t>
  </si>
  <si>
    <t>Carl Zeiss AG</t>
  </si>
  <si>
    <t>Die TO folgt der familiengerichtlichen Tenorierung in § 7. Allenfalls ist die Teilhabe zwischen EzE und RK an der Wertentwicklung des Anrechts zu prüfen.</t>
  </si>
  <si>
    <t>Summen Mann:</t>
  </si>
  <si>
    <t>Summen Frau:</t>
  </si>
  <si>
    <t>Debeka ZVK VaG Tarif ZVD 7</t>
  </si>
  <si>
    <t>79-2021</t>
  </si>
  <si>
    <t>Ziff 5</t>
  </si>
  <si>
    <t>Barwerterwerb des Gatten aus dem Ausgleichswert</t>
  </si>
  <si>
    <t xml:space="preserve"> KoKa </t>
  </si>
  <si>
    <t xml:space="preserve">KoKa  </t>
  </si>
  <si>
    <t>BP Europa SE</t>
  </si>
  <si>
    <t>Bei Invalidität der ausglber. Person im Zeitpunkt der Begründung des Anrechts wird Invaliditätsrente gewährt (Ziff. 5.2.)</t>
  </si>
  <si>
    <t>in DRV</t>
  </si>
  <si>
    <t>Äquivalenz-faktor</t>
  </si>
  <si>
    <t>Mecklenburgische LV AG</t>
  </si>
  <si>
    <t>TO sieht für Riester-Versorgungen einen Wechsel zu de "aktuellen Rechnungsgrundlagen vor! Der Begründungszeitpunkt ist in der TO nicht definiert, daher vorsorglich auf Wertentwicklungsteilhabe hinweisen.</t>
  </si>
  <si>
    <r>
      <t>BGH v. 25.02.2015 - XII ZB 364/14;</t>
    </r>
    <r>
      <rPr>
        <b/>
        <u/>
        <sz val="8"/>
        <color theme="1"/>
        <rFont val="Arial"/>
        <family val="2"/>
      </rPr>
      <t xml:space="preserve"> BGH v. 19.08.2015 - XII ZB 443/14</t>
    </r>
    <r>
      <rPr>
        <sz val="8"/>
        <color theme="1"/>
        <rFont val="Arial"/>
        <family val="2"/>
      </rPr>
      <t>; OLG Brandbg. v. 02.09.2020 - 9 UF 86/20; OLG Celle v. 05.04.2019 - 21 UF 202/18; OLG FfM v. 09.04.2020 - 4 UF 46/19; OLG FfM v. 17.09.2019 - 4 UF 273/17; OLG FfM v. 17.09.2019 - 4 UF 273/17; OLG FfM v. 17.09.2019 - 4 UF 273/17; OLG FfM v. 22.08.2019 - 4 UF 86/17; OLG FfM v. 22.08.2019 - 4 UF 86/17; OLG Hamm v. 20.06.2018 - 7 UF 213/17; OLG Hamm v. 20.06.2018 - 7 UF 213/17; OLG Ka v. 20.04.2021 - 5 UF 112/20; OLG Köln v. 02.10.2018 - 25 UF 34/18; OLG Nürnberg v. 18.12.2018 - 11 UF 815/18; OLG Schleswig v. 08.06.2020 - 15 UF 188/19; OLG Karlsruhe v. 16.10.2022 16 UF 109/22; OLG FfM v. 5.5.5022 - 4 UF 43/19.</t>
    </r>
  </si>
  <si>
    <t>Opel GmbH</t>
  </si>
  <si>
    <t>RK</t>
  </si>
  <si>
    <t>Alter in RK</t>
  </si>
  <si>
    <t>Biometriekorrektur zur RK</t>
  </si>
  <si>
    <t>KorrekturVVR</t>
  </si>
  <si>
    <t>Korrekturfaktor</t>
  </si>
  <si>
    <t>Barwert RK AusglBer</t>
  </si>
  <si>
    <t>Berechnung Barwert d. AusglPflg</t>
  </si>
  <si>
    <t>Invaliditätskorrektur</t>
  </si>
  <si>
    <t>Nebenleistungskorrektur AusglBer RK</t>
  </si>
  <si>
    <t>Hinterbliebenenkorrektur</t>
  </si>
  <si>
    <t>Nebenleistungen AusglPfl. RK</t>
  </si>
  <si>
    <t>Korrekturfaktor Nebenleistungen</t>
  </si>
  <si>
    <t>aufgezinster korrigierter Barwert</t>
  </si>
  <si>
    <t>=E_Kapital*WENN(E_AnwartschaftszeitABer&gt;0;(1+E_ReZins1)^(E_AnwartschaftszeitABer);1)*(E_ReZins1-E_ReTrend1))/(1-1/(1+(E_ReZins1-E_ReTrend1))^E_LXYAlterABer)/E_VVRAusglBer/12)/WENN(ODER(E_InvaliditätAusglBer;E_HinterbliebeneAusglBer);1)</t>
  </si>
  <si>
    <t>E_Kapital</t>
  </si>
  <si>
    <t>(1+E_ReZins1)^(E_AnwartschaftszeitABer)</t>
  </si>
  <si>
    <t>*(E_ReZins1-E_ReTrend1))/(1-1/(1+(E_ReZins1-E_ReTrend1))^E_LXYAlterABer)/E_VVRAusglBer/12)</t>
  </si>
  <si>
    <t>RK_VVRAglBer</t>
  </si>
  <si>
    <t>RK_VVRAglBer_Faktor</t>
  </si>
  <si>
    <t>Rechtskraftdatum:</t>
  </si>
  <si>
    <t>Zeitabstand EzE - Rechtskraft</t>
  </si>
  <si>
    <t>Anwartschaftszeit RK -Rente</t>
  </si>
  <si>
    <t>Lebenserwartung ab Renteneintritt</t>
  </si>
  <si>
    <t>Nebenleistung AusglBer Person im RK-Zeitpunkt</t>
  </si>
  <si>
    <t>Rentenerwartung ausglber. Person:</t>
  </si>
  <si>
    <r>
      <t xml:space="preserve">Wertteilhabe bei interner Teilung z.Zt. der RK </t>
    </r>
    <r>
      <rPr>
        <sz val="8"/>
        <color rgb="FF000000"/>
        <rFont val="Arial"/>
        <family val="2"/>
      </rPr>
      <t>(BGH XII ZB 443/14)</t>
    </r>
  </si>
  <si>
    <t>Beta-Version</t>
  </si>
  <si>
    <t>KoKa:</t>
  </si>
  <si>
    <r>
      <t xml:space="preserve">Zuschläge zum Barwert für 
</t>
    </r>
    <r>
      <rPr>
        <b/>
        <sz val="10"/>
        <color indexed="8"/>
        <rFont val="Calibri"/>
        <family val="2"/>
      </rPr>
      <t xml:space="preserve">Invaliditäts- und Hinterbliebenenversorgung </t>
    </r>
    <r>
      <rPr>
        <sz val="10"/>
        <color indexed="8"/>
        <rFont val="Arial"/>
        <family val="2"/>
      </rPr>
      <t xml:space="preserve">
- unisex -</t>
    </r>
  </si>
  <si>
    <t>Heidelberger Cement AG, Heidelberg</t>
  </si>
  <si>
    <r>
      <rPr>
        <b/>
        <i/>
        <sz val="10"/>
        <color theme="1"/>
        <rFont val="Arial"/>
        <family val="2"/>
      </rPr>
      <t>Kursiv =</t>
    </r>
    <r>
      <rPr>
        <sz val="10"/>
        <color theme="1"/>
        <rFont val="Arial"/>
        <family val="2"/>
      </rPr>
      <t xml:space="preserve"> Wert vom Programm errechnet</t>
    </r>
  </si>
  <si>
    <t>TO ist bezüglich der Haupt-Kritikpunkte nicht zu beanstanden.</t>
  </si>
  <si>
    <t>1. Stammdatenerfassungsbogen - Ausgleichswerte eingeben</t>
  </si>
  <si>
    <r>
      <t xml:space="preserve">6. Angaben aus den Auskünften zu betrieblichen und privaten Versorgungen </t>
    </r>
    <r>
      <rPr>
        <sz val="10"/>
        <color theme="1"/>
        <rFont val="Arial"/>
        <family val="2"/>
      </rPr>
      <t>(Prüfung: grün = nicht erforderlich; orange = ratsam; rot = erforderlich)</t>
    </r>
    <r>
      <rPr>
        <b/>
        <sz val="10"/>
        <color theme="1"/>
        <rFont val="Arial"/>
        <family val="2"/>
      </rPr>
      <t xml:space="preserve"> </t>
    </r>
  </si>
  <si>
    <t>7. AusglWerte betr. &amp; private Versorgungen
ehezeitl. Versorgungserwerb Ergebnisse</t>
  </si>
  <si>
    <t>8. Barwert-Vergleichbarkeit</t>
  </si>
  <si>
    <t>≈</t>
  </si>
  <si>
    <t>einer Betriebs- oder Privatrente aus Rente oder Kapital</t>
  </si>
  <si>
    <t>Berechnung des Kapital- oder Rentenwerts</t>
  </si>
  <si>
    <t>1. Beschäftigung von</t>
  </si>
  <si>
    <t>2. Beschäftigung bis</t>
  </si>
  <si>
    <r>
      <t>3. Teilzeit-Faktor</t>
    </r>
    <r>
      <rPr>
        <vertAlign val="superscript"/>
        <sz val="8"/>
        <color indexed="10"/>
        <rFont val="Arial"/>
        <family val="2"/>
      </rPr>
      <t>*)</t>
    </r>
  </si>
  <si>
    <t>4. Rechnen mit
TZ-Faktor</t>
  </si>
  <si>
    <t>6. in Ehezeit:</t>
  </si>
  <si>
    <t>11. Ehezeitanteil Rente / Forder.</t>
  </si>
  <si>
    <t>Rente im ReEintritt bei ADyn</t>
  </si>
  <si>
    <t>abgezinster BW im EzE</t>
  </si>
  <si>
    <t>BW incl. HRIR &amp; VVR im EzE</t>
  </si>
  <si>
    <t>historische Aktienkurse</t>
  </si>
  <si>
    <t>ERGO Pensionsfonds AG</t>
  </si>
  <si>
    <t>Nach § 3 Ziff. 6 ist die Verzinsung des AusglW zwischen EzE und RK ausdrücklich vom Gerichtanzuordnen.</t>
  </si>
  <si>
    <t>ERGO Lebensversicherung AG</t>
  </si>
  <si>
    <t>PV-Beitragssatz</t>
  </si>
  <si>
    <t>BBG Monat</t>
  </si>
  <si>
    <t>BBG Jahr</t>
  </si>
  <si>
    <t>KV-Beitragssatz</t>
  </si>
  <si>
    <t>Kinder</t>
  </si>
  <si>
    <t>kinderlos_Zu</t>
  </si>
  <si>
    <t>aktiviert</t>
  </si>
  <si>
    <t>Informationen zur Programmbedienung sVA</t>
  </si>
  <si>
    <t>Tabelle9a</t>
  </si>
  <si>
    <t>Victoria LV AG</t>
  </si>
  <si>
    <t>Frankfurt Münchener Lebensversicherung AG</t>
  </si>
  <si>
    <t>15.7.2017?</t>
  </si>
  <si>
    <t>InterRisk Lebensversicherungs AG Vienna Insurance Group</t>
  </si>
  <si>
    <t>TO sieht in Ziff. 6 die Befolgung einer abweichenden Tenorierung des FamG vor.</t>
  </si>
  <si>
    <t>Gesamthöhe monatl. Rente</t>
  </si>
  <si>
    <t>ehezeitlich?
&lt; 100% ?</t>
  </si>
  <si>
    <t>Versorgungsbezeichnung
eingeben</t>
  </si>
  <si>
    <t>sonst. sozverspfl. Alterseinkommen:</t>
  </si>
  <si>
    <t>Ehezeitanteil in % kann i.d.R. aus dem Scheidungsbeschluss ausgelesen werden</t>
  </si>
  <si>
    <t>SVA_Höchst3b</t>
  </si>
  <si>
    <t>Anteil an Summe bAV Einkommen</t>
  </si>
  <si>
    <t>Landesbank Berlin</t>
  </si>
  <si>
    <t>Nach Ziff. 6 der TO (letzter Absatz) wird die Versorgung z.G. der ausglber. Person "ab dem Tag der Bekanntgabe der Entscheidung des FamG über den Versorgungsausgleich" begründet.</t>
  </si>
  <si>
    <t>BVV, Banken Versicherungs Verein</t>
  </si>
  <si>
    <r>
      <rPr>
        <b/>
        <sz val="11"/>
        <color theme="1"/>
        <rFont val="Calibri"/>
        <family val="2"/>
        <scheme val="minor"/>
      </rPr>
      <t>4. ehezeitl. Altersrente in € zu 1/2</t>
    </r>
    <r>
      <rPr>
        <sz val="11"/>
        <color theme="1"/>
        <rFont val="Calibri"/>
        <family val="2"/>
        <scheme val="minor"/>
      </rPr>
      <t xml:space="preserve">
(Ausglwert) als Monatsrente</t>
    </r>
  </si>
  <si>
    <t>5. 
vom VT mitgeteilter Ausgleichs-wert (Kapital)</t>
  </si>
  <si>
    <t>Generali Pensionsfonds AG</t>
  </si>
  <si>
    <t>IV</t>
  </si>
  <si>
    <t>9. KoKa*) (KoKa &lt;&gt;Bartwert)</t>
  </si>
  <si>
    <t>VPIMaxalt</t>
  </si>
  <si>
    <t>E_Volldynamik</t>
  </si>
  <si>
    <t>KoKa-Differenz</t>
  </si>
  <si>
    <t>AusgleichDRV</t>
  </si>
  <si>
    <r>
      <t xml:space="preserve">ehezeitlicher </t>
    </r>
    <r>
      <rPr>
        <b/>
        <sz val="11"/>
        <color theme="1"/>
        <rFont val="Arial"/>
        <family val="2"/>
      </rPr>
      <t>Versorgungserwerb</t>
    </r>
    <r>
      <rPr>
        <sz val="11"/>
        <color theme="1"/>
        <rFont val="Arial"/>
        <family val="2"/>
      </rPr>
      <t xml:space="preserve"> alt/neu</t>
    </r>
  </si>
  <si>
    <t>Abänderungsdimension bezogen auf das Berechnungsdatum:</t>
  </si>
  <si>
    <t>Beitragskosten für
1 Euro Rente</t>
  </si>
  <si>
    <t>Ø-Entgelt ges. Renten-versicherung § 69 II SGB VI</t>
  </si>
  <si>
    <t>Beitragsbem.Grenze gRV § 159 SGB VI</t>
  </si>
  <si>
    <t>Sonstige Versorgung</t>
  </si>
  <si>
    <t>Barwertfaktor 5,5%</t>
  </si>
  <si>
    <t>Fälligkeit in Jahren</t>
  </si>
  <si>
    <t>Betrag</t>
  </si>
  <si>
    <t>Geschlecht des Berechtigten: m / f / d</t>
  </si>
  <si>
    <t>Barwert nach § 12 BewG (Rechnungszins 5,5%):</t>
  </si>
  <si>
    <r>
      <rPr>
        <b/>
        <sz val="11"/>
        <color theme="1"/>
        <rFont val="Calibri"/>
        <family val="2"/>
        <scheme val="minor"/>
      </rPr>
      <t>10. Rententrend</t>
    </r>
    <r>
      <rPr>
        <sz val="11"/>
        <color theme="1"/>
        <rFont val="Calibri"/>
        <family val="2"/>
        <scheme val="minor"/>
      </rPr>
      <t xml:space="preserve"> in % </t>
    </r>
    <r>
      <rPr>
        <sz val="8"/>
        <color theme="1"/>
        <rFont val="Calibri"/>
        <family val="2"/>
        <scheme val="minor"/>
      </rPr>
      <t>BGH XII ZB 408/13</t>
    </r>
  </si>
  <si>
    <t>Geschlecht d. ausgleichspflichtigen Person (m/w/d)</t>
  </si>
  <si>
    <t>Netto-Versorgung</t>
  </si>
  <si>
    <t>∑ Barwertfaktoren</t>
  </si>
  <si>
    <t>Anwartschafts-zeit</t>
  </si>
  <si>
    <t>VVR BerZtpkt</t>
  </si>
  <si>
    <t>VVR Rente</t>
  </si>
  <si>
    <t>BW Abfindungszpkt.</t>
  </si>
  <si>
    <t xml:space="preserve">Barwertfaktor Heubeck 2018 </t>
  </si>
  <si>
    <t>Bezeichnung</t>
  </si>
  <si>
    <t>Seite</t>
  </si>
  <si>
    <t>axaw</t>
  </si>
  <si>
    <t>Invalid.V</t>
  </si>
  <si>
    <t>Hinterbl.V</t>
  </si>
  <si>
    <t>Berzpkt-10J</t>
  </si>
  <si>
    <t>VPI Berzpkt-10</t>
  </si>
  <si>
    <t>Inflation(10)</t>
  </si>
  <si>
    <t>AR+IR</t>
  </si>
  <si>
    <t>Leistungszeit bis Abfindung</t>
  </si>
  <si>
    <t>Vers.-technisches Alter EzE</t>
  </si>
  <si>
    <t>∑=</t>
  </si>
  <si>
    <t>Barwertfaktor Heubeck 2018-G Invaliditätsabsicherung</t>
  </si>
  <si>
    <t>Barwertfaktor Heubeck 2018-G Altersabsicherung</t>
  </si>
  <si>
    <t>Barwertfaktor Heubeck 2018-G Hinterbliebenenabsicherung</t>
  </si>
  <si>
    <t>Alters-R</t>
  </si>
  <si>
    <t>Invalid-R</t>
  </si>
  <si>
    <t>Witw.-R</t>
  </si>
  <si>
    <t>AusglBer</t>
  </si>
  <si>
    <t>AusglPfl</t>
  </si>
  <si>
    <t>Rente bei Renteneintritt</t>
  </si>
  <si>
    <t>Barwertfaktor Heubeck 2018</t>
  </si>
  <si>
    <t>Rentenerwerb bei Abfindung:</t>
  </si>
  <si>
    <t>**) vgl Hauß, FamRB 2023, 37</t>
  </si>
  <si>
    <t>Verbesserungsvorschläge und Fehlermeldungen nehme ich gern entgegen. Ebenso, wenn die Komplexität der Berechnung ihren praktischen Nutzen fragwürdig erscheinen lässt.</t>
  </si>
  <si>
    <t>Der Autor haftet nicht für die Ergebnisse der mit dieser Rechenhilfe gefundenen Ergebnisse!</t>
  </si>
  <si>
    <t>ZielV AusglBer</t>
  </si>
  <si>
    <t>ZielV AusglPfl.</t>
  </si>
  <si>
    <t>ReEintritt DRV Ausglpfl</t>
  </si>
  <si>
    <t>VPI BerZtpkt</t>
  </si>
  <si>
    <t>SexAusglPfl</t>
  </si>
  <si>
    <t>SexAusglBer</t>
  </si>
  <si>
    <t>Liste Sex</t>
  </si>
  <si>
    <t>Berechnung Barwertfaktoren Hauß</t>
  </si>
  <si>
    <t>Rerechnung AusglBer in ZV</t>
  </si>
  <si>
    <t>BerzZpkt</t>
  </si>
  <si>
    <t>BerZtpkt</t>
  </si>
  <si>
    <t>BW Q-Versorg Hauß</t>
  </si>
  <si>
    <t>Adäquanz_DRVRenteneintritt</t>
  </si>
  <si>
    <t>5  b)</t>
  </si>
  <si>
    <t>./. Kranken- und Pflegeversicherung:</t>
  </si>
  <si>
    <t>Geburtstag der ausglber. Person</t>
  </si>
  <si>
    <t>anderes Rentenalter d. ausglber. Person :</t>
  </si>
  <si>
    <t>Leistungsdynamik in %:</t>
  </si>
  <si>
    <t>Invaliditätsversorgung in %:</t>
  </si>
  <si>
    <t>Umrechnungsfaktor</t>
  </si>
  <si>
    <t>Hinterbl.Versorg. in :</t>
  </si>
  <si>
    <t>Volldynamik in %:</t>
  </si>
  <si>
    <t>Leistungsmerkmale der abzufindenden Versorgung</t>
  </si>
  <si>
    <t>AboderAufzinsung</t>
  </si>
  <si>
    <t xml:space="preserve">Witwenrente </t>
  </si>
  <si>
    <t xml:space="preserve"> axaw</t>
  </si>
  <si>
    <r>
      <rPr>
        <b/>
        <sz val="11"/>
        <color theme="1"/>
        <rFont val="Arial"/>
        <family val="2"/>
      </rPr>
      <t>Renteneintrittsalteralter</t>
    </r>
    <r>
      <rPr>
        <sz val="11"/>
        <color theme="1"/>
        <rFont val="Arial"/>
        <family val="2"/>
      </rPr>
      <t xml:space="preserve"> d. auszugleichenden Versorgung  ggfls. als Dezimalwert:</t>
    </r>
  </si>
  <si>
    <r>
      <rPr>
        <b/>
        <sz val="11"/>
        <color theme="1"/>
        <rFont val="Arial"/>
        <family val="2"/>
      </rPr>
      <t>Invaliditätsabsicherung</t>
    </r>
    <r>
      <rPr>
        <sz val="11"/>
        <color theme="1"/>
        <rFont val="Arial"/>
        <family val="2"/>
      </rPr>
      <t xml:space="preserve"> der auszugleichenden Versorgung in % der Altersrente</t>
    </r>
  </si>
  <si>
    <r>
      <rPr>
        <b/>
        <sz val="11"/>
        <color theme="1"/>
        <rFont val="Arial"/>
        <family val="2"/>
      </rPr>
      <t>Hinterbliebenenversorgung</t>
    </r>
    <r>
      <rPr>
        <sz val="11"/>
        <color theme="1"/>
        <rFont val="Arial"/>
        <family val="2"/>
      </rPr>
      <t xml:space="preserve"> in % der Altersrente (meist 60%)</t>
    </r>
  </si>
  <si>
    <r>
      <rPr>
        <b/>
        <sz val="11"/>
        <color theme="1"/>
        <rFont val="Arial"/>
        <family val="2"/>
      </rPr>
      <t>Leistungsdynamik</t>
    </r>
    <r>
      <rPr>
        <sz val="11"/>
        <color theme="1"/>
        <rFont val="Arial"/>
        <family val="2"/>
      </rPr>
      <t xml:space="preserve"> (mind. 1% bei betrieblichen Anrechten, § 16 BetrAVG)</t>
    </r>
  </si>
  <si>
    <r>
      <t xml:space="preserve">Ausgleichswert im EzE (= 1/2 des ehezeitlich erworbenen </t>
    </r>
    <r>
      <rPr>
        <b/>
        <u/>
        <sz val="12"/>
        <color theme="1"/>
        <rFont val="Arial"/>
        <family val="2"/>
      </rPr>
      <t>Renten</t>
    </r>
    <r>
      <rPr>
        <b/>
        <sz val="12"/>
        <color theme="1"/>
        <rFont val="Arial"/>
        <family val="2"/>
      </rPr>
      <t>anspruchs)</t>
    </r>
  </si>
  <si>
    <t>ZielVAusglberAlternativ</t>
  </si>
  <si>
    <t>ZVAusglBerAlternativ</t>
  </si>
  <si>
    <t>QV-Ertrag:</t>
  </si>
  <si>
    <t>Umrechnung</t>
  </si>
  <si>
    <t>Alter:</t>
  </si>
  <si>
    <t>Verrentung v. Kapital</t>
  </si>
  <si>
    <t>Kohorte Berechnung</t>
  </si>
  <si>
    <t>Geburtstag:</t>
  </si>
  <si>
    <t>Aufzinsungsmethode</t>
  </si>
  <si>
    <t>aufgezinster BW</t>
  </si>
  <si>
    <t>ReZins EzE</t>
  </si>
  <si>
    <t>Ufaktor</t>
  </si>
  <si>
    <t>Alters- &amp; Invalid.V</t>
  </si>
  <si>
    <t>aktRW:</t>
  </si>
  <si>
    <t>ZV-Ertrag:</t>
  </si>
  <si>
    <r>
      <rPr>
        <b/>
        <sz val="11"/>
        <color theme="1"/>
        <rFont val="Arial"/>
        <family val="2"/>
      </rPr>
      <t>Geschlecht</t>
    </r>
    <r>
      <rPr>
        <sz val="11"/>
        <color theme="1"/>
        <rFont val="Arial"/>
        <family val="2"/>
      </rPr>
      <t xml:space="preserve"> der ausglber. Persin (m/w/d)</t>
    </r>
  </si>
  <si>
    <t>Anwartschaftsdynamik in %:</t>
  </si>
  <si>
    <t>Summe der Rentenzahlungen In QV</t>
  </si>
  <si>
    <t>Hauß:</t>
  </si>
  <si>
    <t>Heubeck:</t>
  </si>
  <si>
    <t>HR- und IR berücksichtigen</t>
  </si>
  <si>
    <t>Maßgeblicher Barwert für ZV-Berechnung</t>
  </si>
  <si>
    <t>Hauß</t>
  </si>
  <si>
    <r>
      <rPr>
        <b/>
        <sz val="11"/>
        <color theme="1"/>
        <rFont val="Arial"/>
        <family val="2"/>
      </rPr>
      <t>Renteneintrittsalteralter</t>
    </r>
    <r>
      <rPr>
        <sz val="11"/>
        <color theme="1"/>
        <rFont val="Arial"/>
        <family val="2"/>
      </rPr>
      <t xml:space="preserve"> falls abweichend vom Regelrentenalter eingeben:</t>
    </r>
  </si>
  <si>
    <t>Abfindungsbetrag (Zeile 24/25):</t>
  </si>
  <si>
    <t>(((1+J12)^V33-1)/J12)*J15*(1+J11)^W33*12)/WENN(Abf_HRIR_Ja;(1+Z33+AA33);1</t>
  </si>
  <si>
    <r>
      <t>Berechnung des schuldrechtlichen Ausgleichs einer</t>
    </r>
    <r>
      <rPr>
        <b/>
        <sz val="14"/>
        <color rgb="FFFF0000"/>
        <rFont val="Arial"/>
        <family val="2"/>
      </rPr>
      <t xml:space="preserve"> </t>
    </r>
    <r>
      <rPr>
        <b/>
        <u/>
        <sz val="14"/>
        <color rgb="FFFF0000"/>
        <rFont val="Arial"/>
        <family val="2"/>
      </rPr>
      <t>Kapitalzahlung</t>
    </r>
    <r>
      <rPr>
        <b/>
        <sz val="14"/>
        <color theme="1"/>
        <rFont val="Arial"/>
        <family val="2"/>
      </rPr>
      <t xml:space="preserve"> nach § 22 VersAusglG</t>
    </r>
  </si>
  <si>
    <t>Berechnungsdatum:</t>
  </si>
  <si>
    <t>volle Kapitalzahlung:</t>
  </si>
  <si>
    <r>
      <t xml:space="preserve">Berechnung des auf das Kapital entfallenden Freibetragsanteils 
</t>
    </r>
    <r>
      <rPr>
        <b/>
        <sz val="11"/>
        <color rgb="FF0066FF"/>
        <rFont val="Arial"/>
        <family val="2"/>
      </rPr>
      <t>§ 228 I SGB V</t>
    </r>
  </si>
  <si>
    <t>monatl. Beitragsbem.Grenze:</t>
  </si>
  <si>
    <t>sVA_Geschlecht</t>
  </si>
  <si>
    <r>
      <rPr>
        <b/>
        <sz val="11"/>
        <color theme="1"/>
        <rFont val="Wingdings 3"/>
        <family val="1"/>
        <charset val="2"/>
      </rPr>
      <t>ÚÚ</t>
    </r>
    <r>
      <rPr>
        <b/>
        <sz val="11"/>
        <color theme="1"/>
        <rFont val="Arial"/>
        <family val="2"/>
      </rPr>
      <t xml:space="preserve">Jahresbetrag </t>
    </r>
    <r>
      <rPr>
        <b/>
        <sz val="11"/>
        <color theme="1"/>
        <rFont val="Wingdings 3"/>
        <family val="1"/>
        <charset val="2"/>
      </rPr>
      <t>ÚÚ</t>
    </r>
  </si>
  <si>
    <t>Überlebende im Alter</t>
  </si>
  <si>
    <t>Barwert der SozBeitrags bei VVR</t>
  </si>
  <si>
    <t>Barwert d. Sozialversicherungsbeitrags, der bei der Teilhabe an der Kapitalzahlung zu berücksichtigen ist:</t>
  </si>
  <si>
    <t>O_BewG</t>
  </si>
  <si>
    <t>mehr als 101</t>
  </si>
  <si>
    <t>Geburtsjahr Ausgleichspfl :</t>
  </si>
  <si>
    <t>Geschlecht (m/w/d):</t>
  </si>
  <si>
    <t>monatl. priv. KV- &amp; PV-Beiträge:</t>
  </si>
  <si>
    <t>Der Autor übernimmt keine Haftung für die gefundenen Ergebnisse. Korrekturvorschläge, Lob &amp; Tadel an RA Jörn Hauß, Hauss@anwaelte-du.de</t>
  </si>
  <si>
    <t>weiblich</t>
  </si>
  <si>
    <t>männlich</t>
  </si>
  <si>
    <t>Summenzeichen</t>
  </si>
  <si>
    <t>Fahrrad</t>
  </si>
  <si>
    <t>Haus</t>
  </si>
  <si>
    <t>entspricht</t>
  </si>
  <si>
    <t>ungefähr</t>
  </si>
  <si>
    <t>⚩</t>
  </si>
  <si>
    <t>Delta</t>
  </si>
  <si>
    <t>Δ</t>
  </si>
  <si>
    <t>PfeilUnten, oben. Rechts, links</t>
  </si>
  <si>
    <t>Durchschnitt</t>
  </si>
  <si>
    <t></t>
  </si>
  <si>
    <t>↑</t>
  </si>
  <si>
    <t>→</t>
  </si>
  <si>
    <t>←</t>
  </si>
  <si>
    <t>Justitia</t>
  </si>
  <si>
    <t>BW bei Abfindung</t>
  </si>
  <si>
    <t>Aufzinsungszeit</t>
  </si>
  <si>
    <t>BW EzE</t>
  </si>
  <si>
    <t>VRR EzE</t>
  </si>
  <si>
    <t>Aufzinsungszeit bis Abfindung</t>
  </si>
  <si>
    <t>VRR Rente</t>
  </si>
  <si>
    <t>VRR</t>
  </si>
  <si>
    <t>Aufzinsunf AusglW EzE bis Abfindung</t>
  </si>
  <si>
    <t>VRR Abfindung</t>
  </si>
  <si>
    <t>EP bei Abfindung</t>
  </si>
  <si>
    <t xml:space="preserve"> DRV-Rente bei BerZtpkt</t>
  </si>
  <si>
    <t>Netto-Versorgung im Abfindungszeitpunktggfls. Selsbt eingeben:</t>
  </si>
  <si>
    <r>
      <rPr>
        <b/>
        <sz val="14"/>
        <color theme="1"/>
        <rFont val="Arial"/>
        <family val="2"/>
      </rPr>
      <t>A. Abfindung schuldrechtlich auszugleichender Versorgungen</t>
    </r>
    <r>
      <rPr>
        <b/>
        <sz val="16"/>
        <color theme="1"/>
        <rFont val="Arial"/>
        <family val="2"/>
      </rPr>
      <t xml:space="preserve">
</t>
    </r>
    <r>
      <rPr>
        <b/>
        <sz val="14"/>
        <color theme="1"/>
        <rFont val="Arial"/>
        <family val="2"/>
      </rPr>
      <t xml:space="preserve"> </t>
    </r>
    <r>
      <rPr>
        <b/>
        <sz val="11"/>
        <color theme="1"/>
        <rFont val="Arial"/>
        <family val="2"/>
      </rPr>
      <t>§§ 23, 24 VersAusglG</t>
    </r>
  </si>
  <si>
    <t>C. Parameter der Zielversorgung:</t>
  </si>
  <si>
    <t>Versterbensrisiko zwischen Abfindungszeitpunkt und Renteneintritt:</t>
  </si>
  <si>
    <t>Abfindungsbetrag</t>
  </si>
  <si>
    <t>Anwender können statt des vom Programm errechneten, einen anderen Abfindungsbetrag in das weiße Feld eingeben:</t>
  </si>
  <si>
    <t>alternat. Betrag</t>
  </si>
  <si>
    <t>E. Aufzinsungsmethode</t>
  </si>
  <si>
    <r>
      <rPr>
        <b/>
        <sz val="11"/>
        <color theme="1"/>
        <rFont val="Calibri"/>
        <family val="2"/>
        <scheme val="minor"/>
      </rPr>
      <t>Hinweise zur Ausfüllung:</t>
    </r>
    <r>
      <rPr>
        <b/>
        <sz val="10"/>
        <color theme="1"/>
        <rFont val="Calibri"/>
        <family val="2"/>
        <scheme val="minor"/>
      </rPr>
      <t xml:space="preserve"> </t>
    </r>
    <r>
      <rPr>
        <sz val="10"/>
        <color theme="1"/>
        <rFont val="Calibri"/>
        <family val="2"/>
        <scheme val="minor"/>
      </rPr>
      <t xml:space="preserve">Das Programm erledigt sehr komplexe Berechnungen, weshalb die Eingabe einiger Daten unerlässlich ist. Die </t>
    </r>
    <r>
      <rPr>
        <b/>
        <sz val="10"/>
        <color theme="1"/>
        <rFont val="Calibri"/>
        <family val="2"/>
        <scheme val="minor"/>
      </rPr>
      <t>gelb hinterlegten Felde</t>
    </r>
    <r>
      <rPr>
        <sz val="10"/>
        <color theme="1"/>
        <rFont val="Calibri"/>
        <family val="2"/>
        <scheme val="minor"/>
      </rPr>
      <t xml:space="preserve">r müssen ausgefüllt werden, ansonsten sind Berechnunen nicht möglich.
Sind die Stammdaten im </t>
    </r>
    <r>
      <rPr>
        <b/>
        <sz val="10"/>
        <color theme="1"/>
        <rFont val="Calibri"/>
        <family val="2"/>
        <scheme val="minor"/>
      </rPr>
      <t>Blatt "Fallerfassung"</t>
    </r>
    <r>
      <rPr>
        <sz val="10"/>
        <color theme="1"/>
        <rFont val="Calibri"/>
        <family val="2"/>
        <scheme val="minor"/>
      </rPr>
      <t xml:space="preserve"> bereits erfasst, werden sie links neben dem Eingabefeld angezeigt, können aber durch Eingaben im weissen Feld überschrieben werden.</t>
    </r>
  </si>
  <si>
    <t>♂☻♀☺♀</t>
  </si>
  <si>
    <t>ó</t>
  </si>
  <si>
    <t>Zur Erreichung von Rentengleichheit wäre die Abfindungssumme (Zeile 26) zu korrigieren auf:</t>
  </si>
  <si>
    <r>
      <rPr>
        <b/>
        <sz val="12"/>
        <color rgb="FFFF0000"/>
        <rFont val="Wingdings 3"/>
        <family val="1"/>
        <charset val="2"/>
      </rPr>
      <t>ä</t>
    </r>
    <r>
      <rPr>
        <b/>
        <sz val="12"/>
        <color theme="1"/>
        <rFont val="Arial"/>
        <family val="1"/>
        <charset val="2"/>
      </rPr>
      <t>= Barwert &lt;90%;</t>
    </r>
    <r>
      <rPr>
        <b/>
        <sz val="12"/>
        <color rgb="FFFFC000"/>
        <rFont val="Wingdings 3"/>
        <family val="1"/>
        <charset val="2"/>
      </rPr>
      <t>â</t>
    </r>
    <r>
      <rPr>
        <b/>
        <sz val="12"/>
        <color theme="1"/>
        <rFont val="Arial"/>
        <family val="1"/>
        <charset val="2"/>
      </rPr>
      <t xml:space="preserve">= BW&gt;=90%, &lt;= 110%; </t>
    </r>
    <r>
      <rPr>
        <b/>
        <sz val="12"/>
        <color rgb="FF92D050"/>
        <rFont val="Wingdings 3"/>
        <family val="1"/>
        <charset val="2"/>
      </rPr>
      <t>ã</t>
    </r>
    <r>
      <rPr>
        <b/>
        <sz val="12"/>
        <color theme="1"/>
        <rFont val="Arial"/>
        <family val="1"/>
        <charset val="2"/>
      </rPr>
      <t xml:space="preserve"> = BW &gt; 110% d. Abfindung</t>
    </r>
  </si>
  <si>
    <r>
      <rPr>
        <sz val="11"/>
        <color rgb="FFFF0000"/>
        <rFont val="Wingdings 3"/>
        <family val="1"/>
        <charset val="2"/>
      </rPr>
      <t>ä</t>
    </r>
    <r>
      <rPr>
        <sz val="11"/>
        <color theme="1"/>
        <rFont val="Arial"/>
        <family val="2"/>
      </rPr>
      <t>= Barwert &lt;90%;</t>
    </r>
    <r>
      <rPr>
        <sz val="11"/>
        <color rgb="FFFFC000"/>
        <rFont val="Wingdings 3"/>
        <family val="1"/>
        <charset val="2"/>
      </rPr>
      <t>â</t>
    </r>
    <r>
      <rPr>
        <sz val="11"/>
        <color theme="1"/>
        <rFont val="Arial"/>
        <family val="2"/>
      </rPr>
      <t xml:space="preserve">= BW&gt;=90%, &lt;= 110%; </t>
    </r>
    <r>
      <rPr>
        <sz val="11"/>
        <color rgb="FF00B050"/>
        <rFont val="Wingdings 3"/>
        <family val="1"/>
        <charset val="2"/>
      </rPr>
      <t>ã</t>
    </r>
    <r>
      <rPr>
        <sz val="11"/>
        <color theme="1"/>
        <rFont val="Arial"/>
        <family val="2"/>
      </rPr>
      <t xml:space="preserve"> = BW &gt; 110% d. Abfindung (BvL 5/18)</t>
    </r>
  </si>
  <si>
    <t>Zur Erreichen von Rentengleichheit (B. Z.27) zu leistende Abfindung:</t>
  </si>
  <si>
    <t>BW des Vers.anspruchs am EzE bei ReZins</t>
  </si>
  <si>
    <t>alternativen Zins eingeben:</t>
  </si>
  <si>
    <t>Kohorte Rente</t>
  </si>
  <si>
    <r>
      <rPr>
        <sz val="10"/>
        <color theme="1"/>
        <rFont val="Calibri"/>
        <family val="2"/>
      </rPr>
      <t>Δ</t>
    </r>
    <r>
      <rPr>
        <sz val="10"/>
        <color theme="1"/>
        <rFont val="Calibri"/>
        <family val="2"/>
        <scheme val="minor"/>
      </rPr>
      <t xml:space="preserve"> d. mitgeteilen vom  errechneten KapWert in %</t>
    </r>
  </si>
  <si>
    <r>
      <t xml:space="preserve">Die im Programm vorgenommene Vergleichsberechnung anhand der </t>
    </r>
    <r>
      <rPr>
        <b/>
        <sz val="10.5"/>
        <color theme="1"/>
        <rFont val="Calibri"/>
        <family val="2"/>
        <scheme val="minor"/>
      </rPr>
      <t xml:space="preserve">Summe erwartbarer Rentenzuflüsse </t>
    </r>
    <r>
      <rPr>
        <sz val="10.5"/>
        <color theme="1"/>
        <rFont val="Calibri"/>
        <family val="2"/>
        <scheme val="minor"/>
      </rPr>
      <t>blendet den Wert von Invaliditäts- und Hinterbliebenenversorgung aus. Sie stellt aber für die Betroffenen eine fast 'haptisch' begreifbare Vergleichsgrundlage dar, weswegen sie auch angeboten wird.</t>
    </r>
  </si>
  <si>
    <t>Ob bei Abfindung einer Versorgung in der Zielversorgung ein angemessenes Versorgungsniveau erzielt wird, kann eigentlich nur auf der Ebene des Vergleichs der mittels der gleichen biometrischen Parameter (Sterbe- Invalidisierungs- und Hinterbliebenenwahrscheinlichkeit) errechneten Barwerte beurteilt werden.</t>
  </si>
  <si>
    <t>alternative Abfindung zu Zeile 26:</t>
  </si>
  <si>
    <t>Hinweise zum Barwert-bzw Rentenzuflussvergleich:</t>
  </si>
  <si>
    <t>AWzeit bis Abfindung</t>
  </si>
  <si>
    <t>LPV Lebensversicherung AG PBV-Bestandssegment</t>
  </si>
  <si>
    <t>5. Abs. 3 5.SpStr</t>
  </si>
  <si>
    <t>LPV Lebensversicherung AG PBV-Bestandssegment, Bestandssystem Köln</t>
  </si>
  <si>
    <t>Zustimmung zur externenTeilung beim Zielversorgungsträger</t>
  </si>
  <si>
    <t>interne Teilung</t>
  </si>
  <si>
    <t>Monierung der Teilungsordnung</t>
  </si>
  <si>
    <t>Schriftsatz</t>
  </si>
  <si>
    <t>Schreiben</t>
  </si>
  <si>
    <t>exerne Teilung</t>
  </si>
  <si>
    <t>Aufforderung zur Auskunft</t>
  </si>
  <si>
    <t>Aufforderung zur Abfindung</t>
  </si>
  <si>
    <t>Aufforderung zur Zahlung und Abtretung</t>
  </si>
  <si>
    <t>Antrag Auskunft und Zahlung</t>
  </si>
  <si>
    <t>Erwiderung auf Zahlung, SozAbgaben</t>
  </si>
  <si>
    <t>Ausgleichsberechtigte Person</t>
  </si>
  <si>
    <t>Ausgleichspflichtige Person</t>
  </si>
  <si>
    <t>Anteilige Berücksichtigung &amp; Freibeträge</t>
  </si>
  <si>
    <t>Antrag auf Abfindung</t>
  </si>
  <si>
    <t>./. Sozialabgaben</t>
  </si>
  <si>
    <t>./. Steuern</t>
  </si>
  <si>
    <t>./. Nichtberücksichtigung der HR</t>
  </si>
  <si>
    <t>Reduktion des Ausgleichsbetrages wg. Transfergewinn</t>
  </si>
  <si>
    <t>Aufstockung der Abfindung wg. Transferverlust</t>
  </si>
  <si>
    <t>Informationsschreiben an Mdt. wg. § 25 II</t>
  </si>
  <si>
    <t>Leistungsunfähigkeitseinwand</t>
  </si>
  <si>
    <t>Berechnung der Abfindung</t>
  </si>
  <si>
    <t>Monierung der Nachvollziehbarkeit der Berechnun des AusglWerts</t>
  </si>
  <si>
    <t xml:space="preserve">Schriftsatz </t>
  </si>
  <si>
    <t>Abänderung</t>
  </si>
  <si>
    <t>Antrag § 51</t>
  </si>
  <si>
    <t>KEEZ</t>
  </si>
  <si>
    <t>Nachversicherungsfälle</t>
  </si>
  <si>
    <t>Teilhabe an Hinterbliebenenversorgung</t>
  </si>
  <si>
    <t>Antrag</t>
  </si>
  <si>
    <t>Dienstzeitverlängerung (Beamte)</t>
  </si>
  <si>
    <t>Ruhegehaltsabsenkung</t>
  </si>
  <si>
    <t>Unterhalt</t>
  </si>
  <si>
    <t>besondere Altersgrenze</t>
  </si>
  <si>
    <t>Berechnung der Summe erwartbarer Altersrentenzahlungen</t>
  </si>
  <si>
    <t>Summe aller Altersrentenzahlungen (Rentenvolumen) = {[(1 + Leistungsdynamik)^Leistungszeit - 1] / Leistungsdynamik} x Rente im Renteneintritt x 12</t>
  </si>
  <si>
    <t>Dies&amp;Das VVR</t>
  </si>
  <si>
    <r>
      <rPr>
        <b/>
        <sz val="11"/>
        <color theme="1"/>
        <rFont val="Calibri"/>
        <family val="2"/>
        <scheme val="minor"/>
      </rPr>
      <t xml:space="preserve">11. </t>
    </r>
    <r>
      <rPr>
        <sz val="11"/>
        <color theme="1"/>
        <rFont val="Calibri"/>
        <family val="2"/>
        <scheme val="minor"/>
      </rPr>
      <t xml:space="preserve">Teilung: </t>
    </r>
    <r>
      <rPr>
        <b/>
        <sz val="11"/>
        <color theme="1"/>
        <rFont val="Calibri"/>
        <family val="2"/>
        <scheme val="minor"/>
      </rPr>
      <t>"i"</t>
    </r>
    <r>
      <rPr>
        <sz val="11"/>
        <color theme="1"/>
        <rFont val="Calibri"/>
        <family val="2"/>
        <scheme val="minor"/>
      </rPr>
      <t xml:space="preserve">, </t>
    </r>
    <r>
      <rPr>
        <b/>
        <sz val="11"/>
        <color theme="1"/>
        <rFont val="Calibri"/>
        <family val="2"/>
        <scheme val="minor"/>
      </rPr>
      <t>"e", "sVA",  "x"</t>
    </r>
    <r>
      <rPr>
        <sz val="11"/>
        <color theme="1"/>
        <rFont val="Calibri"/>
        <family val="2"/>
        <scheme val="minor"/>
      </rPr>
      <t xml:space="preserve">
</t>
    </r>
    <r>
      <rPr>
        <sz val="8"/>
        <color rgb="FFFFC000"/>
        <rFont val="Wingdings 2"/>
        <family val="1"/>
        <charset val="2"/>
      </rPr>
      <t>¢</t>
    </r>
    <r>
      <rPr>
        <sz val="8"/>
        <color theme="1"/>
        <rFont val="Calibri"/>
        <family val="2"/>
        <scheme val="minor"/>
      </rPr>
      <t xml:space="preserve"> = § 14 I Nr.2</t>
    </r>
  </si>
  <si>
    <t>10. volles Ruhegehalt</t>
  </si>
  <si>
    <t>11. Ehezeitanteil</t>
  </si>
  <si>
    <t>DuD_RAltersgr1</t>
  </si>
  <si>
    <t>DuD_RAltersgr2</t>
  </si>
  <si>
    <r>
      <t>Eigeneingabe</t>
    </r>
    <r>
      <rPr>
        <sz val="11"/>
        <color theme="1"/>
        <rFont val="Calibri"/>
        <family val="2"/>
      </rPr>
      <t>→</t>
    </r>
  </si>
  <si>
    <t>(10) Summe der Altersrenten</t>
  </si>
  <si>
    <t>HanseMerkur Lebensversicherung AG</t>
  </si>
  <si>
    <t xml:space="preserve">Münchener Rückversicherungs-Gesellschaft AG </t>
  </si>
  <si>
    <t>Bei Leistungen aus einem Rückdeckungsvertrag erfolgt Tarifwechsel zum Neuvertrag der ausglber. Person</t>
  </si>
  <si>
    <t xml:space="preserve">Kinder:  </t>
  </si>
  <si>
    <t>Bei Fondsversorgungen lediglich Tarifwechsel rügen und Wertteilhabe einfordern.</t>
  </si>
  <si>
    <t>KV- &amp; PV-Beitrag</t>
  </si>
  <si>
    <t>∑ Einkommen</t>
  </si>
  <si>
    <r>
      <t>SV-Abzug (§ 20 Abs. 1 S. 2 VersAusglG)</t>
    </r>
    <r>
      <rPr>
        <sz val="11"/>
        <color theme="1"/>
        <rFont val="Calibri"/>
        <family val="2"/>
        <scheme val="minor"/>
      </rPr>
      <t xml:space="preserve"> alternative Dateneingabe</t>
    </r>
  </si>
  <si>
    <r>
      <t xml:space="preserve">Anteilige Verteilung des </t>
    </r>
    <r>
      <rPr>
        <b/>
        <u/>
        <sz val="14"/>
        <color theme="1"/>
        <rFont val="Calibri"/>
        <family val="2"/>
        <scheme val="minor"/>
      </rPr>
      <t>Sozialabgabenabzugs</t>
    </r>
    <r>
      <rPr>
        <b/>
        <sz val="14"/>
        <color theme="1"/>
        <rFont val="Calibri"/>
        <family val="2"/>
        <scheme val="minor"/>
      </rPr>
      <t xml:space="preserve"> auf Betriebsrenten</t>
    </r>
  </si>
  <si>
    <r>
      <t>bereinigte schuldrechtlich auszugleichende Versorgung (</t>
    </r>
    <r>
      <rPr>
        <u/>
        <sz val="11"/>
        <color rgb="FF0066FF"/>
        <rFont val="Calibri"/>
        <family val="2"/>
        <scheme val="minor"/>
      </rPr>
      <t>§ 20 I S. 2 VersAusglG</t>
    </r>
    <r>
      <rPr>
        <b/>
        <sz val="11"/>
        <color theme="1"/>
        <rFont val="Calibri"/>
        <family val="2"/>
        <scheme val="minor"/>
      </rPr>
      <t>)</t>
    </r>
  </si>
  <si>
    <t>Berechnungsdatum eingeben:</t>
  </si>
  <si>
    <r>
      <rPr>
        <b/>
        <sz val="9"/>
        <color theme="1"/>
        <rFont val="Calibri"/>
        <family val="2"/>
        <scheme val="minor"/>
      </rPr>
      <t>Bei der Berechnung der schuldr. Ausgleichsrente sind KV- und PV-Beiträge zu berücksichtigen (</t>
    </r>
    <r>
      <rPr>
        <b/>
        <u/>
        <sz val="9"/>
        <color rgb="FF0066FF"/>
        <rFont val="Calibri"/>
        <family val="2"/>
        <scheme val="minor"/>
      </rPr>
      <t>§ 20 I S. 2</t>
    </r>
    <r>
      <rPr>
        <b/>
        <sz val="9"/>
        <color theme="1"/>
        <rFont val="Calibri"/>
        <family val="2"/>
        <scheme val="minor"/>
      </rPr>
      <t>)</t>
    </r>
    <r>
      <rPr>
        <sz val="9"/>
        <color theme="1"/>
        <rFont val="Calibri"/>
        <family val="2"/>
        <scheme val="minor"/>
      </rPr>
      <t xml:space="preserve">. 
Nach  </t>
    </r>
    <r>
      <rPr>
        <u/>
        <sz val="9"/>
        <color rgb="FF0066FF"/>
        <rFont val="Calibri"/>
        <family val="2"/>
        <scheme val="minor"/>
      </rPr>
      <t>§ 226 II SGB V</t>
    </r>
    <r>
      <rPr>
        <sz val="9"/>
        <color theme="1"/>
        <rFont val="Calibri"/>
        <family val="2"/>
        <scheme val="minor"/>
      </rPr>
      <t xml:space="preserve"> sind Betriebsrenten bis zu einem Betrag von 1/20tel der mon. Bezugsgröße nach </t>
    </r>
    <r>
      <rPr>
        <u/>
        <sz val="9"/>
        <color rgb="FF0066FF"/>
        <rFont val="Calibri"/>
        <family val="2"/>
        <scheme val="minor"/>
      </rPr>
      <t>§ 18 SGB IV</t>
    </r>
    <r>
      <rPr>
        <sz val="9"/>
        <color theme="1"/>
        <rFont val="Calibri"/>
        <family val="2"/>
        <scheme val="minor"/>
      </rPr>
      <t xml:space="preserve"> beitragsfrei. Bezieht die ausglpfl. Person mehrere Betriebsrenten, ist der Freibetrag anteilig  zu verteilen:</t>
    </r>
  </si>
  <si>
    <t>sVA manuell↓</t>
  </si>
  <si>
    <t>Alte im AbfZpkt</t>
  </si>
  <si>
    <t>entw. in € (anteilig):</t>
  </si>
  <si>
    <t>oder in %:</t>
  </si>
  <si>
    <t>Hier können von den ges. Vorgaben abweichende Sozversicherungsabzüge eingetragen werden</t>
  </si>
  <si>
    <t>bei privat KV- und PV Versicherten Check-Box aktivieren:</t>
  </si>
  <si>
    <t>Anteil bAV:</t>
  </si>
  <si>
    <t>Sozialabgabenabzug</t>
  </si>
  <si>
    <t>§ 18 II: Rente/Kap</t>
  </si>
  <si>
    <t>Musterschriftsatz
Beanstandung externe Teilung</t>
  </si>
  <si>
    <t>Musterschriftsatz
Beanstandung interne Teilung</t>
  </si>
  <si>
    <r>
      <t xml:space="preserve">Schuldrechtlicher VA, §§ 20ff. VersAusglG </t>
    </r>
    <r>
      <rPr>
        <sz val="16"/>
        <color theme="1"/>
        <rFont val="Calibri"/>
        <family val="2"/>
        <scheme val="minor"/>
      </rPr>
      <t>in Sachen</t>
    </r>
    <r>
      <rPr>
        <b/>
        <sz val="16"/>
        <color theme="1"/>
        <rFont val="Calibri"/>
        <family val="2"/>
        <scheme val="minor"/>
      </rPr>
      <t>:</t>
    </r>
  </si>
  <si>
    <t>Abtretungs-formular</t>
  </si>
  <si>
    <t>ØKV-Zusatz</t>
  </si>
  <si>
    <t>Ehezeitende eingeben ggfls. alternatives Ehezeitende eingeben:</t>
  </si>
  <si>
    <t>Versrg. AusglPfl.</t>
  </si>
  <si>
    <t>Versorg. AusglBer</t>
  </si>
  <si>
    <t>SonstVersrg.</t>
  </si>
  <si>
    <t>Vorwerk &amp; Co.KG</t>
  </si>
  <si>
    <t>7.2.3 i.V.m. 10.2.</t>
  </si>
  <si>
    <t xml:space="preserve"> Zeitdifferenzbestimmung Basis:</t>
  </si>
  <si>
    <t>Rheinmetall KBV TO Rheinmetall Plus 1.0</t>
  </si>
  <si>
    <t>§ 8 Abs. 3, Anlage 2</t>
  </si>
  <si>
    <t>Rheinmetall KBV TO Rheinmetall Plus 2.0</t>
  </si>
  <si>
    <t>Osram</t>
  </si>
  <si>
    <t>Ziff. 4.4.</t>
  </si>
  <si>
    <t xml:space="preserve">EGU Ergo Gruppenunterstützungskasse e.V. </t>
  </si>
  <si>
    <t>TO sieht in § 7 ausdrücklich das Primat der familiengerichtlichen Entscheidung vor.</t>
  </si>
  <si>
    <t>Vorwerk</t>
  </si>
  <si>
    <t>2012</t>
  </si>
  <si>
    <t>10.2.</t>
  </si>
  <si>
    <t>Der Begründungszeitpunkt ist in der TO nicht definiert</t>
  </si>
  <si>
    <t>Besoldungs-steigerung</t>
  </si>
  <si>
    <t>aktRW</t>
  </si>
  <si>
    <t>KV-Zuschlag 7,3%</t>
  </si>
  <si>
    <t>DRV vs. BeamtV</t>
  </si>
  <si>
    <t>absolute Steigerung:</t>
  </si>
  <si>
    <t>Ø Steigerung / Jahr</t>
  </si>
  <si>
    <t>Vergleich Dynamisierung DRV - BeamV 2005 bis 2024</t>
  </si>
  <si>
    <t>Barwert für einen 50jährigen Mann reine Altersversorgung</t>
  </si>
  <si>
    <t>Steigerung</t>
  </si>
  <si>
    <t>Startdatum</t>
  </si>
  <si>
    <t>Enddatum</t>
  </si>
  <si>
    <t>Dauer</t>
  </si>
  <si>
    <t>Zahlbetrag/Jahr</t>
  </si>
  <si>
    <t>Summe: 565,08 x 11,58</t>
  </si>
  <si>
    <t>avisierter Zahlungsbetrag</t>
  </si>
  <si>
    <t>=RUNDEN(BRTEILJAHRE(Startdatum;Enddatum;4);2)</t>
  </si>
  <si>
    <t>=-BW(ReZins;Abzinsungsdauer;Jahresrate)</t>
  </si>
  <si>
    <t>Summe der erwartbaren Rentenzahlungen für AusglPfl</t>
  </si>
  <si>
    <t>Summe der erwartbaren Rentenzahlungen für Ausglber.</t>
  </si>
  <si>
    <t>Barwert / Rechnungzins einer befristeten Zahlung</t>
  </si>
  <si>
    <t>vom Schuldner mitgeteilter / errechneter Barwert</t>
  </si>
  <si>
    <t>eingegebener / errechneter Rechnungszins</t>
  </si>
  <si>
    <t>errechnete Werte</t>
  </si>
  <si>
    <t>Summe der erwartbaren Rentenzahlungen:</t>
  </si>
  <si>
    <t>'=WENNFEHLER(WENN(K27+J27=0;E27*12*AR27;WENN(K27&gt;0;(((1+K27)^AR27-1)/K27);1)*(E27*12)*(1+J27)^AS27*WENN(K27=0;AR27;1));"")</t>
  </si>
  <si>
    <t>ReSummeM</t>
  </si>
  <si>
    <t>Um ö.r. Versorg mit pAV und bAV vergleichbar zu machen kann zur BW-Berechnung ein vom EzE abweichender ReZins eingegeben werden (ev. 3%)</t>
  </si>
  <si>
    <t>12. erwartbare Rentensummen</t>
  </si>
  <si>
    <t>ges.Rentenvers. DRV</t>
  </si>
  <si>
    <t>Bausparkasse Schwäbisch Hall</t>
  </si>
  <si>
    <t>6.)</t>
  </si>
  <si>
    <t>DRV_Rentensumme</t>
  </si>
  <si>
    <t>Rentenerwerb in DRV im EzE</t>
  </si>
  <si>
    <r>
      <t>maßgebl. Bruttorente</t>
    </r>
    <r>
      <rPr>
        <sz val="8"/>
        <color theme="1"/>
        <rFont val="Calibri"/>
        <family val="2"/>
        <scheme val="minor"/>
      </rPr>
      <t xml:space="preserve"> ggfls eingeben</t>
    </r>
    <r>
      <rPr>
        <sz val="11"/>
        <color theme="1"/>
        <rFont val="Calibri"/>
        <family val="2"/>
        <scheme val="minor"/>
      </rPr>
      <t>:</t>
    </r>
  </si>
  <si>
    <r>
      <rPr>
        <b/>
        <sz val="10"/>
        <color theme="1"/>
        <rFont val="Calibri"/>
        <family val="2"/>
        <scheme val="minor"/>
      </rPr>
      <t>Freibetragsanteil</t>
    </r>
    <r>
      <rPr>
        <sz val="10"/>
        <color theme="1"/>
        <rFont val="Calibri"/>
        <family val="2"/>
        <scheme val="minor"/>
      </rPr>
      <t xml:space="preserve">
</t>
    </r>
    <r>
      <rPr>
        <sz val="8"/>
        <color theme="1"/>
        <rFont val="Calibri"/>
        <family val="2"/>
        <scheme val="minor"/>
      </rPr>
      <t>Check-Box ggfls. deaktivieren</t>
    </r>
  </si>
  <si>
    <t>vgl auch Hauß, Abfindung von schuldrechtlich auszugleichenden Versorgungen, FamRB 2024, 302ff.</t>
  </si>
  <si>
    <t>Ehezeit bis:</t>
  </si>
  <si>
    <t>Schroff GmbH</t>
  </si>
  <si>
    <t>IV. § 8, § 10</t>
  </si>
  <si>
    <t>Stuttgarter Lebensversicherung s.G.</t>
  </si>
  <si>
    <t>5.b)cc)</t>
  </si>
  <si>
    <t>Durchschnittliche Steigerung in Prozent (CAGR)</t>
  </si>
  <si>
    <t>Start</t>
  </si>
  <si>
    <t>Ende</t>
  </si>
  <si>
    <t>Geben Sie Start- und Enddatum ein:</t>
  </si>
  <si>
    <t>Durchschnittliche Steigerung pro Jahr:</t>
  </si>
  <si>
    <t>Berechnungsformel CAGR:</t>
  </si>
  <si>
    <t>1. Jährlicher Zahlbetrag</t>
  </si>
  <si>
    <t>2. Dauer der Zahlung in Jahren</t>
  </si>
  <si>
    <t>Renten- u. BW-Erwerb in der DRV aus dem in Rubrik 7 errechneten BW der bAV- und pAV- Versorgungen</t>
  </si>
  <si>
    <r>
      <t xml:space="preserve">Summe der  nach den Generationen-Sterbetafeln des Stat.BA über die Leistungszeit erwartbaren Renten-bezüge </t>
    </r>
    <r>
      <rPr>
        <b/>
        <sz val="10"/>
        <color theme="1"/>
        <rFont val="Calibri"/>
        <family val="2"/>
        <scheme val="minor"/>
      </rPr>
      <t>aus den Ausgleichswerten.</t>
    </r>
    <r>
      <rPr>
        <sz val="10"/>
        <color theme="1"/>
        <rFont val="Calibri"/>
        <family val="2"/>
        <scheme val="minor"/>
      </rPr>
      <t xml:space="preserve">
Diese Berechnung kann auch auf der Basis des </t>
    </r>
    <r>
      <rPr>
        <sz val="10"/>
        <color theme="1"/>
        <rFont val="Calibri"/>
        <family val="2"/>
      </rPr>
      <t>Durchschnitts der monatl. Rentenzahlunge</t>
    </r>
    <r>
      <rPr>
        <sz val="10"/>
        <color theme="1"/>
        <rFont val="Calibri"/>
        <family val="2"/>
        <scheme val="minor"/>
      </rPr>
      <t xml:space="preserve"> über die Leistungszeit ausgegeben werden.</t>
    </r>
  </si>
  <si>
    <t>BGH zu GR-EP:</t>
  </si>
  <si>
    <t>XII ZB 444/22
 XII ZB 81/23
XII ZB 360/22
XII ZB 389/22</t>
  </si>
  <si>
    <t>Vor-, nachschüssig</t>
  </si>
  <si>
    <t>Barwert Leistungszeit</t>
  </si>
  <si>
    <t>abgezinster Barwert</t>
  </si>
  <si>
    <t>Barwert incl. HRIR</t>
  </si>
  <si>
    <r>
      <t xml:space="preserve">Zuschläge zum Barwert AR für 
</t>
    </r>
    <r>
      <rPr>
        <b/>
        <sz val="12"/>
        <color indexed="8"/>
        <rFont val="Calibri"/>
        <family val="2"/>
      </rPr>
      <t xml:space="preserve">Invaliditäts- und Hinterbliebenenversorgung </t>
    </r>
    <r>
      <rPr>
        <sz val="11"/>
        <color theme="1"/>
        <rFont val="Arial"/>
        <family val="2"/>
      </rPr>
      <t xml:space="preserve">
- Frauen -</t>
    </r>
  </si>
  <si>
    <t>Anwartschafts-barwert d. Altersrente</t>
  </si>
  <si>
    <t>Anwartschafts-barwert
Altersrente</t>
  </si>
  <si>
    <t>1974,3%,0%,63,(48)</t>
  </si>
  <si>
    <t>1974, 3%,0%,62,(48)</t>
  </si>
  <si>
    <t>1974, 3%,0%,61,(48)</t>
  </si>
  <si>
    <r>
      <rPr>
        <b/>
        <sz val="10"/>
        <color theme="1"/>
        <rFont val="Calibri"/>
        <family val="2"/>
      </rPr>
      <t xml:space="preserve">Barwerte </t>
    </r>
    <r>
      <rPr>
        <sz val="10"/>
        <color theme="1"/>
        <rFont val="Calibri"/>
        <family val="2"/>
      </rPr>
      <t xml:space="preserve">sind </t>
    </r>
    <r>
      <rPr>
        <b/>
        <sz val="10"/>
        <color theme="1"/>
        <rFont val="Calibri"/>
        <family val="2"/>
      </rPr>
      <t>für die Eheleute</t>
    </r>
    <r>
      <rPr>
        <sz val="10"/>
        <color theme="1"/>
        <rFont val="Calibri"/>
        <family val="2"/>
      </rPr>
      <t xml:space="preserve"> keine verständliche Dimension. Der in der Quellversorgung (Rubrik 6/7) errechnete Rentenwert wird hier unter Beachtung der Dynamik als</t>
    </r>
    <r>
      <rPr>
        <b/>
        <sz val="10"/>
        <color theme="1"/>
        <rFont val="Calibri"/>
        <family val="2"/>
      </rPr>
      <t xml:space="preserve"> Summe der stat. erwart-baren Rentenleistungen</t>
    </r>
    <r>
      <rPr>
        <sz val="10"/>
        <color theme="1"/>
        <rFont val="Calibri"/>
        <family val="2"/>
      </rPr>
      <t xml:space="preserve"> ausgegeben.</t>
    </r>
  </si>
  <si>
    <t>Kaffeerunde
Versorgungsausgleich</t>
  </si>
  <si>
    <t>Der Kaffeerunde beitreten</t>
  </si>
  <si>
    <t>1. Geburtstage in Stammdaten erfasst:</t>
  </si>
  <si>
    <t>2. Geschlecht (m/w/d):</t>
  </si>
  <si>
    <t>3. Geburtstag:</t>
  </si>
  <si>
    <t>4. Berechnungstag:</t>
  </si>
  <si>
    <t>5. Höhe der monatl. Rente am Berechnungstag:</t>
  </si>
  <si>
    <t>7. Anwartschaftsdynamik:</t>
  </si>
  <si>
    <t>8. Leistungsdynamik:</t>
  </si>
  <si>
    <t>9. Alter im Berechnungszeitpunkt</t>
  </si>
  <si>
    <t>14. Durchschnitt der Rentenzahlungen pro Monat</t>
  </si>
  <si>
    <t>16. Versterbensrisiko</t>
  </si>
  <si>
    <t>18. abweichend anzunehmender Barwert:</t>
  </si>
  <si>
    <t>10. Anwartschaftzeit  in Jahren:</t>
  </si>
  <si>
    <t>11. Leistungszeit in Jahren:</t>
  </si>
  <si>
    <t>12. Rentenhöhe bei Leistungsbeginn:</t>
  </si>
  <si>
    <t>20. Barwert der Altersrente in der DRV</t>
  </si>
  <si>
    <r>
      <t xml:space="preserve">12. </t>
    </r>
    <r>
      <rPr>
        <b/>
        <sz val="11"/>
        <color rgb="FFFF0000"/>
        <rFont val="Arial"/>
        <family val="2"/>
      </rPr>
      <t>Rentenvergleich</t>
    </r>
    <r>
      <rPr>
        <sz val="11"/>
        <color theme="1"/>
        <rFont val="Arial"/>
        <family val="2"/>
      </rPr>
      <t>, Rentenhöhe bei Leistungsbeginn:</t>
    </r>
  </si>
  <si>
    <t>Alter EzE</t>
  </si>
  <si>
    <t>Invalidität</t>
  </si>
  <si>
    <t>Hinterbliebene</t>
  </si>
  <si>
    <t>Gesamt</t>
  </si>
  <si>
    <t>Renteneintritt</t>
  </si>
  <si>
    <t>AusglWert:</t>
  </si>
  <si>
    <t>Hinterbliebene:</t>
  </si>
  <si>
    <t>Invalidität:</t>
  </si>
  <si>
    <r>
      <t>13.</t>
    </r>
    <r>
      <rPr>
        <b/>
        <sz val="16"/>
        <color theme="1"/>
        <rFont val="Arial"/>
        <family val="2"/>
      </rPr>
      <t>∑</t>
    </r>
    <r>
      <rPr>
        <b/>
        <sz val="12"/>
        <color theme="1"/>
        <rFont val="Arial"/>
        <family val="2"/>
      </rPr>
      <t xml:space="preserve"> Summe erwartbarer Rentenzahlungen aus Quellversorgung:</t>
    </r>
  </si>
  <si>
    <r>
      <t xml:space="preserve">22. </t>
    </r>
    <r>
      <rPr>
        <b/>
        <sz val="16"/>
        <color theme="1"/>
        <rFont val="Arial"/>
        <family val="2"/>
      </rPr>
      <t>∑</t>
    </r>
    <r>
      <rPr>
        <b/>
        <sz val="12"/>
        <color theme="1"/>
        <rFont val="Arial"/>
        <family val="2"/>
      </rPr>
      <t xml:space="preserve"> Summe der erwartbaren Rentenleistungen in der DRV</t>
    </r>
  </si>
  <si>
    <t>Ergebnis der Adäquanzprüfung:</t>
  </si>
  <si>
    <t xml:space="preserve">Verlust/Gewinn </t>
  </si>
  <si>
    <t>bzw.</t>
  </si>
  <si>
    <r>
      <rPr>
        <b/>
        <sz val="11"/>
        <color theme="1"/>
        <rFont val="Aptos Narrow"/>
        <family val="2"/>
      </rPr>
      <t>∑</t>
    </r>
    <r>
      <rPr>
        <b/>
        <sz val="11"/>
        <color theme="1"/>
        <rFont val="Arial"/>
        <family val="2"/>
      </rPr>
      <t xml:space="preserve"> erwartbarer Renten</t>
    </r>
  </si>
  <si>
    <t>Q-Versorg.</t>
  </si>
  <si>
    <t>Ziel-Versorg.</t>
  </si>
  <si>
    <t>Ziel-Versorg</t>
  </si>
  <si>
    <t>Aufstockungsbetrag zu Lasten des Versorgungsträgers:</t>
  </si>
  <si>
    <t>Leistungsspektrum der Versorgung in %:</t>
  </si>
  <si>
    <t>Ausgleichswert zu Lasten der ausglpfl. Person</t>
  </si>
  <si>
    <t>Q u e l l v e r s o r g u n g</t>
  </si>
  <si>
    <t>abweichend:</t>
  </si>
  <si>
    <t>14. Ø Durchschnitt der Rentenzahlungen pro Monat</t>
  </si>
  <si>
    <t>Periodensterbetafel Deutschland 2021 / 2023</t>
  </si>
  <si>
    <r>
      <t xml:space="preserve">12. Ehezeitanteil in % </t>
    </r>
    <r>
      <rPr>
        <sz val="9"/>
        <color theme="1"/>
        <rFont val="Arial"/>
        <family val="2"/>
      </rPr>
      <t>nach Auskunft</t>
    </r>
    <r>
      <rPr>
        <sz val="10"/>
        <color theme="1"/>
        <rFont val="Arial"/>
        <family val="2"/>
      </rPr>
      <t>:</t>
    </r>
  </si>
  <si>
    <t>Beitritt Kaffeerunde</t>
  </si>
  <si>
    <t>Homepage Kaffeerunde</t>
  </si>
  <si>
    <t>5. Prüfung der Teilungsordnungen der Versorgungsträger</t>
  </si>
  <si>
    <t>6. Versorgungsausgleich nach der Scheidung (sVA)</t>
  </si>
  <si>
    <t>7. Verzinsung eines Ausgleichswerts</t>
  </si>
  <si>
    <t>8. "Dies &amp; Das" - hilfreiche kleine Berechnungstools für Familienrechtleriinen und Familienrechtler</t>
  </si>
  <si>
    <t>ab 1.1.2025</t>
  </si>
  <si>
    <t>Neue Version des Programms hier downloaden (klicken)</t>
  </si>
  <si>
    <r>
      <rPr>
        <sz val="12"/>
        <color rgb="FFFFC000"/>
        <rFont val="Wingdings 2"/>
        <family val="1"/>
        <charset val="2"/>
      </rPr>
      <t>¢</t>
    </r>
    <r>
      <rPr>
        <b/>
        <sz val="12"/>
        <color theme="1"/>
        <rFont val="Arial"/>
        <family val="2"/>
      </rPr>
      <t>=</t>
    </r>
    <r>
      <rPr>
        <sz val="12"/>
        <color theme="1"/>
        <rFont val="Arial"/>
        <family val="2"/>
      </rPr>
      <t xml:space="preserve"> </t>
    </r>
    <r>
      <rPr>
        <sz val="10"/>
        <color theme="1"/>
        <rFont val="Arial"/>
        <family val="2"/>
      </rPr>
      <t xml:space="preserve">§§ 14 II Nr. 2, 18: </t>
    </r>
    <r>
      <rPr>
        <sz val="8"/>
        <color theme="1"/>
        <rFont val="Arial"/>
        <family val="2"/>
      </rPr>
      <t>GrenzW</t>
    </r>
  </si>
  <si>
    <r>
      <rPr>
        <sz val="12"/>
        <color rgb="FFFF0000"/>
        <rFont val="Wingdings 2"/>
        <family val="1"/>
        <charset val="2"/>
      </rPr>
      <t>¢</t>
    </r>
    <r>
      <rPr>
        <b/>
        <sz val="12"/>
        <color theme="1"/>
        <rFont val="Arial"/>
        <family val="2"/>
      </rPr>
      <t>=</t>
    </r>
    <r>
      <rPr>
        <sz val="10"/>
        <color theme="1"/>
        <rFont val="Arial"/>
        <family val="2"/>
      </rPr>
      <t xml:space="preserve"> § 17 VersAusglG, BBMG</t>
    </r>
  </si>
  <si>
    <t>www.KaffeerundeVA.de</t>
  </si>
  <si>
    <t>Versorgungskasse genossenschaftlich orientierter Unternehmen e.V. (VGU),</t>
  </si>
  <si>
    <t>Ziff. 3 und 4</t>
  </si>
  <si>
    <t>TO enthält in § 8 ein Bekenntnis zur Priorität der gerichtlichen Entscheidung, falls diese von TO abweicht.</t>
  </si>
  <si>
    <t>OLG FfM 6 UF 222/22</t>
  </si>
  <si>
    <t>Airbus</t>
  </si>
  <si>
    <t>9.</t>
  </si>
  <si>
    <t>Versorgungsträger setzt in Ziff. 9.(1)(a) der TO die Vers. Z.G. der ausglber Person aus dem  nach Ziff. 7 d. TO ermittelten AusglWert statt des vom Gericht tenorierten Betrages um</t>
  </si>
  <si>
    <t>Deka-Pensions-Plan</t>
  </si>
  <si>
    <t>Kap. 2 § 1 ff.</t>
  </si>
  <si>
    <t>DKB Deutsche Kredit Bank AG</t>
  </si>
  <si>
    <t xml:space="preserve">E.ON AG </t>
  </si>
  <si>
    <t>11.ff.</t>
  </si>
  <si>
    <t>KfW Bankengruppe zu VO 2000</t>
  </si>
  <si>
    <t>KfW Bankengruppe betrieblichen Zusatzversorgung durch Entgeltumwandlung</t>
  </si>
  <si>
    <t>Generali Unterstützungskasse e.V.</t>
  </si>
  <si>
    <t>Zinssatz</t>
  </si>
  <si>
    <t>Zinsen</t>
  </si>
  <si>
    <t>Fall-Infos</t>
  </si>
  <si>
    <t>EzA:</t>
  </si>
  <si>
    <t>EzE:</t>
  </si>
  <si>
    <t>GebDat_M:</t>
  </si>
  <si>
    <t>GebDat_F:</t>
  </si>
  <si>
    <t>Generali Lebensversicherungen</t>
  </si>
  <si>
    <t>m.E. keine Beanstandung</t>
  </si>
  <si>
    <t>Quell-Versorgung</t>
  </si>
  <si>
    <t>Zusatzbeitragsliste</t>
  </si>
  <si>
    <t>1975, 3%,0,67</t>
  </si>
  <si>
    <t>11. Vers,Erwerb aus Barwert (BW)
der b- &amp; p-Versorgungen in DRV</t>
  </si>
  <si>
    <t>Saldierungsvorschlag auf korrigierter Rentenbasis:</t>
  </si>
  <si>
    <t>Barwertäquivalez Rente:</t>
  </si>
  <si>
    <r>
      <rPr>
        <sz val="10"/>
        <color theme="1"/>
        <rFont val="Aptos Narrow"/>
        <family val="2"/>
      </rPr>
      <t xml:space="preserve">∑ Summe </t>
    </r>
    <r>
      <rPr>
        <sz val="9.5"/>
        <color theme="1"/>
        <rFont val="Arial"/>
        <family val="2"/>
      </rPr>
      <t xml:space="preserve"> aller </t>
    </r>
    <r>
      <rPr>
        <sz val="10"/>
        <color theme="1"/>
        <rFont val="Arial"/>
        <family val="2"/>
      </rPr>
      <t>Renten- bzw. Barwerte (kein KoKa!) Ehezeitende:</t>
    </r>
  </si>
  <si>
    <t>Sub AlleArbeitsblaetterSchuetzen()
    Dim ws As Worksheet
    Dim pw As String
    ' Passwort festlegen
    pw = "FamRB"   ' ? hier dein Passwort eintragen
    For Each ws In ThisWorkbook.Worksheets
        ws.Protect Password:=pw, _
                   UserInterfaceOnly:=False, _
                   AllowFiltering:=True, _
                   AllowSorting:=False, _
                   AllowFormattingCells:=False, _
                   AllowFormattingColumns:=True, _
                   AllowFormattingRows:=False, _
                   AllowInsertingColumns:=False, _
                   AllowInsertingRows:=False, _
                   AllowInsertingHyperlinks:=False, _
                   AllowDeletingColumns:=False, _
                   AllowDeletingRows:=False, _
                   AllowUsingPivotTables:=False
        ' Auswahl gesperrter und entsperrter Zellen zulassen
        ws.EnableSelection = xlNoRestrictions
    Next ws
    MsgBox "Alle Arbeitsblätter wurden erfolgreich geschützt.", vbInformation
End Sub</t>
  </si>
  <si>
    <t>Betriebliche AV Daimler Benz UK</t>
  </si>
  <si>
    <t>bAV Deutsche Post AG</t>
  </si>
  <si>
    <t>Versorgungsanstalt Deutsche Bundespost</t>
  </si>
  <si>
    <r>
      <t xml:space="preserve">jeden 1. und 3. Mittwoch im Monat 
 </t>
    </r>
    <r>
      <rPr>
        <b/>
        <sz val="9"/>
        <color theme="1"/>
        <rFont val="Arial"/>
        <family val="2"/>
      </rPr>
      <t>(Pause: Juli &amp; August)</t>
    </r>
  </si>
  <si>
    <r>
      <t xml:space="preserve">B. Bar- bzw. Abfindungswertberechnungsmethode 
</t>
    </r>
    <r>
      <rPr>
        <sz val="10"/>
        <color theme="1"/>
        <rFont val="Arial"/>
        <family val="2"/>
      </rPr>
      <t xml:space="preserve">(Borth, Handuch VA Rn. 113ff; Wick, Der VA, Rn. 1089ff.)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</si>
</sst>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6" formatCode="#,##0\ &quot;€&quot;;[Red]\-#,##0\ &quot;€&quot;"/>
    <numFmt numFmtId="8" formatCode="#,##0.00\ &quot;€&quot;;[Red]\-#,##0.00\ &quot;€&quot;"/>
    <numFmt numFmtId="164" formatCode="_-* #,##0.00\ _€_-;\-* #,##0.00\ _€_-;_-* &quot;-&quot;??\ _€_-;_-@_-"/>
    <numFmt numFmtId="165" formatCode="&quot;€&quot;#,##0.00_);[Red]\(&quot;€&quot;#,##0.00\)"/>
    <numFmt numFmtId="166" formatCode="_(&quot;€&quot;* #,##0.00_);_(&quot;€&quot;* \(#,##0.00\);_(&quot;€&quot;* &quot;-&quot;??_);_(@_)"/>
    <numFmt numFmtId="167" formatCode="0.0000"/>
    <numFmt numFmtId="168" formatCode="#,##0.0000"/>
    <numFmt numFmtId="169" formatCode="_-* #,##0.00\ [$€-407]_-;\-* #,##0.00\ [$€-407]_-;_-* &quot;-&quot;??\ [$€-407]_-;_-@_-"/>
    <numFmt numFmtId="170" formatCode="#,##0_ ;\-#,##0\ "/>
    <numFmt numFmtId="171" formatCode="0_ ;\-0\ "/>
    <numFmt numFmtId="172" formatCode="d/m/yy;@"/>
    <numFmt numFmtId="173" formatCode="dd/mm/yy;@"/>
    <numFmt numFmtId="174" formatCode="d/m/yyyy"/>
    <numFmt numFmtId="175" formatCode="0.0000000000"/>
    <numFmt numFmtId="176" formatCode="0.0%"/>
    <numFmt numFmtId="177" formatCode="0.000%"/>
    <numFmt numFmtId="178" formatCode="0.000"/>
    <numFmt numFmtId="179" formatCode="0.00000%"/>
    <numFmt numFmtId="180" formatCode="#,##0.00_ ;[Red]\-#,##0.00\ "/>
    <numFmt numFmtId="181" formatCode="0.0"/>
    <numFmt numFmtId="182" formatCode="#,##0.0000_)\ [$EP];[Red]\-#,##0.0000_)\ [$EP]"/>
    <numFmt numFmtId="183" formatCode="0.0000%"/>
    <numFmt numFmtId="184" formatCode="#,##0.0000_)[$EP];[Red]\-#,##0.0000\)[$EP]"/>
    <numFmt numFmtId="185" formatCode="#,##0.00\ &quot;€&quot;"/>
    <numFmt numFmtId="186" formatCode="#,##0.00\ &quot;€&quot;;[Red]#,##0.00\ &quot;€&quot;"/>
    <numFmt numFmtId="187" formatCode="#\ ##0_);\(#\ ##0\)"/>
    <numFmt numFmtId="188" formatCode="#,##0.0000\ &quot;€&quot;;[Red]\-#,##0.0000\ &quot;€&quot;"/>
    <numFmt numFmtId="189" formatCode="_-* #,##0.0000\ [$€-407]_-;\-* #,##0.0000\ [$€-407]_-;_-* &quot;-&quot;??\ [$€-407]_-;_-@_-"/>
    <numFmt numFmtId="190" formatCode="#,##0.0000\ [$EP]"/>
    <numFmt numFmtId="191" formatCode="#,##0.0\ &quot;€&quot;"/>
    <numFmt numFmtId="192" formatCode="#,##0.00\ _€"/>
    <numFmt numFmtId="193" formatCode="0.000000"/>
    <numFmt numFmtId="194" formatCode="0.00000"/>
    <numFmt numFmtId="195" formatCode="#,##0.00000000\ &quot;€&quot;;[Red]\-#,##0.00000000\ &quot;€&quot;"/>
    <numFmt numFmtId="196" formatCode="0.000000%"/>
    <numFmt numFmtId="197" formatCode="#,##0.0000\ [$EP];[Red]\-#,##0.0000\ [$EP]"/>
    <numFmt numFmtId="198" formatCode="#,##0.000\ &quot;€&quot;;[Red]\-#,##0.000\ &quot;€&quot;"/>
    <numFmt numFmtId="199" formatCode="_-* #,##0.0000\ _€_-;\-* #,##0.0000\ _€_-;_-* &quot;-&quot;??\ _€_-;_-@_-"/>
    <numFmt numFmtId="200" formatCode="0.00%;[Red]\-0.00%"/>
    <numFmt numFmtId="201" formatCode="_-* #,##0.00000\ [$€-407]_-;\-* #,##0.00000\ [$€-407]_-;_-* &quot;-&quot;??\ [$€-407]_-;_-@_-"/>
    <numFmt numFmtId="202" formatCode="0.0000000%"/>
    <numFmt numFmtId="203" formatCode="#,##0\ _€"/>
    <numFmt numFmtId="204" formatCode="#,##0\ &quot;€&quot;"/>
    <numFmt numFmtId="205" formatCode="0.00_ ;[Red]\-0.00\ "/>
    <numFmt numFmtId="206" formatCode="#,##0.0000_ ;[Red]\-#,##0.0000\ "/>
    <numFmt numFmtId="207" formatCode="0.00000000"/>
  </numFmts>
  <fonts count="302">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2"/>
      <color indexed="8"/>
      <name val="Calibri"/>
      <family val="2"/>
    </font>
    <font>
      <b/>
      <sz val="12"/>
      <color indexed="8"/>
      <name val="Calibri"/>
      <family val="2"/>
    </font>
    <font>
      <sz val="10"/>
      <name val="Arial"/>
      <family val="2"/>
    </font>
    <font>
      <b/>
      <sz val="8"/>
      <name val="Arial"/>
      <family val="2"/>
    </font>
    <font>
      <sz val="8"/>
      <name val="MetaNormalLF-Roman"/>
    </font>
    <font>
      <sz val="8"/>
      <name val="Arial"/>
      <family val="2"/>
    </font>
    <font>
      <sz val="10"/>
      <name val="MetaNormalLF-Roman"/>
      <family val="2"/>
    </font>
    <font>
      <u/>
      <sz val="10"/>
      <color indexed="12"/>
      <name val="Arial"/>
      <family val="2"/>
    </font>
    <font>
      <sz val="8"/>
      <color indexed="8"/>
      <name val="Arial"/>
      <family val="2"/>
    </font>
    <font>
      <sz val="9"/>
      <color indexed="8"/>
      <name val="Arial"/>
      <family val="2"/>
    </font>
    <font>
      <vertAlign val="subscript"/>
      <sz val="9"/>
      <color indexed="8"/>
      <name val="Calibri"/>
      <family val="2"/>
    </font>
    <font>
      <b/>
      <sz val="11"/>
      <color indexed="8"/>
      <name val="Arial"/>
      <family val="2"/>
    </font>
    <font>
      <vertAlign val="subscript"/>
      <sz val="11"/>
      <color indexed="8"/>
      <name val="Arial"/>
      <family val="2"/>
    </font>
    <font>
      <b/>
      <sz val="11"/>
      <color indexed="8"/>
      <name val="Arial"/>
      <family val="2"/>
    </font>
    <font>
      <b/>
      <sz val="12"/>
      <color indexed="8"/>
      <name val="Arial"/>
      <family val="2"/>
    </font>
    <font>
      <sz val="10"/>
      <color indexed="8"/>
      <name val="Arial"/>
      <family val="2"/>
    </font>
    <font>
      <b/>
      <sz val="12"/>
      <name val="Arial"/>
      <family val="2"/>
    </font>
    <font>
      <b/>
      <sz val="8"/>
      <color indexed="8"/>
      <name val="Arial"/>
      <family val="2"/>
    </font>
    <font>
      <vertAlign val="subscript"/>
      <sz val="9"/>
      <color indexed="8"/>
      <name val="Arial"/>
      <family val="2"/>
    </font>
    <font>
      <sz val="9"/>
      <name val="Arial"/>
      <family val="2"/>
    </font>
    <font>
      <sz val="11"/>
      <color indexed="8"/>
      <name val="Arial"/>
      <family val="2"/>
    </font>
    <font>
      <sz val="10"/>
      <color indexed="8"/>
      <name val="Arial"/>
      <family val="2"/>
    </font>
    <font>
      <sz val="8"/>
      <color indexed="8"/>
      <name val="Arial"/>
      <family val="2"/>
    </font>
    <font>
      <sz val="9"/>
      <color indexed="8"/>
      <name val="Arial"/>
      <family val="2"/>
    </font>
    <font>
      <b/>
      <sz val="11"/>
      <color indexed="8"/>
      <name val="Arial"/>
      <family val="2"/>
    </font>
    <font>
      <sz val="10"/>
      <color indexed="8"/>
      <name val="Calibri"/>
      <family val="2"/>
    </font>
    <font>
      <sz val="11"/>
      <color indexed="30"/>
      <name val="Arial"/>
      <family val="2"/>
    </font>
    <font>
      <b/>
      <sz val="14"/>
      <color indexed="8"/>
      <name val="Arial"/>
      <family val="2"/>
    </font>
    <font>
      <b/>
      <sz val="12"/>
      <color indexed="8"/>
      <name val="Arial"/>
      <family val="2"/>
    </font>
    <font>
      <b/>
      <sz val="14"/>
      <color indexed="10"/>
      <name val="Arial"/>
      <family val="2"/>
    </font>
    <font>
      <b/>
      <sz val="11"/>
      <color indexed="30"/>
      <name val="Arial"/>
      <family val="2"/>
    </font>
    <font>
      <sz val="11"/>
      <color indexed="8"/>
      <name val="Calibri"/>
      <family val="2"/>
    </font>
    <font>
      <b/>
      <sz val="11"/>
      <color indexed="62"/>
      <name val="Arial"/>
      <family val="2"/>
    </font>
    <font>
      <sz val="11"/>
      <name val="Arial"/>
      <family val="2"/>
    </font>
    <font>
      <b/>
      <sz val="10"/>
      <name val="Arial"/>
      <family val="2"/>
    </font>
    <font>
      <sz val="22"/>
      <name val="Arial"/>
      <family val="2"/>
    </font>
    <font>
      <b/>
      <vertAlign val="superscript"/>
      <sz val="8"/>
      <color indexed="10"/>
      <name val="Arial"/>
      <family val="2"/>
    </font>
    <font>
      <sz val="8"/>
      <color indexed="10"/>
      <name val="Arial"/>
      <family val="2"/>
    </font>
    <font>
      <sz val="12"/>
      <color indexed="8"/>
      <name val="Arial"/>
      <family val="2"/>
    </font>
    <font>
      <b/>
      <sz val="10"/>
      <color indexed="8"/>
      <name val="Calibri"/>
      <family val="2"/>
    </font>
    <font>
      <b/>
      <sz val="14"/>
      <name val="Arial"/>
      <family val="2"/>
    </font>
    <font>
      <sz val="18"/>
      <name val="Arial"/>
      <family val="2"/>
    </font>
    <font>
      <vertAlign val="subscript"/>
      <sz val="8"/>
      <color indexed="8"/>
      <name val="Calibri"/>
      <family val="2"/>
    </font>
    <font>
      <sz val="11"/>
      <color theme="1"/>
      <name val="Arial"/>
      <family val="2"/>
    </font>
    <font>
      <b/>
      <sz val="11"/>
      <color theme="1"/>
      <name val="Arial"/>
      <family val="2"/>
    </font>
    <font>
      <sz val="11"/>
      <color theme="1"/>
      <name val="Calibri"/>
      <family val="2"/>
      <scheme val="minor"/>
    </font>
    <font>
      <sz val="10"/>
      <color theme="1"/>
      <name val="Arial"/>
      <family val="2"/>
    </font>
    <font>
      <b/>
      <sz val="24"/>
      <color theme="1"/>
      <name val="Arial"/>
      <family val="2"/>
    </font>
    <font>
      <sz val="9"/>
      <color theme="1"/>
      <name val="Arial"/>
      <family val="2"/>
    </font>
    <font>
      <sz val="8"/>
      <color theme="1"/>
      <name val="Arial"/>
      <family val="2"/>
    </font>
    <font>
      <b/>
      <sz val="10"/>
      <color theme="1"/>
      <name val="Arial"/>
      <family val="2"/>
    </font>
    <font>
      <b/>
      <sz val="16"/>
      <color theme="1"/>
      <name val="Arial"/>
      <family val="2"/>
    </font>
    <font>
      <sz val="10"/>
      <color rgb="FFFF0000"/>
      <name val="Arial"/>
      <family val="2"/>
    </font>
    <font>
      <sz val="11"/>
      <color theme="0" tint="-0.499984740745262"/>
      <name val="Arial"/>
      <family val="2"/>
    </font>
    <font>
      <b/>
      <sz val="12"/>
      <color theme="1"/>
      <name val="Arial"/>
      <family val="2"/>
    </font>
    <font>
      <b/>
      <sz val="20"/>
      <color theme="1"/>
      <name val="Arial"/>
      <family val="2"/>
    </font>
    <font>
      <sz val="12"/>
      <color theme="1"/>
      <name val="Arial"/>
      <family val="2"/>
    </font>
    <font>
      <sz val="8"/>
      <color theme="1"/>
      <name val="Calibri"/>
      <family val="2"/>
      <scheme val="minor"/>
    </font>
    <font>
      <sz val="16"/>
      <color theme="1"/>
      <name val="Arial"/>
      <family val="2"/>
    </font>
    <font>
      <b/>
      <sz val="11"/>
      <color theme="1"/>
      <name val="Calibri"/>
      <family val="2"/>
      <scheme val="minor"/>
    </font>
    <font>
      <b/>
      <sz val="18"/>
      <color theme="1"/>
      <name val="Arial"/>
      <family val="2"/>
    </font>
    <font>
      <b/>
      <u/>
      <sz val="11"/>
      <color theme="1"/>
      <name val="Arial"/>
      <family val="2"/>
    </font>
    <font>
      <sz val="9"/>
      <color rgb="FFFF0000"/>
      <name val="Arial"/>
      <family val="2"/>
    </font>
    <font>
      <sz val="8"/>
      <color rgb="FF000000"/>
      <name val="Tahoma"/>
      <family val="2"/>
    </font>
    <font>
      <sz val="8"/>
      <color rgb="FF000000"/>
      <name val="Segoe UI"/>
      <family val="2"/>
    </font>
    <font>
      <b/>
      <sz val="8"/>
      <color theme="1"/>
      <name val="Arial"/>
      <family val="2"/>
    </font>
    <font>
      <b/>
      <sz val="14"/>
      <color theme="1"/>
      <name val="Arial"/>
      <family val="2"/>
    </font>
    <font>
      <sz val="12"/>
      <color rgb="FF000000"/>
      <name val="Calibri"/>
      <family val="2"/>
      <scheme val="minor"/>
    </font>
    <font>
      <sz val="14"/>
      <color theme="1"/>
      <name val="Arial"/>
      <family val="2"/>
    </font>
    <font>
      <sz val="11"/>
      <color rgb="FF000000"/>
      <name val="Calibri"/>
      <family val="2"/>
      <scheme val="minor"/>
    </font>
    <font>
      <sz val="11"/>
      <color rgb="FF000000"/>
      <name val="Calibri"/>
      <family val="2"/>
    </font>
    <font>
      <sz val="9"/>
      <name val="MetaNormalLF-Roman"/>
      <family val="2"/>
    </font>
    <font>
      <sz val="11"/>
      <color theme="0" tint="-0.14999847407452621"/>
      <name val="Arial"/>
      <family val="2"/>
    </font>
    <font>
      <b/>
      <sz val="8"/>
      <color rgb="FF202122"/>
      <name val="Arial"/>
      <family val="2"/>
    </font>
    <font>
      <b/>
      <sz val="11"/>
      <color rgb="FFFF0000"/>
      <name val="Arial"/>
      <family val="2"/>
    </font>
    <font>
      <b/>
      <sz val="10"/>
      <name val="MetaNormalLF-Roman"/>
    </font>
    <font>
      <b/>
      <sz val="8"/>
      <name val="MetaNormalLF-Roman"/>
      <family val="2"/>
    </font>
    <font>
      <sz val="7"/>
      <name val="MetaNormalLF-Roman"/>
      <family val="2"/>
    </font>
    <font>
      <sz val="7"/>
      <name val="Arial"/>
      <family val="2"/>
    </font>
    <font>
      <vertAlign val="subscript"/>
      <sz val="7"/>
      <name val="MetaNormalLF-Roman"/>
      <family val="2"/>
    </font>
    <font>
      <sz val="7"/>
      <color theme="1"/>
      <name val="Arial"/>
      <family val="2"/>
    </font>
    <font>
      <sz val="8"/>
      <name val="MetaNormalLF-Roman"/>
      <family val="2"/>
    </font>
    <font>
      <sz val="11"/>
      <color rgb="FF202122"/>
      <name val="Arial"/>
      <family val="2"/>
    </font>
    <font>
      <b/>
      <sz val="12"/>
      <color rgb="FFFF0000"/>
      <name val="Arial"/>
      <family val="2"/>
    </font>
    <font>
      <b/>
      <sz val="9"/>
      <color theme="1"/>
      <name val="Arial"/>
      <family val="2"/>
    </font>
    <font>
      <sz val="8"/>
      <color theme="0" tint="-0.14999847407452621"/>
      <name val="Arial"/>
      <family val="2"/>
    </font>
    <font>
      <b/>
      <sz val="16"/>
      <color theme="1"/>
      <name val="Calibri"/>
      <family val="2"/>
      <scheme val="minor"/>
    </font>
    <font>
      <sz val="11"/>
      <color theme="1"/>
      <name val="Arial"/>
      <family val="2"/>
      <charset val="2"/>
    </font>
    <font>
      <u/>
      <sz val="12"/>
      <color indexed="12"/>
      <name val="Arial"/>
      <family val="2"/>
    </font>
    <font>
      <sz val="6"/>
      <color theme="1"/>
      <name val="Arial"/>
      <family val="2"/>
    </font>
    <font>
      <b/>
      <u/>
      <sz val="18"/>
      <color theme="1"/>
      <name val="Arial"/>
      <family val="2"/>
    </font>
    <font>
      <b/>
      <sz val="12"/>
      <color theme="1"/>
      <name val="Calibri"/>
      <family val="2"/>
      <scheme val="minor"/>
    </font>
    <font>
      <b/>
      <u/>
      <sz val="10"/>
      <color indexed="12"/>
      <name val="Arial"/>
      <family val="2"/>
    </font>
    <font>
      <sz val="11"/>
      <color rgb="FFFF0000"/>
      <name val="Arial"/>
      <family val="2"/>
    </font>
    <font>
      <b/>
      <sz val="8"/>
      <color indexed="81"/>
      <name val="Segoe UI"/>
      <family val="2"/>
    </font>
    <font>
      <sz val="8"/>
      <color indexed="81"/>
      <name val="Segoe UI"/>
      <family val="2"/>
    </font>
    <font>
      <sz val="10"/>
      <color rgb="FF000000"/>
      <name val="Arial"/>
      <family val="2"/>
    </font>
    <font>
      <sz val="8"/>
      <color rgb="FF000000"/>
      <name val="Arial"/>
      <family val="2"/>
    </font>
    <font>
      <b/>
      <sz val="11"/>
      <name val="Arial"/>
      <family val="2"/>
    </font>
    <font>
      <b/>
      <sz val="14"/>
      <color theme="0" tint="-0.14999847407452621"/>
      <name val="Arial"/>
      <family val="2"/>
    </font>
    <font>
      <sz val="11"/>
      <color rgb="FF000000"/>
      <name val="Arial"/>
      <family val="2"/>
    </font>
    <font>
      <b/>
      <sz val="11"/>
      <color theme="0" tint="-0.14999847407452621"/>
      <name val="Arial"/>
      <family val="2"/>
    </font>
    <font>
      <b/>
      <sz val="8"/>
      <color theme="1"/>
      <name val="Calibri"/>
      <family val="2"/>
      <scheme val="minor"/>
    </font>
    <font>
      <b/>
      <sz val="11"/>
      <color theme="4" tint="-0.249977111117893"/>
      <name val="Arial"/>
      <family val="2"/>
    </font>
    <font>
      <b/>
      <sz val="14"/>
      <color rgb="FFFF0000"/>
      <name val="Arial"/>
      <family val="2"/>
    </font>
    <font>
      <b/>
      <u/>
      <sz val="11"/>
      <name val="Arial"/>
      <family val="2"/>
    </font>
    <font>
      <b/>
      <sz val="13"/>
      <color theme="1"/>
      <name val="Arial"/>
      <family val="2"/>
    </font>
    <font>
      <sz val="13"/>
      <color theme="1"/>
      <name val="Arial"/>
      <family val="2"/>
    </font>
    <font>
      <i/>
      <sz val="11"/>
      <color theme="1"/>
      <name val="Arial"/>
      <family val="2"/>
    </font>
    <font>
      <u/>
      <sz val="11"/>
      <color indexed="12"/>
      <name val="Arial"/>
      <family val="2"/>
    </font>
    <font>
      <b/>
      <u/>
      <sz val="11"/>
      <color indexed="12"/>
      <name val="Arial"/>
      <family val="2"/>
    </font>
    <font>
      <b/>
      <u/>
      <sz val="12"/>
      <color indexed="12"/>
      <name val="Arial"/>
      <family val="2"/>
    </font>
    <font>
      <b/>
      <sz val="7"/>
      <color rgb="FF202122"/>
      <name val="Arial"/>
      <family val="2"/>
    </font>
    <font>
      <sz val="8"/>
      <color theme="4" tint="-0.499984740745262"/>
      <name val="Arial"/>
      <family val="2"/>
    </font>
    <font>
      <u/>
      <sz val="8"/>
      <color indexed="12"/>
      <name val="Arial"/>
      <family val="2"/>
    </font>
    <font>
      <sz val="8"/>
      <color rgb="FF666666"/>
      <name val="Source Sans Pro"/>
      <family val="2"/>
    </font>
    <font>
      <b/>
      <i/>
      <sz val="11"/>
      <color theme="1"/>
      <name val="Arial"/>
      <family val="2"/>
    </font>
    <font>
      <b/>
      <sz val="14"/>
      <color theme="1"/>
      <name val="Calibri"/>
      <family val="2"/>
      <scheme val="minor"/>
    </font>
    <font>
      <sz val="14"/>
      <color theme="1"/>
      <name val="Calibri"/>
      <family val="2"/>
      <scheme val="minor"/>
    </font>
    <font>
      <sz val="8"/>
      <color theme="1"/>
      <name val="Calibri"/>
      <family val="2"/>
    </font>
    <font>
      <sz val="14"/>
      <color rgb="FFFF0000"/>
      <name val="Wingdings 3"/>
      <family val="1"/>
      <charset val="2"/>
    </font>
    <font>
      <sz val="8"/>
      <color rgb="FF0070C0"/>
      <name val="Arial"/>
      <family val="2"/>
    </font>
    <font>
      <b/>
      <sz val="8"/>
      <color rgb="FF0070C0"/>
      <name val="Arial"/>
      <family val="2"/>
    </font>
    <font>
      <b/>
      <sz val="14"/>
      <color theme="1"/>
      <name val="Calibri"/>
      <family val="2"/>
    </font>
    <font>
      <sz val="11"/>
      <color theme="1"/>
      <name val="Webdings"/>
      <family val="1"/>
      <charset val="2"/>
    </font>
    <font>
      <b/>
      <sz val="20"/>
      <color theme="1"/>
      <name val="Calibri"/>
      <family val="2"/>
      <scheme val="minor"/>
    </font>
    <font>
      <sz val="11"/>
      <name val="MetaNormalLF-Roman"/>
      <family val="2"/>
    </font>
    <font>
      <sz val="11"/>
      <color theme="0" tint="-0.14999847407452621"/>
      <name val="Calibri"/>
      <family val="2"/>
      <scheme val="minor"/>
    </font>
    <font>
      <b/>
      <sz val="16"/>
      <color indexed="8"/>
      <name val="Arial"/>
      <family val="2"/>
    </font>
    <font>
      <b/>
      <sz val="14"/>
      <color rgb="FFC00000"/>
      <name val="Arial"/>
      <family val="2"/>
    </font>
    <font>
      <b/>
      <sz val="26"/>
      <color indexed="8"/>
      <name val="Arial"/>
      <family val="2"/>
    </font>
    <font>
      <b/>
      <u/>
      <sz val="11"/>
      <color rgb="FF0000FF"/>
      <name val="Arial"/>
      <family val="1"/>
      <charset val="2"/>
    </font>
    <font>
      <sz val="9"/>
      <color rgb="FF000000"/>
      <name val="Arial"/>
      <family val="2"/>
    </font>
    <font>
      <sz val="8"/>
      <color rgb="FF333333"/>
      <name val="Ambleregular"/>
    </font>
    <font>
      <u/>
      <sz val="14"/>
      <color indexed="12"/>
      <name val="Arial"/>
      <family val="2"/>
    </font>
    <font>
      <b/>
      <u/>
      <sz val="14"/>
      <color indexed="12"/>
      <name val="Arial"/>
      <family val="2"/>
    </font>
    <font>
      <b/>
      <u/>
      <sz val="10"/>
      <color theme="1"/>
      <name val="Arial"/>
      <family val="2"/>
    </font>
    <font>
      <u/>
      <sz val="8"/>
      <color rgb="FF0000FF"/>
      <name val="Arial"/>
      <family val="2"/>
    </font>
    <font>
      <u/>
      <sz val="11"/>
      <color theme="1"/>
      <name val="Arial"/>
      <family val="2"/>
    </font>
    <font>
      <i/>
      <u/>
      <sz val="10"/>
      <color indexed="12"/>
      <name val="Arial"/>
      <family val="2"/>
    </font>
    <font>
      <i/>
      <sz val="11"/>
      <color theme="2" tint="-0.499984740745262"/>
      <name val="Arial"/>
      <family val="2"/>
    </font>
    <font>
      <b/>
      <u/>
      <sz val="16"/>
      <color theme="1"/>
      <name val="Arial"/>
      <family val="2"/>
    </font>
    <font>
      <b/>
      <u/>
      <sz val="14"/>
      <color rgb="FFFF0000"/>
      <name val="Arial"/>
      <family val="2"/>
    </font>
    <font>
      <i/>
      <sz val="11"/>
      <color theme="1"/>
      <name val="Calibri"/>
      <family val="2"/>
      <scheme val="minor"/>
    </font>
    <font>
      <u/>
      <sz val="15"/>
      <color rgb="FFFF0000"/>
      <name val="Arial Rounded MT Bold"/>
      <family val="2"/>
    </font>
    <font>
      <b/>
      <sz val="11"/>
      <color theme="1"/>
      <name val="Arial"/>
      <family val="1"/>
      <charset val="2"/>
    </font>
    <font>
      <b/>
      <sz val="11"/>
      <color theme="1"/>
      <name val="Wingdings 3"/>
      <family val="1"/>
      <charset val="2"/>
    </font>
    <font>
      <sz val="11"/>
      <name val="Calibri"/>
      <family val="2"/>
      <scheme val="minor"/>
    </font>
    <font>
      <b/>
      <u/>
      <sz val="10"/>
      <color theme="0"/>
      <name val="Arial"/>
      <family val="2"/>
    </font>
    <font>
      <b/>
      <sz val="22"/>
      <color theme="1"/>
      <name val="Arial"/>
      <family val="2"/>
    </font>
    <font>
      <b/>
      <sz val="11"/>
      <color theme="0" tint="-4.9989318521683403E-2"/>
      <name val="Arial"/>
      <family val="2"/>
    </font>
    <font>
      <sz val="9"/>
      <color theme="0" tint="-4.9989318521683403E-2"/>
      <name val="Arial"/>
      <family val="2"/>
    </font>
    <font>
      <sz val="12"/>
      <color rgb="FFFF0000"/>
      <name val="Wingdings 2"/>
      <family val="1"/>
      <charset val="2"/>
    </font>
    <font>
      <sz val="10"/>
      <color theme="1"/>
      <name val="Arial"/>
      <family val="1"/>
      <charset val="2"/>
    </font>
    <font>
      <sz val="12"/>
      <color rgb="FFFFC000"/>
      <name val="Wingdings 2"/>
      <family val="1"/>
      <charset val="2"/>
    </font>
    <font>
      <sz val="10"/>
      <color theme="1"/>
      <name val="Calibri"/>
      <family val="2"/>
      <scheme val="minor"/>
    </font>
    <font>
      <b/>
      <sz val="10"/>
      <color theme="1"/>
      <name val="Calibri"/>
      <family val="2"/>
      <scheme val="minor"/>
    </font>
    <font>
      <sz val="10"/>
      <color theme="1"/>
      <name val="Calibri Light"/>
      <family val="2"/>
      <scheme val="major"/>
    </font>
    <font>
      <sz val="11"/>
      <color theme="1"/>
      <name val="Wingdings 3"/>
      <family val="1"/>
      <charset val="2"/>
    </font>
    <font>
      <u/>
      <vertAlign val="superscript"/>
      <sz val="10"/>
      <color rgb="FF0000FF"/>
      <name val="Arial"/>
      <family val="2"/>
    </font>
    <font>
      <sz val="12"/>
      <color rgb="FF333333"/>
      <name val="Arial"/>
      <family val="2"/>
    </font>
    <font>
      <sz val="12"/>
      <color rgb="FF333333"/>
      <name val="Courier New"/>
      <family val="3"/>
    </font>
    <font>
      <b/>
      <u/>
      <sz val="8"/>
      <color rgb="FFFF0000"/>
      <name val="Arial"/>
      <family val="2"/>
    </font>
    <font>
      <b/>
      <sz val="11"/>
      <color rgb="FF0070C0"/>
      <name val="Arial"/>
      <family val="2"/>
    </font>
    <font>
      <sz val="10"/>
      <color indexed="8"/>
      <name val="Calibri"/>
      <family val="2"/>
      <scheme val="minor"/>
    </font>
    <font>
      <sz val="10"/>
      <color theme="1"/>
      <name val="Höchstrechnungszins"/>
    </font>
    <font>
      <sz val="10"/>
      <color rgb="FF000000"/>
      <name val="Calibri"/>
      <family val="2"/>
      <scheme val="minor"/>
    </font>
    <font>
      <b/>
      <sz val="10"/>
      <color theme="1"/>
      <name val="Calibri Light"/>
      <family val="2"/>
      <scheme val="major"/>
    </font>
    <font>
      <vertAlign val="superscript"/>
      <sz val="10"/>
      <color theme="1"/>
      <name val="Arial"/>
      <family val="2"/>
    </font>
    <font>
      <b/>
      <i/>
      <sz val="10"/>
      <color theme="1"/>
      <name val="Arial"/>
      <family val="2"/>
    </font>
    <font>
      <b/>
      <u/>
      <sz val="16"/>
      <color rgb="FFFF0000"/>
      <name val="Arial"/>
      <family val="2"/>
    </font>
    <font>
      <b/>
      <sz val="12"/>
      <color rgb="FFFF0000"/>
      <name val="Calibri"/>
      <family val="2"/>
      <scheme val="minor"/>
    </font>
    <font>
      <b/>
      <sz val="26"/>
      <color theme="1"/>
      <name val="Arial"/>
      <family val="2"/>
    </font>
    <font>
      <sz val="26"/>
      <color theme="1"/>
      <name val="Arial"/>
      <family val="2"/>
    </font>
    <font>
      <b/>
      <u/>
      <sz val="8"/>
      <color theme="1"/>
      <name val="Arial"/>
      <family val="2"/>
    </font>
    <font>
      <b/>
      <sz val="8"/>
      <color indexed="62"/>
      <name val="Arial"/>
      <family val="2"/>
    </font>
    <font>
      <sz val="10"/>
      <color rgb="FF000000"/>
      <name val="Calibri Light"/>
      <family val="2"/>
      <scheme val="major"/>
    </font>
    <font>
      <u/>
      <sz val="9"/>
      <color indexed="12"/>
      <name val="Arial"/>
      <family val="2"/>
    </font>
    <font>
      <b/>
      <sz val="16"/>
      <color rgb="FFFF0000"/>
      <name val="Arial"/>
      <family val="2"/>
    </font>
    <font>
      <b/>
      <sz val="18"/>
      <color rgb="FF000000"/>
      <name val="Arial"/>
      <family val="2"/>
    </font>
    <font>
      <i/>
      <sz val="10"/>
      <name val="Arial"/>
      <family val="2"/>
    </font>
    <font>
      <vertAlign val="superscript"/>
      <sz val="8"/>
      <color indexed="10"/>
      <name val="Arial"/>
      <family val="2"/>
    </font>
    <font>
      <sz val="11"/>
      <color rgb="FF666666"/>
      <name val="Arial"/>
      <family val="2"/>
    </font>
    <font>
      <b/>
      <sz val="11"/>
      <color theme="1"/>
      <name val="Calibri"/>
      <family val="2"/>
    </font>
    <font>
      <sz val="9"/>
      <color theme="1"/>
      <name val="Calibri"/>
      <family val="2"/>
      <scheme val="minor"/>
    </font>
    <font>
      <b/>
      <u/>
      <sz val="12"/>
      <color theme="1"/>
      <name val="Arial"/>
      <family val="2"/>
    </font>
    <font>
      <sz val="11"/>
      <color indexed="12"/>
      <name val="Arial"/>
      <family val="2"/>
    </font>
    <font>
      <sz val="13.5"/>
      <color rgb="FF000000"/>
      <name val="Times New Roman"/>
      <family val="1"/>
    </font>
    <font>
      <sz val="11"/>
      <color rgb="FF00B050"/>
      <name val="Wingdings 3"/>
      <family val="1"/>
      <charset val="2"/>
    </font>
    <font>
      <u/>
      <sz val="10"/>
      <color indexed="12"/>
      <name val="Calibri"/>
      <family val="2"/>
      <scheme val="minor"/>
    </font>
    <font>
      <sz val="11"/>
      <color rgb="FFFF0000"/>
      <name val="Wingdings 3"/>
      <family val="1"/>
      <charset val="2"/>
    </font>
    <font>
      <sz val="11"/>
      <color rgb="FFFFC000"/>
      <name val="Wingdings 3"/>
      <family val="1"/>
      <charset val="2"/>
    </font>
    <font>
      <sz val="10.5"/>
      <color theme="1"/>
      <name val="Arial"/>
      <family val="2"/>
    </font>
    <font>
      <b/>
      <sz val="11"/>
      <color indexed="8"/>
      <name val="Calibri"/>
      <family val="2"/>
      <scheme val="minor"/>
    </font>
    <font>
      <sz val="8"/>
      <color theme="0" tint="-0.499984740745262"/>
      <name val="Arial"/>
      <family val="2"/>
    </font>
    <font>
      <b/>
      <sz val="18"/>
      <name val="Arial"/>
      <family val="2"/>
    </font>
    <font>
      <sz val="11"/>
      <color theme="1"/>
      <name val="Arial"/>
      <family val="1"/>
      <charset val="2"/>
    </font>
    <font>
      <b/>
      <sz val="11"/>
      <color theme="0" tint="-0.499984740745262"/>
      <name val="Arial"/>
      <family val="2"/>
    </font>
    <font>
      <b/>
      <sz val="11"/>
      <color rgb="FF0066FF"/>
      <name val="Arial"/>
      <family val="2"/>
    </font>
    <font>
      <b/>
      <sz val="11"/>
      <color theme="1"/>
      <name val="Webdings"/>
      <family val="1"/>
      <charset val="2"/>
    </font>
    <font>
      <sz val="20"/>
      <color theme="1"/>
      <name val="Arial"/>
      <family val="2"/>
    </font>
    <font>
      <sz val="11"/>
      <color theme="1"/>
      <name val="Segoe UI Symbol"/>
      <family val="2"/>
    </font>
    <font>
      <sz val="11"/>
      <color theme="1"/>
      <name val="Modern Love"/>
      <family val="5"/>
    </font>
    <font>
      <sz val="10.5"/>
      <color theme="1"/>
      <name val="Calibri"/>
      <family val="2"/>
      <scheme val="minor"/>
    </font>
    <font>
      <b/>
      <sz val="12"/>
      <color theme="1"/>
      <name val="Arial"/>
      <family val="1"/>
      <charset val="2"/>
    </font>
    <font>
      <b/>
      <sz val="12"/>
      <color rgb="FFFF0000"/>
      <name val="Wingdings 3"/>
      <family val="1"/>
      <charset val="2"/>
    </font>
    <font>
      <b/>
      <sz val="12"/>
      <color rgb="FFFFC000"/>
      <name val="Wingdings 3"/>
      <family val="1"/>
      <charset val="2"/>
    </font>
    <font>
      <b/>
      <sz val="12"/>
      <color rgb="FF92D050"/>
      <name val="Wingdings 3"/>
      <family val="1"/>
      <charset val="2"/>
    </font>
    <font>
      <sz val="10"/>
      <color theme="1" tint="0.499984740745262"/>
      <name val="Arial"/>
      <family val="2"/>
    </font>
    <font>
      <sz val="10"/>
      <color theme="1"/>
      <name val="Calibri"/>
      <family val="2"/>
    </font>
    <font>
      <b/>
      <sz val="10.5"/>
      <color theme="1"/>
      <name val="Calibri"/>
      <family val="2"/>
      <scheme val="minor"/>
    </font>
    <font>
      <sz val="72"/>
      <color theme="1"/>
      <name val="Wingdings 2"/>
      <family val="1"/>
      <charset val="2"/>
    </font>
    <font>
      <sz val="11"/>
      <color theme="1"/>
      <name val="Wingdings 2"/>
      <family val="1"/>
      <charset val="2"/>
    </font>
    <font>
      <sz val="11"/>
      <color theme="1"/>
      <name val="Segoe UI Semibold"/>
      <family val="2"/>
    </font>
    <font>
      <sz val="8"/>
      <color rgb="FFFFC000"/>
      <name val="Wingdings 2"/>
      <family val="1"/>
      <charset val="2"/>
    </font>
    <font>
      <sz val="11"/>
      <color theme="1"/>
      <name val="Calibri"/>
      <family val="2"/>
    </font>
    <font>
      <u/>
      <sz val="10"/>
      <color rgb="FF0066FF"/>
      <name val="Arial"/>
      <family val="2"/>
    </font>
    <font>
      <b/>
      <u/>
      <sz val="11"/>
      <color theme="1"/>
      <name val="Calibri"/>
      <family val="2"/>
      <scheme val="minor"/>
    </font>
    <font>
      <sz val="11"/>
      <color indexed="8"/>
      <name val="Calibri"/>
      <family val="2"/>
      <scheme val="minor"/>
    </font>
    <font>
      <b/>
      <u/>
      <sz val="14"/>
      <color theme="1"/>
      <name val="Calibri"/>
      <family val="2"/>
      <scheme val="minor"/>
    </font>
    <font>
      <u/>
      <sz val="11"/>
      <color rgb="FF0066FF"/>
      <name val="Calibri"/>
      <family val="2"/>
      <scheme val="minor"/>
    </font>
    <font>
      <u/>
      <sz val="9"/>
      <color rgb="FF0066FF"/>
      <name val="Calibri"/>
      <family val="2"/>
      <scheme val="minor"/>
    </font>
    <font>
      <b/>
      <sz val="9"/>
      <color theme="1"/>
      <name val="Calibri"/>
      <family val="2"/>
      <scheme val="minor"/>
    </font>
    <font>
      <b/>
      <u/>
      <sz val="9"/>
      <color rgb="FF0066FF"/>
      <name val="Calibri"/>
      <family val="2"/>
      <scheme val="minor"/>
    </font>
    <font>
      <b/>
      <sz val="24"/>
      <color theme="1"/>
      <name val="Calibri"/>
      <family val="2"/>
      <scheme val="minor"/>
    </font>
    <font>
      <sz val="10"/>
      <color theme="0" tint="-4.9989318521683403E-2"/>
      <name val="Calibri"/>
      <family val="2"/>
      <scheme val="minor"/>
    </font>
    <font>
      <u/>
      <sz val="8"/>
      <color theme="1"/>
      <name val="Arial"/>
      <family val="2"/>
    </font>
    <font>
      <sz val="16"/>
      <color theme="1"/>
      <name val="Calibri"/>
      <family val="2"/>
      <scheme val="minor"/>
    </font>
    <font>
      <b/>
      <sz val="10"/>
      <color theme="1"/>
      <name val="Calibri"/>
      <family val="2"/>
    </font>
    <font>
      <sz val="9"/>
      <color theme="0" tint="-0.499984740745262"/>
      <name val="Arial"/>
      <family val="2"/>
    </font>
    <font>
      <u/>
      <sz val="6"/>
      <color indexed="12"/>
      <name val="Arial"/>
      <family val="2"/>
    </font>
    <font>
      <u/>
      <sz val="10"/>
      <color theme="10"/>
      <name val="Arial"/>
      <family val="2"/>
    </font>
    <font>
      <sz val="11"/>
      <color theme="1" tint="0.499984740745262"/>
      <name val="Arial"/>
      <family val="2"/>
    </font>
    <font>
      <b/>
      <sz val="11"/>
      <color theme="1"/>
      <name val="Aptos Narrow"/>
      <family val="2"/>
    </font>
    <font>
      <b/>
      <sz val="12"/>
      <color theme="0"/>
      <name val="Arial"/>
      <family val="2"/>
    </font>
    <font>
      <b/>
      <u/>
      <sz val="11"/>
      <color rgb="FFFF0000"/>
      <name val="Arial"/>
      <family val="2"/>
    </font>
    <font>
      <b/>
      <u/>
      <sz val="11"/>
      <color rgb="FF0066FF"/>
      <name val="Arial"/>
      <family val="2"/>
    </font>
    <font>
      <sz val="10"/>
      <color theme="1"/>
      <name val="Aptos Narrow"/>
      <family val="2"/>
    </font>
    <font>
      <sz val="9.5"/>
      <color theme="1"/>
      <name val="Arial"/>
      <family val="2"/>
    </font>
    <font>
      <b/>
      <i/>
      <sz val="8"/>
      <name val="Arial"/>
      <family val="2"/>
    </font>
    <font>
      <i/>
      <sz val="10"/>
      <name val="MetaNormalLF-Roman"/>
      <family val="2"/>
    </font>
    <font>
      <b/>
      <i/>
      <sz val="8"/>
      <color indexed="8"/>
      <name val="Arial"/>
      <family val="2"/>
    </font>
    <font>
      <i/>
      <sz val="8"/>
      <color theme="1"/>
      <name val="Arial"/>
      <family val="2"/>
    </font>
    <font>
      <b/>
      <sz val="8"/>
      <name val="Calibri"/>
      <family val="2"/>
    </font>
    <font>
      <sz val="10"/>
      <name val="Calibri"/>
      <family val="2"/>
    </font>
    <font>
      <b/>
      <sz val="9"/>
      <name val="Arial"/>
      <family val="2"/>
    </font>
  </fonts>
  <fills count="31">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gradientFill degree="270">
        <stop position="0">
          <color theme="0"/>
        </stop>
        <stop position="1">
          <color theme="0" tint="-0.25098422193060094"/>
        </stop>
      </gradientFill>
    </fill>
    <fill>
      <patternFill patternType="solid">
        <fgColor theme="0"/>
        <bgColor indexed="64"/>
      </patternFill>
    </fill>
    <fill>
      <patternFill patternType="solid">
        <fgColor theme="0"/>
      </patternFill>
    </fill>
    <fill>
      <patternFill patternType="solid">
        <fgColor rgb="FFFFFF00"/>
        <bgColor indexed="64"/>
      </patternFill>
    </fill>
    <fill>
      <patternFill patternType="solid">
        <fgColor theme="0" tint="-4.9989318521683403E-2"/>
        <bgColor indexed="64"/>
      </patternFill>
    </fill>
    <fill>
      <patternFill patternType="solid">
        <fgColor theme="8" tint="0.59999389629810485"/>
        <bgColor indexed="64"/>
      </patternFill>
    </fill>
    <fill>
      <gradientFill type="path" left="1" right="1" top="1" bottom="1">
        <stop position="0">
          <color theme="0" tint="-5.0965910824915313E-2"/>
        </stop>
        <stop position="1">
          <color theme="0"/>
        </stop>
      </gradientFill>
    </fill>
    <fill>
      <gradientFill degree="90">
        <stop position="0">
          <color theme="0"/>
        </stop>
        <stop position="1">
          <color theme="0" tint="-0.25098422193060094"/>
        </stop>
      </gradientFill>
    </fill>
    <fill>
      <patternFill patternType="solid">
        <fgColor theme="4" tint="0.39997558519241921"/>
        <bgColor indexed="64"/>
      </patternFill>
    </fill>
    <fill>
      <patternFill patternType="solid">
        <fgColor indexed="43"/>
        <bgColor indexed="64"/>
      </patternFill>
    </fill>
    <fill>
      <patternFill patternType="solid">
        <fgColor rgb="FFF6CBC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BEE39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5" tint="0.79998168889431442"/>
        <bgColor indexed="64"/>
      </patternFill>
    </fill>
    <fill>
      <patternFill patternType="solid">
        <fgColor rgb="FFEEF1F6"/>
        <bgColor indexed="64"/>
      </patternFill>
    </fill>
    <fill>
      <patternFill patternType="solid">
        <fgColor rgb="FF00B0F0"/>
        <bgColor indexed="64"/>
      </patternFill>
    </fill>
    <fill>
      <gradientFill>
        <stop position="0">
          <color theme="4" tint="0.59999389629810485"/>
        </stop>
        <stop position="1">
          <color theme="5" tint="0.59999389629810485"/>
        </stop>
      </gradientFill>
    </fill>
    <fill>
      <patternFill patternType="solid">
        <fgColor rgb="FFFFFFFF"/>
        <bgColor indexed="64"/>
      </patternFill>
    </fill>
    <fill>
      <patternFill patternType="solid">
        <fgColor theme="9" tint="0.79998168889431442"/>
        <bgColor indexed="64"/>
      </patternFill>
    </fill>
    <fill>
      <patternFill patternType="solid">
        <fgColor rgb="FFFF0000"/>
        <bgColor indexed="64"/>
      </patternFill>
    </fill>
    <fill>
      <patternFill patternType="solid">
        <fgColor rgb="FFEEFEC6"/>
        <bgColor indexed="64"/>
      </patternFill>
    </fill>
  </fills>
  <borders count="30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dashed">
        <color indexed="64"/>
      </top>
      <bottom style="dashed">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dashed">
        <color indexed="64"/>
      </left>
      <right style="dashed">
        <color indexed="64"/>
      </right>
      <top style="dashed">
        <color indexed="64"/>
      </top>
      <bottom style="dashed">
        <color indexed="64"/>
      </bottom>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dashed">
        <color indexed="64"/>
      </top>
      <bottom style="thick">
        <color indexed="64"/>
      </bottom>
      <diagonal/>
    </border>
    <border>
      <left/>
      <right style="dashed">
        <color indexed="64"/>
      </right>
      <top style="dashed">
        <color indexed="64"/>
      </top>
      <bottom style="thick">
        <color indexed="64"/>
      </bottom>
      <diagonal/>
    </border>
    <border>
      <left/>
      <right style="medium">
        <color indexed="64"/>
      </right>
      <top style="dashed">
        <color indexed="64"/>
      </top>
      <bottom style="dashed">
        <color indexed="64"/>
      </bottom>
      <diagonal/>
    </border>
    <border>
      <left/>
      <right/>
      <top style="dashed">
        <color indexed="64"/>
      </top>
      <bottom style="dott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ck">
        <color indexed="64"/>
      </bottom>
      <diagonal/>
    </border>
    <border>
      <left/>
      <right/>
      <top style="dashed">
        <color indexed="64"/>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thin">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bottom/>
      <diagonal/>
    </border>
    <border>
      <left/>
      <right style="medium">
        <color theme="0" tint="-0.249977111117893"/>
      </right>
      <top/>
      <bottom/>
      <diagonal/>
    </border>
    <border>
      <left style="thin">
        <color indexed="64"/>
      </left>
      <right style="medium">
        <color theme="0" tint="-0.249977111117893"/>
      </right>
      <top style="thin">
        <color indexed="64"/>
      </top>
      <bottom style="thin">
        <color indexed="64"/>
      </bottom>
      <diagonal/>
    </border>
    <border>
      <left style="thin">
        <color indexed="64"/>
      </left>
      <right style="thin">
        <color indexed="64"/>
      </right>
      <top style="thin">
        <color indexed="64"/>
      </top>
      <bottom style="medium">
        <color theme="0" tint="-0.249977111117893"/>
      </bottom>
      <diagonal/>
    </border>
    <border>
      <left style="thin">
        <color indexed="64"/>
      </left>
      <right style="medium">
        <color theme="0" tint="-0.249977111117893"/>
      </right>
      <top style="thin">
        <color indexed="64"/>
      </top>
      <bottom style="medium">
        <color theme="0" tint="-0.249977111117893"/>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double">
        <color indexed="64"/>
      </bottom>
      <diagonal/>
    </border>
    <border>
      <left style="thin">
        <color indexed="64"/>
      </left>
      <right style="thin">
        <color indexed="64"/>
      </right>
      <top/>
      <bottom/>
      <diagonal/>
    </border>
    <border>
      <left style="thin">
        <color indexed="64"/>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medium">
        <color indexed="64"/>
      </right>
      <top/>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style="double">
        <color indexed="64"/>
      </top>
      <bottom style="double">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double">
        <color indexed="64"/>
      </top>
      <bottom style="double">
        <color indexed="64"/>
      </bottom>
      <diagonal/>
    </border>
    <border>
      <left style="thin">
        <color indexed="64"/>
      </left>
      <right style="thin">
        <color indexed="64"/>
      </right>
      <top style="medium">
        <color indexed="64"/>
      </top>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ck">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thin">
        <color indexed="64"/>
      </left>
      <right style="thick">
        <color indexed="64"/>
      </right>
      <top style="thin">
        <color indexed="64"/>
      </top>
      <bottom style="medium">
        <color indexed="64"/>
      </bottom>
      <diagonal/>
    </border>
    <border>
      <left/>
      <right style="thick">
        <color indexed="64"/>
      </right>
      <top/>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ck">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thick">
        <color indexed="64"/>
      </left>
      <right style="medium">
        <color indexed="64"/>
      </right>
      <top style="medium">
        <color indexed="64"/>
      </top>
      <bottom style="medium">
        <color indexed="64"/>
      </bottom>
      <diagonal/>
    </border>
    <border>
      <left/>
      <right style="thick">
        <color indexed="64"/>
      </right>
      <top style="medium">
        <color auto="1"/>
      </top>
      <bottom style="medium">
        <color indexed="64"/>
      </bottom>
      <diagonal/>
    </border>
    <border>
      <left style="thick">
        <color indexed="64"/>
      </left>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style="thin">
        <color indexed="64"/>
      </left>
      <right style="thick">
        <color indexed="64"/>
      </right>
      <top style="thin">
        <color indexed="64"/>
      </top>
      <bottom/>
      <diagonal/>
    </border>
    <border>
      <left/>
      <right/>
      <top/>
      <bottom style="thick">
        <color indexed="64"/>
      </bottom>
      <diagonal/>
    </border>
    <border>
      <left style="thick">
        <color indexed="64"/>
      </left>
      <right/>
      <top/>
      <bottom/>
      <diagonal/>
    </border>
    <border>
      <left style="medium">
        <color indexed="64"/>
      </left>
      <right style="medium">
        <color indexed="64"/>
      </right>
      <top style="thin">
        <color indexed="64"/>
      </top>
      <bottom style="medium">
        <color indexed="64"/>
      </bottom>
      <diagonal/>
    </border>
    <border>
      <left style="thick">
        <color indexed="64"/>
      </left>
      <right/>
      <top style="thin">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top style="thin">
        <color rgb="FF000000"/>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thin">
        <color indexed="64"/>
      </left>
      <right/>
      <top/>
      <bottom style="double">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bottom style="dashed">
        <color indexed="64"/>
      </bottom>
      <diagonal/>
    </border>
    <border>
      <left style="medium">
        <color rgb="FFFFFFFF"/>
      </left>
      <right style="medium">
        <color rgb="FFFFFFFF"/>
      </right>
      <top style="medium">
        <color rgb="FFFFFFFF"/>
      </top>
      <bottom style="medium">
        <color rgb="FFFFFFFF"/>
      </bottom>
      <diagonal/>
    </border>
    <border>
      <left/>
      <right style="medium">
        <color rgb="FFE1E1E1"/>
      </right>
      <top/>
      <bottom/>
      <diagonal/>
    </border>
    <border>
      <left style="medium">
        <color rgb="FFE1E1E1"/>
      </left>
      <right style="medium">
        <color rgb="FFE1E1E1"/>
      </right>
      <top style="medium">
        <color rgb="FFE1E1E1"/>
      </top>
      <bottom style="medium">
        <color rgb="FFE1E1E1"/>
      </bottom>
      <diagonal/>
    </border>
    <border>
      <left/>
      <right style="medium">
        <color rgb="FFD7E1F0"/>
      </right>
      <top/>
      <bottom/>
      <diagonal/>
    </border>
    <border>
      <left/>
      <right style="medium">
        <color rgb="FFE1E1E1"/>
      </right>
      <top/>
      <bottom style="medium">
        <color rgb="FFD7E1F0"/>
      </bottom>
      <diagonal/>
    </border>
    <border>
      <left/>
      <right/>
      <top/>
      <bottom style="medium">
        <color rgb="FFD7E1F0"/>
      </bottom>
      <diagonal/>
    </border>
    <border>
      <left/>
      <right style="medium">
        <color rgb="FFD7E1F0"/>
      </right>
      <top/>
      <bottom style="medium">
        <color rgb="FFD7E1F0"/>
      </bottom>
      <diagonal/>
    </border>
    <border>
      <left style="thick">
        <color indexed="64"/>
      </left>
      <right/>
      <top/>
      <bottom style="medium">
        <color indexed="64"/>
      </bottom>
      <diagonal/>
    </border>
    <border>
      <left style="thick">
        <color indexed="64"/>
      </left>
      <right/>
      <top style="medium">
        <color indexed="64"/>
      </top>
      <bottom style="thin">
        <color indexed="64"/>
      </bottom>
      <diagonal/>
    </border>
    <border>
      <left style="thin">
        <color indexed="64"/>
      </left>
      <right style="thick">
        <color indexed="64"/>
      </right>
      <top/>
      <bottom style="thick">
        <color indexed="64"/>
      </bottom>
      <diagonal/>
    </border>
    <border>
      <left style="dashed">
        <color indexed="64"/>
      </left>
      <right style="dashed">
        <color indexed="64"/>
      </right>
      <top style="dashed">
        <color indexed="64"/>
      </top>
      <bottom style="thick">
        <color indexed="64"/>
      </bottom>
      <diagonal/>
    </border>
    <border>
      <left style="thin">
        <color indexed="64"/>
      </left>
      <right style="thin">
        <color indexed="64"/>
      </right>
      <top/>
      <bottom style="thick">
        <color indexed="64"/>
      </bottom>
      <diagonal/>
    </border>
    <border>
      <left/>
      <right style="thin">
        <color indexed="64"/>
      </right>
      <top style="thin">
        <color indexed="64"/>
      </top>
      <bottom style="thick">
        <color indexed="64"/>
      </bottom>
      <diagonal/>
    </border>
    <border>
      <left/>
      <right style="thin">
        <color indexed="64"/>
      </right>
      <top style="thick">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ck">
        <color indexed="64"/>
      </left>
      <right/>
      <top style="thin">
        <color indexed="64"/>
      </top>
      <bottom style="thick">
        <color indexed="64"/>
      </bottom>
      <diagonal/>
    </border>
    <border>
      <left style="thick">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style="thin">
        <color indexed="64"/>
      </top>
      <bottom style="double">
        <color indexed="64"/>
      </bottom>
      <diagonal/>
    </border>
    <border>
      <left style="thick">
        <color indexed="64"/>
      </left>
      <right/>
      <top style="medium">
        <color indexed="64"/>
      </top>
      <bottom style="medium">
        <color indexed="64"/>
      </bottom>
      <diagonal/>
    </border>
    <border>
      <left/>
      <right style="thick">
        <color indexed="64"/>
      </right>
      <top/>
      <bottom style="thick">
        <color indexed="64"/>
      </bottom>
      <diagonal/>
    </border>
    <border>
      <left style="thick">
        <color indexed="64"/>
      </left>
      <right style="thin">
        <color indexed="64"/>
      </right>
      <top/>
      <bottom/>
      <diagonal/>
    </border>
    <border>
      <left style="thick">
        <color indexed="64"/>
      </left>
      <right/>
      <top style="thick">
        <color indexed="64"/>
      </top>
      <bottom style="thin">
        <color indexed="64"/>
      </bottom>
      <diagonal/>
    </border>
    <border>
      <left style="thick">
        <color indexed="64"/>
      </left>
      <right/>
      <top style="medium">
        <color indexed="64"/>
      </top>
      <bottom/>
      <diagonal/>
    </border>
    <border>
      <left/>
      <right style="thick">
        <color indexed="64"/>
      </right>
      <top style="medium">
        <color auto="1"/>
      </top>
      <bottom/>
      <diagonal/>
    </border>
    <border>
      <left style="thin">
        <color indexed="64"/>
      </left>
      <right style="thick">
        <color indexed="64"/>
      </right>
      <top/>
      <bottom/>
      <diagonal/>
    </border>
    <border>
      <left style="thick">
        <color indexed="64"/>
      </left>
      <right style="thin">
        <color indexed="64"/>
      </right>
      <top style="medium">
        <color indexed="64"/>
      </top>
      <bottom style="thin">
        <color indexed="64"/>
      </bottom>
      <diagonal/>
    </border>
    <border>
      <left/>
      <right style="thin">
        <color indexed="64"/>
      </right>
      <top style="dashed">
        <color indexed="64"/>
      </top>
      <bottom style="dashed">
        <color indexed="64"/>
      </bottom>
      <diagonal/>
    </border>
    <border>
      <left/>
      <right style="thin">
        <color rgb="FF000000"/>
      </right>
      <top/>
      <bottom/>
      <diagonal/>
    </border>
    <border>
      <left/>
      <right style="thin">
        <color rgb="FF000000"/>
      </right>
      <top style="thin">
        <color rgb="FF000000"/>
      </top>
      <bottom/>
      <diagonal/>
    </border>
    <border>
      <left/>
      <right style="thick">
        <color indexed="64"/>
      </right>
      <top style="thin">
        <color indexed="64"/>
      </top>
      <bottom style="thick">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ck">
        <color rgb="FFC00000"/>
      </left>
      <right style="thin">
        <color indexed="64"/>
      </right>
      <top style="thick">
        <color rgb="FFC00000"/>
      </top>
      <bottom style="thick">
        <color rgb="FFC00000"/>
      </bottom>
      <diagonal/>
    </border>
    <border>
      <left style="thin">
        <color indexed="64"/>
      </left>
      <right style="thin">
        <color indexed="64"/>
      </right>
      <top style="thick">
        <color rgb="FFC00000"/>
      </top>
      <bottom style="thick">
        <color rgb="FFC00000"/>
      </bottom>
      <diagonal/>
    </border>
    <border>
      <left style="thin">
        <color indexed="64"/>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right style="medium">
        <color indexed="64"/>
      </right>
      <top style="dashed">
        <color indexed="64"/>
      </top>
      <bottom/>
      <diagonal/>
    </border>
    <border>
      <left style="medium">
        <color indexed="64"/>
      </left>
      <right/>
      <top style="thick">
        <color indexed="64"/>
      </top>
      <bottom style="dashed">
        <color indexed="64"/>
      </bottom>
      <diagonal/>
    </border>
    <border>
      <left/>
      <right/>
      <top style="thick">
        <color indexed="64"/>
      </top>
      <bottom style="dashed">
        <color indexed="64"/>
      </bottom>
      <diagonal/>
    </border>
    <border>
      <left/>
      <right style="medium">
        <color indexed="64"/>
      </right>
      <top style="thick">
        <color indexed="64"/>
      </top>
      <bottom style="dashed">
        <color indexed="64"/>
      </bottom>
      <diagonal/>
    </border>
    <border>
      <left/>
      <right style="medium">
        <color indexed="64"/>
      </right>
      <top style="dashed">
        <color indexed="64"/>
      </top>
      <bottom style="thick">
        <color indexed="64"/>
      </bottom>
      <diagonal/>
    </border>
    <border>
      <left style="double">
        <color indexed="64"/>
      </left>
      <right style="thin">
        <color indexed="64"/>
      </right>
      <top style="thin">
        <color indexed="64"/>
      </top>
      <bottom/>
      <diagonal/>
    </border>
    <border>
      <left style="thin">
        <color indexed="64"/>
      </left>
      <right style="double">
        <color indexed="64"/>
      </right>
      <top/>
      <bottom style="medium">
        <color indexed="64"/>
      </bottom>
      <diagonal/>
    </border>
    <border>
      <left style="thin">
        <color indexed="64"/>
      </left>
      <right style="double">
        <color indexed="64"/>
      </right>
      <top style="thick">
        <color rgb="FFC00000"/>
      </top>
      <bottom style="thick">
        <color rgb="FFC00000"/>
      </bottom>
      <diagonal/>
    </border>
    <border>
      <left/>
      <right style="thick">
        <color indexed="64"/>
      </right>
      <top style="thin">
        <color indexed="64"/>
      </top>
      <bottom style="medium">
        <color indexed="64"/>
      </bottom>
      <diagonal/>
    </border>
    <border>
      <left/>
      <right style="thick">
        <color indexed="64"/>
      </right>
      <top style="medium">
        <color indexed="64"/>
      </top>
      <bottom style="thin">
        <color indexed="64"/>
      </bottom>
      <diagonal/>
    </border>
    <border>
      <left/>
      <right style="thick">
        <color indexed="64"/>
      </right>
      <top style="thick">
        <color indexed="64"/>
      </top>
      <bottom style="thick">
        <color rgb="FFC00000"/>
      </bottom>
      <diagonal/>
    </border>
    <border>
      <left style="thick">
        <color indexed="64"/>
      </left>
      <right style="thin">
        <color indexed="64"/>
      </right>
      <top style="thick">
        <color rgb="FFC00000"/>
      </top>
      <bottom style="thick">
        <color rgb="FFC00000"/>
      </bottom>
      <diagonal/>
    </border>
    <border>
      <left/>
      <right style="thick">
        <color indexed="64"/>
      </right>
      <top style="thick">
        <color rgb="FFC00000"/>
      </top>
      <bottom style="thick">
        <color rgb="FFC00000"/>
      </bottom>
      <diagonal/>
    </border>
    <border>
      <left style="double">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thick">
        <color theme="1"/>
      </left>
      <right style="thin">
        <color theme="1"/>
      </right>
      <top style="thin">
        <color theme="1"/>
      </top>
      <bottom style="thick">
        <color theme="1"/>
      </bottom>
      <diagonal/>
    </border>
    <border>
      <left style="thin">
        <color theme="1"/>
      </left>
      <right style="thin">
        <color theme="1"/>
      </right>
      <top style="thin">
        <color theme="1"/>
      </top>
      <bottom style="thick">
        <color theme="1"/>
      </bottom>
      <diagonal/>
    </border>
    <border>
      <left style="thin">
        <color theme="1"/>
      </left>
      <right style="thick">
        <color theme="1"/>
      </right>
      <top style="thin">
        <color theme="1"/>
      </top>
      <bottom style="thick">
        <color theme="1"/>
      </bottom>
      <diagonal/>
    </border>
    <border>
      <left style="thick">
        <color theme="1"/>
      </left>
      <right style="thin">
        <color theme="1"/>
      </right>
      <top style="thick">
        <color rgb="FFC00000"/>
      </top>
      <bottom/>
      <diagonal/>
    </border>
    <border>
      <left style="thin">
        <color theme="1"/>
      </left>
      <right style="thin">
        <color theme="1"/>
      </right>
      <top style="thick">
        <color rgb="FFC00000"/>
      </top>
      <bottom/>
      <diagonal/>
    </border>
    <border>
      <left style="thick">
        <color theme="1"/>
      </left>
      <right style="thin">
        <color theme="1"/>
      </right>
      <top style="double">
        <color theme="1"/>
      </top>
      <bottom style="thin">
        <color theme="1"/>
      </bottom>
      <diagonal/>
    </border>
    <border>
      <left style="thin">
        <color theme="1"/>
      </left>
      <right style="thin">
        <color theme="1"/>
      </right>
      <top style="double">
        <color theme="1"/>
      </top>
      <bottom style="thin">
        <color theme="1"/>
      </bottom>
      <diagonal/>
    </border>
    <border>
      <left style="thin">
        <color theme="1"/>
      </left>
      <right style="thick">
        <color theme="1"/>
      </right>
      <top style="double">
        <color theme="1"/>
      </top>
      <bottom style="thin">
        <color theme="1"/>
      </bottom>
      <diagonal/>
    </border>
    <border>
      <left style="thin">
        <color indexed="64"/>
      </left>
      <right style="thick">
        <color indexed="64"/>
      </right>
      <top style="double">
        <color indexed="64"/>
      </top>
      <bottom style="thin">
        <color indexed="64"/>
      </bottom>
      <diagonal/>
    </border>
    <border>
      <left/>
      <right/>
      <top/>
      <bottom style="thick">
        <color theme="4"/>
      </bottom>
      <diagonal/>
    </border>
    <border>
      <left style="thick">
        <color theme="4"/>
      </left>
      <right style="medium">
        <color indexed="64"/>
      </right>
      <top style="thick">
        <color theme="4"/>
      </top>
      <bottom/>
      <diagonal/>
    </border>
    <border>
      <left style="medium">
        <color indexed="64"/>
      </left>
      <right/>
      <top style="thick">
        <color theme="4"/>
      </top>
      <bottom style="thin">
        <color indexed="64"/>
      </bottom>
      <diagonal/>
    </border>
    <border>
      <left/>
      <right/>
      <top style="thick">
        <color theme="4"/>
      </top>
      <bottom style="thin">
        <color indexed="64"/>
      </bottom>
      <diagonal/>
    </border>
    <border>
      <left/>
      <right style="thick">
        <color theme="4"/>
      </right>
      <top style="thick">
        <color theme="4"/>
      </top>
      <bottom style="thin">
        <color indexed="64"/>
      </bottom>
      <diagonal/>
    </border>
    <border>
      <left style="thick">
        <color theme="4"/>
      </left>
      <right style="medium">
        <color indexed="64"/>
      </right>
      <top/>
      <bottom/>
      <diagonal/>
    </border>
    <border>
      <left style="thin">
        <color indexed="64"/>
      </left>
      <right style="thick">
        <color theme="4"/>
      </right>
      <top style="thin">
        <color indexed="64"/>
      </top>
      <bottom style="thin">
        <color indexed="64"/>
      </bottom>
      <diagonal/>
    </border>
    <border>
      <left style="thin">
        <color indexed="64"/>
      </left>
      <right style="thick">
        <color theme="4"/>
      </right>
      <top style="thin">
        <color indexed="64"/>
      </top>
      <bottom style="medium">
        <color indexed="64"/>
      </bottom>
      <diagonal/>
    </border>
    <border>
      <left style="thick">
        <color theme="4"/>
      </left>
      <right style="medium">
        <color indexed="64"/>
      </right>
      <top/>
      <bottom style="thick">
        <color theme="4"/>
      </bottom>
      <diagonal/>
    </border>
    <border>
      <left style="medium">
        <color indexed="64"/>
      </left>
      <right/>
      <top/>
      <bottom style="thick">
        <color theme="4"/>
      </bottom>
      <diagonal/>
    </border>
    <border>
      <left/>
      <right style="thick">
        <color theme="4"/>
      </right>
      <top/>
      <bottom style="thick">
        <color theme="4"/>
      </bottom>
      <diagonal/>
    </border>
    <border>
      <left style="thin">
        <color theme="1"/>
      </left>
      <right/>
      <top style="thick">
        <color rgb="FFC00000"/>
      </top>
      <bottom style="double">
        <color theme="1"/>
      </bottom>
      <diagonal/>
    </border>
    <border>
      <left/>
      <right style="thick">
        <color theme="1"/>
      </right>
      <top style="thick">
        <color rgb="FFC00000"/>
      </top>
      <bottom style="double">
        <color theme="1"/>
      </bottom>
      <diagonal/>
    </border>
    <border>
      <left style="thin">
        <color indexed="64"/>
      </left>
      <right/>
      <top/>
      <bottom style="thick">
        <color indexed="64"/>
      </bottom>
      <diagonal/>
    </border>
    <border>
      <left style="thick">
        <color rgb="FFC00000"/>
      </left>
      <right/>
      <top style="thick">
        <color rgb="FFC00000"/>
      </top>
      <bottom style="thick">
        <color rgb="FFC00000"/>
      </bottom>
      <diagonal/>
    </border>
    <border>
      <left/>
      <right style="thin">
        <color indexed="64"/>
      </right>
      <top style="thick">
        <color rgb="FFC00000"/>
      </top>
      <bottom style="thick">
        <color rgb="FFC00000"/>
      </bottom>
      <diagonal/>
    </border>
    <border>
      <left style="thin">
        <color indexed="64"/>
      </left>
      <right style="thick">
        <color rgb="FFC00000"/>
      </right>
      <top style="thick">
        <color rgb="FFC00000"/>
      </top>
      <bottom style="thick">
        <color rgb="FFC00000"/>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double">
        <color indexed="64"/>
      </top>
      <bottom style="medium">
        <color indexed="64"/>
      </bottom>
      <diagonal/>
    </border>
    <border>
      <left style="thick">
        <color indexed="64"/>
      </left>
      <right/>
      <top style="thick">
        <color rgb="FFC00000"/>
      </top>
      <bottom style="thick">
        <color indexed="64"/>
      </bottom>
      <diagonal/>
    </border>
    <border>
      <left/>
      <right/>
      <top style="thick">
        <color rgb="FFC00000"/>
      </top>
      <bottom style="thick">
        <color indexed="64"/>
      </bottom>
      <diagonal/>
    </border>
    <border>
      <left/>
      <right style="thick">
        <color indexed="64"/>
      </right>
      <top style="thick">
        <color rgb="FFC00000"/>
      </top>
      <bottom style="thick">
        <color indexed="64"/>
      </bottom>
      <diagonal/>
    </border>
    <border>
      <left style="thick">
        <color indexed="64"/>
      </left>
      <right/>
      <top style="thin">
        <color indexed="64"/>
      </top>
      <bottom style="double">
        <color indexed="64"/>
      </bottom>
      <diagonal/>
    </border>
    <border>
      <left style="thick">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n">
        <color indexed="64"/>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medium">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top/>
      <bottom style="thick">
        <color indexed="64"/>
      </bottom>
      <diagonal/>
    </border>
    <border>
      <left style="thin">
        <color indexed="64"/>
      </left>
      <right/>
      <top style="double">
        <color indexed="64"/>
      </top>
      <bottom style="thin">
        <color indexed="64"/>
      </bottom>
      <diagonal/>
    </border>
    <border>
      <left/>
      <right style="thick">
        <color indexed="64"/>
      </right>
      <top style="double">
        <color indexed="64"/>
      </top>
      <bottom style="thin">
        <color indexed="64"/>
      </bottom>
      <diagonal/>
    </border>
    <border>
      <left style="thin">
        <color indexed="64"/>
      </left>
      <right/>
      <top style="double">
        <color indexed="64"/>
      </top>
      <bottom style="medium">
        <color indexed="64"/>
      </bottom>
      <diagonal/>
    </border>
  </borders>
  <cellStyleXfs count="40">
    <xf numFmtId="0" fontId="0" fillId="0" borderId="0"/>
    <xf numFmtId="166" fontId="87" fillId="0" borderId="0" applyFont="0" applyFill="0" applyBorder="0" applyAlignment="0" applyProtection="0"/>
    <xf numFmtId="169" fontId="63" fillId="0" borderId="0" applyNumberFormat="0" applyFill="0" applyBorder="0" applyAlignment="0" applyProtection="0">
      <alignment vertical="top"/>
      <protection locked="0"/>
    </xf>
    <xf numFmtId="9" fontId="76" fillId="0" borderId="0" applyFont="0" applyFill="0" applyBorder="0" applyAlignment="0" applyProtection="0"/>
    <xf numFmtId="0" fontId="101" fillId="0" borderId="0"/>
    <xf numFmtId="0" fontId="101" fillId="0" borderId="0"/>
    <xf numFmtId="169" fontId="58" fillId="0" borderId="0"/>
    <xf numFmtId="169" fontId="58" fillId="0" borderId="0"/>
    <xf numFmtId="166" fontId="76" fillId="0" borderId="0" applyFont="0" applyFill="0" applyBorder="0" applyAlignment="0" applyProtection="0"/>
    <xf numFmtId="0" fontId="54" fillId="0" borderId="0"/>
    <xf numFmtId="0" fontId="58" fillId="0" borderId="0"/>
    <xf numFmtId="0" fontId="52" fillId="0" borderId="0"/>
    <xf numFmtId="0" fontId="126" fillId="0" borderId="0"/>
    <xf numFmtId="0" fontId="51" fillId="0" borderId="0"/>
    <xf numFmtId="0" fontId="50" fillId="0" borderId="0"/>
    <xf numFmtId="0" fontId="49" fillId="0" borderId="0"/>
    <xf numFmtId="0" fontId="48" fillId="0" borderId="0"/>
    <xf numFmtId="185" fontId="29" fillId="0" borderId="21" applyFont="0" applyBorder="0">
      <alignment horizontal="center" vertical="center"/>
      <protection locked="0"/>
    </xf>
    <xf numFmtId="178" fontId="203" fillId="0" borderId="2" applyBorder="0">
      <alignment horizontal="center" vertical="center"/>
      <protection locked="0"/>
    </xf>
    <xf numFmtId="178" fontId="203" fillId="0" borderId="2" applyBorder="0">
      <alignment horizontal="center" vertical="center"/>
      <protection hidden="1"/>
    </xf>
    <xf numFmtId="164" fontId="99" fillId="0" borderId="0" applyFont="0" applyFill="0" applyBorder="0" applyAlignment="0" applyProtection="0"/>
    <xf numFmtId="0" fontId="17" fillId="0" borderId="0"/>
    <xf numFmtId="0" fontId="58" fillId="0" borderId="0"/>
    <xf numFmtId="0" fontId="58" fillId="0" borderId="0"/>
    <xf numFmtId="0" fontId="102" fillId="0" borderId="0"/>
    <xf numFmtId="0" fontId="58" fillId="0" borderId="0"/>
    <xf numFmtId="0" fontId="287" fillId="0" borderId="0" applyNumberFormat="0" applyFill="0" applyBorder="0" applyAlignment="0" applyProtection="0"/>
    <xf numFmtId="0" fontId="58" fillId="0" borderId="0"/>
    <xf numFmtId="0" fontId="287" fillId="0" borderId="0" applyNumberFormat="0" applyFill="0" applyBorder="0" applyAlignment="0" applyProtection="0"/>
    <xf numFmtId="0" fontId="102" fillId="0" borderId="0"/>
    <xf numFmtId="0" fontId="102" fillId="0" borderId="0"/>
    <xf numFmtId="0" fontId="14" fillId="0" borderId="0"/>
    <xf numFmtId="0" fontId="12" fillId="0" borderId="0"/>
    <xf numFmtId="0" fontId="10" fillId="0" borderId="0"/>
    <xf numFmtId="0" fontId="9" fillId="0" borderId="0"/>
    <xf numFmtId="0" fontId="8" fillId="0" borderId="0"/>
    <xf numFmtId="0" fontId="6" fillId="0" borderId="0"/>
    <xf numFmtId="0" fontId="5" fillId="0" borderId="0"/>
    <xf numFmtId="0" fontId="4" fillId="0" borderId="0"/>
    <xf numFmtId="0" fontId="1" fillId="0" borderId="0"/>
  </cellStyleXfs>
  <cellXfs count="4066">
    <xf numFmtId="0" fontId="0" fillId="0" borderId="0" xfId="0"/>
    <xf numFmtId="168" fontId="0" fillId="0" borderId="2" xfId="0" applyNumberFormat="1" applyBorder="1" applyAlignment="1">
      <alignment horizontal="center"/>
    </xf>
    <xf numFmtId="0" fontId="79" fillId="0" borderId="0" xfId="0" applyFont="1"/>
    <xf numFmtId="0" fontId="0" fillId="0" borderId="2" xfId="0" applyBorder="1"/>
    <xf numFmtId="0" fontId="0" fillId="0" borderId="0" xfId="0" applyAlignment="1">
      <alignment horizontal="center"/>
    </xf>
    <xf numFmtId="0" fontId="63" fillId="0" borderId="0" xfId="2" applyNumberFormat="1" applyAlignment="1" applyProtection="1"/>
    <xf numFmtId="0" fontId="0" fillId="0" borderId="4" xfId="0" applyBorder="1" applyProtection="1">
      <protection hidden="1"/>
    </xf>
    <xf numFmtId="14" fontId="0" fillId="0" borderId="3" xfId="0" applyNumberFormat="1" applyBorder="1" applyAlignment="1" applyProtection="1">
      <alignment horizontal="center"/>
      <protection hidden="1"/>
    </xf>
    <xf numFmtId="0" fontId="80" fillId="0" borderId="4" xfId="0" applyFont="1" applyBorder="1" applyProtection="1">
      <protection hidden="1"/>
    </xf>
    <xf numFmtId="2" fontId="0" fillId="0" borderId="3" xfId="0" applyNumberFormat="1" applyBorder="1" applyAlignment="1" applyProtection="1">
      <alignment horizontal="center"/>
      <protection hidden="1"/>
    </xf>
    <xf numFmtId="10" fontId="76" fillId="0" borderId="3" xfId="3" applyNumberFormat="1" applyBorder="1" applyAlignment="1" applyProtection="1">
      <alignment horizontal="center"/>
      <protection hidden="1"/>
    </xf>
    <xf numFmtId="2" fontId="76" fillId="0" borderId="3" xfId="3" applyNumberFormat="1" applyBorder="1" applyAlignment="1" applyProtection="1">
      <alignment horizontal="center"/>
      <protection hidden="1"/>
    </xf>
    <xf numFmtId="10" fontId="76" fillId="0" borderId="11" xfId="3" applyNumberFormat="1" applyBorder="1" applyAlignment="1" applyProtection="1">
      <alignment horizontal="center"/>
      <protection hidden="1"/>
    </xf>
    <xf numFmtId="0" fontId="0" fillId="0" borderId="4" xfId="0" applyBorder="1"/>
    <xf numFmtId="0" fontId="0" fillId="0" borderId="13" xfId="0" applyBorder="1"/>
    <xf numFmtId="0" fontId="0" fillId="0" borderId="0" xfId="0" applyProtection="1">
      <protection locked="0"/>
    </xf>
    <xf numFmtId="0" fontId="0" fillId="0" borderId="0" xfId="0" applyAlignment="1" applyProtection="1">
      <alignment vertical="center"/>
      <protection locked="0"/>
    </xf>
    <xf numFmtId="167" fontId="76" fillId="0" borderId="3" xfId="3" applyNumberFormat="1" applyBorder="1" applyAlignment="1" applyProtection="1">
      <alignment horizontal="center"/>
      <protection hidden="1"/>
    </xf>
    <xf numFmtId="0" fontId="0" fillId="3" borderId="0" xfId="0" applyFill="1"/>
    <xf numFmtId="0" fontId="0" fillId="3" borderId="15" xfId="0" applyFill="1" applyBorder="1" applyAlignment="1">
      <alignment vertical="center" wrapText="1"/>
    </xf>
    <xf numFmtId="0" fontId="0" fillId="3" borderId="0" xfId="0" applyFill="1" applyAlignment="1">
      <alignment vertical="center"/>
    </xf>
    <xf numFmtId="0" fontId="77" fillId="4" borderId="0" xfId="0" applyFont="1" applyFill="1"/>
    <xf numFmtId="0" fontId="77" fillId="4" borderId="0" xfId="0" applyFont="1" applyFill="1" applyAlignment="1">
      <alignment vertical="center"/>
    </xf>
    <xf numFmtId="165" fontId="77" fillId="4" borderId="0" xfId="0" applyNumberFormat="1" applyFont="1" applyFill="1"/>
    <xf numFmtId="0" fontId="63" fillId="4" borderId="16" xfId="2" applyNumberFormat="1" applyFill="1" applyBorder="1" applyAlignment="1" applyProtection="1">
      <alignment vertical="center"/>
      <protection hidden="1"/>
    </xf>
    <xf numFmtId="0" fontId="0" fillId="4" borderId="0" xfId="0" applyFill="1"/>
    <xf numFmtId="14" fontId="0" fillId="4" borderId="0" xfId="0" applyNumberFormat="1" applyFill="1"/>
    <xf numFmtId="0" fontId="82" fillId="4" borderId="17" xfId="0" applyFont="1" applyFill="1" applyBorder="1" applyAlignment="1" applyProtection="1">
      <alignment vertical="center"/>
      <protection hidden="1"/>
    </xf>
    <xf numFmtId="14" fontId="0" fillId="4" borderId="4" xfId="0" applyNumberFormat="1" applyFill="1" applyBorder="1"/>
    <xf numFmtId="0" fontId="0" fillId="4" borderId="2" xfId="0" applyFill="1" applyBorder="1" applyAlignment="1">
      <alignment horizontal="center"/>
    </xf>
    <xf numFmtId="0" fontId="0" fillId="3" borderId="0" xfId="0" applyFill="1" applyProtection="1">
      <protection hidden="1"/>
    </xf>
    <xf numFmtId="0" fontId="77" fillId="4" borderId="0" xfId="0" applyFont="1" applyFill="1" applyProtection="1">
      <protection hidden="1"/>
    </xf>
    <xf numFmtId="0" fontId="0" fillId="0" borderId="26" xfId="0" applyBorder="1" applyProtection="1">
      <protection hidden="1"/>
    </xf>
    <xf numFmtId="14" fontId="0" fillId="0" borderId="27" xfId="0" applyNumberFormat="1" applyBorder="1" applyAlignment="1" applyProtection="1">
      <alignment horizontal="center"/>
      <protection hidden="1"/>
    </xf>
    <xf numFmtId="0" fontId="0" fillId="8" borderId="0" xfId="0" applyFill="1"/>
    <xf numFmtId="14" fontId="0" fillId="4" borderId="27" xfId="0" applyNumberFormat="1" applyFill="1" applyBorder="1"/>
    <xf numFmtId="14" fontId="0" fillId="0" borderId="26" xfId="0" applyNumberFormat="1" applyBorder="1" applyAlignment="1" applyProtection="1">
      <alignment horizontal="center"/>
      <protection locked="0"/>
    </xf>
    <xf numFmtId="14" fontId="0" fillId="0" borderId="3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2" fontId="58" fillId="0" borderId="3" xfId="0" applyNumberFormat="1" applyFont="1" applyBorder="1" applyAlignment="1" applyProtection="1">
      <alignment horizontal="center"/>
      <protection locked="0"/>
    </xf>
    <xf numFmtId="169" fontId="0" fillId="4" borderId="0" xfId="0" applyNumberFormat="1" applyFill="1"/>
    <xf numFmtId="1" fontId="0" fillId="4" borderId="0" xfId="0" applyNumberFormat="1" applyFill="1"/>
    <xf numFmtId="14" fontId="0" fillId="6" borderId="4" xfId="0" applyNumberFormat="1" applyFill="1" applyBorder="1" applyAlignment="1" applyProtection="1">
      <alignment horizontal="center"/>
      <protection locked="0"/>
    </xf>
    <xf numFmtId="14" fontId="0" fillId="6" borderId="2"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32" xfId="0" applyNumberFormat="1" applyFill="1" applyBorder="1" applyAlignment="1" applyProtection="1">
      <alignment horizontal="center"/>
      <protection locked="0"/>
    </xf>
    <xf numFmtId="14" fontId="0" fillId="6" borderId="33" xfId="0" applyNumberFormat="1" applyFill="1" applyBorder="1" applyAlignment="1" applyProtection="1">
      <alignment horizontal="center"/>
      <protection locked="0"/>
    </xf>
    <xf numFmtId="14" fontId="0" fillId="6" borderId="34" xfId="0" applyNumberFormat="1" applyFill="1" applyBorder="1" applyAlignment="1" applyProtection="1">
      <alignment horizontal="center"/>
      <protection locked="0"/>
    </xf>
    <xf numFmtId="2" fontId="102" fillId="0" borderId="35" xfId="0" applyNumberFormat="1" applyFont="1" applyBorder="1" applyAlignment="1" applyProtection="1">
      <alignment horizontal="center"/>
      <protection locked="0"/>
    </xf>
    <xf numFmtId="2" fontId="102" fillId="0" borderId="3" xfId="0" applyNumberFormat="1" applyFont="1" applyBorder="1" applyAlignment="1" applyProtection="1">
      <alignment horizontal="center"/>
      <protection locked="0"/>
    </xf>
    <xf numFmtId="0" fontId="0" fillId="0" borderId="2" xfId="0" applyBorder="1" applyAlignment="1">
      <alignment horizontal="center"/>
    </xf>
    <xf numFmtId="0" fontId="63" fillId="4" borderId="0" xfId="2" applyNumberFormat="1" applyFill="1" applyAlignment="1" applyProtection="1">
      <alignment horizontal="center" vertical="center"/>
      <protection hidden="1"/>
    </xf>
    <xf numFmtId="0" fontId="102" fillId="3" borderId="0" xfId="0" applyFont="1" applyFill="1" applyAlignment="1">
      <alignment horizontal="center" vertical="center"/>
    </xf>
    <xf numFmtId="0" fontId="55" fillId="4" borderId="0" xfId="0" applyFont="1" applyFill="1" applyAlignment="1" applyProtection="1">
      <alignment horizontal="center" vertical="center" wrapText="1"/>
      <protection hidden="1"/>
    </xf>
    <xf numFmtId="0" fontId="109" fillId="3" borderId="0" xfId="0" applyFont="1" applyFill="1" applyProtection="1">
      <protection hidden="1"/>
    </xf>
    <xf numFmtId="0" fontId="112" fillId="3" borderId="0" xfId="0" applyFont="1" applyFill="1"/>
    <xf numFmtId="180" fontId="86" fillId="2" borderId="36" xfId="8" applyNumberFormat="1" applyFont="1" applyFill="1" applyBorder="1" applyAlignment="1" applyProtection="1">
      <alignment horizontal="center" vertical="center"/>
      <protection locked="0"/>
    </xf>
    <xf numFmtId="10" fontId="86" fillId="2" borderId="36" xfId="3" applyNumberFormat="1" applyFont="1" applyFill="1" applyBorder="1" applyAlignment="1" applyProtection="1">
      <alignment horizontal="center" vertical="center"/>
      <protection locked="0"/>
    </xf>
    <xf numFmtId="14" fontId="0" fillId="0" borderId="0" xfId="0" applyNumberFormat="1"/>
    <xf numFmtId="10" fontId="0" fillId="0" borderId="0" xfId="0" applyNumberFormat="1"/>
    <xf numFmtId="14" fontId="79" fillId="0" borderId="0" xfId="0" applyNumberFormat="1" applyFont="1"/>
    <xf numFmtId="14" fontId="58" fillId="0" borderId="37" xfId="0" applyNumberFormat="1" applyFont="1" applyBorder="1" applyAlignment="1" applyProtection="1">
      <alignment horizontal="center" vertical="center"/>
      <protection locked="0"/>
    </xf>
    <xf numFmtId="14" fontId="102" fillId="0" borderId="26" xfId="0" applyNumberFormat="1" applyFont="1" applyBorder="1" applyAlignment="1" applyProtection="1">
      <alignment horizontal="center" vertical="center"/>
      <protection locked="0"/>
    </xf>
    <xf numFmtId="14" fontId="102" fillId="0" borderId="31" xfId="0" applyNumberFormat="1" applyFont="1" applyBorder="1" applyAlignment="1" applyProtection="1">
      <alignment horizontal="center" vertical="center"/>
      <protection locked="0"/>
    </xf>
    <xf numFmtId="0" fontId="0" fillId="4" borderId="0" xfId="0" applyFill="1" applyAlignment="1">
      <alignment vertical="center"/>
    </xf>
    <xf numFmtId="175" fontId="0" fillId="0" borderId="0" xfId="0" applyNumberFormat="1"/>
    <xf numFmtId="0" fontId="0" fillId="0" borderId="2" xfId="0" applyBorder="1" applyAlignment="1">
      <alignment horizontal="center" vertical="center"/>
    </xf>
    <xf numFmtId="0" fontId="105" fillId="0" borderId="2" xfId="0" applyFont="1" applyBorder="1" applyAlignment="1">
      <alignment horizontal="center" vertical="center" wrapText="1"/>
    </xf>
    <xf numFmtId="9" fontId="0" fillId="0" borderId="0" xfId="3" applyFont="1"/>
    <xf numFmtId="2" fontId="0" fillId="0" borderId="2" xfId="0" applyNumberFormat="1" applyBorder="1" applyAlignment="1">
      <alignment horizontal="center"/>
    </xf>
    <xf numFmtId="0" fontId="88" fillId="8" borderId="65" xfId="0" applyFont="1" applyFill="1" applyBorder="1" applyAlignment="1" applyProtection="1">
      <alignment vertical="center"/>
      <protection locked="0"/>
    </xf>
    <xf numFmtId="0" fontId="0" fillId="0" borderId="0" xfId="0" applyAlignment="1">
      <alignment vertical="center"/>
    </xf>
    <xf numFmtId="172" fontId="53" fillId="0" borderId="0" xfId="0" applyNumberFormat="1" applyFont="1"/>
    <xf numFmtId="1" fontId="0" fillId="0" borderId="2" xfId="0" applyNumberFormat="1" applyBorder="1" applyAlignment="1">
      <alignment horizontal="center"/>
    </xf>
    <xf numFmtId="169" fontId="61" fillId="0" borderId="2" xfId="0" applyNumberFormat="1" applyFont="1" applyBorder="1" applyAlignment="1">
      <alignment horizontal="center" vertical="center" wrapText="1"/>
    </xf>
    <xf numFmtId="10" fontId="86" fillId="0" borderId="36" xfId="3" applyNumberFormat="1" applyFont="1" applyFill="1" applyBorder="1" applyAlignment="1" applyProtection="1">
      <alignment horizontal="center" vertical="center"/>
      <protection locked="0"/>
    </xf>
    <xf numFmtId="14" fontId="0" fillId="0" borderId="2" xfId="0" applyNumberFormat="1" applyBorder="1" applyAlignment="1">
      <alignment horizontal="center"/>
    </xf>
    <xf numFmtId="10" fontId="0" fillId="0" borderId="2" xfId="0" applyNumberFormat="1" applyBorder="1" applyAlignment="1">
      <alignment horizontal="center"/>
    </xf>
    <xf numFmtId="0" fontId="118" fillId="3" borderId="0" xfId="0" applyFont="1" applyFill="1" applyAlignment="1">
      <alignment horizontal="left" vertical="center" wrapText="1"/>
    </xf>
    <xf numFmtId="0" fontId="0" fillId="4" borderId="0" xfId="0" applyFill="1" applyAlignment="1" applyProtection="1">
      <alignment horizontal="center" vertical="center" wrapText="1"/>
      <protection hidden="1"/>
    </xf>
    <xf numFmtId="165" fontId="0" fillId="4" borderId="0" xfId="0" applyNumberFormat="1" applyFill="1" applyAlignment="1" applyProtection="1">
      <alignment horizontal="center" vertical="center" wrapText="1"/>
      <protection hidden="1"/>
    </xf>
    <xf numFmtId="0" fontId="94" fillId="4" borderId="0" xfId="0" applyFont="1" applyFill="1" applyAlignment="1" applyProtection="1">
      <alignment horizontal="center" vertical="center" wrapText="1"/>
      <protection hidden="1"/>
    </xf>
    <xf numFmtId="0" fontId="63" fillId="4" borderId="0" xfId="2" applyNumberFormat="1" applyFill="1" applyBorder="1" applyAlignment="1" applyProtection="1">
      <alignment horizontal="center" vertical="center"/>
      <protection hidden="1"/>
    </xf>
    <xf numFmtId="0" fontId="102" fillId="4" borderId="0" xfId="2" applyNumberFormat="1" applyFont="1" applyFill="1" applyBorder="1" applyAlignment="1" applyProtection="1">
      <alignment horizontal="center" vertical="center" wrapText="1"/>
      <protection hidden="1"/>
    </xf>
    <xf numFmtId="0" fontId="102" fillId="4" borderId="0" xfId="0" applyFont="1" applyFill="1" applyAlignment="1" applyProtection="1">
      <alignment horizontal="center" vertical="center" wrapText="1"/>
      <protection hidden="1"/>
    </xf>
    <xf numFmtId="0" fontId="0" fillId="4" borderId="0" xfId="0" applyFill="1" applyAlignment="1">
      <alignment horizontal="center" vertical="center"/>
    </xf>
    <xf numFmtId="0" fontId="104" fillId="4" borderId="0" xfId="0" applyFont="1" applyFill="1" applyAlignment="1" applyProtection="1">
      <alignment horizontal="center" vertical="center" wrapText="1"/>
      <protection hidden="1"/>
    </xf>
    <xf numFmtId="165" fontId="63" fillId="4" borderId="0" xfId="2" applyNumberFormat="1" applyFill="1" applyBorder="1" applyAlignment="1" applyProtection="1">
      <alignment horizontal="center" vertical="center"/>
      <protection hidden="1"/>
    </xf>
    <xf numFmtId="9" fontId="100" fillId="0" borderId="3" xfId="0" applyNumberFormat="1" applyFont="1" applyBorder="1" applyAlignment="1" applyProtection="1">
      <alignment horizontal="center" vertical="center"/>
      <protection locked="0"/>
    </xf>
    <xf numFmtId="0" fontId="0" fillId="0" borderId="4" xfId="0" applyBorder="1" applyAlignment="1">
      <alignment horizontal="center"/>
    </xf>
    <xf numFmtId="0" fontId="61" fillId="0" borderId="0" xfId="7" applyNumberFormat="1" applyFont="1"/>
    <xf numFmtId="2" fontId="0" fillId="0" borderId="0" xfId="0" applyNumberFormat="1"/>
    <xf numFmtId="4" fontId="62" fillId="0" borderId="0" xfId="10" applyNumberFormat="1" applyFont="1"/>
    <xf numFmtId="0" fontId="0" fillId="0" borderId="0" xfId="0" applyAlignment="1">
      <alignment horizontal="left"/>
    </xf>
    <xf numFmtId="0" fontId="69" fillId="0" borderId="0" xfId="0" applyFont="1" applyAlignment="1">
      <alignment vertical="center"/>
    </xf>
    <xf numFmtId="173" fontId="0" fillId="0" borderId="0" xfId="0" applyNumberFormat="1" applyAlignment="1">
      <alignment horizontal="left"/>
    </xf>
    <xf numFmtId="0" fontId="63" fillId="0" borderId="0" xfId="2" applyNumberFormat="1" applyFill="1" applyBorder="1" applyAlignment="1" applyProtection="1">
      <alignment vertical="center"/>
    </xf>
    <xf numFmtId="0" fontId="63" fillId="0" borderId="0" xfId="2" applyNumberFormat="1" applyFill="1" applyBorder="1" applyAlignment="1" applyProtection="1"/>
    <xf numFmtId="0" fontId="70" fillId="0" borderId="0" xfId="0" applyFont="1" applyAlignment="1">
      <alignment vertical="center"/>
    </xf>
    <xf numFmtId="174" fontId="71" fillId="0" borderId="0" xfId="0" applyNumberFormat="1" applyFont="1" applyAlignment="1">
      <alignment horizontal="left"/>
    </xf>
    <xf numFmtId="0" fontId="71" fillId="0" borderId="0" xfId="0" applyFont="1" applyAlignment="1">
      <alignment vertical="center"/>
    </xf>
    <xf numFmtId="0" fontId="0" fillId="0" borderId="0" xfId="0" applyAlignment="1">
      <alignment horizontal="left" vertical="center"/>
    </xf>
    <xf numFmtId="0" fontId="55" fillId="0" borderId="0" xfId="0" applyFont="1" applyAlignment="1">
      <alignment vertical="center"/>
    </xf>
    <xf numFmtId="173" fontId="55" fillId="0" borderId="0" xfId="0" applyNumberFormat="1" applyFont="1" applyAlignment="1">
      <alignment wrapText="1"/>
    </xf>
    <xf numFmtId="0" fontId="77" fillId="0" borderId="0" xfId="0" applyFont="1" applyAlignment="1">
      <alignment wrapText="1"/>
    </xf>
    <xf numFmtId="173" fontId="55" fillId="0" borderId="0" xfId="0" applyNumberFormat="1" applyFont="1"/>
    <xf numFmtId="0" fontId="77" fillId="0" borderId="0" xfId="0" applyFont="1"/>
    <xf numFmtId="174" fontId="55" fillId="0" borderId="0" xfId="0" applyNumberFormat="1" applyFont="1"/>
    <xf numFmtId="4" fontId="77" fillId="0" borderId="0" xfId="0" applyNumberFormat="1" applyFont="1" applyAlignment="1">
      <alignment horizontal="right"/>
    </xf>
    <xf numFmtId="174" fontId="102" fillId="0" borderId="0" xfId="0" applyNumberFormat="1" applyFont="1"/>
    <xf numFmtId="174" fontId="102" fillId="0" borderId="0" xfId="5" applyNumberFormat="1" applyFont="1"/>
    <xf numFmtId="174" fontId="102" fillId="0" borderId="0" xfId="4" applyNumberFormat="1" applyFont="1"/>
    <xf numFmtId="14" fontId="102" fillId="0" borderId="0" xfId="4" applyNumberFormat="1" applyFont="1" applyAlignment="1">
      <alignment horizontal="right"/>
    </xf>
    <xf numFmtId="0" fontId="99" fillId="0" borderId="0" xfId="0" applyFont="1"/>
    <xf numFmtId="174" fontId="77" fillId="0" borderId="0" xfId="4" applyNumberFormat="1" applyFont="1"/>
    <xf numFmtId="174" fontId="77" fillId="0" borderId="0" xfId="0" applyNumberFormat="1" applyFont="1"/>
    <xf numFmtId="0" fontId="99" fillId="0" borderId="0" xfId="4" applyFont="1" applyAlignment="1">
      <alignment horizontal="left"/>
    </xf>
    <xf numFmtId="0" fontId="99" fillId="0" borderId="0" xfId="4" applyFont="1" applyAlignment="1">
      <alignment horizontal="center" vertical="center"/>
    </xf>
    <xf numFmtId="0" fontId="67" fillId="0" borderId="0" xfId="4" applyFont="1" applyAlignment="1">
      <alignment horizontal="center" vertical="center"/>
    </xf>
    <xf numFmtId="0" fontId="70" fillId="0" borderId="0" xfId="4" applyFont="1" applyAlignment="1">
      <alignment horizontal="left"/>
    </xf>
    <xf numFmtId="0" fontId="70" fillId="0" borderId="0" xfId="4" applyFont="1" applyAlignment="1">
      <alignment horizontal="center" vertical="center"/>
    </xf>
    <xf numFmtId="174" fontId="55" fillId="0" borderId="0" xfId="4" applyNumberFormat="1" applyFont="1" applyAlignment="1">
      <alignment horizontal="left"/>
    </xf>
    <xf numFmtId="0" fontId="55" fillId="0" borderId="0" xfId="4" applyFont="1" applyAlignment="1">
      <alignment horizontal="center" vertical="center"/>
    </xf>
    <xf numFmtId="174" fontId="99" fillId="0" borderId="0" xfId="4" applyNumberFormat="1" applyFont="1" applyAlignment="1">
      <alignment horizontal="left" vertical="center"/>
    </xf>
    <xf numFmtId="0" fontId="55" fillId="0" borderId="0" xfId="4" applyFont="1" applyAlignment="1">
      <alignment horizontal="right" wrapText="1"/>
    </xf>
    <xf numFmtId="174" fontId="102" fillId="0" borderId="0" xfId="4" applyNumberFormat="1" applyFont="1" applyAlignment="1">
      <alignment wrapText="1"/>
    </xf>
    <xf numFmtId="4" fontId="102" fillId="0" borderId="0" xfId="4" applyNumberFormat="1" applyFont="1" applyAlignment="1">
      <alignment horizontal="center" vertical="center"/>
    </xf>
    <xf numFmtId="0" fontId="102" fillId="0" borderId="0" xfId="0" applyFont="1"/>
    <xf numFmtId="0" fontId="0" fillId="0" borderId="0" xfId="0" applyAlignment="1">
      <alignment horizontal="center" vertical="center"/>
    </xf>
    <xf numFmtId="1" fontId="64" fillId="0" borderId="0" xfId="0" applyNumberFormat="1" applyFont="1" applyAlignment="1">
      <alignment horizontal="center"/>
    </xf>
    <xf numFmtId="1" fontId="73" fillId="0" borderId="0" xfId="0" applyNumberFormat="1" applyFont="1" applyAlignment="1">
      <alignment horizontal="center"/>
    </xf>
    <xf numFmtId="170" fontId="64" fillId="0" borderId="0" xfId="0" applyNumberFormat="1" applyFont="1"/>
    <xf numFmtId="170" fontId="78" fillId="0" borderId="0" xfId="0" applyNumberFormat="1" applyFont="1"/>
    <xf numFmtId="0" fontId="78" fillId="0" borderId="0" xfId="0" applyFont="1"/>
    <xf numFmtId="0" fontId="64" fillId="0" borderId="0" xfId="0" applyFont="1"/>
    <xf numFmtId="170" fontId="60" fillId="0" borderId="0" xfId="0" applyNumberFormat="1" applyFont="1"/>
    <xf numFmtId="170" fontId="61" fillId="0" borderId="0" xfId="0" applyNumberFormat="1" applyFont="1"/>
    <xf numFmtId="1" fontId="105" fillId="0" borderId="0" xfId="0" applyNumberFormat="1" applyFont="1" applyAlignment="1">
      <alignment horizontal="center" vertical="center"/>
    </xf>
    <xf numFmtId="0" fontId="105" fillId="0" borderId="0" xfId="0" applyFont="1" applyAlignment="1">
      <alignment horizontal="center" vertical="center" wrapText="1"/>
    </xf>
    <xf numFmtId="0" fontId="0" fillId="0" borderId="0" xfId="0" applyAlignment="1">
      <alignment horizontal="center" vertical="center" wrapText="1"/>
    </xf>
    <xf numFmtId="168" fontId="0" fillId="0" borderId="0" xfId="0" applyNumberFormat="1" applyAlignment="1">
      <alignment horizontal="center"/>
    </xf>
    <xf numFmtId="10" fontId="76" fillId="0" borderId="0" xfId="3" applyNumberFormat="1" applyFill="1" applyBorder="1" applyAlignment="1">
      <alignment horizontal="center"/>
    </xf>
    <xf numFmtId="167" fontId="0" fillId="0" borderId="0" xfId="0" applyNumberFormat="1" applyAlignment="1">
      <alignment horizontal="center"/>
    </xf>
    <xf numFmtId="0" fontId="102" fillId="0" borderId="0" xfId="0" applyFont="1" applyAlignment="1">
      <alignment horizontal="center"/>
    </xf>
    <xf numFmtId="14" fontId="0" fillId="0" borderId="0" xfId="0" applyNumberFormat="1" applyAlignment="1">
      <alignment horizontal="center"/>
    </xf>
    <xf numFmtId="10" fontId="0" fillId="0" borderId="0" xfId="3" applyNumberFormat="1" applyFont="1"/>
    <xf numFmtId="10" fontId="0" fillId="0" borderId="2" xfId="3" applyNumberFormat="1" applyFont="1" applyBorder="1"/>
    <xf numFmtId="14" fontId="0" fillId="0" borderId="2" xfId="0" applyNumberFormat="1" applyBorder="1"/>
    <xf numFmtId="8" fontId="0" fillId="0" borderId="0" xfId="0" applyNumberFormat="1"/>
    <xf numFmtId="10" fontId="77" fillId="0" borderId="0" xfId="0" applyNumberFormat="1" applyFont="1" applyAlignment="1">
      <alignment wrapText="1"/>
    </xf>
    <xf numFmtId="177" fontId="0" fillId="0" borderId="0" xfId="3" applyNumberFormat="1" applyFont="1" applyAlignment="1">
      <alignment horizontal="center"/>
    </xf>
    <xf numFmtId="169" fontId="0" fillId="0" borderId="0" xfId="0" applyNumberFormat="1"/>
    <xf numFmtId="177" fontId="0" fillId="0" borderId="0" xfId="3" applyNumberFormat="1" applyFont="1" applyAlignment="1">
      <alignment horizontal="center" vertical="center"/>
    </xf>
    <xf numFmtId="8" fontId="0" fillId="0" borderId="0" xfId="0" applyNumberFormat="1" applyAlignment="1">
      <alignment vertical="center"/>
    </xf>
    <xf numFmtId="169" fontId="133" fillId="0" borderId="2" xfId="0" applyNumberFormat="1" applyFont="1" applyBorder="1" applyAlignment="1">
      <alignment horizontal="center" vertical="center"/>
    </xf>
    <xf numFmtId="169" fontId="133" fillId="0" borderId="3" xfId="0" applyNumberFormat="1" applyFont="1" applyBorder="1" applyAlignment="1">
      <alignment horizontal="center" vertical="center"/>
    </xf>
    <xf numFmtId="0" fontId="0" fillId="9" borderId="4" xfId="0" applyFill="1" applyBorder="1" applyAlignment="1">
      <alignment horizontal="right"/>
    </xf>
    <xf numFmtId="0" fontId="100" fillId="9" borderId="2" xfId="0" applyFont="1" applyFill="1" applyBorder="1" applyAlignment="1">
      <alignment horizontal="center"/>
    </xf>
    <xf numFmtId="0" fontId="100" fillId="9" borderId="3" xfId="0" applyFont="1" applyFill="1" applyBorder="1" applyAlignment="1">
      <alignment horizontal="center"/>
    </xf>
    <xf numFmtId="0" fontId="0" fillId="6" borderId="94" xfId="0" applyFill="1" applyBorder="1"/>
    <xf numFmtId="0" fontId="0" fillId="4" borderId="2" xfId="0" applyFill="1" applyBorder="1" applyAlignment="1">
      <alignment horizontal="center" vertical="center"/>
    </xf>
    <xf numFmtId="0" fontId="0" fillId="4" borderId="96" xfId="0" applyFill="1" applyBorder="1" applyAlignment="1">
      <alignment horizontal="center" vertical="center"/>
    </xf>
    <xf numFmtId="0" fontId="137" fillId="0" borderId="4" xfId="0" applyFont="1" applyBorder="1" applyAlignment="1">
      <alignment horizontal="center"/>
    </xf>
    <xf numFmtId="169" fontId="137" fillId="0" borderId="2" xfId="0" applyNumberFormat="1" applyFont="1" applyBorder="1" applyAlignment="1">
      <alignment horizontal="center"/>
    </xf>
    <xf numFmtId="169" fontId="137" fillId="0" borderId="3" xfId="0" applyNumberFormat="1" applyFont="1" applyBorder="1" applyAlignment="1">
      <alignment horizontal="center"/>
    </xf>
    <xf numFmtId="169" fontId="137" fillId="0" borderId="4" xfId="0" applyNumberFormat="1" applyFont="1" applyBorder="1" applyAlignment="1">
      <alignment horizontal="center"/>
    </xf>
    <xf numFmtId="0" fontId="0" fillId="0" borderId="4" xfId="0" applyBorder="1" applyAlignment="1">
      <alignment horizontal="right"/>
    </xf>
    <xf numFmtId="0" fontId="0" fillId="0" borderId="3" xfId="0" applyBorder="1" applyAlignment="1">
      <alignment horizontal="center"/>
    </xf>
    <xf numFmtId="178" fontId="105" fillId="0" borderId="2" xfId="0" applyNumberFormat="1" applyFont="1" applyBorder="1" applyAlignment="1">
      <alignment horizontal="center" vertical="center"/>
    </xf>
    <xf numFmtId="178" fontId="105" fillId="13" borderId="2" xfId="0" applyNumberFormat="1" applyFont="1" applyFill="1" applyBorder="1" applyAlignment="1">
      <alignment horizontal="center" vertical="center"/>
    </xf>
    <xf numFmtId="178" fontId="105" fillId="13" borderId="96" xfId="0" applyNumberFormat="1" applyFont="1" applyFill="1" applyBorder="1" applyAlignment="1">
      <alignment horizontal="center" vertical="center"/>
    </xf>
    <xf numFmtId="0" fontId="137" fillId="14" borderId="4" xfId="0" applyFont="1" applyFill="1" applyBorder="1" applyAlignment="1">
      <alignment horizontal="center"/>
    </xf>
    <xf numFmtId="2" fontId="137" fillId="14" borderId="3" xfId="0" applyNumberFormat="1" applyFont="1" applyFill="1" applyBorder="1" applyAlignment="1">
      <alignment horizontal="center"/>
    </xf>
    <xf numFmtId="169" fontId="137" fillId="14" borderId="4" xfId="0" applyNumberFormat="1" applyFont="1" applyFill="1" applyBorder="1" applyAlignment="1">
      <alignment horizontal="center"/>
    </xf>
    <xf numFmtId="0" fontId="0" fillId="9" borderId="4" xfId="0" applyFill="1" applyBorder="1" applyAlignment="1">
      <alignment horizontal="right" vertical="center"/>
    </xf>
    <xf numFmtId="3" fontId="0" fillId="9" borderId="2" xfId="0" applyNumberFormat="1" applyFill="1" applyBorder="1" applyAlignment="1">
      <alignment horizontal="center" vertical="center"/>
    </xf>
    <xf numFmtId="3" fontId="0" fillId="9" borderId="3" xfId="0" applyNumberFormat="1" applyFill="1" applyBorder="1" applyAlignment="1">
      <alignment horizontal="center" vertical="center"/>
    </xf>
    <xf numFmtId="178" fontId="105" fillId="15" borderId="2" xfId="0" applyNumberFormat="1" applyFont="1" applyFill="1" applyBorder="1" applyAlignment="1">
      <alignment horizontal="center" vertical="center"/>
    </xf>
    <xf numFmtId="2" fontId="137" fillId="0" borderId="3" xfId="0" applyNumberFormat="1" applyFont="1" applyBorder="1" applyAlignment="1">
      <alignment horizontal="center"/>
    </xf>
    <xf numFmtId="0" fontId="0" fillId="9" borderId="2" xfId="0" applyFill="1" applyBorder="1" applyAlignment="1">
      <alignment horizontal="center"/>
    </xf>
    <xf numFmtId="0" fontId="0" fillId="9" borderId="3" xfId="0" applyFill="1" applyBorder="1" applyAlignment="1">
      <alignment horizontal="center"/>
    </xf>
    <xf numFmtId="0" fontId="0" fillId="9" borderId="4" xfId="0" quotePrefix="1" applyFill="1" applyBorder="1" applyAlignment="1">
      <alignment horizontal="right"/>
    </xf>
    <xf numFmtId="2" fontId="0" fillId="9" borderId="2" xfId="0" applyNumberFormat="1" applyFill="1" applyBorder="1" applyAlignment="1">
      <alignment horizontal="center"/>
    </xf>
    <xf numFmtId="2" fontId="0" fillId="9" borderId="3" xfId="0" applyNumberFormat="1" applyFill="1" applyBorder="1" applyAlignment="1">
      <alignment horizontal="center"/>
    </xf>
    <xf numFmtId="0" fontId="100" fillId="9" borderId="5" xfId="0" applyFont="1" applyFill="1" applyBorder="1" applyAlignment="1">
      <alignment horizontal="right"/>
    </xf>
    <xf numFmtId="0" fontId="0" fillId="9" borderId="4" xfId="0" applyFill="1" applyBorder="1"/>
    <xf numFmtId="178" fontId="105" fillId="6" borderId="2" xfId="0" applyNumberFormat="1" applyFont="1" applyFill="1" applyBorder="1" applyAlignment="1">
      <alignment horizontal="center" vertical="center"/>
    </xf>
    <xf numFmtId="0" fontId="0" fillId="4" borderId="97" xfId="0" applyFill="1" applyBorder="1" applyAlignment="1">
      <alignment horizontal="center"/>
    </xf>
    <xf numFmtId="178" fontId="105" fillId="15" borderId="97" xfId="0" applyNumberFormat="1" applyFont="1" applyFill="1" applyBorder="1" applyAlignment="1">
      <alignment horizontal="center" vertical="center"/>
    </xf>
    <xf numFmtId="178" fontId="105" fillId="0" borderId="98" xfId="0" applyNumberFormat="1" applyFont="1" applyBorder="1" applyAlignment="1">
      <alignment horizontal="center" vertical="center"/>
    </xf>
    <xf numFmtId="0" fontId="105" fillId="6" borderId="41" xfId="0" applyFont="1" applyFill="1" applyBorder="1" applyAlignment="1">
      <alignment horizontal="center" vertical="center"/>
    </xf>
    <xf numFmtId="0" fontId="137" fillId="14" borderId="5" xfId="0" applyFont="1" applyFill="1" applyBorder="1" applyAlignment="1">
      <alignment horizontal="center"/>
    </xf>
    <xf numFmtId="2" fontId="137" fillId="14" borderId="7" xfId="0" applyNumberFormat="1" applyFont="1" applyFill="1" applyBorder="1" applyAlignment="1">
      <alignment horizontal="center"/>
    </xf>
    <xf numFmtId="187" fontId="137" fillId="0" borderId="8" xfId="0" applyNumberFormat="1" applyFont="1" applyBorder="1" applyAlignment="1">
      <alignment horizontal="center"/>
    </xf>
    <xf numFmtId="169" fontId="105" fillId="0" borderId="0" xfId="0" applyNumberFormat="1" applyFont="1"/>
    <xf numFmtId="9" fontId="137" fillId="0" borderId="8" xfId="3" applyFont="1" applyBorder="1" applyAlignment="1">
      <alignment horizontal="center"/>
    </xf>
    <xf numFmtId="6" fontId="0" fillId="0" borderId="0" xfId="0" applyNumberFormat="1"/>
    <xf numFmtId="183" fontId="0" fillId="0" borderId="0" xfId="0" applyNumberFormat="1"/>
    <xf numFmtId="8" fontId="0" fillId="4" borderId="99" xfId="0" applyNumberFormat="1" applyFill="1" applyBorder="1" applyAlignment="1">
      <alignment horizontal="center" vertical="center" wrapText="1"/>
    </xf>
    <xf numFmtId="8" fontId="105" fillId="0" borderId="0" xfId="0" applyNumberFormat="1" applyFont="1"/>
    <xf numFmtId="2" fontId="0" fillId="4" borderId="100" xfId="0" applyNumberFormat="1" applyFill="1" applyBorder="1" applyAlignment="1">
      <alignment horizontal="center"/>
    </xf>
    <xf numFmtId="2" fontId="0" fillId="4" borderId="100" xfId="0" applyNumberFormat="1" applyFill="1" applyBorder="1" applyAlignment="1">
      <alignment horizontal="center" vertical="center" wrapText="1"/>
    </xf>
    <xf numFmtId="8" fontId="0" fillId="4" borderId="100" xfId="0" applyNumberFormat="1" applyFill="1" applyBorder="1" applyAlignment="1">
      <alignment horizontal="center" vertical="center" wrapText="1"/>
    </xf>
    <xf numFmtId="167" fontId="0" fillId="0" borderId="0" xfId="0" applyNumberFormat="1"/>
    <xf numFmtId="0" fontId="75" fillId="4" borderId="3" xfId="0" applyFont="1" applyFill="1" applyBorder="1" applyAlignment="1">
      <alignment horizontal="center" vertical="center"/>
    </xf>
    <xf numFmtId="181" fontId="75" fillId="4" borderId="3" xfId="0" applyNumberFormat="1" applyFont="1" applyFill="1" applyBorder="1" applyAlignment="1">
      <alignment horizontal="center" vertical="center"/>
    </xf>
    <xf numFmtId="2" fontId="75" fillId="4" borderId="3" xfId="0" applyNumberFormat="1" applyFont="1" applyFill="1" applyBorder="1" applyAlignment="1">
      <alignment horizontal="center" vertical="center"/>
    </xf>
    <xf numFmtId="0" fontId="121" fillId="0" borderId="0" xfId="0" applyFont="1" applyAlignment="1">
      <alignment vertical="center" wrapText="1"/>
    </xf>
    <xf numFmtId="0" fontId="0" fillId="0" borderId="0" xfId="0" applyAlignment="1">
      <alignment horizontal="center" wrapText="1"/>
    </xf>
    <xf numFmtId="0" fontId="0" fillId="0" borderId="2" xfId="0" applyBorder="1" applyAlignment="1">
      <alignment horizontal="right"/>
    </xf>
    <xf numFmtId="0" fontId="0" fillId="4" borderId="0" xfId="0" applyFill="1" applyAlignment="1" applyProtection="1">
      <alignment horizontal="center" vertical="center"/>
      <protection hidden="1"/>
    </xf>
    <xf numFmtId="0" fontId="0" fillId="4" borderId="0" xfId="0" applyFill="1" applyProtection="1">
      <protection hidden="1"/>
    </xf>
    <xf numFmtId="0" fontId="0" fillId="0" borderId="23" xfId="0" applyBorder="1" applyProtection="1">
      <protection hidden="1"/>
    </xf>
    <xf numFmtId="0" fontId="100" fillId="4" borderId="21" xfId="0" applyFont="1" applyFill="1" applyBorder="1" applyAlignment="1" applyProtection="1">
      <alignment horizontal="center" vertical="center"/>
      <protection hidden="1"/>
    </xf>
    <xf numFmtId="0" fontId="100" fillId="4" borderId="22" xfId="0" applyFont="1" applyFill="1" applyBorder="1" applyAlignment="1" applyProtection="1">
      <alignment horizontal="center" vertical="center"/>
      <protection hidden="1"/>
    </xf>
    <xf numFmtId="0" fontId="0" fillId="0" borderId="0" xfId="0" applyProtection="1">
      <protection hidden="1"/>
    </xf>
    <xf numFmtId="0" fontId="0" fillId="4" borderId="2" xfId="0" applyFill="1" applyBorder="1" applyProtection="1">
      <protection hidden="1"/>
    </xf>
    <xf numFmtId="2" fontId="0" fillId="4" borderId="2" xfId="0" applyNumberFormat="1" applyFill="1" applyBorder="1" applyAlignment="1" applyProtection="1">
      <alignment horizontal="center" vertical="center"/>
      <protection hidden="1"/>
    </xf>
    <xf numFmtId="2" fontId="100" fillId="4" borderId="2" xfId="0" applyNumberFormat="1" applyFont="1" applyFill="1" applyBorder="1" applyAlignment="1" applyProtection="1">
      <alignment horizontal="center" vertical="center"/>
      <protection hidden="1"/>
    </xf>
    <xf numFmtId="2" fontId="0" fillId="4" borderId="3" xfId="0" applyNumberFormat="1" applyFill="1" applyBorder="1" applyAlignment="1" applyProtection="1">
      <alignment horizontal="center" vertical="center"/>
      <protection hidden="1"/>
    </xf>
    <xf numFmtId="8" fontId="0" fillId="4" borderId="3" xfId="0" applyNumberFormat="1" applyFill="1" applyBorder="1" applyAlignment="1" applyProtection="1">
      <alignment horizontal="center" vertical="center"/>
      <protection hidden="1"/>
    </xf>
    <xf numFmtId="10" fontId="0" fillId="4" borderId="2" xfId="3" applyNumberFormat="1" applyFont="1" applyFill="1" applyBorder="1" applyAlignment="1" applyProtection="1">
      <alignment horizontal="center" vertical="center"/>
      <protection hidden="1"/>
    </xf>
    <xf numFmtId="10" fontId="0" fillId="4" borderId="3" xfId="3" applyNumberFormat="1" applyFont="1" applyFill="1" applyBorder="1" applyAlignment="1" applyProtection="1">
      <alignment horizontal="center" vertical="center"/>
      <protection hidden="1"/>
    </xf>
    <xf numFmtId="2" fontId="100" fillId="4" borderId="3" xfId="0" applyNumberFormat="1" applyFont="1" applyFill="1" applyBorder="1" applyAlignment="1" applyProtection="1">
      <alignment horizontal="center" vertical="center"/>
      <protection hidden="1"/>
    </xf>
    <xf numFmtId="8" fontId="0" fillId="4" borderId="12" xfId="0" applyNumberFormat="1" applyFill="1" applyBorder="1" applyAlignment="1" applyProtection="1">
      <alignment horizontal="center" vertical="center"/>
      <protection hidden="1"/>
    </xf>
    <xf numFmtId="8" fontId="0" fillId="4" borderId="11" xfId="0" applyNumberFormat="1" applyFill="1" applyBorder="1" applyAlignment="1" applyProtection="1">
      <alignment horizontal="center" vertical="center"/>
      <protection hidden="1"/>
    </xf>
    <xf numFmtId="0" fontId="100" fillId="9" borderId="106" xfId="0" applyFont="1" applyFill="1" applyBorder="1" applyProtection="1">
      <protection hidden="1"/>
    </xf>
    <xf numFmtId="0" fontId="122" fillId="0" borderId="0" xfId="0" applyFont="1" applyAlignment="1" applyProtection="1">
      <alignment vertical="center"/>
      <protection hidden="1"/>
    </xf>
    <xf numFmtId="0" fontId="100" fillId="4" borderId="3" xfId="0" applyFont="1" applyFill="1" applyBorder="1" applyAlignment="1" applyProtection="1">
      <alignment horizontal="center" vertical="center" wrapText="1"/>
      <protection hidden="1"/>
    </xf>
    <xf numFmtId="0" fontId="100" fillId="4" borderId="4" xfId="0" applyFont="1" applyFill="1" applyBorder="1" applyAlignment="1" applyProtection="1">
      <alignment horizontal="center" vertical="center" wrapText="1"/>
      <protection hidden="1"/>
    </xf>
    <xf numFmtId="1" fontId="100" fillId="4" borderId="0" xfId="0" applyNumberFormat="1" applyFont="1" applyFill="1" applyAlignment="1" applyProtection="1">
      <alignment horizontal="center"/>
      <protection hidden="1"/>
    </xf>
    <xf numFmtId="0" fontId="0" fillId="4" borderId="0" xfId="0" applyFill="1" applyAlignment="1" applyProtection="1">
      <alignment horizontal="center"/>
      <protection hidden="1"/>
    </xf>
    <xf numFmtId="1" fontId="0" fillId="0" borderId="26" xfId="0" applyNumberFormat="1" applyBorder="1" applyAlignment="1" applyProtection="1">
      <alignment horizontal="center"/>
      <protection hidden="1"/>
    </xf>
    <xf numFmtId="8" fontId="0" fillId="0" borderId="41" xfId="0" applyNumberFormat="1" applyBorder="1" applyAlignment="1" applyProtection="1">
      <alignment horizontal="center"/>
      <protection hidden="1"/>
    </xf>
    <xf numFmtId="8" fontId="0" fillId="0" borderId="27" xfId="0" applyNumberFormat="1" applyBorder="1" applyAlignment="1" applyProtection="1">
      <alignment horizontal="center"/>
      <protection hidden="1"/>
    </xf>
    <xf numFmtId="0" fontId="0" fillId="0" borderId="0" xfId="0" applyAlignment="1" applyProtection="1">
      <alignment horizontal="center"/>
      <protection hidden="1"/>
    </xf>
    <xf numFmtId="1" fontId="0" fillId="0" borderId="4" xfId="0" applyNumberFormat="1" applyBorder="1" applyAlignment="1" applyProtection="1">
      <alignment horizontal="center"/>
      <protection hidden="1"/>
    </xf>
    <xf numFmtId="2" fontId="0" fillId="0" borderId="0" xfId="0" applyNumberFormat="1" applyProtection="1">
      <protection hidden="1"/>
    </xf>
    <xf numFmtId="0" fontId="0" fillId="4" borderId="16" xfId="0" applyFill="1" applyBorder="1" applyAlignment="1" applyProtection="1">
      <alignment horizontal="center"/>
      <protection hidden="1"/>
    </xf>
    <xf numFmtId="0" fontId="0" fillId="4" borderId="18" xfId="0" applyFill="1" applyBorder="1" applyProtection="1">
      <protection hidden="1"/>
    </xf>
    <xf numFmtId="0" fontId="0" fillId="4" borderId="16" xfId="0" applyFill="1" applyBorder="1" applyProtection="1">
      <protection hidden="1"/>
    </xf>
    <xf numFmtId="0" fontId="0" fillId="4" borderId="39" xfId="0" applyFill="1" applyBorder="1" applyProtection="1">
      <protection hidden="1"/>
    </xf>
    <xf numFmtId="8" fontId="0" fillId="0" borderId="0" xfId="0" applyNumberFormat="1" applyAlignment="1">
      <alignment horizontal="center" wrapText="1"/>
    </xf>
    <xf numFmtId="9" fontId="0" fillId="0" borderId="0" xfId="0" applyNumberFormat="1" applyProtection="1">
      <protection hidden="1"/>
    </xf>
    <xf numFmtId="176" fontId="0" fillId="0" borderId="0" xfId="3" applyNumberFormat="1" applyFont="1" applyFill="1" applyBorder="1"/>
    <xf numFmtId="8" fontId="0" fillId="0" borderId="0" xfId="0" quotePrefix="1" applyNumberFormat="1"/>
    <xf numFmtId="175" fontId="105" fillId="0" borderId="0" xfId="0" applyNumberFormat="1" applyFont="1" applyAlignment="1">
      <alignment horizontal="center"/>
    </xf>
    <xf numFmtId="10" fontId="0" fillId="0" borderId="0" xfId="3" applyNumberFormat="1" applyFont="1" applyAlignment="1">
      <alignment horizontal="center"/>
    </xf>
    <xf numFmtId="0" fontId="61" fillId="0" borderId="0" xfId="0" applyFont="1" applyAlignment="1">
      <alignment vertical="center"/>
    </xf>
    <xf numFmtId="0" fontId="61" fillId="0" borderId="0" xfId="0" applyFont="1" applyAlignment="1">
      <alignment vertical="center" wrapText="1"/>
    </xf>
    <xf numFmtId="8" fontId="0" fillId="0" borderId="2" xfId="0" applyNumberFormat="1" applyBorder="1"/>
    <xf numFmtId="188" fontId="100" fillId="0" borderId="2" xfId="0" applyNumberFormat="1" applyFont="1" applyBorder="1" applyAlignment="1">
      <alignment horizontal="center" vertical="center" wrapText="1"/>
    </xf>
    <xf numFmtId="1" fontId="0" fillId="0" borderId="5" xfId="0" applyNumberFormat="1" applyBorder="1" applyAlignment="1" applyProtection="1">
      <alignment horizontal="center"/>
      <protection hidden="1"/>
    </xf>
    <xf numFmtId="6" fontId="110" fillId="9" borderId="106" xfId="0" applyNumberFormat="1" applyFont="1" applyFill="1" applyBorder="1" applyAlignment="1" applyProtection="1">
      <alignment horizontal="center" vertical="center"/>
      <protection hidden="1"/>
    </xf>
    <xf numFmtId="2" fontId="0" fillId="0" borderId="0" xfId="0" applyNumberFormat="1" applyAlignment="1">
      <alignment horizontal="center" wrapText="1"/>
    </xf>
    <xf numFmtId="2" fontId="105" fillId="0" borderId="0" xfId="0" applyNumberFormat="1" applyFont="1" applyAlignment="1">
      <alignment horizontal="center" vertical="center" wrapText="1"/>
    </xf>
    <xf numFmtId="0" fontId="121" fillId="0" borderId="0" xfId="0" applyFont="1" applyAlignment="1" applyProtection="1">
      <alignment vertical="center" wrapText="1"/>
      <protection locked="0"/>
    </xf>
    <xf numFmtId="0" fontId="0" fillId="4" borderId="0" xfId="0" applyFill="1" applyProtection="1">
      <protection locked="0" hidden="1"/>
    </xf>
    <xf numFmtId="2" fontId="100" fillId="0" borderId="100" xfId="0" applyNumberFormat="1" applyFont="1" applyBorder="1" applyAlignment="1" applyProtection="1">
      <alignment horizontal="center" vertical="center" wrapText="1"/>
      <protection locked="0" hidden="1"/>
    </xf>
    <xf numFmtId="4" fontId="0" fillId="0" borderId="0" xfId="0" applyNumberFormat="1"/>
    <xf numFmtId="8" fontId="0" fillId="4" borderId="0" xfId="0" applyNumberFormat="1" applyFill="1"/>
    <xf numFmtId="10" fontId="0" fillId="0" borderId="2" xfId="0" applyNumberFormat="1" applyBorder="1" applyAlignment="1">
      <alignment horizontal="center" vertical="center"/>
    </xf>
    <xf numFmtId="8" fontId="100" fillId="0" borderId="2" xfId="0" applyNumberFormat="1" applyFont="1" applyBorder="1" applyAlignment="1">
      <alignment horizontal="center" vertical="center" wrapText="1"/>
    </xf>
    <xf numFmtId="0" fontId="49" fillId="0" borderId="0" xfId="0" applyFont="1" applyAlignment="1">
      <alignment horizontal="center"/>
    </xf>
    <xf numFmtId="0" fontId="49" fillId="0" borderId="0" xfId="0" applyFont="1"/>
    <xf numFmtId="178" fontId="49" fillId="0" borderId="0" xfId="0" applyNumberFormat="1" applyFont="1" applyAlignment="1">
      <alignment horizontal="center"/>
    </xf>
    <xf numFmtId="175" fontId="49" fillId="0" borderId="0" xfId="0" applyNumberFormat="1" applyFont="1" applyAlignment="1">
      <alignment horizontal="center"/>
    </xf>
    <xf numFmtId="0" fontId="49" fillId="0" borderId="19" xfId="0" applyFont="1" applyBorder="1" applyAlignment="1">
      <alignment horizontal="center" vertical="center" wrapText="1"/>
    </xf>
    <xf numFmtId="0" fontId="49" fillId="0" borderId="0" xfId="0" applyFont="1" applyAlignment="1">
      <alignment horizontal="center" vertical="center" wrapText="1"/>
    </xf>
    <xf numFmtId="9" fontId="49" fillId="0" borderId="0" xfId="0" applyNumberFormat="1" applyFont="1" applyAlignment="1">
      <alignment horizontal="center" vertical="center" wrapText="1"/>
    </xf>
    <xf numFmtId="9" fontId="49" fillId="0" borderId="15" xfId="0" applyNumberFormat="1" applyFont="1" applyBorder="1" applyAlignment="1">
      <alignment horizontal="center" vertical="center" wrapText="1"/>
    </xf>
    <xf numFmtId="0" fontId="49" fillId="0" borderId="16"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13" xfId="0" applyFont="1" applyBorder="1" applyAlignment="1">
      <alignment horizontal="center" vertical="center" wrapText="1"/>
    </xf>
    <xf numFmtId="178" fontId="49" fillId="0" borderId="12" xfId="0" applyNumberFormat="1" applyFont="1" applyBorder="1" applyAlignment="1">
      <alignment horizontal="center" vertical="center" wrapText="1"/>
    </xf>
    <xf numFmtId="178" fontId="49" fillId="0" borderId="11" xfId="0" applyNumberFormat="1" applyFont="1" applyBorder="1" applyAlignment="1">
      <alignment horizontal="center" vertical="center" wrapText="1"/>
    </xf>
    <xf numFmtId="0" fontId="49" fillId="0" borderId="43" xfId="0" applyFont="1" applyBorder="1" applyAlignment="1">
      <alignment horizontal="center"/>
    </xf>
    <xf numFmtId="4" fontId="49" fillId="0" borderId="23" xfId="0" applyNumberFormat="1" applyFont="1" applyBorder="1"/>
    <xf numFmtId="172" fontId="49" fillId="0" borderId="43" xfId="0" applyNumberFormat="1" applyFont="1" applyBorder="1" applyAlignment="1">
      <alignment horizontal="center"/>
    </xf>
    <xf numFmtId="180" fontId="49" fillId="0" borderId="23" xfId="0" applyNumberFormat="1" applyFont="1" applyBorder="1" applyAlignment="1">
      <alignment horizontal="center"/>
    </xf>
    <xf numFmtId="180" fontId="49" fillId="0" borderId="44" xfId="0" applyNumberFormat="1" applyFont="1" applyBorder="1" applyAlignment="1">
      <alignment horizontal="center"/>
    </xf>
    <xf numFmtId="4" fontId="49" fillId="0" borderId="0" xfId="0" applyNumberFormat="1" applyFont="1"/>
    <xf numFmtId="10" fontId="49" fillId="0" borderId="44" xfId="3" applyNumberFormat="1" applyFont="1" applyBorder="1" applyAlignment="1">
      <alignment horizontal="center"/>
    </xf>
    <xf numFmtId="175" fontId="49" fillId="0" borderId="23" xfId="0" applyNumberFormat="1" applyFont="1" applyBorder="1" applyAlignment="1">
      <alignment horizontal="center"/>
    </xf>
    <xf numFmtId="8" fontId="49" fillId="0" borderId="23" xfId="0" applyNumberFormat="1" applyFont="1" applyBorder="1" applyAlignment="1">
      <alignment horizontal="center"/>
    </xf>
    <xf numFmtId="8" fontId="49" fillId="0" borderId="44" xfId="0" applyNumberFormat="1" applyFont="1" applyBorder="1" applyAlignment="1">
      <alignment horizontal="center"/>
    </xf>
    <xf numFmtId="0" fontId="49" fillId="9" borderId="19" xfId="0" applyFont="1" applyFill="1" applyBorder="1" applyAlignment="1">
      <alignment horizontal="center"/>
    </xf>
    <xf numFmtId="4" fontId="49" fillId="9" borderId="0" xfId="0" applyNumberFormat="1" applyFont="1" applyFill="1"/>
    <xf numFmtId="172" fontId="49" fillId="9" borderId="19" xfId="0" applyNumberFormat="1" applyFont="1" applyFill="1" applyBorder="1" applyAlignment="1">
      <alignment horizontal="center"/>
    </xf>
    <xf numFmtId="180" fontId="49" fillId="9" borderId="0" xfId="0" applyNumberFormat="1" applyFont="1" applyFill="1" applyAlignment="1">
      <alignment horizontal="center"/>
    </xf>
    <xf numFmtId="180" fontId="49" fillId="9" borderId="15" xfId="0" applyNumberFormat="1" applyFont="1" applyFill="1" applyBorder="1" applyAlignment="1">
      <alignment horizontal="center"/>
    </xf>
    <xf numFmtId="0" fontId="49" fillId="9" borderId="0" xfId="0" applyFont="1" applyFill="1" applyAlignment="1">
      <alignment horizontal="center"/>
    </xf>
    <xf numFmtId="10" fontId="49" fillId="9" borderId="15" xfId="3" applyNumberFormat="1" applyFont="1" applyFill="1" applyBorder="1" applyAlignment="1">
      <alignment horizontal="center"/>
    </xf>
    <xf numFmtId="8" fontId="49" fillId="9" borderId="15" xfId="0" applyNumberFormat="1" applyFont="1" applyFill="1" applyBorder="1" applyAlignment="1">
      <alignment horizontal="center"/>
    </xf>
    <xf numFmtId="0" fontId="49" fillId="0" borderId="19" xfId="0" applyFont="1" applyBorder="1" applyAlignment="1">
      <alignment horizontal="center"/>
    </xf>
    <xf numFmtId="172" fontId="49" fillId="0" borderId="19" xfId="0" applyNumberFormat="1" applyFont="1" applyBorder="1" applyAlignment="1">
      <alignment horizontal="center"/>
    </xf>
    <xf numFmtId="180" fontId="49" fillId="0" borderId="0" xfId="0" applyNumberFormat="1" applyFont="1" applyAlignment="1">
      <alignment horizontal="center"/>
    </xf>
    <xf numFmtId="180" fontId="49" fillId="0" borderId="15" xfId="0" applyNumberFormat="1" applyFont="1" applyBorder="1" applyAlignment="1">
      <alignment horizontal="center"/>
    </xf>
    <xf numFmtId="10" fontId="49" fillId="0" borderId="15" xfId="3" applyNumberFormat="1" applyFont="1" applyBorder="1" applyAlignment="1">
      <alignment horizontal="center"/>
    </xf>
    <xf numFmtId="8" fontId="49" fillId="0" borderId="15" xfId="0" applyNumberFormat="1" applyFont="1" applyBorder="1" applyAlignment="1">
      <alignment horizontal="center"/>
    </xf>
    <xf numFmtId="0" fontId="115" fillId="0" borderId="21" xfId="0" applyFont="1" applyBorder="1" applyAlignment="1">
      <alignment horizontal="center" wrapText="1"/>
    </xf>
    <xf numFmtId="175" fontId="49" fillId="9" borderId="0" xfId="0" applyNumberFormat="1" applyFont="1" applyFill="1" applyAlignment="1">
      <alignment horizontal="center"/>
    </xf>
    <xf numFmtId="8" fontId="49" fillId="9" borderId="0" xfId="0" applyNumberFormat="1" applyFont="1" applyFill="1" applyAlignment="1">
      <alignment horizontal="center"/>
    </xf>
    <xf numFmtId="8" fontId="49" fillId="0" borderId="0" xfId="0" applyNumberFormat="1" applyFont="1" applyAlignment="1">
      <alignment horizontal="center"/>
    </xf>
    <xf numFmtId="167" fontId="49" fillId="0" borderId="23" xfId="0" applyNumberFormat="1" applyFont="1" applyBorder="1" applyAlignment="1">
      <alignment horizontal="center"/>
    </xf>
    <xf numFmtId="167" fontId="49" fillId="9" borderId="0" xfId="0" applyNumberFormat="1" applyFont="1" applyFill="1" applyAlignment="1">
      <alignment horizontal="center"/>
    </xf>
    <xf numFmtId="167" fontId="49" fillId="0" borderId="0" xfId="0" applyNumberFormat="1" applyFont="1" applyAlignment="1">
      <alignment horizontal="center"/>
    </xf>
    <xf numFmtId="0" fontId="0" fillId="4" borderId="4" xfId="0" applyFill="1" applyBorder="1" applyAlignment="1">
      <alignment horizontal="right" vertical="center"/>
    </xf>
    <xf numFmtId="2" fontId="0" fillId="4" borderId="2" xfId="0" applyNumberFormat="1" applyFill="1" applyBorder="1" applyAlignment="1">
      <alignment horizontal="center" vertical="center"/>
    </xf>
    <xf numFmtId="8" fontId="0" fillId="4" borderId="2" xfId="0" applyNumberFormat="1" applyFill="1" applyBorder="1" applyAlignment="1">
      <alignment horizontal="center" vertical="center"/>
    </xf>
    <xf numFmtId="0" fontId="0" fillId="4" borderId="3" xfId="0" applyFill="1" applyBorder="1" applyAlignment="1">
      <alignment horizontal="center" vertical="center"/>
    </xf>
    <xf numFmtId="0" fontId="0" fillId="4" borderId="43" xfId="0" applyFill="1" applyBorder="1"/>
    <xf numFmtId="0" fontId="0" fillId="4" borderId="18" xfId="0" applyFill="1" applyBorder="1"/>
    <xf numFmtId="0" fontId="112" fillId="0" borderId="0" xfId="0" applyFont="1"/>
    <xf numFmtId="0" fontId="112" fillId="0" borderId="0" xfId="0" applyFont="1" applyAlignment="1">
      <alignment horizontal="center" vertical="center"/>
    </xf>
    <xf numFmtId="0" fontId="0" fillId="4" borderId="2" xfId="0" applyFill="1" applyBorder="1"/>
    <xf numFmtId="8" fontId="100" fillId="0" borderId="2" xfId="0" applyNumberFormat="1" applyFont="1" applyBorder="1" applyAlignment="1" applyProtection="1">
      <alignment horizontal="center" vertical="center"/>
      <protection locked="0"/>
    </xf>
    <xf numFmtId="0" fontId="105" fillId="4" borderId="0" xfId="0" applyFont="1" applyFill="1" applyAlignment="1">
      <alignment vertical="center"/>
    </xf>
    <xf numFmtId="0" fontId="104" fillId="0" borderId="3"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protection locked="0"/>
    </xf>
    <xf numFmtId="0" fontId="104" fillId="0" borderId="0" xfId="0" quotePrefix="1" applyFont="1" applyProtection="1">
      <protection hidden="1"/>
    </xf>
    <xf numFmtId="6" fontId="110" fillId="9" borderId="109" xfId="0" applyNumberFormat="1" applyFont="1" applyFill="1" applyBorder="1" applyAlignment="1" applyProtection="1">
      <alignment horizontal="center" vertical="center"/>
      <protection hidden="1"/>
    </xf>
    <xf numFmtId="0" fontId="0" fillId="4" borderId="19" xfId="0" applyFill="1" applyBorder="1" applyAlignment="1" applyProtection="1">
      <alignment horizontal="center"/>
      <protection hidden="1"/>
    </xf>
    <xf numFmtId="0" fontId="0" fillId="4" borderId="15" xfId="0" applyFill="1" applyBorder="1" applyAlignment="1" applyProtection="1">
      <alignment horizontal="center"/>
      <protection hidden="1"/>
    </xf>
    <xf numFmtId="0" fontId="112" fillId="4" borderId="4" xfId="0" applyFont="1" applyFill="1" applyBorder="1" applyAlignment="1" applyProtection="1">
      <alignment horizontal="center" vertical="center" wrapText="1"/>
      <protection hidden="1"/>
    </xf>
    <xf numFmtId="0" fontId="112" fillId="4" borderId="3" xfId="0" applyFont="1" applyFill="1" applyBorder="1" applyAlignment="1" applyProtection="1">
      <alignment horizontal="center" vertical="center" wrapText="1"/>
      <protection hidden="1"/>
    </xf>
    <xf numFmtId="0" fontId="100" fillId="4" borderId="21" xfId="0" applyFont="1" applyFill="1" applyBorder="1" applyAlignment="1" applyProtection="1">
      <alignment horizontal="center" vertical="center" wrapText="1"/>
      <protection hidden="1"/>
    </xf>
    <xf numFmtId="0" fontId="0" fillId="4" borderId="3" xfId="0" applyFill="1" applyBorder="1" applyAlignment="1" applyProtection="1">
      <alignment horizontal="center" vertical="center"/>
      <protection hidden="1"/>
    </xf>
    <xf numFmtId="1" fontId="0" fillId="0" borderId="0" xfId="0" applyNumberFormat="1" applyAlignment="1" applyProtection="1">
      <alignment horizontal="center"/>
      <protection hidden="1"/>
    </xf>
    <xf numFmtId="14" fontId="100" fillId="0" borderId="100" xfId="0" applyNumberFormat="1" applyFont="1" applyBorder="1" applyAlignment="1" applyProtection="1">
      <alignment horizontal="center" vertical="center" wrapText="1"/>
      <protection locked="0"/>
    </xf>
    <xf numFmtId="2" fontId="100" fillId="0" borderId="100" xfId="0" applyNumberFormat="1" applyFont="1" applyBorder="1" applyAlignment="1" applyProtection="1">
      <alignment horizontal="center" vertical="center" wrapText="1"/>
      <protection locked="0"/>
    </xf>
    <xf numFmtId="10" fontId="100" fillId="0" borderId="100" xfId="3" applyNumberFormat="1" applyFont="1" applyBorder="1" applyAlignment="1" applyProtection="1">
      <alignment horizontal="center" vertical="center" wrapText="1"/>
      <protection locked="0"/>
    </xf>
    <xf numFmtId="10" fontId="0" fillId="4" borderId="0" xfId="3" applyNumberFormat="1" applyFont="1" applyFill="1" applyBorder="1"/>
    <xf numFmtId="0" fontId="0" fillId="4" borderId="43" xfId="0" applyFill="1" applyBorder="1" applyProtection="1">
      <protection hidden="1"/>
    </xf>
    <xf numFmtId="0" fontId="0" fillId="4" borderId="23" xfId="0" applyFill="1" applyBorder="1" applyProtection="1">
      <protection hidden="1"/>
    </xf>
    <xf numFmtId="0" fontId="0" fillId="4" borderId="19" xfId="0" applyFill="1" applyBorder="1" applyProtection="1">
      <protection hidden="1"/>
    </xf>
    <xf numFmtId="1" fontId="0" fillId="4" borderId="61" xfId="0" applyNumberFormat="1" applyFill="1" applyBorder="1" applyAlignment="1" applyProtection="1">
      <alignment horizontal="center"/>
      <protection hidden="1"/>
    </xf>
    <xf numFmtId="8" fontId="0" fillId="4" borderId="18" xfId="0" applyNumberFormat="1" applyFill="1" applyBorder="1" applyProtection="1">
      <protection hidden="1"/>
    </xf>
    <xf numFmtId="0" fontId="0" fillId="4" borderId="0" xfId="0" applyFill="1" applyProtection="1">
      <protection locked="0"/>
    </xf>
    <xf numFmtId="0" fontId="89" fillId="0" borderId="0" xfId="0" applyFont="1" applyAlignment="1">
      <alignment horizontal="center" vertical="center" wrapText="1"/>
    </xf>
    <xf numFmtId="0" fontId="89" fillId="0" borderId="0" xfId="0" applyFont="1" applyAlignment="1">
      <alignment horizontal="left" vertical="center"/>
    </xf>
    <xf numFmtId="0" fontId="89" fillId="0" borderId="0" xfId="0" applyFont="1" applyAlignment="1">
      <alignment horizontal="left" vertical="center" wrapText="1"/>
    </xf>
    <xf numFmtId="0" fontId="102" fillId="4" borderId="0" xfId="0" applyFont="1" applyFill="1"/>
    <xf numFmtId="2" fontId="102" fillId="4" borderId="2" xfId="0" applyNumberFormat="1" applyFont="1" applyFill="1" applyBorder="1" applyAlignment="1">
      <alignment horizontal="center" vertical="center"/>
    </xf>
    <xf numFmtId="14" fontId="102" fillId="0" borderId="2" xfId="0" applyNumberFormat="1" applyFont="1" applyBorder="1" applyAlignment="1" applyProtection="1">
      <alignment horizontal="center" vertical="center"/>
      <protection locked="0"/>
    </xf>
    <xf numFmtId="14" fontId="102" fillId="0" borderId="2" xfId="0" applyNumberFormat="1" applyFont="1" applyBorder="1" applyAlignment="1">
      <alignment horizontal="center"/>
    </xf>
    <xf numFmtId="0" fontId="105" fillId="0" borderId="0" xfId="0" applyFont="1" applyAlignment="1">
      <alignment vertical="center"/>
    </xf>
    <xf numFmtId="0" fontId="152" fillId="0" borderId="0" xfId="0" applyFont="1" applyAlignment="1">
      <alignment horizontal="right"/>
    </xf>
    <xf numFmtId="6" fontId="0" fillId="4" borderId="2" xfId="0" applyNumberFormat="1" applyFill="1" applyBorder="1" applyAlignment="1">
      <alignment horizontal="center" vertical="center" wrapText="1"/>
    </xf>
    <xf numFmtId="167" fontId="0" fillId="4" borderId="2" xfId="0" applyNumberFormat="1" applyFill="1" applyBorder="1" applyAlignment="1">
      <alignment horizontal="center" vertical="center" wrapText="1"/>
    </xf>
    <xf numFmtId="10" fontId="0" fillId="4" borderId="2" xfId="0" applyNumberFormat="1" applyFill="1" applyBorder="1" applyAlignment="1">
      <alignment horizontal="center" vertical="center" wrapText="1"/>
    </xf>
    <xf numFmtId="6" fontId="100" fillId="4" borderId="2" xfId="0" applyNumberFormat="1" applyFont="1" applyFill="1" applyBorder="1" applyAlignment="1">
      <alignment horizontal="center" vertical="center" wrapText="1"/>
    </xf>
    <xf numFmtId="6" fontId="0" fillId="4" borderId="6" xfId="0" applyNumberFormat="1" applyFill="1" applyBorder="1" applyAlignment="1">
      <alignment horizontal="center" vertical="center" wrapText="1"/>
    </xf>
    <xf numFmtId="6" fontId="100" fillId="4" borderId="116" xfId="0" applyNumberFormat="1" applyFont="1" applyFill="1" applyBorder="1" applyAlignment="1">
      <alignment horizontal="center" vertical="center" wrapText="1"/>
    </xf>
    <xf numFmtId="6" fontId="100" fillId="4" borderId="14" xfId="0" applyNumberFormat="1" applyFont="1" applyFill="1" applyBorder="1" applyAlignment="1">
      <alignment horizontal="center" vertical="center" wrapText="1"/>
    </xf>
    <xf numFmtId="0" fontId="100" fillId="4" borderId="6" xfId="0" applyFont="1" applyFill="1" applyBorder="1" applyAlignment="1">
      <alignment horizontal="center"/>
    </xf>
    <xf numFmtId="0" fontId="0" fillId="4" borderId="4" xfId="0" applyFill="1" applyBorder="1" applyAlignment="1">
      <alignment vertical="center"/>
    </xf>
    <xf numFmtId="0" fontId="0" fillId="4" borderId="3" xfId="0" applyFill="1" applyBorder="1" applyAlignment="1">
      <alignment horizontal="center"/>
    </xf>
    <xf numFmtId="0" fontId="0" fillId="4" borderId="11" xfId="0" applyFill="1" applyBorder="1" applyAlignment="1">
      <alignment vertical="center"/>
    </xf>
    <xf numFmtId="0" fontId="0" fillId="4" borderId="103" xfId="0" applyFill="1" applyBorder="1" applyAlignment="1">
      <alignment vertical="center"/>
    </xf>
    <xf numFmtId="0" fontId="0" fillId="0" borderId="2" xfId="0" applyBorder="1" applyAlignment="1" applyProtection="1">
      <alignment horizontal="center" vertical="center"/>
      <protection locked="0"/>
    </xf>
    <xf numFmtId="0" fontId="105" fillId="0" borderId="0" xfId="0" applyFont="1"/>
    <xf numFmtId="0" fontId="105" fillId="0" borderId="0" xfId="0" applyFont="1" applyAlignment="1">
      <alignment horizontal="center"/>
    </xf>
    <xf numFmtId="182" fontId="0" fillId="0" borderId="2" xfId="0" applyNumberFormat="1" applyBorder="1" applyAlignment="1" applyProtection="1">
      <alignment horizontal="center"/>
      <protection locked="0"/>
    </xf>
    <xf numFmtId="9" fontId="0" fillId="0" borderId="0" xfId="3" applyFont="1" applyFill="1" applyBorder="1" applyAlignment="1">
      <alignment horizontal="center" wrapText="1"/>
    </xf>
    <xf numFmtId="9" fontId="99" fillId="4" borderId="2" xfId="3" applyFont="1" applyFill="1" applyBorder="1" applyAlignment="1">
      <alignment horizontal="center" vertical="center" wrapText="1"/>
    </xf>
    <xf numFmtId="172" fontId="0" fillId="0" borderId="0" xfId="0" applyNumberFormat="1"/>
    <xf numFmtId="177" fontId="0" fillId="0" borderId="0" xfId="3" applyNumberFormat="1" applyFont="1"/>
    <xf numFmtId="0" fontId="104" fillId="0" borderId="2" xfId="0" applyFont="1" applyBorder="1" applyAlignment="1">
      <alignment horizontal="center" vertical="center" wrapText="1"/>
    </xf>
    <xf numFmtId="8" fontId="105" fillId="0" borderId="2" xfId="0" applyNumberFormat="1" applyFont="1" applyBorder="1" applyAlignment="1">
      <alignment vertical="center" wrapText="1"/>
    </xf>
    <xf numFmtId="6" fontId="0" fillId="4" borderId="1" xfId="0" applyNumberFormat="1" applyFill="1" applyBorder="1" applyAlignment="1">
      <alignment horizontal="center" vertical="center" wrapText="1"/>
    </xf>
    <xf numFmtId="167" fontId="0" fillId="4" borderId="1" xfId="0" applyNumberFormat="1" applyFill="1" applyBorder="1" applyAlignment="1">
      <alignment horizontal="center" vertical="center" wrapText="1"/>
    </xf>
    <xf numFmtId="10" fontId="0" fillId="4" borderId="1" xfId="0" applyNumberFormat="1" applyFill="1" applyBorder="1" applyAlignment="1">
      <alignment horizontal="center" vertical="center" wrapText="1"/>
    </xf>
    <xf numFmtId="6" fontId="100" fillId="4" borderId="1" xfId="0" applyNumberFormat="1" applyFont="1" applyFill="1" applyBorder="1" applyAlignment="1">
      <alignment horizontal="center" vertical="center" wrapText="1"/>
    </xf>
    <xf numFmtId="9" fontId="99" fillId="4" borderId="1" xfId="3" applyFont="1" applyFill="1" applyBorder="1" applyAlignment="1">
      <alignment horizontal="center" vertical="center" wrapText="1"/>
    </xf>
    <xf numFmtId="6" fontId="0" fillId="4" borderId="80" xfId="0" applyNumberFormat="1" applyFill="1" applyBorder="1" applyAlignment="1">
      <alignment horizontal="center" vertical="center" wrapText="1"/>
    </xf>
    <xf numFmtId="6" fontId="100" fillId="4" borderId="110" xfId="0" applyNumberFormat="1" applyFont="1" applyFill="1" applyBorder="1" applyAlignment="1">
      <alignment horizontal="center" vertical="center" wrapText="1"/>
    </xf>
    <xf numFmtId="167" fontId="0" fillId="4" borderId="120" xfId="0" applyNumberFormat="1" applyFill="1" applyBorder="1" applyAlignment="1">
      <alignment horizontal="center" vertical="center" wrapText="1"/>
    </xf>
    <xf numFmtId="10" fontId="0" fillId="4" borderId="120" xfId="0" applyNumberFormat="1" applyFill="1" applyBorder="1" applyAlignment="1">
      <alignment horizontal="center" vertical="center" wrapText="1"/>
    </xf>
    <xf numFmtId="6" fontId="100" fillId="4" borderId="120" xfId="0" applyNumberFormat="1" applyFont="1" applyFill="1" applyBorder="1" applyAlignment="1">
      <alignment horizontal="center" vertical="center" wrapText="1"/>
    </xf>
    <xf numFmtId="9" fontId="0" fillId="4" borderId="120" xfId="3" applyFont="1" applyFill="1" applyBorder="1" applyAlignment="1">
      <alignment horizontal="center" vertical="center" wrapText="1"/>
    </xf>
    <xf numFmtId="6" fontId="0" fillId="4" borderId="121" xfId="0" applyNumberFormat="1" applyFill="1" applyBorder="1" applyAlignment="1">
      <alignment horizontal="center" vertical="center" wrapText="1"/>
    </xf>
    <xf numFmtId="6" fontId="100" fillId="4" borderId="122" xfId="0" applyNumberFormat="1" applyFont="1" applyFill="1" applyBorder="1" applyAlignment="1">
      <alignment horizontal="center" vertical="center" wrapText="1"/>
    </xf>
    <xf numFmtId="0" fontId="107" fillId="4" borderId="28" xfId="0" applyFont="1" applyFill="1" applyBorder="1" applyAlignment="1">
      <alignment vertical="center" wrapText="1"/>
    </xf>
    <xf numFmtId="0" fontId="107" fillId="4" borderId="123" xfId="0" applyFont="1" applyFill="1" applyBorder="1" applyAlignment="1">
      <alignment vertical="center" wrapText="1"/>
    </xf>
    <xf numFmtId="6" fontId="100" fillId="4" borderId="104" xfId="0" applyNumberFormat="1" applyFont="1" applyFill="1" applyBorder="1" applyAlignment="1">
      <alignment horizontal="center" vertical="center" wrapText="1"/>
    </xf>
    <xf numFmtId="9" fontId="99" fillId="4" borderId="120" xfId="3" applyFont="1" applyFill="1" applyBorder="1" applyAlignment="1">
      <alignment horizontal="center" vertical="center" wrapText="1"/>
    </xf>
    <xf numFmtId="9" fontId="99" fillId="0" borderId="100" xfId="3" applyFont="1" applyBorder="1" applyAlignment="1" applyProtection="1">
      <alignment horizontal="center" vertical="center" wrapText="1"/>
      <protection locked="0"/>
    </xf>
    <xf numFmtId="9" fontId="99" fillId="4" borderId="100" xfId="3" applyFont="1" applyFill="1" applyBorder="1" applyAlignment="1" applyProtection="1">
      <alignment horizontal="center" vertical="center" wrapText="1"/>
      <protection hidden="1"/>
    </xf>
    <xf numFmtId="10" fontId="99" fillId="4" borderId="100" xfId="3" applyNumberFormat="1" applyFont="1" applyFill="1" applyBorder="1" applyAlignment="1">
      <alignment horizontal="center" vertical="center" wrapText="1"/>
    </xf>
    <xf numFmtId="0" fontId="0" fillId="0" borderId="0" xfId="0" applyAlignment="1">
      <alignment vertical="center" wrapText="1"/>
    </xf>
    <xf numFmtId="9" fontId="0" fillId="0" borderId="0" xfId="3" applyFont="1" applyAlignment="1" applyProtection="1">
      <alignment vertical="center" wrapText="1"/>
      <protection locked="0"/>
    </xf>
    <xf numFmtId="169" fontId="104" fillId="0" borderId="0" xfId="0" applyNumberFormat="1" applyFont="1"/>
    <xf numFmtId="189" fontId="0" fillId="0" borderId="0" xfId="0" applyNumberFormat="1"/>
    <xf numFmtId="0" fontId="0" fillId="0" borderId="0" xfId="0" quotePrefix="1"/>
    <xf numFmtId="8" fontId="0" fillId="0" borderId="2" xfId="0" applyNumberFormat="1" applyBorder="1" applyAlignment="1" applyProtection="1">
      <alignment vertical="center"/>
      <protection locked="0"/>
    </xf>
    <xf numFmtId="0" fontId="105" fillId="0" borderId="0" xfId="0" applyFont="1" applyAlignment="1">
      <alignment horizontal="left"/>
    </xf>
    <xf numFmtId="178" fontId="0" fillId="0" borderId="0" xfId="0" applyNumberFormat="1"/>
    <xf numFmtId="182" fontId="0" fillId="0" borderId="0" xfId="0" applyNumberFormat="1"/>
    <xf numFmtId="182" fontId="105" fillId="0" borderId="0" xfId="0" applyNumberFormat="1" applyFont="1" applyAlignment="1">
      <alignment horizontal="left"/>
    </xf>
    <xf numFmtId="0" fontId="105" fillId="4" borderId="0" xfId="0" applyFont="1" applyFill="1" applyAlignment="1">
      <alignment horizontal="left"/>
    </xf>
    <xf numFmtId="0" fontId="100" fillId="4" borderId="2" xfId="0" applyFont="1" applyFill="1" applyBorder="1" applyAlignment="1" applyProtection="1">
      <alignment horizontal="center" vertical="center" wrapText="1"/>
      <protection hidden="1"/>
    </xf>
    <xf numFmtId="0" fontId="100" fillId="0" borderId="0" xfId="0" applyFont="1"/>
    <xf numFmtId="0" fontId="0" fillId="0" borderId="2" xfId="0" applyBorder="1" applyAlignment="1" applyProtection="1">
      <alignment horizontal="center"/>
      <protection hidden="1"/>
    </xf>
    <xf numFmtId="0" fontId="0" fillId="0" borderId="4" xfId="0" applyBorder="1" applyAlignment="1" applyProtection="1">
      <alignment horizontal="center"/>
      <protection hidden="1"/>
    </xf>
    <xf numFmtId="0" fontId="0" fillId="0" borderId="3" xfId="0" applyBorder="1" applyAlignment="1" applyProtection="1">
      <alignment horizontal="center"/>
      <protection hidden="1"/>
    </xf>
    <xf numFmtId="0" fontId="0" fillId="4" borderId="4" xfId="0" applyFill="1" applyBorder="1" applyAlignment="1" applyProtection="1">
      <alignment horizontal="center" vertical="center"/>
      <protection hidden="1"/>
    </xf>
    <xf numFmtId="0" fontId="0" fillId="0" borderId="68" xfId="0" applyBorder="1" applyAlignment="1" applyProtection="1">
      <alignment vertical="center"/>
      <protection locked="0"/>
    </xf>
    <xf numFmtId="0" fontId="0" fillId="0" borderId="2" xfId="0" applyBorder="1" applyProtection="1">
      <protection locked="0"/>
    </xf>
    <xf numFmtId="9" fontId="0" fillId="0" borderId="0" xfId="0" applyNumberFormat="1"/>
    <xf numFmtId="0" fontId="129" fillId="0" borderId="4" xfId="0" applyFont="1" applyBorder="1" applyAlignment="1">
      <alignment horizontal="center" vertical="center" wrapText="1"/>
    </xf>
    <xf numFmtId="14" fontId="138" fillId="0" borderId="4" xfId="0" applyNumberFormat="1" applyFont="1" applyBorder="1" applyAlignment="1">
      <alignment horizontal="center" vertical="center" wrapText="1"/>
    </xf>
    <xf numFmtId="14" fontId="138" fillId="0" borderId="13" xfId="0" applyNumberFormat="1" applyFont="1" applyBorder="1" applyAlignment="1">
      <alignment horizontal="center" vertical="center" wrapText="1"/>
    </xf>
    <xf numFmtId="188" fontId="0" fillId="0" borderId="0" xfId="0" applyNumberFormat="1" applyAlignment="1">
      <alignment vertical="center" wrapText="1"/>
    </xf>
    <xf numFmtId="183" fontId="0" fillId="0" borderId="0" xfId="3" applyNumberFormat="1" applyFont="1" applyFill="1" applyBorder="1"/>
    <xf numFmtId="188" fontId="0" fillId="0" borderId="0" xfId="0" applyNumberFormat="1"/>
    <xf numFmtId="177" fontId="0" fillId="0" borderId="0" xfId="0" applyNumberFormat="1"/>
    <xf numFmtId="6" fontId="102" fillId="4" borderId="2" xfId="0" applyNumberFormat="1" applyFont="1" applyFill="1" applyBorder="1" applyAlignment="1" applyProtection="1">
      <alignment horizontal="center" vertical="center"/>
      <protection hidden="1"/>
    </xf>
    <xf numFmtId="182" fontId="102" fillId="4" borderId="2" xfId="0" applyNumberFormat="1" applyFont="1" applyFill="1" applyBorder="1" applyAlignment="1" applyProtection="1">
      <alignment horizontal="center" vertical="center"/>
      <protection hidden="1"/>
    </xf>
    <xf numFmtId="8" fontId="102" fillId="4" borderId="2" xfId="0" applyNumberFormat="1" applyFont="1" applyFill="1" applyBorder="1" applyAlignment="1" applyProtection="1">
      <alignment horizontal="center" vertical="center"/>
      <protection hidden="1"/>
    </xf>
    <xf numFmtId="182" fontId="102" fillId="4" borderId="3" xfId="0" applyNumberFormat="1" applyFont="1" applyFill="1" applyBorder="1" applyAlignment="1" applyProtection="1">
      <alignment horizontal="center" vertical="center"/>
      <protection hidden="1"/>
    </xf>
    <xf numFmtId="8" fontId="106" fillId="9" borderId="6" xfId="0" applyNumberFormat="1" applyFont="1" applyFill="1" applyBorder="1" applyAlignment="1" applyProtection="1">
      <alignment horizontal="center" vertical="center"/>
      <protection hidden="1"/>
    </xf>
    <xf numFmtId="8" fontId="106" fillId="9" borderId="7" xfId="0" applyNumberFormat="1" applyFont="1" applyFill="1" applyBorder="1" applyAlignment="1" applyProtection="1">
      <alignment horizontal="center" vertical="center"/>
      <protection hidden="1"/>
    </xf>
    <xf numFmtId="0" fontId="105" fillId="4" borderId="2" xfId="0" applyFont="1" applyFill="1" applyBorder="1" applyAlignment="1" applyProtection="1">
      <alignment horizontal="right" vertical="center"/>
      <protection hidden="1"/>
    </xf>
    <xf numFmtId="10" fontId="105" fillId="4" borderId="3" xfId="3" applyNumberFormat="1" applyFont="1" applyFill="1" applyBorder="1" applyAlignment="1" applyProtection="1">
      <alignment horizontal="center" vertical="center"/>
      <protection hidden="1"/>
    </xf>
    <xf numFmtId="10" fontId="0" fillId="0" borderId="2" xfId="0" applyNumberFormat="1" applyBorder="1" applyAlignment="1" applyProtection="1">
      <alignment horizontal="center" vertical="center"/>
      <protection locked="0"/>
    </xf>
    <xf numFmtId="6" fontId="89" fillId="0" borderId="101" xfId="0" quotePrefix="1" applyNumberFormat="1" applyFont="1" applyBorder="1" applyAlignment="1" applyProtection="1">
      <alignment horizontal="center" vertical="center" wrapText="1"/>
      <protection locked="0"/>
    </xf>
    <xf numFmtId="167" fontId="125" fillId="0" borderId="0" xfId="0" applyNumberFormat="1" applyFont="1" applyAlignment="1">
      <alignment horizontal="center"/>
    </xf>
    <xf numFmtId="0" fontId="0" fillId="4" borderId="0" xfId="0" quotePrefix="1" applyFill="1" applyAlignment="1" applyProtection="1">
      <alignment vertical="top" wrapText="1"/>
      <protection hidden="1"/>
    </xf>
    <xf numFmtId="0" fontId="0" fillId="4" borderId="3" xfId="0" applyFill="1" applyBorder="1" applyAlignment="1" applyProtection="1">
      <alignment vertical="center" wrapText="1"/>
      <protection hidden="1"/>
    </xf>
    <xf numFmtId="0" fontId="105" fillId="4" borderId="0" xfId="0" applyFont="1" applyFill="1" applyAlignment="1" applyProtection="1">
      <alignment vertical="center"/>
      <protection hidden="1"/>
    </xf>
    <xf numFmtId="0" fontId="99" fillId="8" borderId="0" xfId="4" applyFont="1" applyFill="1" applyAlignment="1">
      <alignment horizontal="center" vertical="center"/>
    </xf>
    <xf numFmtId="0" fontId="67" fillId="8" borderId="0" xfId="4" applyFont="1" applyFill="1" applyAlignment="1">
      <alignment horizontal="center" vertical="center"/>
    </xf>
    <xf numFmtId="0" fontId="55" fillId="8" borderId="0" xfId="4" applyFont="1" applyFill="1" applyAlignment="1">
      <alignment horizontal="center" vertical="center"/>
    </xf>
    <xf numFmtId="4" fontId="102" fillId="8" borderId="0" xfId="4" applyNumberFormat="1" applyFont="1" applyFill="1" applyAlignment="1">
      <alignment horizontal="center" vertical="center"/>
    </xf>
    <xf numFmtId="0" fontId="152" fillId="8" borderId="0" xfId="0" applyFont="1" applyFill="1" applyAlignment="1">
      <alignment horizontal="right"/>
    </xf>
    <xf numFmtId="0" fontId="0" fillId="8" borderId="0" xfId="0" applyFill="1" applyAlignment="1">
      <alignment horizontal="center" vertical="center"/>
    </xf>
    <xf numFmtId="8" fontId="0" fillId="0" borderId="2" xfId="0" applyNumberFormat="1" applyBorder="1" applyAlignment="1" applyProtection="1">
      <alignment horizontal="center"/>
      <protection hidden="1"/>
    </xf>
    <xf numFmtId="8" fontId="0" fillId="17" borderId="2" xfId="0" applyNumberFormat="1" applyFill="1" applyBorder="1" applyAlignment="1">
      <alignment horizontal="center"/>
    </xf>
    <xf numFmtId="8" fontId="0" fillId="0" borderId="2" xfId="0" applyNumberFormat="1" applyBorder="1" applyAlignment="1">
      <alignment horizontal="center"/>
    </xf>
    <xf numFmtId="0" fontId="0" fillId="0" borderId="18" xfId="0" applyBorder="1" applyAlignment="1" applyProtection="1">
      <alignment horizontal="center"/>
      <protection hidden="1"/>
    </xf>
    <xf numFmtId="0" fontId="116" fillId="4" borderId="0" xfId="0" applyFont="1" applyFill="1" applyAlignment="1">
      <alignment vertical="center"/>
    </xf>
    <xf numFmtId="8" fontId="0" fillId="4" borderId="2" xfId="0" applyNumberFormat="1" applyFill="1" applyBorder="1" applyAlignment="1" applyProtection="1">
      <alignment vertical="center" wrapText="1"/>
      <protection hidden="1"/>
    </xf>
    <xf numFmtId="6" fontId="0" fillId="20" borderId="2" xfId="0" applyNumberFormat="1" applyFill="1" applyBorder="1" applyAlignment="1" applyProtection="1">
      <alignment vertical="center" wrapText="1"/>
      <protection hidden="1"/>
    </xf>
    <xf numFmtId="0" fontId="0" fillId="20" borderId="2" xfId="0" applyFill="1" applyBorder="1" applyAlignment="1" applyProtection="1">
      <alignment vertical="center" wrapText="1"/>
      <protection hidden="1"/>
    </xf>
    <xf numFmtId="8" fontId="99" fillId="9" borderId="2" xfId="3" applyNumberFormat="1" applyFont="1" applyFill="1" applyBorder="1" applyAlignment="1" applyProtection="1">
      <alignment vertical="center" wrapText="1"/>
      <protection hidden="1"/>
    </xf>
    <xf numFmtId="188" fontId="106" fillId="4" borderId="2" xfId="0" applyNumberFormat="1" applyFont="1" applyFill="1" applyBorder="1" applyAlignment="1" applyProtection="1">
      <alignment vertical="center" wrapText="1"/>
      <protection hidden="1"/>
    </xf>
    <xf numFmtId="0" fontId="0" fillId="4" borderId="2" xfId="0" applyFill="1" applyBorder="1" applyAlignment="1" applyProtection="1">
      <alignment vertical="center" wrapText="1"/>
      <protection hidden="1"/>
    </xf>
    <xf numFmtId="8" fontId="0" fillId="21" borderId="2" xfId="0" applyNumberFormat="1" applyFill="1" applyBorder="1" applyAlignment="1" applyProtection="1">
      <alignment vertical="center" wrapText="1"/>
      <protection hidden="1"/>
    </xf>
    <xf numFmtId="188" fontId="106" fillId="4" borderId="3" xfId="0" applyNumberFormat="1" applyFont="1" applyFill="1" applyBorder="1" applyAlignment="1" applyProtection="1">
      <alignment vertical="center" wrapText="1"/>
      <protection hidden="1"/>
    </xf>
    <xf numFmtId="8" fontId="0" fillId="21" borderId="3" xfId="0" applyNumberFormat="1" applyFill="1" applyBorder="1" applyAlignment="1" applyProtection="1">
      <alignment vertical="center" wrapText="1"/>
      <protection hidden="1"/>
    </xf>
    <xf numFmtId="0" fontId="107" fillId="0" borderId="0" xfId="0" applyFont="1"/>
    <xf numFmtId="8" fontId="0" fillId="0" borderId="0" xfId="0" applyNumberFormat="1" applyProtection="1">
      <protection hidden="1"/>
    </xf>
    <xf numFmtId="0" fontId="128" fillId="4" borderId="0" xfId="0" applyFont="1" applyFill="1" applyAlignment="1">
      <alignment horizontal="center" vertical="center" wrapText="1"/>
    </xf>
    <xf numFmtId="0" fontId="63" fillId="4" borderId="0" xfId="2" applyNumberFormat="1" applyFill="1" applyBorder="1" applyAlignment="1" applyProtection="1">
      <alignment horizontal="center" vertical="center" wrapText="1"/>
      <protection hidden="1"/>
    </xf>
    <xf numFmtId="8" fontId="100" fillId="0" borderId="0" xfId="0" applyNumberFormat="1" applyFont="1" applyAlignment="1">
      <alignment horizontal="center" vertical="center" wrapText="1"/>
    </xf>
    <xf numFmtId="0" fontId="107" fillId="4" borderId="0" xfId="0" applyFont="1" applyFill="1" applyAlignment="1">
      <alignment vertical="center" wrapText="1"/>
    </xf>
    <xf numFmtId="6" fontId="0" fillId="4" borderId="0" xfId="0" applyNumberFormat="1" applyFill="1" applyAlignment="1">
      <alignment horizontal="center" vertical="center" wrapText="1"/>
    </xf>
    <xf numFmtId="167" fontId="0" fillId="4" borderId="0" xfId="0" applyNumberFormat="1" applyFill="1" applyAlignment="1">
      <alignment horizontal="center" vertical="center" wrapText="1"/>
    </xf>
    <xf numFmtId="10" fontId="0" fillId="4" borderId="0" xfId="0" applyNumberFormat="1" applyFill="1" applyAlignment="1">
      <alignment horizontal="center" vertical="center" wrapText="1"/>
    </xf>
    <xf numFmtId="6" fontId="100" fillId="4" borderId="0" xfId="0" applyNumberFormat="1" applyFont="1" applyFill="1" applyAlignment="1">
      <alignment horizontal="center" vertical="center" wrapText="1"/>
    </xf>
    <xf numFmtId="9" fontId="0" fillId="4" borderId="0" xfId="3" applyFont="1" applyFill="1" applyBorder="1" applyAlignment="1">
      <alignment horizontal="center" vertical="center" wrapText="1"/>
    </xf>
    <xf numFmtId="9" fontId="99" fillId="4" borderId="0" xfId="3" applyFont="1" applyFill="1" applyBorder="1" applyAlignment="1">
      <alignment horizontal="center" vertical="center" wrapText="1"/>
    </xf>
    <xf numFmtId="188" fontId="106" fillId="4" borderId="0" xfId="0" applyNumberFormat="1" applyFont="1" applyFill="1" applyAlignment="1" applyProtection="1">
      <alignment vertical="center" wrapText="1"/>
      <protection hidden="1"/>
    </xf>
    <xf numFmtId="0" fontId="0" fillId="4" borderId="0" xfId="0" applyFill="1" applyAlignment="1" applyProtection="1">
      <alignment vertical="center" wrapText="1"/>
      <protection hidden="1"/>
    </xf>
    <xf numFmtId="8" fontId="0" fillId="21" borderId="0" xfId="0" applyNumberFormat="1" applyFill="1" applyAlignment="1" applyProtection="1">
      <alignment vertical="center" wrapText="1"/>
      <protection hidden="1"/>
    </xf>
    <xf numFmtId="1" fontId="0" fillId="0" borderId="0" xfId="0" applyNumberFormat="1" applyProtection="1">
      <protection hidden="1"/>
    </xf>
    <xf numFmtId="8" fontId="102" fillId="0" borderId="0" xfId="0" applyNumberFormat="1" applyFont="1"/>
    <xf numFmtId="2" fontId="100" fillId="0" borderId="2" xfId="0" applyNumberFormat="1" applyFont="1" applyBorder="1" applyAlignment="1" applyProtection="1">
      <alignment horizontal="center" vertical="center" wrapText="1"/>
      <protection locked="0" hidden="1"/>
    </xf>
    <xf numFmtId="8" fontId="100" fillId="0" borderId="2" xfId="0" applyNumberFormat="1" applyFont="1" applyBorder="1" applyAlignment="1" applyProtection="1">
      <alignment horizontal="center" vertical="center" wrapText="1"/>
      <protection locked="0"/>
    </xf>
    <xf numFmtId="10" fontId="100" fillId="0" borderId="2" xfId="3" applyNumberFormat="1" applyFont="1" applyBorder="1" applyAlignment="1" applyProtection="1">
      <alignment horizontal="center" vertical="center" wrapText="1"/>
      <protection locked="0"/>
    </xf>
    <xf numFmtId="9" fontId="99" fillId="0" borderId="2" xfId="3" applyFont="1" applyBorder="1" applyAlignment="1" applyProtection="1">
      <alignment horizontal="center" vertical="center" wrapText="1"/>
      <protection locked="0"/>
    </xf>
    <xf numFmtId="10" fontId="0" fillId="4" borderId="2" xfId="0" applyNumberFormat="1" applyFill="1" applyBorder="1" applyAlignment="1">
      <alignment horizontal="center" vertical="center"/>
    </xf>
    <xf numFmtId="185" fontId="89" fillId="0" borderId="2" xfId="0" applyNumberFormat="1" applyFont="1" applyBorder="1" applyAlignment="1" applyProtection="1">
      <alignment horizontal="center" vertical="center" wrapText="1"/>
      <protection locked="0"/>
    </xf>
    <xf numFmtId="2" fontId="0" fillId="4" borderId="130" xfId="0" applyNumberFormat="1" applyFill="1" applyBorder="1" applyAlignment="1">
      <alignment horizontal="center" vertical="center"/>
    </xf>
    <xf numFmtId="2" fontId="100" fillId="0" borderId="130" xfId="0" applyNumberFormat="1" applyFont="1" applyBorder="1" applyAlignment="1" applyProtection="1">
      <alignment horizontal="center" vertical="center" wrapText="1"/>
      <protection locked="0" hidden="1"/>
    </xf>
    <xf numFmtId="8" fontId="100" fillId="0" borderId="130" xfId="0" applyNumberFormat="1" applyFont="1" applyBorder="1" applyAlignment="1" applyProtection="1">
      <alignment horizontal="center" vertical="center" wrapText="1"/>
      <protection locked="0"/>
    </xf>
    <xf numFmtId="10" fontId="100" fillId="0" borderId="130" xfId="3" applyNumberFormat="1" applyFont="1" applyBorder="1" applyAlignment="1" applyProtection="1">
      <alignment horizontal="center" vertical="center" wrapText="1"/>
      <protection locked="0"/>
    </xf>
    <xf numFmtId="8" fontId="0" fillId="4" borderId="130" xfId="0" applyNumberFormat="1" applyFill="1" applyBorder="1" applyAlignment="1">
      <alignment horizontal="center" vertical="center"/>
    </xf>
    <xf numFmtId="6" fontId="0" fillId="4" borderId="130" xfId="0" applyNumberFormat="1" applyFill="1" applyBorder="1" applyAlignment="1">
      <alignment horizontal="center" vertical="center" wrapText="1"/>
    </xf>
    <xf numFmtId="9" fontId="99" fillId="0" borderId="130" xfId="3" applyFont="1" applyBorder="1" applyAlignment="1" applyProtection="1">
      <alignment horizontal="center" vertical="center" wrapText="1"/>
      <protection locked="0"/>
    </xf>
    <xf numFmtId="10" fontId="0" fillId="4" borderId="130" xfId="0" applyNumberFormat="1" applyFill="1" applyBorder="1" applyAlignment="1">
      <alignment horizontal="center" vertical="center"/>
    </xf>
    <xf numFmtId="14" fontId="0" fillId="4" borderId="2" xfId="0" applyNumberFormat="1" applyFill="1" applyBorder="1" applyAlignment="1">
      <alignment horizontal="center" vertical="center" wrapText="1"/>
    </xf>
    <xf numFmtId="14" fontId="0" fillId="4" borderId="130" xfId="0" applyNumberFormat="1" applyFill="1" applyBorder="1" applyAlignment="1">
      <alignment horizontal="center" vertical="center" wrapText="1"/>
    </xf>
    <xf numFmtId="6" fontId="100" fillId="4" borderId="2" xfId="0" applyNumberFormat="1" applyFont="1" applyFill="1" applyBorder="1" applyAlignment="1">
      <alignment horizontal="center" vertical="center"/>
    </xf>
    <xf numFmtId="6" fontId="100" fillId="4" borderId="130" xfId="0" applyNumberFormat="1" applyFont="1" applyFill="1" applyBorder="1" applyAlignment="1">
      <alignment horizontal="center" vertical="center"/>
    </xf>
    <xf numFmtId="6" fontId="0" fillId="4" borderId="130" xfId="0" applyNumberFormat="1" applyFill="1" applyBorder="1" applyAlignment="1" applyProtection="1">
      <alignment horizontal="center" vertical="center" wrapText="1"/>
      <protection hidden="1"/>
    </xf>
    <xf numFmtId="6" fontId="128" fillId="4" borderId="2" xfId="0" applyNumberFormat="1" applyFont="1" applyFill="1" applyBorder="1" applyAlignment="1">
      <alignment horizontal="center" vertical="center"/>
    </xf>
    <xf numFmtId="6" fontId="99" fillId="4" borderId="130" xfId="3" applyNumberFormat="1" applyFont="1" applyFill="1" applyBorder="1" applyAlignment="1">
      <alignment horizontal="center" vertical="center"/>
    </xf>
    <xf numFmtId="0" fontId="128" fillId="4" borderId="2" xfId="0" applyFont="1" applyFill="1" applyBorder="1" applyAlignment="1">
      <alignment horizontal="center" vertical="center"/>
    </xf>
    <xf numFmtId="0" fontId="128" fillId="4" borderId="130" xfId="0" applyFont="1" applyFill="1" applyBorder="1" applyAlignment="1">
      <alignment horizontal="center" vertical="center"/>
    </xf>
    <xf numFmtId="0" fontId="0" fillId="4" borderId="131" xfId="0" applyFill="1" applyBorder="1" applyAlignment="1">
      <alignment vertical="center"/>
    </xf>
    <xf numFmtId="0" fontId="0" fillId="4" borderId="132" xfId="0" applyFill="1" applyBorder="1" applyAlignment="1">
      <alignment vertical="center"/>
    </xf>
    <xf numFmtId="0" fontId="156" fillId="0" borderId="0" xfId="0" applyFont="1"/>
    <xf numFmtId="6" fontId="128" fillId="4" borderId="130" xfId="0" applyNumberFormat="1" applyFont="1" applyFill="1" applyBorder="1" applyAlignment="1">
      <alignment horizontal="center" vertical="center"/>
    </xf>
    <xf numFmtId="0" fontId="0" fillId="0" borderId="0" xfId="0" applyAlignment="1">
      <alignment textRotation="180"/>
    </xf>
    <xf numFmtId="0" fontId="100" fillId="0" borderId="2" xfId="0" applyFont="1" applyBorder="1"/>
    <xf numFmtId="8" fontId="100" fillId="0" borderId="2" xfId="0" applyNumberFormat="1" applyFont="1" applyBorder="1"/>
    <xf numFmtId="190" fontId="0" fillId="0" borderId="2" xfId="0" applyNumberFormat="1" applyBorder="1"/>
    <xf numFmtId="188" fontId="0" fillId="0" borderId="2" xfId="0" applyNumberFormat="1" applyBorder="1"/>
    <xf numFmtId="8" fontId="100" fillId="0" borderId="0" xfId="0" applyNumberFormat="1" applyFont="1"/>
    <xf numFmtId="6" fontId="105" fillId="4" borderId="101" xfId="0" applyNumberFormat="1" applyFont="1" applyFill="1" applyBorder="1" applyAlignment="1" applyProtection="1">
      <alignment vertical="center" wrapText="1"/>
      <protection hidden="1"/>
    </xf>
    <xf numFmtId="0" fontId="106" fillId="19" borderId="102" xfId="0" applyFont="1" applyFill="1" applyBorder="1" applyAlignment="1" applyProtection="1">
      <alignment horizontal="center" vertical="center" wrapText="1"/>
      <protection locked="0"/>
    </xf>
    <xf numFmtId="0" fontId="106" fillId="4" borderId="65" xfId="0" applyFont="1" applyFill="1" applyBorder="1" applyAlignment="1" applyProtection="1">
      <alignment horizontal="center" vertical="top" wrapText="1"/>
      <protection locked="0"/>
    </xf>
    <xf numFmtId="14" fontId="0" fillId="4" borderId="9" xfId="0" applyNumberFormat="1" applyFill="1" applyBorder="1" applyAlignment="1">
      <alignment horizontal="center" vertical="center" wrapText="1"/>
    </xf>
    <xf numFmtId="2" fontId="100" fillId="0" borderId="10" xfId="0" applyNumberFormat="1" applyFont="1" applyBorder="1" applyAlignment="1" applyProtection="1">
      <alignment horizontal="center" vertical="center" wrapText="1"/>
      <protection locked="0" hidden="1"/>
    </xf>
    <xf numFmtId="2" fontId="0" fillId="4" borderId="10" xfId="0" applyNumberFormat="1" applyFill="1" applyBorder="1" applyAlignment="1">
      <alignment horizontal="center" vertical="center"/>
    </xf>
    <xf numFmtId="10" fontId="100" fillId="0" borderId="9" xfId="3" applyNumberFormat="1" applyFont="1" applyBorder="1" applyAlignment="1" applyProtection="1">
      <alignment horizontal="center" vertical="center" wrapText="1"/>
      <protection locked="0"/>
    </xf>
    <xf numFmtId="8" fontId="0" fillId="4" borderId="9" xfId="0" applyNumberFormat="1" applyFill="1" applyBorder="1" applyAlignment="1">
      <alignment horizontal="center" vertical="center"/>
    </xf>
    <xf numFmtId="6" fontId="0" fillId="4" borderId="10" xfId="0" applyNumberFormat="1" applyFill="1" applyBorder="1" applyAlignment="1">
      <alignment horizontal="center" vertical="center" wrapText="1"/>
    </xf>
    <xf numFmtId="9" fontId="99" fillId="0" borderId="9" xfId="3" applyFont="1" applyBorder="1" applyAlignment="1" applyProtection="1">
      <alignment horizontal="center" vertical="center" wrapText="1"/>
      <protection locked="0"/>
    </xf>
    <xf numFmtId="6" fontId="100" fillId="4" borderId="0" xfId="0" applyNumberFormat="1" applyFont="1" applyFill="1" applyAlignment="1">
      <alignment horizontal="center"/>
    </xf>
    <xf numFmtId="10" fontId="0" fillId="4" borderId="9" xfId="3" applyNumberFormat="1" applyFont="1" applyFill="1" applyBorder="1" applyAlignment="1">
      <alignment horizontal="center" vertical="center"/>
    </xf>
    <xf numFmtId="0" fontId="100" fillId="0" borderId="0" xfId="0" applyFont="1" applyAlignment="1">
      <alignment horizontal="center"/>
    </xf>
    <xf numFmtId="9" fontId="0" fillId="0" borderId="9" xfId="3" applyFont="1" applyFill="1" applyBorder="1" applyAlignment="1" applyProtection="1">
      <alignment horizontal="center" vertical="center"/>
      <protection locked="0"/>
    </xf>
    <xf numFmtId="10" fontId="105" fillId="0" borderId="0" xfId="0" applyNumberFormat="1" applyFont="1"/>
    <xf numFmtId="176" fontId="105" fillId="0" borderId="0" xfId="0" applyNumberFormat="1" applyFont="1" applyAlignment="1">
      <alignment horizontal="center"/>
    </xf>
    <xf numFmtId="0" fontId="105" fillId="0" borderId="0" xfId="0" applyFont="1" applyAlignment="1">
      <alignment horizontal="center" vertical="center"/>
    </xf>
    <xf numFmtId="176" fontId="158" fillId="4" borderId="2" xfId="0" applyNumberFormat="1" applyFont="1" applyFill="1" applyBorder="1" applyAlignment="1">
      <alignment horizontal="center" vertical="center"/>
    </xf>
    <xf numFmtId="181" fontId="113" fillId="0" borderId="2" xfId="0" applyNumberFormat="1" applyFont="1" applyBorder="1" applyAlignment="1">
      <alignment horizontal="center" vertical="center"/>
    </xf>
    <xf numFmtId="181" fontId="113" fillId="4" borderId="2" xfId="0" applyNumberFormat="1" applyFont="1" applyFill="1" applyBorder="1" applyAlignment="1">
      <alignment horizontal="center" vertical="center"/>
    </xf>
    <xf numFmtId="0" fontId="158" fillId="4" borderId="4" xfId="0" applyFont="1" applyFill="1" applyBorder="1" applyAlignment="1">
      <alignment horizontal="center" vertical="center"/>
    </xf>
    <xf numFmtId="176" fontId="158" fillId="4" borderId="3" xfId="0" applyNumberFormat="1" applyFont="1" applyFill="1" applyBorder="1" applyAlignment="1">
      <alignment horizontal="center" vertical="center"/>
    </xf>
    <xf numFmtId="181" fontId="113" fillId="0" borderId="3" xfId="0" applyNumberFormat="1" applyFont="1" applyBorder="1" applyAlignment="1">
      <alignment horizontal="center" vertical="center"/>
    </xf>
    <xf numFmtId="181" fontId="113" fillId="4" borderId="3" xfId="0" applyNumberFormat="1" applyFont="1" applyFill="1" applyBorder="1" applyAlignment="1">
      <alignment horizontal="center" vertical="center"/>
    </xf>
    <xf numFmtId="0" fontId="158" fillId="4" borderId="5" xfId="0" applyFont="1" applyFill="1" applyBorder="1" applyAlignment="1">
      <alignment horizontal="center" vertical="center"/>
    </xf>
    <xf numFmtId="181" fontId="113" fillId="0" borderId="6" xfId="0" applyNumberFormat="1" applyFont="1" applyBorder="1" applyAlignment="1">
      <alignment horizontal="center" vertical="center"/>
    </xf>
    <xf numFmtId="181" fontId="113" fillId="0" borderId="7" xfId="0" applyNumberFormat="1" applyFont="1" applyBorder="1" applyAlignment="1">
      <alignment horizontal="center" vertical="center"/>
    </xf>
    <xf numFmtId="0" fontId="100" fillId="0" borderId="2" xfId="0" applyFont="1" applyBorder="1" applyAlignment="1">
      <alignment horizontal="center"/>
    </xf>
    <xf numFmtId="14" fontId="100" fillId="4" borderId="3" xfId="0" applyNumberFormat="1" applyFont="1" applyFill="1" applyBorder="1"/>
    <xf numFmtId="0" fontId="105" fillId="0" borderId="19" xfId="0" applyFont="1" applyBorder="1" applyAlignment="1">
      <alignment horizontal="center"/>
    </xf>
    <xf numFmtId="2" fontId="105" fillId="0" borderId="15" xfId="0" applyNumberFormat="1" applyFont="1" applyBorder="1" applyAlignment="1">
      <alignment horizontal="center"/>
    </xf>
    <xf numFmtId="0" fontId="105" fillId="0" borderId="16" xfId="0" applyFont="1" applyBorder="1" applyAlignment="1">
      <alignment horizontal="center"/>
    </xf>
    <xf numFmtId="8" fontId="105" fillId="0" borderId="39" xfId="0" applyNumberFormat="1" applyFont="1" applyBorder="1" applyAlignment="1">
      <alignment horizontal="center"/>
    </xf>
    <xf numFmtId="0" fontId="105" fillId="4" borderId="0" xfId="0" applyFont="1" applyFill="1"/>
    <xf numFmtId="0" fontId="105" fillId="4" borderId="0" xfId="0" applyFont="1" applyFill="1" applyAlignment="1">
      <alignment horizontal="center"/>
    </xf>
    <xf numFmtId="2" fontId="100" fillId="0" borderId="141" xfId="0" applyNumberFormat="1" applyFont="1" applyBorder="1" applyAlignment="1" applyProtection="1">
      <alignment horizontal="center" vertical="center" wrapText="1"/>
      <protection locked="0" hidden="1"/>
    </xf>
    <xf numFmtId="6" fontId="105" fillId="4" borderId="139" xfId="0" applyNumberFormat="1" applyFont="1" applyFill="1" applyBorder="1" applyAlignment="1" applyProtection="1">
      <alignment vertical="center" wrapText="1"/>
      <protection hidden="1"/>
    </xf>
    <xf numFmtId="0" fontId="0" fillId="0" borderId="2" xfId="0" applyBorder="1" applyAlignment="1">
      <alignment vertical="center"/>
    </xf>
    <xf numFmtId="0" fontId="0" fillId="0" borderId="1" xfId="0" applyBorder="1" applyAlignment="1">
      <alignment vertical="center"/>
    </xf>
    <xf numFmtId="9" fontId="0" fillId="4" borderId="0" xfId="3" applyFont="1" applyFill="1" applyBorder="1" applyAlignment="1" applyProtection="1">
      <alignment horizontal="center" vertical="center"/>
      <protection hidden="1"/>
    </xf>
    <xf numFmtId="0" fontId="0" fillId="4" borderId="2" xfId="0" applyFill="1" applyBorder="1" applyAlignment="1">
      <alignment vertical="center" wrapText="1"/>
    </xf>
    <xf numFmtId="0" fontId="105" fillId="4" borderId="21" xfId="0" applyFont="1" applyFill="1" applyBorder="1" applyAlignment="1" applyProtection="1">
      <alignment horizontal="center" vertical="center"/>
      <protection locked="0"/>
    </xf>
    <xf numFmtId="6" fontId="105" fillId="4" borderId="11" xfId="0" applyNumberFormat="1" applyFont="1" applyFill="1" applyBorder="1" applyAlignment="1" applyProtection="1">
      <alignment horizontal="center" vertical="center" wrapText="1"/>
      <protection hidden="1"/>
    </xf>
    <xf numFmtId="6" fontId="105" fillId="4" borderId="54" xfId="0" applyNumberFormat="1" applyFont="1" applyFill="1" applyBorder="1" applyAlignment="1" applyProtection="1">
      <alignment horizontal="center" vertical="center" wrapText="1"/>
      <protection hidden="1"/>
    </xf>
    <xf numFmtId="8" fontId="105" fillId="4" borderId="3" xfId="0" applyNumberFormat="1" applyFont="1" applyFill="1" applyBorder="1" applyAlignment="1" applyProtection="1">
      <alignment vertical="center"/>
      <protection hidden="1"/>
    </xf>
    <xf numFmtId="0" fontId="0" fillId="4" borderId="2" xfId="0" applyFill="1" applyBorder="1" applyAlignment="1" applyProtection="1">
      <alignment vertical="center"/>
      <protection hidden="1"/>
    </xf>
    <xf numFmtId="0" fontId="100" fillId="4" borderId="2" xfId="0" applyFont="1" applyFill="1" applyBorder="1" applyAlignment="1" applyProtection="1">
      <alignment vertical="center"/>
      <protection hidden="1"/>
    </xf>
    <xf numFmtId="8" fontId="100" fillId="4" borderId="2" xfId="0" applyNumberFormat="1" applyFont="1" applyFill="1" applyBorder="1" applyAlignment="1" applyProtection="1">
      <alignment vertical="center"/>
      <protection hidden="1"/>
    </xf>
    <xf numFmtId="0" fontId="100" fillId="0" borderId="12" xfId="0" applyFont="1" applyBorder="1" applyAlignment="1">
      <alignment vertical="center"/>
    </xf>
    <xf numFmtId="8" fontId="100" fillId="0" borderId="12" xfId="0" applyNumberFormat="1" applyFont="1" applyBorder="1" applyAlignment="1">
      <alignment vertical="center"/>
    </xf>
    <xf numFmtId="9" fontId="0" fillId="0" borderId="0" xfId="3" applyFont="1" applyFill="1" applyBorder="1"/>
    <xf numFmtId="10" fontId="0" fillId="0" borderId="0" xfId="3" applyNumberFormat="1" applyFont="1" applyFill="1" applyBorder="1"/>
    <xf numFmtId="10" fontId="0" fillId="0" borderId="0" xfId="3" applyNumberFormat="1" applyFont="1" applyAlignment="1">
      <alignment horizontal="center" vertical="center"/>
    </xf>
    <xf numFmtId="9" fontId="0" fillId="0" borderId="0" xfId="3" applyFont="1" applyFill="1" applyBorder="1" applyAlignment="1">
      <alignment horizontal="center"/>
    </xf>
    <xf numFmtId="9" fontId="128" fillId="4" borderId="0" xfId="3" quotePrefix="1" applyFont="1" applyFill="1" applyBorder="1" applyAlignment="1" applyProtection="1">
      <alignment horizontal="center" vertical="center" wrapText="1"/>
      <protection hidden="1"/>
    </xf>
    <xf numFmtId="9" fontId="128" fillId="4" borderId="0" xfId="3" applyFont="1" applyFill="1" applyBorder="1" applyAlignment="1" applyProtection="1">
      <alignment horizontal="center" vertical="center"/>
      <protection hidden="1"/>
    </xf>
    <xf numFmtId="0" fontId="105" fillId="4" borderId="0" xfId="0" applyFont="1" applyFill="1" applyProtection="1">
      <protection hidden="1"/>
    </xf>
    <xf numFmtId="14" fontId="0" fillId="0" borderId="2" xfId="0" applyNumberFormat="1" applyBorder="1" applyProtection="1">
      <protection locked="0"/>
    </xf>
    <xf numFmtId="0" fontId="100" fillId="4" borderId="24" xfId="0" applyFont="1" applyFill="1" applyBorder="1" applyAlignment="1">
      <alignment vertical="center"/>
    </xf>
    <xf numFmtId="14" fontId="0" fillId="0" borderId="6" xfId="0" applyNumberFormat="1" applyBorder="1" applyAlignment="1" applyProtection="1">
      <alignment horizontal="center" vertical="center"/>
      <protection locked="0"/>
    </xf>
    <xf numFmtId="8" fontId="163" fillId="0" borderId="2" xfId="0" applyNumberFormat="1" applyFont="1" applyBorder="1" applyAlignment="1" applyProtection="1">
      <alignment vertical="center"/>
      <protection locked="0"/>
    </xf>
    <xf numFmtId="0" fontId="163" fillId="4" borderId="0" xfId="0" applyFont="1" applyFill="1" applyAlignment="1">
      <alignment vertical="center"/>
    </xf>
    <xf numFmtId="0" fontId="163" fillId="0" borderId="0" xfId="0" applyFont="1" applyAlignment="1">
      <alignment vertical="center"/>
    </xf>
    <xf numFmtId="0" fontId="163" fillId="0" borderId="0" xfId="0" applyFont="1" applyAlignment="1">
      <alignment horizontal="center" vertical="center"/>
    </xf>
    <xf numFmtId="10" fontId="105" fillId="0" borderId="2" xfId="3" quotePrefix="1" applyNumberFormat="1" applyFont="1" applyFill="1" applyBorder="1" applyAlignment="1" applyProtection="1">
      <alignment horizontal="center" vertical="center"/>
      <protection locked="0"/>
    </xf>
    <xf numFmtId="10" fontId="0" fillId="4" borderId="2" xfId="3" applyNumberFormat="1" applyFont="1" applyFill="1" applyBorder="1"/>
    <xf numFmtId="9" fontId="0" fillId="0" borderId="2" xfId="3" applyFont="1" applyBorder="1" applyAlignment="1">
      <alignment horizontal="center" vertical="center"/>
    </xf>
    <xf numFmtId="14" fontId="138" fillId="0" borderId="5" xfId="0" applyNumberFormat="1" applyFont="1" applyBorder="1" applyAlignment="1">
      <alignment horizontal="center" vertical="center" wrapText="1"/>
    </xf>
    <xf numFmtId="0" fontId="165" fillId="4" borderId="15" xfId="2" applyNumberFormat="1" applyFont="1" applyFill="1" applyBorder="1" applyAlignment="1" applyProtection="1">
      <alignment horizontal="left" vertical="center"/>
    </xf>
    <xf numFmtId="0" fontId="0" fillId="4" borderId="19" xfId="0" applyFill="1" applyBorder="1" applyAlignment="1">
      <alignment vertical="center"/>
    </xf>
    <xf numFmtId="0" fontId="0" fillId="4" borderId="20" xfId="0" applyFill="1" applyBorder="1" applyAlignment="1">
      <alignment vertical="center"/>
    </xf>
    <xf numFmtId="176" fontId="0" fillId="4" borderId="0" xfId="3" applyNumberFormat="1" applyFont="1" applyFill="1" applyBorder="1" applyAlignment="1" applyProtection="1">
      <alignment vertical="center"/>
    </xf>
    <xf numFmtId="10" fontId="100" fillId="4" borderId="0" xfId="3" applyNumberFormat="1" applyFont="1" applyFill="1" applyBorder="1" applyAlignment="1" applyProtection="1">
      <alignment horizontal="center" vertical="center"/>
    </xf>
    <xf numFmtId="0" fontId="0" fillId="4" borderId="15" xfId="0" applyFill="1" applyBorder="1" applyAlignment="1">
      <alignment vertical="center"/>
    </xf>
    <xf numFmtId="14" fontId="89" fillId="0" borderId="2" xfId="0" applyNumberFormat="1" applyFont="1" applyBorder="1" applyAlignment="1" applyProtection="1">
      <alignment horizontal="center" vertical="center"/>
      <protection locked="0" hidden="1"/>
    </xf>
    <xf numFmtId="0" fontId="128" fillId="4" borderId="103" xfId="0" applyFont="1" applyFill="1" applyBorder="1" applyAlignment="1">
      <alignment vertical="center"/>
    </xf>
    <xf numFmtId="8" fontId="89" fillId="4" borderId="2" xfId="0" applyNumberFormat="1" applyFont="1" applyFill="1" applyBorder="1" applyAlignment="1">
      <alignment horizontal="center" vertical="center"/>
    </xf>
    <xf numFmtId="0" fontId="89" fillId="0" borderId="2" xfId="0" applyFont="1" applyBorder="1" applyAlignment="1" applyProtection="1">
      <alignment horizontal="center" vertical="center"/>
      <protection locked="0" hidden="1"/>
    </xf>
    <xf numFmtId="0" fontId="128" fillId="4" borderId="3" xfId="0" applyFont="1" applyFill="1" applyBorder="1" applyAlignment="1">
      <alignment horizontal="center" vertical="center"/>
    </xf>
    <xf numFmtId="8" fontId="102" fillId="6" borderId="41" xfId="0" applyNumberFormat="1" applyFont="1" applyFill="1" applyBorder="1" applyAlignment="1" applyProtection="1">
      <alignment horizontal="center" vertical="center"/>
      <protection locked="0"/>
    </xf>
    <xf numFmtId="0" fontId="106" fillId="4" borderId="27" xfId="0" applyFont="1" applyFill="1" applyBorder="1" applyAlignment="1">
      <alignment horizontal="center" vertical="center"/>
    </xf>
    <xf numFmtId="14" fontId="102" fillId="6" borderId="2" xfId="0" applyNumberFormat="1" applyFont="1" applyFill="1" applyBorder="1" applyAlignment="1" applyProtection="1">
      <alignment horizontal="center" vertical="center"/>
      <protection locked="0"/>
    </xf>
    <xf numFmtId="10" fontId="102" fillId="6" borderId="2" xfId="0" applyNumberFormat="1" applyFont="1" applyFill="1" applyBorder="1" applyAlignment="1" applyProtection="1">
      <alignment horizontal="center" vertical="center"/>
      <protection locked="0"/>
    </xf>
    <xf numFmtId="0" fontId="105" fillId="0" borderId="0" xfId="0" applyFont="1" applyAlignment="1">
      <alignment vertical="center" wrapText="1"/>
    </xf>
    <xf numFmtId="0" fontId="168" fillId="0" borderId="3" xfId="0" applyFont="1" applyBorder="1" applyAlignment="1">
      <alignment horizontal="center" vertical="center" wrapText="1"/>
    </xf>
    <xf numFmtId="0" fontId="49" fillId="0" borderId="0" xfId="0" applyFont="1" applyProtection="1">
      <protection locked="0"/>
    </xf>
    <xf numFmtId="10" fontId="0" fillId="0" borderId="2" xfId="3" applyNumberFormat="1" applyFont="1" applyBorder="1" applyProtection="1">
      <protection locked="0"/>
    </xf>
    <xf numFmtId="10" fontId="0" fillId="8" borderId="2" xfId="3" applyNumberFormat="1" applyFont="1" applyFill="1" applyBorder="1" applyProtection="1">
      <protection locked="0"/>
    </xf>
    <xf numFmtId="0" fontId="105" fillId="4" borderId="23" xfId="0" applyFont="1" applyFill="1" applyBorder="1" applyAlignment="1">
      <alignment vertical="center" wrapText="1"/>
    </xf>
    <xf numFmtId="0" fontId="106" fillId="4" borderId="41" xfId="0" applyFont="1" applyFill="1" applyBorder="1" applyAlignment="1">
      <alignment horizontal="right" vertical="center"/>
    </xf>
    <xf numFmtId="0" fontId="106" fillId="4" borderId="27" xfId="0" applyFont="1" applyFill="1" applyBorder="1" applyAlignment="1">
      <alignment horizontal="right" vertical="center"/>
    </xf>
    <xf numFmtId="0" fontId="117" fillId="4" borderId="19" xfId="0" applyFont="1" applyFill="1" applyBorder="1" applyAlignment="1">
      <alignment vertical="center"/>
    </xf>
    <xf numFmtId="0" fontId="105" fillId="4" borderId="44" xfId="0" applyFont="1" applyFill="1" applyBorder="1" applyAlignment="1">
      <alignment vertical="center" wrapText="1"/>
    </xf>
    <xf numFmtId="6" fontId="102" fillId="4" borderId="2" xfId="0" applyNumberFormat="1" applyFont="1" applyFill="1" applyBorder="1" applyAlignment="1" applyProtection="1">
      <alignment horizontal="left" vertical="center" wrapText="1"/>
      <protection hidden="1"/>
    </xf>
    <xf numFmtId="10" fontId="102" fillId="4" borderId="21" xfId="3" applyNumberFormat="1" applyFont="1" applyFill="1" applyBorder="1" applyAlignment="1">
      <alignment horizontal="center" vertical="center" wrapText="1"/>
    </xf>
    <xf numFmtId="10" fontId="102" fillId="4" borderId="22" xfId="3" applyNumberFormat="1" applyFont="1" applyFill="1" applyBorder="1" applyAlignment="1">
      <alignment horizontal="center" vertical="center" wrapText="1"/>
    </xf>
    <xf numFmtId="185" fontId="0" fillId="0" borderId="3" xfId="0" applyNumberFormat="1" applyBorder="1" applyAlignment="1" applyProtection="1">
      <alignment horizontal="center" vertical="center" wrapText="1"/>
      <protection locked="0"/>
    </xf>
    <xf numFmtId="185" fontId="89" fillId="0" borderId="6" xfId="0" applyNumberFormat="1" applyFont="1" applyBorder="1" applyAlignment="1" applyProtection="1">
      <alignment horizontal="center" vertical="center" wrapText="1"/>
      <protection locked="0"/>
    </xf>
    <xf numFmtId="185" fontId="89" fillId="0" borderId="7" xfId="0" applyNumberFormat="1" applyFont="1" applyBorder="1" applyAlignment="1" applyProtection="1">
      <alignment horizontal="center" vertical="center" wrapText="1"/>
      <protection locked="0"/>
    </xf>
    <xf numFmtId="0" fontId="154" fillId="0" borderId="41" xfId="0" applyFont="1" applyBorder="1" applyAlignment="1" applyProtection="1">
      <alignment horizontal="center" vertical="center" wrapText="1"/>
      <protection locked="0"/>
    </xf>
    <xf numFmtId="0" fontId="154" fillId="0" borderId="145" xfId="0" applyFont="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8" fontId="89" fillId="4" borderId="0" xfId="0" applyNumberFormat="1" applyFont="1" applyFill="1" applyAlignment="1" applyProtection="1">
      <alignment horizontal="center" vertical="center" wrapText="1"/>
      <protection hidden="1"/>
    </xf>
    <xf numFmtId="0" fontId="55" fillId="4" borderId="4" xfId="0" applyFont="1" applyFill="1" applyBorder="1" applyAlignment="1" applyProtection="1">
      <alignment horizontal="left" vertical="center" wrapText="1"/>
      <protection hidden="1"/>
    </xf>
    <xf numFmtId="6" fontId="0" fillId="4" borderId="130" xfId="0" applyNumberFormat="1" applyFill="1" applyBorder="1" applyAlignment="1">
      <alignment horizontal="center" vertical="center"/>
    </xf>
    <xf numFmtId="8" fontId="102" fillId="4" borderId="136" xfId="0" applyNumberFormat="1" applyFont="1" applyFill="1" applyBorder="1" applyAlignment="1" applyProtection="1">
      <alignment horizontal="center" vertical="center" wrapText="1"/>
      <protection hidden="1"/>
    </xf>
    <xf numFmtId="8" fontId="0" fillId="4" borderId="113" xfId="0" applyNumberFormat="1" applyFill="1" applyBorder="1" applyAlignment="1">
      <alignment vertical="center"/>
    </xf>
    <xf numFmtId="0" fontId="105" fillId="0" borderId="2" xfId="0" applyFont="1" applyBorder="1" applyAlignment="1">
      <alignment horizontal="left" vertical="center" wrapText="1"/>
    </xf>
    <xf numFmtId="0" fontId="102" fillId="0" borderId="2" xfId="0" applyFont="1" applyBorder="1" applyAlignment="1">
      <alignment horizontal="left" vertical="center" wrapText="1"/>
    </xf>
    <xf numFmtId="0" fontId="102" fillId="0" borderId="2" xfId="0" applyFont="1" applyBorder="1" applyAlignment="1">
      <alignment horizontal="center" vertical="center" wrapText="1"/>
    </xf>
    <xf numFmtId="0" fontId="140" fillId="0" borderId="2" xfId="0" applyFont="1" applyBorder="1" applyAlignment="1">
      <alignment horizontal="center" vertical="center" wrapText="1"/>
    </xf>
    <xf numFmtId="10" fontId="0" fillId="0" borderId="2" xfId="3" applyNumberFormat="1" applyFont="1" applyBorder="1" applyAlignment="1">
      <alignment horizontal="center" vertical="center"/>
    </xf>
    <xf numFmtId="0" fontId="0" fillId="4" borderId="23" xfId="0" applyFill="1" applyBorder="1"/>
    <xf numFmtId="0" fontId="0" fillId="0" borderId="12" xfId="0" applyBorder="1"/>
    <xf numFmtId="0" fontId="0" fillId="0" borderId="15" xfId="0" applyBorder="1"/>
    <xf numFmtId="0" fontId="0" fillId="0" borderId="0" xfId="0" applyAlignment="1" applyProtection="1">
      <alignment horizontal="left" vertical="center" wrapText="1"/>
      <protection hidden="1"/>
    </xf>
    <xf numFmtId="10" fontId="76" fillId="0" borderId="0" xfId="3" applyNumberFormat="1" applyFill="1" applyAlignment="1">
      <alignment horizontal="center"/>
    </xf>
    <xf numFmtId="2" fontId="0" fillId="0" borderId="0" xfId="0" applyNumberFormat="1" applyAlignment="1">
      <alignment vertical="center"/>
    </xf>
    <xf numFmtId="0" fontId="63" fillId="0" borderId="0" xfId="2" applyNumberFormat="1" applyBorder="1" applyAlignment="1" applyProtection="1"/>
    <xf numFmtId="172" fontId="123" fillId="0" borderId="0" xfId="0" applyNumberFormat="1" applyFont="1" applyAlignment="1">
      <alignment vertical="center"/>
    </xf>
    <xf numFmtId="0" fontId="105" fillId="11" borderId="19" xfId="0" applyFont="1" applyFill="1" applyBorder="1" applyProtection="1">
      <protection hidden="1"/>
    </xf>
    <xf numFmtId="0" fontId="105" fillId="11" borderId="0" xfId="0" applyFont="1" applyFill="1" applyProtection="1">
      <protection hidden="1"/>
    </xf>
    <xf numFmtId="0" fontId="105" fillId="11" borderId="15" xfId="0" applyFont="1" applyFill="1" applyBorder="1" applyProtection="1">
      <protection hidden="1"/>
    </xf>
    <xf numFmtId="8" fontId="80" fillId="0" borderId="3" xfId="0" applyNumberFormat="1" applyFont="1" applyBorder="1" applyAlignment="1" applyProtection="1">
      <alignment horizontal="center"/>
      <protection hidden="1"/>
    </xf>
    <xf numFmtId="0" fontId="106" fillId="4" borderId="2" xfId="0" applyFont="1" applyFill="1" applyBorder="1" applyAlignment="1" applyProtection="1">
      <alignment horizontal="left" vertical="center" wrapText="1"/>
      <protection locked="0"/>
    </xf>
    <xf numFmtId="0" fontId="106" fillId="4" borderId="2" xfId="0" applyFont="1" applyFill="1" applyBorder="1" applyAlignment="1" applyProtection="1">
      <alignment horizontal="center" vertical="center" wrapText="1"/>
      <protection locked="0"/>
    </xf>
    <xf numFmtId="0" fontId="121" fillId="4" borderId="2" xfId="0" applyFont="1" applyFill="1" applyBorder="1" applyAlignment="1" applyProtection="1">
      <alignment horizontal="left" vertical="center" wrapText="1"/>
      <protection locked="0"/>
    </xf>
    <xf numFmtId="16" fontId="102" fillId="0" borderId="2" xfId="0" applyNumberFormat="1" applyFont="1" applyBorder="1" applyAlignment="1">
      <alignment horizontal="center" vertical="center" wrapText="1"/>
    </xf>
    <xf numFmtId="0" fontId="0" fillId="4" borderId="19" xfId="0" applyFill="1" applyBorder="1" applyAlignment="1" applyProtection="1">
      <alignment horizontal="center" vertical="center" wrapText="1"/>
      <protection hidden="1"/>
    </xf>
    <xf numFmtId="2" fontId="0" fillId="17" borderId="68" xfId="0" applyNumberFormat="1" applyFill="1" applyBorder="1" applyAlignment="1">
      <alignment horizontal="center"/>
    </xf>
    <xf numFmtId="2" fontId="0" fillId="0" borderId="68" xfId="0" applyNumberFormat="1" applyBorder="1" applyAlignment="1">
      <alignment horizontal="center"/>
    </xf>
    <xf numFmtId="10" fontId="138" fillId="0" borderId="3" xfId="3" applyNumberFormat="1" applyFont="1" applyBorder="1" applyAlignment="1">
      <alignment horizontal="center" vertical="center" wrapText="1"/>
    </xf>
    <xf numFmtId="10" fontId="138" fillId="0" borderId="7" xfId="3" applyNumberFormat="1" applyFont="1" applyBorder="1" applyAlignment="1">
      <alignment horizontal="center" vertical="center" wrapText="1"/>
    </xf>
    <xf numFmtId="14" fontId="0" fillId="4" borderId="4" xfId="0" applyNumberFormat="1" applyFill="1" applyBorder="1" applyAlignment="1">
      <alignment horizontal="center" vertical="center"/>
    </xf>
    <xf numFmtId="14" fontId="0" fillId="4" borderId="27" xfId="0" applyNumberFormat="1" applyFill="1" applyBorder="1" applyAlignment="1">
      <alignment horizontal="center" vertical="center"/>
    </xf>
    <xf numFmtId="0" fontId="0" fillId="0" borderId="0" xfId="0" applyAlignment="1" applyProtection="1">
      <alignment vertical="center" wrapText="1"/>
      <protection hidden="1"/>
    </xf>
    <xf numFmtId="0" fontId="55" fillId="4" borderId="26" xfId="0" applyFont="1" applyFill="1" applyBorder="1" applyAlignment="1" applyProtection="1">
      <alignment horizontal="left" vertical="center" wrapText="1"/>
      <protection hidden="1"/>
    </xf>
    <xf numFmtId="9" fontId="100" fillId="0" borderId="27" xfId="0" applyNumberFormat="1" applyFont="1" applyBorder="1" applyAlignment="1" applyProtection="1">
      <alignment horizontal="center" vertical="center"/>
      <protection locked="0"/>
    </xf>
    <xf numFmtId="0" fontId="90" fillId="0" borderId="0" xfId="0" applyFont="1" applyAlignment="1">
      <alignment horizontal="center"/>
    </xf>
    <xf numFmtId="4" fontId="90" fillId="0" borderId="0" xfId="0" applyNumberFormat="1" applyFont="1" applyAlignment="1">
      <alignment horizontal="center"/>
    </xf>
    <xf numFmtId="14" fontId="90" fillId="0" borderId="0" xfId="0" applyNumberFormat="1" applyFont="1" applyAlignment="1">
      <alignment horizontal="center"/>
    </xf>
    <xf numFmtId="14" fontId="0" fillId="0" borderId="0" xfId="0" applyNumberFormat="1" applyAlignment="1" applyProtection="1">
      <alignment horizontal="center"/>
      <protection locked="0"/>
    </xf>
    <xf numFmtId="4" fontId="0" fillId="0" borderId="0" xfId="0" applyNumberFormat="1" applyAlignment="1">
      <alignment horizontal="center"/>
    </xf>
    <xf numFmtId="178" fontId="0" fillId="0" borderId="0" xfId="0" applyNumberFormat="1" applyAlignment="1">
      <alignment horizontal="center"/>
    </xf>
    <xf numFmtId="0" fontId="91" fillId="0" borderId="0" xfId="0" applyFont="1" applyAlignment="1">
      <alignment vertical="center"/>
    </xf>
    <xf numFmtId="0" fontId="91" fillId="0" borderId="0" xfId="0" applyFont="1" applyAlignment="1">
      <alignment horizontal="center" vertical="center"/>
    </xf>
    <xf numFmtId="4" fontId="90" fillId="0" borderId="0" xfId="0" applyNumberFormat="1" applyFont="1" applyAlignment="1">
      <alignment vertical="center"/>
    </xf>
    <xf numFmtId="178" fontId="90" fillId="0" borderId="0" xfId="0" applyNumberFormat="1" applyFont="1" applyAlignment="1">
      <alignment horizontal="center" vertical="center"/>
    </xf>
    <xf numFmtId="0" fontId="58" fillId="0" borderId="0" xfId="0" applyFont="1"/>
    <xf numFmtId="166" fontId="99" fillId="0" borderId="0" xfId="8" applyFont="1" applyFill="1"/>
    <xf numFmtId="0" fontId="108" fillId="0" borderId="0" xfId="0" applyFont="1" applyAlignment="1">
      <alignment horizontal="center"/>
    </xf>
    <xf numFmtId="4" fontId="108" fillId="0" borderId="0" xfId="0" applyNumberFormat="1" applyFont="1"/>
    <xf numFmtId="0" fontId="108" fillId="0" borderId="0" xfId="0" applyFont="1"/>
    <xf numFmtId="0" fontId="0" fillId="0" borderId="23" xfId="0" applyBorder="1"/>
    <xf numFmtId="0" fontId="58" fillId="0" borderId="23" xfId="0" applyFont="1" applyBorder="1"/>
    <xf numFmtId="2" fontId="0" fillId="4" borderId="0" xfId="0" applyNumberFormat="1" applyFill="1"/>
    <xf numFmtId="0" fontId="67" fillId="4" borderId="0" xfId="0" applyFont="1" applyFill="1" applyAlignment="1" applyProtection="1">
      <alignment vertical="center"/>
      <protection hidden="1"/>
    </xf>
    <xf numFmtId="0" fontId="100" fillId="4" borderId="15" xfId="0" applyFont="1" applyFill="1" applyBorder="1" applyAlignment="1" applyProtection="1">
      <alignment horizontal="center" vertical="center" wrapText="1"/>
      <protection hidden="1"/>
    </xf>
    <xf numFmtId="4" fontId="0" fillId="4" borderId="2" xfId="0" applyNumberFormat="1" applyFill="1" applyBorder="1" applyAlignment="1" applyProtection="1">
      <alignment horizontal="center" vertical="center"/>
      <protection hidden="1"/>
    </xf>
    <xf numFmtId="4" fontId="0" fillId="4" borderId="3" xfId="0" applyNumberFormat="1" applyFill="1" applyBorder="1" applyAlignment="1" applyProtection="1">
      <alignment horizontal="center" vertical="center"/>
      <protection hidden="1"/>
    </xf>
    <xf numFmtId="0" fontId="0" fillId="4" borderId="56" xfId="0" applyFill="1" applyBorder="1" applyAlignment="1">
      <alignment vertical="center" wrapText="1"/>
    </xf>
    <xf numFmtId="8" fontId="0" fillId="4" borderId="55" xfId="0" applyNumberFormat="1" applyFill="1" applyBorder="1" applyAlignment="1">
      <alignment horizontal="center" vertical="center" wrapText="1"/>
    </xf>
    <xf numFmtId="0" fontId="100" fillId="4" borderId="0" xfId="0" applyFont="1" applyFill="1" applyAlignment="1" applyProtection="1">
      <alignment horizontal="center" vertical="center" wrapText="1"/>
      <protection hidden="1"/>
    </xf>
    <xf numFmtId="1" fontId="0" fillId="17" borderId="4" xfId="0" applyNumberFormat="1" applyFill="1" applyBorder="1" applyAlignment="1">
      <alignment horizontal="center"/>
    </xf>
    <xf numFmtId="8" fontId="0" fillId="17" borderId="3" xfId="0" applyNumberFormat="1" applyFill="1" applyBorder="1" applyAlignment="1">
      <alignment horizontal="center"/>
    </xf>
    <xf numFmtId="1" fontId="0" fillId="0" borderId="4" xfId="0" applyNumberFormat="1" applyBorder="1" applyAlignment="1">
      <alignment horizontal="center"/>
    </xf>
    <xf numFmtId="8" fontId="0" fillId="0" borderId="3" xfId="0" applyNumberFormat="1" applyBorder="1" applyAlignment="1">
      <alignment horizontal="center"/>
    </xf>
    <xf numFmtId="1" fontId="0" fillId="0" borderId="5" xfId="0" applyNumberFormat="1" applyBorder="1" applyAlignment="1">
      <alignment horizontal="center"/>
    </xf>
    <xf numFmtId="8" fontId="0" fillId="4" borderId="9" xfId="0" applyNumberFormat="1" applyFill="1" applyBorder="1" applyAlignment="1">
      <alignment vertical="center"/>
    </xf>
    <xf numFmtId="6" fontId="0" fillId="4" borderId="0" xfId="0" applyNumberFormat="1" applyFill="1" applyAlignment="1">
      <alignment vertical="center" wrapText="1"/>
    </xf>
    <xf numFmtId="6" fontId="0" fillId="4" borderId="0" xfId="0" applyNumberFormat="1" applyFill="1"/>
    <xf numFmtId="0" fontId="0" fillId="4" borderId="146" xfId="0" applyFill="1" applyBorder="1"/>
    <xf numFmtId="8" fontId="0" fillId="4" borderId="149" xfId="0" applyNumberFormat="1" applyFill="1" applyBorder="1" applyAlignment="1">
      <alignment vertical="center"/>
    </xf>
    <xf numFmtId="0" fontId="152" fillId="0" borderId="0" xfId="0" applyFont="1" applyAlignment="1">
      <alignment horizontal="right" wrapText="1"/>
    </xf>
    <xf numFmtId="0" fontId="152" fillId="8" borderId="0" xfId="0" applyFont="1" applyFill="1" applyAlignment="1">
      <alignment horizontal="right" wrapText="1"/>
    </xf>
    <xf numFmtId="17" fontId="0" fillId="0" borderId="0" xfId="0" applyNumberFormat="1"/>
    <xf numFmtId="3" fontId="0" fillId="0" borderId="0" xfId="0" applyNumberFormat="1"/>
    <xf numFmtId="3" fontId="0" fillId="4" borderId="0" xfId="0" applyNumberFormat="1" applyFill="1"/>
    <xf numFmtId="0" fontId="0" fillId="4" borderId="77" xfId="0" applyFill="1" applyBorder="1" applyAlignment="1" applyProtection="1">
      <alignment horizontal="left" vertical="center"/>
      <protection hidden="1"/>
    </xf>
    <xf numFmtId="0" fontId="100" fillId="4" borderId="77" xfId="0" applyFont="1" applyFill="1" applyBorder="1" applyAlignment="1" applyProtection="1">
      <alignment horizontal="left" vertical="center"/>
      <protection hidden="1"/>
    </xf>
    <xf numFmtId="0" fontId="100" fillId="4" borderId="63" xfId="0" applyFont="1" applyFill="1" applyBorder="1" applyAlignment="1" applyProtection="1">
      <alignment horizontal="left" vertical="center"/>
      <protection hidden="1"/>
    </xf>
    <xf numFmtId="0" fontId="100" fillId="4" borderId="64" xfId="0" applyFont="1" applyFill="1" applyBorder="1" applyAlignment="1" applyProtection="1">
      <alignment horizontal="left" vertical="center"/>
      <protection hidden="1"/>
    </xf>
    <xf numFmtId="0" fontId="0" fillId="4" borderId="68" xfId="0" applyFill="1" applyBorder="1" applyAlignment="1" applyProtection="1">
      <alignment vertical="center"/>
      <protection hidden="1"/>
    </xf>
    <xf numFmtId="0" fontId="105" fillId="4" borderId="77" xfId="0" applyFont="1" applyFill="1" applyBorder="1" applyAlignment="1" applyProtection="1">
      <alignment horizontal="center" vertical="center"/>
      <protection hidden="1"/>
    </xf>
    <xf numFmtId="0" fontId="100" fillId="4" borderId="68" xfId="0" applyFont="1" applyFill="1" applyBorder="1" applyAlignment="1" applyProtection="1">
      <alignment vertical="center"/>
      <protection hidden="1"/>
    </xf>
    <xf numFmtId="9" fontId="106" fillId="4" borderId="102" xfId="3" applyFont="1" applyFill="1" applyBorder="1" applyAlignment="1" applyProtection="1">
      <alignment horizontal="center" vertical="center" wrapText="1"/>
      <protection hidden="1"/>
    </xf>
    <xf numFmtId="14" fontId="0" fillId="4" borderId="100" xfId="0" applyNumberFormat="1" applyFill="1" applyBorder="1" applyAlignment="1" applyProtection="1">
      <alignment horizontal="center" vertical="center"/>
      <protection hidden="1"/>
    </xf>
    <xf numFmtId="2" fontId="0" fillId="4" borderId="100" xfId="0" applyNumberFormat="1" applyFill="1" applyBorder="1" applyAlignment="1" applyProtection="1">
      <alignment horizontal="center" vertical="center"/>
      <protection hidden="1"/>
    </xf>
    <xf numFmtId="8" fontId="100" fillId="4" borderId="102" xfId="0" applyNumberFormat="1" applyFont="1" applyFill="1" applyBorder="1" applyAlignment="1" applyProtection="1">
      <alignment horizontal="center" vertical="center"/>
      <protection hidden="1"/>
    </xf>
    <xf numFmtId="10" fontId="0" fillId="4" borderId="100" xfId="3" applyNumberFormat="1" applyFont="1" applyFill="1" applyBorder="1" applyAlignment="1" applyProtection="1">
      <alignment horizontal="center" vertical="center"/>
      <protection hidden="1"/>
    </xf>
    <xf numFmtId="8" fontId="0" fillId="4" borderId="100" xfId="0" applyNumberFormat="1" applyFill="1" applyBorder="1" applyAlignment="1" applyProtection="1">
      <alignment horizontal="center" vertical="center" wrapText="1"/>
      <protection hidden="1"/>
    </xf>
    <xf numFmtId="6" fontId="0" fillId="4" borderId="100" xfId="0" applyNumberFormat="1" applyFill="1" applyBorder="1" applyAlignment="1" applyProtection="1">
      <alignment horizontal="center" vertical="center" wrapText="1"/>
      <protection hidden="1"/>
    </xf>
    <xf numFmtId="10" fontId="99" fillId="4" borderId="100" xfId="3" applyNumberFormat="1" applyFont="1" applyFill="1" applyBorder="1" applyAlignment="1" applyProtection="1">
      <alignment horizontal="center" vertical="center" wrapText="1"/>
      <protection hidden="1"/>
    </xf>
    <xf numFmtId="6" fontId="100" fillId="4" borderId="104" xfId="0" applyNumberFormat="1" applyFont="1" applyFill="1" applyBorder="1" applyAlignment="1" applyProtection="1">
      <alignment horizontal="center" vertical="center" wrapText="1"/>
      <protection hidden="1"/>
    </xf>
    <xf numFmtId="10" fontId="99" fillId="4" borderId="29" xfId="3" applyNumberFormat="1" applyFont="1" applyFill="1" applyBorder="1" applyAlignment="1" applyProtection="1">
      <alignment horizontal="center" vertical="center"/>
      <protection hidden="1"/>
    </xf>
    <xf numFmtId="6" fontId="89" fillId="4" borderId="100" xfId="0" applyNumberFormat="1" applyFont="1" applyFill="1" applyBorder="1" applyAlignment="1" applyProtection="1">
      <alignment horizontal="center" vertical="center" wrapText="1"/>
      <protection hidden="1"/>
    </xf>
    <xf numFmtId="6" fontId="89" fillId="4" borderId="100" xfId="0" applyNumberFormat="1" applyFont="1" applyFill="1" applyBorder="1" applyAlignment="1" applyProtection="1">
      <alignment horizontal="center" vertical="center"/>
      <protection hidden="1"/>
    </xf>
    <xf numFmtId="6" fontId="89" fillId="4" borderId="68" xfId="0" applyNumberFormat="1" applyFont="1" applyFill="1" applyBorder="1" applyAlignment="1" applyProtection="1">
      <alignment horizontal="center" vertical="center"/>
      <protection hidden="1"/>
    </xf>
    <xf numFmtId="6" fontId="100" fillId="4" borderId="105" xfId="0" applyNumberFormat="1" applyFont="1" applyFill="1" applyBorder="1" applyAlignment="1" applyProtection="1">
      <alignment horizontal="center" vertical="center" wrapText="1"/>
      <protection hidden="1"/>
    </xf>
    <xf numFmtId="6" fontId="100" fillId="4" borderId="119" xfId="0" applyNumberFormat="1" applyFont="1" applyFill="1" applyBorder="1" applyAlignment="1" applyProtection="1">
      <alignment horizontal="center" vertical="center" wrapText="1"/>
      <protection hidden="1"/>
    </xf>
    <xf numFmtId="9" fontId="155" fillId="4" borderId="18" xfId="0" applyNumberFormat="1" applyFont="1" applyFill="1" applyBorder="1" applyAlignment="1" applyProtection="1">
      <alignment horizontal="center" vertical="center"/>
      <protection hidden="1"/>
    </xf>
    <xf numFmtId="0" fontId="63" fillId="4" borderId="102" xfId="2" applyNumberFormat="1" applyFill="1" applyBorder="1" applyAlignment="1" applyProtection="1">
      <alignment horizontal="center" vertical="center" wrapText="1"/>
      <protection hidden="1"/>
    </xf>
    <xf numFmtId="6" fontId="100" fillId="4" borderId="100" xfId="0" applyNumberFormat="1" applyFont="1" applyFill="1" applyBorder="1" applyAlignment="1" applyProtection="1">
      <alignment horizontal="center" vertical="center"/>
      <protection hidden="1"/>
    </xf>
    <xf numFmtId="8" fontId="104" fillId="4" borderId="100" xfId="0" applyNumberFormat="1" applyFont="1" applyFill="1" applyBorder="1" applyAlignment="1" applyProtection="1">
      <alignment horizontal="center" vertical="center" wrapText="1"/>
      <protection hidden="1"/>
    </xf>
    <xf numFmtId="6" fontId="0" fillId="4" borderId="141" xfId="0" applyNumberFormat="1" applyFill="1" applyBorder="1" applyAlignment="1" applyProtection="1">
      <alignment horizontal="center" vertical="center" wrapText="1"/>
      <protection hidden="1"/>
    </xf>
    <xf numFmtId="10" fontId="100" fillId="4" borderId="141" xfId="3" applyNumberFormat="1" applyFont="1" applyFill="1" applyBorder="1" applyAlignment="1" applyProtection="1">
      <alignment horizontal="center" vertical="center" wrapText="1"/>
      <protection hidden="1"/>
    </xf>
    <xf numFmtId="6" fontId="100" fillId="4" borderId="141" xfId="0" applyNumberFormat="1" applyFont="1" applyFill="1" applyBorder="1" applyAlignment="1" applyProtection="1">
      <alignment horizontal="center" vertical="center"/>
      <protection hidden="1"/>
    </xf>
    <xf numFmtId="6" fontId="100" fillId="4" borderId="143" xfId="0" applyNumberFormat="1" applyFont="1" applyFill="1" applyBorder="1" applyAlignment="1" applyProtection="1">
      <alignment horizontal="center" vertical="center" wrapText="1"/>
      <protection hidden="1"/>
    </xf>
    <xf numFmtId="10" fontId="99" fillId="4" borderId="140" xfId="3" applyNumberFormat="1" applyFont="1" applyFill="1" applyBorder="1" applyAlignment="1" applyProtection="1">
      <alignment horizontal="center" vertical="center"/>
      <protection hidden="1"/>
    </xf>
    <xf numFmtId="8" fontId="104" fillId="4" borderId="68" xfId="0" applyNumberFormat="1" applyFont="1" applyFill="1" applyBorder="1" applyAlignment="1" applyProtection="1">
      <alignment horizontal="center" vertical="center" wrapText="1"/>
      <protection hidden="1"/>
    </xf>
    <xf numFmtId="2" fontId="128" fillId="4" borderId="135" xfId="0" applyNumberFormat="1" applyFont="1" applyFill="1" applyBorder="1" applyAlignment="1" applyProtection="1">
      <alignment horizontal="center" vertical="center"/>
      <protection hidden="1"/>
    </xf>
    <xf numFmtId="8" fontId="128" fillId="4" borderId="135" xfId="0" applyNumberFormat="1" applyFont="1" applyFill="1" applyBorder="1" applyAlignment="1" applyProtection="1">
      <alignment horizontal="center" vertical="center"/>
      <protection hidden="1"/>
    </xf>
    <xf numFmtId="10" fontId="128" fillId="4" borderId="135" xfId="3" applyNumberFormat="1" applyFont="1" applyFill="1" applyBorder="1" applyAlignment="1" applyProtection="1">
      <alignment horizontal="center" vertical="center"/>
      <protection hidden="1"/>
    </xf>
    <xf numFmtId="10" fontId="128" fillId="4" borderId="135" xfId="0" applyNumberFormat="1" applyFont="1" applyFill="1" applyBorder="1" applyAlignment="1" applyProtection="1">
      <alignment horizontal="center" vertical="center"/>
      <protection hidden="1"/>
    </xf>
    <xf numFmtId="6" fontId="128" fillId="4" borderId="135" xfId="0" applyNumberFormat="1" applyFont="1" applyFill="1" applyBorder="1" applyAlignment="1" applyProtection="1">
      <alignment horizontal="center" vertical="center" wrapText="1"/>
      <protection hidden="1"/>
    </xf>
    <xf numFmtId="9" fontId="128" fillId="4" borderId="135" xfId="0" applyNumberFormat="1" applyFont="1" applyFill="1" applyBorder="1" applyAlignment="1" applyProtection="1">
      <alignment horizontal="center" vertical="center"/>
      <protection hidden="1"/>
    </xf>
    <xf numFmtId="6" fontId="157" fillId="4" borderId="135" xfId="0" applyNumberFormat="1" applyFont="1" applyFill="1" applyBorder="1" applyAlignment="1" applyProtection="1">
      <alignment horizontal="center" vertical="center"/>
      <protection hidden="1"/>
    </xf>
    <xf numFmtId="6" fontId="128" fillId="4" borderId="137" xfId="0" applyNumberFormat="1" applyFont="1" applyFill="1" applyBorder="1" applyAlignment="1" applyProtection="1">
      <alignment horizontal="center" vertical="center"/>
      <protection hidden="1"/>
    </xf>
    <xf numFmtId="10" fontId="128" fillId="4" borderId="134" xfId="3" applyNumberFormat="1" applyFont="1" applyFill="1" applyBorder="1" applyAlignment="1" applyProtection="1">
      <alignment horizontal="center" vertical="center"/>
      <protection hidden="1"/>
    </xf>
    <xf numFmtId="167" fontId="141" fillId="4" borderId="135" xfId="0" applyNumberFormat="1" applyFont="1" applyFill="1" applyBorder="1" applyAlignment="1" applyProtection="1">
      <alignment horizontal="center" vertical="center" wrapText="1"/>
      <protection hidden="1"/>
    </xf>
    <xf numFmtId="0" fontId="115" fillId="4" borderId="2" xfId="0" applyFont="1" applyFill="1" applyBorder="1" applyAlignment="1" applyProtection="1">
      <alignment horizontal="center" vertical="center" wrapText="1"/>
      <protection hidden="1"/>
    </xf>
    <xf numFmtId="0" fontId="115" fillId="4" borderId="3" xfId="0" applyFont="1" applyFill="1" applyBorder="1" applyAlignment="1" applyProtection="1">
      <alignment horizontal="center" vertical="center"/>
      <protection hidden="1"/>
    </xf>
    <xf numFmtId="0" fontId="105" fillId="4" borderId="2" xfId="0" applyFont="1" applyFill="1" applyBorder="1" applyAlignment="1" applyProtection="1">
      <alignment horizontal="center" vertical="center"/>
      <protection hidden="1"/>
    </xf>
    <xf numFmtId="0" fontId="115" fillId="4" borderId="4" xfId="0" applyFont="1" applyFill="1" applyBorder="1" applyAlignment="1" applyProtection="1">
      <alignment vertical="center"/>
      <protection hidden="1"/>
    </xf>
    <xf numFmtId="0" fontId="0" fillId="4" borderId="4" xfId="0" applyFill="1" applyBorder="1" applyAlignment="1" applyProtection="1">
      <alignment vertical="center"/>
      <protection hidden="1"/>
    </xf>
    <xf numFmtId="0" fontId="0" fillId="4" borderId="4" xfId="0" applyFill="1" applyBorder="1" applyAlignment="1" applyProtection="1">
      <alignment vertical="center" wrapText="1"/>
      <protection hidden="1"/>
    </xf>
    <xf numFmtId="0" fontId="0" fillId="4" borderId="4" xfId="0" quotePrefix="1" applyFill="1" applyBorder="1" applyAlignment="1" applyProtection="1">
      <alignment vertical="center"/>
      <protection hidden="1"/>
    </xf>
    <xf numFmtId="0" fontId="0" fillId="4" borderId="5" xfId="0" applyFill="1" applyBorder="1" applyAlignment="1" applyProtection="1">
      <alignment vertical="center" wrapText="1"/>
      <protection hidden="1"/>
    </xf>
    <xf numFmtId="0" fontId="0" fillId="4" borderId="24" xfId="0" applyFill="1" applyBorder="1" applyAlignment="1" applyProtection="1">
      <alignment vertical="center"/>
      <protection hidden="1"/>
    </xf>
    <xf numFmtId="0" fontId="149" fillId="4" borderId="4" xfId="0" applyFont="1" applyFill="1" applyBorder="1" applyAlignment="1">
      <alignment horizontal="center" vertical="center"/>
    </xf>
    <xf numFmtId="0" fontId="0" fillId="4" borderId="5" xfId="0" applyFill="1" applyBorder="1" applyAlignment="1" applyProtection="1">
      <alignment horizontal="center" vertical="center"/>
      <protection hidden="1"/>
    </xf>
    <xf numFmtId="14" fontId="104" fillId="0" borderId="3" xfId="0" applyNumberFormat="1" applyFont="1" applyBorder="1" applyAlignment="1" applyProtection="1">
      <alignment horizontal="center" vertical="center"/>
      <protection locked="0"/>
    </xf>
    <xf numFmtId="8" fontId="104" fillId="0" borderId="3" xfId="0" applyNumberFormat="1" applyFont="1" applyBorder="1" applyAlignment="1" applyProtection="1">
      <alignment horizontal="center" vertical="center"/>
      <protection locked="0"/>
    </xf>
    <xf numFmtId="10" fontId="104" fillId="0" borderId="3" xfId="0" applyNumberFormat="1" applyFont="1" applyBorder="1" applyAlignment="1" applyProtection="1">
      <alignment horizontal="center" vertical="center"/>
      <protection locked="0"/>
    </xf>
    <xf numFmtId="10" fontId="0" fillId="0" borderId="3" xfId="3" applyNumberFormat="1" applyFont="1" applyBorder="1" applyAlignment="1" applyProtection="1">
      <alignment horizontal="center" vertical="center"/>
      <protection locked="0"/>
    </xf>
    <xf numFmtId="2" fontId="128" fillId="4" borderId="77" xfId="0" applyNumberFormat="1" applyFont="1" applyFill="1" applyBorder="1" applyAlignment="1" applyProtection="1">
      <alignment horizontal="center" vertical="center"/>
      <protection hidden="1"/>
    </xf>
    <xf numFmtId="2" fontId="128" fillId="4" borderId="2" xfId="0" applyNumberFormat="1" applyFont="1" applyFill="1" applyBorder="1" applyAlignment="1" applyProtection="1">
      <alignment horizontal="center" vertical="center"/>
      <protection hidden="1"/>
    </xf>
    <xf numFmtId="0" fontId="62" fillId="22" borderId="0" xfId="0" applyFont="1" applyFill="1"/>
    <xf numFmtId="167" fontId="0" fillId="0" borderId="2" xfId="0" applyNumberFormat="1" applyBorder="1" applyAlignment="1">
      <alignment horizontal="center"/>
    </xf>
    <xf numFmtId="10" fontId="76" fillId="0" borderId="2" xfId="3" applyNumberFormat="1" applyFill="1" applyBorder="1" applyAlignment="1">
      <alignment horizontal="center"/>
    </xf>
    <xf numFmtId="173" fontId="100" fillId="0" borderId="135" xfId="0" applyNumberFormat="1" applyFont="1" applyBorder="1" applyAlignment="1" applyProtection="1">
      <alignment horizontal="center" vertical="center"/>
      <protection locked="0"/>
    </xf>
    <xf numFmtId="0" fontId="100" fillId="4" borderId="2" xfId="0" applyFont="1" applyFill="1" applyBorder="1" applyAlignment="1">
      <alignment horizontal="center"/>
    </xf>
    <xf numFmtId="0" fontId="177" fillId="4" borderId="4" xfId="0" applyFont="1" applyFill="1" applyBorder="1" applyAlignment="1" applyProtection="1">
      <alignment horizontal="center" vertical="center" wrapText="1"/>
      <protection hidden="1"/>
    </xf>
    <xf numFmtId="8" fontId="0" fillId="0" borderId="3" xfId="0" applyNumberFormat="1" applyBorder="1" applyAlignment="1" applyProtection="1">
      <alignment horizontal="center"/>
      <protection locked="0"/>
    </xf>
    <xf numFmtId="0" fontId="0" fillId="0" borderId="0" xfId="0" applyAlignment="1">
      <alignment horizontal="right"/>
    </xf>
    <xf numFmtId="0" fontId="0" fillId="0" borderId="0" xfId="0" applyAlignment="1" applyProtection="1">
      <alignment horizontal="center" vertical="center"/>
      <protection locked="0"/>
    </xf>
    <xf numFmtId="8" fontId="0" fillId="0" borderId="0" xfId="0" applyNumberFormat="1" applyAlignment="1" applyProtection="1">
      <alignment horizontal="center" vertical="center"/>
      <protection locked="0"/>
    </xf>
    <xf numFmtId="8" fontId="157" fillId="4" borderId="135" xfId="0" applyNumberFormat="1" applyFont="1" applyFill="1" applyBorder="1" applyAlignment="1" applyProtection="1">
      <alignment horizontal="center" vertical="center"/>
      <protection hidden="1"/>
    </xf>
    <xf numFmtId="0" fontId="0" fillId="0" borderId="2" xfId="0" applyBorder="1" applyAlignment="1">
      <alignment vertical="center" wrapText="1"/>
    </xf>
    <xf numFmtId="0" fontId="0" fillId="0" borderId="2" xfId="0" applyBorder="1" applyAlignment="1">
      <alignment horizontal="left" vertical="center" wrapText="1"/>
    </xf>
    <xf numFmtId="0" fontId="100" fillId="4" borderId="2" xfId="0" applyFont="1" applyFill="1" applyBorder="1" applyAlignment="1">
      <alignment horizontal="center" vertical="center" wrapText="1"/>
    </xf>
    <xf numFmtId="0" fontId="100" fillId="4" borderId="2" xfId="0" applyFont="1" applyFill="1" applyBorder="1" applyAlignment="1" applyProtection="1">
      <alignment horizontal="left" vertical="center" wrapText="1"/>
      <protection locked="0"/>
    </xf>
    <xf numFmtId="0" fontId="105" fillId="0" borderId="2" xfId="0" applyFont="1" applyBorder="1" applyAlignment="1">
      <alignment vertical="center" wrapText="1"/>
    </xf>
    <xf numFmtId="0" fontId="63" fillId="0" borderId="2" xfId="2" applyNumberFormat="1" applyBorder="1" applyAlignment="1" applyProtection="1">
      <alignment vertical="center" wrapText="1"/>
    </xf>
    <xf numFmtId="0" fontId="171" fillId="0" borderId="2" xfId="0" applyFont="1" applyBorder="1" applyAlignment="1">
      <alignment wrapText="1"/>
    </xf>
    <xf numFmtId="0" fontId="170" fillId="0" borderId="2" xfId="2" applyNumberFormat="1" applyFont="1" applyBorder="1" applyAlignment="1" applyProtection="1">
      <alignment horizontal="left" vertical="center" wrapText="1"/>
    </xf>
    <xf numFmtId="0" fontId="63" fillId="0" borderId="2" xfId="2" applyNumberFormat="1" applyBorder="1" applyAlignment="1" applyProtection="1"/>
    <xf numFmtId="0" fontId="170" fillId="0" borderId="2" xfId="2" applyNumberFormat="1" applyFont="1" applyBorder="1" applyAlignment="1" applyProtection="1">
      <alignment vertical="center" wrapText="1"/>
    </xf>
    <xf numFmtId="14" fontId="152" fillId="0" borderId="0" xfId="0" applyNumberFormat="1" applyFont="1"/>
    <xf numFmtId="0" fontId="180" fillId="0" borderId="0" xfId="0" applyFont="1"/>
    <xf numFmtId="0" fontId="45" fillId="0" borderId="0" xfId="0" applyFont="1"/>
    <xf numFmtId="0" fontId="0" fillId="4" borderId="23" xfId="0" applyFill="1" applyBorder="1" applyAlignment="1">
      <alignment vertical="center"/>
    </xf>
    <xf numFmtId="0" fontId="0" fillId="4" borderId="28" xfId="0" applyFill="1" applyBorder="1" applyAlignment="1">
      <alignment horizontal="right" vertical="center"/>
    </xf>
    <xf numFmtId="0" fontId="89" fillId="4" borderId="81" xfId="0" applyFont="1" applyFill="1" applyBorder="1" applyAlignment="1" applyProtection="1">
      <alignment horizontal="right" vertical="center" wrapText="1"/>
      <protection locked="0"/>
    </xf>
    <xf numFmtId="2" fontId="128" fillId="4" borderId="9" xfId="0" applyNumberFormat="1" applyFont="1" applyFill="1" applyBorder="1" applyAlignment="1" applyProtection="1">
      <alignment horizontal="center" vertical="center"/>
      <protection hidden="1"/>
    </xf>
    <xf numFmtId="8" fontId="100" fillId="0" borderId="10" xfId="0" applyNumberFormat="1" applyFont="1" applyBorder="1" applyAlignment="1" applyProtection="1">
      <alignment horizontal="center" vertical="center" wrapText="1"/>
      <protection locked="0"/>
    </xf>
    <xf numFmtId="6" fontId="0" fillId="4" borderId="102" xfId="0" applyNumberFormat="1" applyFill="1" applyBorder="1" applyAlignment="1" applyProtection="1">
      <alignment horizontal="center" vertical="center" wrapText="1"/>
      <protection hidden="1"/>
    </xf>
    <xf numFmtId="6" fontId="0" fillId="4" borderId="65" xfId="0" applyNumberFormat="1" applyFill="1" applyBorder="1" applyAlignment="1" applyProtection="1">
      <alignment horizontal="center" vertical="center" wrapText="1"/>
      <protection hidden="1"/>
    </xf>
    <xf numFmtId="6" fontId="154" fillId="4" borderId="104" xfId="0" applyNumberFormat="1" applyFont="1" applyFill="1" applyBorder="1" applyAlignment="1">
      <alignment horizontal="center" vertical="center" wrapText="1"/>
    </xf>
    <xf numFmtId="10" fontId="0" fillId="4" borderId="2" xfId="3" applyNumberFormat="1" applyFont="1" applyFill="1" applyBorder="1" applyAlignment="1">
      <alignment horizontal="center" vertical="center"/>
    </xf>
    <xf numFmtId="14" fontId="0" fillId="0" borderId="2" xfId="0" applyNumberFormat="1" applyBorder="1" applyAlignment="1">
      <alignment horizontal="center" vertical="center"/>
    </xf>
    <xf numFmtId="0" fontId="100" fillId="0" borderId="31" xfId="0" applyFont="1" applyBorder="1" applyAlignment="1">
      <alignment vertical="center" wrapText="1"/>
    </xf>
    <xf numFmtId="0" fontId="100" fillId="0" borderId="28" xfId="0" applyFont="1" applyBorder="1" applyAlignment="1">
      <alignment vertical="center" wrapText="1"/>
    </xf>
    <xf numFmtId="8" fontId="121" fillId="0" borderId="0" xfId="0" applyNumberFormat="1" applyFont="1" applyAlignment="1">
      <alignment horizontal="center" vertical="center" wrapText="1"/>
    </xf>
    <xf numFmtId="188" fontId="100" fillId="0" borderId="41" xfId="0" applyNumberFormat="1" applyFont="1" applyBorder="1" applyAlignment="1">
      <alignment horizontal="center" vertical="center" wrapText="1"/>
    </xf>
    <xf numFmtId="8" fontId="121" fillId="0" borderId="2" xfId="0" applyNumberFormat="1" applyFont="1" applyBorder="1" applyAlignment="1">
      <alignment horizontal="center" vertical="center" wrapText="1"/>
    </xf>
    <xf numFmtId="9" fontId="121" fillId="0" borderId="2" xfId="3" applyFont="1" applyBorder="1" applyAlignment="1">
      <alignment horizontal="center" vertical="center" wrapText="1"/>
    </xf>
    <xf numFmtId="165" fontId="0" fillId="0" borderId="0" xfId="0" applyNumberFormat="1" applyAlignment="1">
      <alignment vertical="center"/>
    </xf>
    <xf numFmtId="9" fontId="99" fillId="0" borderId="0" xfId="3" applyFont="1" applyFill="1" applyAlignment="1">
      <alignment vertical="center"/>
    </xf>
    <xf numFmtId="176" fontId="0" fillId="0" borderId="0" xfId="0" applyNumberFormat="1" applyAlignment="1">
      <alignment vertical="center"/>
    </xf>
    <xf numFmtId="1" fontId="0" fillId="0" borderId="0" xfId="0" applyNumberFormat="1" applyAlignment="1">
      <alignment vertical="center"/>
    </xf>
    <xf numFmtId="0" fontId="0" fillId="0" borderId="0" xfId="0" quotePrefix="1" applyAlignment="1">
      <alignment vertical="center"/>
    </xf>
    <xf numFmtId="167" fontId="0" fillId="0" borderId="0" xfId="0" applyNumberFormat="1" applyAlignment="1">
      <alignment vertical="center"/>
    </xf>
    <xf numFmtId="9" fontId="0" fillId="0" borderId="0" xfId="0" quotePrefix="1" applyNumberFormat="1" applyAlignment="1">
      <alignment vertical="center"/>
    </xf>
    <xf numFmtId="14" fontId="0" fillId="0" borderId="0" xfId="0" applyNumberFormat="1" applyAlignment="1">
      <alignment vertical="center"/>
    </xf>
    <xf numFmtId="0" fontId="0" fillId="0" borderId="0" xfId="0" applyAlignment="1">
      <alignment horizontal="right" vertical="center"/>
    </xf>
    <xf numFmtId="10" fontId="0" fillId="0" borderId="0" xfId="3" applyNumberFormat="1" applyFont="1" applyFill="1" applyAlignment="1">
      <alignment vertical="center"/>
    </xf>
    <xf numFmtId="10" fontId="0" fillId="0" borderId="0" xfId="0" applyNumberFormat="1" applyAlignment="1">
      <alignment vertical="center"/>
    </xf>
    <xf numFmtId="176" fontId="0" fillId="0" borderId="0" xfId="0" applyNumberFormat="1"/>
    <xf numFmtId="179" fontId="76" fillId="0" borderId="0" xfId="3" applyNumberFormat="1" applyFill="1"/>
    <xf numFmtId="176" fontId="112" fillId="0" borderId="0" xfId="0" applyNumberFormat="1" applyFont="1"/>
    <xf numFmtId="0" fontId="112" fillId="0" borderId="0" xfId="0" applyFont="1" applyAlignment="1">
      <alignment horizontal="center"/>
    </xf>
    <xf numFmtId="0" fontId="0" fillId="0" borderId="0" xfId="0" quotePrefix="1" applyAlignment="1">
      <alignment horizontal="left" vertical="center"/>
    </xf>
    <xf numFmtId="165" fontId="0" fillId="0" borderId="0" xfId="0" applyNumberFormat="1"/>
    <xf numFmtId="0" fontId="100" fillId="0" borderId="0" xfId="0" applyFont="1" applyAlignment="1">
      <alignment horizontal="center" vertical="center"/>
    </xf>
    <xf numFmtId="8" fontId="183" fillId="4" borderId="100" xfId="0" applyNumberFormat="1" applyFont="1" applyFill="1" applyBorder="1" applyAlignment="1" applyProtection="1">
      <alignment horizontal="center" vertical="center" wrapText="1"/>
      <protection locked="0"/>
    </xf>
    <xf numFmtId="0" fontId="0" fillId="0" borderId="68" xfId="0" applyBorder="1" applyAlignment="1" applyProtection="1">
      <alignment horizontal="center" vertical="center" wrapText="1"/>
      <protection locked="0"/>
    </xf>
    <xf numFmtId="0" fontId="110" fillId="0" borderId="0" xfId="0" applyFont="1" applyAlignment="1">
      <alignment vertical="center"/>
    </xf>
    <xf numFmtId="10" fontId="121" fillId="4" borderId="133" xfId="3" applyNumberFormat="1" applyFont="1" applyFill="1" applyBorder="1" applyAlignment="1" applyProtection="1">
      <alignment vertical="top" wrapText="1"/>
      <protection hidden="1"/>
    </xf>
    <xf numFmtId="0" fontId="100" fillId="4" borderId="4" xfId="0" applyFont="1" applyFill="1" applyBorder="1" applyAlignment="1" applyProtection="1">
      <alignment vertical="center"/>
      <protection hidden="1"/>
    </xf>
    <xf numFmtId="8" fontId="105" fillId="4" borderId="2" xfId="0" applyNumberFormat="1" applyFont="1" applyFill="1" applyBorder="1" applyAlignment="1" applyProtection="1">
      <alignment horizontal="center" vertical="center"/>
      <protection hidden="1"/>
    </xf>
    <xf numFmtId="0" fontId="105" fillId="4" borderId="3" xfId="0" applyFont="1" applyFill="1" applyBorder="1" applyAlignment="1" applyProtection="1">
      <alignment horizontal="center" vertical="center"/>
      <protection hidden="1"/>
    </xf>
    <xf numFmtId="8" fontId="115" fillId="4" borderId="2" xfId="0" applyNumberFormat="1" applyFont="1" applyFill="1" applyBorder="1" applyAlignment="1" applyProtection="1">
      <alignment horizontal="right" vertical="center"/>
      <protection hidden="1"/>
    </xf>
    <xf numFmtId="8" fontId="0" fillId="4" borderId="2" xfId="0" applyNumberFormat="1" applyFill="1" applyBorder="1" applyAlignment="1" applyProtection="1">
      <alignment horizontal="right" vertical="center"/>
      <protection hidden="1"/>
    </xf>
    <xf numFmtId="8" fontId="0" fillId="4" borderId="3" xfId="0" applyNumberFormat="1" applyFill="1" applyBorder="1" applyAlignment="1" applyProtection="1">
      <alignment horizontal="right" vertical="center"/>
      <protection hidden="1"/>
    </xf>
    <xf numFmtId="0" fontId="0" fillId="4" borderId="2" xfId="0" applyFill="1" applyBorder="1" applyAlignment="1" applyProtection="1">
      <alignment horizontal="right" vertical="center"/>
      <protection hidden="1"/>
    </xf>
    <xf numFmtId="10" fontId="0" fillId="4" borderId="2" xfId="3" applyNumberFormat="1" applyFont="1" applyFill="1" applyBorder="1" applyAlignment="1" applyProtection="1">
      <alignment horizontal="right" vertical="center"/>
      <protection hidden="1"/>
    </xf>
    <xf numFmtId="10" fontId="0" fillId="4" borderId="3" xfId="3" applyNumberFormat="1" applyFont="1" applyFill="1" applyBorder="1" applyAlignment="1" applyProtection="1">
      <alignment horizontal="right" vertical="center"/>
      <protection hidden="1"/>
    </xf>
    <xf numFmtId="0" fontId="100" fillId="4" borderId="3" xfId="0" applyFont="1" applyFill="1" applyBorder="1" applyAlignment="1" applyProtection="1">
      <alignment horizontal="right" vertical="center"/>
      <protection hidden="1"/>
    </xf>
    <xf numFmtId="8" fontId="100" fillId="4" borderId="2" xfId="0" applyNumberFormat="1" applyFont="1" applyFill="1" applyBorder="1" applyAlignment="1" applyProtection="1">
      <alignment horizontal="right" vertical="center"/>
      <protection hidden="1"/>
    </xf>
    <xf numFmtId="8" fontId="100" fillId="4" borderId="3" xfId="0" applyNumberFormat="1" applyFont="1" applyFill="1" applyBorder="1" applyAlignment="1" applyProtection="1">
      <alignment horizontal="right" vertical="center"/>
      <protection hidden="1"/>
    </xf>
    <xf numFmtId="8" fontId="0" fillId="4" borderId="6" xfId="0" applyNumberFormat="1" applyFill="1" applyBorder="1" applyAlignment="1" applyProtection="1">
      <alignment horizontal="right" vertical="center"/>
      <protection hidden="1"/>
    </xf>
    <xf numFmtId="8" fontId="0" fillId="4" borderId="7" xfId="0" applyNumberFormat="1" applyFill="1" applyBorder="1" applyAlignment="1" applyProtection="1">
      <alignment horizontal="right" vertical="center"/>
      <protection hidden="1"/>
    </xf>
    <xf numFmtId="16" fontId="102" fillId="0" borderId="2" xfId="0" quotePrefix="1" applyNumberFormat="1" applyFont="1" applyBorder="1" applyAlignment="1">
      <alignment horizontal="center" vertical="center" wrapText="1"/>
    </xf>
    <xf numFmtId="0" fontId="63" fillId="0" borderId="2" xfId="2" applyNumberFormat="1" applyBorder="1" applyAlignment="1" applyProtection="1">
      <alignment horizontal="left" vertical="center" wrapText="1"/>
    </xf>
    <xf numFmtId="8" fontId="0" fillId="4" borderId="2" xfId="0" applyNumberFormat="1" applyFill="1" applyBorder="1" applyAlignment="1" applyProtection="1">
      <alignment vertical="center"/>
      <protection hidden="1"/>
    </xf>
    <xf numFmtId="0" fontId="106" fillId="4" borderId="21" xfId="0" applyFont="1" applyFill="1" applyBorder="1" applyAlignment="1">
      <alignment horizontal="center"/>
    </xf>
    <xf numFmtId="6" fontId="104" fillId="4" borderId="3" xfId="0" applyNumberFormat="1" applyFont="1" applyFill="1" applyBorder="1" applyAlignment="1">
      <alignment vertical="center"/>
    </xf>
    <xf numFmtId="6" fontId="105" fillId="4" borderId="4" xfId="0" applyNumberFormat="1" applyFont="1" applyFill="1" applyBorder="1" applyAlignment="1" applyProtection="1">
      <alignment horizontal="center" vertical="center" wrapText="1"/>
      <protection hidden="1"/>
    </xf>
    <xf numFmtId="0" fontId="106" fillId="4" borderId="83" xfId="0" applyFont="1" applyFill="1" applyBorder="1" applyAlignment="1">
      <alignment horizontal="center"/>
    </xf>
    <xf numFmtId="8" fontId="0" fillId="0" borderId="1" xfId="0" applyNumberFormat="1" applyBorder="1" applyAlignment="1" applyProtection="1">
      <alignment vertical="center"/>
      <protection locked="0"/>
    </xf>
    <xf numFmtId="8" fontId="163" fillId="0" borderId="1" xfId="0" applyNumberFormat="1" applyFont="1" applyBorder="1" applyAlignment="1" applyProtection="1">
      <alignment vertical="center"/>
      <protection locked="0"/>
    </xf>
    <xf numFmtId="6" fontId="121" fillId="4" borderId="64" xfId="0" applyNumberFormat="1" applyFont="1" applyFill="1" applyBorder="1" applyAlignment="1" applyProtection="1">
      <alignment vertical="center"/>
      <protection hidden="1"/>
    </xf>
    <xf numFmtId="6" fontId="121" fillId="4" borderId="85" xfId="0" applyNumberFormat="1" applyFont="1" applyFill="1" applyBorder="1" applyAlignment="1" applyProtection="1">
      <alignment vertical="center"/>
      <protection hidden="1"/>
    </xf>
    <xf numFmtId="6" fontId="121" fillId="4" borderId="86" xfId="0" applyNumberFormat="1" applyFont="1" applyFill="1" applyBorder="1" applyAlignment="1" applyProtection="1">
      <alignment vertical="center"/>
      <protection hidden="1"/>
    </xf>
    <xf numFmtId="8" fontId="0" fillId="4" borderId="1" xfId="0" applyNumberFormat="1" applyFill="1" applyBorder="1" applyAlignment="1" applyProtection="1">
      <alignment vertical="center"/>
      <protection hidden="1"/>
    </xf>
    <xf numFmtId="8" fontId="100" fillId="4" borderId="1" xfId="0" applyNumberFormat="1" applyFont="1" applyFill="1" applyBorder="1" applyAlignment="1" applyProtection="1">
      <alignment vertical="center"/>
      <protection hidden="1"/>
    </xf>
    <xf numFmtId="8" fontId="105" fillId="4" borderId="4" xfId="0" applyNumberFormat="1" applyFont="1" applyFill="1" applyBorder="1" applyAlignment="1" applyProtection="1">
      <alignment vertical="center"/>
      <protection hidden="1"/>
    </xf>
    <xf numFmtId="0" fontId="121" fillId="4" borderId="43" xfId="0" applyFont="1" applyFill="1" applyBorder="1" applyAlignment="1" applyProtection="1">
      <alignment horizontal="left" vertical="center" wrapText="1"/>
      <protection hidden="1"/>
    </xf>
    <xf numFmtId="8" fontId="104" fillId="6" borderId="2" xfId="0" applyNumberFormat="1" applyFont="1" applyFill="1" applyBorder="1" applyAlignment="1" applyProtection="1">
      <alignment vertical="center"/>
      <protection locked="0"/>
    </xf>
    <xf numFmtId="6" fontId="0" fillId="4" borderId="3" xfId="0" applyNumberFormat="1" applyFill="1" applyBorder="1" applyAlignment="1" applyProtection="1">
      <alignment horizontal="right" vertical="center"/>
      <protection hidden="1"/>
    </xf>
    <xf numFmtId="6" fontId="47" fillId="4" borderId="2" xfId="0" applyNumberFormat="1" applyFont="1" applyFill="1" applyBorder="1" applyAlignment="1" applyProtection="1">
      <alignment horizontal="right" vertical="center"/>
      <protection hidden="1"/>
    </xf>
    <xf numFmtId="0" fontId="100" fillId="4" borderId="4" xfId="0" applyFont="1" applyFill="1" applyBorder="1" applyAlignment="1" applyProtection="1">
      <alignment vertical="center" wrapText="1"/>
      <protection hidden="1"/>
    </xf>
    <xf numFmtId="0" fontId="105" fillId="4" borderId="43" xfId="0" applyFont="1" applyFill="1" applyBorder="1" applyAlignment="1">
      <alignment horizontal="center" vertical="center"/>
    </xf>
    <xf numFmtId="0" fontId="105" fillId="4" borderId="19" xfId="0" applyFont="1" applyFill="1" applyBorder="1" applyAlignment="1">
      <alignment horizontal="center" vertical="center"/>
    </xf>
    <xf numFmtId="0" fontId="0" fillId="4" borderId="41" xfId="0" applyFill="1" applyBorder="1"/>
    <xf numFmtId="0" fontId="0" fillId="4" borderId="56" xfId="0" applyFill="1" applyBorder="1"/>
    <xf numFmtId="8" fontId="100" fillId="0" borderId="145" xfId="0" applyNumberFormat="1" applyFont="1" applyBorder="1" applyAlignment="1">
      <alignment horizontal="center"/>
    </xf>
    <xf numFmtId="0" fontId="0" fillId="0" borderId="3" xfId="0" applyBorder="1" applyAlignment="1">
      <alignment horizontal="right" vertical="center"/>
    </xf>
    <xf numFmtId="0" fontId="0" fillId="0" borderId="15" xfId="0" applyBorder="1" applyAlignment="1">
      <alignment vertical="center" wrapText="1"/>
    </xf>
    <xf numFmtId="0" fontId="0" fillId="0" borderId="39" xfId="0" applyBorder="1"/>
    <xf numFmtId="0" fontId="0" fillId="0" borderId="18" xfId="0" applyBorder="1"/>
    <xf numFmtId="2" fontId="182" fillId="0" borderId="0" xfId="0" applyNumberFormat="1" applyFont="1" applyAlignment="1">
      <alignment horizontal="center"/>
    </xf>
    <xf numFmtId="8" fontId="100" fillId="0" borderId="27" xfId="0" applyNumberFormat="1" applyFont="1" applyBorder="1" applyAlignment="1">
      <alignment horizontal="center"/>
    </xf>
    <xf numFmtId="0" fontId="107" fillId="0" borderId="0" xfId="0" applyFont="1" applyAlignment="1">
      <alignment vertical="center"/>
    </xf>
    <xf numFmtId="0" fontId="78" fillId="0" borderId="0" xfId="0" applyFont="1" applyAlignment="1" applyProtection="1">
      <alignment vertical="center"/>
      <protection locked="0"/>
    </xf>
    <xf numFmtId="14" fontId="0" fillId="0" borderId="3" xfId="0" applyNumberFormat="1" applyBorder="1" applyAlignment="1" applyProtection="1">
      <alignment horizontal="center" vertical="center"/>
      <protection locked="0"/>
    </xf>
    <xf numFmtId="0" fontId="0" fillId="4" borderId="18" xfId="0" applyFill="1" applyBorder="1" applyAlignment="1">
      <alignment vertical="center"/>
    </xf>
    <xf numFmtId="0" fontId="121" fillId="4" borderId="0" xfId="0" applyFont="1" applyFill="1" applyAlignment="1">
      <alignment horizontal="center" vertical="center" wrapText="1"/>
    </xf>
    <xf numFmtId="0" fontId="137" fillId="0" borderId="26" xfId="0" applyFont="1" applyBorder="1" applyAlignment="1">
      <alignment horizontal="center"/>
    </xf>
    <xf numFmtId="2" fontId="137" fillId="0" borderId="27" xfId="0" applyNumberFormat="1" applyFont="1" applyBorder="1" applyAlignment="1">
      <alignment horizontal="center"/>
    </xf>
    <xf numFmtId="169" fontId="134" fillId="0" borderId="0" xfId="0" applyNumberFormat="1" applyFont="1"/>
    <xf numFmtId="169" fontId="134" fillId="0" borderId="0" xfId="0" applyNumberFormat="1" applyFont="1" applyAlignment="1">
      <alignment vertical="center"/>
    </xf>
    <xf numFmtId="169" fontId="136" fillId="0" borderId="0" xfId="0" applyNumberFormat="1" applyFont="1"/>
    <xf numFmtId="169" fontId="0" fillId="0" borderId="18" xfId="0" applyNumberFormat="1" applyBorder="1"/>
    <xf numFmtId="2" fontId="105" fillId="0" borderId="0" xfId="0" applyNumberFormat="1" applyFont="1"/>
    <xf numFmtId="0" fontId="0" fillId="0" borderId="14" xfId="0" applyBorder="1" applyAlignment="1" applyProtection="1">
      <alignment horizontal="center" vertical="center"/>
      <protection locked="0"/>
    </xf>
    <xf numFmtId="10" fontId="0" fillId="0" borderId="14" xfId="3" applyNumberFormat="1" applyFont="1" applyBorder="1" applyAlignment="1" applyProtection="1">
      <alignment horizontal="center" vertical="center"/>
      <protection locked="0"/>
    </xf>
    <xf numFmtId="0" fontId="165" fillId="4" borderId="0" xfId="2" applyNumberFormat="1" applyFont="1" applyFill="1" applyBorder="1" applyAlignment="1" applyProtection="1">
      <alignment vertical="center"/>
    </xf>
    <xf numFmtId="0" fontId="63" fillId="4" borderId="0" xfId="2" applyNumberFormat="1" applyFill="1" applyBorder="1" applyAlignment="1" applyProtection="1">
      <alignment vertical="center"/>
    </xf>
    <xf numFmtId="0" fontId="148" fillId="4" borderId="0" xfId="2" applyNumberFormat="1" applyFont="1" applyFill="1" applyBorder="1" applyAlignment="1" applyProtection="1">
      <alignment vertical="center"/>
    </xf>
    <xf numFmtId="0" fontId="63" fillId="4" borderId="15" xfId="2" applyNumberFormat="1" applyFill="1" applyBorder="1" applyAlignment="1" applyProtection="1">
      <alignment vertical="center"/>
    </xf>
    <xf numFmtId="0" fontId="0" fillId="4" borderId="0" xfId="0" applyFill="1" applyAlignment="1">
      <alignment vertical="center" textRotation="180"/>
    </xf>
    <xf numFmtId="10" fontId="105" fillId="4" borderId="0" xfId="3" applyNumberFormat="1" applyFont="1" applyFill="1" applyBorder="1" applyAlignment="1">
      <alignment vertical="center"/>
    </xf>
    <xf numFmtId="14" fontId="0" fillId="4" borderId="3" xfId="0" applyNumberFormat="1" applyFill="1" applyBorder="1" applyAlignment="1">
      <alignment horizontal="center" vertical="center"/>
    </xf>
    <xf numFmtId="0" fontId="0" fillId="4" borderId="5" xfId="0" applyFill="1" applyBorder="1" applyAlignment="1">
      <alignment horizontal="right" vertical="center"/>
    </xf>
    <xf numFmtId="14" fontId="100" fillId="4" borderId="7" xfId="0" applyNumberFormat="1" applyFont="1" applyFill="1" applyBorder="1" applyAlignment="1">
      <alignment horizontal="center" vertical="center"/>
    </xf>
    <xf numFmtId="0" fontId="0" fillId="0" borderId="19" xfId="0" applyBorder="1"/>
    <xf numFmtId="0" fontId="99" fillId="4" borderId="0" xfId="0" applyFont="1" applyFill="1" applyAlignment="1">
      <alignment vertical="center"/>
    </xf>
    <xf numFmtId="165" fontId="80" fillId="4" borderId="0" xfId="0" applyNumberFormat="1" applyFont="1" applyFill="1" applyAlignment="1">
      <alignment vertical="center"/>
    </xf>
    <xf numFmtId="2" fontId="0" fillId="4" borderId="0" xfId="0" applyNumberFormat="1" applyFill="1" applyAlignment="1">
      <alignment horizontal="center" vertical="center"/>
    </xf>
    <xf numFmtId="2" fontId="0" fillId="0" borderId="2" xfId="0" applyNumberFormat="1" applyBorder="1" applyAlignment="1" applyProtection="1">
      <alignment horizontal="center" vertical="center"/>
      <protection locked="0"/>
    </xf>
    <xf numFmtId="0" fontId="0" fillId="3" borderId="23" xfId="0" applyFill="1" applyBorder="1" applyAlignment="1">
      <alignment vertical="center"/>
    </xf>
    <xf numFmtId="0" fontId="111" fillId="0" borderId="0" xfId="0" applyFont="1" applyAlignment="1">
      <alignment horizontal="center" vertical="center"/>
    </xf>
    <xf numFmtId="0" fontId="0" fillId="0" borderId="19" xfId="0" applyBorder="1" applyAlignment="1">
      <alignment vertical="center"/>
    </xf>
    <xf numFmtId="0" fontId="0" fillId="0" borderId="15" xfId="0" applyBorder="1" applyAlignment="1">
      <alignment vertical="center"/>
    </xf>
    <xf numFmtId="0" fontId="186" fillId="4" borderId="0" xfId="0" applyFont="1" applyFill="1" applyAlignment="1" applyProtection="1">
      <alignment vertical="center"/>
      <protection hidden="1"/>
    </xf>
    <xf numFmtId="0" fontId="0" fillId="4" borderId="4" xfId="0" applyFill="1" applyBorder="1" applyAlignment="1">
      <alignment horizontal="center" vertical="center"/>
    </xf>
    <xf numFmtId="14" fontId="0" fillId="0" borderId="2" xfId="0" applyNumberFormat="1" applyBorder="1" applyAlignment="1" applyProtection="1">
      <alignment horizontal="center" vertical="center"/>
      <protection locked="0"/>
    </xf>
    <xf numFmtId="0" fontId="0" fillId="4" borderId="21" xfId="0" applyFill="1" applyBorder="1" applyAlignment="1">
      <alignment horizontal="center" vertical="center"/>
    </xf>
    <xf numFmtId="4" fontId="0" fillId="0" borderId="0" xfId="0" applyNumberFormat="1" applyAlignment="1">
      <alignment horizontal="center" vertical="center"/>
    </xf>
    <xf numFmtId="10" fontId="0" fillId="0" borderId="2" xfId="3" applyNumberFormat="1" applyFont="1" applyFill="1" applyBorder="1" applyAlignment="1">
      <alignment horizontal="center" vertical="center"/>
    </xf>
    <xf numFmtId="169" fontId="61" fillId="0" borderId="4" xfId="0" applyNumberFormat="1" applyFont="1" applyBorder="1" applyAlignment="1">
      <alignment horizontal="center" vertical="center" wrapText="1"/>
    </xf>
    <xf numFmtId="0" fontId="0" fillId="0" borderId="61" xfId="0" applyBorder="1" applyAlignment="1">
      <alignment horizontal="center"/>
    </xf>
    <xf numFmtId="1" fontId="0" fillId="0" borderId="87" xfId="0" applyNumberFormat="1" applyBorder="1" applyAlignment="1">
      <alignment horizontal="center"/>
    </xf>
    <xf numFmtId="2" fontId="0" fillId="0" borderId="87" xfId="0" applyNumberFormat="1" applyBorder="1" applyAlignment="1">
      <alignment horizontal="center"/>
    </xf>
    <xf numFmtId="0" fontId="0" fillId="0" borderId="5" xfId="0" applyBorder="1" applyAlignment="1">
      <alignment horizontal="center"/>
    </xf>
    <xf numFmtId="1" fontId="0" fillId="0" borderId="6" xfId="0" applyNumberFormat="1" applyBorder="1" applyAlignment="1">
      <alignment horizontal="center"/>
    </xf>
    <xf numFmtId="2" fontId="0" fillId="0" borderId="6" xfId="0" applyNumberFormat="1" applyBorder="1" applyAlignment="1">
      <alignment horizontal="center"/>
    </xf>
    <xf numFmtId="0" fontId="99" fillId="4" borderId="19" xfId="0" applyFont="1" applyFill="1" applyBorder="1" applyAlignment="1">
      <alignment vertical="center"/>
    </xf>
    <xf numFmtId="0" fontId="105" fillId="0" borderId="0" xfId="0" applyFont="1" applyProtection="1">
      <protection locked="0"/>
    </xf>
    <xf numFmtId="182" fontId="0" fillId="0" borderId="0" xfId="0" applyNumberFormat="1" applyProtection="1">
      <protection locked="0"/>
    </xf>
    <xf numFmtId="182" fontId="0" fillId="0" borderId="0" xfId="0" applyNumberFormat="1" applyAlignment="1" applyProtection="1">
      <alignment horizontal="center" vertical="center"/>
      <protection locked="0"/>
    </xf>
    <xf numFmtId="14" fontId="0" fillId="0" borderId="0" xfId="0" applyNumberFormat="1" applyAlignment="1" applyProtection="1">
      <alignment horizontal="center" vertical="center"/>
      <protection locked="0"/>
    </xf>
    <xf numFmtId="0" fontId="189" fillId="0" borderId="0" xfId="0" applyFont="1"/>
    <xf numFmtId="172" fontId="105" fillId="0" borderId="0" xfId="0" applyNumberFormat="1" applyFont="1" applyAlignment="1">
      <alignment horizontal="center" vertical="center"/>
    </xf>
    <xf numFmtId="10" fontId="105" fillId="0" borderId="0" xfId="3" applyNumberFormat="1" applyFont="1" applyAlignment="1">
      <alignment horizontal="center" vertical="center"/>
    </xf>
    <xf numFmtId="2" fontId="105" fillId="0" borderId="0" xfId="0" applyNumberFormat="1" applyFont="1" applyAlignment="1">
      <alignment horizontal="center" vertical="center"/>
    </xf>
    <xf numFmtId="0" fontId="122" fillId="4" borderId="24" xfId="0" applyFont="1" applyFill="1" applyBorder="1" applyAlignment="1">
      <alignment horizontal="right" vertical="center"/>
    </xf>
    <xf numFmtId="0" fontId="185" fillId="4" borderId="44" xfId="0" applyFont="1" applyFill="1" applyBorder="1" applyAlignment="1">
      <alignment vertical="center" wrapText="1"/>
    </xf>
    <xf numFmtId="0" fontId="63" fillId="4" borderId="0" xfId="2" applyNumberFormat="1" applyFill="1" applyAlignment="1" applyProtection="1">
      <alignment horizontal="center"/>
    </xf>
    <xf numFmtId="0" fontId="59" fillId="4" borderId="0" xfId="7" applyNumberFormat="1" applyFont="1" applyFill="1" applyAlignment="1">
      <alignment horizontal="center"/>
    </xf>
    <xf numFmtId="0" fontId="60" fillId="4" borderId="0" xfId="7" applyNumberFormat="1" applyFont="1" applyFill="1" applyAlignment="1">
      <alignment horizontal="center"/>
    </xf>
    <xf numFmtId="2" fontId="102" fillId="0" borderId="0" xfId="0" applyNumberFormat="1" applyFont="1" applyAlignment="1">
      <alignment vertical="center"/>
    </xf>
    <xf numFmtId="0" fontId="102" fillId="8" borderId="0" xfId="0" applyFont="1" applyFill="1"/>
    <xf numFmtId="0" fontId="59" fillId="4" borderId="0" xfId="6" applyNumberFormat="1" applyFont="1" applyFill="1" applyAlignment="1">
      <alignment horizontal="center"/>
    </xf>
    <xf numFmtId="0" fontId="58" fillId="4" borderId="0" xfId="6" applyNumberFormat="1" applyFill="1" applyAlignment="1">
      <alignment horizontal="center"/>
    </xf>
    <xf numFmtId="0" fontId="60" fillId="4" borderId="0" xfId="6" applyNumberFormat="1" applyFont="1" applyFill="1" applyAlignment="1">
      <alignment horizontal="center"/>
    </xf>
    <xf numFmtId="8" fontId="0" fillId="0" borderId="130" xfId="0" applyNumberFormat="1" applyBorder="1" applyAlignment="1" applyProtection="1">
      <alignment horizontal="center"/>
      <protection locked="0"/>
    </xf>
    <xf numFmtId="184" fontId="0" fillId="0" borderId="2" xfId="0" applyNumberFormat="1" applyBorder="1" applyAlignment="1" applyProtection="1">
      <alignment wrapText="1"/>
      <protection locked="0"/>
    </xf>
    <xf numFmtId="8" fontId="0" fillId="3" borderId="130" xfId="0" applyNumberFormat="1" applyFill="1" applyBorder="1" applyAlignment="1" applyProtection="1">
      <alignment horizontal="center"/>
      <protection hidden="1"/>
    </xf>
    <xf numFmtId="8" fontId="0" fillId="3" borderId="3" xfId="0" applyNumberFormat="1" applyFill="1" applyBorder="1" applyAlignment="1" applyProtection="1">
      <alignment horizontal="center"/>
      <protection hidden="1"/>
    </xf>
    <xf numFmtId="0" fontId="100" fillId="4" borderId="23" xfId="0" applyFont="1" applyFill="1" applyBorder="1" applyAlignment="1" applyProtection="1">
      <alignment vertical="center" wrapText="1"/>
      <protection hidden="1"/>
    </xf>
    <xf numFmtId="0" fontId="100" fillId="4" borderId="44" xfId="0" applyFont="1" applyFill="1" applyBorder="1" applyAlignment="1" applyProtection="1">
      <alignment vertical="center" wrapText="1"/>
      <protection hidden="1"/>
    </xf>
    <xf numFmtId="184" fontId="0" fillId="0" borderId="2" xfId="0" applyNumberFormat="1" applyBorder="1" applyAlignment="1" applyProtection="1">
      <alignment horizontal="center"/>
      <protection locked="0"/>
    </xf>
    <xf numFmtId="184" fontId="0" fillId="0" borderId="10" xfId="0" applyNumberFormat="1" applyBorder="1" applyAlignment="1" applyProtection="1">
      <alignment horizontal="center"/>
      <protection locked="0"/>
    </xf>
    <xf numFmtId="14" fontId="0" fillId="0" borderId="14" xfId="0" applyNumberFormat="1" applyBorder="1" applyAlignment="1" applyProtection="1">
      <alignment horizontal="center" vertical="center"/>
      <protection locked="0"/>
    </xf>
    <xf numFmtId="0" fontId="63" fillId="0" borderId="2" xfId="2" applyNumberFormat="1" applyBorder="1" applyAlignment="1" applyProtection="1">
      <alignment vertical="center"/>
    </xf>
    <xf numFmtId="0" fontId="0" fillId="0" borderId="12" xfId="0" applyBorder="1" applyAlignment="1">
      <alignment vertical="center" wrapText="1"/>
    </xf>
    <xf numFmtId="14" fontId="0" fillId="0" borderId="108" xfId="0" applyNumberFormat="1" applyBorder="1" applyAlignment="1" applyProtection="1">
      <alignment horizontal="center"/>
      <protection locked="0"/>
    </xf>
    <xf numFmtId="184" fontId="196" fillId="0" borderId="2" xfId="0" applyNumberFormat="1" applyFont="1" applyBorder="1" applyAlignment="1" applyProtection="1">
      <alignment horizontal="center"/>
      <protection locked="0"/>
    </xf>
    <xf numFmtId="8" fontId="196" fillId="0" borderId="153" xfId="0" applyNumberFormat="1" applyFont="1" applyBorder="1" applyAlignment="1" applyProtection="1">
      <alignment horizontal="center"/>
      <protection locked="0"/>
    </xf>
    <xf numFmtId="184" fontId="196" fillId="0" borderId="10" xfId="0" applyNumberFormat="1" applyFont="1" applyBorder="1" applyAlignment="1" applyProtection="1">
      <alignment horizontal="center"/>
      <protection locked="0"/>
    </xf>
    <xf numFmtId="8" fontId="196" fillId="0" borderId="15" xfId="0" applyNumberFormat="1" applyFont="1" applyBorder="1" applyAlignment="1" applyProtection="1">
      <alignment horizontal="center"/>
      <protection locked="0"/>
    </xf>
    <xf numFmtId="0" fontId="0" fillId="4" borderId="5" xfId="0" applyFill="1" applyBorder="1" applyAlignment="1" applyProtection="1">
      <alignment vertical="center"/>
      <protection hidden="1"/>
    </xf>
    <xf numFmtId="8" fontId="0" fillId="4" borderId="3" xfId="0" applyNumberFormat="1" applyFill="1" applyBorder="1" applyAlignment="1" applyProtection="1">
      <alignment horizontal="center"/>
      <protection hidden="1"/>
    </xf>
    <xf numFmtId="0" fontId="0" fillId="4" borderId="3" xfId="0" applyFill="1" applyBorder="1" applyProtection="1">
      <protection hidden="1"/>
    </xf>
    <xf numFmtId="8" fontId="105" fillId="4" borderId="7" xfId="0" applyNumberFormat="1" applyFont="1" applyFill="1" applyBorder="1" applyAlignment="1" applyProtection="1">
      <alignment horizontal="center" vertical="center"/>
      <protection hidden="1"/>
    </xf>
    <xf numFmtId="8" fontId="0" fillId="4" borderId="2" xfId="0" applyNumberFormat="1" applyFill="1" applyBorder="1" applyProtection="1">
      <protection hidden="1"/>
    </xf>
    <xf numFmtId="0" fontId="100" fillId="4" borderId="6" xfId="0" applyFont="1" applyFill="1" applyBorder="1" applyAlignment="1" applyProtection="1">
      <alignment horizontal="center"/>
      <protection hidden="1"/>
    </xf>
    <xf numFmtId="8" fontId="89" fillId="4" borderId="2" xfId="0" applyNumberFormat="1" applyFont="1" applyFill="1" applyBorder="1" applyAlignment="1" applyProtection="1">
      <alignment vertical="center"/>
      <protection hidden="1"/>
    </xf>
    <xf numFmtId="8" fontId="154" fillId="4" borderId="2" xfId="0" applyNumberFormat="1" applyFont="1" applyFill="1" applyBorder="1" applyAlignment="1" applyProtection="1">
      <alignment vertical="center"/>
      <protection hidden="1"/>
    </xf>
    <xf numFmtId="0" fontId="105" fillId="4" borderId="103" xfId="0" applyFont="1" applyFill="1" applyBorder="1" applyAlignment="1" applyProtection="1">
      <alignment horizontal="center" vertical="center"/>
      <protection hidden="1"/>
    </xf>
    <xf numFmtId="8" fontId="0" fillId="4" borderId="7" xfId="0" applyNumberFormat="1" applyFill="1" applyBorder="1" applyAlignment="1" applyProtection="1">
      <alignment horizontal="center" vertical="center"/>
      <protection hidden="1"/>
    </xf>
    <xf numFmtId="8" fontId="100" fillId="4" borderId="6" xfId="0" applyNumberFormat="1" applyFont="1" applyFill="1" applyBorder="1" applyAlignment="1" applyProtection="1">
      <alignment vertical="center"/>
      <protection hidden="1"/>
    </xf>
    <xf numFmtId="8" fontId="100" fillId="4" borderId="80" xfId="0" applyNumberFormat="1" applyFont="1" applyFill="1" applyBorder="1" applyAlignment="1" applyProtection="1">
      <alignment vertical="center"/>
      <protection hidden="1"/>
    </xf>
    <xf numFmtId="14" fontId="0" fillId="4" borderId="3" xfId="0" applyNumberFormat="1" applyFill="1" applyBorder="1" applyAlignment="1" applyProtection="1">
      <alignment horizontal="center" vertical="center"/>
      <protection hidden="1"/>
    </xf>
    <xf numFmtId="8" fontId="0" fillId="4" borderId="4" xfId="0" applyNumberFormat="1" applyFill="1" applyBorder="1" applyAlignment="1" applyProtection="1">
      <alignment horizontal="center" vertical="center"/>
      <protection hidden="1"/>
    </xf>
    <xf numFmtId="8" fontId="100" fillId="4" borderId="4" xfId="0" applyNumberFormat="1" applyFont="1" applyFill="1" applyBorder="1" applyAlignment="1" applyProtection="1">
      <alignment horizontal="center"/>
      <protection hidden="1"/>
    </xf>
    <xf numFmtId="8" fontId="100" fillId="4" borderId="3" xfId="0" applyNumberFormat="1" applyFont="1" applyFill="1" applyBorder="1" applyAlignment="1" applyProtection="1">
      <alignment horizontal="center"/>
      <protection hidden="1"/>
    </xf>
    <xf numFmtId="6" fontId="0" fillId="4" borderId="4" xfId="0" applyNumberFormat="1" applyFill="1" applyBorder="1" applyAlignment="1" applyProtection="1">
      <alignment horizontal="center" vertical="center"/>
      <protection hidden="1"/>
    </xf>
    <xf numFmtId="8" fontId="0" fillId="4" borderId="4" xfId="0" applyNumberFormat="1" applyFill="1" applyBorder="1" applyProtection="1">
      <protection hidden="1"/>
    </xf>
    <xf numFmtId="8" fontId="0" fillId="4" borderId="3" xfId="0" applyNumberFormat="1" applyFill="1" applyBorder="1" applyProtection="1">
      <protection hidden="1"/>
    </xf>
    <xf numFmtId="8" fontId="122" fillId="4" borderId="5" xfId="0" applyNumberFormat="1" applyFont="1" applyFill="1" applyBorder="1" applyProtection="1">
      <protection hidden="1"/>
    </xf>
    <xf numFmtId="8" fontId="122" fillId="4" borderId="7" xfId="0" applyNumberFormat="1" applyFont="1" applyFill="1" applyBorder="1" applyProtection="1">
      <protection hidden="1"/>
    </xf>
    <xf numFmtId="0" fontId="100" fillId="4" borderId="4" xfId="0" applyFont="1" applyFill="1" applyBorder="1" applyAlignment="1" applyProtection="1">
      <alignment horizontal="center" vertical="center"/>
      <protection hidden="1"/>
    </xf>
    <xf numFmtId="14" fontId="100" fillId="4" borderId="3" xfId="0" applyNumberFormat="1" applyFont="1" applyFill="1" applyBorder="1" applyAlignment="1" applyProtection="1">
      <alignment horizontal="center" vertical="center"/>
      <protection hidden="1"/>
    </xf>
    <xf numFmtId="0" fontId="0" fillId="0" borderId="0" xfId="0" applyAlignment="1" applyProtection="1">
      <alignment horizontal="center" vertical="center"/>
      <protection locked="0" hidden="1"/>
    </xf>
    <xf numFmtId="0" fontId="105" fillId="0" borderId="0" xfId="0" applyFont="1" applyAlignment="1" applyProtection="1">
      <alignment horizontal="center" vertical="center" wrapText="1"/>
      <protection locked="0"/>
    </xf>
    <xf numFmtId="8" fontId="0" fillId="4" borderId="160" xfId="0" applyNumberFormat="1" applyFill="1" applyBorder="1" applyAlignment="1" applyProtection="1">
      <alignment horizontal="center" vertical="center"/>
      <protection hidden="1"/>
    </xf>
    <xf numFmtId="175" fontId="0" fillId="0" borderId="4" xfId="0" applyNumberFormat="1" applyBorder="1" applyAlignment="1">
      <alignment horizontal="center" vertical="center"/>
    </xf>
    <xf numFmtId="4" fontId="0" fillId="0" borderId="2" xfId="0" applyNumberFormat="1" applyBorder="1" applyAlignment="1">
      <alignment horizontal="center" vertical="center"/>
    </xf>
    <xf numFmtId="14" fontId="0" fillId="0" borderId="2" xfId="0" applyNumberFormat="1" applyBorder="1" applyAlignment="1">
      <alignment horizontal="center" textRotation="90"/>
    </xf>
    <xf numFmtId="4" fontId="0" fillId="0" borderId="1" xfId="0" applyNumberFormat="1" applyBorder="1" applyAlignment="1">
      <alignment horizontal="center" vertical="center"/>
    </xf>
    <xf numFmtId="4" fontId="0" fillId="0" borderId="2" xfId="0" applyNumberFormat="1" applyBorder="1"/>
    <xf numFmtId="10" fontId="0" fillId="0" borderId="2" xfId="3" applyNumberFormat="1" applyFont="1" applyFill="1" applyBorder="1" applyAlignment="1">
      <alignment horizontal="center"/>
    </xf>
    <xf numFmtId="10" fontId="0" fillId="0" borderId="3" xfId="3" applyNumberFormat="1" applyFont="1" applyFill="1" applyBorder="1" applyAlignment="1">
      <alignment horizontal="center"/>
    </xf>
    <xf numFmtId="4" fontId="0" fillId="0" borderId="6" xfId="0" applyNumberFormat="1" applyBorder="1"/>
    <xf numFmtId="10" fontId="0" fillId="0" borderId="6" xfId="3" applyNumberFormat="1" applyFont="1" applyFill="1" applyBorder="1" applyAlignment="1">
      <alignment horizontal="center"/>
    </xf>
    <xf numFmtId="10" fontId="0" fillId="0" borderId="7" xfId="3" applyNumberFormat="1" applyFont="1" applyFill="1" applyBorder="1" applyAlignment="1">
      <alignment horizontal="center"/>
    </xf>
    <xf numFmtId="6" fontId="104" fillId="4" borderId="7" xfId="0" applyNumberFormat="1" applyFont="1" applyFill="1" applyBorder="1" applyAlignment="1" applyProtection="1">
      <alignment horizontal="center" vertical="center"/>
      <protection hidden="1"/>
    </xf>
    <xf numFmtId="0" fontId="0" fillId="0" borderId="0" xfId="0" applyAlignment="1">
      <alignment horizontal="left" wrapText="1"/>
    </xf>
    <xf numFmtId="0" fontId="0" fillId="9" borderId="0" xfId="0" applyFill="1"/>
    <xf numFmtId="14" fontId="0" fillId="9" borderId="0" xfId="0" applyNumberFormat="1" applyFill="1"/>
    <xf numFmtId="0" fontId="0" fillId="9" borderId="0" xfId="0" applyFill="1" applyAlignment="1">
      <alignment vertical="center" wrapText="1"/>
    </xf>
    <xf numFmtId="0" fontId="0" fillId="9" borderId="0" xfId="0" applyFill="1" applyAlignment="1">
      <alignment horizontal="left" wrapText="1"/>
    </xf>
    <xf numFmtId="0" fontId="0" fillId="9" borderId="0" xfId="0" applyFill="1" applyAlignment="1">
      <alignment vertical="center"/>
    </xf>
    <xf numFmtId="0" fontId="121" fillId="4" borderId="0" xfId="0" applyFont="1" applyFill="1" applyAlignment="1">
      <alignment vertical="center" wrapText="1"/>
    </xf>
    <xf numFmtId="0" fontId="63" fillId="4" borderId="0" xfId="2" applyNumberFormat="1" applyFill="1" applyAlignment="1" applyProtection="1">
      <alignment vertical="center"/>
    </xf>
    <xf numFmtId="0" fontId="63" fillId="4" borderId="0" xfId="2" applyNumberFormat="1" applyFill="1" applyAlignment="1" applyProtection="1">
      <alignment horizontal="center" vertical="center" wrapText="1"/>
    </xf>
    <xf numFmtId="0" fontId="0" fillId="0" borderId="0" xfId="0" applyAlignment="1">
      <alignment horizontal="right" vertical="center" wrapText="1"/>
    </xf>
    <xf numFmtId="8" fontId="100" fillId="4" borderId="161" xfId="0" applyNumberFormat="1" applyFont="1" applyFill="1" applyBorder="1" applyAlignment="1" applyProtection="1">
      <alignment horizontal="center" vertical="center"/>
      <protection hidden="1"/>
    </xf>
    <xf numFmtId="10" fontId="0" fillId="4" borderId="27" xfId="3" applyNumberFormat="1" applyFont="1" applyFill="1" applyBorder="1" applyAlignment="1" applyProtection="1">
      <alignment horizontal="center" vertical="center"/>
      <protection hidden="1"/>
    </xf>
    <xf numFmtId="0" fontId="0" fillId="0" borderId="2" xfId="0" applyBorder="1" applyAlignment="1">
      <alignment horizontal="left" vertical="center"/>
    </xf>
    <xf numFmtId="0" fontId="0" fillId="9" borderId="13" xfId="0" applyFill="1" applyBorder="1"/>
    <xf numFmtId="8" fontId="0" fillId="0" borderId="12" xfId="0" applyNumberFormat="1" applyBorder="1" applyAlignment="1" applyProtection="1">
      <alignment horizontal="center" vertical="center"/>
      <protection locked="0"/>
    </xf>
    <xf numFmtId="0" fontId="0" fillId="9" borderId="12" xfId="0" applyFill="1" applyBorder="1"/>
    <xf numFmtId="0" fontId="0" fillId="9" borderId="0" xfId="0" applyFill="1" applyAlignment="1">
      <alignment vertical="top"/>
    </xf>
    <xf numFmtId="0" fontId="0" fillId="9" borderId="0" xfId="0" applyFill="1" applyAlignment="1">
      <alignment horizontal="left" vertical="top" wrapText="1"/>
    </xf>
    <xf numFmtId="0" fontId="0" fillId="0" borderId="0" xfId="0" applyAlignment="1">
      <alignment horizontal="right" vertical="top"/>
    </xf>
    <xf numFmtId="0" fontId="0" fillId="0" borderId="0" xfId="0" applyAlignment="1">
      <alignment horizontal="center" vertical="top"/>
    </xf>
    <xf numFmtId="0" fontId="0" fillId="0" borderId="0" xfId="0" applyAlignment="1">
      <alignment vertical="top"/>
    </xf>
    <xf numFmtId="14" fontId="0" fillId="0" borderId="0" xfId="0" applyNumberFormat="1" applyAlignment="1">
      <alignment horizontal="center" vertical="top"/>
    </xf>
    <xf numFmtId="0" fontId="105" fillId="0" borderId="0" xfId="0" applyFont="1" applyAlignment="1" applyProtection="1">
      <alignment vertical="center" wrapText="1"/>
      <protection locked="0"/>
    </xf>
    <xf numFmtId="0" fontId="0" fillId="0" borderId="0" xfId="0" applyAlignment="1">
      <alignment horizontal="left" vertical="center" wrapText="1"/>
    </xf>
    <xf numFmtId="8" fontId="0" fillId="6" borderId="3" xfId="0" applyNumberFormat="1" applyFill="1" applyBorder="1" applyAlignment="1" applyProtection="1">
      <alignment horizontal="center"/>
      <protection locked="0"/>
    </xf>
    <xf numFmtId="0" fontId="110" fillId="4" borderId="0" xfId="0" applyFont="1" applyFill="1" applyAlignment="1" applyProtection="1">
      <alignment horizontal="center" vertical="center"/>
      <protection hidden="1"/>
    </xf>
    <xf numFmtId="0" fontId="115" fillId="4" borderId="0" xfId="0" applyFont="1" applyFill="1" applyAlignment="1" applyProtection="1">
      <alignment horizontal="center" vertical="center"/>
      <protection hidden="1"/>
    </xf>
    <xf numFmtId="0" fontId="105" fillId="4" borderId="0" xfId="0" applyFont="1" applyFill="1" applyAlignment="1" applyProtection="1">
      <alignment horizontal="center" vertical="center" wrapText="1"/>
      <protection hidden="1"/>
    </xf>
    <xf numFmtId="0" fontId="105" fillId="4" borderId="0" xfId="0" applyFont="1" applyFill="1" applyAlignment="1" applyProtection="1">
      <alignment horizontal="center" vertical="center"/>
      <protection hidden="1"/>
    </xf>
    <xf numFmtId="8" fontId="0" fillId="4" borderId="0" xfId="0" applyNumberFormat="1" applyFill="1" applyAlignment="1" applyProtection="1">
      <alignment horizontal="right" vertical="center"/>
      <protection hidden="1"/>
    </xf>
    <xf numFmtId="6" fontId="0" fillId="4" borderId="0" xfId="0" applyNumberFormat="1" applyFill="1" applyAlignment="1" applyProtection="1">
      <alignment horizontal="right" vertical="center"/>
      <protection hidden="1"/>
    </xf>
    <xf numFmtId="8" fontId="100" fillId="4" borderId="0" xfId="0" applyNumberFormat="1" applyFont="1" applyFill="1" applyAlignment="1" applyProtection="1">
      <alignment horizontal="right" vertical="center"/>
      <protection hidden="1"/>
    </xf>
    <xf numFmtId="10" fontId="0" fillId="4" borderId="0" xfId="3" applyNumberFormat="1" applyFont="1" applyFill="1" applyBorder="1" applyAlignment="1" applyProtection="1">
      <alignment horizontal="right" vertical="center"/>
      <protection hidden="1"/>
    </xf>
    <xf numFmtId="0" fontId="170" fillId="4" borderId="0" xfId="2" applyNumberFormat="1" applyFont="1" applyFill="1" applyBorder="1" applyAlignment="1" applyProtection="1">
      <alignment horizontal="center" vertical="center"/>
      <protection locked="0" hidden="1"/>
    </xf>
    <xf numFmtId="0" fontId="100" fillId="4" borderId="19" xfId="0" applyFont="1" applyFill="1" applyBorder="1" applyAlignment="1" applyProtection="1">
      <alignment horizontal="right" vertical="center"/>
      <protection hidden="1"/>
    </xf>
    <xf numFmtId="172" fontId="0" fillId="4" borderId="3" xfId="0" applyNumberFormat="1" applyFill="1" applyBorder="1" applyAlignment="1" applyProtection="1">
      <alignment horizontal="center" vertical="center"/>
      <protection locked="0" hidden="1"/>
    </xf>
    <xf numFmtId="1" fontId="0" fillId="4" borderId="3" xfId="0" quotePrefix="1" applyNumberFormat="1" applyFill="1" applyBorder="1" applyAlignment="1" applyProtection="1">
      <alignment horizontal="center" vertical="center"/>
      <protection hidden="1"/>
    </xf>
    <xf numFmtId="8" fontId="0" fillId="4" borderId="3" xfId="0" applyNumberFormat="1" applyFill="1" applyBorder="1" applyAlignment="1" applyProtection="1">
      <alignment vertical="center"/>
      <protection hidden="1"/>
    </xf>
    <xf numFmtId="10" fontId="76" fillId="4" borderId="3" xfId="3" applyNumberFormat="1" applyFill="1" applyBorder="1" applyAlignment="1" applyProtection="1">
      <alignment horizontal="center" vertical="center"/>
      <protection hidden="1"/>
    </xf>
    <xf numFmtId="0" fontId="0" fillId="4" borderId="3" xfId="0" applyFill="1" applyBorder="1" applyAlignment="1" applyProtection="1">
      <alignment vertical="center"/>
      <protection hidden="1"/>
    </xf>
    <xf numFmtId="0" fontId="0" fillId="4" borderId="4" xfId="0" quotePrefix="1" applyFill="1" applyBorder="1" applyAlignment="1">
      <alignment horizontal="right" vertical="center"/>
    </xf>
    <xf numFmtId="6" fontId="105" fillId="4" borderId="19" xfId="0" applyNumberFormat="1" applyFont="1" applyFill="1" applyBorder="1" applyAlignment="1" applyProtection="1">
      <alignment vertical="center"/>
      <protection hidden="1"/>
    </xf>
    <xf numFmtId="6" fontId="105" fillId="4" borderId="15" xfId="0" applyNumberFormat="1" applyFont="1" applyFill="1" applyBorder="1" applyAlignment="1" applyProtection="1">
      <alignment vertical="center"/>
      <protection hidden="1"/>
    </xf>
    <xf numFmtId="0" fontId="61" fillId="4" borderId="0" xfId="0" applyFont="1" applyFill="1" applyAlignment="1">
      <alignment vertical="center"/>
    </xf>
    <xf numFmtId="0" fontId="104" fillId="4" borderId="12" xfId="0" applyFont="1" applyFill="1" applyBorder="1" applyAlignment="1" applyProtection="1">
      <alignment vertical="center"/>
      <protection hidden="1"/>
    </xf>
    <xf numFmtId="8" fontId="104" fillId="4" borderId="12" xfId="0" applyNumberFormat="1" applyFont="1" applyFill="1" applyBorder="1" applyAlignment="1" applyProtection="1">
      <alignment vertical="center"/>
      <protection hidden="1"/>
    </xf>
    <xf numFmtId="8" fontId="104" fillId="4" borderId="42" xfId="0" applyNumberFormat="1" applyFont="1" applyFill="1" applyBorder="1" applyAlignment="1" applyProtection="1">
      <alignment vertical="center"/>
      <protection hidden="1"/>
    </xf>
    <xf numFmtId="0" fontId="89" fillId="4" borderId="21" xfId="0" applyFont="1" applyFill="1" applyBorder="1" applyAlignment="1">
      <alignment horizontal="center" vertical="center"/>
    </xf>
    <xf numFmtId="0" fontId="0" fillId="4" borderId="83" xfId="0" applyFill="1" applyBorder="1" applyAlignment="1">
      <alignment horizontal="center" vertical="center"/>
    </xf>
    <xf numFmtId="0" fontId="121" fillId="4" borderId="24" xfId="0" applyFont="1" applyFill="1" applyBorder="1" applyAlignment="1" applyProtection="1">
      <alignment horizontal="center" vertical="center"/>
      <protection hidden="1"/>
    </xf>
    <xf numFmtId="0" fontId="121" fillId="4" borderId="22" xfId="0" applyFont="1" applyFill="1" applyBorder="1" applyAlignment="1" applyProtection="1">
      <alignment horizontal="center" vertical="center"/>
      <protection hidden="1"/>
    </xf>
    <xf numFmtId="0" fontId="148" fillId="4" borderId="4" xfId="2" applyNumberFormat="1" applyFont="1" applyFill="1" applyBorder="1" applyAlignment="1" applyProtection="1">
      <alignment horizontal="right" vertical="center"/>
    </xf>
    <xf numFmtId="0" fontId="63" fillId="4" borderId="4" xfId="2" applyNumberFormat="1" applyFill="1" applyBorder="1" applyAlignment="1" applyProtection="1">
      <alignment horizontal="right" vertical="center"/>
    </xf>
    <xf numFmtId="0" fontId="143" fillId="4" borderId="4" xfId="0" applyFont="1" applyFill="1" applyBorder="1" applyAlignment="1">
      <alignment horizontal="right" vertical="center"/>
    </xf>
    <xf numFmtId="0" fontId="0" fillId="4" borderId="13" xfId="0" applyFill="1" applyBorder="1" applyAlignment="1">
      <alignment horizontal="right" vertical="center"/>
    </xf>
    <xf numFmtId="10" fontId="102" fillId="4" borderId="3" xfId="3" applyNumberFormat="1" applyFont="1" applyFill="1" applyBorder="1" applyAlignment="1" applyProtection="1">
      <alignment horizontal="center" vertical="center"/>
      <protection hidden="1"/>
    </xf>
    <xf numFmtId="0" fontId="106" fillId="4" borderId="3" xfId="0" applyFont="1" applyFill="1" applyBorder="1" applyAlignment="1" applyProtection="1">
      <alignment horizontal="center" vertical="center"/>
      <protection hidden="1"/>
    </xf>
    <xf numFmtId="4" fontId="44" fillId="0" borderId="0" xfId="0" applyNumberFormat="1" applyFont="1"/>
    <xf numFmtId="4" fontId="199" fillId="0" borderId="0" xfId="0" applyNumberFormat="1" applyFont="1"/>
    <xf numFmtId="4" fontId="199" fillId="9" borderId="0" xfId="0" applyNumberFormat="1" applyFont="1" applyFill="1"/>
    <xf numFmtId="167" fontId="199" fillId="0" borderId="0" xfId="0" applyNumberFormat="1" applyFont="1" applyAlignment="1">
      <alignment horizontal="center"/>
    </xf>
    <xf numFmtId="0" fontId="102" fillId="4" borderId="4" xfId="0" applyFont="1" applyFill="1" applyBorder="1" applyAlignment="1" applyProtection="1">
      <alignment vertical="center" wrapText="1"/>
      <protection hidden="1"/>
    </xf>
    <xf numFmtId="0" fontId="102" fillId="4" borderId="4" xfId="0" applyFont="1" applyFill="1" applyBorder="1" applyAlignment="1" applyProtection="1">
      <alignment vertical="center"/>
      <protection hidden="1"/>
    </xf>
    <xf numFmtId="0" fontId="0" fillId="4" borderId="26" xfId="0" applyFill="1" applyBorder="1" applyAlignment="1" applyProtection="1">
      <alignment vertical="center"/>
      <protection hidden="1"/>
    </xf>
    <xf numFmtId="8" fontId="105" fillId="4" borderId="3" xfId="0" applyNumberFormat="1" applyFont="1" applyFill="1" applyBorder="1" applyAlignment="1" applyProtection="1">
      <alignment horizontal="center" vertical="center"/>
      <protection hidden="1"/>
    </xf>
    <xf numFmtId="0" fontId="100" fillId="9" borderId="65" xfId="0" applyFont="1" applyFill="1" applyBorder="1" applyAlignment="1" applyProtection="1">
      <alignment horizontal="right" vertical="center"/>
      <protection hidden="1"/>
    </xf>
    <xf numFmtId="0" fontId="197" fillId="9" borderId="19" xfId="0" applyFont="1" applyFill="1" applyBorder="1" applyAlignment="1" applyProtection="1">
      <alignment vertical="center"/>
      <protection hidden="1"/>
    </xf>
    <xf numFmtId="0" fontId="197" fillId="9" borderId="28" xfId="0" applyFont="1" applyFill="1" applyBorder="1" applyAlignment="1" applyProtection="1">
      <alignment vertical="center"/>
      <protection hidden="1"/>
    </xf>
    <xf numFmtId="168" fontId="0" fillId="4" borderId="28" xfId="0" applyNumberFormat="1" applyFill="1" applyBorder="1" applyAlignment="1" applyProtection="1">
      <alignment horizontal="center"/>
      <protection hidden="1"/>
    </xf>
    <xf numFmtId="168" fontId="0" fillId="4" borderId="29" xfId="0" applyNumberFormat="1" applyFill="1" applyBorder="1" applyAlignment="1" applyProtection="1">
      <alignment horizontal="center"/>
      <protection hidden="1"/>
    </xf>
    <xf numFmtId="178" fontId="0" fillId="4" borderId="28" xfId="0" applyNumberFormat="1" applyFill="1" applyBorder="1" applyAlignment="1" applyProtection="1">
      <alignment horizontal="center"/>
      <protection hidden="1"/>
    </xf>
    <xf numFmtId="4" fontId="58" fillId="4" borderId="38" xfId="0" applyNumberFormat="1" applyFont="1" applyFill="1" applyBorder="1" applyAlignment="1" applyProtection="1">
      <alignment horizontal="center" vertical="center"/>
      <protection hidden="1"/>
    </xf>
    <xf numFmtId="4" fontId="105" fillId="4" borderId="0" xfId="0" applyNumberFormat="1" applyFont="1" applyFill="1" applyAlignment="1" applyProtection="1">
      <alignment horizontal="center" vertical="center" wrapText="1"/>
      <protection hidden="1"/>
    </xf>
    <xf numFmtId="10" fontId="90" fillId="4" borderId="40" xfId="3" applyNumberFormat="1" applyFont="1" applyFill="1" applyBorder="1" applyAlignment="1" applyProtection="1">
      <alignment horizontal="center" vertical="center"/>
      <protection hidden="1"/>
    </xf>
    <xf numFmtId="1" fontId="0" fillId="4" borderId="30" xfId="0" applyNumberFormat="1" applyFill="1" applyBorder="1" applyAlignment="1" applyProtection="1">
      <alignment horizontal="center"/>
      <protection hidden="1"/>
    </xf>
    <xf numFmtId="1" fontId="0" fillId="4" borderId="26" xfId="0" applyNumberFormat="1" applyFill="1" applyBorder="1" applyAlignment="1" applyProtection="1">
      <alignment horizontal="center"/>
      <protection hidden="1"/>
    </xf>
    <xf numFmtId="1" fontId="0" fillId="4" borderId="31" xfId="0" applyNumberFormat="1" applyFill="1" applyBorder="1" applyAlignment="1" applyProtection="1">
      <alignment horizontal="center"/>
      <protection hidden="1"/>
    </xf>
    <xf numFmtId="2" fontId="0" fillId="0" borderId="2" xfId="0" quotePrefix="1" applyNumberFormat="1" applyBorder="1" applyAlignment="1">
      <alignment horizontal="center" vertical="center"/>
    </xf>
    <xf numFmtId="10" fontId="0" fillId="0" borderId="2" xfId="3" quotePrefix="1" applyNumberFormat="1" applyFont="1" applyBorder="1" applyAlignment="1">
      <alignment horizontal="center" vertical="center"/>
    </xf>
    <xf numFmtId="8" fontId="0" fillId="0" borderId="0" xfId="0" quotePrefix="1" applyNumberFormat="1" applyAlignment="1">
      <alignment vertical="center"/>
    </xf>
    <xf numFmtId="6" fontId="121" fillId="4" borderId="78" xfId="0" applyNumberFormat="1" applyFont="1" applyFill="1" applyBorder="1" applyAlignment="1" applyProtection="1">
      <alignment vertical="center"/>
      <protection hidden="1"/>
    </xf>
    <xf numFmtId="6" fontId="104" fillId="4" borderId="10" xfId="0" applyNumberFormat="1" applyFont="1" applyFill="1" applyBorder="1" applyAlignment="1">
      <alignment vertical="center"/>
    </xf>
    <xf numFmtId="6" fontId="104" fillId="4" borderId="82" xfId="0" applyNumberFormat="1" applyFont="1" applyFill="1" applyBorder="1" applyAlignment="1" applyProtection="1">
      <alignment horizontal="center" vertical="center"/>
      <protection hidden="1"/>
    </xf>
    <xf numFmtId="8" fontId="104" fillId="6" borderId="3" xfId="0" applyNumberFormat="1" applyFont="1" applyFill="1" applyBorder="1" applyAlignment="1" applyProtection="1">
      <alignment vertical="center"/>
      <protection locked="0"/>
    </xf>
    <xf numFmtId="192" fontId="100" fillId="0" borderId="14" xfId="0" applyNumberFormat="1" applyFont="1" applyBorder="1" applyAlignment="1" applyProtection="1">
      <alignment horizontal="center" vertical="center"/>
      <protection locked="0"/>
    </xf>
    <xf numFmtId="8" fontId="0" fillId="0" borderId="3" xfId="0" applyNumberFormat="1" applyBorder="1" applyAlignment="1" applyProtection="1">
      <alignment horizontal="center" vertical="center"/>
      <protection locked="0"/>
    </xf>
    <xf numFmtId="10" fontId="99" fillId="0" borderId="2" xfId="3" applyNumberFormat="1" applyFont="1" applyBorder="1" applyAlignment="1">
      <alignment horizontal="center" vertical="center"/>
    </xf>
    <xf numFmtId="2" fontId="0" fillId="0" borderId="2" xfId="0" applyNumberFormat="1" applyBorder="1"/>
    <xf numFmtId="10" fontId="105" fillId="0" borderId="0" xfId="3" applyNumberFormat="1" applyFont="1" applyFill="1"/>
    <xf numFmtId="0" fontId="105" fillId="0" borderId="19" xfId="0" applyFont="1" applyBorder="1" applyAlignment="1">
      <alignment horizontal="center" vertical="center"/>
    </xf>
    <xf numFmtId="10" fontId="121" fillId="4" borderId="162" xfId="3" applyNumberFormat="1" applyFont="1" applyFill="1" applyBorder="1" applyAlignment="1" applyProtection="1">
      <alignment horizontal="center" vertical="top" wrapText="1"/>
      <protection hidden="1"/>
    </xf>
    <xf numFmtId="0" fontId="0" fillId="4" borderId="2" xfId="0" applyFill="1" applyBorder="1" applyAlignment="1" applyProtection="1">
      <alignment horizontal="center" vertical="center"/>
      <protection hidden="1"/>
    </xf>
    <xf numFmtId="0" fontId="0" fillId="4" borderId="4" xfId="0" applyFill="1" applyBorder="1" applyAlignment="1" applyProtection="1">
      <alignment horizontal="right"/>
      <protection hidden="1"/>
    </xf>
    <xf numFmtId="0" fontId="100" fillId="4" borderId="4" xfId="0" applyFont="1" applyFill="1" applyBorder="1" applyAlignment="1" applyProtection="1">
      <alignment horizontal="right"/>
      <protection hidden="1"/>
    </xf>
    <xf numFmtId="6" fontId="0" fillId="4" borderId="3" xfId="0" applyNumberFormat="1" applyFill="1" applyBorder="1" applyAlignment="1" applyProtection="1">
      <alignment horizontal="center" vertical="center"/>
      <protection hidden="1"/>
    </xf>
    <xf numFmtId="8" fontId="89" fillId="4" borderId="100" xfId="0" applyNumberFormat="1" applyFont="1" applyFill="1" applyBorder="1" applyAlignment="1" applyProtection="1">
      <alignment horizontal="center" vertical="center" wrapText="1"/>
      <protection hidden="1"/>
    </xf>
    <xf numFmtId="8" fontId="100" fillId="0" borderId="142" xfId="0" applyNumberFormat="1" applyFont="1" applyBorder="1" applyAlignment="1" applyProtection="1">
      <alignment horizontal="center" vertical="center" wrapText="1"/>
      <protection locked="0"/>
    </xf>
    <xf numFmtId="8" fontId="100" fillId="0" borderId="65" xfId="0" applyNumberFormat="1" applyFont="1" applyBorder="1" applyAlignment="1" applyProtection="1">
      <alignment horizontal="center" vertical="center" wrapText="1"/>
      <protection locked="0"/>
    </xf>
    <xf numFmtId="10" fontId="100" fillId="4" borderId="141" xfId="3" applyNumberFormat="1" applyFont="1" applyFill="1" applyBorder="1" applyAlignment="1" applyProtection="1">
      <alignment horizontal="center" vertical="center" wrapText="1"/>
      <protection locked="0"/>
    </xf>
    <xf numFmtId="9" fontId="100" fillId="4" borderId="141" xfId="3" applyFont="1" applyFill="1" applyBorder="1" applyAlignment="1" applyProtection="1">
      <alignment horizontal="center" vertical="center" wrapText="1"/>
      <protection locked="0"/>
    </xf>
    <xf numFmtId="0" fontId="0" fillId="4" borderId="24" xfId="0" applyFill="1" applyBorder="1" applyAlignment="1" applyProtection="1">
      <alignment horizontal="right"/>
      <protection hidden="1"/>
    </xf>
    <xf numFmtId="0" fontId="0" fillId="4" borderId="68" xfId="0" applyFill="1" applyBorder="1" applyAlignment="1" applyProtection="1">
      <alignment horizontal="right"/>
      <protection hidden="1"/>
    </xf>
    <xf numFmtId="0" fontId="63" fillId="4" borderId="68" xfId="2" applyNumberFormat="1" applyFill="1" applyBorder="1" applyAlignment="1" applyProtection="1">
      <alignment horizontal="right"/>
      <protection hidden="1"/>
    </xf>
    <xf numFmtId="0" fontId="0" fillId="4" borderId="85" xfId="0" applyFill="1" applyBorder="1" applyAlignment="1" applyProtection="1">
      <alignment horizontal="right"/>
      <protection hidden="1"/>
    </xf>
    <xf numFmtId="0" fontId="100" fillId="4" borderId="63" xfId="0" applyFont="1" applyFill="1" applyBorder="1" applyProtection="1">
      <protection hidden="1"/>
    </xf>
    <xf numFmtId="0" fontId="63" fillId="4" borderId="4" xfId="2" applyNumberFormat="1" applyFill="1" applyBorder="1" applyAlignment="1" applyProtection="1">
      <alignment horizontal="right"/>
      <protection hidden="1"/>
    </xf>
    <xf numFmtId="0" fontId="164" fillId="4" borderId="4" xfId="0" applyFont="1" applyFill="1" applyBorder="1" applyAlignment="1" applyProtection="1">
      <alignment horizontal="right"/>
      <protection hidden="1"/>
    </xf>
    <xf numFmtId="0" fontId="195" fillId="4" borderId="19" xfId="2" applyNumberFormat="1" applyFont="1" applyFill="1" applyBorder="1" applyAlignment="1" applyProtection="1">
      <alignment horizontal="right"/>
      <protection hidden="1"/>
    </xf>
    <xf numFmtId="0" fontId="100" fillId="4" borderId="156" xfId="0" applyFont="1" applyFill="1" applyBorder="1" applyAlignment="1" applyProtection="1">
      <alignment horizontal="right"/>
      <protection hidden="1"/>
    </xf>
    <xf numFmtId="0" fontId="100" fillId="4" borderId="26" xfId="0" applyFont="1" applyFill="1" applyBorder="1" applyAlignment="1" applyProtection="1">
      <alignment horizontal="right"/>
      <protection hidden="1"/>
    </xf>
    <xf numFmtId="0" fontId="63" fillId="4" borderId="4" xfId="2" applyNumberFormat="1" applyFill="1" applyBorder="1" applyAlignment="1" applyProtection="1">
      <alignment horizontal="right" vertical="center" wrapText="1"/>
      <protection hidden="1"/>
    </xf>
    <xf numFmtId="0" fontId="122" fillId="4" borderId="5" xfId="0" applyFont="1" applyFill="1" applyBorder="1" applyAlignment="1" applyProtection="1">
      <alignment horizontal="right"/>
      <protection hidden="1"/>
    </xf>
    <xf numFmtId="6" fontId="0" fillId="4" borderId="2" xfId="0" applyNumberFormat="1" applyFill="1" applyBorder="1" applyProtection="1">
      <protection hidden="1"/>
    </xf>
    <xf numFmtId="0" fontId="0" fillId="4" borderId="130" xfId="0" applyFill="1" applyBorder="1" applyProtection="1">
      <protection hidden="1"/>
    </xf>
    <xf numFmtId="6" fontId="0" fillId="4" borderId="10" xfId="0" applyNumberFormat="1" applyFill="1" applyBorder="1" applyProtection="1">
      <protection hidden="1"/>
    </xf>
    <xf numFmtId="8" fontId="0" fillId="4" borderId="130" xfId="0" applyNumberFormat="1" applyFill="1" applyBorder="1" applyProtection="1">
      <protection hidden="1"/>
    </xf>
    <xf numFmtId="0" fontId="0" fillId="4" borderId="10" xfId="0" applyFill="1" applyBorder="1" applyProtection="1">
      <protection hidden="1"/>
    </xf>
    <xf numFmtId="0" fontId="105" fillId="4" borderId="10" xfId="0" applyFont="1" applyFill="1" applyBorder="1" applyAlignment="1" applyProtection="1">
      <alignment horizontal="center" vertical="center"/>
      <protection hidden="1"/>
    </xf>
    <xf numFmtId="0" fontId="0" fillId="4" borderId="10" xfId="0" applyFill="1" applyBorder="1" applyAlignment="1" applyProtection="1">
      <alignment horizontal="center" vertical="center"/>
      <protection hidden="1"/>
    </xf>
    <xf numFmtId="0" fontId="122" fillId="4" borderId="6" xfId="0" applyFont="1" applyFill="1" applyBorder="1" applyAlignment="1" applyProtection="1">
      <alignment horizontal="center" vertical="center"/>
      <protection hidden="1"/>
    </xf>
    <xf numFmtId="8" fontId="122" fillId="4" borderId="152" xfId="0" applyNumberFormat="1" applyFont="1" applyFill="1" applyBorder="1" applyProtection="1">
      <protection hidden="1"/>
    </xf>
    <xf numFmtId="0" fontId="122" fillId="4" borderId="82" xfId="0" applyFont="1" applyFill="1" applyBorder="1" applyProtection="1">
      <protection hidden="1"/>
    </xf>
    <xf numFmtId="8" fontId="0" fillId="4" borderId="130" xfId="0" applyNumberFormat="1" applyFill="1" applyBorder="1" applyAlignment="1" applyProtection="1">
      <alignment horizontal="center"/>
      <protection hidden="1"/>
    </xf>
    <xf numFmtId="0" fontId="104" fillId="4" borderId="83" xfId="0" applyFont="1" applyFill="1" applyBorder="1" applyAlignment="1" applyProtection="1">
      <alignment horizontal="right"/>
      <protection hidden="1"/>
    </xf>
    <xf numFmtId="8" fontId="0" fillId="4" borderId="64" xfId="0" applyNumberFormat="1" applyFill="1" applyBorder="1" applyAlignment="1" applyProtection="1">
      <alignment horizontal="center" vertical="center"/>
      <protection hidden="1"/>
    </xf>
    <xf numFmtId="8" fontId="105" fillId="4" borderId="130" xfId="0" applyNumberFormat="1" applyFont="1" applyFill="1" applyBorder="1" applyAlignment="1" applyProtection="1">
      <alignment horizontal="center" vertical="center"/>
      <protection hidden="1"/>
    </xf>
    <xf numFmtId="8" fontId="105" fillId="4" borderId="12" xfId="0" applyNumberFormat="1" applyFont="1" applyFill="1" applyBorder="1" applyAlignment="1" applyProtection="1">
      <alignment horizontal="center" vertical="center"/>
      <protection hidden="1"/>
    </xf>
    <xf numFmtId="8" fontId="0" fillId="4" borderId="2" xfId="0" applyNumberFormat="1" applyFill="1" applyBorder="1" applyAlignment="1" applyProtection="1">
      <alignment wrapText="1"/>
      <protection hidden="1"/>
    </xf>
    <xf numFmtId="8" fontId="100" fillId="4" borderId="130" xfId="0" applyNumberFormat="1" applyFont="1" applyFill="1" applyBorder="1" applyAlignment="1" applyProtection="1">
      <alignment horizontal="center"/>
      <protection hidden="1"/>
    </xf>
    <xf numFmtId="8" fontId="164" fillId="4" borderId="130" xfId="0" applyNumberFormat="1" applyFont="1" applyFill="1" applyBorder="1" applyAlignment="1" applyProtection="1">
      <alignment horizontal="center"/>
      <protection hidden="1"/>
    </xf>
    <xf numFmtId="8" fontId="105" fillId="4" borderId="2" xfId="0" applyNumberFormat="1" applyFont="1" applyFill="1" applyBorder="1" applyAlignment="1" applyProtection="1">
      <alignment wrapText="1"/>
      <protection hidden="1"/>
    </xf>
    <xf numFmtId="0" fontId="100" fillId="4" borderId="2" xfId="0" applyFont="1" applyFill="1" applyBorder="1" applyProtection="1">
      <protection hidden="1"/>
    </xf>
    <xf numFmtId="0" fontId="0" fillId="4" borderId="106" xfId="0" applyFill="1" applyBorder="1" applyProtection="1">
      <protection hidden="1"/>
    </xf>
    <xf numFmtId="8" fontId="100" fillId="4" borderId="157" xfId="0" applyNumberFormat="1" applyFont="1" applyFill="1" applyBorder="1" applyAlignment="1" applyProtection="1">
      <alignment horizontal="center"/>
      <protection hidden="1"/>
    </xf>
    <xf numFmtId="0" fontId="0" fillId="4" borderId="154" xfId="0" applyFill="1" applyBorder="1" applyProtection="1">
      <protection hidden="1"/>
    </xf>
    <xf numFmtId="8" fontId="164" fillId="4" borderId="3" xfId="0" applyNumberFormat="1" applyFont="1" applyFill="1" applyBorder="1" applyAlignment="1" applyProtection="1">
      <alignment horizontal="center"/>
      <protection hidden="1"/>
    </xf>
    <xf numFmtId="0" fontId="0" fillId="4" borderId="155" xfId="0" applyFill="1" applyBorder="1" applyProtection="1">
      <protection hidden="1"/>
    </xf>
    <xf numFmtId="0" fontId="100" fillId="4" borderId="10" xfId="0" applyFont="1" applyFill="1" applyBorder="1" applyProtection="1">
      <protection hidden="1"/>
    </xf>
    <xf numFmtId="0" fontId="0" fillId="4" borderId="158" xfId="0" applyFill="1" applyBorder="1" applyProtection="1">
      <protection hidden="1"/>
    </xf>
    <xf numFmtId="8" fontId="100" fillId="4" borderId="109" xfId="0" applyNumberFormat="1" applyFont="1" applyFill="1" applyBorder="1" applyAlignment="1" applyProtection="1">
      <alignment horizontal="center"/>
      <protection hidden="1"/>
    </xf>
    <xf numFmtId="0" fontId="0" fillId="0" borderId="2" xfId="0" applyBorder="1" applyAlignment="1">
      <alignment horizontal="center" vertical="center" wrapText="1"/>
    </xf>
    <xf numFmtId="167" fontId="0" fillId="0" borderId="2" xfId="0" applyNumberFormat="1" applyBorder="1" applyAlignment="1">
      <alignment horizontal="center" vertical="center"/>
    </xf>
    <xf numFmtId="0" fontId="64" fillId="18" borderId="2" xfId="0" applyFont="1" applyFill="1" applyBorder="1" applyAlignment="1">
      <alignment horizontal="center" vertical="center"/>
    </xf>
    <xf numFmtId="0" fontId="64" fillId="23" borderId="2" xfId="0" applyFont="1" applyFill="1" applyBorder="1" applyAlignment="1">
      <alignment horizontal="center" vertical="center"/>
    </xf>
    <xf numFmtId="10" fontId="0" fillId="0" borderId="0" xfId="0" applyNumberFormat="1" applyProtection="1">
      <protection locked="0"/>
    </xf>
    <xf numFmtId="14" fontId="104" fillId="4" borderId="3" xfId="0" applyNumberFormat="1" applyFont="1" applyFill="1" applyBorder="1" applyAlignment="1" applyProtection="1">
      <alignment horizontal="center" vertical="center"/>
      <protection hidden="1"/>
    </xf>
    <xf numFmtId="2" fontId="104" fillId="4" borderId="3" xfId="0" applyNumberFormat="1" applyFont="1" applyFill="1" applyBorder="1" applyAlignment="1" applyProtection="1">
      <alignment horizontal="center" vertical="center"/>
      <protection hidden="1"/>
    </xf>
    <xf numFmtId="6" fontId="104" fillId="4" borderId="3" xfId="0" applyNumberFormat="1" applyFont="1" applyFill="1" applyBorder="1" applyAlignment="1" applyProtection="1">
      <alignment horizontal="center" vertical="center"/>
      <protection hidden="1"/>
    </xf>
    <xf numFmtId="190" fontId="0" fillId="0" borderId="0" xfId="0" applyNumberFormat="1"/>
    <xf numFmtId="0" fontId="121" fillId="4" borderId="44" xfId="0" applyFont="1" applyFill="1" applyBorder="1" applyAlignment="1" applyProtection="1">
      <alignment horizontal="center" vertical="center" wrapText="1"/>
      <protection hidden="1"/>
    </xf>
    <xf numFmtId="0" fontId="112" fillId="0" borderId="0" xfId="0" applyFont="1" applyAlignment="1">
      <alignment horizontal="center" vertical="center" wrapText="1"/>
    </xf>
    <xf numFmtId="0" fontId="112" fillId="4" borderId="2" xfId="0" applyFont="1" applyFill="1" applyBorder="1" applyAlignment="1">
      <alignment horizontal="center" vertical="center" wrapText="1"/>
    </xf>
    <xf numFmtId="0" fontId="112" fillId="0" borderId="2" xfId="0" applyFont="1" applyBorder="1" applyAlignment="1">
      <alignment horizontal="center" vertical="center" wrapText="1"/>
    </xf>
    <xf numFmtId="0" fontId="112" fillId="0" borderId="2" xfId="0" applyFont="1" applyBorder="1" applyAlignment="1">
      <alignment horizontal="left" vertical="center" wrapText="1"/>
    </xf>
    <xf numFmtId="14" fontId="102" fillId="0" borderId="2" xfId="0" applyNumberFormat="1" applyFont="1" applyBorder="1" applyAlignment="1">
      <alignment horizontal="center" vertical="center" wrapText="1"/>
    </xf>
    <xf numFmtId="0" fontId="203" fillId="4" borderId="100" xfId="0" applyFont="1" applyFill="1" applyBorder="1" applyAlignment="1" applyProtection="1">
      <alignment horizontal="right" vertical="center" wrapText="1"/>
      <protection hidden="1"/>
    </xf>
    <xf numFmtId="8" fontId="0" fillId="4" borderId="2" xfId="0" applyNumberFormat="1" applyFill="1" applyBorder="1" applyAlignment="1" applyProtection="1">
      <alignment horizontal="center" vertical="center"/>
      <protection hidden="1"/>
    </xf>
    <xf numFmtId="8" fontId="128" fillId="4" borderId="141" xfId="0" applyNumberFormat="1" applyFont="1" applyFill="1" applyBorder="1" applyAlignment="1" applyProtection="1">
      <alignment horizontal="center" vertical="center" wrapText="1"/>
      <protection hidden="1"/>
    </xf>
    <xf numFmtId="10" fontId="0" fillId="0" borderId="2" xfId="3" applyNumberFormat="1" applyFont="1" applyBorder="1" applyAlignment="1" applyProtection="1">
      <alignment horizontal="center" vertical="center"/>
      <protection locked="0"/>
    </xf>
    <xf numFmtId="0" fontId="0" fillId="4" borderId="79" xfId="0" applyFill="1" applyBorder="1" applyAlignment="1">
      <alignment vertical="center"/>
    </xf>
    <xf numFmtId="0" fontId="107" fillId="4" borderId="0" xfId="0" applyFont="1" applyFill="1" applyAlignment="1">
      <alignment vertical="center"/>
    </xf>
    <xf numFmtId="2" fontId="89" fillId="4" borderId="2" xfId="0" applyNumberFormat="1" applyFont="1" applyFill="1" applyBorder="1" applyAlignment="1" applyProtection="1">
      <alignment horizontal="center" vertical="center"/>
      <protection hidden="1"/>
    </xf>
    <xf numFmtId="2" fontId="89" fillId="4" borderId="3" xfId="0" applyNumberFormat="1" applyFont="1" applyFill="1" applyBorder="1" applyAlignment="1" applyProtection="1">
      <alignment horizontal="center" vertical="center"/>
      <protection hidden="1"/>
    </xf>
    <xf numFmtId="185" fontId="100" fillId="0" borderId="11" xfId="0" applyNumberFormat="1" applyFont="1" applyBorder="1" applyAlignment="1" applyProtection="1">
      <alignment horizontal="center" vertical="center"/>
      <protection locked="0"/>
    </xf>
    <xf numFmtId="0" fontId="206" fillId="9" borderId="79" xfId="0" applyFont="1" applyFill="1" applyBorder="1" applyAlignment="1" applyProtection="1">
      <alignment horizontal="center" vertical="center" wrapText="1"/>
      <protection hidden="1"/>
    </xf>
    <xf numFmtId="8" fontId="0" fillId="0" borderId="2" xfId="0" applyNumberFormat="1" applyBorder="1" applyAlignment="1">
      <alignment horizontal="center" vertical="center"/>
    </xf>
    <xf numFmtId="0" fontId="0" fillId="9" borderId="28" xfId="0" applyFill="1" applyBorder="1" applyAlignment="1" applyProtection="1">
      <alignment vertical="center"/>
      <protection hidden="1"/>
    </xf>
    <xf numFmtId="0" fontId="76" fillId="0" borderId="65" xfId="0" applyFont="1" applyBorder="1" applyAlignment="1" applyProtection="1">
      <alignment horizontal="right" vertical="center" wrapText="1"/>
      <protection hidden="1"/>
    </xf>
    <xf numFmtId="8" fontId="76" fillId="0" borderId="112" xfId="3" applyNumberFormat="1" applyFont="1" applyBorder="1" applyAlignment="1" applyProtection="1">
      <alignment horizontal="center" vertical="center" wrapText="1"/>
      <protection hidden="1"/>
    </xf>
    <xf numFmtId="0" fontId="100" fillId="4" borderId="65" xfId="0" applyFont="1" applyFill="1" applyBorder="1" applyAlignment="1" applyProtection="1">
      <alignment vertical="center"/>
      <protection hidden="1"/>
    </xf>
    <xf numFmtId="0" fontId="0" fillId="4" borderId="128" xfId="0" applyFill="1" applyBorder="1" applyAlignment="1" applyProtection="1">
      <alignment vertical="center"/>
      <protection hidden="1"/>
    </xf>
    <xf numFmtId="0" fontId="166" fillId="4" borderId="124" xfId="2" applyNumberFormat="1" applyFont="1" applyFill="1" applyBorder="1" applyAlignment="1" applyProtection="1">
      <alignment horizontal="center" vertical="center"/>
      <protection hidden="1"/>
    </xf>
    <xf numFmtId="0" fontId="166" fillId="4" borderId="20" xfId="2" applyNumberFormat="1" applyFont="1" applyFill="1" applyBorder="1" applyAlignment="1" applyProtection="1">
      <alignment horizontal="center" vertical="center"/>
      <protection hidden="1"/>
    </xf>
    <xf numFmtId="0" fontId="170" fillId="0" borderId="0" xfId="2" applyNumberFormat="1" applyFont="1" applyBorder="1" applyAlignment="1" applyProtection="1">
      <alignment vertical="center" wrapText="1"/>
    </xf>
    <xf numFmtId="0" fontId="121" fillId="4" borderId="2" xfId="0" applyFont="1" applyFill="1" applyBorder="1" applyAlignment="1" applyProtection="1">
      <alignment horizontal="center" vertical="center" wrapText="1"/>
      <protection locked="0"/>
    </xf>
    <xf numFmtId="0" fontId="100" fillId="4" borderId="2" xfId="0" applyFont="1" applyFill="1" applyBorder="1" applyAlignment="1" applyProtection="1">
      <alignment horizontal="center" vertical="center" wrapText="1"/>
      <protection locked="0"/>
    </xf>
    <xf numFmtId="0" fontId="102" fillId="0" borderId="0" xfId="0" applyFont="1" applyAlignment="1">
      <alignment vertical="center" wrapText="1"/>
    </xf>
    <xf numFmtId="0" fontId="107" fillId="0" borderId="0" xfId="0" applyFont="1" applyAlignment="1">
      <alignment vertical="center" wrapText="1"/>
    </xf>
    <xf numFmtId="8" fontId="86" fillId="2" borderId="36" xfId="8" applyNumberFormat="1" applyFont="1" applyFill="1" applyBorder="1" applyAlignment="1" applyProtection="1">
      <alignment horizontal="center" vertical="center" wrapText="1"/>
      <protection locked="0"/>
    </xf>
    <xf numFmtId="0" fontId="102" fillId="4" borderId="0" xfId="0" applyFont="1" applyFill="1" applyAlignment="1">
      <alignment vertical="center"/>
    </xf>
    <xf numFmtId="8" fontId="102" fillId="18" borderId="2" xfId="0" applyNumberFormat="1" applyFont="1" applyFill="1" applyBorder="1" applyAlignment="1">
      <alignment vertical="center"/>
    </xf>
    <xf numFmtId="8" fontId="102" fillId="23" borderId="2" xfId="0" applyNumberFormat="1" applyFont="1" applyFill="1" applyBorder="1" applyAlignment="1">
      <alignment vertical="center"/>
    </xf>
    <xf numFmtId="0" fontId="213" fillId="0" borderId="2" xfId="0" applyFont="1" applyBorder="1" applyAlignment="1" applyProtection="1">
      <alignment horizontal="center" vertical="center"/>
      <protection locked="0"/>
    </xf>
    <xf numFmtId="8" fontId="213" fillId="0" borderId="2" xfId="0" applyNumberFormat="1" applyFont="1" applyBorder="1" applyAlignment="1" applyProtection="1">
      <alignment horizontal="center" vertical="center"/>
      <protection locked="0"/>
    </xf>
    <xf numFmtId="0" fontId="102" fillId="0" borderId="2" xfId="0" applyFont="1" applyBorder="1" applyAlignment="1">
      <alignment horizontal="center" vertical="center"/>
    </xf>
    <xf numFmtId="6" fontId="102" fillId="18" borderId="2" xfId="0" applyNumberFormat="1" applyFont="1" applyFill="1" applyBorder="1" applyAlignment="1">
      <alignment vertical="center"/>
    </xf>
    <xf numFmtId="14" fontId="212" fillId="0" borderId="2" xfId="0" applyNumberFormat="1" applyFont="1" applyBorder="1" applyAlignment="1" applyProtection="1">
      <alignment horizontal="center" vertical="center"/>
      <protection locked="0" hidden="1"/>
    </xf>
    <xf numFmtId="0" fontId="102" fillId="4" borderId="0" xfId="0" applyFont="1" applyFill="1" applyAlignment="1">
      <alignment horizontal="center"/>
    </xf>
    <xf numFmtId="0" fontId="0" fillId="4" borderId="68" xfId="0" applyFill="1" applyBorder="1" applyAlignment="1" applyProtection="1">
      <alignment horizontal="left" vertical="center"/>
      <protection hidden="1"/>
    </xf>
    <xf numFmtId="0" fontId="105" fillId="4" borderId="16" xfId="0" applyFont="1" applyFill="1" applyBorder="1" applyAlignment="1" applyProtection="1">
      <alignment horizontal="center" vertical="center" wrapText="1"/>
      <protection hidden="1"/>
    </xf>
    <xf numFmtId="4" fontId="0" fillId="0" borderId="87" xfId="0" applyNumberFormat="1" applyBorder="1"/>
    <xf numFmtId="10" fontId="0" fillId="0" borderId="87" xfId="3" applyNumberFormat="1" applyFont="1" applyFill="1" applyBorder="1" applyAlignment="1">
      <alignment horizontal="center"/>
    </xf>
    <xf numFmtId="10" fontId="0" fillId="0" borderId="62" xfId="3" applyNumberFormat="1" applyFont="1" applyFill="1" applyBorder="1" applyAlignment="1">
      <alignment horizontal="center"/>
    </xf>
    <xf numFmtId="14" fontId="100" fillId="0" borderId="4" xfId="0" applyNumberFormat="1" applyFont="1" applyBorder="1" applyAlignment="1">
      <alignment horizontal="center"/>
    </xf>
    <xf numFmtId="14" fontId="100" fillId="0" borderId="186" xfId="0" applyNumberFormat="1" applyFont="1" applyBorder="1" applyAlignment="1">
      <alignment horizontal="center"/>
    </xf>
    <xf numFmtId="175" fontId="0" fillId="0" borderId="4" xfId="0" applyNumberFormat="1" applyBorder="1" applyAlignment="1">
      <alignment horizontal="center" wrapText="1"/>
    </xf>
    <xf numFmtId="0" fontId="214" fillId="0" borderId="0" xfId="0" applyFont="1"/>
    <xf numFmtId="0" fontId="63" fillId="4" borderId="20" xfId="2" applyNumberFormat="1" applyFill="1" applyBorder="1" applyAlignment="1" applyProtection="1">
      <alignment horizontal="center" vertical="center" wrapText="1"/>
    </xf>
    <xf numFmtId="0" fontId="96" fillId="4" borderId="65" xfId="0" applyFont="1" applyFill="1" applyBorder="1" applyAlignment="1" applyProtection="1">
      <alignment horizontal="center" vertical="center" wrapText="1"/>
      <protection hidden="1"/>
    </xf>
    <xf numFmtId="10" fontId="100" fillId="0" borderId="3" xfId="3" applyNumberFormat="1" applyFont="1" applyFill="1" applyBorder="1" applyAlignment="1" applyProtection="1">
      <alignment horizontal="center" vertical="center" wrapText="1"/>
      <protection locked="0"/>
    </xf>
    <xf numFmtId="0" fontId="0" fillId="4" borderId="2" xfId="0" applyFill="1" applyBorder="1" applyAlignment="1">
      <alignment vertical="center"/>
    </xf>
    <xf numFmtId="0" fontId="0" fillId="0" borderId="3" xfId="0" applyBorder="1" applyAlignment="1">
      <alignment vertical="center"/>
    </xf>
    <xf numFmtId="0" fontId="77" fillId="4" borderId="15" xfId="0" applyFont="1" applyFill="1" applyBorder="1" applyProtection="1">
      <protection hidden="1"/>
    </xf>
    <xf numFmtId="0" fontId="77" fillId="4" borderId="15" xfId="0" applyFont="1" applyFill="1" applyBorder="1"/>
    <xf numFmtId="0" fontId="106" fillId="23" borderId="2" xfId="0" applyFont="1" applyFill="1" applyBorder="1" applyAlignment="1">
      <alignment horizontal="center" vertical="center"/>
    </xf>
    <xf numFmtId="0" fontId="106" fillId="18" borderId="2" xfId="0" applyFont="1" applyFill="1" applyBorder="1" applyAlignment="1">
      <alignment horizontal="center" vertical="center"/>
    </xf>
    <xf numFmtId="0" fontId="102" fillId="4" borderId="0" xfId="0" applyFont="1" applyFill="1" applyAlignment="1">
      <alignment vertical="center" textRotation="180"/>
    </xf>
    <xf numFmtId="6" fontId="102" fillId="0" borderId="41" xfId="0" applyNumberFormat="1" applyFont="1" applyBorder="1" applyAlignment="1" applyProtection="1">
      <alignment horizontal="center" vertical="center"/>
      <protection locked="0"/>
    </xf>
    <xf numFmtId="8" fontId="0" fillId="0" borderId="0" xfId="0" applyNumberFormat="1" applyAlignment="1">
      <alignment horizontal="center"/>
    </xf>
    <xf numFmtId="8" fontId="0" fillId="0" borderId="2" xfId="0" applyNumberFormat="1" applyBorder="1" applyAlignment="1" applyProtection="1">
      <alignment horizontal="center"/>
      <protection locked="0"/>
    </xf>
    <xf numFmtId="6" fontId="105" fillId="4" borderId="3" xfId="0" applyNumberFormat="1" applyFont="1" applyFill="1" applyBorder="1" applyAlignment="1" applyProtection="1">
      <alignment horizontal="center" vertical="center"/>
      <protection hidden="1"/>
    </xf>
    <xf numFmtId="10" fontId="105" fillId="0" borderId="2" xfId="3" applyNumberFormat="1" applyFont="1" applyFill="1" applyBorder="1" applyAlignment="1" applyProtection="1">
      <alignment horizontal="center" vertical="center"/>
      <protection locked="0"/>
    </xf>
    <xf numFmtId="0" fontId="0" fillId="4" borderId="68" xfId="0" applyFill="1" applyBorder="1" applyAlignment="1" applyProtection="1">
      <alignment horizontal="right" vertical="center"/>
      <protection hidden="1"/>
    </xf>
    <xf numFmtId="0" fontId="176" fillId="4" borderId="0" xfId="0" applyFont="1" applyFill="1" applyAlignment="1">
      <alignment horizontal="left" wrapText="1"/>
    </xf>
    <xf numFmtId="0" fontId="58" fillId="4" borderId="115" xfId="0" applyFont="1" applyFill="1" applyBorder="1" applyAlignment="1" applyProtection="1">
      <alignment horizontal="center" wrapText="1"/>
      <protection hidden="1"/>
    </xf>
    <xf numFmtId="0" fontId="90" fillId="4" borderId="193" xfId="0" applyFont="1" applyFill="1" applyBorder="1" applyAlignment="1">
      <alignment horizontal="center"/>
    </xf>
    <xf numFmtId="14" fontId="106" fillId="3" borderId="13" xfId="0" applyNumberFormat="1" applyFont="1" applyFill="1" applyBorder="1" applyAlignment="1" applyProtection="1">
      <alignment horizontal="center" vertical="center"/>
      <protection hidden="1"/>
    </xf>
    <xf numFmtId="0" fontId="0" fillId="12" borderId="45" xfId="0" applyFill="1" applyBorder="1" applyAlignment="1" applyProtection="1">
      <alignment vertical="center"/>
      <protection hidden="1"/>
    </xf>
    <xf numFmtId="0" fontId="0" fillId="4" borderId="45" xfId="0" applyFill="1" applyBorder="1" applyAlignment="1" applyProtection="1">
      <alignment vertical="center"/>
      <protection hidden="1"/>
    </xf>
    <xf numFmtId="0" fontId="63" fillId="4" borderId="18" xfId="2" applyNumberFormat="1" applyFill="1" applyBorder="1" applyAlignment="1" applyProtection="1">
      <alignment vertical="center"/>
      <protection hidden="1"/>
    </xf>
    <xf numFmtId="14" fontId="219" fillId="0" borderId="2" xfId="0" applyNumberFormat="1" applyFont="1" applyBorder="1" applyAlignment="1" applyProtection="1">
      <alignment horizontal="center" vertical="center"/>
      <protection locked="0"/>
    </xf>
    <xf numFmtId="0" fontId="105" fillId="4" borderId="25" xfId="0" applyFont="1" applyFill="1" applyBorder="1" applyAlignment="1" applyProtection="1">
      <alignment horizontal="right" vertical="center" wrapText="1"/>
      <protection hidden="1"/>
    </xf>
    <xf numFmtId="0" fontId="139" fillId="12" borderId="17" xfId="0" applyFont="1" applyFill="1" applyBorder="1" applyAlignment="1" applyProtection="1">
      <alignment vertical="center" wrapText="1"/>
      <protection hidden="1"/>
    </xf>
    <xf numFmtId="14" fontId="102" fillId="4" borderId="2" xfId="0" applyNumberFormat="1" applyFont="1" applyFill="1" applyBorder="1" applyAlignment="1" applyProtection="1">
      <alignment horizontal="center" vertical="center"/>
      <protection hidden="1"/>
    </xf>
    <xf numFmtId="0" fontId="0" fillId="4" borderId="3" xfId="0" applyFill="1" applyBorder="1" applyAlignment="1">
      <alignment vertical="center"/>
    </xf>
    <xf numFmtId="14" fontId="0" fillId="4" borderId="21" xfId="0" applyNumberFormat="1" applyFill="1" applyBorder="1" applyAlignment="1" applyProtection="1">
      <alignment horizontal="center"/>
      <protection hidden="1"/>
    </xf>
    <xf numFmtId="0" fontId="0" fillId="4" borderId="6" xfId="0" applyFill="1" applyBorder="1" applyProtection="1">
      <protection hidden="1"/>
    </xf>
    <xf numFmtId="0" fontId="104" fillId="4" borderId="80" xfId="0" applyFont="1" applyFill="1" applyBorder="1" applyAlignment="1" applyProtection="1">
      <alignment horizontal="right"/>
      <protection hidden="1"/>
    </xf>
    <xf numFmtId="8" fontId="0" fillId="4" borderId="86" xfId="0" applyNumberFormat="1" applyFill="1" applyBorder="1" applyAlignment="1" applyProtection="1">
      <alignment horizontal="center" vertical="center"/>
      <protection hidden="1"/>
    </xf>
    <xf numFmtId="0" fontId="0" fillId="4" borderId="117" xfId="0" applyFill="1" applyBorder="1" applyAlignment="1" applyProtection="1">
      <alignment horizontal="right"/>
      <protection hidden="1"/>
    </xf>
    <xf numFmtId="0" fontId="100" fillId="4" borderId="24" xfId="0" applyFont="1" applyFill="1" applyBorder="1" applyAlignment="1" applyProtection="1">
      <alignment horizontal="left"/>
      <protection hidden="1"/>
    </xf>
    <xf numFmtId="14" fontId="0" fillId="4" borderId="130" xfId="0" applyNumberFormat="1" applyFill="1" applyBorder="1" applyAlignment="1" applyProtection="1">
      <alignment horizontal="center"/>
      <protection hidden="1"/>
    </xf>
    <xf numFmtId="14" fontId="0" fillId="0" borderId="170" xfId="0" applyNumberFormat="1" applyBorder="1" applyAlignment="1" applyProtection="1">
      <alignment horizontal="center"/>
      <protection locked="0"/>
    </xf>
    <xf numFmtId="9" fontId="100" fillId="4" borderId="0" xfId="0" applyNumberFormat="1" applyFont="1" applyFill="1" applyAlignment="1">
      <alignment horizontal="center" vertical="center"/>
    </xf>
    <xf numFmtId="14" fontId="0" fillId="4" borderId="3" xfId="0" applyNumberFormat="1" applyFill="1" applyBorder="1" applyAlignment="1" applyProtection="1">
      <alignment horizontal="center"/>
      <protection hidden="1"/>
    </xf>
    <xf numFmtId="177" fontId="220" fillId="0" borderId="2" xfId="3" applyNumberFormat="1" applyFont="1" applyBorder="1"/>
    <xf numFmtId="176" fontId="220" fillId="0" borderId="2" xfId="3" applyNumberFormat="1" applyFont="1" applyBorder="1" applyAlignment="1">
      <alignment horizontal="center" vertical="center"/>
    </xf>
    <xf numFmtId="0" fontId="211" fillId="0" borderId="2" xfId="0" applyFont="1" applyBorder="1" applyAlignment="1">
      <alignment horizontal="center" vertical="center"/>
    </xf>
    <xf numFmtId="0" fontId="222" fillId="27" borderId="201" xfId="0" applyFont="1" applyFill="1" applyBorder="1" applyAlignment="1">
      <alignment horizontal="right" vertical="center"/>
    </xf>
    <xf numFmtId="0" fontId="211" fillId="0" borderId="204" xfId="0" applyFont="1" applyBorder="1"/>
    <xf numFmtId="0" fontId="102" fillId="0" borderId="2" xfId="0" applyFont="1" applyBorder="1" applyAlignment="1">
      <alignment horizontal="center"/>
    </xf>
    <xf numFmtId="0" fontId="102" fillId="0" borderId="2" xfId="0" applyFont="1" applyBorder="1" applyAlignment="1">
      <alignment horizontal="center" wrapText="1"/>
    </xf>
    <xf numFmtId="9" fontId="102" fillId="0" borderId="2" xfId="0" applyNumberFormat="1" applyFont="1" applyBorder="1" applyAlignment="1">
      <alignment horizontal="center"/>
    </xf>
    <xf numFmtId="0" fontId="102" fillId="0" borderId="2" xfId="0" applyFont="1" applyBorder="1"/>
    <xf numFmtId="0" fontId="211" fillId="0" borderId="10" xfId="0" applyFont="1" applyBorder="1"/>
    <xf numFmtId="14" fontId="221" fillId="0" borderId="2" xfId="0" applyNumberFormat="1" applyFont="1" applyBorder="1" applyAlignment="1">
      <alignment horizontal="center"/>
    </xf>
    <xf numFmtId="9" fontId="221" fillId="0" borderId="2" xfId="0" applyNumberFormat="1" applyFont="1" applyBorder="1" applyAlignment="1">
      <alignment horizontal="center"/>
    </xf>
    <xf numFmtId="14" fontId="211" fillId="0" borderId="10" xfId="0" applyNumberFormat="1" applyFont="1" applyBorder="1" applyAlignment="1">
      <alignment horizontal="center" vertical="center"/>
    </xf>
    <xf numFmtId="10" fontId="221" fillId="0" borderId="2" xfId="0" applyNumberFormat="1" applyFont="1" applyBorder="1" applyAlignment="1">
      <alignment horizontal="center"/>
    </xf>
    <xf numFmtId="10" fontId="102" fillId="0" borderId="2" xfId="0" applyNumberFormat="1" applyFont="1" applyBorder="1" applyAlignment="1">
      <alignment horizontal="center"/>
    </xf>
    <xf numFmtId="176" fontId="102" fillId="0" borderId="2" xfId="3" applyNumberFormat="1" applyFont="1" applyFill="1" applyBorder="1" applyAlignment="1">
      <alignment horizontal="center"/>
    </xf>
    <xf numFmtId="0" fontId="221" fillId="0" borderId="2" xfId="0" applyFont="1" applyBorder="1" applyAlignment="1">
      <alignment horizontal="center"/>
    </xf>
    <xf numFmtId="0" fontId="211" fillId="0" borderId="10" xfId="0" applyFont="1" applyBorder="1" applyAlignment="1">
      <alignment horizontal="center" vertical="center"/>
    </xf>
    <xf numFmtId="167" fontId="102" fillId="0" borderId="0" xfId="0" applyNumberFormat="1" applyFont="1"/>
    <xf numFmtId="14" fontId="222" fillId="0" borderId="198" xfId="0" applyNumberFormat="1" applyFont="1" applyBorder="1" applyAlignment="1">
      <alignment horizontal="left" vertical="top"/>
    </xf>
    <xf numFmtId="0" fontId="222" fillId="0" borderId="199" xfId="0" applyFont="1" applyBorder="1" applyAlignment="1">
      <alignment horizontal="right" vertical="center"/>
    </xf>
    <xf numFmtId="0" fontId="222" fillId="0" borderId="200" xfId="0" applyFont="1" applyBorder="1" applyAlignment="1">
      <alignment horizontal="right" vertical="center"/>
    </xf>
    <xf numFmtId="0" fontId="222" fillId="0" borderId="202" xfId="0" applyFont="1" applyBorder="1" applyAlignment="1">
      <alignment horizontal="right" vertical="center"/>
    </xf>
    <xf numFmtId="0" fontId="211" fillId="0" borderId="203" xfId="0" applyFont="1" applyBorder="1"/>
    <xf numFmtId="0" fontId="107" fillId="4" borderId="23" xfId="0" applyFont="1" applyFill="1" applyBorder="1" applyProtection="1">
      <protection hidden="1"/>
    </xf>
    <xf numFmtId="179" fontId="0" fillId="0" borderId="2" xfId="0" applyNumberFormat="1" applyBorder="1" applyAlignment="1">
      <alignment horizontal="center" vertical="center"/>
    </xf>
    <xf numFmtId="6" fontId="102" fillId="4" borderId="0" xfId="0" applyNumberFormat="1" applyFont="1" applyFill="1" applyAlignment="1">
      <alignment vertical="center"/>
    </xf>
    <xf numFmtId="178" fontId="125" fillId="0" borderId="0" xfId="0" applyNumberFormat="1" applyFont="1" applyAlignment="1">
      <alignment horizontal="center" vertical="center"/>
    </xf>
    <xf numFmtId="178" fontId="52" fillId="0" borderId="0" xfId="0" applyNumberFormat="1" applyFont="1" applyAlignment="1">
      <alignment horizontal="center"/>
    </xf>
    <xf numFmtId="178" fontId="127" fillId="0" borderId="0" xfId="0" applyNumberFormat="1" applyFont="1" applyAlignment="1">
      <alignment horizontal="center"/>
    </xf>
    <xf numFmtId="178" fontId="53" fillId="0" borderId="0" xfId="0" applyNumberFormat="1" applyFont="1" applyAlignment="1">
      <alignment horizontal="center"/>
    </xf>
    <xf numFmtId="10" fontId="99" fillId="4" borderId="2" xfId="3" applyNumberFormat="1" applyFont="1" applyFill="1" applyBorder="1" applyAlignment="1" applyProtection="1">
      <alignment horizontal="center" vertical="center"/>
      <protection hidden="1"/>
    </xf>
    <xf numFmtId="0" fontId="0" fillId="4" borderId="4" xfId="0" quotePrefix="1" applyFill="1" applyBorder="1" applyAlignment="1" applyProtection="1">
      <alignment horizontal="right" vertical="center"/>
      <protection hidden="1"/>
    </xf>
    <xf numFmtId="0" fontId="0" fillId="4" borderId="30" xfId="0" applyFill="1" applyBorder="1" applyAlignment="1" applyProtection="1">
      <alignment horizontal="left" vertical="center"/>
      <protection hidden="1"/>
    </xf>
    <xf numFmtId="0" fontId="0" fillId="4" borderId="56" xfId="0" applyFill="1" applyBorder="1" applyAlignment="1" applyProtection="1">
      <alignment horizontal="left" vertical="center"/>
      <protection hidden="1"/>
    </xf>
    <xf numFmtId="14" fontId="100" fillId="0" borderId="0" xfId="0" applyNumberFormat="1" applyFont="1" applyAlignment="1" applyProtection="1">
      <alignment horizontal="center" vertical="center" wrapText="1"/>
      <protection locked="0"/>
    </xf>
    <xf numFmtId="14" fontId="154" fillId="4" borderId="197" xfId="0" applyNumberFormat="1" applyFont="1" applyFill="1" applyBorder="1" applyAlignment="1" applyProtection="1">
      <alignment horizontal="center" vertical="center"/>
      <protection hidden="1"/>
    </xf>
    <xf numFmtId="0" fontId="0" fillId="3" borderId="4" xfId="0" applyFill="1" applyBorder="1" applyAlignment="1">
      <alignment vertical="center"/>
    </xf>
    <xf numFmtId="0" fontId="0" fillId="3" borderId="68" xfId="0" applyFill="1" applyBorder="1" applyAlignment="1">
      <alignment vertical="center"/>
    </xf>
    <xf numFmtId="0" fontId="0" fillId="0" borderId="19" xfId="0" applyBorder="1" applyAlignment="1" applyProtection="1">
      <alignment vertical="center"/>
      <protection locked="0"/>
    </xf>
    <xf numFmtId="0" fontId="0" fillId="3" borderId="2" xfId="0" applyFill="1" applyBorder="1" applyAlignment="1">
      <alignment vertical="center"/>
    </xf>
    <xf numFmtId="0" fontId="100" fillId="4" borderId="30" xfId="0" applyFont="1" applyFill="1" applyBorder="1" applyAlignment="1" applyProtection="1">
      <alignment horizontal="left" vertical="center"/>
      <protection hidden="1"/>
    </xf>
    <xf numFmtId="0" fontId="100" fillId="4" borderId="57" xfId="0" applyFont="1" applyFill="1" applyBorder="1" applyAlignment="1" applyProtection="1">
      <alignment horizontal="left" vertical="center"/>
      <protection hidden="1"/>
    </xf>
    <xf numFmtId="1" fontId="0" fillId="0" borderId="0" xfId="0" quotePrefix="1" applyNumberFormat="1" applyAlignment="1">
      <alignment vertical="center"/>
    </xf>
    <xf numFmtId="8" fontId="0" fillId="0" borderId="2" xfId="0" applyNumberFormat="1" applyBorder="1" applyAlignment="1">
      <alignment vertical="center"/>
    </xf>
    <xf numFmtId="14" fontId="212" fillId="0" borderId="130" xfId="0" applyNumberFormat="1" applyFont="1" applyBorder="1" applyAlignment="1" applyProtection="1">
      <alignment horizontal="center" vertical="center"/>
      <protection locked="0"/>
    </xf>
    <xf numFmtId="0" fontId="106" fillId="23" borderId="130" xfId="0" applyFont="1" applyFill="1" applyBorder="1" applyAlignment="1">
      <alignment horizontal="center" vertical="center"/>
    </xf>
    <xf numFmtId="8" fontId="0" fillId="0" borderId="2" xfId="0" applyNumberFormat="1" applyBorder="1" applyAlignment="1">
      <alignment vertical="center" wrapText="1"/>
    </xf>
    <xf numFmtId="167" fontId="0" fillId="0" borderId="2" xfId="0" applyNumberFormat="1" applyBorder="1"/>
    <xf numFmtId="10" fontId="0" fillId="0" borderId="2" xfId="0" applyNumberFormat="1" applyBorder="1"/>
    <xf numFmtId="183" fontId="0" fillId="0" borderId="2" xfId="0" applyNumberFormat="1" applyBorder="1"/>
    <xf numFmtId="14" fontId="0" fillId="4" borderId="141" xfId="0" applyNumberFormat="1" applyFill="1" applyBorder="1" applyAlignment="1" applyProtection="1">
      <alignment horizontal="center" vertical="center"/>
      <protection hidden="1"/>
    </xf>
    <xf numFmtId="14" fontId="106" fillId="4" borderId="22" xfId="0" applyNumberFormat="1" applyFont="1" applyFill="1" applyBorder="1" applyAlignment="1" applyProtection="1">
      <alignment horizontal="center" vertical="center" wrapText="1"/>
      <protection hidden="1"/>
    </xf>
    <xf numFmtId="0" fontId="100" fillId="4" borderId="63" xfId="0" applyFont="1" applyFill="1" applyBorder="1" applyAlignment="1" applyProtection="1">
      <alignment horizontal="right" vertical="center" wrapText="1"/>
      <protection hidden="1"/>
    </xf>
    <xf numFmtId="14" fontId="90" fillId="4" borderId="3" xfId="0" applyNumberFormat="1" applyFont="1" applyFill="1" applyBorder="1" applyAlignment="1" applyProtection="1">
      <alignment horizontal="center" vertical="center" wrapText="1"/>
      <protection locked="0"/>
    </xf>
    <xf numFmtId="181" fontId="0" fillId="4" borderId="100" xfId="0" applyNumberFormat="1" applyFill="1" applyBorder="1" applyAlignment="1" applyProtection="1">
      <alignment horizontal="center" vertical="center"/>
      <protection hidden="1"/>
    </xf>
    <xf numFmtId="181" fontId="0" fillId="4" borderId="141" xfId="0" applyNumberFormat="1" applyFill="1" applyBorder="1" applyAlignment="1" applyProtection="1">
      <alignment horizontal="center" vertical="center"/>
      <protection hidden="1"/>
    </xf>
    <xf numFmtId="181" fontId="128" fillId="4" borderId="135" xfId="0" applyNumberFormat="1" applyFont="1" applyFill="1" applyBorder="1" applyAlignment="1" applyProtection="1">
      <alignment horizontal="center" vertical="center"/>
      <protection hidden="1"/>
    </xf>
    <xf numFmtId="181" fontId="0" fillId="4" borderId="9" xfId="0" applyNumberFormat="1" applyFill="1" applyBorder="1" applyAlignment="1">
      <alignment horizontal="center" vertical="center"/>
    </xf>
    <xf numFmtId="181" fontId="0" fillId="4" borderId="2" xfId="0" applyNumberFormat="1" applyFill="1" applyBorder="1" applyAlignment="1">
      <alignment horizontal="center" vertical="center"/>
    </xf>
    <xf numFmtId="181" fontId="0" fillId="4" borderId="130" xfId="0" applyNumberFormat="1" applyFill="1" applyBorder="1" applyAlignment="1">
      <alignment horizontal="center" vertical="center"/>
    </xf>
    <xf numFmtId="172" fontId="0" fillId="0" borderId="2" xfId="0" applyNumberFormat="1" applyBorder="1" applyProtection="1">
      <protection locked="0"/>
    </xf>
    <xf numFmtId="0" fontId="0" fillId="0" borderId="2" xfId="0" applyBorder="1" applyAlignment="1" applyProtection="1">
      <alignment vertical="center"/>
      <protection locked="0"/>
    </xf>
    <xf numFmtId="182" fontId="0" fillId="0" borderId="2" xfId="0" applyNumberFormat="1" applyBorder="1" applyAlignment="1">
      <alignment vertical="center"/>
    </xf>
    <xf numFmtId="0" fontId="0" fillId="0" borderId="12" xfId="0" applyBorder="1" applyAlignment="1">
      <alignment vertical="center"/>
    </xf>
    <xf numFmtId="0" fontId="0" fillId="0" borderId="12" xfId="0" applyBorder="1" applyAlignment="1" applyProtection="1">
      <alignment vertical="center"/>
      <protection locked="0"/>
    </xf>
    <xf numFmtId="182" fontId="0" fillId="0" borderId="12" xfId="0" applyNumberFormat="1" applyBorder="1" applyAlignment="1">
      <alignment vertical="center"/>
    </xf>
    <xf numFmtId="0" fontId="0" fillId="0" borderId="24" xfId="0" applyBorder="1" applyAlignment="1">
      <alignment vertical="center"/>
    </xf>
    <xf numFmtId="165" fontId="0" fillId="0" borderId="21" xfId="0" applyNumberFormat="1" applyBorder="1" applyAlignment="1" applyProtection="1">
      <alignment vertical="center"/>
      <protection locked="0"/>
    </xf>
    <xf numFmtId="0" fontId="0" fillId="0" borderId="21" xfId="0" applyBorder="1" applyAlignment="1">
      <alignment vertical="center"/>
    </xf>
    <xf numFmtId="0" fontId="0" fillId="0" borderId="5" xfId="0" applyBorder="1" applyAlignment="1">
      <alignment vertical="center"/>
    </xf>
    <xf numFmtId="165" fontId="0" fillId="0" borderId="6" xfId="0" applyNumberFormat="1" applyBorder="1" applyAlignment="1" applyProtection="1">
      <alignment vertical="center"/>
      <protection locked="0"/>
    </xf>
    <xf numFmtId="0" fontId="0" fillId="0" borderId="6" xfId="0" applyBorder="1" applyAlignment="1">
      <alignment vertical="center"/>
    </xf>
    <xf numFmtId="0" fontId="0" fillId="4" borderId="10" xfId="0" applyFill="1" applyBorder="1" applyAlignment="1" applyProtection="1">
      <alignment vertical="center"/>
      <protection hidden="1"/>
    </xf>
    <xf numFmtId="8" fontId="115" fillId="0" borderId="2" xfId="0" applyNumberFormat="1" applyFont="1" applyBorder="1" applyAlignment="1" applyProtection="1">
      <alignment vertical="center"/>
      <protection locked="0"/>
    </xf>
    <xf numFmtId="0" fontId="100" fillId="0" borderId="0" xfId="0" quotePrefix="1" applyFont="1"/>
    <xf numFmtId="167" fontId="0" fillId="0" borderId="2" xfId="0" applyNumberFormat="1" applyBorder="1" applyAlignment="1">
      <alignment vertical="center"/>
    </xf>
    <xf numFmtId="14" fontId="89" fillId="4" borderId="2" xfId="0" applyNumberFormat="1" applyFont="1" applyFill="1" applyBorder="1" applyAlignment="1" applyProtection="1">
      <alignment horizontal="center" vertical="center"/>
      <protection locked="0" hidden="1"/>
    </xf>
    <xf numFmtId="14" fontId="0" fillId="0" borderId="83" xfId="0" applyNumberFormat="1" applyBorder="1" applyAlignment="1" applyProtection="1">
      <alignment horizontal="center"/>
      <protection locked="0"/>
    </xf>
    <xf numFmtId="0" fontId="148" fillId="9" borderId="57" xfId="2" applyNumberFormat="1" applyFont="1" applyFill="1" applyBorder="1" applyAlignment="1" applyProtection="1">
      <alignment horizontal="center" vertical="center" wrapText="1"/>
      <protection hidden="1"/>
    </xf>
    <xf numFmtId="14" fontId="102" fillId="23" borderId="207" xfId="0" applyNumberFormat="1" applyFont="1" applyFill="1" applyBorder="1" applyAlignment="1" applyProtection="1">
      <alignment horizontal="center" vertical="center"/>
      <protection hidden="1"/>
    </xf>
    <xf numFmtId="0" fontId="102" fillId="18" borderId="2" xfId="0" applyFont="1" applyFill="1" applyBorder="1" applyAlignment="1" applyProtection="1">
      <alignment horizontal="center" vertical="center"/>
      <protection hidden="1"/>
    </xf>
    <xf numFmtId="0" fontId="102" fillId="23" borderId="2" xfId="0" applyFont="1" applyFill="1" applyBorder="1" applyAlignment="1" applyProtection="1">
      <alignment horizontal="center" vertical="center"/>
      <protection hidden="1"/>
    </xf>
    <xf numFmtId="0" fontId="102" fillId="23" borderId="130" xfId="0" applyFont="1" applyFill="1" applyBorder="1" applyAlignment="1" applyProtection="1">
      <alignment horizontal="center" vertical="center"/>
      <protection hidden="1"/>
    </xf>
    <xf numFmtId="14" fontId="86" fillId="4" borderId="208" xfId="0" applyNumberFormat="1" applyFont="1" applyFill="1" applyBorder="1" applyAlignment="1" applyProtection="1">
      <alignment horizontal="center" vertical="center"/>
      <protection hidden="1"/>
    </xf>
    <xf numFmtId="14" fontId="0" fillId="0" borderId="48" xfId="0" applyNumberFormat="1" applyBorder="1" applyAlignment="1" applyProtection="1">
      <alignment horizontal="center" vertical="center"/>
      <protection locked="0"/>
    </xf>
    <xf numFmtId="14" fontId="154" fillId="0" borderId="197" xfId="0" applyNumberFormat="1" applyFont="1" applyBorder="1" applyAlignment="1" applyProtection="1">
      <alignment horizontal="center" vertical="center"/>
      <protection locked="0"/>
    </xf>
    <xf numFmtId="14" fontId="0" fillId="4" borderId="2" xfId="0" applyNumberFormat="1" applyFill="1" applyBorder="1" applyAlignment="1" applyProtection="1">
      <alignment horizontal="center" vertical="center"/>
      <protection hidden="1"/>
    </xf>
    <xf numFmtId="14" fontId="89" fillId="0" borderId="6" xfId="0" applyNumberFormat="1" applyFont="1" applyBorder="1" applyAlignment="1" applyProtection="1">
      <alignment horizontal="center" vertical="center"/>
      <protection locked="0"/>
    </xf>
    <xf numFmtId="14" fontId="0" fillId="4" borderId="2" xfId="0" applyNumberFormat="1" applyFill="1" applyBorder="1" applyAlignment="1" applyProtection="1">
      <alignment horizontal="center"/>
      <protection hidden="1"/>
    </xf>
    <xf numFmtId="14" fontId="102" fillId="0" borderId="0" xfId="0" applyNumberFormat="1" applyFont="1" applyAlignment="1" applyProtection="1">
      <alignment horizontal="center" vertical="center"/>
      <protection locked="0"/>
    </xf>
    <xf numFmtId="14" fontId="102" fillId="18" borderId="184" xfId="0" applyNumberFormat="1" applyFont="1" applyFill="1" applyBorder="1" applyAlignment="1" applyProtection="1">
      <alignment horizontal="center" vertical="center"/>
      <protection hidden="1"/>
    </xf>
    <xf numFmtId="9" fontId="105" fillId="4" borderId="0" xfId="3" applyFont="1" applyFill="1" applyAlignment="1">
      <alignment vertical="center"/>
    </xf>
    <xf numFmtId="0" fontId="229" fillId="0" borderId="0" xfId="0" applyFont="1"/>
    <xf numFmtId="0" fontId="213" fillId="0" borderId="170" xfId="0" applyFont="1" applyBorder="1" applyAlignment="1" applyProtection="1">
      <alignment horizontal="center" vertical="center"/>
      <protection locked="0"/>
    </xf>
    <xf numFmtId="0" fontId="213" fillId="0" borderId="131" xfId="0" applyFont="1" applyBorder="1" applyAlignment="1" applyProtection="1">
      <alignment horizontal="center" vertical="center"/>
      <protection locked="0"/>
    </xf>
    <xf numFmtId="8" fontId="115" fillId="0" borderId="33" xfId="0" applyNumberFormat="1" applyFont="1" applyBorder="1" applyAlignment="1" applyProtection="1">
      <alignment vertical="center"/>
      <protection locked="0"/>
    </xf>
    <xf numFmtId="0" fontId="102" fillId="0" borderId="0" xfId="0" applyFont="1" applyAlignment="1">
      <alignment horizontal="left" vertical="center" wrapText="1"/>
    </xf>
    <xf numFmtId="0" fontId="105" fillId="0" borderId="2" xfId="0" applyFont="1" applyBorder="1" applyAlignment="1">
      <alignment horizontal="left" wrapText="1"/>
    </xf>
    <xf numFmtId="14" fontId="0" fillId="0" borderId="4" xfId="0" applyNumberFormat="1" applyBorder="1" applyAlignment="1" applyProtection="1">
      <alignment horizontal="center"/>
      <protection locked="0"/>
    </xf>
    <xf numFmtId="14" fontId="0" fillId="0" borderId="3" xfId="0" applyNumberFormat="1" applyBorder="1" applyAlignment="1" applyProtection="1">
      <alignment horizontal="center"/>
      <protection locked="0"/>
    </xf>
    <xf numFmtId="192" fontId="213" fillId="0" borderId="2" xfId="0" applyNumberFormat="1" applyFont="1" applyBorder="1" applyAlignment="1" applyProtection="1">
      <alignment vertical="center"/>
      <protection locked="0"/>
    </xf>
    <xf numFmtId="8" fontId="231" fillId="8" borderId="20" xfId="0" applyNumberFormat="1" applyFont="1" applyFill="1" applyBorder="1" applyAlignment="1" applyProtection="1">
      <alignment horizontal="center" vertical="center"/>
      <protection locked="0"/>
    </xf>
    <xf numFmtId="9" fontId="213" fillId="0" borderId="2" xfId="0" applyNumberFormat="1" applyFont="1" applyBorder="1" applyAlignment="1" applyProtection="1">
      <alignment horizontal="center" vertical="center"/>
      <protection locked="0"/>
    </xf>
    <xf numFmtId="8" fontId="102" fillId="18" borderId="33" xfId="0" applyNumberFormat="1" applyFont="1" applyFill="1" applyBorder="1" applyAlignment="1" applyProtection="1">
      <alignment vertical="center"/>
      <protection hidden="1"/>
    </xf>
    <xf numFmtId="8" fontId="102" fillId="23" borderId="33" xfId="0" applyNumberFormat="1" applyFont="1" applyFill="1" applyBorder="1" applyAlignment="1" applyProtection="1">
      <alignment vertical="center"/>
      <protection hidden="1"/>
    </xf>
    <xf numFmtId="169" fontId="191" fillId="0" borderId="23" xfId="2" applyNumberFormat="1" applyFont="1" applyBorder="1" applyAlignment="1" applyProtection="1">
      <alignment vertical="center"/>
    </xf>
    <xf numFmtId="169" fontId="191" fillId="0" borderId="44" xfId="2" applyNumberFormat="1" applyFont="1" applyBorder="1" applyAlignment="1" applyProtection="1">
      <alignment vertical="center"/>
    </xf>
    <xf numFmtId="169" fontId="191" fillId="0" borderId="0" xfId="2" applyNumberFormat="1" applyFont="1" applyAlignment="1" applyProtection="1">
      <alignment vertical="center"/>
    </xf>
    <xf numFmtId="169" fontId="191" fillId="0" borderId="15" xfId="2" applyNumberFormat="1" applyFont="1" applyBorder="1" applyAlignment="1" applyProtection="1">
      <alignment vertical="center"/>
    </xf>
    <xf numFmtId="6" fontId="0" fillId="4" borderId="100" xfId="0" applyNumberFormat="1" applyFill="1" applyBorder="1" applyAlignment="1">
      <alignment horizontal="center" vertical="center" wrapText="1"/>
    </xf>
    <xf numFmtId="6" fontId="100" fillId="4" borderId="3" xfId="0" applyNumberFormat="1" applyFont="1" applyFill="1" applyBorder="1" applyAlignment="1" applyProtection="1">
      <alignment horizontal="right" vertical="center"/>
      <protection hidden="1"/>
    </xf>
    <xf numFmtId="6" fontId="0" fillId="4" borderId="2" xfId="0" applyNumberFormat="1" applyFill="1" applyBorder="1" applyAlignment="1" applyProtection="1">
      <alignment horizontal="right" vertical="center"/>
      <protection hidden="1"/>
    </xf>
    <xf numFmtId="165" fontId="75" fillId="4" borderId="0" xfId="0" quotePrefix="1" applyNumberFormat="1" applyFont="1" applyFill="1" applyAlignment="1" applyProtection="1">
      <alignment horizontal="center" vertical="center" wrapText="1"/>
      <protection hidden="1"/>
    </xf>
    <xf numFmtId="8" fontId="223" fillId="0" borderId="2" xfId="0" applyNumberFormat="1" applyFont="1" applyBorder="1" applyAlignment="1" applyProtection="1">
      <alignment horizontal="center" vertical="center"/>
      <protection locked="0"/>
    </xf>
    <xf numFmtId="181" fontId="223" fillId="0" borderId="2" xfId="0" applyNumberFormat="1" applyFont="1" applyBorder="1" applyAlignment="1" applyProtection="1">
      <alignment horizontal="center" vertical="center"/>
      <protection locked="0"/>
    </xf>
    <xf numFmtId="10" fontId="213" fillId="0" borderId="2" xfId="0" applyNumberFormat="1" applyFont="1" applyBorder="1" applyAlignment="1" applyProtection="1">
      <alignment horizontal="center" vertical="center"/>
      <protection locked="0"/>
    </xf>
    <xf numFmtId="9" fontId="223" fillId="0" borderId="2" xfId="0" applyNumberFormat="1" applyFont="1" applyBorder="1" applyAlignment="1" applyProtection="1">
      <alignment horizontal="center" vertical="center"/>
      <protection locked="0"/>
    </xf>
    <xf numFmtId="9" fontId="232" fillId="0" borderId="2" xfId="0" applyNumberFormat="1" applyFont="1" applyBorder="1" applyAlignment="1" applyProtection="1">
      <alignment horizontal="center" vertical="center"/>
      <protection locked="0"/>
    </xf>
    <xf numFmtId="165" fontId="65" fillId="4" borderId="15" xfId="0" applyNumberFormat="1" applyFont="1" applyFill="1" applyBorder="1"/>
    <xf numFmtId="0" fontId="65" fillId="4" borderId="0" xfId="0" quotePrefix="1" applyFont="1" applyFill="1" applyAlignment="1" applyProtection="1">
      <alignment horizontal="center" vertical="center"/>
      <protection hidden="1"/>
    </xf>
    <xf numFmtId="0" fontId="65" fillId="4" borderId="15" xfId="0" applyFont="1" applyFill="1" applyBorder="1"/>
    <xf numFmtId="6" fontId="65" fillId="4" borderId="0" xfId="0" applyNumberFormat="1" applyFont="1" applyFill="1" applyAlignment="1">
      <alignment horizontal="center" vertical="center"/>
    </xf>
    <xf numFmtId="2" fontId="104" fillId="4" borderId="0" xfId="0" applyNumberFormat="1" applyFont="1" applyFill="1" applyAlignment="1">
      <alignment horizontal="center" vertical="center"/>
    </xf>
    <xf numFmtId="2" fontId="63" fillId="4" borderId="0" xfId="2" applyNumberFormat="1" applyFill="1" applyAlignment="1" applyProtection="1">
      <alignment horizontal="center" vertical="center"/>
      <protection hidden="1"/>
    </xf>
    <xf numFmtId="167" fontId="0" fillId="0" borderId="0" xfId="0" applyNumberFormat="1" applyAlignment="1">
      <alignment horizontal="right" vertical="center"/>
    </xf>
    <xf numFmtId="10" fontId="76" fillId="0" borderId="2" xfId="3" applyNumberFormat="1" applyFill="1" applyBorder="1"/>
    <xf numFmtId="10" fontId="76" fillId="0" borderId="2" xfId="3" applyNumberFormat="1" applyFill="1" applyBorder="1" applyAlignment="1">
      <alignment vertical="center"/>
    </xf>
    <xf numFmtId="6" fontId="75" fillId="4" borderId="0" xfId="0" applyNumberFormat="1" applyFont="1" applyFill="1" applyAlignment="1" applyProtection="1">
      <alignment horizontal="center" vertical="center" wrapText="1"/>
      <protection hidden="1"/>
    </xf>
    <xf numFmtId="8" fontId="154" fillId="4" borderId="0" xfId="0" applyNumberFormat="1" applyFont="1" applyFill="1" applyAlignment="1">
      <alignment horizontal="center" vertical="center"/>
    </xf>
    <xf numFmtId="6" fontId="154" fillId="4" borderId="0" xfId="0" applyNumberFormat="1" applyFont="1" applyFill="1" applyAlignment="1">
      <alignment horizontal="center" vertical="center"/>
    </xf>
    <xf numFmtId="10" fontId="89" fillId="4" borderId="0" xfId="3" applyNumberFormat="1" applyFont="1" applyFill="1" applyAlignment="1">
      <alignment horizontal="center" vertical="center"/>
    </xf>
    <xf numFmtId="178" fontId="104" fillId="3" borderId="0" xfId="0" applyNumberFormat="1" applyFont="1" applyFill="1" applyAlignment="1">
      <alignment horizontal="center" vertical="center" wrapText="1"/>
    </xf>
    <xf numFmtId="1" fontId="0" fillId="0" borderId="1" xfId="0" applyNumberFormat="1" applyBorder="1" applyAlignment="1">
      <alignment vertical="center"/>
    </xf>
    <xf numFmtId="10" fontId="0" fillId="0" borderId="2" xfId="3" applyNumberFormat="1" applyFont="1" applyBorder="1" applyAlignment="1">
      <alignment vertical="center"/>
    </xf>
    <xf numFmtId="0" fontId="104" fillId="0" borderId="2" xfId="0" applyFont="1" applyBorder="1" applyAlignment="1">
      <alignment vertical="center"/>
    </xf>
    <xf numFmtId="0" fontId="104" fillId="0" borderId="2" xfId="0" applyFont="1" applyBorder="1" applyAlignment="1">
      <alignment horizontal="right" vertical="center"/>
    </xf>
    <xf numFmtId="10" fontId="0" fillId="0" borderId="1" xfId="3" applyNumberFormat="1" applyFont="1" applyBorder="1" applyAlignment="1">
      <alignment vertical="center"/>
    </xf>
    <xf numFmtId="14" fontId="55" fillId="0" borderId="2" xfId="0" applyNumberFormat="1" applyFont="1" applyBorder="1" applyAlignment="1" applyProtection="1">
      <alignment horizontal="center" vertical="center"/>
      <protection locked="0"/>
    </xf>
    <xf numFmtId="0" fontId="55" fillId="4" borderId="2" xfId="0" applyFont="1" applyFill="1" applyBorder="1" applyAlignment="1">
      <alignment horizontal="right" vertical="center" wrapText="1"/>
    </xf>
    <xf numFmtId="180" fontId="55" fillId="4" borderId="2" xfId="0" applyNumberFormat="1" applyFont="1" applyFill="1" applyBorder="1" applyAlignment="1">
      <alignment horizontal="center" vertical="center"/>
    </xf>
    <xf numFmtId="6" fontId="55" fillId="4" borderId="2" xfId="0" applyNumberFormat="1" applyFont="1" applyFill="1" applyBorder="1" applyAlignment="1">
      <alignment horizontal="center" vertical="center"/>
    </xf>
    <xf numFmtId="0" fontId="102" fillId="3" borderId="2" xfId="0" applyFont="1" applyFill="1" applyBorder="1" applyAlignment="1">
      <alignment horizontal="right" vertical="center" wrapText="1"/>
    </xf>
    <xf numFmtId="10" fontId="102" fillId="3" borderId="2" xfId="3" applyNumberFormat="1" applyFont="1" applyFill="1" applyBorder="1" applyAlignment="1">
      <alignment horizontal="center" vertical="center" wrapText="1"/>
    </xf>
    <xf numFmtId="0" fontId="58" fillId="4" borderId="2" xfId="0" applyFont="1" applyFill="1" applyBorder="1" applyAlignment="1" applyProtection="1">
      <alignment horizontal="right" vertical="center" wrapText="1"/>
      <protection hidden="1"/>
    </xf>
    <xf numFmtId="6" fontId="58" fillId="4" borderId="2" xfId="0" applyNumberFormat="1" applyFont="1" applyFill="1" applyBorder="1" applyAlignment="1" applyProtection="1">
      <alignment horizontal="center" vertical="center" wrapText="1"/>
      <protection hidden="1"/>
    </xf>
    <xf numFmtId="9" fontId="58" fillId="4" borderId="2" xfId="0" applyNumberFormat="1" applyFont="1" applyFill="1" applyBorder="1" applyAlignment="1">
      <alignment horizontal="right" vertical="center" wrapText="1"/>
    </xf>
    <xf numFmtId="10" fontId="58" fillId="4" borderId="2" xfId="3" applyNumberFormat="1" applyFont="1" applyFill="1" applyBorder="1" applyAlignment="1">
      <alignment horizontal="center" vertical="center"/>
    </xf>
    <xf numFmtId="6" fontId="90" fillId="4" borderId="2" xfId="0" applyNumberFormat="1" applyFont="1" applyFill="1" applyBorder="1" applyAlignment="1">
      <alignment horizontal="center" vertical="center"/>
    </xf>
    <xf numFmtId="0" fontId="90" fillId="3" borderId="2" xfId="0" applyFont="1" applyFill="1" applyBorder="1" applyAlignment="1">
      <alignment horizontal="right" vertical="center" wrapText="1"/>
    </xf>
    <xf numFmtId="0" fontId="102" fillId="4" borderId="2" xfId="0" applyFont="1" applyFill="1" applyBorder="1" applyAlignment="1">
      <alignment horizontal="right" vertical="center" wrapText="1"/>
    </xf>
    <xf numFmtId="0" fontId="58" fillId="4" borderId="2" xfId="2" applyNumberFormat="1" applyFont="1" applyFill="1" applyBorder="1" applyAlignment="1" applyProtection="1">
      <alignment horizontal="right" vertical="center" wrapText="1"/>
      <protection hidden="1"/>
    </xf>
    <xf numFmtId="0" fontId="55" fillId="4" borderId="2" xfId="0" applyFont="1" applyFill="1" applyBorder="1" applyAlignment="1" applyProtection="1">
      <alignment horizontal="right" vertical="center" wrapText="1"/>
      <protection hidden="1"/>
    </xf>
    <xf numFmtId="180" fontId="58" fillId="4" borderId="2" xfId="0" applyNumberFormat="1" applyFont="1" applyFill="1" applyBorder="1" applyAlignment="1">
      <alignment horizontal="center" vertical="center"/>
    </xf>
    <xf numFmtId="14" fontId="65" fillId="4" borderId="0" xfId="0" applyNumberFormat="1" applyFont="1" applyFill="1" applyAlignment="1">
      <alignment horizontal="center" vertical="center"/>
    </xf>
    <xf numFmtId="10" fontId="89" fillId="4" borderId="0" xfId="3" applyNumberFormat="1" applyFont="1" applyFill="1" applyAlignment="1">
      <alignment vertical="center"/>
    </xf>
    <xf numFmtId="0" fontId="55" fillId="4" borderId="2" xfId="0" applyFont="1" applyFill="1" applyBorder="1" applyAlignment="1" applyProtection="1">
      <alignment horizontal="center" vertical="center"/>
      <protection hidden="1"/>
    </xf>
    <xf numFmtId="193" fontId="0" fillId="0" borderId="0" xfId="0" applyNumberFormat="1"/>
    <xf numFmtId="193" fontId="0" fillId="0" borderId="0" xfId="0" applyNumberFormat="1" applyAlignment="1">
      <alignment vertical="center"/>
    </xf>
    <xf numFmtId="167" fontId="0" fillId="0" borderId="0" xfId="0" applyNumberFormat="1" applyAlignment="1">
      <alignment horizontal="right"/>
    </xf>
    <xf numFmtId="10" fontId="213" fillId="0" borderId="2" xfId="3" applyNumberFormat="1" applyFont="1" applyBorder="1" applyAlignment="1" applyProtection="1">
      <alignment horizontal="center" vertical="center"/>
      <protection locked="0"/>
    </xf>
    <xf numFmtId="6" fontId="102" fillId="18" borderId="33" xfId="0" applyNumberFormat="1" applyFont="1" applyFill="1" applyBorder="1" applyAlignment="1" applyProtection="1">
      <alignment vertical="center"/>
      <protection hidden="1"/>
    </xf>
    <xf numFmtId="6" fontId="102" fillId="23" borderId="218" xfId="0" applyNumberFormat="1" applyFont="1" applyFill="1" applyBorder="1" applyAlignment="1" applyProtection="1">
      <alignment vertical="center"/>
      <protection hidden="1"/>
    </xf>
    <xf numFmtId="6" fontId="102" fillId="18" borderId="2" xfId="0" applyNumberFormat="1" applyFont="1" applyFill="1" applyBorder="1" applyAlignment="1" applyProtection="1">
      <alignment vertical="center"/>
      <protection hidden="1"/>
    </xf>
    <xf numFmtId="6" fontId="102" fillId="23" borderId="130" xfId="0" applyNumberFormat="1" applyFont="1" applyFill="1" applyBorder="1" applyAlignment="1" applyProtection="1">
      <alignment vertical="center"/>
      <protection hidden="1"/>
    </xf>
    <xf numFmtId="183" fontId="76" fillId="0" borderId="6" xfId="3" applyNumberFormat="1" applyFill="1" applyBorder="1" applyAlignment="1">
      <alignment vertical="center"/>
    </xf>
    <xf numFmtId="183" fontId="76" fillId="0" borderId="21" xfId="3" applyNumberFormat="1" applyFill="1" applyBorder="1" applyAlignment="1">
      <alignment vertical="center"/>
    </xf>
    <xf numFmtId="0" fontId="100" fillId="4" borderId="131" xfId="0" applyFont="1" applyFill="1" applyBorder="1" applyAlignment="1" applyProtection="1">
      <alignment horizontal="right" vertical="center"/>
      <protection hidden="1"/>
    </xf>
    <xf numFmtId="6" fontId="102" fillId="4" borderId="175" xfId="0" applyNumberFormat="1" applyFont="1" applyFill="1" applyBorder="1" applyAlignment="1" applyProtection="1">
      <alignment vertical="center"/>
      <protection hidden="1"/>
    </xf>
    <xf numFmtId="6" fontId="102" fillId="4" borderId="132" xfId="0" applyNumberFormat="1" applyFont="1" applyFill="1" applyBorder="1" applyAlignment="1" applyProtection="1">
      <alignment vertical="center"/>
      <protection hidden="1"/>
    </xf>
    <xf numFmtId="9" fontId="102" fillId="0" borderId="0" xfId="3" applyFont="1" applyAlignment="1">
      <alignment horizontal="center" vertical="center" wrapText="1"/>
    </xf>
    <xf numFmtId="14" fontId="0" fillId="9" borderId="2" xfId="0" applyNumberFormat="1" applyFill="1" applyBorder="1" applyAlignment="1" applyProtection="1">
      <alignment horizontal="left" vertical="center"/>
      <protection locked="0"/>
    </xf>
    <xf numFmtId="0" fontId="105" fillId="12" borderId="17" xfId="0" applyFont="1" applyFill="1" applyBorder="1" applyAlignment="1" applyProtection="1">
      <alignment horizontal="right" vertical="center" wrapText="1"/>
      <protection hidden="1"/>
    </xf>
    <xf numFmtId="14" fontId="100" fillId="12" borderId="228" xfId="0" applyNumberFormat="1" applyFont="1" applyFill="1" applyBorder="1" applyAlignment="1" applyProtection="1">
      <alignment horizontal="right" vertical="center" wrapText="1"/>
      <protection hidden="1"/>
    </xf>
    <xf numFmtId="6" fontId="236" fillId="23" borderId="130" xfId="0" applyNumberFormat="1" applyFont="1" applyFill="1" applyBorder="1" applyAlignment="1">
      <alignment vertical="center"/>
    </xf>
    <xf numFmtId="168" fontId="0" fillId="4" borderId="29" xfId="0" applyNumberFormat="1" applyFill="1" applyBorder="1" applyAlignment="1" applyProtection="1">
      <alignment horizontal="center" wrapText="1"/>
      <protection hidden="1"/>
    </xf>
    <xf numFmtId="0" fontId="232" fillId="0" borderId="2" xfId="0" applyFont="1" applyBorder="1" applyAlignment="1" applyProtection="1">
      <alignment horizontal="center" vertical="center" wrapText="1"/>
      <protection locked="0"/>
    </xf>
    <xf numFmtId="0" fontId="148" fillId="4" borderId="19" xfId="2" applyNumberFormat="1" applyFont="1" applyFill="1" applyBorder="1" applyAlignment="1" applyProtection="1">
      <alignment horizontal="center"/>
    </xf>
    <xf numFmtId="14" fontId="0" fillId="0" borderId="2" xfId="0" applyNumberFormat="1" applyBorder="1" applyAlignment="1">
      <alignment vertical="center"/>
    </xf>
    <xf numFmtId="14" fontId="238" fillId="27" borderId="2" xfId="0" applyNumberFormat="1" applyFont="1" applyFill="1" applyBorder="1" applyAlignment="1">
      <alignment horizontal="center" vertical="top" wrapText="1"/>
    </xf>
    <xf numFmtId="8" fontId="238" fillId="27" borderId="2" xfId="0" applyNumberFormat="1" applyFont="1" applyFill="1" applyBorder="1" applyAlignment="1">
      <alignment horizontal="center" vertical="top" wrapText="1"/>
    </xf>
    <xf numFmtId="10" fontId="238" fillId="27" borderId="2" xfId="0" applyNumberFormat="1" applyFont="1" applyFill="1" applyBorder="1" applyAlignment="1">
      <alignment horizontal="center" vertical="top" wrapText="1"/>
    </xf>
    <xf numFmtId="10" fontId="238" fillId="27" borderId="0" xfId="3" applyNumberFormat="1" applyFont="1" applyFill="1" applyBorder="1" applyAlignment="1">
      <alignment horizontal="center" vertical="center" wrapText="1"/>
    </xf>
    <xf numFmtId="10" fontId="0" fillId="0" borderId="0" xfId="3" applyNumberFormat="1" applyFont="1" applyBorder="1" applyAlignment="1">
      <alignment horizontal="center" vertical="center"/>
    </xf>
    <xf numFmtId="14" fontId="238" fillId="27" borderId="2" xfId="0" applyNumberFormat="1" applyFont="1" applyFill="1" applyBorder="1" applyAlignment="1">
      <alignment horizontal="center" vertical="center" wrapText="1"/>
    </xf>
    <xf numFmtId="8" fontId="238" fillId="27" borderId="2" xfId="0" applyNumberFormat="1" applyFont="1" applyFill="1" applyBorder="1" applyAlignment="1">
      <alignment horizontal="center" vertical="center" wrapText="1"/>
    </xf>
    <xf numFmtId="10" fontId="238" fillId="27" borderId="2" xfId="0" applyNumberFormat="1" applyFont="1" applyFill="1" applyBorder="1" applyAlignment="1">
      <alignment horizontal="center" vertical="center" wrapText="1"/>
    </xf>
    <xf numFmtId="10" fontId="238" fillId="27" borderId="2" xfId="3" applyNumberFormat="1" applyFont="1" applyFill="1" applyBorder="1" applyAlignment="1">
      <alignment horizontal="center" vertical="center" wrapText="1"/>
    </xf>
    <xf numFmtId="10" fontId="0" fillId="0" borderId="0" xfId="3" applyNumberFormat="1" applyFont="1" applyFill="1" applyBorder="1" applyAlignment="1">
      <alignment horizontal="center" vertical="center"/>
    </xf>
    <xf numFmtId="9" fontId="0" fillId="0" borderId="0" xfId="3" applyFont="1" applyBorder="1" applyAlignment="1">
      <alignment horizontal="center" vertical="center"/>
    </xf>
    <xf numFmtId="9" fontId="0" fillId="0" borderId="0" xfId="3" applyFont="1" applyFill="1" applyBorder="1" applyAlignment="1">
      <alignment horizontal="center" vertical="center"/>
    </xf>
    <xf numFmtId="14" fontId="238" fillId="27" borderId="41" xfId="0" applyNumberFormat="1" applyFont="1" applyFill="1" applyBorder="1" applyAlignment="1">
      <alignment horizontal="center" vertical="center" wrapText="1"/>
    </xf>
    <xf numFmtId="8" fontId="238" fillId="27" borderId="41" xfId="0" applyNumberFormat="1" applyFont="1" applyFill="1" applyBorder="1" applyAlignment="1">
      <alignment horizontal="center" vertical="center" wrapText="1"/>
    </xf>
    <xf numFmtId="10" fontId="238" fillId="27" borderId="41" xfId="0" applyNumberFormat="1" applyFont="1" applyFill="1" applyBorder="1" applyAlignment="1">
      <alignment horizontal="center" vertical="center" wrapText="1"/>
    </xf>
    <xf numFmtId="10" fontId="0" fillId="0" borderId="41" xfId="3" applyNumberFormat="1" applyFont="1" applyBorder="1" applyAlignment="1">
      <alignment horizontal="center" vertical="center"/>
    </xf>
    <xf numFmtId="9" fontId="0" fillId="0" borderId="2" xfId="3" applyFont="1" applyFill="1" applyBorder="1" applyAlignment="1">
      <alignment horizontal="center" vertical="center"/>
    </xf>
    <xf numFmtId="0" fontId="188" fillId="24" borderId="229" xfId="0" applyFont="1" applyFill="1" applyBorder="1" applyAlignment="1">
      <alignment horizontal="center" vertical="top" wrapText="1"/>
    </xf>
    <xf numFmtId="0" fontId="188" fillId="24" borderId="0" xfId="0" applyFont="1" applyFill="1" applyAlignment="1">
      <alignment horizontal="center" vertical="top" wrapText="1"/>
    </xf>
    <xf numFmtId="0" fontId="188" fillId="24" borderId="230" xfId="0" applyFont="1" applyFill="1" applyBorder="1" applyAlignment="1">
      <alignment horizontal="center" vertical="top" wrapText="1"/>
    </xf>
    <xf numFmtId="0" fontId="188" fillId="24" borderId="190" xfId="0" applyFont="1" applyFill="1" applyBorder="1" applyAlignment="1">
      <alignment horizontal="center" vertical="top" wrapText="1"/>
    </xf>
    <xf numFmtId="0" fontId="36" fillId="0" borderId="0" xfId="0" applyFont="1" applyProtection="1">
      <protection locked="0"/>
    </xf>
    <xf numFmtId="14" fontId="0" fillId="9" borderId="130" xfId="0" applyNumberFormat="1" applyFill="1" applyBorder="1" applyAlignment="1" applyProtection="1">
      <alignment horizontal="center" vertical="center"/>
      <protection hidden="1"/>
    </xf>
    <xf numFmtId="0" fontId="115" fillId="9" borderId="2" xfId="0" applyFont="1" applyFill="1" applyBorder="1" applyAlignment="1" applyProtection="1">
      <alignment horizontal="center" vertical="center"/>
      <protection hidden="1"/>
    </xf>
    <xf numFmtId="9" fontId="0" fillId="9" borderId="55" xfId="0" applyNumberFormat="1" applyFill="1" applyBorder="1" applyAlignment="1" applyProtection="1">
      <alignment vertical="center"/>
      <protection hidden="1"/>
    </xf>
    <xf numFmtId="0" fontId="0" fillId="4" borderId="170" xfId="0" applyFill="1" applyBorder="1" applyAlignment="1" applyProtection="1">
      <alignment vertical="center"/>
      <protection hidden="1"/>
    </xf>
    <xf numFmtId="0" fontId="102" fillId="9" borderId="2" xfId="0" applyFont="1" applyFill="1" applyBorder="1" applyAlignment="1">
      <alignment horizontal="center" vertical="center"/>
    </xf>
    <xf numFmtId="0" fontId="0" fillId="4" borderId="0" xfId="0" applyFill="1" applyAlignment="1">
      <alignment vertical="center" wrapText="1"/>
    </xf>
    <xf numFmtId="14" fontId="140" fillId="0" borderId="2" xfId="0" applyNumberFormat="1" applyFont="1" applyBorder="1" applyAlignment="1">
      <alignment horizontal="center" textRotation="90"/>
    </xf>
    <xf numFmtId="14" fontId="140" fillId="0" borderId="3" xfId="0" applyNumberFormat="1" applyFont="1" applyBorder="1" applyAlignment="1">
      <alignment horizontal="center" textRotation="90"/>
    </xf>
    <xf numFmtId="10" fontId="164" fillId="0" borderId="2" xfId="3" applyNumberFormat="1" applyFont="1" applyBorder="1" applyAlignment="1">
      <alignment horizontal="center" vertical="center"/>
    </xf>
    <xf numFmtId="4" fontId="164" fillId="0" borderId="2" xfId="0" applyNumberFormat="1" applyFont="1" applyBorder="1" applyAlignment="1">
      <alignment horizontal="center" vertical="center"/>
    </xf>
    <xf numFmtId="4" fontId="164" fillId="0" borderId="3" xfId="0" applyNumberFormat="1" applyFont="1" applyBorder="1" applyAlignment="1">
      <alignment horizontal="center" vertical="center"/>
    </xf>
    <xf numFmtId="10" fontId="0" fillId="0" borderId="0" xfId="3" applyNumberFormat="1" applyFont="1" applyAlignment="1">
      <alignment vertical="center"/>
    </xf>
    <xf numFmtId="0" fontId="100" fillId="4" borderId="22" xfId="0" applyFont="1" applyFill="1" applyBorder="1" applyAlignment="1" applyProtection="1">
      <alignment vertical="center"/>
      <protection locked="0"/>
    </xf>
    <xf numFmtId="0" fontId="0" fillId="4" borderId="4" xfId="0" applyFill="1" applyBorder="1" applyAlignment="1" applyProtection="1">
      <alignment horizontal="left" vertical="center"/>
      <protection hidden="1"/>
    </xf>
    <xf numFmtId="0" fontId="0" fillId="4" borderId="2" xfId="0" applyFill="1" applyBorder="1" applyAlignment="1" applyProtection="1">
      <alignment horizontal="left" vertical="center"/>
      <protection hidden="1"/>
    </xf>
    <xf numFmtId="186" fontId="80" fillId="4" borderId="3" xfId="0" applyNumberFormat="1" applyFont="1" applyFill="1" applyBorder="1" applyAlignment="1" applyProtection="1">
      <alignment horizontal="center" vertical="center"/>
      <protection hidden="1"/>
    </xf>
    <xf numFmtId="10" fontId="76" fillId="4" borderId="2" xfId="3" applyNumberFormat="1" applyFill="1" applyBorder="1" applyAlignment="1" applyProtection="1">
      <alignment horizontal="center" vertical="center"/>
      <protection hidden="1"/>
    </xf>
    <xf numFmtId="0" fontId="0" fillId="0" borderId="12" xfId="0" applyBorder="1" applyAlignment="1">
      <alignment horizontal="center" vertical="center"/>
    </xf>
    <xf numFmtId="0" fontId="0" fillId="8" borderId="0" xfId="0" applyFill="1" applyAlignment="1">
      <alignment horizontal="center"/>
    </xf>
    <xf numFmtId="168" fontId="0" fillId="8" borderId="0" xfId="0" applyNumberFormat="1" applyFill="1" applyAlignment="1">
      <alignment horizontal="center"/>
    </xf>
    <xf numFmtId="167" fontId="0" fillId="0" borderId="2" xfId="0" applyNumberFormat="1" applyBorder="1" applyAlignment="1">
      <alignment horizontal="center" vertical="center" wrapText="1"/>
    </xf>
    <xf numFmtId="14" fontId="115" fillId="18" borderId="2" xfId="0" applyNumberFormat="1" applyFont="1" applyFill="1" applyBorder="1" applyAlignment="1" applyProtection="1">
      <alignment horizontal="center" vertical="center"/>
      <protection hidden="1"/>
    </xf>
    <xf numFmtId="172" fontId="123" fillId="8" borderId="0" xfId="0" applyNumberFormat="1" applyFont="1" applyFill="1" applyAlignment="1">
      <alignment vertical="center"/>
    </xf>
    <xf numFmtId="178" fontId="53" fillId="8" borderId="0" xfId="0" applyNumberFormat="1" applyFont="1" applyFill="1" applyAlignment="1">
      <alignment horizontal="center"/>
    </xf>
    <xf numFmtId="15" fontId="0" fillId="0" borderId="0" xfId="0" quotePrefix="1" applyNumberFormat="1" applyAlignment="1">
      <alignment vertical="center" wrapText="1"/>
    </xf>
    <xf numFmtId="0" fontId="0" fillId="0" borderId="0" xfId="0" quotePrefix="1" applyAlignment="1">
      <alignment vertical="center" wrapText="1"/>
    </xf>
    <xf numFmtId="8" fontId="32" fillId="0" borderId="2" xfId="0" applyNumberFormat="1" applyFont="1" applyBorder="1" applyAlignment="1" applyProtection="1">
      <alignment vertical="center"/>
      <protection locked="0"/>
    </xf>
    <xf numFmtId="6" fontId="32" fillId="0" borderId="130" xfId="0" applyNumberFormat="1" applyFont="1" applyBorder="1" applyAlignment="1" applyProtection="1">
      <alignment vertical="center"/>
      <protection locked="0"/>
    </xf>
    <xf numFmtId="8" fontId="102" fillId="0" borderId="2" xfId="0" applyNumberFormat="1" applyFont="1" applyBorder="1"/>
    <xf numFmtId="0" fontId="104" fillId="18" borderId="131" xfId="0" applyFont="1" applyFill="1" applyBorder="1" applyAlignment="1" applyProtection="1">
      <alignment horizontal="center" vertical="center"/>
      <protection hidden="1"/>
    </xf>
    <xf numFmtId="0" fontId="104" fillId="23" borderId="131" xfId="0" applyFont="1" applyFill="1" applyBorder="1" applyAlignment="1" applyProtection="1">
      <alignment horizontal="center" vertical="center"/>
      <protection hidden="1"/>
    </xf>
    <xf numFmtId="181" fontId="0" fillId="0" borderId="0" xfId="0" applyNumberFormat="1" applyAlignment="1">
      <alignment horizontal="center" vertical="center"/>
    </xf>
    <xf numFmtId="0" fontId="58" fillId="0" borderId="0" xfId="0" applyFont="1" applyAlignment="1">
      <alignment horizontal="center" vertical="center"/>
    </xf>
    <xf numFmtId="2" fontId="0" fillId="0" borderId="0" xfId="0" quotePrefix="1" applyNumberFormat="1" applyAlignment="1">
      <alignment vertical="center" wrapText="1"/>
    </xf>
    <xf numFmtId="8" fontId="106" fillId="4" borderId="2" xfId="0" applyNumberFormat="1" applyFont="1" applyFill="1" applyBorder="1" applyAlignment="1" applyProtection="1">
      <alignment horizontal="center" vertical="center"/>
      <protection hidden="1"/>
    </xf>
    <xf numFmtId="188" fontId="0" fillId="4" borderId="2" xfId="0" applyNumberFormat="1" applyFill="1" applyBorder="1" applyAlignment="1" applyProtection="1">
      <alignment horizontal="center" vertical="center"/>
      <protection hidden="1"/>
    </xf>
    <xf numFmtId="188" fontId="0" fillId="4" borderId="3" xfId="0" applyNumberFormat="1" applyFill="1" applyBorder="1" applyAlignment="1" applyProtection="1">
      <alignment horizontal="center" vertical="center"/>
      <protection hidden="1"/>
    </xf>
    <xf numFmtId="6" fontId="0" fillId="4" borderId="2" xfId="0" applyNumberFormat="1" applyFill="1" applyBorder="1" applyAlignment="1" applyProtection="1">
      <alignment horizontal="center" vertical="center"/>
      <protection hidden="1"/>
    </xf>
    <xf numFmtId="14" fontId="0" fillId="0" borderId="2" xfId="0" applyNumberFormat="1" applyBorder="1" applyAlignment="1" applyProtection="1">
      <alignment horizontal="center"/>
      <protection locked="0"/>
    </xf>
    <xf numFmtId="8" fontId="0" fillId="4" borderId="2" xfId="0" applyNumberFormat="1" applyFill="1" applyBorder="1" applyAlignment="1" applyProtection="1">
      <alignment horizontal="center"/>
      <protection hidden="1"/>
    </xf>
    <xf numFmtId="0" fontId="0" fillId="0" borderId="12" xfId="0" applyBorder="1" applyAlignment="1" applyProtection="1">
      <alignment horizontal="center"/>
      <protection locked="0"/>
    </xf>
    <xf numFmtId="0" fontId="105" fillId="4" borderId="130" xfId="0" applyFont="1" applyFill="1" applyBorder="1" applyAlignment="1" applyProtection="1">
      <alignment horizontal="center" vertical="center"/>
      <protection hidden="1"/>
    </xf>
    <xf numFmtId="191" fontId="105" fillId="4" borderId="183" xfId="0" applyNumberFormat="1" applyFont="1" applyFill="1" applyBorder="1" applyAlignment="1" applyProtection="1">
      <alignment horizontal="center" vertical="center"/>
      <protection hidden="1"/>
    </xf>
    <xf numFmtId="0" fontId="105" fillId="4" borderId="153" xfId="0" applyFont="1" applyFill="1" applyBorder="1" applyAlignment="1" applyProtection="1">
      <alignment vertical="center"/>
      <protection hidden="1"/>
    </xf>
    <xf numFmtId="0" fontId="0" fillId="4" borderId="130" xfId="0" applyFill="1" applyBorder="1" applyAlignment="1">
      <alignment horizontal="center"/>
    </xf>
    <xf numFmtId="0" fontId="102" fillId="4" borderId="130" xfId="0" applyFont="1" applyFill="1" applyBorder="1" applyAlignment="1">
      <alignment horizontal="center" vertical="center"/>
    </xf>
    <xf numFmtId="8" fontId="0" fillId="4" borderId="130" xfId="0" applyNumberFormat="1" applyFill="1" applyBorder="1" applyAlignment="1">
      <alignment horizontal="center"/>
    </xf>
    <xf numFmtId="8" fontId="0" fillId="4" borderId="132" xfId="0" applyNumberFormat="1" applyFill="1" applyBorder="1" applyAlignment="1" applyProtection="1">
      <alignment horizontal="center" vertical="center"/>
      <protection hidden="1"/>
    </xf>
    <xf numFmtId="0" fontId="61" fillId="4" borderId="15" xfId="0" applyFont="1" applyFill="1" applyBorder="1" applyAlignment="1">
      <alignment horizontal="center" vertical="center"/>
    </xf>
    <xf numFmtId="0" fontId="105" fillId="4" borderId="0" xfId="0" applyFont="1" applyFill="1" applyAlignment="1">
      <alignment horizontal="center" vertical="center"/>
    </xf>
    <xf numFmtId="0" fontId="142" fillId="0" borderId="0" xfId="0" applyFont="1" applyAlignment="1">
      <alignment horizontal="center" vertical="center"/>
    </xf>
    <xf numFmtId="8" fontId="49" fillId="0" borderId="19" xfId="0" applyNumberFormat="1" applyFont="1" applyBorder="1" applyAlignment="1">
      <alignment horizontal="center"/>
    </xf>
    <xf numFmtId="8" fontId="49" fillId="9" borderId="19" xfId="0" applyNumberFormat="1" applyFont="1" applyFill="1" applyBorder="1" applyAlignment="1">
      <alignment horizontal="center"/>
    </xf>
    <xf numFmtId="178" fontId="49" fillId="0" borderId="5" xfId="0" applyNumberFormat="1" applyFont="1" applyBorder="1" applyAlignment="1">
      <alignment horizontal="center" vertical="center" wrapText="1"/>
    </xf>
    <xf numFmtId="178" fontId="49" fillId="0" borderId="7" xfId="0" applyNumberFormat="1" applyFont="1" applyBorder="1" applyAlignment="1">
      <alignment horizontal="center" vertical="center" wrapText="1"/>
    </xf>
    <xf numFmtId="0" fontId="49" fillId="0" borderId="0" xfId="0" applyFont="1" applyProtection="1">
      <protection hidden="1"/>
    </xf>
    <xf numFmtId="0" fontId="49" fillId="0" borderId="0" xfId="0" applyFont="1" applyAlignment="1" applyProtection="1">
      <alignment horizontal="center" vertical="center" wrapText="1"/>
      <protection hidden="1"/>
    </xf>
    <xf numFmtId="0" fontId="46" fillId="0" borderId="0" xfId="0" applyFont="1" applyProtection="1">
      <protection hidden="1"/>
    </xf>
    <xf numFmtId="4" fontId="31" fillId="0" borderId="0" xfId="0" applyNumberFormat="1" applyFont="1"/>
    <xf numFmtId="167" fontId="199" fillId="9" borderId="0" xfId="0" applyNumberFormat="1" applyFont="1" applyFill="1" applyAlignment="1">
      <alignment horizontal="center"/>
    </xf>
    <xf numFmtId="14" fontId="89" fillId="0" borderId="2" xfId="0" applyNumberFormat="1" applyFont="1" applyBorder="1" applyAlignment="1" applyProtection="1">
      <alignment horizontal="center" vertical="center"/>
      <protection locked="0"/>
    </xf>
    <xf numFmtId="8" fontId="89" fillId="0" borderId="2" xfId="0" applyNumberFormat="1" applyFont="1" applyBorder="1" applyAlignment="1" applyProtection="1">
      <alignment horizontal="center" vertical="center"/>
      <protection locked="0"/>
    </xf>
    <xf numFmtId="10" fontId="89" fillId="0" borderId="2" xfId="0" applyNumberFormat="1" applyFont="1" applyBorder="1" applyAlignment="1" applyProtection="1">
      <alignment horizontal="center" vertical="center"/>
      <protection locked="0"/>
    </xf>
    <xf numFmtId="198" fontId="0" fillId="0" borderId="0" xfId="0" applyNumberFormat="1"/>
    <xf numFmtId="0" fontId="100" fillId="0" borderId="0" xfId="0" applyFont="1" applyAlignment="1">
      <alignment vertical="center"/>
    </xf>
    <xf numFmtId="0" fontId="243" fillId="0" borderId="0" xfId="0" applyFont="1" applyAlignment="1">
      <alignment vertical="center"/>
    </xf>
    <xf numFmtId="8" fontId="0" fillId="4" borderId="20" xfId="0" applyNumberFormat="1" applyFill="1" applyBorder="1" applyAlignment="1">
      <alignment horizontal="center" vertical="center"/>
    </xf>
    <xf numFmtId="0" fontId="102" fillId="0" borderId="0" xfId="0" applyFont="1" applyAlignment="1">
      <alignment wrapText="1"/>
    </xf>
    <xf numFmtId="0" fontId="105" fillId="9" borderId="0" xfId="0" applyFont="1" applyFill="1" applyAlignment="1">
      <alignment horizontal="center" vertical="center"/>
    </xf>
    <xf numFmtId="0" fontId="153" fillId="0" borderId="0" xfId="0" applyFont="1" applyAlignment="1">
      <alignment horizontal="left" vertical="center" wrapText="1" readingOrder="1"/>
    </xf>
    <xf numFmtId="0" fontId="153" fillId="0" borderId="0" xfId="0" applyFont="1" applyAlignment="1">
      <alignment horizontal="center" vertical="center" wrapText="1" readingOrder="1"/>
    </xf>
    <xf numFmtId="0" fontId="216" fillId="0" borderId="0" xfId="0" applyFont="1" applyAlignment="1">
      <alignment horizontal="center" vertical="top" wrapText="1"/>
    </xf>
    <xf numFmtId="0" fontId="217" fillId="0" borderId="0" xfId="0" applyFont="1" applyAlignment="1">
      <alignment horizontal="left" vertical="center"/>
    </xf>
    <xf numFmtId="176" fontId="0" fillId="0" borderId="0" xfId="3" applyNumberFormat="1" applyFont="1" applyFill="1" applyBorder="1" applyAlignment="1">
      <alignment horizontal="center"/>
    </xf>
    <xf numFmtId="0" fontId="216" fillId="0" borderId="0" xfId="0" applyFont="1" applyAlignment="1">
      <alignment horizontal="left" vertical="top" wrapText="1"/>
    </xf>
    <xf numFmtId="10" fontId="0" fillId="0" borderId="0" xfId="0" applyNumberFormat="1" applyAlignment="1">
      <alignment horizontal="center" vertical="center"/>
    </xf>
    <xf numFmtId="176" fontId="0" fillId="0" borderId="0" xfId="3" applyNumberFormat="1" applyFont="1" applyFill="1" applyBorder="1" applyAlignment="1">
      <alignment horizontal="center" vertical="center"/>
    </xf>
    <xf numFmtId="9" fontId="0" fillId="0" borderId="0" xfId="0" applyNumberFormat="1" applyAlignment="1">
      <alignment horizontal="center" vertical="center"/>
    </xf>
    <xf numFmtId="0" fontId="0" fillId="9" borderId="0" xfId="0" applyFill="1" applyAlignment="1">
      <alignment horizontal="center" vertical="center"/>
    </xf>
    <xf numFmtId="9" fontId="105" fillId="9" borderId="0" xfId="3" applyFont="1" applyFill="1" applyAlignment="1">
      <alignment horizontal="center" vertical="center"/>
    </xf>
    <xf numFmtId="0" fontId="102" fillId="9" borderId="2" xfId="0" applyFont="1" applyFill="1" applyBorder="1" applyAlignment="1" applyProtection="1">
      <alignment horizontal="right" vertical="center"/>
      <protection hidden="1"/>
    </xf>
    <xf numFmtId="0" fontId="102" fillId="9" borderId="12" xfId="0" applyFont="1" applyFill="1" applyBorder="1" applyAlignment="1" applyProtection="1">
      <alignment horizontal="right" vertical="center"/>
      <protection hidden="1"/>
    </xf>
    <xf numFmtId="0" fontId="42" fillId="9" borderId="2" xfId="0" applyFont="1" applyFill="1" applyBorder="1" applyAlignment="1" applyProtection="1">
      <alignment horizontal="center" vertical="center"/>
      <protection hidden="1"/>
    </xf>
    <xf numFmtId="9" fontId="223" fillId="9" borderId="2" xfId="3" applyFont="1" applyFill="1" applyBorder="1" applyAlignment="1" applyProtection="1">
      <alignment horizontal="center" vertical="center"/>
      <protection hidden="1"/>
    </xf>
    <xf numFmtId="9" fontId="145" fillId="9" borderId="0" xfId="0" applyNumberFormat="1" applyFont="1" applyFill="1"/>
    <xf numFmtId="0" fontId="102" fillId="9" borderId="0" xfId="0" applyFont="1" applyFill="1" applyAlignment="1">
      <alignment vertical="center"/>
    </xf>
    <xf numFmtId="0" fontId="102" fillId="9" borderId="0" xfId="0" applyFont="1" applyFill="1" applyAlignment="1" applyProtection="1">
      <alignment vertical="center"/>
      <protection locked="0"/>
    </xf>
    <xf numFmtId="0" fontId="106" fillId="9" borderId="71" xfId="0" applyFont="1" applyFill="1" applyBorder="1" applyAlignment="1" applyProtection="1">
      <alignment horizontal="center" vertical="center" textRotation="90"/>
      <protection locked="0"/>
    </xf>
    <xf numFmtId="0" fontId="102" fillId="9" borderId="187" xfId="0" applyFont="1" applyFill="1" applyBorder="1" applyAlignment="1">
      <alignment vertical="center"/>
    </xf>
    <xf numFmtId="0" fontId="106" fillId="9" borderId="170" xfId="0" applyFont="1" applyFill="1" applyBorder="1" applyAlignment="1">
      <alignment horizontal="center" vertical="center"/>
    </xf>
    <xf numFmtId="0" fontId="106" fillId="9" borderId="2" xfId="0" applyFont="1" applyFill="1" applyBorder="1" applyAlignment="1">
      <alignment horizontal="center" vertical="center"/>
    </xf>
    <xf numFmtId="0" fontId="100" fillId="9" borderId="219" xfId="0" applyFont="1" applyFill="1" applyBorder="1" applyAlignment="1" applyProtection="1">
      <alignment horizontal="center" vertical="center"/>
      <protection hidden="1"/>
    </xf>
    <xf numFmtId="0" fontId="106" fillId="9" borderId="155" xfId="0" applyFont="1" applyFill="1" applyBorder="1" applyAlignment="1" applyProtection="1">
      <alignment horizontal="center" vertical="center"/>
      <protection hidden="1"/>
    </xf>
    <xf numFmtId="0" fontId="106" fillId="9" borderId="41" xfId="0" applyFont="1" applyFill="1" applyBorder="1" applyAlignment="1" applyProtection="1">
      <alignment horizontal="center" vertical="center"/>
      <protection hidden="1"/>
    </xf>
    <xf numFmtId="0" fontId="102" fillId="9" borderId="170" xfId="0" applyFont="1" applyFill="1" applyBorder="1" applyAlignment="1" applyProtection="1">
      <alignment horizontal="center" vertical="center"/>
      <protection hidden="1"/>
    </xf>
    <xf numFmtId="0" fontId="102" fillId="9" borderId="154" xfId="0" applyFont="1" applyFill="1" applyBorder="1" applyAlignment="1" applyProtection="1">
      <alignment horizontal="center" vertical="center"/>
      <protection hidden="1"/>
    </xf>
    <xf numFmtId="6" fontId="102" fillId="9" borderId="2" xfId="0" applyNumberFormat="1" applyFont="1" applyFill="1" applyBorder="1" applyAlignment="1" applyProtection="1">
      <alignment horizontal="center" vertical="center"/>
      <protection hidden="1"/>
    </xf>
    <xf numFmtId="8" fontId="102" fillId="9" borderId="170" xfId="0" applyNumberFormat="1" applyFont="1" applyFill="1" applyBorder="1" applyAlignment="1" applyProtection="1">
      <alignment horizontal="center" vertical="center"/>
      <protection hidden="1"/>
    </xf>
    <xf numFmtId="8" fontId="102" fillId="9" borderId="2" xfId="0" applyNumberFormat="1" applyFont="1" applyFill="1" applyBorder="1" applyAlignment="1" applyProtection="1">
      <alignment horizontal="center" vertical="center"/>
      <protection hidden="1"/>
    </xf>
    <xf numFmtId="0" fontId="102" fillId="9" borderId="153" xfId="0" applyFont="1" applyFill="1" applyBorder="1" applyAlignment="1">
      <alignment vertical="center"/>
    </xf>
    <xf numFmtId="6" fontId="112" fillId="9" borderId="168" xfId="0" applyNumberFormat="1" applyFont="1" applyFill="1" applyBorder="1" applyAlignment="1">
      <alignment horizontal="center" vertical="top"/>
    </xf>
    <xf numFmtId="8" fontId="211" fillId="9" borderId="168" xfId="0" applyNumberFormat="1" applyFont="1" applyFill="1" applyBorder="1" applyAlignment="1">
      <alignment vertical="center"/>
    </xf>
    <xf numFmtId="8" fontId="211" fillId="9" borderId="169" xfId="0" applyNumberFormat="1" applyFont="1" applyFill="1" applyBorder="1" applyAlignment="1">
      <alignment vertical="center"/>
    </xf>
    <xf numFmtId="9" fontId="105" fillId="9" borderId="0" xfId="3" applyFont="1" applyFill="1" applyAlignment="1">
      <alignment vertical="center"/>
    </xf>
    <xf numFmtId="0" fontId="102" fillId="9" borderId="221" xfId="0" applyFont="1" applyFill="1" applyBorder="1" applyAlignment="1">
      <alignment vertical="center"/>
    </xf>
    <xf numFmtId="6" fontId="112" fillId="9" borderId="131" xfId="0" applyNumberFormat="1" applyFont="1" applyFill="1" applyBorder="1" applyAlignment="1">
      <alignment horizontal="center" vertical="top"/>
    </xf>
    <xf numFmtId="0" fontId="102" fillId="9" borderId="0" xfId="0" applyFont="1" applyFill="1"/>
    <xf numFmtId="0" fontId="63" fillId="9" borderId="180" xfId="2" applyNumberFormat="1" applyFill="1" applyBorder="1" applyAlignment="1" applyProtection="1">
      <alignment vertical="center"/>
    </xf>
    <xf numFmtId="0" fontId="0" fillId="9" borderId="0" xfId="0" applyFill="1" applyAlignment="1">
      <alignment vertical="center" textRotation="90" wrapText="1"/>
    </xf>
    <xf numFmtId="0" fontId="124" fillId="9" borderId="0" xfId="0" applyFont="1" applyFill="1" applyAlignment="1">
      <alignment horizontal="center" vertical="center" textRotation="90" wrapText="1"/>
    </xf>
    <xf numFmtId="0" fontId="102" fillId="9" borderId="0" xfId="0" applyFont="1" applyFill="1" applyAlignment="1">
      <alignment horizontal="center"/>
    </xf>
    <xf numFmtId="0" fontId="102" fillId="9" borderId="0" xfId="0" applyFont="1" applyFill="1" applyAlignment="1">
      <alignment horizontal="center" vertical="center"/>
    </xf>
    <xf numFmtId="0" fontId="102" fillId="9" borderId="2" xfId="0" applyFont="1" applyFill="1" applyBorder="1" applyAlignment="1">
      <alignment vertical="center"/>
    </xf>
    <xf numFmtId="0" fontId="102" fillId="9" borderId="2" xfId="0" applyFont="1" applyFill="1" applyBorder="1" applyAlignment="1" applyProtection="1">
      <alignment vertical="center"/>
      <protection locked="0"/>
    </xf>
    <xf numFmtId="0" fontId="102" fillId="9" borderId="2" xfId="0" applyFont="1" applyFill="1" applyBorder="1"/>
    <xf numFmtId="0" fontId="102" fillId="9" borderId="2" xfId="0" applyFont="1" applyFill="1" applyBorder="1" applyAlignment="1">
      <alignment horizontal="center"/>
    </xf>
    <xf numFmtId="0" fontId="102" fillId="9" borderId="1" xfId="0" applyFont="1" applyFill="1" applyBorder="1" applyAlignment="1">
      <alignment vertical="center"/>
    </xf>
    <xf numFmtId="0" fontId="102" fillId="9" borderId="4" xfId="0" applyFont="1" applyFill="1" applyBorder="1" applyAlignment="1">
      <alignment horizontal="center" vertical="center"/>
    </xf>
    <xf numFmtId="0" fontId="102" fillId="9" borderId="3" xfId="0" applyFont="1" applyFill="1" applyBorder="1" applyAlignment="1">
      <alignment horizontal="center" vertical="center"/>
    </xf>
    <xf numFmtId="2" fontId="102" fillId="9" borderId="2" xfId="0" applyNumberFormat="1" applyFont="1" applyFill="1" applyBorder="1" applyAlignment="1">
      <alignment horizontal="center" vertical="center"/>
    </xf>
    <xf numFmtId="14" fontId="102" fillId="9" borderId="2" xfId="0" applyNumberFormat="1" applyFont="1" applyFill="1" applyBorder="1" applyAlignment="1">
      <alignment horizontal="center" vertical="center"/>
    </xf>
    <xf numFmtId="10" fontId="102" fillId="9" borderId="2" xfId="3" applyNumberFormat="1" applyFont="1" applyFill="1" applyBorder="1" applyAlignment="1">
      <alignment horizontal="center" vertical="center"/>
    </xf>
    <xf numFmtId="167" fontId="102" fillId="9" borderId="2" xfId="0" applyNumberFormat="1" applyFont="1" applyFill="1" applyBorder="1" applyAlignment="1">
      <alignment horizontal="center" vertical="center"/>
    </xf>
    <xf numFmtId="1" fontId="102" fillId="9" borderId="2" xfId="0" applyNumberFormat="1" applyFont="1" applyFill="1" applyBorder="1" applyAlignment="1">
      <alignment horizontal="center" vertical="center"/>
    </xf>
    <xf numFmtId="194" fontId="102" fillId="9" borderId="2" xfId="0" applyNumberFormat="1" applyFont="1" applyFill="1" applyBorder="1" applyAlignment="1">
      <alignment horizontal="center" vertical="center"/>
    </xf>
    <xf numFmtId="8" fontId="112" fillId="9" borderId="3" xfId="0" applyNumberFormat="1" applyFont="1" applyFill="1" applyBorder="1" applyAlignment="1">
      <alignment horizontal="center" vertical="center"/>
    </xf>
    <xf numFmtId="0" fontId="124" fillId="9" borderId="113" xfId="0" applyFont="1" applyFill="1" applyBorder="1" applyAlignment="1">
      <alignment horizontal="center" vertical="center" textRotation="90" wrapText="1"/>
    </xf>
    <xf numFmtId="0" fontId="102" fillId="9" borderId="5" xfId="0" applyFont="1" applyFill="1" applyBorder="1" applyAlignment="1">
      <alignment horizontal="center" vertical="center"/>
    </xf>
    <xf numFmtId="0" fontId="102" fillId="9" borderId="6" xfId="0" applyFont="1" applyFill="1" applyBorder="1" applyAlignment="1">
      <alignment vertical="center"/>
    </xf>
    <xf numFmtId="0" fontId="102" fillId="9" borderId="6" xfId="0" applyFont="1" applyFill="1" applyBorder="1" applyAlignment="1" applyProtection="1">
      <alignment vertical="center"/>
      <protection locked="0"/>
    </xf>
    <xf numFmtId="2" fontId="102" fillId="9" borderId="6" xfId="0" applyNumberFormat="1" applyFont="1" applyFill="1" applyBorder="1" applyAlignment="1">
      <alignment horizontal="center" vertical="center"/>
    </xf>
    <xf numFmtId="14" fontId="102" fillId="9" borderId="6" xfId="0" applyNumberFormat="1" applyFont="1" applyFill="1" applyBorder="1" applyAlignment="1">
      <alignment horizontal="center" vertical="center"/>
    </xf>
    <xf numFmtId="10" fontId="102" fillId="9" borderId="6" xfId="3" applyNumberFormat="1" applyFont="1" applyFill="1" applyBorder="1" applyAlignment="1">
      <alignment horizontal="center" vertical="center"/>
    </xf>
    <xf numFmtId="0" fontId="102" fillId="9" borderId="6" xfId="0" applyFont="1" applyFill="1" applyBorder="1" applyAlignment="1">
      <alignment horizontal="center" vertical="center"/>
    </xf>
    <xf numFmtId="1" fontId="102" fillId="9" borderId="6" xfId="0" applyNumberFormat="1" applyFont="1" applyFill="1" applyBorder="1" applyAlignment="1">
      <alignment horizontal="center" vertical="center"/>
    </xf>
    <xf numFmtId="194" fontId="102" fillId="9" borderId="6" xfId="0" applyNumberFormat="1" applyFont="1" applyFill="1" applyBorder="1" applyAlignment="1">
      <alignment horizontal="center" vertical="center"/>
    </xf>
    <xf numFmtId="8" fontId="112" fillId="9" borderId="7" xfId="0" applyNumberFormat="1" applyFont="1" applyFill="1" applyBorder="1" applyAlignment="1">
      <alignment horizontal="center" vertical="center"/>
    </xf>
    <xf numFmtId="0" fontId="124" fillId="9" borderId="28" xfId="0" applyFont="1" applyFill="1" applyBorder="1" applyAlignment="1">
      <alignment horizontal="center" vertical="center" textRotation="90" wrapText="1"/>
    </xf>
    <xf numFmtId="0" fontId="102" fillId="9" borderId="0" xfId="0" applyFont="1" applyFill="1" applyAlignment="1" applyProtection="1">
      <alignment horizontal="center" vertical="center"/>
      <protection locked="0"/>
    </xf>
    <xf numFmtId="0" fontId="102" fillId="9" borderId="31" xfId="0" applyFont="1" applyFill="1" applyBorder="1" applyAlignment="1">
      <alignment horizontal="center" vertical="center"/>
    </xf>
    <xf numFmtId="8" fontId="102" fillId="9" borderId="0" xfId="0" applyNumberFormat="1" applyFont="1" applyFill="1" applyAlignment="1">
      <alignment vertical="center"/>
    </xf>
    <xf numFmtId="14" fontId="102" fillId="9" borderId="1" xfId="0" applyNumberFormat="1" applyFont="1" applyFill="1" applyBorder="1" applyAlignment="1">
      <alignment vertical="center"/>
    </xf>
    <xf numFmtId="0" fontId="102" fillId="9" borderId="1" xfId="0" applyFont="1" applyFill="1" applyBorder="1" applyAlignment="1">
      <alignment horizontal="center" vertical="center"/>
    </xf>
    <xf numFmtId="14" fontId="102" fillId="9" borderId="2" xfId="0" applyNumberFormat="1" applyFont="1" applyFill="1" applyBorder="1" applyAlignment="1">
      <alignment vertical="center"/>
    </xf>
    <xf numFmtId="2" fontId="102" fillId="9" borderId="2" xfId="0" applyNumberFormat="1" applyFont="1" applyFill="1" applyBorder="1" applyAlignment="1">
      <alignment vertical="center"/>
    </xf>
    <xf numFmtId="2" fontId="102" fillId="9" borderId="1" xfId="0" applyNumberFormat="1" applyFont="1" applyFill="1" applyBorder="1" applyAlignment="1">
      <alignment vertical="center"/>
    </xf>
    <xf numFmtId="8" fontId="102" fillId="9" borderId="2" xfId="0" applyNumberFormat="1" applyFont="1" applyFill="1" applyBorder="1" applyAlignment="1">
      <alignment vertical="center"/>
    </xf>
    <xf numFmtId="167" fontId="102" fillId="9" borderId="2" xfId="0" applyNumberFormat="1" applyFont="1" applyFill="1" applyBorder="1" applyAlignment="1">
      <alignment vertical="center"/>
    </xf>
    <xf numFmtId="8" fontId="105" fillId="9" borderId="0" xfId="0" applyNumberFormat="1" applyFont="1" applyFill="1" applyAlignment="1">
      <alignment horizontal="center" vertical="center"/>
    </xf>
    <xf numFmtId="0" fontId="124" fillId="9" borderId="0" xfId="3" applyNumberFormat="1" applyFont="1" applyFill="1" applyBorder="1" applyAlignment="1">
      <alignment horizontal="center" vertical="center" wrapText="1"/>
    </xf>
    <xf numFmtId="10" fontId="102" fillId="9" borderId="0" xfId="0" applyNumberFormat="1" applyFont="1" applyFill="1" applyAlignment="1">
      <alignment horizontal="center" vertical="center"/>
    </xf>
    <xf numFmtId="167" fontId="102" fillId="9" borderId="1" xfId="0" applyNumberFormat="1" applyFont="1" applyFill="1" applyBorder="1" applyAlignment="1">
      <alignment vertical="center"/>
    </xf>
    <xf numFmtId="8" fontId="102" fillId="9" borderId="67" xfId="0" applyNumberFormat="1" applyFont="1" applyFill="1" applyBorder="1" applyAlignment="1">
      <alignment vertical="center"/>
    </xf>
    <xf numFmtId="8" fontId="102" fillId="9" borderId="22" xfId="0" applyNumberFormat="1" applyFont="1" applyFill="1" applyBorder="1" applyAlignment="1">
      <alignment vertical="center"/>
    </xf>
    <xf numFmtId="8" fontId="102" fillId="9" borderId="0" xfId="0" applyNumberFormat="1" applyFont="1" applyFill="1" applyAlignment="1" applyProtection="1">
      <alignment vertical="center"/>
      <protection locked="0"/>
    </xf>
    <xf numFmtId="0" fontId="102" fillId="9" borderId="0" xfId="0" applyFont="1" applyFill="1" applyAlignment="1" applyProtection="1">
      <alignment horizontal="center" vertical="center" wrapText="1"/>
      <protection locked="0"/>
    </xf>
    <xf numFmtId="10" fontId="102" fillId="9" borderId="2" xfId="3" applyNumberFormat="1" applyFont="1" applyFill="1" applyBorder="1" applyAlignment="1">
      <alignment vertical="center"/>
    </xf>
    <xf numFmtId="10" fontId="102" fillId="9" borderId="1" xfId="3" applyNumberFormat="1" applyFont="1" applyFill="1" applyBorder="1" applyAlignment="1">
      <alignment vertical="center"/>
    </xf>
    <xf numFmtId="8" fontId="102" fillId="9" borderId="82" xfId="0" applyNumberFormat="1" applyFont="1" applyFill="1" applyBorder="1" applyAlignment="1">
      <alignment vertical="center"/>
    </xf>
    <xf numFmtId="8" fontId="102" fillId="9" borderId="7" xfId="0" applyNumberFormat="1" applyFont="1" applyFill="1" applyBorder="1" applyAlignment="1">
      <alignment vertical="center"/>
    </xf>
    <xf numFmtId="176" fontId="102" fillId="9" borderId="0" xfId="3" applyNumberFormat="1" applyFont="1" applyFill="1" applyBorder="1" applyAlignment="1" applyProtection="1">
      <alignment horizontal="center" vertical="center"/>
      <protection locked="0"/>
    </xf>
    <xf numFmtId="10" fontId="102" fillId="9" borderId="0" xfId="3" applyNumberFormat="1" applyFont="1" applyFill="1" applyAlignment="1" applyProtection="1">
      <alignment horizontal="center" vertical="center"/>
      <protection locked="0"/>
    </xf>
    <xf numFmtId="8" fontId="102" fillId="9" borderId="2" xfId="0" applyNumberFormat="1" applyFont="1" applyFill="1" applyBorder="1" applyAlignment="1">
      <alignment vertical="center" wrapText="1"/>
    </xf>
    <xf numFmtId="0" fontId="102" fillId="9" borderId="2" xfId="0" applyFont="1" applyFill="1" applyBorder="1" applyAlignment="1">
      <alignment horizontal="center" vertical="center" wrapText="1"/>
    </xf>
    <xf numFmtId="6" fontId="102" fillId="9" borderId="2" xfId="0" applyNumberFormat="1" applyFont="1" applyFill="1" applyBorder="1" applyAlignment="1">
      <alignment vertical="center"/>
    </xf>
    <xf numFmtId="8" fontId="102" fillId="9" borderId="2" xfId="3" applyNumberFormat="1" applyFont="1" applyFill="1" applyBorder="1" applyAlignment="1">
      <alignment horizontal="center" vertical="center"/>
    </xf>
    <xf numFmtId="8" fontId="102" fillId="9" borderId="2" xfId="0" applyNumberFormat="1" applyFont="1" applyFill="1" applyBorder="1" applyAlignment="1">
      <alignment horizontal="center" vertical="center"/>
    </xf>
    <xf numFmtId="2" fontId="102" fillId="9" borderId="0" xfId="0" applyNumberFormat="1" applyFont="1" applyFill="1" applyAlignment="1">
      <alignment horizontal="center" vertical="center"/>
    </xf>
    <xf numFmtId="167" fontId="102" fillId="9" borderId="0" xfId="0" applyNumberFormat="1" applyFont="1" applyFill="1" applyAlignment="1">
      <alignment horizontal="center" vertical="center"/>
    </xf>
    <xf numFmtId="10" fontId="102" fillId="9" borderId="0" xfId="3" applyNumberFormat="1" applyFont="1" applyFill="1" applyBorder="1" applyAlignment="1">
      <alignment horizontal="center" vertical="center"/>
    </xf>
    <xf numFmtId="10" fontId="102" fillId="9" borderId="0" xfId="3" quotePrefix="1" applyNumberFormat="1" applyFont="1" applyFill="1" applyBorder="1" applyAlignment="1">
      <alignment horizontal="left" vertical="center"/>
    </xf>
    <xf numFmtId="8" fontId="102" fillId="9" borderId="0" xfId="3" applyNumberFormat="1" applyFont="1" applyFill="1" applyBorder="1" applyAlignment="1">
      <alignment horizontal="center" vertical="center"/>
    </xf>
    <xf numFmtId="8" fontId="102" fillId="9" borderId="0" xfId="0" applyNumberFormat="1" applyFont="1" applyFill="1" applyAlignment="1">
      <alignment horizontal="center" vertical="center"/>
    </xf>
    <xf numFmtId="9" fontId="102" fillId="9" borderId="0" xfId="0" applyNumberFormat="1" applyFont="1" applyFill="1" applyAlignment="1">
      <alignment vertical="center"/>
    </xf>
    <xf numFmtId="10" fontId="102" fillId="9" borderId="0" xfId="0" applyNumberFormat="1" applyFont="1" applyFill="1" applyAlignment="1">
      <alignment vertical="center"/>
    </xf>
    <xf numFmtId="195" fontId="102" fillId="9" borderId="2" xfId="0" applyNumberFormat="1" applyFont="1" applyFill="1" applyBorder="1" applyAlignment="1">
      <alignment vertical="center"/>
    </xf>
    <xf numFmtId="195" fontId="102" fillId="9" borderId="0" xfId="0" applyNumberFormat="1" applyFont="1" applyFill="1" applyAlignment="1">
      <alignment vertical="center"/>
    </xf>
    <xf numFmtId="190" fontId="102" fillId="9" borderId="0" xfId="0" applyNumberFormat="1" applyFont="1" applyFill="1" applyAlignment="1">
      <alignment vertical="center" wrapText="1"/>
    </xf>
    <xf numFmtId="176" fontId="102" fillId="9" borderId="0" xfId="0" applyNumberFormat="1" applyFont="1" applyFill="1" applyAlignment="1" applyProtection="1">
      <alignment vertical="center"/>
      <protection locked="0"/>
    </xf>
    <xf numFmtId="196" fontId="102" fillId="9" borderId="2" xfId="3" applyNumberFormat="1" applyFont="1" applyFill="1" applyBorder="1" applyAlignment="1">
      <alignment horizontal="center" vertical="center"/>
    </xf>
    <xf numFmtId="9" fontId="102" fillId="9" borderId="0" xfId="3" applyFont="1" applyFill="1" applyBorder="1" applyAlignment="1">
      <alignment horizontal="center" vertical="center"/>
    </xf>
    <xf numFmtId="0" fontId="102" fillId="9" borderId="2" xfId="0" applyFont="1" applyFill="1" applyBorder="1" applyProtection="1">
      <protection locked="0"/>
    </xf>
    <xf numFmtId="0" fontId="102" fillId="9" borderId="10" xfId="0" applyFont="1" applyFill="1" applyBorder="1" applyAlignment="1" applyProtection="1">
      <alignment horizontal="center" vertical="center"/>
      <protection hidden="1"/>
    </xf>
    <xf numFmtId="0" fontId="102" fillId="9" borderId="2" xfId="0" applyFont="1" applyFill="1" applyBorder="1" applyAlignment="1" applyProtection="1">
      <alignment horizontal="center" vertical="center"/>
      <protection hidden="1"/>
    </xf>
    <xf numFmtId="0" fontId="102" fillId="9" borderId="33" xfId="0" applyFont="1" applyFill="1" applyBorder="1" applyAlignment="1" applyProtection="1">
      <alignment horizontal="center" vertical="center"/>
      <protection hidden="1"/>
    </xf>
    <xf numFmtId="0" fontId="100" fillId="9" borderId="56" xfId="0" applyFont="1" applyFill="1" applyBorder="1" applyAlignment="1" applyProtection="1">
      <alignment horizontal="center" vertical="center"/>
      <protection hidden="1"/>
    </xf>
    <xf numFmtId="0" fontId="102" fillId="9" borderId="210" xfId="0" applyFont="1" applyFill="1" applyBorder="1" applyAlignment="1" applyProtection="1">
      <alignment horizontal="center" vertical="center"/>
      <protection hidden="1"/>
    </xf>
    <xf numFmtId="8" fontId="102" fillId="9" borderId="8" xfId="0" applyNumberFormat="1" applyFont="1" applyFill="1" applyBorder="1" applyAlignment="1">
      <alignment horizontal="center" vertical="center"/>
    </xf>
    <xf numFmtId="0" fontId="106" fillId="9" borderId="2" xfId="0" applyFont="1" applyFill="1" applyBorder="1" applyAlignment="1" applyProtection="1">
      <alignment horizontal="right" vertical="center"/>
      <protection hidden="1"/>
    </xf>
    <xf numFmtId="10" fontId="0" fillId="0" borderId="2" xfId="3" applyNumberFormat="1" applyFont="1" applyBorder="1" applyAlignment="1">
      <alignment horizontal="center" vertical="center" wrapText="1"/>
    </xf>
    <xf numFmtId="6" fontId="86" fillId="2" borderId="242" xfId="0" applyNumberFormat="1" applyFont="1" applyFill="1" applyBorder="1" applyAlignment="1" applyProtection="1">
      <alignment horizontal="center" vertical="center"/>
      <protection locked="0"/>
    </xf>
    <xf numFmtId="6" fontId="107" fillId="4" borderId="244" xfId="0" applyNumberFormat="1" applyFont="1" applyFill="1" applyBorder="1" applyAlignment="1" applyProtection="1">
      <alignment horizontal="center" vertical="center"/>
      <protection hidden="1"/>
    </xf>
    <xf numFmtId="0" fontId="0" fillId="4" borderId="246" xfId="0" applyFill="1" applyBorder="1" applyAlignment="1" applyProtection="1">
      <alignment vertical="center"/>
      <protection hidden="1"/>
    </xf>
    <xf numFmtId="0" fontId="0" fillId="4" borderId="247" xfId="0" applyFill="1" applyBorder="1" applyAlignment="1" applyProtection="1">
      <alignment vertical="center"/>
      <protection hidden="1"/>
    </xf>
    <xf numFmtId="6" fontId="234" fillId="4" borderId="248" xfId="0" applyNumberFormat="1" applyFont="1" applyFill="1" applyBorder="1" applyAlignment="1">
      <alignment horizontal="center" vertical="center"/>
    </xf>
    <xf numFmtId="9" fontId="104" fillId="9" borderId="0" xfId="3" applyFont="1" applyFill="1" applyAlignment="1">
      <alignment horizontal="center" vertical="center"/>
    </xf>
    <xf numFmtId="0" fontId="0" fillId="9" borderId="0" xfId="0" applyFill="1" applyAlignment="1" applyProtection="1">
      <alignment vertical="center"/>
      <protection hidden="1"/>
    </xf>
    <xf numFmtId="0" fontId="89" fillId="0" borderId="0" xfId="0" applyFont="1"/>
    <xf numFmtId="8" fontId="89" fillId="0" borderId="0" xfId="0" applyNumberFormat="1" applyFont="1"/>
    <xf numFmtId="8" fontId="61" fillId="0" borderId="0" xfId="0" applyNumberFormat="1" applyFont="1" applyAlignment="1">
      <alignment horizontal="center" vertical="center"/>
    </xf>
    <xf numFmtId="0" fontId="116" fillId="0" borderId="0" xfId="0" applyFont="1" applyAlignment="1">
      <alignment vertical="center"/>
    </xf>
    <xf numFmtId="0" fontId="0" fillId="0" borderId="12" xfId="0" applyBorder="1" applyProtection="1">
      <protection locked="0"/>
    </xf>
    <xf numFmtId="14"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2" fontId="0" fillId="0" borderId="0" xfId="0" applyNumberFormat="1" applyAlignment="1" applyProtection="1">
      <alignment horizontal="center" vertical="center"/>
      <protection hidden="1"/>
    </xf>
    <xf numFmtId="10" fontId="0" fillId="0" borderId="0" xfId="3" applyNumberFormat="1" applyFont="1" applyFill="1" applyBorder="1" applyAlignment="1" applyProtection="1">
      <alignment horizontal="center" vertical="center"/>
      <protection hidden="1"/>
    </xf>
    <xf numFmtId="14" fontId="0" fillId="0" borderId="0" xfId="0" applyNumberFormat="1" applyAlignment="1">
      <alignment horizontal="center" vertical="center"/>
    </xf>
    <xf numFmtId="9" fontId="0" fillId="0" borderId="0" xfId="0" applyNumberFormat="1" applyAlignment="1" applyProtection="1">
      <alignment horizontal="center" vertical="center"/>
      <protection locked="0" hidden="1"/>
    </xf>
    <xf numFmtId="10" fontId="0" fillId="0" borderId="0" xfId="3" applyNumberFormat="1" applyFont="1" applyFill="1" applyBorder="1" applyAlignment="1" applyProtection="1">
      <alignment horizontal="center" vertical="center"/>
      <protection locked="0" hidden="1"/>
    </xf>
    <xf numFmtId="2" fontId="0" fillId="0" borderId="0" xfId="0" applyNumberFormat="1" applyAlignment="1">
      <alignment horizontal="center" vertical="center"/>
    </xf>
    <xf numFmtId="10" fontId="99" fillId="0" borderId="0" xfId="3" applyNumberFormat="1" applyFont="1" applyFill="1" applyBorder="1" applyAlignment="1">
      <alignment horizontal="center" vertical="center"/>
    </xf>
    <xf numFmtId="0" fontId="0" fillId="0" borderId="0" xfId="0" applyAlignment="1" applyProtection="1">
      <alignment vertical="center"/>
      <protection hidden="1"/>
    </xf>
    <xf numFmtId="10" fontId="89" fillId="0" borderId="0" xfId="3" applyNumberFormat="1" applyFont="1" applyFill="1" applyBorder="1" applyAlignment="1" applyProtection="1">
      <alignment horizontal="center" vertical="center"/>
      <protection hidden="1"/>
    </xf>
    <xf numFmtId="1" fontId="0" fillId="0" borderId="0" xfId="0" applyNumberFormat="1" applyAlignment="1">
      <alignment horizontal="center" vertical="center"/>
    </xf>
    <xf numFmtId="0" fontId="0" fillId="0" borderId="0" xfId="0" applyAlignment="1" applyProtection="1">
      <alignment horizontal="right" vertical="center" wrapText="1"/>
      <protection hidden="1"/>
    </xf>
    <xf numFmtId="8" fontId="0" fillId="0" borderId="0" xfId="0" applyNumberFormat="1" applyAlignment="1" applyProtection="1">
      <alignment horizontal="center" vertical="center"/>
      <protection hidden="1"/>
    </xf>
    <xf numFmtId="0" fontId="179" fillId="0" borderId="0" xfId="0" applyFont="1" applyAlignment="1">
      <alignment horizontal="center" vertical="center"/>
    </xf>
    <xf numFmtId="8" fontId="34" fillId="0" borderId="0" xfId="0" applyNumberFormat="1" applyFont="1" applyAlignment="1" applyProtection="1">
      <alignment horizontal="center" vertical="center"/>
      <protection hidden="1"/>
    </xf>
    <xf numFmtId="6" fontId="34" fillId="0" borderId="0" xfId="3" applyNumberFormat="1" applyFont="1" applyFill="1" applyBorder="1" applyAlignment="1" applyProtection="1">
      <alignment horizontal="center" vertical="center"/>
      <protection hidden="1"/>
    </xf>
    <xf numFmtId="6" fontId="115" fillId="0" borderId="0" xfId="0" applyNumberFormat="1" applyFont="1" applyAlignment="1" applyProtection="1">
      <alignment horizontal="center" vertical="center"/>
      <protection hidden="1"/>
    </xf>
    <xf numFmtId="0" fontId="157" fillId="4" borderId="0" xfId="0" applyFont="1" applyFill="1" applyAlignment="1">
      <alignment vertical="center" wrapText="1"/>
    </xf>
    <xf numFmtId="14" fontId="0" fillId="9" borderId="2" xfId="0" applyNumberFormat="1" applyFill="1" applyBorder="1" applyAlignment="1" applyProtection="1">
      <alignment horizontal="center" vertical="center"/>
      <protection hidden="1"/>
    </xf>
    <xf numFmtId="8" fontId="100" fillId="0" borderId="2" xfId="0" applyNumberFormat="1" applyFont="1" applyBorder="1" applyAlignment="1" applyProtection="1">
      <alignment vertical="center"/>
      <protection locked="0"/>
    </xf>
    <xf numFmtId="0" fontId="0" fillId="0" borderId="2" xfId="0" applyBorder="1" applyAlignment="1" applyProtection="1">
      <alignment horizontal="center" vertical="center"/>
      <protection locked="0" hidden="1"/>
    </xf>
    <xf numFmtId="0" fontId="100" fillId="9" borderId="24" xfId="0" applyFont="1" applyFill="1" applyBorder="1" applyAlignment="1">
      <alignment horizontal="right" vertical="center"/>
    </xf>
    <xf numFmtId="9" fontId="89" fillId="0" borderId="2" xfId="0" applyNumberFormat="1" applyFont="1" applyBorder="1" applyAlignment="1" applyProtection="1">
      <alignment horizontal="center" vertical="center"/>
      <protection locked="0"/>
    </xf>
    <xf numFmtId="9" fontId="0" fillId="0" borderId="2" xfId="0" applyNumberFormat="1" applyBorder="1" applyAlignment="1" applyProtection="1">
      <alignment horizontal="center" vertical="center"/>
      <protection locked="0"/>
    </xf>
    <xf numFmtId="0" fontId="100" fillId="0" borderId="2" xfId="0" applyFont="1" applyBorder="1" applyAlignment="1" applyProtection="1">
      <alignment horizontal="center" vertical="center"/>
      <protection locked="0"/>
    </xf>
    <xf numFmtId="0" fontId="0" fillId="9" borderId="2" xfId="0" applyFill="1" applyBorder="1" applyAlignment="1" applyProtection="1">
      <alignment horizontal="center" vertical="center" wrapText="1"/>
      <protection hidden="1"/>
    </xf>
    <xf numFmtId="6" fontId="0" fillId="0" borderId="2" xfId="0" applyNumberFormat="1" applyBorder="1" applyAlignment="1">
      <alignment horizontal="center" vertical="center"/>
    </xf>
    <xf numFmtId="0" fontId="28" fillId="4" borderId="2" xfId="0" applyFont="1" applyFill="1" applyBorder="1" applyAlignment="1">
      <alignment horizontal="center" vertical="center"/>
    </xf>
    <xf numFmtId="185" fontId="28" fillId="2" borderId="2" xfId="0" applyNumberFormat="1" applyFont="1" applyFill="1" applyBorder="1" applyAlignment="1" applyProtection="1">
      <alignment horizontal="center" vertical="center"/>
      <protection locked="0"/>
    </xf>
    <xf numFmtId="190" fontId="28" fillId="0" borderId="2" xfId="0" applyNumberFormat="1" applyFont="1" applyBorder="1" applyAlignment="1" applyProtection="1">
      <alignment horizontal="center" vertical="center"/>
      <protection locked="0"/>
    </xf>
    <xf numFmtId="14" fontId="28" fillId="0" borderId="2" xfId="0" applyNumberFormat="1" applyFont="1" applyBorder="1" applyAlignment="1" applyProtection="1">
      <alignment horizontal="center" vertical="center"/>
      <protection locked="0"/>
    </xf>
    <xf numFmtId="0" fontId="100" fillId="9" borderId="4" xfId="0" applyFont="1" applyFill="1" applyBorder="1" applyAlignment="1">
      <alignment horizontal="right" vertical="center"/>
    </xf>
    <xf numFmtId="0" fontId="0" fillId="9" borderId="1" xfId="0" applyFill="1" applyBorder="1" applyAlignment="1" applyProtection="1">
      <alignment horizontal="right" vertical="center"/>
      <protection hidden="1"/>
    </xf>
    <xf numFmtId="8" fontId="89" fillId="9" borderId="77" xfId="0" applyNumberFormat="1" applyFont="1" applyFill="1" applyBorder="1" applyAlignment="1" applyProtection="1">
      <alignment horizontal="left" vertical="center"/>
      <protection hidden="1"/>
    </xf>
    <xf numFmtId="0" fontId="100" fillId="0" borderId="2" xfId="0" applyFont="1" applyBorder="1" applyAlignment="1">
      <alignment horizontal="center" vertical="center"/>
    </xf>
    <xf numFmtId="0" fontId="250" fillId="9" borderId="0" xfId="0" applyFont="1" applyFill="1" applyAlignment="1">
      <alignment horizontal="center" vertical="center"/>
    </xf>
    <xf numFmtId="0" fontId="109" fillId="9" borderId="0" xfId="0" applyFont="1" applyFill="1" applyAlignment="1">
      <alignment vertical="center"/>
    </xf>
    <xf numFmtId="0" fontId="100" fillId="9" borderId="0" xfId="0" applyFont="1" applyFill="1" applyAlignment="1">
      <alignment vertical="center"/>
    </xf>
    <xf numFmtId="0" fontId="27" fillId="9" borderId="0" xfId="0" applyFont="1" applyFill="1" applyAlignment="1" applyProtection="1">
      <alignment vertical="center"/>
      <protection hidden="1"/>
    </xf>
    <xf numFmtId="0" fontId="245" fillId="9" borderId="0" xfId="2" applyNumberFormat="1" applyFont="1" applyFill="1" applyAlignment="1" applyProtection="1">
      <alignment vertical="center"/>
      <protection hidden="1"/>
    </xf>
    <xf numFmtId="0" fontId="109" fillId="0" borderId="0" xfId="0" applyFont="1" applyAlignment="1">
      <alignment vertical="center"/>
    </xf>
    <xf numFmtId="10" fontId="0" fillId="6" borderId="21" xfId="3" applyNumberFormat="1" applyFont="1" applyFill="1" applyBorder="1" applyAlignment="1" applyProtection="1">
      <alignment horizontal="center" vertical="center"/>
      <protection hidden="1"/>
    </xf>
    <xf numFmtId="0" fontId="0" fillId="6" borderId="2" xfId="0" applyFill="1" applyBorder="1" applyAlignment="1" applyProtection="1">
      <alignment horizontal="center" vertical="center"/>
      <protection locked="0"/>
    </xf>
    <xf numFmtId="14" fontId="0" fillId="6" borderId="2" xfId="0" applyNumberFormat="1" applyFill="1" applyBorder="1" applyAlignment="1" applyProtection="1">
      <alignment horizontal="center" vertical="center"/>
      <protection locked="0"/>
    </xf>
    <xf numFmtId="8" fontId="110" fillId="6" borderId="2" xfId="0" applyNumberFormat="1" applyFont="1" applyFill="1" applyBorder="1" applyAlignment="1" applyProtection="1">
      <alignment vertical="center"/>
      <protection locked="0"/>
    </xf>
    <xf numFmtId="176" fontId="0" fillId="0" borderId="2" xfId="3" applyNumberFormat="1" applyFont="1" applyBorder="1" applyAlignment="1">
      <alignment horizontal="center" vertical="center"/>
    </xf>
    <xf numFmtId="0" fontId="0" fillId="9" borderId="170" xfId="0" applyFill="1" applyBorder="1" applyAlignment="1">
      <alignment horizontal="right" vertical="center"/>
    </xf>
    <xf numFmtId="0" fontId="0" fillId="9" borderId="130" xfId="0" applyFill="1" applyBorder="1" applyAlignment="1">
      <alignment vertical="center"/>
    </xf>
    <xf numFmtId="2" fontId="100" fillId="9" borderId="130" xfId="0" applyNumberFormat="1" applyFont="1" applyFill="1" applyBorder="1" applyAlignment="1">
      <alignment horizontal="center" vertical="center"/>
    </xf>
    <xf numFmtId="0" fontId="110" fillId="9" borderId="170" xfId="0" applyFont="1" applyFill="1" applyBorder="1" applyAlignment="1">
      <alignment horizontal="right" vertical="center"/>
    </xf>
    <xf numFmtId="8" fontId="110" fillId="9" borderId="130" xfId="0" applyNumberFormat="1" applyFont="1" applyFill="1" applyBorder="1" applyAlignment="1">
      <alignment horizontal="center" vertical="center"/>
    </xf>
    <xf numFmtId="6" fontId="0" fillId="9" borderId="130" xfId="0" applyNumberFormat="1" applyFill="1" applyBorder="1" applyAlignment="1">
      <alignment horizontal="center" vertical="center"/>
    </xf>
    <xf numFmtId="0" fontId="0" fillId="9" borderId="130" xfId="0" applyFill="1" applyBorder="1" applyAlignment="1">
      <alignment horizontal="center" vertical="center"/>
    </xf>
    <xf numFmtId="2" fontId="0" fillId="9" borderId="130" xfId="0" applyNumberFormat="1" applyFill="1" applyBorder="1" applyAlignment="1">
      <alignment horizontal="center" vertical="center"/>
    </xf>
    <xf numFmtId="8" fontId="0" fillId="9" borderId="130" xfId="0" applyNumberFormat="1" applyFill="1" applyBorder="1" applyAlignment="1">
      <alignment horizontal="center" vertical="center"/>
    </xf>
    <xf numFmtId="6" fontId="110" fillId="9" borderId="130" xfId="0" applyNumberFormat="1" applyFont="1" applyFill="1" applyBorder="1" applyAlignment="1">
      <alignment horizontal="center" vertical="center"/>
    </xf>
    <xf numFmtId="194" fontId="0" fillId="0" borderId="2" xfId="0" applyNumberFormat="1" applyBorder="1" applyAlignment="1">
      <alignment horizontal="center" vertical="center"/>
    </xf>
    <xf numFmtId="177" fontId="0" fillId="0" borderId="2" xfId="3" applyNumberFormat="1" applyFont="1" applyBorder="1" applyAlignment="1">
      <alignment horizontal="center" vertical="center"/>
    </xf>
    <xf numFmtId="0" fontId="0" fillId="9" borderId="2" xfId="0" applyFill="1" applyBorder="1" applyAlignment="1" applyProtection="1">
      <alignment horizontal="right" vertical="center"/>
      <protection hidden="1"/>
    </xf>
    <xf numFmtId="0" fontId="100" fillId="9" borderId="2" xfId="0" applyFont="1" applyFill="1" applyBorder="1" applyAlignment="1" applyProtection="1">
      <alignment horizontal="right" vertical="center"/>
      <protection hidden="1"/>
    </xf>
    <xf numFmtId="8" fontId="100" fillId="9" borderId="1" xfId="0" applyNumberFormat="1" applyFont="1" applyFill="1" applyBorder="1" applyAlignment="1" applyProtection="1">
      <alignment horizontal="center" vertical="center"/>
      <protection hidden="1"/>
    </xf>
    <xf numFmtId="8" fontId="0" fillId="9" borderId="1" xfId="0" applyNumberFormat="1" applyFill="1" applyBorder="1" applyAlignment="1" applyProtection="1">
      <alignment horizontal="center" vertical="center"/>
      <protection hidden="1"/>
    </xf>
    <xf numFmtId="0" fontId="0" fillId="9" borderId="2" xfId="0" applyFill="1" applyBorder="1" applyAlignment="1">
      <alignment horizontal="right" vertical="center"/>
    </xf>
    <xf numFmtId="8" fontId="0" fillId="0" borderId="2" xfId="0" applyNumberFormat="1" applyBorder="1" applyAlignment="1" applyProtection="1">
      <alignment horizontal="center" vertical="center"/>
      <protection locked="0"/>
    </xf>
    <xf numFmtId="14" fontId="112" fillId="0" borderId="41" xfId="0" applyNumberFormat="1" applyFont="1" applyBorder="1" applyAlignment="1" applyProtection="1">
      <alignment horizontal="center" vertical="center" wrapText="1"/>
      <protection locked="0"/>
    </xf>
    <xf numFmtId="0" fontId="100" fillId="9" borderId="41" xfId="0" applyFont="1" applyFill="1" applyBorder="1" applyAlignment="1" applyProtection="1">
      <alignment horizontal="right" vertical="center"/>
      <protection hidden="1"/>
    </xf>
    <xf numFmtId="8" fontId="100" fillId="0" borderId="31" xfId="0" applyNumberFormat="1" applyFont="1" applyBorder="1" applyAlignment="1" applyProtection="1">
      <alignment horizontal="center" vertical="center"/>
      <protection locked="0"/>
    </xf>
    <xf numFmtId="0" fontId="100" fillId="0" borderId="41" xfId="0" applyFont="1" applyBorder="1" applyAlignment="1" applyProtection="1">
      <alignment horizontal="center" vertical="center"/>
      <protection locked="0"/>
    </xf>
    <xf numFmtId="10" fontId="100" fillId="0" borderId="2" xfId="0" applyNumberFormat="1" applyFont="1" applyBorder="1" applyAlignment="1" applyProtection="1">
      <alignment horizontal="center" vertical="center"/>
      <protection locked="0"/>
    </xf>
    <xf numFmtId="0" fontId="0" fillId="9" borderId="0" xfId="0" applyFill="1" applyAlignment="1" applyProtection="1">
      <alignment horizontal="right" vertical="center"/>
      <protection hidden="1"/>
    </xf>
    <xf numFmtId="8" fontId="0" fillId="0" borderId="1" xfId="0" applyNumberFormat="1" applyBorder="1" applyAlignment="1" applyProtection="1">
      <alignment horizontal="center" vertical="center"/>
      <protection locked="0"/>
    </xf>
    <xf numFmtId="0" fontId="201" fillId="9" borderId="2" xfId="0" applyFont="1" applyFill="1" applyBorder="1" applyAlignment="1" applyProtection="1">
      <alignment horizontal="center" vertical="center"/>
      <protection hidden="1"/>
    </xf>
    <xf numFmtId="8" fontId="0" fillId="0" borderId="186" xfId="0" applyNumberFormat="1" applyBorder="1" applyAlignment="1" applyProtection="1">
      <alignment horizontal="center" vertical="center"/>
      <protection locked="0"/>
    </xf>
    <xf numFmtId="8" fontId="0" fillId="9" borderId="2" xfId="0" applyNumberFormat="1" applyFill="1" applyBorder="1" applyAlignment="1" applyProtection="1">
      <alignment horizontal="center" vertical="center"/>
      <protection hidden="1"/>
    </xf>
    <xf numFmtId="0" fontId="0" fillId="9" borderId="27" xfId="0" applyFill="1" applyBorder="1" applyAlignment="1" applyProtection="1">
      <alignment horizontal="center" vertical="center" wrapText="1"/>
      <protection hidden="1"/>
    </xf>
    <xf numFmtId="8" fontId="100" fillId="9" borderId="2" xfId="0" applyNumberFormat="1" applyFont="1" applyFill="1" applyBorder="1" applyAlignment="1" applyProtection="1">
      <alignment horizontal="center" vertical="center"/>
      <protection hidden="1"/>
    </xf>
    <xf numFmtId="10" fontId="100" fillId="0" borderId="3" xfId="0" applyNumberFormat="1" applyFont="1" applyBorder="1" applyAlignment="1" applyProtection="1">
      <alignment horizontal="center" vertical="center"/>
      <protection locked="0"/>
    </xf>
    <xf numFmtId="0" fontId="239" fillId="0" borderId="0" xfId="0" applyFont="1" applyAlignment="1">
      <alignment vertical="center"/>
    </xf>
    <xf numFmtId="0" fontId="0" fillId="9" borderId="0" xfId="0" applyFill="1" applyAlignment="1">
      <alignment horizontal="center" vertical="center" wrapText="1"/>
    </xf>
    <xf numFmtId="0" fontId="0" fillId="9" borderId="4" xfId="0" applyFill="1" applyBorder="1" applyAlignment="1" applyProtection="1">
      <alignment horizontal="center" vertical="center" wrapText="1"/>
      <protection hidden="1"/>
    </xf>
    <xf numFmtId="0" fontId="0" fillId="9" borderId="3" xfId="0" applyFill="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0" fillId="0" borderId="4" xfId="0" applyBorder="1" applyAlignment="1" applyProtection="1">
      <alignment horizontal="center"/>
      <protection locked="0"/>
    </xf>
    <xf numFmtId="3" fontId="0" fillId="9" borderId="2" xfId="0" applyNumberFormat="1" applyFill="1" applyBorder="1" applyAlignment="1">
      <alignment horizontal="center"/>
    </xf>
    <xf numFmtId="167" fontId="0" fillId="9" borderId="2" xfId="0" applyNumberFormat="1" applyFill="1" applyBorder="1" applyAlignment="1">
      <alignment horizontal="center"/>
    </xf>
    <xf numFmtId="8" fontId="0" fillId="9" borderId="2" xfId="0" applyNumberFormat="1" applyFill="1" applyBorder="1" applyAlignment="1" applyProtection="1">
      <alignment horizontal="center"/>
      <protection hidden="1"/>
    </xf>
    <xf numFmtId="8" fontId="0" fillId="9" borderId="3" xfId="0" applyNumberFormat="1" applyFill="1" applyBorder="1" applyAlignment="1" applyProtection="1">
      <alignment horizontal="center"/>
      <protection hidden="1"/>
    </xf>
    <xf numFmtId="0" fontId="0" fillId="9" borderId="4" xfId="0" applyFill="1" applyBorder="1" applyAlignment="1" applyProtection="1">
      <alignment horizontal="center"/>
      <protection hidden="1"/>
    </xf>
    <xf numFmtId="0" fontId="0" fillId="9" borderId="2" xfId="0" applyFill="1" applyBorder="1" applyAlignment="1" applyProtection="1">
      <alignment horizontal="center"/>
      <protection hidden="1"/>
    </xf>
    <xf numFmtId="3" fontId="0" fillId="9" borderId="2" xfId="0" applyNumberFormat="1" applyFill="1" applyBorder="1" applyAlignment="1" applyProtection="1">
      <alignment horizontal="center"/>
      <protection hidden="1"/>
    </xf>
    <xf numFmtId="8" fontId="109" fillId="9" borderId="3" xfId="0" applyNumberFormat="1" applyFont="1" applyFill="1" applyBorder="1" applyAlignment="1" applyProtection="1">
      <alignment horizontal="center" vertical="center"/>
      <protection hidden="1"/>
    </xf>
    <xf numFmtId="8" fontId="0" fillId="9" borderId="3" xfId="0" applyNumberFormat="1" applyFill="1" applyBorder="1" applyAlignment="1" applyProtection="1">
      <alignment horizontal="center" vertical="center"/>
      <protection hidden="1"/>
    </xf>
    <xf numFmtId="8" fontId="122" fillId="9" borderId="7" xfId="0" applyNumberFormat="1" applyFont="1" applyFill="1" applyBorder="1" applyAlignment="1" applyProtection="1">
      <alignment horizontal="center" vertical="center"/>
      <protection hidden="1"/>
    </xf>
    <xf numFmtId="0" fontId="239" fillId="0" borderId="0" xfId="0" applyFont="1"/>
    <xf numFmtId="0" fontId="255" fillId="0" borderId="0" xfId="0" applyFont="1"/>
    <xf numFmtId="0" fontId="0" fillId="4" borderId="25" xfId="0" applyFill="1" applyBorder="1" applyAlignment="1" applyProtection="1">
      <alignment vertical="center"/>
      <protection hidden="1"/>
    </xf>
    <xf numFmtId="0" fontId="256" fillId="4" borderId="25" xfId="0" applyFont="1" applyFill="1" applyBorder="1" applyAlignment="1" applyProtection="1">
      <alignment horizontal="center" vertical="center"/>
      <protection hidden="1"/>
    </xf>
    <xf numFmtId="0" fontId="100" fillId="18" borderId="2" xfId="0" applyFont="1" applyFill="1" applyBorder="1" applyAlignment="1" applyProtection="1">
      <alignment horizontal="center" vertical="center"/>
      <protection hidden="1"/>
    </xf>
    <xf numFmtId="0" fontId="100" fillId="23" borderId="2" xfId="0" applyFont="1" applyFill="1" applyBorder="1" applyAlignment="1" applyProtection="1">
      <alignment horizontal="center" vertical="center"/>
      <protection hidden="1"/>
    </xf>
    <xf numFmtId="0" fontId="100" fillId="23" borderId="130" xfId="0" applyFont="1" applyFill="1" applyBorder="1" applyAlignment="1" applyProtection="1">
      <alignment horizontal="center" vertical="center"/>
      <protection hidden="1"/>
    </xf>
    <xf numFmtId="0" fontId="100" fillId="18" borderId="41" xfId="0" applyFont="1" applyFill="1" applyBorder="1" applyAlignment="1" applyProtection="1">
      <alignment horizontal="center" vertical="center"/>
      <protection hidden="1"/>
    </xf>
    <xf numFmtId="0" fontId="100" fillId="23" borderId="41" xfId="0" applyFont="1" applyFill="1" applyBorder="1" applyAlignment="1" applyProtection="1">
      <alignment horizontal="center" vertical="center"/>
      <protection hidden="1"/>
    </xf>
    <xf numFmtId="0" fontId="100" fillId="23" borderId="145" xfId="0" applyFont="1" applyFill="1" applyBorder="1" applyAlignment="1" applyProtection="1">
      <alignment horizontal="center" vertical="center"/>
      <protection hidden="1"/>
    </xf>
    <xf numFmtId="0" fontId="257" fillId="0" borderId="0" xfId="0" applyFont="1"/>
    <xf numFmtId="0" fontId="258" fillId="0" borderId="0" xfId="0" applyFont="1"/>
    <xf numFmtId="0" fontId="26" fillId="0" borderId="0" xfId="0" applyFont="1"/>
    <xf numFmtId="0" fontId="115" fillId="0" borderId="0" xfId="0" applyFont="1"/>
    <xf numFmtId="8" fontId="0" fillId="0" borderId="0" xfId="0" applyNumberFormat="1" applyAlignment="1">
      <alignment horizontal="center" vertical="center"/>
    </xf>
    <xf numFmtId="178" fontId="0" fillId="0" borderId="0" xfId="0" applyNumberFormat="1" applyAlignment="1">
      <alignment horizontal="center" vertical="center"/>
    </xf>
    <xf numFmtId="190" fontId="0" fillId="0" borderId="0" xfId="0" applyNumberFormat="1" applyAlignment="1">
      <alignment horizontal="center" vertical="center"/>
    </xf>
    <xf numFmtId="2" fontId="0" fillId="9" borderId="146" xfId="0" applyNumberFormat="1" applyFill="1" applyBorder="1" applyAlignment="1" applyProtection="1">
      <alignment horizontal="left" vertical="center"/>
      <protection hidden="1"/>
    </xf>
    <xf numFmtId="2" fontId="0" fillId="9" borderId="254" xfId="0" applyNumberFormat="1" applyFill="1" applyBorder="1" applyAlignment="1" applyProtection="1">
      <alignment horizontal="left" vertical="center"/>
      <protection hidden="1"/>
    </xf>
    <xf numFmtId="0" fontId="0" fillId="9" borderId="170" xfId="0" applyFill="1" applyBorder="1" applyAlignment="1">
      <alignment horizontal="left" vertical="center"/>
    </xf>
    <xf numFmtId="0" fontId="100" fillId="0" borderId="131" xfId="0" applyFont="1" applyBorder="1" applyAlignment="1" applyProtection="1">
      <alignment vertical="center"/>
      <protection locked="0"/>
    </xf>
    <xf numFmtId="6" fontId="102" fillId="9" borderId="146" xfId="0" applyNumberFormat="1" applyFont="1" applyFill="1" applyBorder="1" applyAlignment="1">
      <alignment horizontal="center" vertical="center"/>
    </xf>
    <xf numFmtId="0" fontId="248" fillId="9" borderId="0" xfId="0" applyFont="1" applyFill="1" applyAlignment="1" applyProtection="1">
      <alignment vertical="center" wrapText="1"/>
      <protection hidden="1"/>
    </xf>
    <xf numFmtId="2" fontId="100" fillId="0" borderId="2" xfId="0" applyNumberFormat="1" applyFont="1" applyBorder="1" applyAlignment="1">
      <alignment horizontal="center" vertical="center"/>
    </xf>
    <xf numFmtId="14" fontId="115" fillId="23" borderId="130" xfId="0" quotePrefix="1" applyNumberFormat="1" applyFont="1" applyFill="1" applyBorder="1" applyAlignment="1" applyProtection="1">
      <alignment horizontal="center" vertical="center"/>
      <protection hidden="1"/>
    </xf>
    <xf numFmtId="0" fontId="25" fillId="0" borderId="0" xfId="0" applyFont="1"/>
    <xf numFmtId="194" fontId="0" fillId="0" borderId="0" xfId="0" applyNumberFormat="1" applyAlignment="1">
      <alignment horizontal="center" vertical="center"/>
    </xf>
    <xf numFmtId="2" fontId="100" fillId="0" borderId="0" xfId="0" applyNumberFormat="1" applyFont="1" applyAlignment="1">
      <alignment horizontal="center" vertical="center"/>
    </xf>
    <xf numFmtId="199" fontId="0" fillId="0" borderId="2" xfId="20" applyNumberFormat="1" applyFont="1" applyBorder="1" applyAlignment="1">
      <alignment horizontal="center" vertical="center"/>
    </xf>
    <xf numFmtId="199" fontId="0" fillId="0" borderId="2" xfId="20" applyNumberFormat="1" applyFont="1" applyBorder="1" applyAlignment="1">
      <alignment vertical="center"/>
    </xf>
    <xf numFmtId="199" fontId="0" fillId="0" borderId="0" xfId="20" applyNumberFormat="1" applyFont="1" applyAlignment="1">
      <alignment vertical="center"/>
    </xf>
    <xf numFmtId="164" fontId="0" fillId="0" borderId="2" xfId="20" applyFont="1" applyBorder="1" applyAlignment="1">
      <alignment horizontal="center" vertical="center"/>
    </xf>
    <xf numFmtId="0" fontId="28" fillId="4" borderId="130" xfId="0" applyFont="1" applyFill="1" applyBorder="1" applyAlignment="1" applyProtection="1">
      <alignment horizontal="center" vertical="center"/>
      <protection hidden="1"/>
    </xf>
    <xf numFmtId="0" fontId="28" fillId="4" borderId="130" xfId="0" applyFont="1" applyFill="1" applyBorder="1" applyAlignment="1" applyProtection="1">
      <alignment vertical="center"/>
      <protection hidden="1"/>
    </xf>
    <xf numFmtId="0" fontId="115" fillId="4" borderId="130" xfId="0" applyFont="1" applyFill="1" applyBorder="1" applyAlignment="1" applyProtection="1">
      <alignment horizontal="center" vertical="center"/>
      <protection hidden="1"/>
    </xf>
    <xf numFmtId="6" fontId="115" fillId="4" borderId="130" xfId="0" applyNumberFormat="1" applyFont="1" applyFill="1" applyBorder="1" applyAlignment="1" applyProtection="1">
      <alignment horizontal="center" vertical="center"/>
      <protection hidden="1"/>
    </xf>
    <xf numFmtId="186" fontId="115" fillId="4" borderId="130" xfId="0" applyNumberFormat="1" applyFont="1" applyFill="1" applyBorder="1" applyAlignment="1" applyProtection="1">
      <alignment horizontal="center" vertical="center"/>
      <protection hidden="1"/>
    </xf>
    <xf numFmtId="190" fontId="115" fillId="4" borderId="130" xfId="0" applyNumberFormat="1" applyFont="1" applyFill="1" applyBorder="1" applyAlignment="1" applyProtection="1">
      <alignment horizontal="center" vertical="center"/>
      <protection hidden="1"/>
    </xf>
    <xf numFmtId="10" fontId="211" fillId="4" borderId="130" xfId="3" applyNumberFormat="1" applyFont="1" applyFill="1" applyBorder="1" applyAlignment="1" applyProtection="1">
      <alignment horizontal="center" vertical="center"/>
      <protection hidden="1"/>
    </xf>
    <xf numFmtId="6" fontId="115" fillId="4" borderId="132" xfId="0" applyNumberFormat="1" applyFont="1" applyFill="1" applyBorder="1" applyAlignment="1" applyProtection="1">
      <alignment horizontal="center" vertical="center"/>
      <protection hidden="1"/>
    </xf>
    <xf numFmtId="10" fontId="0" fillId="0" borderId="184" xfId="0" applyNumberFormat="1" applyBorder="1" applyAlignment="1" applyProtection="1">
      <alignment horizontal="center" vertical="center"/>
      <protection locked="0"/>
    </xf>
    <xf numFmtId="10" fontId="0" fillId="2" borderId="274" xfId="0" applyNumberFormat="1" applyFill="1" applyBorder="1" applyAlignment="1" applyProtection="1">
      <alignment horizontal="center" vertical="center"/>
      <protection locked="0" hidden="1"/>
    </xf>
    <xf numFmtId="10" fontId="0" fillId="0" borderId="274" xfId="0" applyNumberFormat="1" applyBorder="1" applyAlignment="1" applyProtection="1">
      <alignment horizontal="center" vertical="center"/>
      <protection locked="0"/>
    </xf>
    <xf numFmtId="9" fontId="89" fillId="4" borderId="274" xfId="3" applyFont="1" applyFill="1" applyBorder="1" applyAlignment="1" applyProtection="1">
      <alignment horizontal="center" vertical="center"/>
      <protection hidden="1"/>
    </xf>
    <xf numFmtId="9" fontId="89" fillId="4" borderId="274" xfId="3" applyFont="1" applyFill="1" applyBorder="1" applyAlignment="1">
      <alignment horizontal="center" vertical="center"/>
    </xf>
    <xf numFmtId="10" fontId="0" fillId="0" borderId="274" xfId="0" applyNumberFormat="1" applyBorder="1" applyAlignment="1" applyProtection="1">
      <alignment horizontal="center" vertical="center"/>
      <protection locked="0" hidden="1"/>
    </xf>
    <xf numFmtId="10" fontId="0" fillId="0" borderId="275" xfId="3" applyNumberFormat="1" applyFont="1" applyBorder="1" applyAlignment="1" applyProtection="1">
      <alignment horizontal="center" vertical="center"/>
      <protection locked="0" hidden="1"/>
    </xf>
    <xf numFmtId="0" fontId="0" fillId="4" borderId="277" xfId="0" applyFill="1" applyBorder="1" applyAlignment="1">
      <alignment vertical="center"/>
    </xf>
    <xf numFmtId="0" fontId="0" fillId="4" borderId="268" xfId="0" applyFill="1" applyBorder="1" applyAlignment="1">
      <alignment horizontal="center" vertical="center"/>
    </xf>
    <xf numFmtId="0" fontId="0" fillId="4" borderId="278" xfId="0" applyFill="1" applyBorder="1" applyAlignment="1">
      <alignment horizontal="center" vertical="center"/>
    </xf>
    <xf numFmtId="0" fontId="0" fillId="4" borderId="0" xfId="0" applyFill="1" applyAlignment="1">
      <alignment horizontal="right" vertical="center"/>
    </xf>
    <xf numFmtId="0" fontId="100" fillId="9" borderId="0" xfId="0" applyFont="1" applyFill="1" applyAlignment="1">
      <alignment vertical="center" wrapText="1"/>
    </xf>
    <xf numFmtId="0" fontId="0" fillId="9" borderId="4" xfId="0" applyFill="1" applyBorder="1" applyAlignment="1" applyProtection="1">
      <alignment horizontal="center" vertical="center"/>
      <protection hidden="1"/>
    </xf>
    <xf numFmtId="2" fontId="0" fillId="9" borderId="1" xfId="0" applyNumberFormat="1" applyFill="1" applyBorder="1" applyAlignment="1" applyProtection="1">
      <alignment horizontal="center" vertical="center"/>
      <protection hidden="1"/>
    </xf>
    <xf numFmtId="175" fontId="0" fillId="0" borderId="2" xfId="0" applyNumberFormat="1" applyBorder="1" applyAlignment="1">
      <alignment horizontal="center" vertical="center"/>
    </xf>
    <xf numFmtId="182" fontId="0" fillId="0" borderId="2" xfId="0" applyNumberFormat="1" applyBorder="1" applyAlignment="1">
      <alignment horizontal="center" vertical="center"/>
    </xf>
    <xf numFmtId="2" fontId="0" fillId="6" borderId="2" xfId="0" applyNumberFormat="1" applyFill="1" applyBorder="1" applyAlignment="1" applyProtection="1">
      <alignment horizontal="center" vertical="center"/>
      <protection locked="0"/>
    </xf>
    <xf numFmtId="2" fontId="0" fillId="0" borderId="2" xfId="0" applyNumberFormat="1" applyBorder="1" applyAlignment="1">
      <alignment horizontal="center" vertical="center"/>
    </xf>
    <xf numFmtId="2" fontId="0" fillId="6" borderId="2" xfId="0" applyNumberFormat="1" applyFill="1" applyBorder="1" applyAlignment="1" applyProtection="1">
      <alignment horizontal="center" vertical="center" wrapText="1"/>
      <protection locked="0"/>
    </xf>
    <xf numFmtId="14" fontId="0" fillId="0" borderId="2" xfId="0" applyNumberFormat="1" applyBorder="1" applyAlignment="1">
      <alignment horizontal="center" vertical="center" wrapText="1"/>
    </xf>
    <xf numFmtId="8" fontId="0" fillId="0" borderId="2" xfId="0" applyNumberFormat="1" applyBorder="1" applyAlignment="1">
      <alignment horizontal="center" vertical="center" wrapText="1"/>
    </xf>
    <xf numFmtId="178" fontId="0" fillId="0" borderId="2" xfId="0" applyNumberFormat="1" applyBorder="1" applyAlignment="1">
      <alignment horizontal="center" vertical="center"/>
    </xf>
    <xf numFmtId="8" fontId="0" fillId="0" borderId="0" xfId="0" applyNumberFormat="1" applyAlignment="1">
      <alignment horizontal="center" vertical="center" wrapText="1"/>
    </xf>
    <xf numFmtId="178" fontId="0" fillId="0" borderId="12" xfId="0" applyNumberFormat="1" applyBorder="1" applyAlignment="1">
      <alignment horizontal="center" vertical="center"/>
    </xf>
    <xf numFmtId="8" fontId="112" fillId="9" borderId="168" xfId="0" applyNumberFormat="1" applyFont="1" applyFill="1" applyBorder="1" applyAlignment="1">
      <alignment horizontal="center" vertical="top"/>
    </xf>
    <xf numFmtId="8" fontId="110" fillId="0" borderId="2" xfId="0" applyNumberFormat="1" applyFont="1" applyBorder="1" applyAlignment="1" applyProtection="1">
      <alignment horizontal="center" vertical="center"/>
      <protection locked="0"/>
    </xf>
    <xf numFmtId="0" fontId="267" fillId="0" borderId="0" xfId="0" applyFont="1" applyAlignment="1">
      <alignment horizontal="left" vertical="center"/>
    </xf>
    <xf numFmtId="0" fontId="268" fillId="0" borderId="0" xfId="0" applyFont="1"/>
    <xf numFmtId="0" fontId="269" fillId="0" borderId="0" xfId="0" applyFont="1"/>
    <xf numFmtId="0" fontId="0" fillId="0" borderId="0" xfId="0" applyAlignment="1">
      <alignment wrapText="1"/>
    </xf>
    <xf numFmtId="0" fontId="100" fillId="0" borderId="0" xfId="0" applyFont="1" applyAlignment="1">
      <alignment wrapText="1"/>
    </xf>
    <xf numFmtId="0" fontId="0" fillId="0" borderId="41" xfId="0" applyBorder="1" applyAlignment="1" applyProtection="1">
      <alignment horizontal="center" vertical="center"/>
      <protection locked="0"/>
    </xf>
    <xf numFmtId="167" fontId="0" fillId="4" borderId="2" xfId="0" applyNumberFormat="1" applyFill="1" applyBorder="1" applyAlignment="1">
      <alignment horizontal="center" vertical="center"/>
    </xf>
    <xf numFmtId="0" fontId="0" fillId="4" borderId="0" xfId="0" applyFill="1" applyAlignment="1" applyProtection="1">
      <alignment vertical="center"/>
      <protection hidden="1"/>
    </xf>
    <xf numFmtId="188" fontId="104" fillId="4" borderId="2" xfId="0" applyNumberFormat="1" applyFont="1" applyFill="1" applyBorder="1" applyAlignment="1" applyProtection="1">
      <alignment horizontal="center" vertical="center"/>
      <protection hidden="1"/>
    </xf>
    <xf numFmtId="0" fontId="100" fillId="9" borderId="188" xfId="0" applyFont="1" applyFill="1" applyBorder="1" applyAlignment="1" applyProtection="1">
      <alignment horizontal="center" vertical="center"/>
      <protection hidden="1"/>
    </xf>
    <xf numFmtId="0" fontId="58" fillId="4" borderId="79" xfId="0" applyFont="1" applyFill="1" applyBorder="1" applyAlignment="1" applyProtection="1">
      <alignment vertical="center" wrapText="1"/>
      <protection hidden="1"/>
    </xf>
    <xf numFmtId="186" fontId="115" fillId="4" borderId="130" xfId="0" applyNumberFormat="1" applyFont="1" applyFill="1" applyBorder="1" applyAlignment="1" applyProtection="1">
      <alignment horizontal="center" vertical="center" wrapText="1"/>
      <protection hidden="1"/>
    </xf>
    <xf numFmtId="0" fontId="0" fillId="4" borderId="170" xfId="0" applyFill="1" applyBorder="1" applyAlignment="1" applyProtection="1">
      <alignment horizontal="right" vertical="center"/>
      <protection hidden="1"/>
    </xf>
    <xf numFmtId="0" fontId="0" fillId="4" borderId="130" xfId="0" applyFill="1" applyBorder="1" applyAlignment="1" applyProtection="1">
      <alignment horizontal="center" vertical="center"/>
      <protection hidden="1"/>
    </xf>
    <xf numFmtId="0" fontId="0" fillId="4" borderId="155" xfId="0" applyFill="1" applyBorder="1" applyAlignment="1" applyProtection="1">
      <alignment horizontal="right" vertical="center"/>
      <protection hidden="1"/>
    </xf>
    <xf numFmtId="0" fontId="0" fillId="0" borderId="145" xfId="0" applyBorder="1" applyAlignment="1" applyProtection="1">
      <alignment horizontal="center" vertical="center"/>
      <protection locked="0"/>
    </xf>
    <xf numFmtId="14" fontId="0" fillId="0" borderId="130" xfId="0" applyNumberFormat="1" applyBorder="1" applyAlignment="1" applyProtection="1">
      <alignment horizontal="center" vertical="center"/>
      <protection locked="0"/>
    </xf>
    <xf numFmtId="2" fontId="0" fillId="0" borderId="130" xfId="0" applyNumberFormat="1" applyBorder="1" applyAlignment="1" applyProtection="1">
      <alignment horizontal="center" vertical="center"/>
      <protection locked="0"/>
    </xf>
    <xf numFmtId="10" fontId="0" fillId="0" borderId="130" xfId="0" applyNumberFormat="1" applyBorder="1" applyAlignment="1" applyProtection="1">
      <alignment horizontal="center" vertical="center"/>
      <protection locked="0"/>
    </xf>
    <xf numFmtId="2" fontId="0" fillId="4" borderId="130" xfId="0" applyNumberFormat="1" applyFill="1" applyBorder="1" applyAlignment="1" applyProtection="1">
      <alignment horizontal="center" vertical="center"/>
      <protection hidden="1"/>
    </xf>
    <xf numFmtId="0" fontId="0" fillId="4" borderId="154" xfId="0" applyFill="1" applyBorder="1" applyAlignment="1" applyProtection="1">
      <alignment horizontal="right" vertical="center"/>
      <protection hidden="1"/>
    </xf>
    <xf numFmtId="8" fontId="0" fillId="4" borderId="183" xfId="0" applyNumberFormat="1" applyFill="1" applyBorder="1" applyAlignment="1" applyProtection="1">
      <alignment horizontal="center" vertical="center"/>
      <protection hidden="1"/>
    </xf>
    <xf numFmtId="167" fontId="0" fillId="4" borderId="130" xfId="0" applyNumberFormat="1" applyFill="1" applyBorder="1" applyAlignment="1">
      <alignment horizontal="center" vertical="center"/>
    </xf>
    <xf numFmtId="8" fontId="0" fillId="4" borderId="108" xfId="0" applyNumberFormat="1" applyFill="1" applyBorder="1" applyAlignment="1">
      <alignment horizontal="center" vertical="center"/>
    </xf>
    <xf numFmtId="8" fontId="0" fillId="4" borderId="226" xfId="0" applyNumberFormat="1" applyFill="1" applyBorder="1" applyAlignment="1">
      <alignment horizontal="center" vertical="center"/>
    </xf>
    <xf numFmtId="0" fontId="110" fillId="4" borderId="288" xfId="0" applyFont="1" applyFill="1" applyBorder="1" applyAlignment="1" applyProtection="1">
      <alignment horizontal="right" vertical="center"/>
      <protection hidden="1"/>
    </xf>
    <xf numFmtId="6" fontId="110" fillId="4" borderId="106" xfId="0" applyNumberFormat="1" applyFont="1" applyFill="1" applyBorder="1" applyAlignment="1" applyProtection="1">
      <alignment horizontal="center" vertical="center"/>
      <protection hidden="1"/>
    </xf>
    <xf numFmtId="6" fontId="110" fillId="4" borderId="157" xfId="0" applyNumberFormat="1" applyFont="1" applyFill="1" applyBorder="1" applyAlignment="1" applyProtection="1">
      <alignment horizontal="center" vertical="center"/>
      <protection hidden="1"/>
    </xf>
    <xf numFmtId="0" fontId="0" fillId="4" borderId="222" xfId="0" applyFill="1" applyBorder="1" applyAlignment="1">
      <alignment horizontal="right" vertical="center"/>
    </xf>
    <xf numFmtId="0" fontId="0" fillId="4" borderId="170" xfId="0" applyFill="1" applyBorder="1" applyAlignment="1">
      <alignment horizontal="left" vertical="center"/>
    </xf>
    <xf numFmtId="0" fontId="0" fillId="4" borderId="170" xfId="0" applyFill="1" applyBorder="1" applyAlignment="1">
      <alignment horizontal="right" vertical="center"/>
    </xf>
    <xf numFmtId="9" fontId="145" fillId="9" borderId="0" xfId="0" applyNumberFormat="1" applyFont="1" applyFill="1" applyAlignment="1">
      <alignment horizontal="center" vertical="center"/>
    </xf>
    <xf numFmtId="10" fontId="23" fillId="9" borderId="2" xfId="3" applyNumberFormat="1" applyFont="1" applyFill="1" applyBorder="1" applyAlignment="1" applyProtection="1">
      <alignment vertical="center"/>
      <protection hidden="1"/>
    </xf>
    <xf numFmtId="8" fontId="203" fillId="9" borderId="130" xfId="0" applyNumberFormat="1" applyFont="1" applyFill="1" applyBorder="1" applyAlignment="1" applyProtection="1">
      <alignment vertical="center"/>
      <protection hidden="1"/>
    </xf>
    <xf numFmtId="0" fontId="23" fillId="9" borderId="9" xfId="0" quotePrefix="1" applyFont="1" applyFill="1" applyBorder="1" applyAlignment="1" applyProtection="1">
      <alignment vertical="center"/>
      <protection hidden="1"/>
    </xf>
    <xf numFmtId="0" fontId="23" fillId="9" borderId="10" xfId="0" quotePrefix="1" applyFont="1" applyFill="1" applyBorder="1" applyAlignment="1" applyProtection="1">
      <alignment vertical="center"/>
      <protection hidden="1"/>
    </xf>
    <xf numFmtId="8" fontId="23" fillId="0" borderId="2" xfId="0" applyNumberFormat="1" applyFont="1" applyBorder="1" applyAlignment="1" applyProtection="1">
      <alignment vertical="center"/>
      <protection locked="0"/>
    </xf>
    <xf numFmtId="8" fontId="23" fillId="6" borderId="2" xfId="0" applyNumberFormat="1" applyFont="1" applyFill="1" applyBorder="1" applyAlignment="1" applyProtection="1">
      <alignment vertical="center"/>
      <protection locked="0"/>
    </xf>
    <xf numFmtId="10" fontId="23" fillId="0" borderId="10" xfId="0" applyNumberFormat="1" applyFont="1" applyBorder="1" applyAlignment="1" applyProtection="1">
      <alignment horizontal="right" vertical="center"/>
      <protection locked="0"/>
    </xf>
    <xf numFmtId="10" fontId="23" fillId="9" borderId="2" xfId="0" applyNumberFormat="1" applyFont="1" applyFill="1" applyBorder="1" applyAlignment="1" applyProtection="1">
      <alignment vertical="center"/>
      <protection hidden="1"/>
    </xf>
    <xf numFmtId="8" fontId="23" fillId="9" borderId="2" xfId="3" applyNumberFormat="1" applyFont="1" applyFill="1" applyBorder="1" applyAlignment="1" applyProtection="1">
      <alignment vertical="center"/>
      <protection hidden="1"/>
    </xf>
    <xf numFmtId="10" fontId="23" fillId="9" borderId="41" xfId="3" applyNumberFormat="1" applyFont="1" applyFill="1" applyBorder="1" applyAlignment="1" applyProtection="1">
      <alignment vertical="center"/>
      <protection hidden="1"/>
    </xf>
    <xf numFmtId="8" fontId="67" fillId="0" borderId="0" xfId="3" applyNumberFormat="1" applyFont="1" applyFill="1" applyBorder="1" applyAlignment="1" applyProtection="1">
      <alignment horizontal="center" vertical="center"/>
      <protection locked="0"/>
    </xf>
    <xf numFmtId="10" fontId="99" fillId="0" borderId="0" xfId="3" applyNumberFormat="1" applyFont="1" applyFill="1" applyBorder="1" applyAlignment="1" applyProtection="1">
      <alignment horizontal="center" vertical="center"/>
      <protection hidden="1"/>
    </xf>
    <xf numFmtId="8" fontId="100" fillId="0" borderId="0" xfId="0" applyNumberFormat="1" applyFont="1" applyAlignment="1" applyProtection="1">
      <alignment horizontal="center" vertical="center"/>
      <protection hidden="1"/>
    </xf>
    <xf numFmtId="8" fontId="100" fillId="0" borderId="0" xfId="0" applyNumberFormat="1" applyFont="1" applyAlignment="1" applyProtection="1">
      <alignment horizontal="center" vertical="center"/>
      <protection locked="0"/>
    </xf>
    <xf numFmtId="0" fontId="157" fillId="0" borderId="0" xfId="0" applyFont="1" applyAlignment="1">
      <alignment vertical="center" wrapText="1"/>
    </xf>
    <xf numFmtId="0" fontId="116" fillId="0" borderId="0" xfId="0" applyFont="1" applyAlignment="1">
      <alignment horizontal="center" vertical="center"/>
    </xf>
    <xf numFmtId="9" fontId="0" fillId="0" borderId="0" xfId="0" applyNumberFormat="1" applyAlignment="1" applyProtection="1">
      <alignment horizontal="center" vertical="center"/>
      <protection hidden="1"/>
    </xf>
    <xf numFmtId="2" fontId="0" fillId="0" borderId="0" xfId="0" quotePrefix="1" applyNumberFormat="1" applyAlignment="1">
      <alignment horizontal="center" vertical="center"/>
    </xf>
    <xf numFmtId="6" fontId="0" fillId="0" borderId="0" xfId="0" applyNumberFormat="1" applyAlignment="1">
      <alignment horizontal="center" vertical="center"/>
    </xf>
    <xf numFmtId="6" fontId="100" fillId="0" borderId="0" xfId="0" applyNumberFormat="1" applyFont="1" applyAlignment="1">
      <alignment horizontal="center" vertical="center"/>
    </xf>
    <xf numFmtId="6" fontId="100" fillId="0" borderId="0" xfId="0" applyNumberFormat="1" applyFont="1" applyAlignment="1" applyProtection="1">
      <alignment horizontal="center" vertical="center"/>
      <protection hidden="1"/>
    </xf>
    <xf numFmtId="8" fontId="35" fillId="0" borderId="0" xfId="0" applyNumberFormat="1" applyFont="1" applyAlignment="1" applyProtection="1">
      <alignment horizontal="center" vertical="center"/>
      <protection hidden="1"/>
    </xf>
    <xf numFmtId="8" fontId="172" fillId="0" borderId="0" xfId="0" applyNumberFormat="1" applyFont="1"/>
    <xf numFmtId="10" fontId="104" fillId="0" borderId="0" xfId="0" applyNumberFormat="1" applyFont="1"/>
    <xf numFmtId="10" fontId="23" fillId="0" borderId="2" xfId="0" applyNumberFormat="1" applyFont="1" applyBorder="1" applyAlignment="1" applyProtection="1">
      <alignment horizontal="center" vertical="center"/>
      <protection locked="0"/>
    </xf>
    <xf numFmtId="10" fontId="23" fillId="0" borderId="2" xfId="3" applyNumberFormat="1" applyFont="1" applyFill="1" applyBorder="1" applyAlignment="1" applyProtection="1">
      <alignment horizontal="center" vertical="center"/>
      <protection locked="0"/>
    </xf>
    <xf numFmtId="0" fontId="23" fillId="9" borderId="154" xfId="0" applyFont="1" applyFill="1" applyBorder="1" applyAlignment="1" applyProtection="1">
      <alignment horizontal="right" vertical="center"/>
      <protection hidden="1"/>
    </xf>
    <xf numFmtId="14" fontId="23" fillId="0" borderId="12" xfId="0" applyNumberFormat="1" applyFont="1" applyBorder="1" applyAlignment="1" applyProtection="1">
      <alignment vertical="center"/>
      <protection locked="0"/>
    </xf>
    <xf numFmtId="14" fontId="23" fillId="9" borderId="12" xfId="0" applyNumberFormat="1" applyFont="1" applyFill="1" applyBorder="1" applyAlignment="1" applyProtection="1">
      <alignment horizontal="center" vertical="center"/>
      <protection hidden="1"/>
    </xf>
    <xf numFmtId="0" fontId="23" fillId="9" borderId="111" xfId="0" applyFont="1" applyFill="1" applyBorder="1" applyAlignment="1">
      <alignment vertical="center"/>
    </xf>
    <xf numFmtId="8" fontId="23" fillId="6" borderId="14" xfId="0" applyNumberFormat="1" applyFont="1" applyFill="1" applyBorder="1" applyAlignment="1">
      <alignment horizontal="center" vertical="center"/>
    </xf>
    <xf numFmtId="0" fontId="23" fillId="9" borderId="14" xfId="0" applyFont="1" applyFill="1" applyBorder="1" applyAlignment="1">
      <alignment vertical="center"/>
    </xf>
    <xf numFmtId="185" fontId="23" fillId="0" borderId="14" xfId="0" applyNumberFormat="1" applyFont="1" applyBorder="1" applyAlignment="1" applyProtection="1">
      <alignment horizontal="center" vertical="center"/>
      <protection locked="0"/>
    </xf>
    <xf numFmtId="10" fontId="23" fillId="9" borderId="14" xfId="0" applyNumberFormat="1" applyFont="1" applyFill="1" applyBorder="1" applyAlignment="1">
      <alignment horizontal="center" vertical="center"/>
    </xf>
    <xf numFmtId="8" fontId="23" fillId="9" borderId="183" xfId="0" applyNumberFormat="1" applyFont="1" applyFill="1" applyBorder="1" applyAlignment="1" applyProtection="1">
      <alignment horizontal="center" vertical="center"/>
      <protection hidden="1"/>
    </xf>
    <xf numFmtId="8" fontId="23" fillId="9" borderId="2" xfId="0" applyNumberFormat="1" applyFont="1" applyFill="1" applyBorder="1" applyAlignment="1" applyProtection="1">
      <alignment vertical="center"/>
      <protection hidden="1"/>
    </xf>
    <xf numFmtId="165" fontId="23" fillId="9" borderId="226" xfId="0" applyNumberFormat="1" applyFont="1" applyFill="1" applyBorder="1" applyAlignment="1" applyProtection="1">
      <alignment horizontal="center" vertical="center"/>
      <protection hidden="1"/>
    </xf>
    <xf numFmtId="165" fontId="23" fillId="9" borderId="145" xfId="0" applyNumberFormat="1" applyFont="1" applyFill="1" applyBorder="1" applyAlignment="1" applyProtection="1">
      <alignment horizontal="center" vertical="center"/>
      <protection hidden="1"/>
    </xf>
    <xf numFmtId="0" fontId="211" fillId="9" borderId="2" xfId="0" applyFont="1" applyFill="1" applyBorder="1" applyAlignment="1">
      <alignment horizontal="center" vertical="center"/>
    </xf>
    <xf numFmtId="8" fontId="23" fillId="9" borderId="130" xfId="0" applyNumberFormat="1" applyFont="1" applyFill="1" applyBorder="1" applyAlignment="1" applyProtection="1">
      <alignment horizontal="center" vertical="center"/>
      <protection hidden="1"/>
    </xf>
    <xf numFmtId="8" fontId="174" fillId="0" borderId="41" xfId="0" applyNumberFormat="1" applyFont="1" applyBorder="1" applyAlignment="1" applyProtection="1">
      <alignment horizontal="center" vertical="center"/>
      <protection locked="0"/>
    </xf>
    <xf numFmtId="178" fontId="89" fillId="9" borderId="10" xfId="0" applyNumberFormat="1" applyFont="1" applyFill="1" applyBorder="1" applyAlignment="1" applyProtection="1">
      <alignment horizontal="right" vertical="center" wrapText="1"/>
      <protection hidden="1"/>
    </xf>
    <xf numFmtId="178" fontId="89" fillId="9" borderId="130" xfId="0" applyNumberFormat="1" applyFont="1" applyFill="1" applyBorder="1" applyAlignment="1" applyProtection="1">
      <alignment horizontal="center" vertical="center" wrapText="1"/>
      <protection hidden="1"/>
    </xf>
    <xf numFmtId="178" fontId="154" fillId="9" borderId="55" xfId="0" applyNumberFormat="1" applyFont="1" applyFill="1" applyBorder="1" applyAlignment="1" applyProtection="1">
      <alignment horizontal="right" vertical="center" wrapText="1"/>
      <protection hidden="1"/>
    </xf>
    <xf numFmtId="178" fontId="154" fillId="9" borderId="183" xfId="0" applyNumberFormat="1" applyFont="1" applyFill="1" applyBorder="1" applyAlignment="1" applyProtection="1">
      <alignment horizontal="center" vertical="center" wrapText="1"/>
      <protection hidden="1"/>
    </xf>
    <xf numFmtId="6" fontId="21" fillId="9" borderId="130" xfId="0" applyNumberFormat="1" applyFont="1" applyFill="1" applyBorder="1" applyAlignment="1" applyProtection="1">
      <alignment horizontal="center" vertical="center" wrapText="1"/>
      <protection hidden="1"/>
    </xf>
    <xf numFmtId="178" fontId="21" fillId="9" borderId="130" xfId="0" applyNumberFormat="1" applyFont="1" applyFill="1" applyBorder="1" applyAlignment="1" applyProtection="1">
      <alignment horizontal="center" vertical="center" wrapText="1"/>
      <protection hidden="1"/>
    </xf>
    <xf numFmtId="0" fontId="240" fillId="9" borderId="2" xfId="0" applyFont="1" applyFill="1" applyBorder="1" applyAlignment="1">
      <alignment horizontal="center" vertical="center"/>
    </xf>
    <xf numFmtId="0" fontId="240" fillId="9" borderId="130" xfId="0" applyFont="1" applyFill="1" applyBorder="1" applyAlignment="1">
      <alignment horizontal="center" vertical="center"/>
    </xf>
    <xf numFmtId="8" fontId="115" fillId="0" borderId="2" xfId="0" applyNumberFormat="1" applyFont="1" applyBorder="1" applyAlignment="1" applyProtection="1">
      <alignment horizontal="center" vertical="center" wrapText="1"/>
      <protection locked="0"/>
    </xf>
    <xf numFmtId="8" fontId="115" fillId="9" borderId="130" xfId="0" applyNumberFormat="1" applyFont="1" applyFill="1" applyBorder="1" applyAlignment="1" applyProtection="1">
      <alignment horizontal="center" vertical="center" wrapText="1"/>
      <protection hidden="1"/>
    </xf>
    <xf numFmtId="184" fontId="21" fillId="9" borderId="130" xfId="0" applyNumberFormat="1" applyFont="1" applyFill="1" applyBorder="1" applyAlignment="1" applyProtection="1">
      <alignment horizontal="center" vertical="center" wrapText="1"/>
      <protection hidden="1"/>
    </xf>
    <xf numFmtId="8" fontId="21" fillId="9" borderId="130" xfId="0" applyNumberFormat="1" applyFont="1" applyFill="1" applyBorder="1" applyAlignment="1" applyProtection="1">
      <alignment horizontal="center" vertical="center" wrapText="1"/>
      <protection hidden="1"/>
    </xf>
    <xf numFmtId="6" fontId="115" fillId="9" borderId="130" xfId="0" applyNumberFormat="1" applyFont="1" applyFill="1" applyBorder="1" applyAlignment="1" applyProtection="1">
      <alignment horizontal="center" vertical="center" wrapText="1"/>
      <protection hidden="1"/>
    </xf>
    <xf numFmtId="6" fontId="211" fillId="9" borderId="183" xfId="0" applyNumberFormat="1" applyFont="1" applyFill="1" applyBorder="1" applyAlignment="1" applyProtection="1">
      <alignment horizontal="center" vertical="center" wrapText="1"/>
      <protection hidden="1"/>
    </xf>
    <xf numFmtId="6" fontId="203" fillId="9" borderId="267" xfId="0" applyNumberFormat="1" applyFont="1" applyFill="1" applyBorder="1" applyAlignment="1" applyProtection="1">
      <alignment horizontal="center" vertical="center" wrapText="1"/>
      <protection hidden="1"/>
    </xf>
    <xf numFmtId="6" fontId="203" fillId="9" borderId="132" xfId="0" applyNumberFormat="1" applyFont="1" applyFill="1" applyBorder="1" applyAlignment="1" applyProtection="1">
      <alignment horizontal="center" vertical="center" wrapText="1"/>
      <protection hidden="1"/>
    </xf>
    <xf numFmtId="14" fontId="23" fillId="9" borderId="183" xfId="0" applyNumberFormat="1" applyFont="1" applyFill="1" applyBorder="1" applyAlignment="1" applyProtection="1">
      <alignment horizontal="center" vertical="center"/>
      <protection hidden="1"/>
    </xf>
    <xf numFmtId="0" fontId="110" fillId="0" borderId="0" xfId="0" applyFont="1" applyAlignment="1" applyProtection="1">
      <alignment vertical="center"/>
      <protection hidden="1"/>
    </xf>
    <xf numFmtId="0" fontId="110" fillId="0" borderId="0" xfId="0" applyFont="1" applyAlignment="1">
      <alignment vertical="center" wrapText="1"/>
    </xf>
    <xf numFmtId="0" fontId="105" fillId="9" borderId="8" xfId="0" applyFont="1" applyFill="1" applyBorder="1" applyAlignment="1">
      <alignment vertical="center"/>
    </xf>
    <xf numFmtId="0" fontId="100" fillId="9" borderId="55" xfId="0" applyFont="1" applyFill="1" applyBorder="1"/>
    <xf numFmtId="0" fontId="145" fillId="9" borderId="0" xfId="0" applyFont="1" applyFill="1" applyAlignment="1">
      <alignment horizontal="left"/>
    </xf>
    <xf numFmtId="0" fontId="105" fillId="0" borderId="8" xfId="0" applyFont="1" applyBorder="1" applyAlignment="1">
      <alignment vertical="center"/>
    </xf>
    <xf numFmtId="0" fontId="63" fillId="0" borderId="0" xfId="2" applyNumberFormat="1" applyFill="1" applyAlignment="1" applyProtection="1">
      <alignment vertical="center" wrapText="1"/>
    </xf>
    <xf numFmtId="0" fontId="107" fillId="0" borderId="8" xfId="0" applyFont="1" applyBorder="1" applyAlignment="1">
      <alignment vertical="center" textRotation="90"/>
    </xf>
    <xf numFmtId="0" fontId="240" fillId="9" borderId="113" xfId="0" applyFont="1" applyFill="1" applyBorder="1" applyAlignment="1">
      <alignment horizontal="right" vertical="center"/>
    </xf>
    <xf numFmtId="6" fontId="35" fillId="0" borderId="0" xfId="0" applyNumberFormat="1" applyFont="1" applyAlignment="1" applyProtection="1">
      <alignment horizontal="center" vertical="center"/>
      <protection hidden="1"/>
    </xf>
    <xf numFmtId="0" fontId="0" fillId="0" borderId="0" xfId="0" applyAlignment="1" applyProtection="1">
      <alignment horizontal="right" vertical="center"/>
      <protection hidden="1"/>
    </xf>
    <xf numFmtId="0" fontId="110" fillId="0" borderId="0" xfId="0" applyFont="1" applyAlignment="1" applyProtection="1">
      <alignment horizontal="right" vertical="center" wrapText="1"/>
      <protection hidden="1"/>
    </xf>
    <xf numFmtId="0" fontId="105" fillId="9" borderId="0" xfId="0" applyFont="1" applyFill="1" applyAlignment="1">
      <alignment vertical="center"/>
    </xf>
    <xf numFmtId="0" fontId="282" fillId="9" borderId="78" xfId="0" applyFont="1" applyFill="1" applyBorder="1" applyAlignment="1" applyProtection="1">
      <alignment horizontal="center" vertical="center" wrapText="1"/>
      <protection hidden="1"/>
    </xf>
    <xf numFmtId="0" fontId="105" fillId="9" borderId="78" xfId="0" applyFont="1" applyFill="1" applyBorder="1" applyAlignment="1" applyProtection="1">
      <alignment horizontal="center" vertical="center" wrapText="1"/>
      <protection hidden="1"/>
    </xf>
    <xf numFmtId="0" fontId="145" fillId="4" borderId="0" xfId="0" applyFont="1" applyFill="1"/>
    <xf numFmtId="0" fontId="145" fillId="0" borderId="0" xfId="0" applyFont="1"/>
    <xf numFmtId="9" fontId="145" fillId="9" borderId="28" xfId="0" applyNumberFormat="1" applyFont="1" applyFill="1" applyBorder="1"/>
    <xf numFmtId="8" fontId="100" fillId="0" borderId="0" xfId="0" applyNumberFormat="1" applyFont="1" applyAlignment="1">
      <alignment vertical="center"/>
    </xf>
    <xf numFmtId="0" fontId="273" fillId="9" borderId="67" xfId="0" applyFont="1" applyFill="1" applyBorder="1" applyAlignment="1" applyProtection="1">
      <alignment vertical="center"/>
      <protection hidden="1"/>
    </xf>
    <xf numFmtId="0" fontId="273" fillId="9" borderId="21" xfId="0" applyFont="1" applyFill="1" applyBorder="1" applyAlignment="1" applyProtection="1">
      <alignment vertical="center"/>
      <protection hidden="1"/>
    </xf>
    <xf numFmtId="0" fontId="23" fillId="9" borderId="10" xfId="0" applyFont="1" applyFill="1" applyBorder="1" applyAlignment="1" applyProtection="1">
      <alignment vertical="center"/>
      <protection hidden="1"/>
    </xf>
    <xf numFmtId="0" fontId="23" fillId="9" borderId="56" xfId="0" applyFont="1" applyFill="1" applyBorder="1" applyAlignment="1" applyProtection="1">
      <alignment vertical="center"/>
      <protection hidden="1"/>
    </xf>
    <xf numFmtId="0" fontId="34" fillId="0" borderId="0" xfId="0" applyFont="1" applyAlignment="1" applyProtection="1">
      <alignment vertical="center"/>
      <protection hidden="1"/>
    </xf>
    <xf numFmtId="0" fontId="115" fillId="0" borderId="0" xfId="0" applyFont="1" applyAlignment="1" applyProtection="1">
      <alignment vertical="center" wrapText="1"/>
      <protection hidden="1"/>
    </xf>
    <xf numFmtId="14" fontId="105" fillId="0" borderId="0" xfId="0" applyNumberFormat="1" applyFont="1" applyAlignment="1" applyProtection="1">
      <alignment vertical="center" wrapText="1"/>
      <protection hidden="1"/>
    </xf>
    <xf numFmtId="0" fontId="105" fillId="0" borderId="0" xfId="0" applyFont="1" applyAlignment="1" applyProtection="1">
      <alignment vertical="center" wrapText="1"/>
      <protection hidden="1"/>
    </xf>
    <xf numFmtId="0" fontId="100" fillId="0" borderId="0" xfId="0" applyFont="1" applyAlignment="1" applyProtection="1">
      <alignment vertical="center" wrapText="1"/>
      <protection hidden="1"/>
    </xf>
    <xf numFmtId="6" fontId="35" fillId="0" borderId="0" xfId="0" applyNumberFormat="1" applyFont="1" applyAlignment="1" applyProtection="1">
      <alignment vertical="center"/>
      <protection hidden="1"/>
    </xf>
    <xf numFmtId="0" fontId="102" fillId="0" borderId="0" xfId="0" applyFont="1" applyAlignment="1" applyProtection="1">
      <alignment vertical="center" wrapText="1"/>
      <protection hidden="1"/>
    </xf>
    <xf numFmtId="8" fontId="63" fillId="0" borderId="0" xfId="2" applyNumberFormat="1" applyFill="1" applyBorder="1" applyAlignment="1" applyProtection="1"/>
    <xf numFmtId="0" fontId="115" fillId="0" borderId="0" xfId="0" applyFont="1" applyAlignment="1" applyProtection="1">
      <alignment vertical="center"/>
      <protection hidden="1"/>
    </xf>
    <xf numFmtId="0" fontId="110" fillId="0" borderId="0" xfId="0" applyFont="1" applyAlignment="1" applyProtection="1">
      <alignment vertical="center" wrapText="1"/>
      <protection hidden="1"/>
    </xf>
    <xf numFmtId="6" fontId="112" fillId="0" borderId="0" xfId="0" applyNumberFormat="1" applyFont="1" applyAlignment="1" applyProtection="1">
      <alignment vertical="center"/>
      <protection locked="0"/>
    </xf>
    <xf numFmtId="0" fontId="240" fillId="0" borderId="0" xfId="0" applyFont="1" applyAlignment="1">
      <alignment vertical="center" wrapText="1"/>
    </xf>
    <xf numFmtId="6" fontId="115" fillId="0" borderId="0" xfId="0" applyNumberFormat="1" applyFont="1" applyAlignment="1" applyProtection="1">
      <alignment vertical="center"/>
      <protection hidden="1"/>
    </xf>
    <xf numFmtId="6" fontId="110" fillId="0" borderId="0" xfId="0" applyNumberFormat="1" applyFont="1" applyAlignment="1" applyProtection="1">
      <alignment vertical="center"/>
      <protection hidden="1"/>
    </xf>
    <xf numFmtId="0" fontId="115" fillId="9" borderId="0" xfId="0" applyFont="1" applyFill="1" applyAlignment="1">
      <alignment vertical="center" wrapText="1"/>
    </xf>
    <xf numFmtId="8" fontId="23" fillId="6" borderId="144" xfId="0" applyNumberFormat="1" applyFont="1" applyFill="1" applyBorder="1" applyAlignment="1" applyProtection="1">
      <alignment horizontal="right" vertical="center" wrapText="1"/>
      <protection locked="0"/>
    </xf>
    <xf numFmtId="0" fontId="145" fillId="9" borderId="0" xfId="0" applyFont="1" applyFill="1"/>
    <xf numFmtId="0" fontId="148" fillId="9" borderId="171" xfId="2" applyNumberFormat="1" applyFont="1" applyFill="1" applyBorder="1" applyAlignment="1" applyProtection="1">
      <alignment horizontal="center" vertical="center" wrapText="1"/>
    </xf>
    <xf numFmtId="0" fontId="273" fillId="9" borderId="227" xfId="0" applyFont="1" applyFill="1" applyBorder="1" applyAlignment="1" applyProtection="1">
      <alignment vertical="center"/>
      <protection hidden="1"/>
    </xf>
    <xf numFmtId="0" fontId="273" fillId="9" borderId="159" xfId="0" applyFont="1" applyFill="1" applyBorder="1" applyAlignment="1" applyProtection="1">
      <alignment vertical="center"/>
      <protection hidden="1"/>
    </xf>
    <xf numFmtId="177" fontId="249" fillId="9" borderId="130" xfId="3" applyNumberFormat="1" applyFont="1" applyFill="1" applyBorder="1" applyAlignment="1" applyProtection="1">
      <alignment horizontal="center" vertical="center"/>
      <protection hidden="1"/>
    </xf>
    <xf numFmtId="10" fontId="274" fillId="9" borderId="130" xfId="3" applyNumberFormat="1" applyFont="1" applyFill="1" applyBorder="1" applyAlignment="1" applyProtection="1">
      <alignment horizontal="center" vertical="center"/>
      <protection hidden="1"/>
    </xf>
    <xf numFmtId="8" fontId="115" fillId="9" borderId="152" xfId="3" applyNumberFormat="1" applyFont="1" applyFill="1" applyBorder="1" applyAlignment="1" applyProtection="1">
      <alignment horizontal="center" vertical="center"/>
      <protection hidden="1"/>
    </xf>
    <xf numFmtId="0" fontId="23" fillId="9" borderId="220" xfId="0" applyFont="1" applyFill="1" applyBorder="1" applyAlignment="1">
      <alignment vertical="center"/>
    </xf>
    <xf numFmtId="8" fontId="23" fillId="9" borderId="297" xfId="0" applyNumberFormat="1" applyFont="1" applyFill="1" applyBorder="1" applyAlignment="1">
      <alignment horizontal="right" vertical="center"/>
    </xf>
    <xf numFmtId="0" fontId="23" fillId="9" borderId="0" xfId="0" applyFont="1" applyFill="1" applyAlignment="1">
      <alignment horizontal="center" vertical="center"/>
    </xf>
    <xf numFmtId="8" fontId="240" fillId="9" borderId="113" xfId="0" applyNumberFormat="1" applyFont="1" applyFill="1" applyBorder="1" applyAlignment="1">
      <alignment horizontal="center" vertical="center"/>
    </xf>
    <xf numFmtId="8" fontId="115" fillId="9" borderId="131" xfId="0" applyNumberFormat="1" applyFont="1" applyFill="1" applyBorder="1" applyAlignment="1" applyProtection="1">
      <alignment vertical="center"/>
      <protection hidden="1"/>
    </xf>
    <xf numFmtId="0" fontId="115" fillId="9" borderId="184" xfId="0" applyFont="1" applyFill="1" applyBorder="1" applyAlignment="1">
      <alignment vertical="center"/>
    </xf>
    <xf numFmtId="10" fontId="115" fillId="9" borderId="131" xfId="0" applyNumberFormat="1" applyFont="1" applyFill="1" applyBorder="1" applyAlignment="1" applyProtection="1">
      <alignment vertical="center"/>
      <protection hidden="1"/>
    </xf>
    <xf numFmtId="8" fontId="115" fillId="9" borderId="131" xfId="3" applyNumberFormat="1" applyFont="1" applyFill="1" applyBorder="1" applyAlignment="1" applyProtection="1">
      <alignment vertical="center"/>
      <protection hidden="1"/>
    </xf>
    <xf numFmtId="0" fontId="0" fillId="4" borderId="170" xfId="0" applyFill="1" applyBorder="1" applyAlignment="1" applyProtection="1">
      <alignment horizontal="left" vertical="center" wrapText="1"/>
      <protection hidden="1"/>
    </xf>
    <xf numFmtId="6" fontId="0" fillId="4" borderId="2" xfId="0" applyNumberFormat="1" applyFill="1" applyBorder="1" applyAlignment="1" applyProtection="1">
      <alignment horizontal="center" vertical="center" wrapText="1"/>
      <protection hidden="1"/>
    </xf>
    <xf numFmtId="0" fontId="0" fillId="9" borderId="164" xfId="0" applyFill="1" applyBorder="1" applyAlignment="1" applyProtection="1">
      <alignment vertical="center"/>
      <protection hidden="1"/>
    </xf>
    <xf numFmtId="0" fontId="0" fillId="9" borderId="9" xfId="0" applyFill="1" applyBorder="1" applyAlignment="1" applyProtection="1">
      <alignment vertical="center"/>
      <protection hidden="1"/>
    </xf>
    <xf numFmtId="0" fontId="0" fillId="9" borderId="1" xfId="0" applyFill="1" applyBorder="1" applyAlignment="1">
      <alignment horizontal="center" vertical="center"/>
    </xf>
    <xf numFmtId="0" fontId="0" fillId="9" borderId="9" xfId="0" applyFill="1" applyBorder="1" applyAlignment="1">
      <alignment horizontal="center" vertical="center"/>
    </xf>
    <xf numFmtId="14" fontId="0" fillId="9" borderId="9" xfId="0" applyNumberFormat="1" applyFill="1" applyBorder="1" applyAlignment="1" applyProtection="1">
      <alignment horizontal="right" vertical="center" wrapText="1"/>
      <protection hidden="1"/>
    </xf>
    <xf numFmtId="0" fontId="63" fillId="0" borderId="0" xfId="2" applyNumberFormat="1" applyAlignment="1" applyProtection="1">
      <alignment wrapText="1"/>
    </xf>
    <xf numFmtId="0" fontId="63" fillId="0" borderId="0" xfId="2" applyNumberFormat="1" applyFill="1" applyAlignment="1" applyProtection="1"/>
    <xf numFmtId="0" fontId="0" fillId="0" borderId="0" xfId="0" applyAlignment="1" applyProtection="1">
      <alignment horizontal="center" vertical="center" wrapText="1"/>
      <protection hidden="1"/>
    </xf>
    <xf numFmtId="4" fontId="0" fillId="0" borderId="0" xfId="0" applyNumberFormat="1" applyProtection="1">
      <protection hidden="1"/>
    </xf>
    <xf numFmtId="2" fontId="0" fillId="0" borderId="0" xfId="0" applyNumberFormat="1" applyAlignment="1">
      <alignment horizontal="center"/>
    </xf>
    <xf numFmtId="0" fontId="152" fillId="0" borderId="2" xfId="0" applyFont="1" applyBorder="1" applyAlignment="1">
      <alignment horizontal="center" vertical="center" wrapText="1"/>
    </xf>
    <xf numFmtId="14" fontId="106" fillId="4" borderId="2" xfId="0" applyNumberFormat="1" applyFont="1" applyFill="1" applyBorder="1" applyAlignment="1" applyProtection="1">
      <alignment horizontal="center" vertical="center" wrapText="1"/>
      <protection locked="0"/>
    </xf>
    <xf numFmtId="14" fontId="102" fillId="0" borderId="2" xfId="0" quotePrefix="1" applyNumberFormat="1" applyFont="1" applyBorder="1" applyAlignment="1">
      <alignment horizontal="center" vertical="center" wrapText="1"/>
    </xf>
    <xf numFmtId="0" fontId="0" fillId="0" borderId="21" xfId="0" applyBorder="1" applyAlignment="1">
      <alignment horizontal="center" vertical="center" wrapText="1"/>
    </xf>
    <xf numFmtId="14" fontId="0" fillId="0" borderId="24" xfId="0" applyNumberFormat="1" applyBorder="1" applyAlignment="1">
      <alignment horizontal="center" vertical="center" wrapText="1"/>
    </xf>
    <xf numFmtId="0" fontId="0" fillId="0" borderId="22" xfId="0" applyBorder="1" applyAlignment="1">
      <alignment horizontal="center" vertical="center" wrapText="1"/>
    </xf>
    <xf numFmtId="14" fontId="0" fillId="0" borderId="4" xfId="0" applyNumberFormat="1" applyBorder="1"/>
    <xf numFmtId="8" fontId="0" fillId="0" borderId="3" xfId="0" applyNumberFormat="1" applyBorder="1"/>
    <xf numFmtId="10" fontId="0" fillId="0" borderId="3" xfId="3" applyNumberFormat="1" applyFont="1" applyBorder="1"/>
    <xf numFmtId="10" fontId="0" fillId="0" borderId="7" xfId="3" applyNumberFormat="1" applyFont="1" applyBorder="1"/>
    <xf numFmtId="0" fontId="0" fillId="0" borderId="24" xfId="0" applyBorder="1" applyAlignment="1">
      <alignment horizontal="center" vertical="center" wrapText="1"/>
    </xf>
    <xf numFmtId="10" fontId="0" fillId="0" borderId="21" xfId="0" applyNumberFormat="1" applyBorder="1" applyAlignment="1">
      <alignment horizontal="center" vertical="center" wrapText="1"/>
    </xf>
    <xf numFmtId="8" fontId="0" fillId="0" borderId="4" xfId="0" applyNumberFormat="1" applyBorder="1"/>
    <xf numFmtId="10" fontId="0" fillId="0" borderId="4" xfId="3" applyNumberFormat="1" applyFont="1" applyBorder="1"/>
    <xf numFmtId="10" fontId="0" fillId="0" borderId="5" xfId="3" applyNumberFormat="1" applyFont="1" applyBorder="1"/>
    <xf numFmtId="10" fontId="0" fillId="0" borderId="6" xfId="3" applyNumberFormat="1" applyFont="1" applyBorder="1"/>
    <xf numFmtId="14" fontId="0" fillId="0" borderId="4" xfId="0" applyNumberFormat="1" applyBorder="1" applyAlignment="1">
      <alignment horizontal="center"/>
    </xf>
    <xf numFmtId="0" fontId="0" fillId="0" borderId="11" xfId="0" applyBorder="1"/>
    <xf numFmtId="176" fontId="0" fillId="0" borderId="103" xfId="3" applyNumberFormat="1" applyFont="1" applyBorder="1" applyAlignment="1">
      <alignment horizontal="center"/>
    </xf>
    <xf numFmtId="14" fontId="0" fillId="0" borderId="5" xfId="0" applyNumberFormat="1" applyBorder="1" applyAlignment="1">
      <alignment horizontal="center"/>
    </xf>
    <xf numFmtId="8" fontId="0" fillId="0" borderId="6" xfId="0" applyNumberFormat="1" applyBorder="1" applyAlignment="1">
      <alignment horizontal="center"/>
    </xf>
    <xf numFmtId="176" fontId="0" fillId="0" borderId="62" xfId="3" applyNumberFormat="1" applyFont="1" applyBorder="1" applyAlignment="1">
      <alignment horizontal="center"/>
    </xf>
    <xf numFmtId="0" fontId="105" fillId="0" borderId="0" xfId="0" quotePrefix="1" applyFont="1" applyAlignment="1">
      <alignment horizontal="left" vertical="center"/>
    </xf>
    <xf numFmtId="0" fontId="105" fillId="0" borderId="0" xfId="0" quotePrefix="1" applyFont="1" applyAlignment="1">
      <alignment vertical="center"/>
    </xf>
    <xf numFmtId="10" fontId="0" fillId="8" borderId="0" xfId="0" applyNumberFormat="1" applyFill="1"/>
    <xf numFmtId="0" fontId="0" fillId="0" borderId="10" xfId="0" applyBorder="1"/>
    <xf numFmtId="0" fontId="0" fillId="4" borderId="153" xfId="0" applyFill="1" applyBorder="1"/>
    <xf numFmtId="6" fontId="0" fillId="0" borderId="2" xfId="0" applyNumberFormat="1" applyBorder="1" applyAlignment="1" applyProtection="1">
      <alignment horizontal="center" vertical="center"/>
      <protection locked="0"/>
    </xf>
    <xf numFmtId="0" fontId="162" fillId="4" borderId="300" xfId="0" applyFont="1" applyFill="1" applyBorder="1" applyAlignment="1">
      <alignment horizontal="right" vertical="center"/>
    </xf>
    <xf numFmtId="0" fontId="58" fillId="12" borderId="17" xfId="0" applyFont="1" applyFill="1" applyBorder="1" applyAlignment="1" applyProtection="1">
      <alignment horizontal="center" vertical="center" wrapText="1"/>
      <protection hidden="1"/>
    </xf>
    <xf numFmtId="0" fontId="102" fillId="9" borderId="99" xfId="0" applyFont="1" applyFill="1" applyBorder="1" applyAlignment="1">
      <alignment horizontal="center" vertical="center" wrapText="1"/>
    </xf>
    <xf numFmtId="8" fontId="99" fillId="8" borderId="0" xfId="8" applyNumberFormat="1" applyFont="1" applyFill="1" applyAlignment="1">
      <alignment vertical="center"/>
    </xf>
    <xf numFmtId="178" fontId="0" fillId="0" borderId="0" xfId="0" applyNumberFormat="1" applyAlignment="1">
      <alignment vertical="center"/>
    </xf>
    <xf numFmtId="8" fontId="0" fillId="0" borderId="12" xfId="0" applyNumberFormat="1" applyBorder="1" applyAlignment="1">
      <alignment vertical="center"/>
    </xf>
    <xf numFmtId="8" fontId="100" fillId="0" borderId="102" xfId="0" applyNumberFormat="1" applyFont="1" applyBorder="1" applyAlignment="1" applyProtection="1">
      <alignment horizontal="center" vertical="center" wrapText="1"/>
      <protection locked="0"/>
    </xf>
    <xf numFmtId="178" fontId="102" fillId="9" borderId="2" xfId="0" applyNumberFormat="1" applyFont="1" applyFill="1" applyBorder="1" applyAlignment="1">
      <alignment horizontal="center" vertical="center"/>
    </xf>
    <xf numFmtId="178" fontId="102" fillId="9" borderId="6" xfId="0" applyNumberFormat="1" applyFont="1" applyFill="1" applyBorder="1" applyAlignment="1">
      <alignment horizontal="center" vertical="center"/>
    </xf>
    <xf numFmtId="0" fontId="213" fillId="9" borderId="0" xfId="0" applyFont="1" applyFill="1" applyAlignment="1">
      <alignment wrapText="1"/>
    </xf>
    <xf numFmtId="10" fontId="106" fillId="9" borderId="21" xfId="3" applyNumberFormat="1" applyFont="1" applyFill="1" applyBorder="1" applyAlignment="1">
      <alignment horizontal="center" vertical="center"/>
    </xf>
    <xf numFmtId="0" fontId="213" fillId="9" borderId="99" xfId="0" applyFont="1" applyFill="1" applyBorder="1" applyAlignment="1">
      <alignment wrapText="1"/>
    </xf>
    <xf numFmtId="10" fontId="106" fillId="0" borderId="6" xfId="3" applyNumberFormat="1" applyFont="1" applyFill="1" applyBorder="1" applyAlignment="1" applyProtection="1">
      <alignment horizontal="center" vertical="center"/>
      <protection locked="0"/>
    </xf>
    <xf numFmtId="6" fontId="0" fillId="18" borderId="2" xfId="0" applyNumberFormat="1" applyFill="1" applyBorder="1" applyAlignment="1" applyProtection="1">
      <alignment horizontal="center" vertical="center" wrapText="1"/>
      <protection hidden="1"/>
    </xf>
    <xf numFmtId="6" fontId="0" fillId="23" borderId="130" xfId="0" applyNumberFormat="1" applyFill="1" applyBorder="1" applyAlignment="1" applyProtection="1">
      <alignment horizontal="center" vertical="center" wrapText="1"/>
      <protection hidden="1"/>
    </xf>
    <xf numFmtId="0" fontId="100" fillId="9" borderId="2" xfId="0" applyFont="1" applyFill="1" applyBorder="1" applyAlignment="1" applyProtection="1">
      <alignment horizontal="center" vertical="center" wrapText="1"/>
      <protection hidden="1"/>
    </xf>
    <xf numFmtId="0" fontId="100" fillId="9" borderId="130" xfId="0" applyFont="1" applyFill="1" applyBorder="1" applyAlignment="1" applyProtection="1">
      <alignment horizontal="center" vertical="center" wrapText="1"/>
      <protection hidden="1"/>
    </xf>
    <xf numFmtId="6" fontId="102" fillId="9" borderId="184" xfId="0" applyNumberFormat="1" applyFont="1" applyFill="1" applyBorder="1" applyAlignment="1">
      <alignment horizontal="center" vertical="center"/>
    </xf>
    <xf numFmtId="6" fontId="102" fillId="9" borderId="221" xfId="0" applyNumberFormat="1" applyFont="1" applyFill="1" applyBorder="1" applyAlignment="1">
      <alignment horizontal="center" vertical="center"/>
    </xf>
    <xf numFmtId="6" fontId="99" fillId="18" borderId="12" xfId="3" applyNumberFormat="1" applyFont="1" applyFill="1" applyBorder="1" applyAlignment="1" applyProtection="1">
      <alignment horizontal="center" vertical="center"/>
      <protection hidden="1"/>
    </xf>
    <xf numFmtId="6" fontId="0" fillId="18" borderId="12" xfId="0" applyNumberFormat="1" applyFill="1" applyBorder="1" applyAlignment="1" applyProtection="1">
      <alignment horizontal="center" vertical="center" wrapText="1"/>
      <protection hidden="1"/>
    </xf>
    <xf numFmtId="6" fontId="0" fillId="23" borderId="183" xfId="0" applyNumberFormat="1" applyFill="1" applyBorder="1" applyAlignment="1" applyProtection="1">
      <alignment horizontal="center" vertical="center" wrapText="1"/>
      <protection hidden="1"/>
    </xf>
    <xf numFmtId="6" fontId="99" fillId="23" borderId="183" xfId="3" applyNumberFormat="1" applyFont="1" applyFill="1" applyBorder="1" applyAlignment="1" applyProtection="1">
      <alignment horizontal="center" vertical="center"/>
      <protection hidden="1"/>
    </xf>
    <xf numFmtId="8" fontId="102" fillId="18" borderId="2" xfId="0" applyNumberFormat="1" applyFont="1" applyFill="1" applyBorder="1" applyAlignment="1" applyProtection="1">
      <alignment vertical="center"/>
      <protection hidden="1"/>
    </xf>
    <xf numFmtId="8" fontId="102" fillId="23" borderId="2" xfId="0" applyNumberFormat="1" applyFont="1" applyFill="1" applyBorder="1" applyAlignment="1" applyProtection="1">
      <alignment vertical="center"/>
      <protection hidden="1"/>
    </xf>
    <xf numFmtId="14" fontId="106" fillId="9" borderId="10" xfId="0" applyNumberFormat="1" applyFont="1" applyFill="1" applyBorder="1" applyAlignment="1" applyProtection="1">
      <alignment horizontal="right" vertical="center"/>
      <protection hidden="1"/>
    </xf>
    <xf numFmtId="6" fontId="102" fillId="18" borderId="2" xfId="3" applyNumberFormat="1" applyFont="1" applyFill="1" applyBorder="1" applyAlignment="1" applyProtection="1">
      <alignment horizontal="center" vertical="center"/>
      <protection hidden="1"/>
    </xf>
    <xf numFmtId="6" fontId="102" fillId="23" borderId="130" xfId="0" applyNumberFormat="1" applyFont="1" applyFill="1" applyBorder="1" applyAlignment="1">
      <alignment horizontal="center" vertical="center"/>
    </xf>
    <xf numFmtId="0" fontId="0" fillId="0" borderId="1" xfId="0" applyBorder="1"/>
    <xf numFmtId="167" fontId="0" fillId="0" borderId="1" xfId="0" applyNumberFormat="1" applyBorder="1"/>
    <xf numFmtId="10" fontId="0" fillId="0" borderId="1" xfId="0" applyNumberFormat="1" applyBorder="1"/>
    <xf numFmtId="8" fontId="0" fillId="0" borderId="1" xfId="0" applyNumberFormat="1" applyBorder="1"/>
    <xf numFmtId="0" fontId="100" fillId="4" borderId="0" xfId="0" applyFont="1" applyFill="1" applyAlignment="1">
      <alignment horizontal="center" vertical="center"/>
    </xf>
    <xf numFmtId="0" fontId="122" fillId="4" borderId="0" xfId="0" applyFont="1" applyFill="1" applyAlignment="1">
      <alignment horizontal="center" vertical="center"/>
    </xf>
    <xf numFmtId="0" fontId="122" fillId="4" borderId="0" xfId="0" applyFont="1" applyFill="1" applyAlignment="1" applyProtection="1">
      <alignment horizontal="center" vertical="center" wrapText="1"/>
      <protection locked="0"/>
    </xf>
    <xf numFmtId="0" fontId="0" fillId="4" borderId="0" xfId="0" quotePrefix="1" applyFill="1" applyAlignment="1" applyProtection="1">
      <alignment horizontal="center" vertical="top" wrapText="1"/>
      <protection hidden="1"/>
    </xf>
    <xf numFmtId="0" fontId="0" fillId="4" borderId="0" xfId="0" applyFill="1" applyAlignment="1">
      <alignment horizontal="center" vertical="center" wrapText="1"/>
    </xf>
    <xf numFmtId="0" fontId="0" fillId="4" borderId="0" xfId="0" applyFill="1" applyAlignment="1">
      <alignment horizontal="right"/>
    </xf>
    <xf numFmtId="10" fontId="0" fillId="18" borderId="2" xfId="3" applyNumberFormat="1" applyFont="1" applyFill="1" applyBorder="1" applyAlignment="1" applyProtection="1">
      <alignment horizontal="center" vertical="center"/>
      <protection hidden="1"/>
    </xf>
    <xf numFmtId="10" fontId="0" fillId="23" borderId="6" xfId="3" applyNumberFormat="1" applyFont="1" applyFill="1" applyBorder="1" applyAlignment="1" applyProtection="1">
      <alignment horizontal="center" vertical="center"/>
      <protection hidden="1"/>
    </xf>
    <xf numFmtId="6" fontId="0" fillId="18" borderId="12" xfId="3" applyNumberFormat="1" applyFont="1" applyFill="1" applyBorder="1" applyAlignment="1" applyProtection="1">
      <alignment horizontal="center" vertical="center"/>
      <protection hidden="1"/>
    </xf>
    <xf numFmtId="6" fontId="0" fillId="23" borderId="183" xfId="0" applyNumberFormat="1" applyFill="1" applyBorder="1" applyAlignment="1" applyProtection="1">
      <alignment horizontal="center" vertical="center"/>
      <protection hidden="1"/>
    </xf>
    <xf numFmtId="6" fontId="0" fillId="18" borderId="2" xfId="0" applyNumberFormat="1" applyFill="1" applyBorder="1" applyAlignment="1" applyProtection="1">
      <alignment horizontal="center" vertical="center"/>
      <protection hidden="1"/>
    </xf>
    <xf numFmtId="6" fontId="0" fillId="23" borderId="2" xfId="0" applyNumberFormat="1" applyFill="1" applyBorder="1" applyAlignment="1" applyProtection="1">
      <alignment horizontal="center" vertical="center"/>
      <protection hidden="1"/>
    </xf>
    <xf numFmtId="6" fontId="0" fillId="23" borderId="130" xfId="0" applyNumberFormat="1" applyFill="1" applyBorder="1" applyAlignment="1" applyProtection="1">
      <alignment horizontal="center" vertical="center"/>
      <protection hidden="1"/>
    </xf>
    <xf numFmtId="8" fontId="32" fillId="0" borderId="2" xfId="3" applyNumberFormat="1" applyFont="1" applyBorder="1" applyAlignment="1" applyProtection="1">
      <alignment vertical="center"/>
      <protection locked="0"/>
    </xf>
    <xf numFmtId="8" fontId="0" fillId="0" borderId="0" xfId="0" applyNumberFormat="1" applyAlignment="1" applyProtection="1">
      <alignment vertical="center"/>
      <protection locked="0"/>
    </xf>
    <xf numFmtId="0" fontId="100" fillId="4" borderId="170" xfId="0" applyFont="1" applyFill="1" applyBorder="1" applyAlignment="1" applyProtection="1">
      <alignment horizontal="right" vertical="center"/>
      <protection hidden="1"/>
    </xf>
    <xf numFmtId="8" fontId="100" fillId="0" borderId="130" xfId="0" applyNumberFormat="1" applyFont="1" applyBorder="1" applyAlignment="1" applyProtection="1">
      <alignment horizontal="center" vertical="center"/>
      <protection locked="0"/>
    </xf>
    <xf numFmtId="0" fontId="18" fillId="4" borderId="151" xfId="0" applyFont="1" applyFill="1" applyBorder="1" applyAlignment="1" applyProtection="1">
      <alignment horizontal="center" vertical="center" wrapText="1"/>
      <protection hidden="1"/>
    </xf>
    <xf numFmtId="0" fontId="173" fillId="9" borderId="223" xfId="0" applyFont="1" applyFill="1" applyBorder="1" applyAlignment="1" applyProtection="1">
      <alignment vertical="center"/>
      <protection hidden="1"/>
    </xf>
    <xf numFmtId="0" fontId="173" fillId="9" borderId="171" xfId="0" applyFont="1" applyFill="1" applyBorder="1" applyAlignment="1" applyProtection="1">
      <alignment vertical="center"/>
      <protection hidden="1"/>
    </xf>
    <xf numFmtId="0" fontId="19" fillId="9" borderId="188" xfId="0" applyFont="1" applyFill="1" applyBorder="1" applyAlignment="1" applyProtection="1">
      <alignment vertical="center"/>
      <protection hidden="1"/>
    </xf>
    <xf numFmtId="8" fontId="274" fillId="9" borderId="130" xfId="3" applyNumberFormat="1" applyFont="1" applyFill="1" applyBorder="1" applyAlignment="1" applyProtection="1">
      <alignment horizontal="center" vertical="center"/>
      <protection hidden="1"/>
    </xf>
    <xf numFmtId="8" fontId="249" fillId="9" borderId="132" xfId="3" applyNumberFormat="1" applyFont="1" applyFill="1" applyBorder="1" applyAlignment="1" applyProtection="1">
      <alignment horizontal="center" vertical="center"/>
      <protection hidden="1"/>
    </xf>
    <xf numFmtId="8" fontId="115" fillId="9" borderId="174" xfId="0" applyNumberFormat="1" applyFont="1" applyFill="1" applyBorder="1" applyAlignment="1" applyProtection="1">
      <alignment horizontal="center" vertical="center"/>
      <protection hidden="1"/>
    </xf>
    <xf numFmtId="8" fontId="203" fillId="9" borderId="145" xfId="0" applyNumberFormat="1" applyFont="1" applyFill="1" applyBorder="1" applyAlignment="1" applyProtection="1">
      <alignment horizontal="center" vertical="center"/>
      <protection hidden="1"/>
    </xf>
    <xf numFmtId="8" fontId="115" fillId="9" borderId="130" xfId="0" applyNumberFormat="1" applyFont="1" applyFill="1" applyBorder="1" applyAlignment="1" applyProtection="1">
      <alignment horizontal="center" vertical="center"/>
      <protection hidden="1"/>
    </xf>
    <xf numFmtId="8" fontId="115" fillId="9" borderId="130" xfId="0" applyNumberFormat="1" applyFont="1" applyFill="1" applyBorder="1" applyAlignment="1">
      <alignment horizontal="center" vertical="center"/>
    </xf>
    <xf numFmtId="10" fontId="23" fillId="9" borderId="130" xfId="0" applyNumberFormat="1" applyFont="1" applyFill="1" applyBorder="1" applyAlignment="1" applyProtection="1">
      <alignment horizontal="center" vertical="center"/>
      <protection hidden="1"/>
    </xf>
    <xf numFmtId="8" fontId="173" fillId="9" borderId="130" xfId="0" applyNumberFormat="1" applyFont="1" applyFill="1" applyBorder="1" applyAlignment="1" applyProtection="1">
      <alignment horizontal="center" vertical="center"/>
      <protection hidden="1"/>
    </xf>
    <xf numFmtId="14" fontId="0" fillId="0" borderId="0" xfId="0" applyNumberFormat="1" applyAlignment="1" applyProtection="1">
      <alignment vertical="center" wrapText="1"/>
      <protection hidden="1"/>
    </xf>
    <xf numFmtId="14" fontId="211" fillId="0" borderId="0" xfId="0" applyNumberFormat="1" applyFont="1" applyAlignment="1" applyProtection="1">
      <alignment vertical="center" wrapText="1"/>
      <protection hidden="1"/>
    </xf>
    <xf numFmtId="14" fontId="100" fillId="0" borderId="0" xfId="0" applyNumberFormat="1" applyFont="1" applyAlignment="1" applyProtection="1">
      <alignment vertical="center"/>
      <protection hidden="1"/>
    </xf>
    <xf numFmtId="8" fontId="165" fillId="0" borderId="0" xfId="2" applyNumberFormat="1" applyFont="1" applyFill="1" applyBorder="1" applyAlignment="1" applyProtection="1">
      <alignment vertical="center"/>
      <protection hidden="1"/>
    </xf>
    <xf numFmtId="0" fontId="100" fillId="0" borderId="0" xfId="0" applyFont="1" applyAlignment="1" applyProtection="1">
      <alignment vertical="center"/>
      <protection hidden="1"/>
    </xf>
    <xf numFmtId="0" fontId="110" fillId="0" borderId="0" xfId="0" applyFont="1" applyAlignment="1">
      <alignment horizontal="center" vertical="center" wrapText="1"/>
    </xf>
    <xf numFmtId="17" fontId="0" fillId="0" borderId="0" xfId="0" applyNumberFormat="1" applyAlignment="1" applyProtection="1">
      <alignment horizontal="center" vertical="center" wrapText="1"/>
      <protection locked="0"/>
    </xf>
    <xf numFmtId="8" fontId="0" fillId="0" borderId="0" xfId="0" applyNumberFormat="1" applyAlignment="1" applyProtection="1">
      <alignment horizontal="center" vertical="center" wrapText="1"/>
      <protection locked="0"/>
    </xf>
    <xf numFmtId="8" fontId="100" fillId="0" borderId="0" xfId="0" applyNumberFormat="1" applyFont="1" applyAlignment="1">
      <alignment horizontal="center" vertical="center"/>
    </xf>
    <xf numFmtId="0" fontId="104" fillId="0" borderId="0" xfId="0" applyFont="1" applyAlignment="1" applyProtection="1">
      <alignment horizontal="center" vertical="center"/>
      <protection hidden="1"/>
    </xf>
    <xf numFmtId="8" fontId="100" fillId="0" borderId="0" xfId="0" applyNumberFormat="1" applyFont="1" applyAlignment="1" applyProtection="1">
      <alignment vertical="center"/>
      <protection locked="0"/>
    </xf>
    <xf numFmtId="0" fontId="35" fillId="0" borderId="0" xfId="0" applyFont="1" applyAlignment="1" applyProtection="1">
      <alignment vertical="center"/>
      <protection hidden="1"/>
    </xf>
    <xf numFmtId="0" fontId="35" fillId="0" borderId="0" xfId="0" applyFont="1" applyAlignment="1" applyProtection="1">
      <alignment vertical="center" wrapText="1"/>
      <protection hidden="1"/>
    </xf>
    <xf numFmtId="0" fontId="172" fillId="0" borderId="0" xfId="0" applyFont="1"/>
    <xf numFmtId="0" fontId="105" fillId="9" borderId="2" xfId="0" applyFont="1" applyFill="1" applyBorder="1" applyAlignment="1" applyProtection="1">
      <alignment horizontal="center" vertical="center" wrapText="1"/>
      <protection hidden="1"/>
    </xf>
    <xf numFmtId="0" fontId="0" fillId="4" borderId="4" xfId="0" applyFill="1" applyBorder="1" applyAlignment="1" applyProtection="1">
      <alignment horizontal="right" vertical="center"/>
      <protection hidden="1"/>
    </xf>
    <xf numFmtId="14" fontId="0" fillId="0" borderId="2" xfId="0" applyNumberFormat="1" applyBorder="1" applyAlignment="1" applyProtection="1">
      <alignment vertical="center"/>
      <protection locked="0"/>
    </xf>
    <xf numFmtId="2" fontId="0" fillId="0" borderId="2" xfId="0" applyNumberFormat="1" applyBorder="1" applyAlignment="1" applyProtection="1">
      <alignment vertical="center"/>
      <protection locked="0"/>
    </xf>
    <xf numFmtId="14" fontId="0" fillId="0" borderId="3" xfId="0" applyNumberFormat="1" applyBorder="1" applyAlignment="1" applyProtection="1">
      <alignment vertical="center"/>
      <protection locked="0"/>
    </xf>
    <xf numFmtId="2" fontId="0" fillId="0" borderId="3" xfId="0" applyNumberFormat="1" applyBorder="1" applyAlignment="1" applyProtection="1">
      <alignment vertical="center"/>
      <protection locked="0"/>
    </xf>
    <xf numFmtId="0" fontId="0" fillId="4" borderId="5" xfId="0" quotePrefix="1" applyFill="1" applyBorder="1" applyAlignment="1" applyProtection="1">
      <alignment horizontal="right" vertical="center"/>
      <protection hidden="1"/>
    </xf>
    <xf numFmtId="0" fontId="111" fillId="3" borderId="0" xfId="0" applyFont="1" applyFill="1" applyAlignment="1">
      <alignment vertical="center" wrapText="1"/>
    </xf>
    <xf numFmtId="0" fontId="63" fillId="4" borderId="0" xfId="2" applyNumberFormat="1" applyFill="1" applyAlignment="1" applyProtection="1"/>
    <xf numFmtId="0" fontId="63" fillId="9" borderId="0" xfId="2" applyNumberFormat="1" applyFill="1" applyAlignment="1" applyProtection="1">
      <alignment vertical="center"/>
    </xf>
    <xf numFmtId="14" fontId="23" fillId="0" borderId="6" xfId="0" applyNumberFormat="1" applyFont="1" applyBorder="1" applyAlignment="1" applyProtection="1">
      <alignment horizontal="center" vertical="center"/>
      <protection locked="0"/>
    </xf>
    <xf numFmtId="9" fontId="0" fillId="4" borderId="15" xfId="3" applyFont="1" applyFill="1" applyBorder="1"/>
    <xf numFmtId="9" fontId="59" fillId="4" borderId="195" xfId="3" applyFont="1" applyFill="1" applyBorder="1" applyAlignment="1" applyProtection="1">
      <alignment horizontal="center" vertical="center" wrapText="1"/>
      <protection hidden="1"/>
    </xf>
    <xf numFmtId="9" fontId="0" fillId="4" borderId="29" xfId="3" applyFont="1" applyFill="1" applyBorder="1" applyAlignment="1" applyProtection="1">
      <alignment horizontal="center"/>
      <protection hidden="1"/>
    </xf>
    <xf numFmtId="9" fontId="90" fillId="4" borderId="38" xfId="3" applyFont="1" applyFill="1" applyBorder="1" applyAlignment="1" applyProtection="1">
      <alignment vertical="center"/>
      <protection hidden="1"/>
    </xf>
    <xf numFmtId="9" fontId="108" fillId="0" borderId="0" xfId="3" applyFont="1"/>
    <xf numFmtId="8" fontId="113" fillId="4" borderId="7" xfId="3" applyNumberFormat="1" applyFont="1" applyFill="1" applyBorder="1" applyAlignment="1" applyProtection="1">
      <alignment vertical="center"/>
      <protection hidden="1"/>
    </xf>
    <xf numFmtId="0" fontId="285" fillId="9" borderId="0" xfId="0" applyFont="1" applyFill="1" applyAlignment="1" applyProtection="1">
      <alignment horizontal="center" vertical="center" wrapText="1"/>
      <protection hidden="1"/>
    </xf>
    <xf numFmtId="0" fontId="285" fillId="9" borderId="0" xfId="0" applyFont="1" applyFill="1" applyAlignment="1">
      <alignment horizontal="center" vertical="center" wrapText="1"/>
    </xf>
    <xf numFmtId="198" fontId="102" fillId="9" borderId="0" xfId="0" applyNumberFormat="1" applyFont="1" applyFill="1" applyAlignment="1">
      <alignment vertical="center"/>
    </xf>
    <xf numFmtId="6" fontId="102" fillId="18" borderId="131" xfId="3" applyNumberFormat="1" applyFont="1" applyFill="1" applyBorder="1" applyAlignment="1" applyProtection="1">
      <alignment horizontal="center" vertical="center"/>
      <protection hidden="1"/>
    </xf>
    <xf numFmtId="6" fontId="102" fillId="23" borderId="132" xfId="0" applyNumberFormat="1" applyFont="1" applyFill="1" applyBorder="1" applyAlignment="1">
      <alignment horizontal="center" vertical="center"/>
    </xf>
    <xf numFmtId="8" fontId="102" fillId="9" borderId="177" xfId="0" applyNumberFormat="1" applyFont="1" applyFill="1" applyBorder="1" applyAlignment="1" applyProtection="1">
      <alignment horizontal="center" vertical="center"/>
      <protection hidden="1"/>
    </xf>
    <xf numFmtId="8" fontId="102" fillId="9" borderId="131" xfId="0" applyNumberFormat="1" applyFont="1" applyFill="1" applyBorder="1" applyAlignment="1" applyProtection="1">
      <alignment horizontal="center" vertical="center"/>
      <protection hidden="1"/>
    </xf>
    <xf numFmtId="6" fontId="102" fillId="9" borderId="131" xfId="0" applyNumberFormat="1" applyFont="1" applyFill="1" applyBorder="1" applyAlignment="1" applyProtection="1">
      <alignment horizontal="center" vertical="center"/>
      <protection hidden="1"/>
    </xf>
    <xf numFmtId="0" fontId="0" fillId="9" borderId="0" xfId="0" applyFill="1" applyAlignment="1">
      <alignment vertical="center" textRotation="135" wrapText="1"/>
    </xf>
    <xf numFmtId="201" fontId="0" fillId="0" borderId="0" xfId="0" applyNumberFormat="1"/>
    <xf numFmtId="202" fontId="0" fillId="0" borderId="0" xfId="3" applyNumberFormat="1" applyFont="1"/>
    <xf numFmtId="203" fontId="0" fillId="9" borderId="0" xfId="0" applyNumberFormat="1" applyFill="1" applyAlignment="1" applyProtection="1">
      <alignment horizontal="center" vertical="center" textRotation="180" wrapText="1"/>
      <protection hidden="1"/>
    </xf>
    <xf numFmtId="1" fontId="102" fillId="9" borderId="2" xfId="0" applyNumberFormat="1" applyFont="1" applyFill="1" applyBorder="1" applyAlignment="1">
      <alignment vertical="center"/>
    </xf>
    <xf numFmtId="14" fontId="106" fillId="9" borderId="2" xfId="0" applyNumberFormat="1" applyFont="1" applyFill="1" applyBorder="1" applyAlignment="1">
      <alignment vertical="center"/>
    </xf>
    <xf numFmtId="203" fontId="0" fillId="9" borderId="0" xfId="0" applyNumberFormat="1" applyFill="1" applyAlignment="1" applyProtection="1">
      <alignment horizontal="center" vertical="center" textRotation="90" wrapText="1"/>
      <protection hidden="1"/>
    </xf>
    <xf numFmtId="203" fontId="102" fillId="9" borderId="0" xfId="0" applyNumberFormat="1" applyFont="1" applyFill="1" applyAlignment="1" applyProtection="1">
      <alignment horizontal="center" vertical="center" wrapText="1"/>
      <protection hidden="1"/>
    </xf>
    <xf numFmtId="203" fontId="102" fillId="0" borderId="0" xfId="0" applyNumberFormat="1" applyFont="1" applyAlignment="1" applyProtection="1">
      <alignment horizontal="center"/>
      <protection hidden="1"/>
    </xf>
    <xf numFmtId="0" fontId="77" fillId="4" borderId="0" xfId="0" applyFont="1" applyFill="1" applyAlignment="1" applyProtection="1">
      <alignment horizontal="center" vertical="center"/>
      <protection locked="0"/>
    </xf>
    <xf numFmtId="0" fontId="102" fillId="8" borderId="0" xfId="0" applyFont="1" applyFill="1" applyAlignment="1">
      <alignment vertical="center"/>
    </xf>
    <xf numFmtId="177" fontId="102" fillId="9" borderId="2" xfId="3" applyNumberFormat="1" applyFont="1" applyFill="1" applyBorder="1" applyAlignment="1">
      <alignment horizontal="center" vertical="center"/>
    </xf>
    <xf numFmtId="0" fontId="0" fillId="23" borderId="0" xfId="0" applyFill="1" applyAlignment="1">
      <alignment horizontal="center" vertical="center"/>
    </xf>
    <xf numFmtId="0" fontId="105" fillId="23" borderId="0" xfId="0" applyFont="1" applyFill="1" applyAlignment="1">
      <alignment horizontal="center" vertical="center" wrapText="1"/>
    </xf>
    <xf numFmtId="0" fontId="64" fillId="23" borderId="0" xfId="0" applyFont="1" applyFill="1" applyAlignment="1">
      <alignment horizontal="center"/>
    </xf>
    <xf numFmtId="0" fontId="0" fillId="28" borderId="0" xfId="0" applyFill="1" applyAlignment="1">
      <alignment horizontal="center" vertical="center"/>
    </xf>
    <xf numFmtId="0" fontId="0" fillId="28" borderId="0" xfId="0" applyFill="1" applyAlignment="1">
      <alignment horizontal="center" vertical="center" wrapText="1"/>
    </xf>
    <xf numFmtId="0" fontId="79" fillId="28" borderId="0" xfId="0" applyFont="1" applyFill="1" applyAlignment="1">
      <alignment horizontal="center"/>
    </xf>
    <xf numFmtId="0" fontId="105" fillId="18" borderId="0" xfId="0" applyFont="1" applyFill="1" applyAlignment="1">
      <alignment horizontal="center" vertical="center" wrapText="1"/>
    </xf>
    <xf numFmtId="0" fontId="64" fillId="18" borderId="0" xfId="0" applyFont="1" applyFill="1" applyAlignment="1">
      <alignment horizontal="center"/>
    </xf>
    <xf numFmtId="0" fontId="0" fillId="8" borderId="0" xfId="0" applyFill="1" applyAlignment="1">
      <alignment horizontal="center" vertical="center" wrapText="1"/>
    </xf>
    <xf numFmtId="0" fontId="79" fillId="28" borderId="2" xfId="0" applyFont="1" applyFill="1" applyBorder="1" applyAlignment="1">
      <alignment horizontal="center" vertical="center"/>
    </xf>
    <xf numFmtId="10" fontId="0" fillId="0" borderId="2" xfId="3" applyNumberFormat="1" applyFont="1" applyBorder="1" applyAlignment="1">
      <alignment horizontal="center"/>
    </xf>
    <xf numFmtId="0" fontId="64" fillId="18" borderId="2" xfId="0" applyFont="1" applyFill="1" applyBorder="1" applyAlignment="1">
      <alignment horizontal="center"/>
    </xf>
    <xf numFmtId="168" fontId="0" fillId="9" borderId="2" xfId="0" applyNumberFormat="1" applyFill="1" applyBorder="1" applyAlignment="1">
      <alignment horizontal="center"/>
    </xf>
    <xf numFmtId="10" fontId="76" fillId="9" borderId="2" xfId="3" applyNumberFormat="1" applyFill="1" applyBorder="1" applyAlignment="1">
      <alignment horizontal="center"/>
    </xf>
    <xf numFmtId="167" fontId="0" fillId="9" borderId="2" xfId="0" applyNumberFormat="1" applyFill="1" applyBorder="1" applyAlignment="1">
      <alignment horizontal="center" vertical="center" wrapText="1"/>
    </xf>
    <xf numFmtId="10" fontId="0" fillId="9" borderId="2" xfId="3" applyNumberFormat="1" applyFont="1" applyFill="1" applyBorder="1" applyAlignment="1">
      <alignment horizontal="center"/>
    </xf>
    <xf numFmtId="0" fontId="79" fillId="18" borderId="24" xfId="0" applyFont="1" applyFill="1" applyBorder="1" applyAlignment="1">
      <alignment horizontal="center"/>
    </xf>
    <xf numFmtId="0" fontId="105" fillId="18" borderId="21" xfId="0" applyFont="1" applyFill="1" applyBorder="1" applyAlignment="1">
      <alignment horizontal="center" vertical="center" wrapText="1"/>
    </xf>
    <xf numFmtId="0" fontId="79" fillId="18" borderId="4" xfId="0" applyFont="1" applyFill="1" applyBorder="1" applyAlignment="1">
      <alignment horizontal="center"/>
    </xf>
    <xf numFmtId="0" fontId="64" fillId="18" borderId="3" xfId="0" applyFont="1" applyFill="1" applyBorder="1" applyAlignment="1">
      <alignment horizontal="center" vertical="center"/>
    </xf>
    <xf numFmtId="0" fontId="0" fillId="9" borderId="4" xfId="0" applyFill="1" applyBorder="1" applyAlignment="1">
      <alignment horizontal="center"/>
    </xf>
    <xf numFmtId="10" fontId="76" fillId="9" borderId="3" xfId="3" applyNumberFormat="1" applyFill="1" applyBorder="1" applyAlignment="1">
      <alignment horizontal="center"/>
    </xf>
    <xf numFmtId="10" fontId="76" fillId="0" borderId="3" xfId="3" applyNumberFormat="1" applyFill="1" applyBorder="1" applyAlignment="1">
      <alignment horizontal="center"/>
    </xf>
    <xf numFmtId="0" fontId="0" fillId="9" borderId="5" xfId="0" applyFill="1" applyBorder="1" applyAlignment="1">
      <alignment horizontal="center"/>
    </xf>
    <xf numFmtId="168" fontId="0" fillId="9" borderId="6" xfId="0" applyNumberFormat="1" applyFill="1" applyBorder="1" applyAlignment="1">
      <alignment horizontal="center"/>
    </xf>
    <xf numFmtId="10" fontId="76" fillId="9" borderId="6" xfId="3" applyNumberFormat="1" applyFill="1" applyBorder="1" applyAlignment="1">
      <alignment horizontal="center"/>
    </xf>
    <xf numFmtId="10" fontId="76" fillId="9" borderId="7" xfId="3" applyNumberFormat="1" applyFill="1" applyBorder="1" applyAlignment="1">
      <alignment horizontal="center"/>
    </xf>
    <xf numFmtId="0" fontId="0" fillId="23" borderId="24" xfId="0" applyFill="1" applyBorder="1" applyAlignment="1">
      <alignment horizontal="center" vertical="center"/>
    </xf>
    <xf numFmtId="0" fontId="105" fillId="23" borderId="21" xfId="0" applyFont="1" applyFill="1" applyBorder="1" applyAlignment="1">
      <alignment horizontal="center" vertical="center" wrapText="1"/>
    </xf>
    <xf numFmtId="0" fontId="64" fillId="23" borderId="4" xfId="0" applyFont="1" applyFill="1" applyBorder="1" applyAlignment="1">
      <alignment horizontal="center" vertical="center"/>
    </xf>
    <xf numFmtId="0" fontId="64" fillId="23" borderId="3" xfId="0" applyFont="1" applyFill="1" applyBorder="1" applyAlignment="1">
      <alignment horizontal="center" vertical="center"/>
    </xf>
    <xf numFmtId="167" fontId="0" fillId="9" borderId="6" xfId="0" applyNumberFormat="1" applyFill="1" applyBorder="1" applyAlignment="1">
      <alignment horizontal="center" vertical="center" wrapText="1"/>
    </xf>
    <xf numFmtId="0" fontId="0" fillId="28" borderId="24" xfId="0" applyFill="1" applyBorder="1" applyAlignment="1">
      <alignment horizontal="center" vertical="center"/>
    </xf>
    <xf numFmtId="0" fontId="105" fillId="28" borderId="21" xfId="0" applyFont="1" applyFill="1" applyBorder="1" applyAlignment="1">
      <alignment horizontal="center" vertical="center" wrapText="1"/>
    </xf>
    <xf numFmtId="0" fontId="79" fillId="28" borderId="4" xfId="0" applyFont="1" applyFill="1" applyBorder="1" applyAlignment="1">
      <alignment horizontal="center" vertical="center"/>
    </xf>
    <xf numFmtId="0" fontId="79" fillId="28" borderId="3" xfId="0" applyFont="1" applyFill="1" applyBorder="1" applyAlignment="1">
      <alignment horizontal="center" vertical="center"/>
    </xf>
    <xf numFmtId="10" fontId="0" fillId="9" borderId="3" xfId="3" applyNumberFormat="1" applyFont="1" applyFill="1" applyBorder="1" applyAlignment="1">
      <alignment horizontal="center"/>
    </xf>
    <xf numFmtId="10" fontId="0" fillId="0" borderId="3" xfId="3" applyNumberFormat="1" applyFont="1" applyBorder="1" applyAlignment="1">
      <alignment horizontal="center"/>
    </xf>
    <xf numFmtId="167" fontId="0" fillId="9" borderId="6" xfId="0" applyNumberFormat="1" applyFill="1" applyBorder="1" applyAlignment="1">
      <alignment horizontal="center"/>
    </xf>
    <xf numFmtId="10" fontId="0" fillId="9" borderId="6" xfId="3" applyNumberFormat="1" applyFont="1" applyFill="1" applyBorder="1" applyAlignment="1">
      <alignment horizontal="center"/>
    </xf>
    <xf numFmtId="10" fontId="0" fillId="9" borderId="7" xfId="3" applyNumberFormat="1" applyFont="1" applyFill="1" applyBorder="1" applyAlignment="1">
      <alignment horizontal="center"/>
    </xf>
    <xf numFmtId="0" fontId="0" fillId="8" borderId="4" xfId="0" applyFill="1" applyBorder="1" applyAlignment="1">
      <alignment horizontal="center"/>
    </xf>
    <xf numFmtId="168" fontId="0" fillId="8" borderId="2" xfId="0" applyNumberFormat="1" applyFill="1" applyBorder="1" applyAlignment="1">
      <alignment horizontal="center"/>
    </xf>
    <xf numFmtId="10" fontId="76" fillId="8" borderId="2" xfId="3" applyNumberFormat="1" applyFill="1" applyBorder="1" applyAlignment="1">
      <alignment horizontal="center"/>
    </xf>
    <xf numFmtId="10" fontId="76" fillId="8" borderId="3" xfId="3" applyNumberFormat="1" applyFill="1" applyBorder="1" applyAlignment="1">
      <alignment horizontal="center"/>
    </xf>
    <xf numFmtId="167" fontId="0" fillId="8" borderId="2" xfId="0" applyNumberFormat="1" applyFill="1" applyBorder="1" applyAlignment="1">
      <alignment horizontal="center" vertical="center" wrapText="1"/>
    </xf>
    <xf numFmtId="167" fontId="0" fillId="8" borderId="2" xfId="0" applyNumberFormat="1" applyFill="1" applyBorder="1" applyAlignment="1">
      <alignment horizontal="center"/>
    </xf>
    <xf numFmtId="10" fontId="0" fillId="8" borderId="2" xfId="3" applyNumberFormat="1" applyFont="1" applyFill="1" applyBorder="1" applyAlignment="1">
      <alignment horizontal="center"/>
    </xf>
    <xf numFmtId="10" fontId="0" fillId="8" borderId="3" xfId="3" applyNumberFormat="1" applyFont="1" applyFill="1" applyBorder="1" applyAlignment="1">
      <alignment horizontal="center"/>
    </xf>
    <xf numFmtId="0" fontId="64" fillId="28" borderId="4" xfId="0" applyFont="1" applyFill="1" applyBorder="1" applyAlignment="1">
      <alignment horizontal="center" vertical="center"/>
    </xf>
    <xf numFmtId="0" fontId="64" fillId="28" borderId="2" xfId="0" applyFont="1" applyFill="1" applyBorder="1" applyAlignment="1">
      <alignment horizontal="center" vertical="center"/>
    </xf>
    <xf numFmtId="0" fontId="64" fillId="28" borderId="3" xfId="0" applyFont="1" applyFill="1" applyBorder="1" applyAlignment="1">
      <alignment horizontal="center" vertical="center"/>
    </xf>
    <xf numFmtId="0" fontId="122" fillId="9" borderId="0" xfId="0" applyFont="1" applyFill="1" applyAlignment="1">
      <alignment horizontal="center"/>
    </xf>
    <xf numFmtId="0" fontId="122" fillId="9" borderId="0" xfId="0" applyFont="1" applyFill="1" applyAlignment="1">
      <alignment horizontal="center" wrapText="1"/>
    </xf>
    <xf numFmtId="181" fontId="58" fillId="0" borderId="0" xfId="21" applyNumberFormat="1" applyFont="1" applyAlignment="1">
      <alignment horizontal="center"/>
    </xf>
    <xf numFmtId="14" fontId="0" fillId="3" borderId="3" xfId="0" applyNumberFormat="1" applyFill="1" applyBorder="1" applyAlignment="1" applyProtection="1">
      <alignment horizontal="center" vertical="center"/>
      <protection hidden="1"/>
    </xf>
    <xf numFmtId="8" fontId="105" fillId="4" borderId="3" xfId="0" applyNumberFormat="1" applyFont="1" applyFill="1" applyBorder="1" applyAlignment="1">
      <alignment vertical="center"/>
    </xf>
    <xf numFmtId="8" fontId="0" fillId="0" borderId="3" xfId="0" applyNumberFormat="1" applyBorder="1" applyAlignment="1" applyProtection="1">
      <alignment vertical="center"/>
      <protection locked="0"/>
    </xf>
    <xf numFmtId="8" fontId="100" fillId="4" borderId="3" xfId="0" applyNumberFormat="1" applyFont="1" applyFill="1" applyBorder="1" applyAlignment="1" applyProtection="1">
      <alignment vertical="center"/>
      <protection hidden="1"/>
    </xf>
    <xf numFmtId="182" fontId="0" fillId="6" borderId="2" xfId="0" applyNumberFormat="1" applyFill="1" applyBorder="1" applyAlignment="1" applyProtection="1">
      <alignment horizontal="center" vertical="center"/>
      <protection locked="0"/>
    </xf>
    <xf numFmtId="8" fontId="0" fillId="4" borderId="6" xfId="0" applyNumberFormat="1" applyFill="1" applyBorder="1" applyAlignment="1" applyProtection="1">
      <alignment vertical="center"/>
      <protection hidden="1"/>
    </xf>
    <xf numFmtId="8" fontId="0" fillId="4" borderId="7" xfId="0" applyNumberFormat="1" applyFill="1" applyBorder="1" applyAlignment="1" applyProtection="1">
      <alignment vertical="center"/>
      <protection hidden="1"/>
    </xf>
    <xf numFmtId="6" fontId="100" fillId="4" borderId="2" xfId="0" applyNumberFormat="1" applyFont="1" applyFill="1" applyBorder="1" applyAlignment="1" applyProtection="1">
      <alignment horizontal="center" vertical="center"/>
      <protection hidden="1"/>
    </xf>
    <xf numFmtId="0" fontId="0" fillId="4" borderId="170" xfId="0" applyFill="1" applyBorder="1" applyAlignment="1" applyProtection="1">
      <alignment vertical="top" wrapText="1"/>
      <protection hidden="1"/>
    </xf>
    <xf numFmtId="0" fontId="100" fillId="4" borderId="170" xfId="0" applyFont="1" applyFill="1" applyBorder="1" applyAlignment="1">
      <alignment horizontal="left" vertical="center"/>
    </xf>
    <xf numFmtId="6" fontId="100" fillId="4" borderId="130" xfId="0" applyNumberFormat="1" applyFont="1" applyFill="1" applyBorder="1" applyAlignment="1" applyProtection="1">
      <alignment horizontal="center" vertical="center"/>
      <protection hidden="1"/>
    </xf>
    <xf numFmtId="8" fontId="0" fillId="4" borderId="0" xfId="0" applyNumberFormat="1" applyFill="1" applyAlignment="1">
      <alignment vertical="center"/>
    </xf>
    <xf numFmtId="9" fontId="0" fillId="4" borderId="0" xfId="3" applyFont="1" applyFill="1" applyAlignment="1">
      <alignment vertical="center"/>
    </xf>
    <xf numFmtId="204" fontId="0" fillId="4" borderId="2" xfId="0" applyNumberFormat="1" applyFill="1" applyBorder="1" applyAlignment="1" applyProtection="1">
      <alignment horizontal="center" vertical="center" wrapText="1"/>
      <protection locked="0"/>
    </xf>
    <xf numFmtId="6" fontId="100" fillId="0" borderId="2" xfId="0" applyNumberFormat="1" applyFont="1" applyBorder="1" applyAlignment="1" applyProtection="1">
      <alignment horizontal="center" vertical="center"/>
      <protection locked="0"/>
    </xf>
    <xf numFmtId="8" fontId="0" fillId="4" borderId="2" xfId="0" applyNumberFormat="1" applyFill="1" applyBorder="1" applyAlignment="1" applyProtection="1">
      <alignment horizontal="center" vertical="center" wrapText="1"/>
      <protection hidden="1"/>
    </xf>
    <xf numFmtId="0" fontId="100" fillId="4" borderId="170" xfId="0" applyFont="1" applyFill="1" applyBorder="1" applyAlignment="1" applyProtection="1">
      <alignment vertical="center"/>
      <protection hidden="1"/>
    </xf>
    <xf numFmtId="0" fontId="100" fillId="0" borderId="130" xfId="0" applyFont="1" applyBorder="1" applyAlignment="1" applyProtection="1">
      <alignment vertical="center"/>
      <protection locked="0"/>
    </xf>
    <xf numFmtId="8" fontId="0" fillId="4" borderId="130" xfId="0" applyNumberFormat="1" applyFill="1" applyBorder="1" applyAlignment="1" applyProtection="1">
      <alignment horizontal="center" vertical="center" wrapText="1"/>
      <protection hidden="1"/>
    </xf>
    <xf numFmtId="204" fontId="0" fillId="4" borderId="130" xfId="0" applyNumberForma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protection locked="0"/>
    </xf>
    <xf numFmtId="0" fontId="0" fillId="4" borderId="1" xfId="0" applyFill="1" applyBorder="1" applyAlignment="1" applyProtection="1">
      <alignment horizontal="center" vertical="center"/>
      <protection hidden="1"/>
    </xf>
    <xf numFmtId="205" fontId="0" fillId="0" borderId="0" xfId="0" applyNumberFormat="1" applyAlignment="1">
      <alignment horizontal="center" vertical="center"/>
    </xf>
    <xf numFmtId="0" fontId="102" fillId="0" borderId="0" xfId="0" applyFont="1" applyAlignment="1">
      <alignment horizontal="center" vertical="center" wrapText="1"/>
    </xf>
    <xf numFmtId="2" fontId="102" fillId="0" borderId="0" xfId="0" applyNumberFormat="1" applyFont="1" applyAlignment="1">
      <alignment horizontal="center" vertical="center"/>
    </xf>
    <xf numFmtId="167" fontId="102" fillId="0" borderId="0" xfId="0" applyNumberFormat="1" applyFont="1" applyAlignment="1">
      <alignment horizontal="center" vertical="center"/>
    </xf>
    <xf numFmtId="14" fontId="102" fillId="0" borderId="0" xfId="0" applyNumberFormat="1" applyFont="1" applyAlignment="1">
      <alignment vertical="center"/>
    </xf>
    <xf numFmtId="6" fontId="0" fillId="4" borderId="0" xfId="0" applyNumberFormat="1" applyFill="1" applyAlignment="1" applyProtection="1">
      <alignment horizontal="center" vertical="center" wrapText="1"/>
      <protection hidden="1"/>
    </xf>
    <xf numFmtId="0" fontId="0" fillId="0" borderId="31" xfId="0" applyBorder="1" applyAlignment="1" applyProtection="1">
      <alignment horizontal="center" vertical="center"/>
      <protection locked="0"/>
    </xf>
    <xf numFmtId="8" fontId="100" fillId="0" borderId="1" xfId="0" applyNumberFormat="1" applyFon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protection hidden="1"/>
    </xf>
    <xf numFmtId="8" fontId="0" fillId="4" borderId="42" xfId="0" applyNumberFormat="1" applyFill="1" applyBorder="1" applyAlignment="1" applyProtection="1">
      <alignment horizontal="center" vertical="center"/>
      <protection hidden="1"/>
    </xf>
    <xf numFmtId="6" fontId="110" fillId="4" borderId="306" xfId="0" applyNumberFormat="1" applyFont="1" applyFill="1" applyBorder="1" applyAlignment="1" applyProtection="1">
      <alignment horizontal="center" vertical="center"/>
      <protection hidden="1"/>
    </xf>
    <xf numFmtId="8" fontId="0" fillId="4" borderId="8" xfId="0" applyNumberFormat="1" applyFill="1" applyBorder="1" applyAlignment="1">
      <alignment horizontal="center" vertical="center"/>
    </xf>
    <xf numFmtId="8" fontId="100" fillId="4" borderId="1" xfId="0" applyNumberFormat="1" applyFont="1" applyFill="1" applyBorder="1" applyAlignment="1" applyProtection="1">
      <alignment horizontal="center" vertical="center"/>
      <protection hidden="1"/>
    </xf>
    <xf numFmtId="8" fontId="0" fillId="4" borderId="1" xfId="0" applyNumberFormat="1" applyFill="1" applyBorder="1" applyAlignment="1" applyProtection="1">
      <alignment horizontal="center" vertical="center" wrapText="1"/>
      <protection hidden="1"/>
    </xf>
    <xf numFmtId="8" fontId="0" fillId="4" borderId="1" xfId="0" applyNumberFormat="1" applyFill="1" applyBorder="1" applyAlignment="1" applyProtection="1">
      <alignment horizontal="center" vertical="center" wrapText="1"/>
      <protection locked="0"/>
    </xf>
    <xf numFmtId="8" fontId="0" fillId="4" borderId="175" xfId="0" applyNumberFormat="1" applyFill="1" applyBorder="1" applyAlignment="1" applyProtection="1">
      <alignment horizontal="center" vertical="center" wrapText="1"/>
      <protection hidden="1"/>
    </xf>
    <xf numFmtId="9" fontId="0" fillId="0" borderId="0" xfId="3" applyFont="1" applyAlignment="1">
      <alignment vertical="center"/>
    </xf>
    <xf numFmtId="177" fontId="100" fillId="0" borderId="1" xfId="3" applyNumberFormat="1" applyFont="1" applyBorder="1" applyAlignment="1" applyProtection="1">
      <alignment horizontal="center" vertical="center"/>
      <protection locked="0"/>
    </xf>
    <xf numFmtId="2" fontId="0" fillId="4" borderId="100" xfId="0" applyNumberFormat="1" applyFill="1" applyBorder="1" applyAlignment="1" applyProtection="1">
      <alignment horizontal="center" vertical="center" wrapText="1"/>
      <protection hidden="1"/>
    </xf>
    <xf numFmtId="2" fontId="0" fillId="4" borderId="68" xfId="0" applyNumberFormat="1" applyFill="1" applyBorder="1" applyAlignment="1" applyProtection="1">
      <alignment horizontal="center" vertical="center" wrapText="1"/>
      <protection hidden="1"/>
    </xf>
    <xf numFmtId="2" fontId="0" fillId="4" borderId="141" xfId="0" applyNumberFormat="1" applyFill="1" applyBorder="1" applyAlignment="1" applyProtection="1">
      <alignment horizontal="center" vertical="center" wrapText="1"/>
      <protection hidden="1"/>
    </xf>
    <xf numFmtId="14" fontId="16" fillId="0" borderId="2" xfId="0" applyNumberFormat="1" applyFont="1" applyBorder="1" applyAlignment="1" applyProtection="1">
      <alignment horizontal="center" vertical="center"/>
      <protection locked="0"/>
    </xf>
    <xf numFmtId="167" fontId="112" fillId="4" borderId="1" xfId="0" applyNumberFormat="1" applyFont="1" applyFill="1" applyBorder="1" applyAlignment="1">
      <alignment horizontal="center" vertical="center"/>
    </xf>
    <xf numFmtId="167" fontId="112" fillId="4" borderId="130" xfId="0" applyNumberFormat="1" applyFont="1" applyFill="1" applyBorder="1" applyAlignment="1">
      <alignment horizontal="center" vertical="center"/>
    </xf>
    <xf numFmtId="0" fontId="112" fillId="4" borderId="0" xfId="0" applyFont="1" applyFill="1" applyAlignment="1">
      <alignment vertical="center"/>
    </xf>
    <xf numFmtId="0" fontId="112" fillId="0" borderId="0" xfId="0" applyFont="1" applyAlignment="1">
      <alignment vertical="center"/>
    </xf>
    <xf numFmtId="0" fontId="112" fillId="0" borderId="0" xfId="0" applyFont="1" applyAlignment="1" applyProtection="1">
      <alignment vertical="center"/>
      <protection locked="0"/>
    </xf>
    <xf numFmtId="6" fontId="110" fillId="4" borderId="130" xfId="0" applyNumberFormat="1" applyFont="1" applyFill="1" applyBorder="1" applyAlignment="1" applyProtection="1">
      <alignment horizontal="center" vertical="center" wrapText="1"/>
      <protection hidden="1"/>
    </xf>
    <xf numFmtId="0" fontId="110" fillId="4" borderId="0" xfId="0" applyFont="1" applyFill="1" applyAlignment="1">
      <alignment vertical="center"/>
    </xf>
    <xf numFmtId="9" fontId="0" fillId="0" borderId="10" xfId="3" applyFont="1" applyFill="1" applyBorder="1" applyAlignment="1" applyProtection="1">
      <alignment horizontal="center" vertical="center" wrapText="1"/>
      <protection locked="0"/>
    </xf>
    <xf numFmtId="8" fontId="112" fillId="4" borderId="130" xfId="0" applyNumberFormat="1" applyFont="1" applyFill="1" applyBorder="1" applyAlignment="1" applyProtection="1">
      <alignment horizontal="center" vertical="center" wrapText="1"/>
      <protection hidden="1"/>
    </xf>
    <xf numFmtId="9" fontId="112" fillId="4" borderId="0" xfId="3" applyFont="1" applyFill="1" applyAlignment="1">
      <alignment vertical="center"/>
    </xf>
    <xf numFmtId="9" fontId="112" fillId="0" borderId="0" xfId="3" applyFont="1" applyAlignment="1">
      <alignment vertical="center"/>
    </xf>
    <xf numFmtId="0" fontId="0" fillId="9" borderId="170" xfId="0" applyFill="1" applyBorder="1" applyAlignment="1" applyProtection="1">
      <alignment horizontal="right" vertical="center"/>
      <protection hidden="1"/>
    </xf>
    <xf numFmtId="0" fontId="0" fillId="9" borderId="164" xfId="0" applyFill="1" applyBorder="1" applyAlignment="1" applyProtection="1">
      <alignment horizontal="right" vertical="center" wrapText="1"/>
      <protection hidden="1"/>
    </xf>
    <xf numFmtId="8" fontId="112" fillId="0" borderId="0" xfId="0" applyNumberFormat="1" applyFont="1" applyAlignment="1">
      <alignment horizontal="center" vertical="center"/>
    </xf>
    <xf numFmtId="8" fontId="112" fillId="0" borderId="0" xfId="0" applyNumberFormat="1" applyFont="1" applyAlignment="1">
      <alignment vertical="center"/>
    </xf>
    <xf numFmtId="0" fontId="0" fillId="9" borderId="2" xfId="0" applyFill="1" applyBorder="1" applyAlignment="1" applyProtection="1">
      <alignment horizontal="center" vertical="center"/>
      <protection hidden="1"/>
    </xf>
    <xf numFmtId="2" fontId="0" fillId="9" borderId="2" xfId="0" applyNumberFormat="1" applyFill="1" applyBorder="1" applyAlignment="1" applyProtection="1">
      <alignment horizontal="center" vertical="center"/>
      <protection hidden="1"/>
    </xf>
    <xf numFmtId="8" fontId="0" fillId="9" borderId="12" xfId="0" applyNumberFormat="1" applyFill="1" applyBorder="1" applyAlignment="1" applyProtection="1">
      <alignment horizontal="center" vertical="center"/>
      <protection hidden="1"/>
    </xf>
    <xf numFmtId="8" fontId="0" fillId="9" borderId="108" xfId="0" applyNumberFormat="1" applyFill="1" applyBorder="1" applyAlignment="1">
      <alignment horizontal="center" vertical="center"/>
    </xf>
    <xf numFmtId="167" fontId="0" fillId="9" borderId="2" xfId="0" applyNumberFormat="1" applyFill="1" applyBorder="1" applyAlignment="1">
      <alignment horizontal="center" vertical="center"/>
    </xf>
    <xf numFmtId="6" fontId="110" fillId="9" borderId="2" xfId="0" applyNumberFormat="1" applyFont="1" applyFill="1" applyBorder="1" applyAlignment="1" applyProtection="1">
      <alignment horizontal="center" vertical="center"/>
      <protection hidden="1"/>
    </xf>
    <xf numFmtId="8" fontId="0" fillId="9" borderId="2" xfId="0" applyNumberFormat="1" applyFill="1" applyBorder="1" applyAlignment="1" applyProtection="1">
      <alignment horizontal="center" vertical="center" wrapText="1"/>
      <protection hidden="1"/>
    </xf>
    <xf numFmtId="8" fontId="100" fillId="9" borderId="2" xfId="0" applyNumberFormat="1" applyFont="1" applyFill="1" applyBorder="1" applyAlignment="1" applyProtection="1">
      <alignment horizontal="center" vertical="center" wrapText="1"/>
      <protection hidden="1"/>
    </xf>
    <xf numFmtId="6" fontId="110" fillId="9" borderId="2" xfId="0" applyNumberFormat="1" applyFont="1" applyFill="1" applyBorder="1" applyAlignment="1" applyProtection="1">
      <alignment horizontal="center" vertical="center" wrapText="1"/>
      <protection locked="0"/>
    </xf>
    <xf numFmtId="6" fontId="288" fillId="9" borderId="2" xfId="0" applyNumberFormat="1" applyFont="1" applyFill="1" applyBorder="1" applyAlignment="1" applyProtection="1">
      <alignment horizontal="center" vertical="center" wrapText="1"/>
      <protection hidden="1"/>
    </xf>
    <xf numFmtId="6" fontId="110" fillId="9" borderId="2" xfId="0" applyNumberFormat="1" applyFont="1" applyFill="1" applyBorder="1" applyAlignment="1" applyProtection="1">
      <alignment horizontal="center" vertical="center" wrapText="1"/>
      <protection hidden="1"/>
    </xf>
    <xf numFmtId="0" fontId="0" fillId="9" borderId="55" xfId="0" applyFill="1" applyBorder="1" applyAlignment="1">
      <alignment horizontal="right" vertical="center"/>
    </xf>
    <xf numFmtId="0" fontId="0" fillId="9" borderId="12" xfId="0" applyFill="1" applyBorder="1" applyAlignment="1" applyProtection="1">
      <alignment horizontal="center" vertical="center" wrapText="1"/>
      <protection hidden="1"/>
    </xf>
    <xf numFmtId="2" fontId="0" fillId="9" borderId="9" xfId="0" applyNumberFormat="1" applyFill="1" applyBorder="1" applyAlignment="1" applyProtection="1">
      <alignment horizontal="center" vertical="center" wrapText="1"/>
      <protection hidden="1"/>
    </xf>
    <xf numFmtId="0" fontId="0" fillId="0" borderId="10" xfId="0" applyBorder="1" applyAlignment="1" applyProtection="1">
      <alignment horizontal="right" vertical="center" wrapText="1"/>
      <protection hidden="1"/>
    </xf>
    <xf numFmtId="6" fontId="100" fillId="9" borderId="2" xfId="0" applyNumberFormat="1" applyFont="1" applyFill="1" applyBorder="1" applyAlignment="1" applyProtection="1">
      <alignment horizontal="center" vertical="center"/>
      <protection locked="0"/>
    </xf>
    <xf numFmtId="180" fontId="0" fillId="9" borderId="2" xfId="0" applyNumberFormat="1" applyFill="1" applyBorder="1" applyAlignment="1" applyProtection="1">
      <alignment horizontal="center" vertical="center" wrapText="1"/>
      <protection hidden="1"/>
    </xf>
    <xf numFmtId="8" fontId="106" fillId="9" borderId="12" xfId="0" applyNumberFormat="1" applyFont="1" applyFill="1" applyBorder="1" applyAlignment="1" applyProtection="1">
      <alignment horizontal="center" vertical="center"/>
      <protection hidden="1"/>
    </xf>
    <xf numFmtId="14" fontId="281" fillId="0" borderId="0" xfId="0" applyNumberFormat="1" applyFont="1" applyAlignment="1" applyProtection="1">
      <alignment vertical="center" wrapText="1"/>
      <protection hidden="1"/>
    </xf>
    <xf numFmtId="3" fontId="137" fillId="14" borderId="2" xfId="0" applyNumberFormat="1" applyFont="1" applyFill="1" applyBorder="1" applyAlignment="1">
      <alignment horizontal="center"/>
    </xf>
    <xf numFmtId="3" fontId="137" fillId="0" borderId="2" xfId="0" applyNumberFormat="1" applyFont="1" applyBorder="1" applyAlignment="1">
      <alignment horizontal="center"/>
    </xf>
    <xf numFmtId="3" fontId="137" fillId="14" borderId="6" xfId="0" applyNumberFormat="1" applyFont="1" applyFill="1" applyBorder="1" applyAlignment="1">
      <alignment horizontal="center"/>
    </xf>
    <xf numFmtId="3" fontId="137" fillId="0" borderId="41" xfId="0" applyNumberFormat="1" applyFont="1" applyBorder="1" applyAlignment="1">
      <alignment horizontal="center"/>
    </xf>
    <xf numFmtId="0" fontId="67" fillId="0" borderId="165" xfId="0" applyFont="1" applyBorder="1" applyAlignment="1" applyProtection="1">
      <alignment horizontal="left" vertical="center" wrapText="1"/>
      <protection hidden="1"/>
    </xf>
    <xf numFmtId="6" fontId="67" fillId="0" borderId="166" xfId="3" applyNumberFormat="1" applyFont="1" applyBorder="1" applyAlignment="1" applyProtection="1">
      <alignment horizontal="center" vertical="center" wrapText="1"/>
      <protection hidden="1"/>
    </xf>
    <xf numFmtId="0" fontId="76" fillId="0" borderId="43" xfId="0" applyFont="1" applyBorder="1" applyAlignment="1" applyProtection="1">
      <alignment horizontal="right" vertical="center" wrapText="1"/>
      <protection hidden="1"/>
    </xf>
    <xf numFmtId="8" fontId="0" fillId="0" borderId="2" xfId="0" quotePrefix="1" applyNumberFormat="1" applyBorder="1" applyAlignment="1">
      <alignment horizontal="center"/>
    </xf>
    <xf numFmtId="8" fontId="0" fillId="0" borderId="2" xfId="0" quotePrefix="1" applyNumberFormat="1" applyBorder="1" applyAlignment="1">
      <alignment horizontal="center" vertical="center"/>
    </xf>
    <xf numFmtId="8" fontId="209" fillId="9" borderId="2" xfId="0" applyNumberFormat="1" applyFont="1" applyFill="1" applyBorder="1" applyAlignment="1">
      <alignment vertical="center"/>
    </xf>
    <xf numFmtId="8" fontId="104" fillId="9" borderId="2" xfId="0" applyNumberFormat="1" applyFont="1" applyFill="1" applyBorder="1" applyAlignment="1">
      <alignment horizontal="center" vertical="center"/>
    </xf>
    <xf numFmtId="8" fontId="104" fillId="9" borderId="130" xfId="0" applyNumberFormat="1" applyFont="1" applyFill="1" applyBorder="1" applyAlignment="1">
      <alignment horizontal="center" vertical="center"/>
    </xf>
    <xf numFmtId="0" fontId="152" fillId="8" borderId="0" xfId="0" applyFont="1" applyFill="1" applyAlignment="1">
      <alignment horizontal="center" vertical="center" wrapText="1"/>
    </xf>
    <xf numFmtId="0" fontId="152" fillId="8" borderId="0" xfId="0" applyFont="1" applyFill="1" applyAlignment="1">
      <alignment horizontal="center" vertical="center"/>
    </xf>
    <xf numFmtId="0" fontId="0" fillId="30" borderId="0" xfId="0" applyFill="1"/>
    <xf numFmtId="0" fontId="229" fillId="30" borderId="0" xfId="0" applyFont="1" applyFill="1"/>
    <xf numFmtId="0" fontId="102" fillId="30" borderId="0" xfId="0" applyFont="1" applyFill="1"/>
    <xf numFmtId="0" fontId="124" fillId="30" borderId="0" xfId="0" applyFont="1" applyFill="1"/>
    <xf numFmtId="0" fontId="112" fillId="30" borderId="0" xfId="0" applyFont="1" applyFill="1"/>
    <xf numFmtId="0" fontId="112" fillId="30" borderId="0" xfId="0" applyFont="1" applyFill="1" applyAlignment="1">
      <alignment horizontal="center" vertical="center"/>
    </xf>
    <xf numFmtId="0" fontId="63" fillId="30" borderId="0" xfId="2" applyNumberFormat="1" applyFill="1" applyAlignment="1" applyProtection="1">
      <alignment horizontal="left"/>
    </xf>
    <xf numFmtId="0" fontId="0" fillId="30" borderId="113" xfId="0" applyFill="1" applyBorder="1" applyAlignment="1">
      <alignment vertical="top" wrapText="1"/>
    </xf>
    <xf numFmtId="0" fontId="0" fillId="30" borderId="0" xfId="0" applyFill="1" applyAlignment="1">
      <alignment vertical="top" wrapText="1"/>
    </xf>
    <xf numFmtId="0" fontId="0" fillId="6" borderId="0" xfId="0" applyFill="1"/>
    <xf numFmtId="0" fontId="229" fillId="6" borderId="0" xfId="0" applyFont="1" applyFill="1"/>
    <xf numFmtId="0" fontId="228" fillId="6" borderId="0" xfId="0" applyFont="1" applyFill="1"/>
    <xf numFmtId="0" fontId="122" fillId="6" borderId="0" xfId="0" applyFont="1" applyFill="1"/>
    <xf numFmtId="0" fontId="116" fillId="6" borderId="0" xfId="0" applyFont="1" applyFill="1"/>
    <xf numFmtId="0" fontId="102" fillId="6" borderId="0" xfId="0" applyFont="1" applyFill="1"/>
    <xf numFmtId="0" fontId="106" fillId="6" borderId="0" xfId="0" applyFont="1" applyFill="1"/>
    <xf numFmtId="0" fontId="63" fillId="6" borderId="0" xfId="2" applyNumberFormat="1" applyFill="1" applyAlignment="1" applyProtection="1">
      <alignment horizontal="center"/>
    </xf>
    <xf numFmtId="0" fontId="102" fillId="6" borderId="18" xfId="0" applyFont="1" applyFill="1" applyBorder="1" applyAlignment="1">
      <alignment horizontal="center"/>
    </xf>
    <xf numFmtId="0" fontId="63" fillId="6" borderId="18" xfId="2" applyNumberFormat="1" applyFill="1" applyBorder="1" applyAlignment="1" applyProtection="1">
      <alignment horizontal="center"/>
    </xf>
    <xf numFmtId="0" fontId="160" fillId="6" borderId="65" xfId="0" applyFont="1" applyFill="1" applyBorder="1" applyAlignment="1" applyProtection="1">
      <alignment vertical="center"/>
      <protection hidden="1"/>
    </xf>
    <xf numFmtId="0" fontId="130" fillId="6" borderId="65" xfId="0" applyFont="1" applyFill="1" applyBorder="1" applyAlignment="1" applyProtection="1">
      <alignment vertical="center"/>
      <protection hidden="1"/>
    </xf>
    <xf numFmtId="0" fontId="130" fillId="6" borderId="23" xfId="0" applyFont="1" applyFill="1" applyBorder="1" applyAlignment="1" applyProtection="1">
      <alignment vertical="center"/>
      <protection hidden="1"/>
    </xf>
    <xf numFmtId="0" fontId="154" fillId="6" borderId="23" xfId="0" applyFont="1" applyFill="1" applyBorder="1" applyAlignment="1" applyProtection="1">
      <alignment horizontal="right" vertical="center"/>
      <protection hidden="1"/>
    </xf>
    <xf numFmtId="0" fontId="166" fillId="6" borderId="23" xfId="2" applyNumberFormat="1" applyFont="1" applyFill="1" applyBorder="1" applyAlignment="1" applyProtection="1">
      <alignment horizontal="center" vertical="center"/>
      <protection hidden="1"/>
    </xf>
    <xf numFmtId="0" fontId="124" fillId="6" borderId="0" xfId="0" applyFont="1" applyFill="1"/>
    <xf numFmtId="0" fontId="122" fillId="6" borderId="0" xfId="0" applyFont="1" applyFill="1" applyAlignment="1">
      <alignment horizontal="left" vertical="center"/>
    </xf>
    <xf numFmtId="0" fontId="226" fillId="6" borderId="0" xfId="2" applyNumberFormat="1" applyFont="1" applyFill="1" applyBorder="1" applyAlignment="1" applyProtection="1">
      <alignment horizontal="center" vertical="center"/>
    </xf>
    <xf numFmtId="0" fontId="112" fillId="6" borderId="0" xfId="0" applyFont="1" applyFill="1"/>
    <xf numFmtId="0" fontId="198" fillId="6" borderId="0" xfId="2" applyNumberFormat="1" applyFont="1" applyFill="1" applyAlignment="1" applyProtection="1">
      <alignment horizontal="center" vertical="center"/>
    </xf>
    <xf numFmtId="0" fontId="291" fillId="6" borderId="16" xfId="2" applyNumberFormat="1" applyFont="1" applyFill="1" applyBorder="1" applyAlignment="1" applyProtection="1">
      <alignment horizontal="center" vertical="center"/>
    </xf>
    <xf numFmtId="0" fontId="292" fillId="6" borderId="39" xfId="2" applyNumberFormat="1" applyFont="1" applyFill="1" applyBorder="1" applyAlignment="1" applyProtection="1">
      <alignment horizontal="center" vertical="center"/>
    </xf>
    <xf numFmtId="0" fontId="144" fillId="6" borderId="0" xfId="2" applyNumberFormat="1" applyFont="1" applyFill="1" applyAlignment="1" applyProtection="1"/>
    <xf numFmtId="0" fontId="148" fillId="6" borderId="0" xfId="2" applyNumberFormat="1" applyFont="1" applyFill="1" applyAlignment="1" applyProtection="1">
      <alignment vertical="center"/>
    </xf>
    <xf numFmtId="0" fontId="148" fillId="6" borderId="0" xfId="2" applyNumberFormat="1" applyFont="1" applyFill="1" applyBorder="1" applyAlignment="1" applyProtection="1">
      <alignment vertical="center"/>
    </xf>
    <xf numFmtId="0" fontId="144" fillId="6" borderId="0" xfId="2" applyNumberFormat="1" applyFont="1" applyFill="1" applyAlignment="1" applyProtection="1">
      <alignment vertical="center"/>
    </xf>
    <xf numFmtId="0" fontId="218" fillId="6" borderId="0" xfId="2" applyNumberFormat="1" applyFont="1" applyFill="1" applyAlignment="1" applyProtection="1">
      <alignment horizontal="center" vertical="center" wrapText="1"/>
    </xf>
    <xf numFmtId="0" fontId="144" fillId="6" borderId="0" xfId="2" applyNumberFormat="1" applyFont="1" applyFill="1" applyAlignment="1" applyProtection="1">
      <alignment horizontal="left"/>
    </xf>
    <xf numFmtId="0" fontId="112" fillId="6" borderId="0" xfId="0" applyFont="1" applyFill="1" applyAlignment="1">
      <alignment horizontal="center" vertical="center"/>
    </xf>
    <xf numFmtId="0" fontId="102" fillId="6" borderId="0" xfId="0" applyFont="1" applyFill="1" applyAlignment="1">
      <alignment horizontal="center" vertical="center"/>
    </xf>
    <xf numFmtId="0" fontId="63" fillId="6" borderId="0" xfId="2" applyNumberFormat="1" applyFill="1" applyAlignment="1" applyProtection="1">
      <alignment horizontal="left" vertical="center"/>
    </xf>
    <xf numFmtId="0" fontId="63" fillId="6" borderId="0" xfId="2" applyNumberFormat="1" applyFill="1" applyAlignment="1" applyProtection="1">
      <alignment vertical="center"/>
    </xf>
    <xf numFmtId="0" fontId="272" fillId="6" borderId="0" xfId="2" applyNumberFormat="1" applyFont="1" applyFill="1" applyAlignment="1" applyProtection="1">
      <alignment horizontal="left" vertical="center"/>
    </xf>
    <xf numFmtId="0" fontId="63" fillId="6" borderId="0" xfId="2" applyNumberFormat="1" applyFill="1" applyAlignment="1" applyProtection="1"/>
    <xf numFmtId="0" fontId="191" fillId="6" borderId="0" xfId="2" applyNumberFormat="1" applyFont="1" applyFill="1" applyAlignment="1" applyProtection="1"/>
    <xf numFmtId="0" fontId="0" fillId="6" borderId="113" xfId="0" applyFill="1" applyBorder="1" applyAlignment="1">
      <alignment vertical="top" wrapText="1"/>
    </xf>
    <xf numFmtId="0" fontId="0" fillId="6" borderId="0" xfId="0" applyFill="1" applyAlignment="1">
      <alignment vertical="top" wrapText="1"/>
    </xf>
    <xf numFmtId="4" fontId="102" fillId="0" borderId="0" xfId="31" applyNumberFormat="1" applyFont="1" applyAlignment="1">
      <alignment horizontal="right"/>
    </xf>
    <xf numFmtId="14" fontId="102" fillId="0" borderId="0" xfId="31" applyNumberFormat="1" applyFont="1"/>
    <xf numFmtId="14" fontId="102" fillId="0" borderId="0" xfId="0" applyNumberFormat="1" applyFont="1"/>
    <xf numFmtId="4" fontId="102" fillId="0" borderId="0" xfId="0" applyNumberFormat="1" applyFont="1" applyAlignment="1">
      <alignment horizontal="right"/>
    </xf>
    <xf numFmtId="4" fontId="102" fillId="0" borderId="0" xfId="32" applyNumberFormat="1" applyFont="1" applyAlignment="1">
      <alignment horizontal="right"/>
    </xf>
    <xf numFmtId="14" fontId="102" fillId="0" borderId="0" xfId="32" applyNumberFormat="1" applyFont="1"/>
    <xf numFmtId="14" fontId="102" fillId="0" borderId="0" xfId="0" applyNumberFormat="1" applyFont="1" applyAlignment="1">
      <alignment horizontal="center"/>
    </xf>
    <xf numFmtId="10" fontId="102" fillId="0" borderId="0" xfId="3" applyNumberFormat="1" applyFont="1" applyAlignment="1">
      <alignment horizontal="center"/>
    </xf>
    <xf numFmtId="8" fontId="102" fillId="0" borderId="0" xfId="0" applyNumberFormat="1" applyFont="1" applyAlignment="1">
      <alignment horizontal="center"/>
    </xf>
    <xf numFmtId="10" fontId="102" fillId="0" borderId="0" xfId="3" applyNumberFormat="1" applyFont="1" applyFill="1" applyAlignment="1">
      <alignment horizontal="center"/>
    </xf>
    <xf numFmtId="175" fontId="11" fillId="0" borderId="0" xfId="0" applyNumberFormat="1" applyFont="1" applyAlignment="1">
      <alignment horizontal="center"/>
    </xf>
    <xf numFmtId="0" fontId="0" fillId="0" borderId="0" xfId="0" applyAlignment="1" applyProtection="1">
      <alignment horizontal="left"/>
      <protection locked="0"/>
    </xf>
    <xf numFmtId="0" fontId="0" fillId="4" borderId="6" xfId="0" applyFill="1" applyBorder="1" applyAlignment="1">
      <alignment horizontal="left"/>
    </xf>
    <xf numFmtId="0" fontId="0" fillId="4" borderId="6" xfId="0" applyFill="1" applyBorder="1" applyAlignment="1">
      <alignment horizontal="right"/>
    </xf>
    <xf numFmtId="14" fontId="0" fillId="4" borderId="6" xfId="0" applyNumberFormat="1" applyFill="1" applyBorder="1" applyAlignment="1">
      <alignment horizontal="center"/>
    </xf>
    <xf numFmtId="4" fontId="102" fillId="0" borderId="0" xfId="33" applyNumberFormat="1" applyFont="1" applyAlignment="1">
      <alignment horizontal="right"/>
    </xf>
    <xf numFmtId="14" fontId="102" fillId="0" borderId="0" xfId="33" applyNumberFormat="1" applyFont="1"/>
    <xf numFmtId="0" fontId="0" fillId="0" borderId="0" xfId="0" applyAlignment="1" applyProtection="1">
      <alignment horizontal="right"/>
      <protection locked="0"/>
    </xf>
    <xf numFmtId="0" fontId="63" fillId="9" borderId="21" xfId="2" applyNumberFormat="1" applyFill="1" applyBorder="1" applyAlignment="1" applyProtection="1">
      <alignment horizontal="center" vertical="center"/>
      <protection hidden="1"/>
    </xf>
    <xf numFmtId="174" fontId="102" fillId="0" borderId="0" xfId="34" applyNumberFormat="1" applyFont="1"/>
    <xf numFmtId="4" fontId="102" fillId="0" borderId="0" xfId="34" applyNumberFormat="1" applyFont="1" applyAlignment="1">
      <alignment horizontal="right"/>
    </xf>
    <xf numFmtId="0" fontId="152" fillId="8" borderId="0" xfId="0" applyFont="1" applyFill="1" applyAlignment="1">
      <alignment horizontal="center"/>
    </xf>
    <xf numFmtId="4" fontId="102" fillId="8" borderId="0" xfId="31" applyNumberFormat="1" applyFont="1" applyFill="1" applyAlignment="1">
      <alignment horizontal="center"/>
    </xf>
    <xf numFmtId="4" fontId="102" fillId="8" borderId="0" xfId="32" applyNumberFormat="1" applyFont="1" applyFill="1" applyAlignment="1">
      <alignment horizontal="center"/>
    </xf>
    <xf numFmtId="4" fontId="102" fillId="8" borderId="0" xfId="0" applyNumberFormat="1" applyFont="1" applyFill="1" applyAlignment="1">
      <alignment horizontal="center"/>
    </xf>
    <xf numFmtId="4" fontId="102" fillId="8" borderId="0" xfId="34" applyNumberFormat="1" applyFont="1" applyFill="1" applyAlignment="1">
      <alignment horizontal="center"/>
    </xf>
    <xf numFmtId="0" fontId="0" fillId="30" borderId="0" xfId="0" applyFill="1" applyAlignment="1">
      <alignment horizontal="center" vertical="center"/>
    </xf>
    <xf numFmtId="0" fontId="69" fillId="30" borderId="0" xfId="0" applyFont="1" applyFill="1" applyAlignment="1">
      <alignment horizontal="center" vertical="center"/>
    </xf>
    <xf numFmtId="0" fontId="55" fillId="30" borderId="0" xfId="0" applyFont="1" applyFill="1" applyAlignment="1">
      <alignment horizontal="center" vertical="center"/>
    </xf>
    <xf numFmtId="0" fontId="152" fillId="30" borderId="0" xfId="0" applyFont="1" applyFill="1" applyAlignment="1">
      <alignment horizontal="center"/>
    </xf>
    <xf numFmtId="4" fontId="102" fillId="30" borderId="0" xfId="31" applyNumberFormat="1" applyFont="1" applyFill="1" applyAlignment="1">
      <alignment horizontal="center"/>
    </xf>
    <xf numFmtId="4" fontId="102" fillId="30" borderId="0" xfId="0" applyNumberFormat="1" applyFont="1" applyFill="1" applyAlignment="1">
      <alignment horizontal="center"/>
    </xf>
    <xf numFmtId="4" fontId="102" fillId="30" borderId="0" xfId="33" applyNumberFormat="1" applyFont="1" applyFill="1" applyAlignment="1">
      <alignment horizontal="center"/>
    </xf>
    <xf numFmtId="4" fontId="102" fillId="0" borderId="0" xfId="35" applyNumberFormat="1" applyFont="1" applyAlignment="1">
      <alignment horizontal="right"/>
    </xf>
    <xf numFmtId="14" fontId="102" fillId="0" borderId="0" xfId="35" applyNumberFormat="1" applyFont="1"/>
    <xf numFmtId="4" fontId="7" fillId="9" borderId="0" xfId="0" applyNumberFormat="1" applyFont="1" applyFill="1"/>
    <xf numFmtId="4" fontId="7" fillId="0" borderId="0" xfId="0" applyNumberFormat="1" applyFont="1"/>
    <xf numFmtId="0" fontId="0" fillId="0" borderId="0" xfId="3" applyNumberFormat="1" applyFont="1" applyAlignment="1" applyProtection="1">
      <protection locked="0"/>
    </xf>
    <xf numFmtId="0" fontId="0" fillId="0" borderId="23" xfId="0" applyBorder="1" applyProtection="1">
      <protection locked="0"/>
    </xf>
    <xf numFmtId="0" fontId="0" fillId="0" borderId="0" xfId="0" applyAlignment="1" applyProtection="1">
      <alignment vertical="center" wrapText="1"/>
      <protection locked="0"/>
    </xf>
    <xf numFmtId="0" fontId="100" fillId="0" borderId="0" xfId="0" applyFont="1" applyAlignment="1" applyProtection="1">
      <alignment vertical="center" wrapText="1"/>
      <protection locked="0"/>
    </xf>
    <xf numFmtId="0" fontId="100" fillId="0" borderId="0" xfId="0" applyFont="1" applyAlignment="1" applyProtection="1">
      <alignment horizontal="left"/>
      <protection locked="0"/>
    </xf>
    <xf numFmtId="0" fontId="100" fillId="0" borderId="0" xfId="0" applyFont="1" applyProtection="1">
      <protection locked="0"/>
    </xf>
    <xf numFmtId="0" fontId="0" fillId="0" borderId="0" xfId="3" applyNumberFormat="1" applyFont="1" applyAlignment="1" applyProtection="1">
      <alignment horizontal="center" vertical="center" wrapText="1"/>
      <protection locked="0"/>
    </xf>
    <xf numFmtId="0" fontId="100" fillId="0" borderId="0" xfId="3" applyNumberFormat="1" applyFont="1" applyProtection="1">
      <protection locked="0"/>
    </xf>
    <xf numFmtId="206" fontId="49" fillId="9" borderId="0" xfId="0" applyNumberFormat="1" applyFont="1" applyFill="1" applyAlignment="1">
      <alignment horizontal="center"/>
    </xf>
    <xf numFmtId="4" fontId="102" fillId="0" borderId="0" xfId="36" applyNumberFormat="1" applyFont="1" applyAlignment="1">
      <alignment horizontal="right"/>
    </xf>
    <xf numFmtId="14" fontId="102" fillId="0" borderId="0" xfId="36" applyNumberFormat="1" applyFont="1"/>
    <xf numFmtId="0" fontId="124" fillId="9" borderId="10" xfId="0" applyFont="1" applyFill="1" applyBorder="1" applyAlignment="1">
      <alignment horizontal="center" vertical="center" textRotation="90" wrapText="1"/>
    </xf>
    <xf numFmtId="0" fontId="124" fillId="9" borderId="0" xfId="0" applyFont="1" applyFill="1" applyAlignment="1">
      <alignment vertical="center" textRotation="90" wrapText="1"/>
    </xf>
    <xf numFmtId="3" fontId="102" fillId="9" borderId="0" xfId="0" applyNumberFormat="1" applyFont="1" applyFill="1" applyAlignment="1">
      <alignment vertical="center"/>
    </xf>
    <xf numFmtId="3" fontId="102" fillId="9" borderId="0" xfId="8" applyNumberFormat="1" applyFont="1" applyFill="1" applyBorder="1" applyAlignment="1">
      <alignment vertical="center"/>
    </xf>
    <xf numFmtId="0" fontId="106" fillId="9" borderId="2" xfId="0" applyFont="1" applyFill="1" applyBorder="1" applyAlignment="1">
      <alignment vertical="center"/>
    </xf>
    <xf numFmtId="0" fontId="58" fillId="9" borderId="2" xfId="2" applyNumberFormat="1" applyFont="1" applyFill="1" applyBorder="1" applyAlignment="1" applyProtection="1">
      <alignment vertical="center"/>
    </xf>
    <xf numFmtId="8" fontId="102" fillId="9" borderId="2" xfId="0" applyNumberFormat="1" applyFont="1" applyFill="1" applyBorder="1"/>
    <xf numFmtId="6" fontId="112" fillId="9" borderId="178" xfId="0" applyNumberFormat="1" applyFont="1" applyFill="1" applyBorder="1" applyAlignment="1">
      <alignment horizontal="center" vertical="top"/>
    </xf>
    <xf numFmtId="6" fontId="112" fillId="9" borderId="175" xfId="0" applyNumberFormat="1" applyFont="1" applyFill="1" applyBorder="1" applyAlignment="1">
      <alignment horizontal="center" vertical="top"/>
    </xf>
    <xf numFmtId="8" fontId="223" fillId="0" borderId="12" xfId="0" applyNumberFormat="1" applyFont="1" applyBorder="1" applyAlignment="1" applyProtection="1">
      <alignment horizontal="center" vertical="center"/>
      <protection locked="0"/>
    </xf>
    <xf numFmtId="181" fontId="223" fillId="0" borderId="12" xfId="0" applyNumberFormat="1" applyFont="1" applyBorder="1" applyAlignment="1" applyProtection="1">
      <alignment horizontal="center" vertical="center"/>
      <protection locked="0"/>
    </xf>
    <xf numFmtId="10" fontId="213" fillId="0" borderId="12" xfId="0" applyNumberFormat="1" applyFont="1" applyBorder="1" applyAlignment="1" applyProtection="1">
      <alignment horizontal="center" vertical="center"/>
      <protection locked="0"/>
    </xf>
    <xf numFmtId="9" fontId="223" fillId="0" borderId="12" xfId="0" applyNumberFormat="1" applyFont="1" applyBorder="1" applyAlignment="1" applyProtection="1">
      <alignment horizontal="center" vertical="center"/>
      <protection locked="0"/>
    </xf>
    <xf numFmtId="9" fontId="213" fillId="0" borderId="12" xfId="0" applyNumberFormat="1" applyFont="1" applyBorder="1" applyAlignment="1" applyProtection="1">
      <alignment horizontal="center" vertical="center"/>
      <protection locked="0"/>
    </xf>
    <xf numFmtId="10" fontId="213" fillId="0" borderId="12" xfId="3" applyNumberFormat="1" applyFont="1" applyBorder="1" applyAlignment="1" applyProtection="1">
      <alignment horizontal="center" vertical="center"/>
      <protection locked="0"/>
    </xf>
    <xf numFmtId="10" fontId="213" fillId="9" borderId="12" xfId="3" applyNumberFormat="1" applyFont="1" applyFill="1" applyBorder="1" applyAlignment="1" applyProtection="1">
      <alignment horizontal="center" vertical="center"/>
      <protection hidden="1"/>
    </xf>
    <xf numFmtId="9" fontId="223" fillId="9" borderId="12" xfId="3" applyFont="1" applyFill="1" applyBorder="1" applyAlignment="1" applyProtection="1">
      <alignment horizontal="center" vertical="center"/>
      <protection hidden="1"/>
    </xf>
    <xf numFmtId="0" fontId="102" fillId="9" borderId="12" xfId="0" applyFont="1" applyFill="1" applyBorder="1" applyAlignment="1" applyProtection="1">
      <alignment horizontal="center" vertical="center"/>
      <protection hidden="1"/>
    </xf>
    <xf numFmtId="8" fontId="102" fillId="18" borderId="12" xfId="0" applyNumberFormat="1" applyFont="1" applyFill="1" applyBorder="1" applyAlignment="1">
      <alignment vertical="center"/>
    </xf>
    <xf numFmtId="6" fontId="102" fillId="18" borderId="12" xfId="0" applyNumberFormat="1" applyFont="1" applyFill="1" applyBorder="1" applyAlignment="1">
      <alignment vertical="center"/>
    </xf>
    <xf numFmtId="8" fontId="102" fillId="23" borderId="12" xfId="0" applyNumberFormat="1" applyFont="1" applyFill="1" applyBorder="1" applyAlignment="1">
      <alignment vertical="center"/>
    </xf>
    <xf numFmtId="6" fontId="236" fillId="23" borderId="183" xfId="0" applyNumberFormat="1" applyFont="1" applyFill="1" applyBorder="1" applyAlignment="1">
      <alignment vertical="center"/>
    </xf>
    <xf numFmtId="0" fontId="63" fillId="9" borderId="130" xfId="2" applyNumberFormat="1" applyFill="1" applyBorder="1" applyAlignment="1" applyProtection="1">
      <alignment vertical="center"/>
    </xf>
    <xf numFmtId="0" fontId="102" fillId="9" borderId="130" xfId="0" applyFont="1" applyFill="1" applyBorder="1"/>
    <xf numFmtId="0" fontId="106" fillId="9" borderId="132" xfId="0" applyFont="1" applyFill="1" applyBorder="1"/>
    <xf numFmtId="8" fontId="212" fillId="9" borderId="2" xfId="0" applyNumberFormat="1" applyFont="1" applyFill="1" applyBorder="1" applyAlignment="1">
      <alignment horizontal="center" vertical="center"/>
    </xf>
    <xf numFmtId="8" fontId="212" fillId="9" borderId="130" xfId="0" applyNumberFormat="1" applyFont="1" applyFill="1" applyBorder="1" applyAlignment="1">
      <alignment horizontal="center" vertical="center"/>
    </xf>
    <xf numFmtId="174" fontId="102" fillId="0" borderId="0" xfId="37" applyNumberFormat="1" applyFont="1"/>
    <xf numFmtId="4" fontId="102" fillId="0" borderId="0" xfId="37" applyNumberFormat="1" applyFont="1" applyAlignment="1">
      <alignment horizontal="right"/>
    </xf>
    <xf numFmtId="14" fontId="102" fillId="0" borderId="0" xfId="37" applyNumberFormat="1" applyFont="1"/>
    <xf numFmtId="9" fontId="102" fillId="9" borderId="0" xfId="3" applyFont="1" applyFill="1" applyAlignment="1">
      <alignment vertical="center"/>
    </xf>
    <xf numFmtId="4" fontId="102" fillId="0" borderId="0" xfId="38" applyNumberFormat="1" applyFont="1" applyAlignment="1">
      <alignment horizontal="right"/>
    </xf>
    <xf numFmtId="14" fontId="102" fillId="0" borderId="0" xfId="38" applyNumberFormat="1" applyFont="1"/>
    <xf numFmtId="10" fontId="0" fillId="0" borderId="2" xfId="3" applyNumberFormat="1" applyFont="1" applyFill="1" applyBorder="1" applyAlignment="1" applyProtection="1">
      <alignment horizontal="center"/>
      <protection locked="0"/>
    </xf>
    <xf numFmtId="0" fontId="59" fillId="0" borderId="0" xfId="7" applyNumberFormat="1" applyFont="1" applyAlignment="1">
      <alignment horizontal="center"/>
    </xf>
    <xf numFmtId="0" fontId="59" fillId="8" borderId="0" xfId="7" applyNumberFormat="1" applyFont="1" applyFill="1" applyAlignment="1">
      <alignment horizontal="center"/>
    </xf>
    <xf numFmtId="2" fontId="58" fillId="0" borderId="0" xfId="22" applyNumberFormat="1" applyAlignment="1">
      <alignment horizontal="right"/>
    </xf>
    <xf numFmtId="0" fontId="295" fillId="4" borderId="0" xfId="7" applyNumberFormat="1" applyFont="1" applyFill="1" applyAlignment="1">
      <alignment horizontal="center"/>
    </xf>
    <xf numFmtId="0" fontId="296" fillId="22" borderId="0" xfId="0" applyFont="1" applyFill="1"/>
    <xf numFmtId="0" fontId="164" fillId="0" borderId="0" xfId="0" applyFont="1"/>
    <xf numFmtId="1" fontId="58" fillId="0" borderId="0" xfId="22" applyNumberFormat="1" applyAlignment="1">
      <alignment horizontal="right"/>
    </xf>
    <xf numFmtId="207" fontId="58" fillId="0" borderId="0" xfId="22" applyNumberFormat="1"/>
    <xf numFmtId="1" fontId="298" fillId="0" borderId="0" xfId="0" applyNumberFormat="1" applyFont="1" applyAlignment="1">
      <alignment horizontal="center" vertical="center"/>
    </xf>
    <xf numFmtId="0" fontId="299" fillId="4" borderId="0" xfId="7" applyNumberFormat="1" applyFont="1" applyFill="1" applyAlignment="1">
      <alignment horizontal="center"/>
    </xf>
    <xf numFmtId="2" fontId="300" fillId="0" borderId="0" xfId="22" applyNumberFormat="1" applyFont="1" applyAlignment="1">
      <alignment horizontal="right"/>
    </xf>
    <xf numFmtId="0" fontId="271" fillId="0" borderId="0" xfId="0" applyFont="1"/>
    <xf numFmtId="1" fontId="73" fillId="4" borderId="0" xfId="0" applyNumberFormat="1" applyFont="1" applyFill="1" applyAlignment="1">
      <alignment horizontal="center"/>
    </xf>
    <xf numFmtId="1" fontId="297" fillId="4" borderId="0" xfId="0" applyNumberFormat="1" applyFont="1" applyFill="1" applyAlignment="1">
      <alignment horizontal="center"/>
    </xf>
    <xf numFmtId="170" fontId="60" fillId="4" borderId="0" xfId="0" applyNumberFormat="1" applyFont="1" applyFill="1" applyAlignment="1">
      <alignment horizontal="center" vertical="center"/>
    </xf>
    <xf numFmtId="170" fontId="61" fillId="4" borderId="0" xfId="0" applyNumberFormat="1" applyFont="1" applyFill="1" applyAlignment="1">
      <alignment horizontal="center" vertical="center"/>
    </xf>
    <xf numFmtId="171" fontId="59" fillId="4" borderId="0" xfId="0" applyNumberFormat="1" applyFont="1" applyFill="1" applyAlignment="1">
      <alignment horizontal="center"/>
    </xf>
    <xf numFmtId="0" fontId="228" fillId="6" borderId="0" xfId="0" applyFont="1" applyFill="1" applyAlignment="1">
      <alignment horizontal="center"/>
    </xf>
    <xf numFmtId="0" fontId="122" fillId="6" borderId="0" xfId="0" applyFont="1" applyFill="1" applyAlignment="1">
      <alignment horizontal="center"/>
    </xf>
    <xf numFmtId="0" fontId="116" fillId="6" borderId="0" xfId="0" applyFont="1" applyFill="1" applyAlignment="1">
      <alignment horizontal="center"/>
    </xf>
    <xf numFmtId="0" fontId="110" fillId="6" borderId="12" xfId="0" applyFont="1" applyFill="1" applyBorder="1" applyAlignment="1">
      <alignment horizontal="center" vertical="center" wrapText="1"/>
    </xf>
    <xf numFmtId="0" fontId="110" fillId="6" borderId="12" xfId="0" applyFont="1" applyFill="1" applyBorder="1" applyAlignment="1">
      <alignment horizontal="center" vertical="center"/>
    </xf>
    <xf numFmtId="0" fontId="110" fillId="6" borderId="108" xfId="0" applyFont="1" applyFill="1" applyBorder="1" applyAlignment="1">
      <alignment horizontal="center" vertical="center"/>
    </xf>
    <xf numFmtId="0" fontId="165" fillId="6" borderId="0" xfId="2" applyNumberFormat="1" applyFont="1" applyFill="1" applyAlignment="1" applyProtection="1">
      <alignment horizontal="left" vertical="center"/>
    </xf>
    <xf numFmtId="0" fontId="144" fillId="6" borderId="0" xfId="2" applyNumberFormat="1" applyFont="1" applyFill="1" applyAlignment="1" applyProtection="1">
      <alignment horizontal="left" vertical="center"/>
    </xf>
    <xf numFmtId="0" fontId="144" fillId="6" borderId="0" xfId="2" applyNumberFormat="1" applyFont="1" applyFill="1" applyBorder="1" applyAlignment="1" applyProtection="1">
      <alignment horizontal="left" vertical="center"/>
    </xf>
    <xf numFmtId="0" fontId="144" fillId="6" borderId="0" xfId="2" applyNumberFormat="1" applyFont="1" applyFill="1" applyAlignment="1" applyProtection="1">
      <alignment vertical="center"/>
    </xf>
    <xf numFmtId="0" fontId="102" fillId="6" borderId="0" xfId="0" applyFont="1" applyFill="1" applyAlignment="1">
      <alignment horizontal="center"/>
    </xf>
    <xf numFmtId="0" fontId="191" fillId="0" borderId="0" xfId="2" applyNumberFormat="1" applyFont="1" applyFill="1" applyAlignment="1" applyProtection="1">
      <alignment horizontal="center" vertical="center"/>
    </xf>
    <xf numFmtId="0" fontId="106" fillId="6" borderId="0" xfId="0" applyFont="1" applyFill="1" applyAlignment="1">
      <alignment horizontal="center"/>
    </xf>
    <xf numFmtId="0" fontId="122" fillId="6" borderId="0" xfId="0" applyFont="1" applyFill="1" applyAlignment="1">
      <alignment horizontal="left" vertical="center"/>
    </xf>
    <xf numFmtId="0" fontId="63" fillId="6" borderId="0" xfId="2" applyNumberFormat="1" applyFill="1" applyAlignment="1" applyProtection="1">
      <alignment horizontal="center"/>
    </xf>
    <xf numFmtId="0" fontId="96" fillId="6" borderId="79" xfId="0" applyFont="1" applyFill="1" applyBorder="1" applyAlignment="1" applyProtection="1">
      <alignment horizontal="right" vertical="center"/>
      <protection hidden="1"/>
    </xf>
    <xf numFmtId="0" fontId="96" fillId="6" borderId="20" xfId="0" applyFont="1" applyFill="1" applyBorder="1" applyAlignment="1" applyProtection="1">
      <alignment horizontal="right" vertical="center"/>
      <protection hidden="1"/>
    </xf>
    <xf numFmtId="0" fontId="167" fillId="6" borderId="0" xfId="2" applyNumberFormat="1" applyFont="1" applyFill="1" applyAlignment="1" applyProtection="1"/>
    <xf numFmtId="0" fontId="200" fillId="6" borderId="43" xfId="0" applyFont="1" applyFill="1" applyBorder="1" applyAlignment="1">
      <alignment horizontal="center" vertical="center" wrapText="1"/>
    </xf>
    <xf numFmtId="0" fontId="200" fillId="6" borderId="44" xfId="0" applyFont="1" applyFill="1" applyBorder="1" applyAlignment="1">
      <alignment horizontal="center" vertical="center"/>
    </xf>
    <xf numFmtId="0" fontId="200" fillId="6" borderId="19" xfId="0" applyFont="1" applyFill="1" applyBorder="1" applyAlignment="1">
      <alignment horizontal="center" vertical="center"/>
    </xf>
    <xf numFmtId="0" fontId="200" fillId="6" borderId="15" xfId="0" applyFont="1" applyFill="1" applyBorder="1" applyAlignment="1">
      <alignment horizontal="center" vertical="center"/>
    </xf>
    <xf numFmtId="0" fontId="0" fillId="6" borderId="113" xfId="0" applyFill="1" applyBorder="1" applyAlignment="1">
      <alignment horizontal="left" vertical="top" wrapText="1"/>
    </xf>
    <xf numFmtId="0" fontId="0" fillId="6" borderId="0" xfId="0" applyFill="1" applyAlignment="1">
      <alignment horizontal="left" vertical="top" wrapText="1"/>
    </xf>
    <xf numFmtId="0" fontId="167" fillId="6" borderId="31" xfId="2" applyNumberFormat="1" applyFont="1" applyFill="1" applyBorder="1" applyAlignment="1" applyProtection="1">
      <alignment horizontal="center" vertical="top"/>
    </xf>
    <xf numFmtId="0" fontId="167" fillId="6" borderId="28" xfId="2" applyNumberFormat="1" applyFont="1" applyFill="1" applyBorder="1" applyAlignment="1" applyProtection="1">
      <alignment horizontal="center" vertical="top"/>
    </xf>
    <xf numFmtId="0" fontId="167" fillId="6" borderId="56" xfId="2" applyNumberFormat="1" applyFont="1" applyFill="1" applyBorder="1" applyAlignment="1" applyProtection="1">
      <alignment horizontal="center" vertical="top"/>
    </xf>
    <xf numFmtId="0" fontId="144" fillId="6" borderId="0" xfId="2" applyNumberFormat="1" applyFont="1" applyFill="1" applyAlignment="1" applyProtection="1">
      <alignment horizontal="left"/>
    </xf>
    <xf numFmtId="0" fontId="110" fillId="6" borderId="19" xfId="0" applyFont="1" applyFill="1" applyBorder="1" applyAlignment="1">
      <alignment horizontal="center" vertical="center" wrapText="1"/>
    </xf>
    <xf numFmtId="0" fontId="110" fillId="6" borderId="15" xfId="0" applyFont="1" applyFill="1" applyBorder="1" applyAlignment="1">
      <alignment horizontal="center" vertical="center" wrapText="1"/>
    </xf>
    <xf numFmtId="0" fontId="0" fillId="6" borderId="19" xfId="0" applyFill="1" applyBorder="1" applyAlignment="1">
      <alignment horizontal="center" wrapText="1"/>
    </xf>
    <xf numFmtId="0" fontId="0" fillId="6" borderId="15" xfId="0" applyFill="1" applyBorder="1" applyAlignment="1">
      <alignment horizontal="center" wrapText="1"/>
    </xf>
    <xf numFmtId="0" fontId="167" fillId="6" borderId="19" xfId="2" applyNumberFormat="1" applyFont="1" applyFill="1" applyBorder="1" applyAlignment="1" applyProtection="1">
      <alignment horizontal="center" vertical="center"/>
    </xf>
    <xf numFmtId="0" fontId="167" fillId="6" borderId="15" xfId="2" applyNumberFormat="1" applyFont="1" applyFill="1" applyBorder="1" applyAlignment="1" applyProtection="1">
      <alignment horizontal="center" vertical="center"/>
    </xf>
    <xf numFmtId="0" fontId="144" fillId="6" borderId="16" xfId="2" applyNumberFormat="1" applyFont="1" applyFill="1" applyBorder="1" applyAlignment="1" applyProtection="1">
      <alignment horizontal="center" vertical="center"/>
    </xf>
    <xf numFmtId="0" fontId="144" fillId="6" borderId="39" xfId="2" applyNumberFormat="1" applyFont="1" applyFill="1" applyBorder="1" applyAlignment="1" applyProtection="1">
      <alignment horizontal="center" vertical="center"/>
    </xf>
    <xf numFmtId="0" fontId="0" fillId="6" borderId="19" xfId="0" applyFill="1" applyBorder="1" applyAlignment="1">
      <alignment horizontal="center" vertical="top" wrapText="1"/>
    </xf>
    <xf numFmtId="0" fontId="0" fillId="6" borderId="15" xfId="0" applyFill="1" applyBorder="1" applyAlignment="1">
      <alignment horizontal="center" vertical="top" wrapText="1"/>
    </xf>
    <xf numFmtId="0" fontId="105" fillId="0" borderId="31" xfId="0" applyFont="1" applyBorder="1" applyAlignment="1">
      <alignment horizontal="center" vertical="center" wrapText="1"/>
    </xf>
    <xf numFmtId="0" fontId="105" fillId="0" borderId="28" xfId="0" applyFont="1" applyBorder="1" applyAlignment="1">
      <alignment horizontal="center" vertical="center" wrapText="1"/>
    </xf>
    <xf numFmtId="0" fontId="107" fillId="0" borderId="0" xfId="0" applyFont="1" applyAlignment="1">
      <alignment horizontal="center" vertical="center" wrapText="1"/>
    </xf>
    <xf numFmtId="0" fontId="105" fillId="0" borderId="0" xfId="0" applyFont="1" applyAlignment="1">
      <alignment horizontal="left" vertical="top" wrapText="1"/>
    </xf>
    <xf numFmtId="0" fontId="140" fillId="4" borderId="12" xfId="0" applyFont="1" applyFill="1" applyBorder="1" applyAlignment="1" applyProtection="1">
      <alignment horizontal="center" vertical="center" wrapText="1"/>
      <protection locked="0"/>
    </xf>
    <xf numFmtId="0" fontId="140" fillId="4" borderId="41" xfId="0" applyFont="1" applyFill="1" applyBorder="1" applyAlignment="1" applyProtection="1">
      <alignment horizontal="center" vertical="center" wrapText="1"/>
      <protection locked="0"/>
    </xf>
    <xf numFmtId="0" fontId="0" fillId="0" borderId="0" xfId="0" applyAlignment="1">
      <alignment horizontal="center"/>
    </xf>
    <xf numFmtId="0" fontId="102" fillId="0" borderId="0" xfId="0" applyFont="1" applyAlignment="1">
      <alignment horizontal="center"/>
    </xf>
    <xf numFmtId="0" fontId="122" fillId="4" borderId="2" xfId="0" applyFont="1" applyFill="1" applyBorder="1" applyAlignment="1">
      <alignment horizontal="center" vertical="center"/>
    </xf>
    <xf numFmtId="0" fontId="192" fillId="0" borderId="10" xfId="0" applyFont="1" applyBorder="1" applyAlignment="1">
      <alignment horizontal="center"/>
    </xf>
    <xf numFmtId="0" fontId="192" fillId="0" borderId="2" xfId="0" applyFont="1" applyBorder="1" applyAlignment="1">
      <alignment horizontal="center"/>
    </xf>
    <xf numFmtId="0" fontId="181" fillId="0" borderId="2" xfId="0" applyFont="1" applyBorder="1" applyAlignment="1">
      <alignment horizontal="center" vertical="center"/>
    </xf>
    <xf numFmtId="0" fontId="106" fillId="0" borderId="2" xfId="0" applyFont="1" applyBorder="1" applyAlignment="1">
      <alignment horizontal="center"/>
    </xf>
    <xf numFmtId="175" fontId="205" fillId="0" borderId="24" xfId="0" applyNumberFormat="1" applyFont="1" applyBorder="1" applyAlignment="1">
      <alignment horizontal="center" vertical="center"/>
    </xf>
    <xf numFmtId="175" fontId="205" fillId="0" borderId="21" xfId="0" applyNumberFormat="1" applyFont="1" applyBorder="1" applyAlignment="1">
      <alignment horizontal="center" vertical="center"/>
    </xf>
    <xf numFmtId="175" fontId="205" fillId="0" borderId="22" xfId="0" applyNumberFormat="1" applyFont="1" applyBorder="1" applyAlignment="1">
      <alignment horizontal="center" vertical="center"/>
    </xf>
    <xf numFmtId="175" fontId="205" fillId="0" borderId="4" xfId="0" applyNumberFormat="1" applyFont="1" applyBorder="1" applyAlignment="1">
      <alignment horizontal="center" vertical="center"/>
    </xf>
    <xf numFmtId="175" fontId="205" fillId="0" borderId="2" xfId="0" applyNumberFormat="1" applyFont="1" applyBorder="1" applyAlignment="1">
      <alignment horizontal="center" vertical="center"/>
    </xf>
    <xf numFmtId="175" fontId="205" fillId="0" borderId="3" xfId="0" applyNumberFormat="1" applyFont="1" applyBorder="1" applyAlignment="1">
      <alignment horizontal="center" vertical="center"/>
    </xf>
    <xf numFmtId="175" fontId="0" fillId="0" borderId="68" xfId="0" applyNumberFormat="1" applyBorder="1" applyAlignment="1">
      <alignment horizontal="center" vertical="center"/>
    </xf>
    <xf numFmtId="175" fontId="0" fillId="0" borderId="9" xfId="0" applyNumberFormat="1" applyBorder="1" applyAlignment="1">
      <alignment horizontal="center" vertical="center"/>
    </xf>
    <xf numFmtId="175" fontId="0" fillId="0" borderId="10" xfId="0" applyNumberFormat="1" applyBorder="1" applyAlignment="1">
      <alignment horizontal="center" vertical="center"/>
    </xf>
    <xf numFmtId="0" fontId="63" fillId="0" borderId="0" xfId="2" applyNumberFormat="1" applyFill="1" applyBorder="1" applyAlignment="1" applyProtection="1">
      <alignment horizontal="center"/>
    </xf>
    <xf numFmtId="0" fontId="102" fillId="9" borderId="28" xfId="0" applyFont="1" applyFill="1" applyBorder="1" applyAlignment="1">
      <alignment horizontal="center"/>
    </xf>
    <xf numFmtId="0" fontId="102" fillId="9" borderId="19" xfId="0" applyFont="1" applyFill="1" applyBorder="1" applyAlignment="1">
      <alignment horizontal="center" vertical="center" wrapText="1"/>
    </xf>
    <xf numFmtId="0" fontId="102" fillId="9" borderId="63" xfId="0" applyFont="1" applyFill="1" applyBorder="1" applyAlignment="1">
      <alignment horizontal="center" vertical="center"/>
    </xf>
    <xf numFmtId="0" fontId="102" fillId="9" borderId="78" xfId="0" applyFont="1" applyFill="1" applyBorder="1" applyAlignment="1">
      <alignment horizontal="center" vertical="center"/>
    </xf>
    <xf numFmtId="0" fontId="102" fillId="9" borderId="64" xfId="0" applyFont="1" applyFill="1" applyBorder="1" applyAlignment="1">
      <alignment horizontal="center" vertical="center"/>
    </xf>
    <xf numFmtId="0" fontId="102" fillId="9" borderId="2" xfId="0" applyFont="1" applyFill="1" applyBorder="1" applyAlignment="1">
      <alignment horizontal="center" vertical="center"/>
    </xf>
    <xf numFmtId="0" fontId="102" fillId="9" borderId="42" xfId="0" applyFont="1" applyFill="1" applyBorder="1" applyAlignment="1">
      <alignment horizontal="center" vertical="center"/>
    </xf>
    <xf numFmtId="0" fontId="102" fillId="9" borderId="113" xfId="0" applyFont="1" applyFill="1" applyBorder="1" applyAlignment="1">
      <alignment horizontal="center" vertical="center"/>
    </xf>
    <xf numFmtId="0" fontId="102" fillId="9" borderId="55" xfId="0" applyFont="1" applyFill="1" applyBorder="1" applyAlignment="1">
      <alignment horizontal="center" vertical="center"/>
    </xf>
    <xf numFmtId="0" fontId="227" fillId="9" borderId="42" xfId="0" applyFont="1" applyFill="1" applyBorder="1" applyAlignment="1" applyProtection="1">
      <alignment horizontal="center" vertical="center" wrapText="1"/>
      <protection hidden="1"/>
    </xf>
    <xf numFmtId="0" fontId="227" fillId="9" borderId="113" xfId="0" applyFont="1" applyFill="1" applyBorder="1" applyAlignment="1" applyProtection="1">
      <alignment horizontal="center" vertical="center" wrapText="1"/>
      <protection hidden="1"/>
    </xf>
    <xf numFmtId="0" fontId="227" fillId="9" borderId="55" xfId="0" applyFont="1" applyFill="1" applyBorder="1" applyAlignment="1" applyProtection="1">
      <alignment horizontal="center" vertical="center" wrapText="1"/>
      <protection hidden="1"/>
    </xf>
    <xf numFmtId="0" fontId="227" fillId="9" borderId="31" xfId="0" applyFont="1" applyFill="1" applyBorder="1" applyAlignment="1" applyProtection="1">
      <alignment horizontal="center" vertical="center" wrapText="1"/>
      <protection hidden="1"/>
    </xf>
    <xf numFmtId="0" fontId="227" fillId="9" borderId="28" xfId="0" applyFont="1" applyFill="1" applyBorder="1" applyAlignment="1" applyProtection="1">
      <alignment horizontal="center" vertical="center" wrapText="1"/>
      <protection hidden="1"/>
    </xf>
    <xf numFmtId="0" fontId="227" fillId="9" borderId="56" xfId="0" applyFont="1" applyFill="1" applyBorder="1" applyAlignment="1" applyProtection="1">
      <alignment horizontal="center" vertical="center" wrapText="1"/>
      <protection hidden="1"/>
    </xf>
    <xf numFmtId="0" fontId="41" fillId="0" borderId="12" xfId="0" applyFont="1" applyBorder="1" applyAlignment="1" applyProtection="1">
      <alignment horizontal="center" vertical="center"/>
      <protection locked="0"/>
    </xf>
    <xf numFmtId="0" fontId="43" fillId="0" borderId="12" xfId="0" applyFont="1" applyBorder="1" applyAlignment="1" applyProtection="1">
      <alignment horizontal="center" vertical="center"/>
      <protection locked="0"/>
    </xf>
    <xf numFmtId="0" fontId="43" fillId="0" borderId="131" xfId="0" applyFont="1" applyBorder="1" applyAlignment="1" applyProtection="1">
      <alignment horizontal="center" vertical="center"/>
      <protection locked="0"/>
    </xf>
    <xf numFmtId="0" fontId="211" fillId="0" borderId="170" xfId="0" applyFont="1" applyBorder="1" applyAlignment="1" applyProtection="1">
      <alignment horizontal="left" vertical="center"/>
      <protection locked="0"/>
    </xf>
    <xf numFmtId="0" fontId="211" fillId="0" borderId="2" xfId="0" applyFont="1" applyBorder="1" applyAlignment="1" applyProtection="1">
      <alignment horizontal="left" vertical="center"/>
      <protection locked="0"/>
    </xf>
    <xf numFmtId="0" fontId="211" fillId="0" borderId="130" xfId="0" applyFont="1" applyBorder="1" applyAlignment="1" applyProtection="1">
      <alignment horizontal="left" vertical="center"/>
      <protection locked="0"/>
    </xf>
    <xf numFmtId="0" fontId="211" fillId="0" borderId="177" xfId="0" applyFont="1" applyBorder="1" applyAlignment="1" applyProtection="1">
      <alignment horizontal="left" vertical="center"/>
      <protection locked="0"/>
    </xf>
    <xf numFmtId="0" fontId="211" fillId="0" borderId="131" xfId="0" applyFont="1" applyBorder="1" applyAlignment="1" applyProtection="1">
      <alignment horizontal="left" vertical="center"/>
      <protection locked="0"/>
    </xf>
    <xf numFmtId="0" fontId="211" fillId="0" borderId="132" xfId="0" applyFont="1" applyBorder="1" applyAlignment="1" applyProtection="1">
      <alignment horizontal="left" vertical="center"/>
      <protection locked="0"/>
    </xf>
    <xf numFmtId="0" fontId="0" fillId="9" borderId="131" xfId="0" applyFill="1" applyBorder="1" applyAlignment="1" applyProtection="1">
      <alignment horizontal="right" vertical="center"/>
      <protection hidden="1"/>
    </xf>
    <xf numFmtId="0" fontId="102" fillId="9" borderId="170" xfId="0" applyFont="1" applyFill="1" applyBorder="1" applyAlignment="1" applyProtection="1">
      <alignment horizontal="right" vertical="center"/>
      <protection hidden="1"/>
    </xf>
    <xf numFmtId="0" fontId="102" fillId="9" borderId="2" xfId="0" applyFont="1" applyFill="1" applyBorder="1" applyAlignment="1" applyProtection="1">
      <alignment horizontal="right" vertical="center"/>
      <protection hidden="1"/>
    </xf>
    <xf numFmtId="0" fontId="166" fillId="9" borderId="187" xfId="2" applyNumberFormat="1" applyFont="1" applyFill="1" applyBorder="1" applyAlignment="1" applyProtection="1">
      <alignment horizontal="center" vertical="center" wrapText="1"/>
      <protection hidden="1"/>
    </xf>
    <xf numFmtId="0" fontId="166" fillId="9" borderId="113" xfId="2" applyNumberFormat="1" applyFont="1" applyFill="1" applyBorder="1" applyAlignment="1" applyProtection="1">
      <alignment horizontal="center" vertical="center" wrapText="1"/>
      <protection hidden="1"/>
    </xf>
    <xf numFmtId="0" fontId="166" fillId="9" borderId="55" xfId="2" applyNumberFormat="1" applyFont="1" applyFill="1" applyBorder="1" applyAlignment="1" applyProtection="1">
      <alignment horizontal="center" vertical="center" wrapText="1"/>
      <protection hidden="1"/>
    </xf>
    <xf numFmtId="0" fontId="166" fillId="9" borderId="215" xfId="2" applyNumberFormat="1" applyFont="1" applyFill="1" applyBorder="1" applyAlignment="1" applyProtection="1">
      <alignment horizontal="center" vertical="center" wrapText="1"/>
      <protection hidden="1"/>
    </xf>
    <xf numFmtId="0" fontId="166" fillId="9" borderId="216" xfId="2" applyNumberFormat="1" applyFont="1" applyFill="1" applyBorder="1" applyAlignment="1" applyProtection="1">
      <alignment horizontal="center" vertical="center" wrapText="1"/>
      <protection hidden="1"/>
    </xf>
    <xf numFmtId="0" fontId="166" fillId="9" borderId="217" xfId="2" applyNumberFormat="1" applyFont="1" applyFill="1" applyBorder="1" applyAlignment="1" applyProtection="1">
      <alignment horizontal="center" vertical="center" wrapText="1"/>
      <protection hidden="1"/>
    </xf>
    <xf numFmtId="0" fontId="37" fillId="6" borderId="131" xfId="0" applyFont="1" applyFill="1" applyBorder="1" applyAlignment="1" applyProtection="1">
      <alignment horizontal="center" vertical="center"/>
      <protection locked="0"/>
    </xf>
    <xf numFmtId="0" fontId="43" fillId="6" borderId="131"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43" fillId="0" borderId="2"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10" xfId="0" applyFont="1" applyBorder="1" applyAlignment="1" applyProtection="1">
      <alignment horizontal="center" vertical="center"/>
      <protection locked="0"/>
    </xf>
    <xf numFmtId="0" fontId="110" fillId="18" borderId="2" xfId="0" applyFont="1" applyFill="1" applyBorder="1" applyAlignment="1" applyProtection="1">
      <alignment horizontal="left" vertical="center"/>
      <protection hidden="1"/>
    </xf>
    <xf numFmtId="0" fontId="102" fillId="9" borderId="154" xfId="0" applyFont="1" applyFill="1" applyBorder="1" applyAlignment="1" applyProtection="1">
      <alignment horizontal="right" vertical="center"/>
      <protection hidden="1"/>
    </xf>
    <xf numFmtId="0" fontId="102" fillId="9" borderId="12" xfId="0" applyFont="1" applyFill="1" applyBorder="1" applyAlignment="1" applyProtection="1">
      <alignment horizontal="right" vertical="center"/>
      <protection hidden="1"/>
    </xf>
    <xf numFmtId="0" fontId="111" fillId="4" borderId="108" xfId="0" applyFont="1" applyFill="1" applyBorder="1" applyAlignment="1">
      <alignment horizontal="center"/>
    </xf>
    <xf numFmtId="0" fontId="111" fillId="4" borderId="209" xfId="0" applyFont="1" applyFill="1" applyBorder="1" applyAlignment="1">
      <alignment horizontal="center"/>
    </xf>
    <xf numFmtId="190" fontId="115" fillId="0" borderId="2" xfId="0" applyNumberFormat="1" applyFont="1" applyBorder="1" applyAlignment="1" applyProtection="1">
      <alignment horizontal="center" vertical="center"/>
      <protection locked="0"/>
    </xf>
    <xf numFmtId="0" fontId="110" fillId="26" borderId="178" xfId="0" applyFont="1" applyFill="1" applyBorder="1" applyAlignment="1" applyProtection="1">
      <alignment horizontal="center" vertical="center"/>
      <protection hidden="1"/>
    </xf>
    <xf numFmtId="0" fontId="110" fillId="26" borderId="171" xfId="0" applyFont="1" applyFill="1" applyBorder="1" applyAlignment="1" applyProtection="1">
      <alignment horizontal="center" vertical="center"/>
      <protection hidden="1"/>
    </xf>
    <xf numFmtId="0" fontId="110" fillId="26" borderId="172" xfId="0" applyFont="1" applyFill="1" applyBorder="1" applyAlignment="1" applyProtection="1">
      <alignment horizontal="center" vertical="center"/>
      <protection hidden="1"/>
    </xf>
    <xf numFmtId="0" fontId="111" fillId="4" borderId="179" xfId="0" applyFont="1" applyFill="1" applyBorder="1" applyAlignment="1" applyProtection="1">
      <alignment horizontal="center" vertical="center"/>
      <protection hidden="1"/>
    </xf>
    <xf numFmtId="0" fontId="111" fillId="4" borderId="180" xfId="0" applyFont="1" applyFill="1" applyBorder="1" applyAlignment="1" applyProtection="1">
      <alignment horizontal="center" vertical="center"/>
      <protection hidden="1"/>
    </xf>
    <xf numFmtId="0" fontId="111" fillId="4" borderId="182" xfId="0" applyFont="1" applyFill="1" applyBorder="1" applyAlignment="1" applyProtection="1">
      <alignment horizontal="center" vertical="center"/>
      <protection hidden="1"/>
    </xf>
    <xf numFmtId="0" fontId="111" fillId="4" borderId="28" xfId="0" applyFont="1" applyFill="1" applyBorder="1" applyAlignment="1" applyProtection="1">
      <alignment horizontal="center" vertical="center"/>
      <protection hidden="1"/>
    </xf>
    <xf numFmtId="0" fontId="102" fillId="9" borderId="184" xfId="0" applyFont="1" applyFill="1" applyBorder="1" applyAlignment="1">
      <alignment horizontal="center" vertical="center"/>
    </xf>
    <xf numFmtId="0" fontId="110" fillId="9" borderId="184" xfId="0" applyFont="1" applyFill="1" applyBorder="1" applyAlignment="1">
      <alignment horizontal="center" vertical="center"/>
    </xf>
    <xf numFmtId="0" fontId="102" fillId="9" borderId="164" xfId="0" applyFont="1" applyFill="1" applyBorder="1" applyAlignment="1" applyProtection="1">
      <alignment horizontal="center" vertical="center"/>
      <protection hidden="1"/>
    </xf>
    <xf numFmtId="0" fontId="102" fillId="9" borderId="10" xfId="0" applyFont="1" applyFill="1" applyBorder="1" applyAlignment="1" applyProtection="1">
      <alignment horizontal="center" vertical="center"/>
      <protection hidden="1"/>
    </xf>
    <xf numFmtId="0" fontId="102" fillId="9" borderId="113" xfId="0" applyFont="1" applyFill="1" applyBorder="1" applyAlignment="1">
      <alignment horizontal="center" vertical="center" wrapText="1"/>
    </xf>
    <xf numFmtId="0" fontId="102" fillId="9" borderId="0" xfId="0" applyFont="1" applyFill="1" applyAlignment="1">
      <alignment horizontal="center" vertical="center" wrapText="1"/>
    </xf>
    <xf numFmtId="0" fontId="102" fillId="9" borderId="28" xfId="0" applyFont="1" applyFill="1" applyBorder="1" applyAlignment="1">
      <alignment horizontal="center" vertical="center" wrapText="1"/>
    </xf>
    <xf numFmtId="0" fontId="102" fillId="0" borderId="170" xfId="0" applyFont="1" applyBorder="1" applyAlignment="1" applyProtection="1">
      <alignment horizontal="right" vertical="center"/>
      <protection locked="0"/>
    </xf>
    <xf numFmtId="0" fontId="102" fillId="0" borderId="2" xfId="0" applyFont="1" applyBorder="1" applyAlignment="1" applyProtection="1">
      <alignment horizontal="right" vertical="center"/>
      <protection locked="0"/>
    </xf>
    <xf numFmtId="0" fontId="3" fillId="6" borderId="2" xfId="0" applyFont="1" applyFill="1" applyBorder="1" applyAlignment="1" applyProtection="1">
      <alignment horizontal="center" vertical="center"/>
      <protection locked="0"/>
    </xf>
    <xf numFmtId="0" fontId="43" fillId="6" borderId="2" xfId="0" applyFont="1" applyFill="1" applyBorder="1" applyAlignment="1" applyProtection="1">
      <alignment horizontal="center" vertical="center"/>
      <protection locked="0"/>
    </xf>
    <xf numFmtId="0" fontId="102" fillId="9" borderId="19" xfId="0" applyFont="1" applyFill="1" applyBorder="1" applyAlignment="1">
      <alignment horizontal="center" vertical="center"/>
    </xf>
    <xf numFmtId="0" fontId="102" fillId="9" borderId="0" xfId="0" applyFont="1" applyFill="1" applyAlignment="1">
      <alignment horizontal="center" vertical="center"/>
    </xf>
    <xf numFmtId="0" fontId="102" fillId="9" borderId="99" xfId="0" applyFont="1" applyFill="1" applyBorder="1" applyAlignment="1">
      <alignment horizontal="center" vertical="center"/>
    </xf>
    <xf numFmtId="0" fontId="13" fillId="0" borderId="2" xfId="0" applyFont="1" applyBorder="1" applyAlignment="1" applyProtection="1">
      <alignment horizontal="center" vertical="center"/>
      <protection locked="0"/>
    </xf>
    <xf numFmtId="0" fontId="0" fillId="9" borderId="2" xfId="0" applyFill="1" applyBorder="1" applyAlignment="1" applyProtection="1">
      <alignment horizontal="right" vertical="center"/>
      <protection hidden="1"/>
    </xf>
    <xf numFmtId="0" fontId="110" fillId="4" borderId="155" xfId="0" applyFont="1" applyFill="1" applyBorder="1" applyAlignment="1" applyProtection="1">
      <alignment horizontal="left" vertical="center"/>
      <protection hidden="1"/>
    </xf>
    <xf numFmtId="0" fontId="110" fillId="4" borderId="41" xfId="0" applyFont="1" applyFill="1" applyBorder="1" applyAlignment="1" applyProtection="1">
      <alignment horizontal="left" vertical="center"/>
      <protection hidden="1"/>
    </xf>
    <xf numFmtId="6" fontId="100" fillId="4" borderId="304" xfId="0" applyNumberFormat="1" applyFont="1" applyFill="1" applyBorder="1" applyAlignment="1" applyProtection="1">
      <alignment horizontal="center" vertical="center" wrapText="1"/>
      <protection hidden="1"/>
    </xf>
    <xf numFmtId="6" fontId="100" fillId="4" borderId="305" xfId="0" applyNumberFormat="1" applyFont="1" applyFill="1" applyBorder="1" applyAlignment="1" applyProtection="1">
      <alignment horizontal="center" vertical="center" wrapText="1"/>
      <protection hidden="1"/>
    </xf>
    <xf numFmtId="167" fontId="100" fillId="4" borderId="115" xfId="0" quotePrefix="1" applyNumberFormat="1" applyFont="1" applyFill="1" applyBorder="1" applyAlignment="1" applyProtection="1">
      <alignment horizontal="center" vertical="center" wrapText="1"/>
      <protection hidden="1"/>
    </xf>
    <xf numFmtId="167" fontId="100" fillId="4" borderId="225" xfId="0" quotePrefix="1" applyNumberFormat="1" applyFont="1" applyFill="1" applyBorder="1" applyAlignment="1" applyProtection="1">
      <alignment horizontal="center" vertical="center" wrapText="1"/>
      <protection hidden="1"/>
    </xf>
    <xf numFmtId="167" fontId="100" fillId="4" borderId="31" xfId="0" quotePrefix="1" applyNumberFormat="1" applyFont="1" applyFill="1" applyBorder="1" applyAlignment="1" applyProtection="1">
      <alignment horizontal="center" vertical="center" wrapText="1"/>
      <protection hidden="1"/>
    </xf>
    <xf numFmtId="167" fontId="100" fillId="4" borderId="174" xfId="0" quotePrefix="1" applyNumberFormat="1" applyFont="1" applyFill="1" applyBorder="1" applyAlignment="1" applyProtection="1">
      <alignment horizontal="center" vertical="center" wrapText="1"/>
      <protection hidden="1"/>
    </xf>
    <xf numFmtId="167" fontId="265" fillId="9" borderId="42" xfId="0" quotePrefix="1" applyNumberFormat="1" applyFont="1" applyFill="1" applyBorder="1" applyAlignment="1" applyProtection="1">
      <alignment horizontal="center" vertical="center" wrapText="1"/>
      <protection hidden="1"/>
    </xf>
    <xf numFmtId="167" fontId="265" fillId="9" borderId="173" xfId="0" quotePrefix="1" applyNumberFormat="1" applyFont="1" applyFill="1" applyBorder="1" applyAlignment="1" applyProtection="1">
      <alignment horizontal="center" vertical="center" wrapText="1"/>
      <protection hidden="1"/>
    </xf>
    <xf numFmtId="167" fontId="265" fillId="9" borderId="8" xfId="0" quotePrefix="1" applyNumberFormat="1" applyFont="1" applyFill="1" applyBorder="1" applyAlignment="1" applyProtection="1">
      <alignment horizontal="center" vertical="center" wrapText="1"/>
      <protection hidden="1"/>
    </xf>
    <xf numFmtId="167" fontId="265" fillId="9" borderId="153" xfId="0" quotePrefix="1" applyNumberFormat="1" applyFont="1" applyFill="1" applyBorder="1" applyAlignment="1" applyProtection="1">
      <alignment horizontal="center" vertical="center" wrapText="1"/>
      <protection hidden="1"/>
    </xf>
    <xf numFmtId="167" fontId="265" fillId="9" borderId="31" xfId="0" quotePrefix="1" applyNumberFormat="1" applyFont="1" applyFill="1" applyBorder="1" applyAlignment="1" applyProtection="1">
      <alignment horizontal="center" vertical="center" wrapText="1"/>
      <protection hidden="1"/>
    </xf>
    <xf numFmtId="167" fontId="265" fillId="9" borderId="174" xfId="0" quotePrefix="1" applyNumberFormat="1" applyFont="1" applyFill="1" applyBorder="1" applyAlignment="1" applyProtection="1">
      <alignment horizontal="center" vertical="center" wrapText="1"/>
      <protection hidden="1"/>
    </xf>
    <xf numFmtId="197" fontId="115" fillId="0" borderId="1" xfId="0" applyNumberFormat="1" applyFont="1" applyBorder="1" applyAlignment="1" applyProtection="1">
      <alignment horizontal="center" vertical="center"/>
      <protection locked="0"/>
    </xf>
    <xf numFmtId="197" fontId="115" fillId="0" borderId="146" xfId="0" applyNumberFormat="1" applyFont="1" applyBorder="1" applyAlignment="1" applyProtection="1">
      <alignment horizontal="center" vertical="center"/>
      <protection locked="0"/>
    </xf>
    <xf numFmtId="0" fontId="110" fillId="4" borderId="223" xfId="0" applyFont="1" applyFill="1" applyBorder="1" applyAlignment="1" applyProtection="1">
      <alignment horizontal="center" vertical="center"/>
      <protection hidden="1"/>
    </xf>
    <xf numFmtId="0" fontId="110" fillId="4" borderId="171" xfId="0" applyFont="1" applyFill="1" applyBorder="1" applyAlignment="1" applyProtection="1">
      <alignment horizontal="center" vertical="center"/>
      <protection hidden="1"/>
    </xf>
    <xf numFmtId="0" fontId="110" fillId="4" borderId="188" xfId="0" applyFont="1" applyFill="1" applyBorder="1" applyAlignment="1" applyProtection="1">
      <alignment horizontal="center" vertical="center"/>
      <protection hidden="1"/>
    </xf>
    <xf numFmtId="0" fontId="102" fillId="9" borderId="1" xfId="0" applyFont="1" applyFill="1" applyBorder="1" applyAlignment="1" applyProtection="1">
      <alignment horizontal="right" vertical="center"/>
      <protection hidden="1"/>
    </xf>
    <xf numFmtId="0" fontId="102" fillId="9" borderId="9" xfId="0" applyFont="1" applyFill="1" applyBorder="1" applyAlignment="1" applyProtection="1">
      <alignment horizontal="right" vertical="center"/>
      <protection hidden="1"/>
    </xf>
    <xf numFmtId="0" fontId="102" fillId="9" borderId="10" xfId="0" applyFont="1" applyFill="1" applyBorder="1" applyAlignment="1" applyProtection="1">
      <alignment horizontal="right" vertical="center"/>
      <protection hidden="1"/>
    </xf>
    <xf numFmtId="0" fontId="240" fillId="9" borderId="224" xfId="0" applyFont="1" applyFill="1" applyBorder="1" applyAlignment="1">
      <alignment horizontal="center" vertical="center" wrapText="1"/>
    </xf>
    <xf numFmtId="0" fontId="240" fillId="9" borderId="23" xfId="0" applyFont="1" applyFill="1" applyBorder="1" applyAlignment="1">
      <alignment horizontal="center" vertical="center" wrapText="1"/>
    </xf>
    <xf numFmtId="0" fontId="240" fillId="9" borderId="84" xfId="0" applyFont="1" applyFill="1" applyBorder="1" applyAlignment="1">
      <alignment horizontal="center" vertical="center" wrapText="1"/>
    </xf>
    <xf numFmtId="0" fontId="240" fillId="9" borderId="185" xfId="0" applyFont="1" applyFill="1" applyBorder="1" applyAlignment="1">
      <alignment horizontal="center" vertical="center" wrapText="1"/>
    </xf>
    <xf numFmtId="0" fontId="240" fillId="9" borderId="0" xfId="0" applyFont="1" applyFill="1" applyAlignment="1">
      <alignment horizontal="center" vertical="center" wrapText="1"/>
    </xf>
    <xf numFmtId="0" fontId="240" fillId="9" borderId="99" xfId="0" applyFont="1" applyFill="1" applyBorder="1" applyAlignment="1">
      <alignment horizontal="center" vertical="center" wrapText="1"/>
    </xf>
    <xf numFmtId="0" fontId="112" fillId="9" borderId="177" xfId="0" applyFont="1" applyFill="1" applyBorder="1" applyAlignment="1">
      <alignment horizontal="right" vertical="top" wrapText="1"/>
    </xf>
    <xf numFmtId="0" fontId="112" fillId="9" borderId="131" xfId="0" applyFont="1" applyFill="1" applyBorder="1" applyAlignment="1">
      <alignment horizontal="right" vertical="top" wrapText="1"/>
    </xf>
    <xf numFmtId="8" fontId="104" fillId="9" borderId="1" xfId="0" applyNumberFormat="1" applyFont="1" applyFill="1" applyBorder="1" applyAlignment="1">
      <alignment horizontal="center" vertical="center"/>
    </xf>
    <xf numFmtId="8" fontId="104" fillId="9" borderId="146" xfId="0" applyNumberFormat="1" applyFont="1" applyFill="1" applyBorder="1" applyAlignment="1">
      <alignment horizontal="center" vertical="center"/>
    </xf>
    <xf numFmtId="0" fontId="63" fillId="9" borderId="170" xfId="2" applyNumberFormat="1" applyFill="1" applyBorder="1" applyAlignment="1" applyProtection="1">
      <alignment horizontal="center" vertical="center"/>
      <protection hidden="1"/>
    </xf>
    <xf numFmtId="0" fontId="63" fillId="9" borderId="2" xfId="2" applyNumberFormat="1" applyFill="1" applyBorder="1" applyAlignment="1" applyProtection="1">
      <alignment horizontal="center" vertical="center"/>
      <protection hidden="1"/>
    </xf>
    <xf numFmtId="0" fontId="284" fillId="9" borderId="41" xfId="0" applyFont="1" applyFill="1" applyBorder="1" applyAlignment="1" applyProtection="1">
      <alignment horizontal="center" vertical="top" wrapText="1"/>
      <protection hidden="1"/>
    </xf>
    <xf numFmtId="0" fontId="284" fillId="9" borderId="2" xfId="0" applyFont="1" applyFill="1" applyBorder="1" applyAlignment="1" applyProtection="1">
      <alignment horizontal="center" vertical="top" wrapText="1"/>
      <protection hidden="1"/>
    </xf>
    <xf numFmtId="0" fontId="38" fillId="9" borderId="41" xfId="0" applyFont="1" applyFill="1" applyBorder="1" applyAlignment="1" applyProtection="1">
      <alignment horizontal="center" vertical="center" textRotation="90" wrapText="1"/>
      <protection hidden="1"/>
    </xf>
    <xf numFmtId="0" fontId="41" fillId="9" borderId="2" xfId="0" applyFont="1" applyFill="1" applyBorder="1" applyAlignment="1" applyProtection="1">
      <alignment horizontal="center" vertical="center" textRotation="90" wrapText="1"/>
      <protection hidden="1"/>
    </xf>
    <xf numFmtId="0" fontId="211" fillId="9" borderId="41" xfId="0" applyFont="1" applyFill="1" applyBorder="1" applyAlignment="1" applyProtection="1">
      <alignment horizontal="center" vertical="center" textRotation="90" wrapText="1"/>
      <protection hidden="1"/>
    </xf>
    <xf numFmtId="0" fontId="211" fillId="9" borderId="2" xfId="0" applyFont="1" applyFill="1" applyBorder="1" applyAlignment="1" applyProtection="1">
      <alignment horizontal="center" vertical="center" textRotation="90" wrapText="1"/>
      <protection hidden="1"/>
    </xf>
    <xf numFmtId="0" fontId="42" fillId="9" borderId="41" xfId="0" applyFont="1" applyFill="1" applyBorder="1" applyAlignment="1" applyProtection="1">
      <alignment horizontal="center" vertical="center"/>
      <protection hidden="1"/>
    </xf>
    <xf numFmtId="0" fontId="100" fillId="4" borderId="2" xfId="0" applyFont="1" applyFill="1" applyBorder="1" applyAlignment="1" applyProtection="1">
      <alignment horizontal="center" vertical="center" wrapText="1"/>
      <protection hidden="1"/>
    </xf>
    <xf numFmtId="0" fontId="100" fillId="4" borderId="130" xfId="0" applyFont="1" applyFill="1" applyBorder="1" applyAlignment="1" applyProtection="1">
      <alignment horizontal="center" vertical="center" wrapText="1"/>
      <protection hidden="1"/>
    </xf>
    <xf numFmtId="0" fontId="102" fillId="0" borderId="1" xfId="0" applyFont="1" applyBorder="1" applyAlignment="1" applyProtection="1">
      <alignment horizontal="center" vertical="center"/>
      <protection locked="0"/>
    </xf>
    <xf numFmtId="0" fontId="102" fillId="0" borderId="9" xfId="0" applyFont="1" applyBorder="1" applyAlignment="1" applyProtection="1">
      <alignment horizontal="center" vertical="center"/>
      <protection locked="0"/>
    </xf>
    <xf numFmtId="0" fontId="102" fillId="0" borderId="10" xfId="0" applyFont="1" applyBorder="1" applyAlignment="1" applyProtection="1">
      <alignment horizontal="center" vertical="center"/>
      <protection locked="0"/>
    </xf>
    <xf numFmtId="8" fontId="102" fillId="4" borderId="187" xfId="0" applyNumberFormat="1" applyFont="1" applyFill="1" applyBorder="1" applyAlignment="1" applyProtection="1">
      <alignment horizontal="center" vertical="center"/>
      <protection hidden="1"/>
    </xf>
    <xf numFmtId="8" fontId="102" fillId="4" borderId="113" xfId="0" applyNumberFormat="1" applyFont="1" applyFill="1" applyBorder="1" applyAlignment="1" applyProtection="1">
      <alignment horizontal="center" vertical="center"/>
      <protection hidden="1"/>
    </xf>
    <xf numFmtId="0" fontId="110" fillId="26" borderId="31" xfId="0" applyFont="1" applyFill="1" applyBorder="1" applyAlignment="1" applyProtection="1">
      <alignment horizontal="center" vertical="center"/>
      <protection hidden="1"/>
    </xf>
    <xf numFmtId="0" fontId="110" fillId="26" borderId="28" xfId="0" applyFont="1" applyFill="1" applyBorder="1" applyAlignment="1" applyProtection="1">
      <alignment horizontal="center" vertical="center"/>
      <protection hidden="1"/>
    </xf>
    <xf numFmtId="0" fontId="110" fillId="26" borderId="174" xfId="0" applyFont="1" applyFill="1" applyBorder="1" applyAlignment="1" applyProtection="1">
      <alignment horizontal="center" vertical="center"/>
      <protection hidden="1"/>
    </xf>
    <xf numFmtId="197" fontId="115" fillId="0" borderId="10" xfId="0" applyNumberFormat="1" applyFont="1" applyBorder="1" applyAlignment="1" applyProtection="1">
      <alignment horizontal="center" vertical="center"/>
      <protection locked="0"/>
    </xf>
    <xf numFmtId="0" fontId="100" fillId="10" borderId="220" xfId="0" applyFont="1" applyFill="1" applyBorder="1" applyAlignment="1">
      <alignment horizontal="center" vertical="center"/>
    </xf>
    <xf numFmtId="0" fontId="100" fillId="10" borderId="79" xfId="0" applyFont="1" applyFill="1" applyBorder="1" applyAlignment="1">
      <alignment horizontal="center" vertical="center"/>
    </xf>
    <xf numFmtId="0" fontId="100" fillId="10" borderId="111" xfId="0" applyFont="1" applyFill="1" applyBorder="1" applyAlignment="1">
      <alignment horizontal="center" vertical="center"/>
    </xf>
    <xf numFmtId="0" fontId="100" fillId="10" borderId="224" xfId="0" applyFont="1" applyFill="1" applyBorder="1" applyAlignment="1" applyProtection="1">
      <alignment horizontal="center" vertical="center"/>
      <protection hidden="1"/>
    </xf>
    <xf numFmtId="0" fontId="100" fillId="10" borderId="23" xfId="0" applyFont="1" applyFill="1" applyBorder="1" applyAlignment="1" applyProtection="1">
      <alignment horizontal="center" vertical="center"/>
      <protection hidden="1"/>
    </xf>
    <xf numFmtId="0" fontId="100" fillId="10" borderId="84" xfId="0" applyFont="1" applyFill="1" applyBorder="1" applyAlignment="1" applyProtection="1">
      <alignment horizontal="center" vertical="center"/>
      <protection hidden="1"/>
    </xf>
    <xf numFmtId="0" fontId="265" fillId="9" borderId="41" xfId="0" applyFont="1" applyFill="1" applyBorder="1" applyAlignment="1" applyProtection="1">
      <alignment horizontal="center" vertical="center" wrapText="1"/>
      <protection hidden="1"/>
    </xf>
    <xf numFmtId="0" fontId="265" fillId="9" borderId="2" xfId="0" applyFont="1" applyFill="1" applyBorder="1" applyAlignment="1" applyProtection="1">
      <alignment horizontal="center" vertical="center" wrapText="1"/>
      <protection hidden="1"/>
    </xf>
    <xf numFmtId="0" fontId="102" fillId="0" borderId="219" xfId="0" applyFont="1" applyBorder="1" applyAlignment="1" applyProtection="1">
      <alignment horizontal="right" vertical="center"/>
      <protection locked="0"/>
    </xf>
    <xf numFmtId="0" fontId="102" fillId="0" borderId="33" xfId="0" applyFont="1" applyBorder="1" applyAlignment="1" applyProtection="1">
      <alignment horizontal="right" vertical="center"/>
      <protection locked="0"/>
    </xf>
    <xf numFmtId="0" fontId="102" fillId="9" borderId="0" xfId="0" quotePrefix="1" applyFont="1" applyFill="1" applyAlignment="1">
      <alignment horizontal="center" vertical="center"/>
    </xf>
    <xf numFmtId="0" fontId="102" fillId="9" borderId="153" xfId="0" applyFont="1" applyFill="1" applyBorder="1" applyAlignment="1">
      <alignment horizontal="center" vertical="center"/>
    </xf>
    <xf numFmtId="0" fontId="211" fillId="9" borderId="8" xfId="0" applyFont="1" applyFill="1" applyBorder="1" applyAlignment="1" applyProtection="1">
      <alignment horizontal="center" vertical="top" wrapText="1"/>
      <protection hidden="1"/>
    </xf>
    <xf numFmtId="0" fontId="211" fillId="9" borderId="153" xfId="0" applyFont="1" applyFill="1" applyBorder="1" applyAlignment="1" applyProtection="1">
      <alignment horizontal="center" vertical="top" wrapText="1"/>
      <protection hidden="1"/>
    </xf>
    <xf numFmtId="0" fontId="211" fillId="9" borderId="31" xfId="0" applyFont="1" applyFill="1" applyBorder="1" applyAlignment="1" applyProtection="1">
      <alignment horizontal="center" vertical="top" wrapText="1"/>
      <protection hidden="1"/>
    </xf>
    <xf numFmtId="0" fontId="211" fillId="9" borderId="174" xfId="0" applyFont="1" applyFill="1" applyBorder="1" applyAlignment="1" applyProtection="1">
      <alignment horizontal="center" vertical="top" wrapText="1"/>
      <protection hidden="1"/>
    </xf>
    <xf numFmtId="0" fontId="211" fillId="9" borderId="185" xfId="0" applyFont="1" applyFill="1" applyBorder="1" applyAlignment="1">
      <alignment horizontal="center" vertical="center" wrapText="1"/>
    </xf>
    <xf numFmtId="0" fontId="211" fillId="9" borderId="0" xfId="0" applyFont="1" applyFill="1" applyAlignment="1">
      <alignment horizontal="center" vertical="center" wrapText="1"/>
    </xf>
    <xf numFmtId="0" fontId="211" fillId="9" borderId="99" xfId="0" applyFont="1" applyFill="1" applyBorder="1" applyAlignment="1">
      <alignment horizontal="center" vertical="center" wrapText="1"/>
    </xf>
    <xf numFmtId="0" fontId="110" fillId="4" borderId="189" xfId="0" applyFont="1" applyFill="1" applyBorder="1" applyAlignment="1" applyProtection="1">
      <alignment horizontal="center" vertical="center" wrapText="1"/>
      <protection hidden="1"/>
    </xf>
    <xf numFmtId="0" fontId="110" fillId="4" borderId="181" xfId="0" applyFont="1" applyFill="1" applyBorder="1" applyAlignment="1" applyProtection="1">
      <alignment horizontal="center" vertical="center" wrapText="1"/>
      <protection hidden="1"/>
    </xf>
    <xf numFmtId="0" fontId="110" fillId="4" borderId="8" xfId="0" applyFont="1" applyFill="1" applyBorder="1" applyAlignment="1" applyProtection="1">
      <alignment horizontal="center" vertical="center" wrapText="1"/>
      <protection hidden="1"/>
    </xf>
    <xf numFmtId="0" fontId="110" fillId="4" borderId="153" xfId="0" applyFont="1" applyFill="1" applyBorder="1" applyAlignment="1" applyProtection="1">
      <alignment horizontal="center" vertical="center" wrapText="1"/>
      <protection hidden="1"/>
    </xf>
    <xf numFmtId="0" fontId="102" fillId="4" borderId="180" xfId="0" applyFont="1" applyFill="1" applyBorder="1" applyAlignment="1" applyProtection="1">
      <alignment horizontal="center" vertical="center" wrapText="1"/>
      <protection hidden="1"/>
    </xf>
    <xf numFmtId="0" fontId="102" fillId="4" borderId="211" xfId="0" applyFont="1" applyFill="1" applyBorder="1" applyAlignment="1" applyProtection="1">
      <alignment horizontal="center" vertical="center" wrapText="1"/>
      <protection hidden="1"/>
    </xf>
    <xf numFmtId="0" fontId="102" fillId="4" borderId="28" xfId="0" applyFont="1" applyFill="1" applyBorder="1" applyAlignment="1" applyProtection="1">
      <alignment horizontal="center" vertical="center" wrapText="1"/>
      <protection hidden="1"/>
    </xf>
    <xf numFmtId="0" fontId="102" fillId="4" borderId="56" xfId="0" applyFont="1" applyFill="1" applyBorder="1" applyAlignment="1" applyProtection="1">
      <alignment horizontal="center" vertical="center" wrapText="1"/>
      <protection hidden="1"/>
    </xf>
    <xf numFmtId="14" fontId="2" fillId="0" borderId="1" xfId="0" applyNumberFormat="1" applyFont="1" applyBorder="1" applyAlignment="1" applyProtection="1">
      <alignment horizontal="center" vertical="center"/>
      <protection locked="0"/>
    </xf>
    <xf numFmtId="14" fontId="39" fillId="0" borderId="9" xfId="0" applyNumberFormat="1" applyFont="1" applyBorder="1" applyAlignment="1" applyProtection="1">
      <alignment horizontal="center" vertical="center"/>
      <protection locked="0"/>
    </xf>
    <xf numFmtId="14" fontId="39" fillId="0" borderId="10" xfId="0" applyNumberFormat="1" applyFont="1" applyBorder="1" applyAlignment="1" applyProtection="1">
      <alignment horizontal="center" vertical="center"/>
      <protection locked="0"/>
    </xf>
    <xf numFmtId="0" fontId="116" fillId="9" borderId="0" xfId="0" applyFont="1" applyFill="1" applyAlignment="1">
      <alignment horizontal="center" vertical="center"/>
    </xf>
    <xf numFmtId="0" fontId="106" fillId="9" borderId="153" xfId="0" applyFont="1" applyFill="1" applyBorder="1" applyAlignment="1">
      <alignment horizontal="center" vertical="center" textRotation="90"/>
    </xf>
    <xf numFmtId="0" fontId="112" fillId="9" borderId="167" xfId="0" applyFont="1" applyFill="1" applyBorder="1" applyAlignment="1">
      <alignment horizontal="right" vertical="top"/>
    </xf>
    <xf numFmtId="0" fontId="112" fillId="9" borderId="168" xfId="0" applyFont="1" applyFill="1" applyBorder="1" applyAlignment="1">
      <alignment horizontal="right" vertical="top"/>
    </xf>
    <xf numFmtId="0" fontId="211" fillId="9" borderId="185" xfId="0" applyFont="1" applyFill="1" applyBorder="1" applyAlignment="1" applyProtection="1">
      <alignment horizontal="center" vertical="center" wrapText="1"/>
      <protection hidden="1"/>
    </xf>
    <xf numFmtId="0" fontId="211" fillId="9" borderId="0" xfId="0" applyFont="1" applyFill="1" applyAlignment="1" applyProtection="1">
      <alignment horizontal="center" vertical="center" wrapText="1"/>
      <protection hidden="1"/>
    </xf>
    <xf numFmtId="0" fontId="211" fillId="9" borderId="99" xfId="0" applyFont="1" applyFill="1" applyBorder="1" applyAlignment="1" applyProtection="1">
      <alignment horizontal="center" vertical="center" wrapText="1"/>
      <protection hidden="1"/>
    </xf>
    <xf numFmtId="0" fontId="211" fillId="9" borderId="182" xfId="0" applyFont="1" applyFill="1" applyBorder="1" applyAlignment="1" applyProtection="1">
      <alignment horizontal="center" vertical="center" wrapText="1"/>
      <protection hidden="1"/>
    </xf>
    <xf numFmtId="0" fontId="211" fillId="9" borderId="28" xfId="0" applyFont="1" applyFill="1" applyBorder="1" applyAlignment="1" applyProtection="1">
      <alignment horizontal="center" vertical="center" wrapText="1"/>
      <protection hidden="1"/>
    </xf>
    <xf numFmtId="0" fontId="211" fillId="9" borderId="56" xfId="0" applyFont="1" applyFill="1" applyBorder="1" applyAlignment="1" applyProtection="1">
      <alignment horizontal="center" vertical="center" wrapText="1"/>
      <protection hidden="1"/>
    </xf>
    <xf numFmtId="0" fontId="41" fillId="9" borderId="41" xfId="0" applyFont="1" applyFill="1" applyBorder="1" applyAlignment="1" applyProtection="1">
      <alignment horizontal="center" vertical="center" textRotation="90" wrapText="1"/>
      <protection hidden="1"/>
    </xf>
    <xf numFmtId="8" fontId="102" fillId="4" borderId="28" xfId="0" applyNumberFormat="1" applyFont="1" applyFill="1" applyBorder="1" applyAlignment="1">
      <alignment horizontal="center" vertical="center"/>
    </xf>
    <xf numFmtId="8" fontId="102" fillId="4" borderId="174" xfId="0" applyNumberFormat="1" applyFont="1" applyFill="1" applyBorder="1" applyAlignment="1">
      <alignment horizontal="center" vertical="center"/>
    </xf>
    <xf numFmtId="0" fontId="100" fillId="9" borderId="12" xfId="0" applyFont="1" applyFill="1" applyBorder="1" applyAlignment="1">
      <alignment horizontal="center" textRotation="90" wrapText="1"/>
    </xf>
    <xf numFmtId="0" fontId="100" fillId="9" borderId="108" xfId="0" applyFont="1" applyFill="1" applyBorder="1" applyAlignment="1">
      <alignment horizontal="center" textRotation="90" wrapText="1"/>
    </xf>
    <xf numFmtId="0" fontId="100" fillId="9" borderId="41" xfId="0" applyFont="1" applyFill="1" applyBorder="1" applyAlignment="1">
      <alignment horizontal="center" textRotation="90" wrapText="1"/>
    </xf>
    <xf numFmtId="0" fontId="42" fillId="9" borderId="2" xfId="0" applyFont="1" applyFill="1" applyBorder="1" applyAlignment="1" applyProtection="1">
      <alignment horizontal="center" vertical="center"/>
      <protection hidden="1"/>
    </xf>
    <xf numFmtId="10" fontId="147" fillId="9" borderId="2" xfId="0" applyNumberFormat="1" applyFont="1" applyFill="1" applyBorder="1" applyAlignment="1" applyProtection="1">
      <alignment horizontal="center" vertical="center"/>
      <protection hidden="1"/>
    </xf>
    <xf numFmtId="0" fontId="147" fillId="9" borderId="2" xfId="0" applyFont="1" applyFill="1" applyBorder="1" applyAlignment="1" applyProtection="1">
      <alignment horizontal="center" vertical="center"/>
      <protection hidden="1"/>
    </xf>
    <xf numFmtId="0" fontId="40" fillId="9" borderId="41" xfId="0" applyFont="1" applyFill="1" applyBorder="1" applyAlignment="1" applyProtection="1">
      <alignment horizontal="center" vertical="center" textRotation="90" wrapText="1"/>
      <protection hidden="1"/>
    </xf>
    <xf numFmtId="0" fontId="100" fillId="10" borderId="224" xfId="0" applyFont="1" applyFill="1" applyBorder="1" applyAlignment="1" applyProtection="1">
      <alignment horizontal="center" vertical="center" wrapText="1"/>
      <protection hidden="1"/>
    </xf>
    <xf numFmtId="0" fontId="100" fillId="10" borderId="23" xfId="0" applyFont="1" applyFill="1" applyBorder="1" applyAlignment="1" applyProtection="1">
      <alignment horizontal="center" vertical="center" wrapText="1"/>
      <protection hidden="1"/>
    </xf>
    <xf numFmtId="0" fontId="100" fillId="10" borderId="84" xfId="0" applyFont="1" applyFill="1" applyBorder="1" applyAlignment="1" applyProtection="1">
      <alignment horizontal="center" vertical="center" wrapText="1"/>
      <protection hidden="1"/>
    </xf>
    <xf numFmtId="0" fontId="100" fillId="10" borderId="182" xfId="0" applyFont="1" applyFill="1" applyBorder="1" applyAlignment="1" applyProtection="1">
      <alignment horizontal="center" vertical="center" wrapText="1"/>
      <protection hidden="1"/>
    </xf>
    <xf numFmtId="0" fontId="100" fillId="10" borderId="28" xfId="0" applyFont="1" applyFill="1" applyBorder="1" applyAlignment="1" applyProtection="1">
      <alignment horizontal="center" vertical="center" wrapText="1"/>
      <protection hidden="1"/>
    </xf>
    <xf numFmtId="0" fontId="100" fillId="10" borderId="56" xfId="0" applyFont="1" applyFill="1" applyBorder="1" applyAlignment="1" applyProtection="1">
      <alignment horizontal="center" vertical="center" wrapText="1"/>
      <protection hidden="1"/>
    </xf>
    <xf numFmtId="0" fontId="265" fillId="9" borderId="155" xfId="0" applyFont="1" applyFill="1" applyBorder="1" applyAlignment="1" applyProtection="1">
      <alignment horizontal="center" vertical="center" wrapText="1"/>
      <protection hidden="1"/>
    </xf>
    <xf numFmtId="0" fontId="265" fillId="9" borderId="170" xfId="0" applyFont="1" applyFill="1" applyBorder="1" applyAlignment="1" applyProtection="1">
      <alignment horizontal="center" vertical="center" wrapText="1"/>
      <protection hidden="1"/>
    </xf>
    <xf numFmtId="0" fontId="100" fillId="9" borderId="0" xfId="0" applyFont="1" applyFill="1" applyAlignment="1">
      <alignment horizontal="center" vertical="center" textRotation="90"/>
    </xf>
    <xf numFmtId="0" fontId="33" fillId="9" borderId="41" xfId="0" applyFont="1" applyFill="1" applyBorder="1" applyAlignment="1" applyProtection="1">
      <alignment horizontal="center" vertical="center" textRotation="90" wrapText="1"/>
      <protection hidden="1"/>
    </xf>
    <xf numFmtId="0" fontId="115" fillId="9" borderId="155" xfId="0" applyFont="1" applyFill="1" applyBorder="1" applyAlignment="1" applyProtection="1">
      <alignment horizontal="center" vertical="center" textRotation="90" wrapText="1"/>
      <protection hidden="1"/>
    </xf>
    <xf numFmtId="0" fontId="41" fillId="9" borderId="170" xfId="0" applyFont="1" applyFill="1" applyBorder="1" applyAlignment="1" applyProtection="1">
      <alignment horizontal="center" vertical="center" textRotation="90" wrapText="1"/>
      <protection hidden="1"/>
    </xf>
    <xf numFmtId="0" fontId="115" fillId="9" borderId="41" xfId="0" applyFont="1" applyFill="1" applyBorder="1" applyAlignment="1" applyProtection="1">
      <alignment horizontal="center" vertical="center" wrapText="1"/>
      <protection hidden="1"/>
    </xf>
    <xf numFmtId="0" fontId="41" fillId="9" borderId="2" xfId="0" applyFont="1" applyFill="1" applyBorder="1" applyAlignment="1" applyProtection="1">
      <alignment horizontal="center" vertical="center" wrapText="1"/>
      <protection hidden="1"/>
    </xf>
    <xf numFmtId="0" fontId="41" fillId="9" borderId="41" xfId="0" applyFont="1" applyFill="1" applyBorder="1" applyAlignment="1" applyProtection="1">
      <alignment horizontal="center" vertical="center" wrapText="1"/>
      <protection hidden="1"/>
    </xf>
    <xf numFmtId="0" fontId="110" fillId="9" borderId="179" xfId="0" applyFont="1" applyFill="1" applyBorder="1" applyAlignment="1">
      <alignment horizontal="center" vertical="center"/>
    </xf>
    <xf numFmtId="0" fontId="110" fillId="9" borderId="180" xfId="0" applyFont="1" applyFill="1" applyBorder="1" applyAlignment="1">
      <alignment horizontal="center" vertical="center"/>
    </xf>
    <xf numFmtId="0" fontId="110" fillId="9" borderId="185" xfId="0" applyFont="1" applyFill="1" applyBorder="1" applyAlignment="1">
      <alignment horizontal="center" vertical="center"/>
    </xf>
    <xf numFmtId="0" fontId="110" fillId="9" borderId="0" xfId="0" applyFont="1" applyFill="1" applyAlignment="1">
      <alignment horizontal="center" vertical="center"/>
    </xf>
    <xf numFmtId="0" fontId="104" fillId="9" borderId="189" xfId="0" applyFont="1" applyFill="1" applyBorder="1" applyAlignment="1">
      <alignment horizontal="center" wrapText="1"/>
    </xf>
    <xf numFmtId="0" fontId="104" fillId="9" borderId="180" xfId="0" applyFont="1" applyFill="1" applyBorder="1" applyAlignment="1">
      <alignment horizontal="center" wrapText="1"/>
    </xf>
    <xf numFmtId="0" fontId="104" fillId="9" borderId="181" xfId="0" applyFont="1" applyFill="1" applyBorder="1" applyAlignment="1">
      <alignment horizontal="center" wrapText="1"/>
    </xf>
    <xf numFmtId="0" fontId="104" fillId="9" borderId="8" xfId="0" applyFont="1" applyFill="1" applyBorder="1" applyAlignment="1">
      <alignment horizontal="center" wrapText="1"/>
    </xf>
    <xf numFmtId="0" fontId="104" fillId="9" borderId="0" xfId="0" applyFont="1" applyFill="1" applyAlignment="1">
      <alignment horizontal="center" wrapText="1"/>
    </xf>
    <xf numFmtId="0" fontId="104" fillId="9" borderId="153" xfId="0" applyFont="1" applyFill="1" applyBorder="1" applyAlignment="1">
      <alignment horizontal="center" wrapText="1"/>
    </xf>
    <xf numFmtId="0" fontId="100" fillId="9" borderId="31" xfId="0" applyFont="1" applyFill="1" applyBorder="1" applyAlignment="1">
      <alignment horizontal="center" vertical="center"/>
    </xf>
    <xf numFmtId="0" fontId="100" fillId="9" borderId="28" xfId="0" applyFont="1" applyFill="1" applyBorder="1" applyAlignment="1">
      <alignment horizontal="center" vertical="center"/>
    </xf>
    <xf numFmtId="0" fontId="100" fillId="9" borderId="174" xfId="0" applyFont="1" applyFill="1" applyBorder="1" applyAlignment="1">
      <alignment horizontal="center" vertical="center"/>
    </xf>
    <xf numFmtId="0" fontId="122" fillId="4" borderId="182" xfId="0" applyFont="1" applyFill="1" applyBorder="1" applyAlignment="1">
      <alignment horizontal="center" vertical="center"/>
    </xf>
    <xf numFmtId="0" fontId="122" fillId="4" borderId="28" xfId="0" applyFont="1" applyFill="1" applyBorder="1" applyAlignment="1">
      <alignment horizontal="center" vertical="center"/>
    </xf>
    <xf numFmtId="8" fontId="0" fillId="9" borderId="187" xfId="0" applyNumberFormat="1" applyFill="1" applyBorder="1" applyAlignment="1">
      <alignment horizontal="center" vertical="center" wrapText="1"/>
    </xf>
    <xf numFmtId="8" fontId="0" fillId="9" borderId="113" xfId="0" applyNumberFormat="1" applyFill="1" applyBorder="1" applyAlignment="1">
      <alignment horizontal="center" vertical="center" wrapText="1"/>
    </xf>
    <xf numFmtId="8" fontId="0" fillId="9" borderId="173" xfId="0" applyNumberFormat="1" applyFill="1" applyBorder="1" applyAlignment="1">
      <alignment horizontal="center" vertical="center" wrapText="1"/>
    </xf>
    <xf numFmtId="8" fontId="0" fillId="9" borderId="182" xfId="0" applyNumberFormat="1" applyFill="1" applyBorder="1" applyAlignment="1">
      <alignment horizontal="center" vertical="center" wrapText="1"/>
    </xf>
    <xf numFmtId="8" fontId="0" fillId="9" borderId="28" xfId="0" applyNumberFormat="1" applyFill="1" applyBorder="1" applyAlignment="1">
      <alignment horizontal="center" vertical="center" wrapText="1"/>
    </xf>
    <xf numFmtId="8" fontId="0" fillId="9" borderId="174" xfId="0" applyNumberFormat="1" applyFill="1" applyBorder="1" applyAlignment="1">
      <alignment horizontal="center" vertical="center" wrapText="1"/>
    </xf>
    <xf numFmtId="0" fontId="110" fillId="9" borderId="170" xfId="0" applyFont="1" applyFill="1" applyBorder="1" applyAlignment="1" applyProtection="1">
      <alignment horizontal="center" vertical="center"/>
      <protection hidden="1"/>
    </xf>
    <xf numFmtId="0" fontId="110" fillId="9" borderId="2" xfId="0" applyFont="1" applyFill="1" applyBorder="1" applyAlignment="1" applyProtection="1">
      <alignment horizontal="center" vertical="center"/>
      <protection hidden="1"/>
    </xf>
    <xf numFmtId="0" fontId="110" fillId="9" borderId="130" xfId="0" applyFont="1" applyFill="1" applyBorder="1" applyAlignment="1" applyProtection="1">
      <alignment horizontal="center" vertical="center"/>
      <protection hidden="1"/>
    </xf>
    <xf numFmtId="8" fontId="211" fillId="0" borderId="170" xfId="0" applyNumberFormat="1" applyFont="1" applyBorder="1" applyAlignment="1" applyProtection="1">
      <alignment horizontal="center" vertical="center"/>
      <protection locked="0"/>
    </xf>
    <xf numFmtId="8" fontId="211" fillId="0" borderId="2" xfId="0" applyNumberFormat="1" applyFont="1" applyBorder="1" applyAlignment="1" applyProtection="1">
      <alignment horizontal="center" vertical="center"/>
      <protection locked="0"/>
    </xf>
    <xf numFmtId="8" fontId="211" fillId="0" borderId="130" xfId="0" applyNumberFormat="1" applyFont="1" applyBorder="1" applyAlignment="1" applyProtection="1">
      <alignment horizontal="center" vertical="center"/>
      <protection locked="0"/>
    </xf>
    <xf numFmtId="8" fontId="166" fillId="4" borderId="187" xfId="2" applyNumberFormat="1" applyFont="1" applyFill="1" applyBorder="1" applyAlignment="1" applyProtection="1">
      <alignment horizontal="center" vertical="center" wrapText="1"/>
    </xf>
    <xf numFmtId="8" fontId="166" fillId="4" borderId="113" xfId="2" applyNumberFormat="1" applyFont="1" applyFill="1" applyBorder="1" applyAlignment="1" applyProtection="1">
      <alignment horizontal="center" vertical="center" wrapText="1"/>
    </xf>
    <xf numFmtId="8" fontId="166" fillId="4" borderId="173" xfId="2" applyNumberFormat="1" applyFont="1" applyFill="1" applyBorder="1" applyAlignment="1" applyProtection="1">
      <alignment horizontal="center" vertical="center" wrapText="1"/>
    </xf>
    <xf numFmtId="0" fontId="102" fillId="9" borderId="1" xfId="0" applyFont="1" applyFill="1" applyBorder="1" applyAlignment="1" applyProtection="1">
      <alignment horizontal="center" vertical="center"/>
      <protection hidden="1"/>
    </xf>
    <xf numFmtId="0" fontId="30" fillId="9" borderId="41" xfId="0" applyFont="1" applyFill="1" applyBorder="1" applyAlignment="1" applyProtection="1">
      <alignment horizontal="center" vertical="center" textRotation="90" wrapText="1"/>
      <protection hidden="1"/>
    </xf>
    <xf numFmtId="11" fontId="102" fillId="0" borderId="1" xfId="0" applyNumberFormat="1" applyFont="1" applyBorder="1" applyAlignment="1" applyProtection="1">
      <alignment horizontal="center" vertical="center"/>
      <protection locked="0"/>
    </xf>
    <xf numFmtId="0" fontId="24" fillId="9" borderId="41" xfId="0" applyFont="1" applyFill="1" applyBorder="1" applyAlignment="1" applyProtection="1">
      <alignment horizontal="center" vertical="center" textRotation="90" wrapText="1"/>
      <protection hidden="1"/>
    </xf>
    <xf numFmtId="190" fontId="115" fillId="0" borderId="130" xfId="0" applyNumberFormat="1" applyFont="1" applyBorder="1" applyAlignment="1" applyProtection="1">
      <alignment horizontal="center" vertical="center"/>
      <protection locked="0"/>
    </xf>
    <xf numFmtId="0" fontId="102" fillId="9" borderId="2" xfId="0" applyFont="1" applyFill="1" applyBorder="1" applyAlignment="1">
      <alignment horizontal="center" vertical="center" wrapText="1"/>
    </xf>
    <xf numFmtId="0" fontId="121" fillId="4" borderId="0" xfId="0" applyFont="1" applyFill="1" applyAlignment="1">
      <alignment horizontal="center" textRotation="180" wrapText="1"/>
    </xf>
    <xf numFmtId="0" fontId="110" fillId="23" borderId="2" xfId="0" applyFont="1" applyFill="1" applyBorder="1" applyAlignment="1" applyProtection="1">
      <alignment horizontal="left" vertical="center"/>
      <protection hidden="1"/>
    </xf>
    <xf numFmtId="0" fontId="110" fillId="23" borderId="130" xfId="0" applyFont="1" applyFill="1" applyBorder="1" applyAlignment="1" applyProtection="1">
      <alignment horizontal="left" vertical="center"/>
      <protection hidden="1"/>
    </xf>
    <xf numFmtId="0" fontId="110" fillId="4" borderId="179" xfId="0" applyFont="1" applyFill="1" applyBorder="1" applyAlignment="1">
      <alignment horizontal="center" vertical="center"/>
    </xf>
    <xf numFmtId="0" fontId="110" fillId="4" borderId="180" xfId="0" applyFont="1" applyFill="1" applyBorder="1" applyAlignment="1">
      <alignment horizontal="center" vertical="center"/>
    </xf>
    <xf numFmtId="0" fontId="110" fillId="4" borderId="211" xfId="0" applyFont="1" applyFill="1" applyBorder="1" applyAlignment="1">
      <alignment horizontal="center" vertical="center"/>
    </xf>
    <xf numFmtId="0" fontId="140" fillId="9" borderId="205" xfId="0" applyFont="1" applyFill="1" applyBorder="1" applyAlignment="1">
      <alignment horizontal="right" vertical="center"/>
    </xf>
    <xf numFmtId="0" fontId="140" fillId="9" borderId="74" xfId="0" applyFont="1" applyFill="1" applyBorder="1" applyAlignment="1">
      <alignment horizontal="right" vertical="center"/>
    </xf>
    <xf numFmtId="0" fontId="213" fillId="9" borderId="206" xfId="0" applyFont="1" applyFill="1" applyBorder="1" applyAlignment="1">
      <alignment horizontal="right" vertical="center" wrapText="1"/>
    </xf>
    <xf numFmtId="0" fontId="213" fillId="9" borderId="67" xfId="0" applyFont="1" applyFill="1" applyBorder="1" applyAlignment="1">
      <alignment horizontal="right" vertical="center" wrapText="1"/>
    </xf>
    <xf numFmtId="0" fontId="102" fillId="9" borderId="12" xfId="0" applyFont="1" applyFill="1" applyBorder="1" applyAlignment="1">
      <alignment horizontal="center" vertical="center" wrapText="1"/>
    </xf>
    <xf numFmtId="0" fontId="102" fillId="9" borderId="41" xfId="0" applyFont="1" applyFill="1" applyBorder="1" applyAlignment="1">
      <alignment horizontal="center" vertical="center" wrapText="1"/>
    </xf>
    <xf numFmtId="0" fontId="102" fillId="9" borderId="41" xfId="0" applyFont="1" applyFill="1" applyBorder="1" applyAlignment="1">
      <alignment horizontal="center" vertical="center"/>
    </xf>
    <xf numFmtId="8" fontId="110" fillId="26" borderId="2" xfId="0" applyNumberFormat="1" applyFont="1" applyFill="1" applyBorder="1" applyAlignment="1">
      <alignment horizontal="center" vertical="center" wrapText="1"/>
    </xf>
    <xf numFmtId="8" fontId="110" fillId="26" borderId="130" xfId="0" applyNumberFormat="1" applyFont="1" applyFill="1" applyBorder="1" applyAlignment="1">
      <alignment horizontal="center" vertical="center" wrapText="1"/>
    </xf>
    <xf numFmtId="0" fontId="121" fillId="4" borderId="0" xfId="0" applyFont="1" applyFill="1" applyAlignment="1">
      <alignment horizontal="center" vertical="center" textRotation="180" wrapText="1"/>
    </xf>
    <xf numFmtId="0" fontId="102" fillId="9" borderId="31" xfId="0" applyFont="1" applyFill="1" applyBorder="1" applyAlignment="1">
      <alignment horizontal="center" vertical="center"/>
    </xf>
    <xf numFmtId="0" fontId="102" fillId="9" borderId="1" xfId="0" applyFont="1" applyFill="1" applyBorder="1" applyAlignment="1">
      <alignment horizontal="center" vertical="center"/>
    </xf>
    <xf numFmtId="0" fontId="102" fillId="9" borderId="0" xfId="0" applyFont="1" applyFill="1" applyAlignment="1" applyProtection="1">
      <alignment horizontal="center" vertical="center" wrapText="1"/>
      <protection locked="0"/>
    </xf>
    <xf numFmtId="0" fontId="102" fillId="9" borderId="99" xfId="0" applyFont="1" applyFill="1" applyBorder="1" applyAlignment="1">
      <alignment horizontal="center" vertical="center" wrapText="1"/>
    </xf>
    <xf numFmtId="9" fontId="90" fillId="9" borderId="1" xfId="3" applyFont="1" applyFill="1" applyBorder="1" applyAlignment="1" applyProtection="1">
      <alignment horizontal="center" vertical="center"/>
    </xf>
    <xf numFmtId="9" fontId="90" fillId="9" borderId="10" xfId="3" applyFont="1" applyFill="1" applyBorder="1" applyAlignment="1" applyProtection="1">
      <alignment horizontal="center" vertical="center"/>
    </xf>
    <xf numFmtId="8" fontId="106" fillId="9" borderId="175" xfId="0" applyNumberFormat="1" applyFont="1" applyFill="1" applyBorder="1" applyAlignment="1">
      <alignment horizontal="center"/>
    </xf>
    <xf numFmtId="8" fontId="106" fillId="9" borderId="176" xfId="0" applyNumberFormat="1" applyFont="1" applyFill="1" applyBorder="1" applyAlignment="1">
      <alignment horizontal="center"/>
    </xf>
    <xf numFmtId="8" fontId="106" fillId="9" borderId="210" xfId="0" applyNumberFormat="1" applyFont="1" applyFill="1" applyBorder="1" applyAlignment="1">
      <alignment horizontal="center"/>
    </xf>
    <xf numFmtId="0" fontId="102" fillId="9" borderId="170" xfId="0" applyFont="1" applyFill="1" applyBorder="1" applyAlignment="1">
      <alignment horizontal="right"/>
    </xf>
    <xf numFmtId="0" fontId="102" fillId="9" borderId="2" xfId="0" applyFont="1" applyFill="1" applyBorder="1" applyAlignment="1">
      <alignment horizontal="right"/>
    </xf>
    <xf numFmtId="0" fontId="102" fillId="9" borderId="167" xfId="0" applyFont="1" applyFill="1" applyBorder="1" applyAlignment="1">
      <alignment horizontal="right" vertical="center"/>
    </xf>
    <xf numFmtId="0" fontId="102" fillId="9" borderId="168" xfId="0" applyFont="1" applyFill="1" applyBorder="1" applyAlignment="1">
      <alignment horizontal="right" vertical="center"/>
    </xf>
    <xf numFmtId="0" fontId="106" fillId="9" borderId="164" xfId="0" applyFont="1" applyFill="1" applyBorder="1" applyAlignment="1">
      <alignment horizontal="right" vertical="center"/>
    </xf>
    <xf numFmtId="0" fontId="106" fillId="9" borderId="9" xfId="0" applyFont="1" applyFill="1" applyBorder="1" applyAlignment="1">
      <alignment horizontal="right" vertical="center"/>
    </xf>
    <xf numFmtId="0" fontId="106" fillId="9" borderId="10" xfId="0" applyFont="1" applyFill="1" applyBorder="1" applyAlignment="1">
      <alignment horizontal="right" vertical="center"/>
    </xf>
    <xf numFmtId="0" fontId="58" fillId="9" borderId="164" xfId="2" applyNumberFormat="1" applyFont="1" applyFill="1" applyBorder="1" applyAlignment="1" applyProtection="1">
      <alignment horizontal="right" vertical="center"/>
    </xf>
    <xf numFmtId="0" fontId="58" fillId="9" borderId="9" xfId="2" applyNumberFormat="1" applyFont="1" applyFill="1" applyBorder="1" applyAlignment="1" applyProtection="1">
      <alignment horizontal="right" vertical="center"/>
    </xf>
    <xf numFmtId="0" fontId="106" fillId="9" borderId="214" xfId="0" applyFont="1" applyFill="1" applyBorder="1" applyAlignment="1">
      <alignment horizontal="right"/>
    </xf>
    <xf numFmtId="0" fontId="106" fillId="9" borderId="176" xfId="0" applyFont="1" applyFill="1" applyBorder="1" applyAlignment="1">
      <alignment horizontal="right"/>
    </xf>
    <xf numFmtId="0" fontId="106" fillId="9" borderId="210" xfId="0" applyFont="1" applyFill="1" applyBorder="1" applyAlignment="1">
      <alignment horizontal="right"/>
    </xf>
    <xf numFmtId="0" fontId="102" fillId="9" borderId="303" xfId="0" applyFont="1" applyFill="1" applyBorder="1" applyAlignment="1">
      <alignment horizontal="center" vertical="center"/>
    </xf>
    <xf numFmtId="0" fontId="102" fillId="9" borderId="213" xfId="0" applyFont="1" applyFill="1" applyBorder="1" applyAlignment="1">
      <alignment horizontal="center" vertical="center"/>
    </xf>
    <xf numFmtId="6" fontId="105" fillId="9" borderId="180" xfId="3" applyNumberFormat="1" applyFont="1" applyFill="1" applyBorder="1" applyAlignment="1" applyProtection="1">
      <alignment horizontal="center" vertical="center"/>
    </xf>
    <xf numFmtId="0" fontId="0" fillId="0" borderId="0" xfId="0" applyAlignment="1">
      <alignment horizontal="left" wrapText="1"/>
    </xf>
    <xf numFmtId="0" fontId="0" fillId="0" borderId="0" xfId="0" applyAlignment="1">
      <alignment horizontal="left"/>
    </xf>
    <xf numFmtId="14" fontId="0" fillId="0" borderId="4" xfId="0" applyNumberFormat="1" applyBorder="1" applyAlignment="1">
      <alignment horizontal="center"/>
    </xf>
    <xf numFmtId="14" fontId="0" fillId="0" borderId="2" xfId="0" applyNumberFormat="1" applyBorder="1" applyAlignment="1">
      <alignment horizontal="center"/>
    </xf>
    <xf numFmtId="0" fontId="0" fillId="0" borderId="5" xfId="0" applyBorder="1" applyAlignment="1">
      <alignment horizontal="right"/>
    </xf>
    <xf numFmtId="0" fontId="0" fillId="0" borderId="6" xfId="0" applyBorder="1" applyAlignment="1">
      <alignment horizontal="right"/>
    </xf>
    <xf numFmtId="0" fontId="107" fillId="0" borderId="43" xfId="0" applyFont="1" applyBorder="1" applyAlignment="1">
      <alignment horizontal="center" vertical="center"/>
    </xf>
    <xf numFmtId="0" fontId="107" fillId="0" borderId="23" xfId="0" applyFont="1" applyBorder="1" applyAlignment="1">
      <alignment horizontal="center" vertical="center"/>
    </xf>
    <xf numFmtId="0" fontId="107" fillId="0" borderId="44" xfId="0" applyFont="1" applyBorder="1" applyAlignment="1">
      <alignment horizontal="center" vertical="center"/>
    </xf>
    <xf numFmtId="0" fontId="107" fillId="0" borderId="16" xfId="0" applyFont="1" applyBorder="1" applyAlignment="1">
      <alignment horizontal="center" vertical="center"/>
    </xf>
    <xf numFmtId="0" fontId="107" fillId="0" borderId="18" xfId="0" applyFont="1" applyBorder="1" applyAlignment="1">
      <alignment horizontal="center" vertical="center"/>
    </xf>
    <xf numFmtId="0" fontId="107" fillId="0" borderId="39" xfId="0" applyFont="1" applyBorder="1" applyAlignment="1">
      <alignment horizontal="center" vertical="center"/>
    </xf>
    <xf numFmtId="0" fontId="100" fillId="0" borderId="24" xfId="0" applyFont="1" applyBorder="1" applyAlignment="1">
      <alignment horizontal="center"/>
    </xf>
    <xf numFmtId="0" fontId="100" fillId="0" borderId="21" xfId="0" applyFont="1" applyBorder="1" applyAlignment="1">
      <alignment horizontal="center"/>
    </xf>
    <xf numFmtId="0" fontId="100" fillId="0" borderId="22" xfId="0" applyFont="1" applyBorder="1" applyAlignment="1">
      <alignment horizontal="center"/>
    </xf>
    <xf numFmtId="0" fontId="84" fillId="4" borderId="243" xfId="0" applyFont="1" applyFill="1" applyBorder="1" applyAlignment="1" applyProtection="1">
      <alignment horizontal="right" vertical="center" wrapText="1"/>
      <protection hidden="1"/>
    </xf>
    <xf numFmtId="0" fontId="84" fillId="4" borderId="240" xfId="0" applyFont="1" applyFill="1" applyBorder="1" applyAlignment="1" applyProtection="1">
      <alignment horizontal="right" vertical="center" wrapText="1"/>
      <protection hidden="1"/>
    </xf>
    <xf numFmtId="0" fontId="0" fillId="4" borderId="47" xfId="0" applyFill="1" applyBorder="1" applyAlignment="1" applyProtection="1">
      <alignment horizontal="left" vertical="center"/>
      <protection hidden="1"/>
    </xf>
    <xf numFmtId="0" fontId="0" fillId="4" borderId="48" xfId="0" applyFill="1" applyBorder="1" applyAlignment="1" applyProtection="1">
      <alignment horizontal="left" vertical="center"/>
      <protection hidden="1"/>
    </xf>
    <xf numFmtId="0" fontId="102" fillId="3" borderId="10" xfId="0" applyFont="1" applyFill="1" applyBorder="1" applyAlignment="1">
      <alignment horizontal="right" vertical="center"/>
    </xf>
    <xf numFmtId="0" fontId="102" fillId="3" borderId="3" xfId="0" applyFont="1" applyFill="1" applyBorder="1" applyAlignment="1">
      <alignment horizontal="right" vertical="center"/>
    </xf>
    <xf numFmtId="10" fontId="104" fillId="4" borderId="10" xfId="3" applyNumberFormat="1" applyFont="1" applyFill="1" applyBorder="1" applyAlignment="1" applyProtection="1">
      <alignment horizontal="center" vertical="center" wrapText="1"/>
      <protection hidden="1"/>
    </xf>
    <xf numFmtId="10" fontId="104" fillId="4" borderId="3" xfId="3" applyNumberFormat="1" applyFont="1" applyFill="1" applyBorder="1" applyAlignment="1" applyProtection="1">
      <alignment horizontal="center" vertical="center" wrapText="1"/>
      <protection hidden="1"/>
    </xf>
    <xf numFmtId="0" fontId="139" fillId="3" borderId="65" xfId="0" applyFont="1" applyFill="1" applyBorder="1" applyAlignment="1" applyProtection="1">
      <alignment horizontal="center"/>
      <protection hidden="1"/>
    </xf>
    <xf numFmtId="0" fontId="139" fillId="3" borderId="20" xfId="0" applyFont="1" applyFill="1" applyBorder="1" applyAlignment="1" applyProtection="1">
      <alignment horizontal="center"/>
      <protection hidden="1"/>
    </xf>
    <xf numFmtId="0" fontId="109" fillId="3" borderId="18" xfId="0" applyFont="1" applyFill="1" applyBorder="1" applyAlignment="1" applyProtection="1">
      <alignment horizontal="center" vertical="center"/>
      <protection hidden="1"/>
    </xf>
    <xf numFmtId="0" fontId="235" fillId="5" borderId="43" xfId="0" applyFont="1" applyFill="1" applyBorder="1" applyAlignment="1" applyProtection="1">
      <alignment horizontal="center" vertical="center" wrapText="1"/>
      <protection hidden="1"/>
    </xf>
    <xf numFmtId="0" fontId="116" fillId="5" borderId="23" xfId="0" applyFont="1" applyFill="1" applyBorder="1" applyAlignment="1" applyProtection="1">
      <alignment horizontal="center" vertical="center" wrapText="1"/>
      <protection hidden="1"/>
    </xf>
    <xf numFmtId="0" fontId="0" fillId="4" borderId="45" xfId="0" applyFill="1" applyBorder="1" applyAlignment="1" applyProtection="1">
      <alignment horizontal="left" vertical="center" wrapText="1"/>
      <protection hidden="1"/>
    </xf>
    <xf numFmtId="0" fontId="0" fillId="4" borderId="17" xfId="0" applyFill="1" applyBorder="1" applyAlignment="1" applyProtection="1">
      <alignment horizontal="left" vertical="center" wrapText="1"/>
      <protection hidden="1"/>
    </xf>
    <xf numFmtId="0" fontId="105" fillId="4" borderId="50" xfId="0" applyFont="1" applyFill="1" applyBorder="1" applyAlignment="1" applyProtection="1">
      <alignment horizontal="left" vertical="center"/>
      <protection hidden="1"/>
    </xf>
    <xf numFmtId="0" fontId="106" fillId="4" borderId="65" xfId="0" applyFont="1" applyFill="1" applyBorder="1" applyAlignment="1">
      <alignment horizontal="center" vertical="center" wrapText="1"/>
    </xf>
    <xf numFmtId="0" fontId="106" fillId="4" borderId="20" xfId="0" applyFont="1" applyFill="1" applyBorder="1" applyAlignment="1">
      <alignment horizontal="center" vertical="center" wrapText="1"/>
    </xf>
    <xf numFmtId="0" fontId="0" fillId="4" borderId="17" xfId="0" applyFill="1" applyBorder="1" applyAlignment="1" applyProtection="1">
      <alignment horizontal="right" vertical="center"/>
      <protection hidden="1"/>
    </xf>
    <xf numFmtId="0" fontId="104" fillId="4" borderId="54" xfId="0" applyFont="1" applyFill="1" applyBorder="1" applyAlignment="1" applyProtection="1">
      <alignment horizontal="center" vertical="center" wrapText="1"/>
      <protection hidden="1"/>
    </xf>
    <xf numFmtId="0" fontId="104" fillId="4" borderId="58" xfId="0" applyFont="1" applyFill="1" applyBorder="1" applyAlignment="1" applyProtection="1">
      <alignment horizontal="center" vertical="center" wrapText="1"/>
      <protection hidden="1"/>
    </xf>
    <xf numFmtId="0" fontId="104" fillId="4" borderId="30" xfId="0" applyFont="1" applyFill="1" applyBorder="1" applyAlignment="1" applyProtection="1">
      <alignment horizontal="center" vertical="center" wrapText="1"/>
      <protection hidden="1"/>
    </xf>
    <xf numFmtId="0" fontId="104" fillId="4" borderId="57" xfId="0" applyFont="1" applyFill="1" applyBorder="1" applyAlignment="1" applyProtection="1">
      <alignment horizontal="center" vertical="center" wrapText="1"/>
      <protection hidden="1"/>
    </xf>
    <xf numFmtId="0" fontId="105" fillId="4" borderId="68" xfId="0" applyFont="1" applyFill="1" applyBorder="1" applyAlignment="1" applyProtection="1">
      <alignment horizontal="center" vertical="center" wrapText="1"/>
      <protection hidden="1"/>
    </xf>
    <xf numFmtId="0" fontId="105" fillId="4" borderId="77" xfId="0" applyFont="1" applyFill="1" applyBorder="1" applyAlignment="1" applyProtection="1">
      <alignment horizontal="center" vertical="center" wrapText="1"/>
      <protection hidden="1"/>
    </xf>
    <xf numFmtId="0" fontId="114" fillId="7" borderId="19" xfId="0" applyFont="1" applyFill="1" applyBorder="1" applyAlignment="1" applyProtection="1">
      <alignment horizontal="center" vertical="center"/>
      <protection hidden="1"/>
    </xf>
    <xf numFmtId="0" fontId="114" fillId="7" borderId="0" xfId="0" applyFont="1" applyFill="1" applyAlignment="1" applyProtection="1">
      <alignment horizontal="center" vertical="center"/>
      <protection hidden="1"/>
    </xf>
    <xf numFmtId="0" fontId="114" fillId="7" borderId="15" xfId="0" applyFont="1" applyFill="1" applyBorder="1" applyAlignment="1" applyProtection="1">
      <alignment horizontal="center" vertical="center"/>
      <protection hidden="1"/>
    </xf>
    <xf numFmtId="0" fontId="0" fillId="4" borderId="45" xfId="0" applyFill="1" applyBorder="1" applyAlignment="1" applyProtection="1">
      <alignment horizontal="left" vertical="center"/>
      <protection hidden="1"/>
    </xf>
    <xf numFmtId="0" fontId="0" fillId="4" borderId="17" xfId="0" applyFill="1" applyBorder="1" applyAlignment="1" applyProtection="1">
      <alignment horizontal="left" vertical="center"/>
      <protection hidden="1"/>
    </xf>
    <xf numFmtId="0" fontId="104" fillId="4" borderId="4" xfId="0" applyFont="1" applyFill="1" applyBorder="1" applyAlignment="1" applyProtection="1">
      <alignment horizontal="center" vertical="center" wrapText="1"/>
      <protection hidden="1"/>
    </xf>
    <xf numFmtId="0" fontId="104" fillId="4" borderId="3" xfId="0" applyFont="1" applyFill="1" applyBorder="1" applyAlignment="1" applyProtection="1">
      <alignment horizontal="center" vertical="center" wrapText="1"/>
      <protection hidden="1"/>
    </xf>
    <xf numFmtId="10" fontId="0" fillId="0" borderId="2" xfId="0" applyNumberFormat="1" applyBorder="1" applyAlignment="1">
      <alignment horizontal="center" vertical="center"/>
    </xf>
    <xf numFmtId="0" fontId="0" fillId="0" borderId="2" xfId="0" applyBorder="1" applyAlignment="1">
      <alignment horizontal="center" vertical="center"/>
    </xf>
    <xf numFmtId="0" fontId="67" fillId="4" borderId="41" xfId="0" applyFont="1" applyFill="1" applyBorder="1" applyAlignment="1">
      <alignment horizontal="center" vertical="center" wrapText="1"/>
    </xf>
    <xf numFmtId="0" fontId="65" fillId="4" borderId="2" xfId="0" applyFont="1" applyFill="1" applyBorder="1" applyAlignment="1">
      <alignment horizontal="center" vertical="center" wrapText="1"/>
    </xf>
    <xf numFmtId="10" fontId="0" fillId="0" borderId="22" xfId="0" applyNumberFormat="1" applyBorder="1" applyAlignment="1">
      <alignment horizontal="left" vertical="center" indent="2"/>
    </xf>
    <xf numFmtId="10" fontId="0" fillId="0" borderId="42" xfId="0" applyNumberFormat="1" applyBorder="1" applyAlignment="1">
      <alignment horizontal="left" vertical="center" indent="2"/>
    </xf>
    <xf numFmtId="0" fontId="0" fillId="0" borderId="21" xfId="0" applyBorder="1" applyAlignment="1">
      <alignment horizontal="center" vertical="center" wrapText="1"/>
    </xf>
    <xf numFmtId="0" fontId="0" fillId="0" borderId="12" xfId="0" applyBorder="1" applyAlignment="1">
      <alignment horizontal="center" vertical="center" wrapText="1"/>
    </xf>
    <xf numFmtId="0" fontId="105" fillId="3" borderId="15" xfId="0" applyFont="1" applyFill="1" applyBorder="1" applyAlignment="1">
      <alignment horizontal="center" vertical="center" wrapText="1"/>
    </xf>
    <xf numFmtId="0" fontId="117" fillId="4" borderId="43" xfId="0" applyFont="1" applyFill="1" applyBorder="1" applyAlignment="1" applyProtection="1">
      <alignment horizontal="left" vertical="center"/>
      <protection hidden="1"/>
    </xf>
    <xf numFmtId="0" fontId="117" fillId="4" borderId="23" xfId="0" applyFont="1" applyFill="1" applyBorder="1" applyAlignment="1" applyProtection="1">
      <alignment horizontal="left" vertical="center"/>
      <protection hidden="1"/>
    </xf>
    <xf numFmtId="0" fontId="117" fillId="4" borderId="44" xfId="0" applyFont="1" applyFill="1" applyBorder="1" applyAlignment="1" applyProtection="1">
      <alignment horizontal="left" vertical="center"/>
      <protection hidden="1"/>
    </xf>
    <xf numFmtId="0" fontId="63" fillId="4" borderId="18" xfId="2" applyNumberFormat="1" applyFill="1" applyBorder="1" applyAlignment="1" applyProtection="1">
      <alignment horizontal="center" vertical="center"/>
      <protection hidden="1"/>
    </xf>
    <xf numFmtId="0" fontId="63" fillId="4" borderId="39" xfId="2" applyNumberFormat="1" applyFill="1" applyBorder="1" applyAlignment="1" applyProtection="1">
      <alignment horizontal="center" vertical="center"/>
      <protection hidden="1"/>
    </xf>
    <xf numFmtId="0" fontId="0" fillId="4" borderId="46" xfId="0" applyFill="1" applyBorder="1" applyAlignment="1" applyProtection="1">
      <alignment horizontal="left" vertical="center"/>
      <protection hidden="1"/>
    </xf>
    <xf numFmtId="0" fontId="77" fillId="4" borderId="19" xfId="0" quotePrefix="1" applyFont="1" applyFill="1" applyBorder="1" applyAlignment="1" applyProtection="1">
      <alignment horizontal="center" vertical="center"/>
      <protection hidden="1"/>
    </xf>
    <xf numFmtId="0" fontId="77" fillId="4" borderId="0" xfId="0" quotePrefix="1" applyFont="1" applyFill="1" applyAlignment="1" applyProtection="1">
      <alignment horizontal="center" vertical="center"/>
      <protection hidden="1"/>
    </xf>
    <xf numFmtId="0" fontId="77" fillId="4" borderId="15" xfId="0" quotePrefix="1" applyFont="1" applyFill="1" applyBorder="1" applyAlignment="1" applyProtection="1">
      <alignment horizontal="center" vertical="center"/>
      <protection hidden="1"/>
    </xf>
    <xf numFmtId="0" fontId="78" fillId="4" borderId="17" xfId="0" applyFont="1" applyFill="1" applyBorder="1" applyAlignment="1" applyProtection="1">
      <alignment horizontal="left" vertical="center" wrapText="1"/>
      <protection hidden="1"/>
    </xf>
    <xf numFmtId="0" fontId="78" fillId="4" borderId="49" xfId="0" applyFont="1" applyFill="1" applyBorder="1" applyAlignment="1" applyProtection="1">
      <alignment horizontal="left" vertical="center" wrapText="1"/>
      <protection hidden="1"/>
    </xf>
    <xf numFmtId="0" fontId="0" fillId="4" borderId="239" xfId="0" applyFill="1" applyBorder="1" applyAlignment="1" applyProtection="1">
      <alignment horizontal="left" vertical="center"/>
      <protection hidden="1"/>
    </xf>
    <xf numFmtId="0" fontId="0" fillId="4" borderId="240" xfId="0" applyFill="1" applyBorder="1" applyAlignment="1" applyProtection="1">
      <alignment horizontal="left" vertical="center"/>
      <protection hidden="1"/>
    </xf>
    <xf numFmtId="0" fontId="0" fillId="4" borderId="241" xfId="0" applyFill="1" applyBorder="1" applyAlignment="1" applyProtection="1">
      <alignment horizontal="left" vertical="center"/>
      <protection hidden="1"/>
    </xf>
    <xf numFmtId="0" fontId="170" fillId="4" borderId="51" xfId="2" applyNumberFormat="1" applyFont="1" applyFill="1" applyBorder="1" applyAlignment="1" applyProtection="1">
      <alignment vertical="center" wrapText="1"/>
    </xf>
    <xf numFmtId="0" fontId="170" fillId="4" borderId="17" xfId="2" applyNumberFormat="1" applyFont="1" applyFill="1" applyBorder="1" applyAlignment="1" applyProtection="1">
      <alignment vertical="center" wrapText="1"/>
    </xf>
    <xf numFmtId="0" fontId="170" fillId="4" borderId="49" xfId="2" applyNumberFormat="1" applyFont="1" applyFill="1" applyBorder="1" applyAlignment="1" applyProtection="1">
      <alignment vertical="center" wrapText="1"/>
    </xf>
    <xf numFmtId="0" fontId="0" fillId="4" borderId="19" xfId="0" applyFill="1" applyBorder="1" applyAlignment="1" applyProtection="1">
      <alignment horizontal="center" vertical="center"/>
      <protection hidden="1"/>
    </xf>
    <xf numFmtId="0" fontId="0" fillId="4" borderId="0" xfId="0" applyFill="1" applyAlignment="1" applyProtection="1">
      <alignment horizontal="center" vertical="center"/>
      <protection hidden="1"/>
    </xf>
    <xf numFmtId="0" fontId="0" fillId="4" borderId="15" xfId="0" applyFill="1" applyBorder="1" applyAlignment="1" applyProtection="1">
      <alignment horizontal="center" vertical="center"/>
      <protection hidden="1"/>
    </xf>
    <xf numFmtId="0" fontId="170" fillId="4" borderId="17" xfId="2" applyNumberFormat="1" applyFont="1" applyFill="1" applyBorder="1" applyAlignment="1" applyProtection="1">
      <alignment horizontal="left" vertical="center" wrapText="1"/>
      <protection hidden="1"/>
    </xf>
    <xf numFmtId="0" fontId="170" fillId="4" borderId="49" xfId="2" applyNumberFormat="1" applyFont="1" applyFill="1" applyBorder="1" applyAlignment="1" applyProtection="1">
      <alignment horizontal="left" vertical="center" wrapText="1"/>
      <protection hidden="1"/>
    </xf>
    <xf numFmtId="0" fontId="0" fillId="4" borderId="46" xfId="0" applyFill="1" applyBorder="1" applyAlignment="1" applyProtection="1">
      <alignment horizontal="left" vertical="center" wrapText="1"/>
      <protection hidden="1"/>
    </xf>
    <xf numFmtId="0" fontId="80" fillId="4" borderId="19" xfId="0" applyFont="1" applyFill="1" applyBorder="1" applyAlignment="1" applyProtection="1">
      <alignment horizontal="center" vertical="center" wrapText="1"/>
      <protection hidden="1"/>
    </xf>
    <xf numFmtId="0" fontId="80" fillId="4" borderId="0" xfId="0" applyFont="1" applyFill="1" applyAlignment="1" applyProtection="1">
      <alignment horizontal="center" vertical="center" wrapText="1"/>
      <protection hidden="1"/>
    </xf>
    <xf numFmtId="0" fontId="80" fillId="4" borderId="15" xfId="0" applyFont="1" applyFill="1" applyBorder="1" applyAlignment="1" applyProtection="1">
      <alignment horizontal="center" vertical="center" wrapText="1"/>
      <protection hidden="1"/>
    </xf>
    <xf numFmtId="0" fontId="104" fillId="4" borderId="10" xfId="2" applyNumberFormat="1" applyFont="1" applyFill="1" applyBorder="1" applyAlignment="1" applyProtection="1">
      <alignment horizontal="center" vertical="center" wrapText="1"/>
      <protection hidden="1"/>
    </xf>
    <xf numFmtId="0" fontId="104" fillId="4" borderId="3" xfId="2" applyNumberFormat="1" applyFont="1" applyFill="1" applyBorder="1" applyAlignment="1" applyProtection="1">
      <alignment horizontal="center" vertical="center" wrapText="1"/>
      <protection hidden="1"/>
    </xf>
    <xf numFmtId="0" fontId="63" fillId="4" borderId="68" xfId="2" applyNumberFormat="1" applyFill="1" applyBorder="1" applyAlignment="1" applyProtection="1">
      <alignment horizontal="center" wrapText="1"/>
    </xf>
    <xf numFmtId="0" fontId="63" fillId="4" borderId="77" xfId="2" applyNumberFormat="1" applyFill="1" applyBorder="1" applyAlignment="1" applyProtection="1">
      <alignment horizontal="center" wrapText="1"/>
    </xf>
    <xf numFmtId="0" fontId="65" fillId="4" borderId="85" xfId="0" applyFont="1" applyFill="1" applyBorder="1" applyAlignment="1" applyProtection="1">
      <alignment horizontal="center" vertical="center" wrapText="1"/>
      <protection hidden="1"/>
    </xf>
    <xf numFmtId="0" fontId="65" fillId="4" borderId="86" xfId="0" applyFont="1" applyFill="1" applyBorder="1" applyAlignment="1" applyProtection="1">
      <alignment horizontal="center" vertical="center" wrapText="1"/>
      <protection hidden="1"/>
    </xf>
    <xf numFmtId="0" fontId="0" fillId="0" borderId="2" xfId="0" applyBorder="1" applyAlignment="1">
      <alignment horizontal="center"/>
    </xf>
    <xf numFmtId="165" fontId="75" fillId="4" borderId="19" xfId="0" quotePrefix="1" applyNumberFormat="1" applyFont="1" applyFill="1" applyBorder="1" applyAlignment="1" applyProtection="1">
      <alignment horizontal="center" vertical="center" wrapText="1"/>
      <protection hidden="1"/>
    </xf>
    <xf numFmtId="165" fontId="75" fillId="4" borderId="0" xfId="0" quotePrefix="1" applyNumberFormat="1" applyFont="1" applyFill="1" applyAlignment="1" applyProtection="1">
      <alignment horizontal="center" vertical="center" wrapText="1"/>
      <protection hidden="1"/>
    </xf>
    <xf numFmtId="165" fontId="75" fillId="4" borderId="15" xfId="0" quotePrefix="1" applyNumberFormat="1" applyFont="1" applyFill="1" applyBorder="1" applyAlignment="1" applyProtection="1">
      <alignment horizontal="center" vertical="center" wrapText="1"/>
      <protection hidden="1"/>
    </xf>
    <xf numFmtId="0" fontId="0" fillId="0" borderId="41" xfId="0" applyBorder="1" applyAlignment="1">
      <alignment horizontal="center" vertical="center"/>
    </xf>
    <xf numFmtId="0" fontId="78" fillId="4" borderId="51" xfId="0" applyFont="1" applyFill="1" applyBorder="1" applyAlignment="1" applyProtection="1">
      <alignment horizontal="left" vertical="center" wrapText="1"/>
      <protection hidden="1"/>
    </xf>
    <xf numFmtId="0" fontId="85" fillId="4" borderId="0" xfId="0" applyFont="1" applyFill="1" applyAlignment="1" applyProtection="1">
      <alignment horizontal="center" vertical="center" wrapText="1"/>
      <protection hidden="1"/>
    </xf>
    <xf numFmtId="0" fontId="85" fillId="4" borderId="15" xfId="0" applyFont="1" applyFill="1" applyBorder="1" applyAlignment="1" applyProtection="1">
      <alignment horizontal="center" vertical="center" wrapText="1"/>
      <protection hidden="1"/>
    </xf>
    <xf numFmtId="0" fontId="105" fillId="4" borderId="52" xfId="0" applyFont="1" applyFill="1" applyBorder="1" applyAlignment="1" applyProtection="1">
      <alignment horizontal="right" vertical="center" wrapText="1"/>
      <protection hidden="1"/>
    </xf>
    <xf numFmtId="0" fontId="105" fillId="4" borderId="53" xfId="0" applyFont="1" applyFill="1" applyBorder="1" applyAlignment="1" applyProtection="1">
      <alignment horizontal="right" vertical="center" wrapText="1"/>
      <protection hidden="1"/>
    </xf>
    <xf numFmtId="0" fontId="0" fillId="4" borderId="245" xfId="0" applyFill="1" applyBorder="1" applyAlignment="1" applyProtection="1">
      <alignment horizontal="left" vertical="center"/>
      <protection hidden="1"/>
    </xf>
    <xf numFmtId="0" fontId="0" fillId="4" borderId="246" xfId="0" applyFill="1" applyBorder="1" applyAlignment="1" applyProtection="1">
      <alignment horizontal="left" vertical="center"/>
      <protection hidden="1"/>
    </xf>
    <xf numFmtId="0" fontId="233" fillId="4" borderId="30" xfId="2" applyNumberFormat="1" applyFont="1" applyFill="1" applyBorder="1" applyAlignment="1" applyProtection="1">
      <alignment horizontal="center" vertical="center" wrapText="1"/>
      <protection hidden="1"/>
    </xf>
    <xf numFmtId="0" fontId="233" fillId="4" borderId="57" xfId="2" applyNumberFormat="1" applyFont="1" applyFill="1" applyBorder="1" applyAlignment="1" applyProtection="1">
      <alignment horizontal="center" vertical="center" wrapText="1"/>
      <protection hidden="1"/>
    </xf>
    <xf numFmtId="0" fontId="104" fillId="4" borderId="9" xfId="0" applyFont="1" applyFill="1" applyBorder="1" applyAlignment="1" applyProtection="1">
      <alignment horizontal="center" vertical="center" wrapText="1"/>
      <protection hidden="1"/>
    </xf>
    <xf numFmtId="0" fontId="104" fillId="4" borderId="77" xfId="0" applyFont="1" applyFill="1" applyBorder="1" applyAlignment="1" applyProtection="1">
      <alignment horizontal="center" vertical="center" wrapText="1"/>
      <protection hidden="1"/>
    </xf>
    <xf numFmtId="0" fontId="121" fillId="4" borderId="301" xfId="0" applyFont="1" applyFill="1" applyBorder="1" applyAlignment="1">
      <alignment horizontal="center" vertical="center"/>
    </xf>
    <xf numFmtId="0" fontId="121" fillId="4" borderId="298" xfId="0" applyFont="1" applyFill="1" applyBorder="1" applyAlignment="1">
      <alignment horizontal="center" vertical="center"/>
    </xf>
    <xf numFmtId="0" fontId="121" fillId="4" borderId="302" xfId="0" applyFont="1" applyFill="1" applyBorder="1" applyAlignment="1">
      <alignment horizontal="center" vertical="center"/>
    </xf>
    <xf numFmtId="0" fontId="121" fillId="4" borderId="298" xfId="0" quotePrefix="1" applyFont="1" applyFill="1" applyBorder="1" applyAlignment="1">
      <alignment horizontal="center" vertical="center"/>
    </xf>
    <xf numFmtId="0" fontId="121" fillId="4" borderId="299" xfId="0" applyFont="1" applyFill="1" applyBorder="1" applyAlignment="1">
      <alignment horizontal="center" vertical="center"/>
    </xf>
    <xf numFmtId="10" fontId="76" fillId="0" borderId="2" xfId="3" applyNumberFormat="1" applyFill="1" applyBorder="1" applyAlignment="1">
      <alignment horizontal="center" vertical="center"/>
    </xf>
    <xf numFmtId="0" fontId="65" fillId="4" borderId="54" xfId="0" applyFont="1" applyFill="1" applyBorder="1" applyAlignment="1" applyProtection="1">
      <alignment horizontal="center" vertical="center" wrapText="1"/>
      <protection hidden="1"/>
    </xf>
    <xf numFmtId="0" fontId="65" fillId="4" borderId="58" xfId="0" applyFont="1" applyFill="1" applyBorder="1" applyAlignment="1" applyProtection="1">
      <alignment horizontal="center" vertical="center" wrapText="1"/>
      <protection hidden="1"/>
    </xf>
    <xf numFmtId="0" fontId="140" fillId="4" borderId="68" xfId="0" applyFont="1" applyFill="1" applyBorder="1" applyAlignment="1" applyProtection="1">
      <alignment horizontal="center" vertical="center" wrapText="1"/>
      <protection hidden="1"/>
    </xf>
    <xf numFmtId="0" fontId="140" fillId="4" borderId="77" xfId="0" applyFont="1" applyFill="1" applyBorder="1" applyAlignment="1" applyProtection="1">
      <alignment horizontal="center" vertical="center" wrapText="1"/>
      <protection hidden="1"/>
    </xf>
    <xf numFmtId="8" fontId="104" fillId="4" borderId="85" xfId="0" applyNumberFormat="1" applyFont="1" applyFill="1" applyBorder="1" applyAlignment="1" applyProtection="1">
      <alignment horizontal="center" vertical="center"/>
      <protection hidden="1"/>
    </xf>
    <xf numFmtId="0" fontId="104" fillId="4" borderId="86" xfId="0" applyFont="1" applyFill="1" applyBorder="1" applyAlignment="1" applyProtection="1">
      <alignment horizontal="center" vertical="center"/>
      <protection hidden="1"/>
    </xf>
    <xf numFmtId="0" fontId="104" fillId="4" borderId="68" xfId="0" applyFont="1" applyFill="1" applyBorder="1" applyAlignment="1" applyProtection="1">
      <alignment horizontal="center" vertical="center"/>
      <protection hidden="1"/>
    </xf>
    <xf numFmtId="0" fontId="104" fillId="4" borderId="77" xfId="0" applyFont="1" applyFill="1" applyBorder="1" applyAlignment="1" applyProtection="1">
      <alignment horizontal="center" vertical="center"/>
      <protection hidden="1"/>
    </xf>
    <xf numFmtId="0" fontId="0" fillId="4" borderId="0" xfId="0" applyFill="1" applyAlignment="1">
      <alignment horizontal="center" vertical="center"/>
    </xf>
    <xf numFmtId="0" fontId="104" fillId="4" borderId="0" xfId="0" applyFont="1" applyFill="1" applyAlignment="1" applyProtection="1">
      <alignment horizontal="center" vertical="center" wrapText="1"/>
      <protection hidden="1"/>
    </xf>
    <xf numFmtId="0" fontId="104" fillId="4" borderId="0" xfId="0" quotePrefix="1" applyFont="1" applyFill="1" applyAlignment="1" applyProtection="1">
      <alignment horizontal="center" vertical="center"/>
      <protection hidden="1"/>
    </xf>
    <xf numFmtId="165" fontId="233" fillId="4" borderId="4" xfId="2" applyNumberFormat="1" applyFont="1" applyFill="1" applyBorder="1" applyAlignment="1" applyProtection="1">
      <alignment horizontal="center" vertical="center"/>
      <protection hidden="1"/>
    </xf>
    <xf numFmtId="165" fontId="233" fillId="4" borderId="3" xfId="2" applyNumberFormat="1" applyFont="1" applyFill="1" applyBorder="1" applyAlignment="1" applyProtection="1">
      <alignment horizontal="center" vertical="center"/>
      <protection hidden="1"/>
    </xf>
    <xf numFmtId="0" fontId="89" fillId="4" borderId="19" xfId="0" applyFont="1" applyFill="1" applyBorder="1" applyAlignment="1" applyProtection="1">
      <alignment horizontal="left" vertical="center" wrapText="1"/>
      <protection hidden="1"/>
    </xf>
    <xf numFmtId="0" fontId="89" fillId="4" borderId="0" xfId="0" applyFont="1" applyFill="1" applyAlignment="1" applyProtection="1">
      <alignment horizontal="left" vertical="center" wrapText="1"/>
      <protection hidden="1"/>
    </xf>
    <xf numFmtId="0" fontId="89" fillId="4" borderId="15" xfId="0" applyFont="1" applyFill="1" applyBorder="1" applyAlignment="1" applyProtection="1">
      <alignment horizontal="left" vertical="center" wrapText="1"/>
      <protection hidden="1"/>
    </xf>
    <xf numFmtId="165" fontId="0" fillId="0" borderId="43" xfId="0" applyNumberFormat="1" applyBorder="1" applyAlignment="1">
      <alignment horizontal="center" vertical="center" wrapText="1"/>
    </xf>
    <xf numFmtId="165" fontId="0" fillId="0" borderId="44" xfId="0" applyNumberFormat="1" applyBorder="1" applyAlignment="1">
      <alignment horizontal="center" vertical="center" wrapText="1"/>
    </xf>
    <xf numFmtId="165" fontId="0" fillId="0" borderId="30" xfId="0" applyNumberFormat="1" applyBorder="1" applyAlignment="1">
      <alignment horizontal="center" vertical="center" wrapText="1"/>
    </xf>
    <xf numFmtId="165" fontId="0" fillId="0" borderId="57" xfId="0" applyNumberFormat="1" applyBorder="1" applyAlignment="1">
      <alignment horizontal="center" vertical="center" wrapText="1"/>
    </xf>
    <xf numFmtId="0" fontId="0" fillId="0" borderId="54" xfId="0" applyBorder="1" applyAlignment="1">
      <alignment horizontal="center" vertical="center" wrapText="1"/>
    </xf>
    <xf numFmtId="0" fontId="0" fillId="0" borderId="58" xfId="0" applyBorder="1" applyAlignment="1">
      <alignment horizontal="center" vertical="center" wrapText="1"/>
    </xf>
    <xf numFmtId="0" fontId="0" fillId="0" borderId="16" xfId="0" applyBorder="1" applyAlignment="1">
      <alignment horizontal="center" vertical="center" wrapText="1"/>
    </xf>
    <xf numFmtId="0" fontId="0" fillId="0" borderId="39"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78" fillId="0" borderId="61" xfId="0" applyFont="1" applyBorder="1" applyAlignment="1">
      <alignment horizontal="center" vertical="center" wrapText="1"/>
    </xf>
    <xf numFmtId="0" fontId="78" fillId="0" borderId="62" xfId="0" applyFont="1" applyBorder="1" applyAlignment="1">
      <alignment horizontal="center" vertical="center" wrapText="1"/>
    </xf>
    <xf numFmtId="0" fontId="83" fillId="0" borderId="63" xfId="0" applyFont="1" applyBorder="1" applyAlignment="1" applyProtection="1">
      <alignment horizontal="left" vertical="center"/>
      <protection hidden="1"/>
    </xf>
    <xf numFmtId="0" fontId="83" fillId="0" borderId="64" xfId="0" applyFont="1" applyBorder="1" applyAlignment="1" applyProtection="1">
      <alignment horizontal="left" vertical="center"/>
      <protection hidden="1"/>
    </xf>
    <xf numFmtId="0" fontId="83" fillId="0" borderId="4" xfId="0" applyFont="1" applyBorder="1" applyAlignment="1" applyProtection="1">
      <alignment horizontal="left"/>
      <protection hidden="1"/>
    </xf>
    <xf numFmtId="0" fontId="83" fillId="0" borderId="3" xfId="0" applyFont="1" applyBorder="1" applyAlignment="1" applyProtection="1">
      <alignment horizontal="left"/>
      <protection hidden="1"/>
    </xf>
    <xf numFmtId="0" fontId="83" fillId="0" borderId="54" xfId="0" applyFont="1" applyBorder="1" applyAlignment="1" applyProtection="1">
      <alignment horizontal="left"/>
      <protection hidden="1"/>
    </xf>
    <xf numFmtId="0" fontId="83" fillId="0" borderId="58" xfId="0" applyFont="1" applyBorder="1" applyAlignment="1" applyProtection="1">
      <alignment horizontal="left"/>
      <protection hidden="1"/>
    </xf>
    <xf numFmtId="1" fontId="0" fillId="4" borderId="68" xfId="0" applyNumberFormat="1" applyFill="1" applyBorder="1" applyAlignment="1" applyProtection="1">
      <alignment horizontal="center"/>
      <protection hidden="1"/>
    </xf>
    <xf numFmtId="1" fontId="0" fillId="4" borderId="9" xfId="0" applyNumberFormat="1" applyFill="1" applyBorder="1" applyAlignment="1" applyProtection="1">
      <alignment horizontal="center"/>
      <protection hidden="1"/>
    </xf>
    <xf numFmtId="1" fontId="0" fillId="4" borderId="77" xfId="0" applyNumberFormat="1" applyFill="1" applyBorder="1" applyAlignment="1" applyProtection="1">
      <alignment horizontal="center"/>
      <protection hidden="1"/>
    </xf>
    <xf numFmtId="0" fontId="96" fillId="4" borderId="43" xfId="0" applyFont="1" applyFill="1" applyBorder="1" applyAlignment="1">
      <alignment horizontal="center"/>
    </xf>
    <xf numFmtId="0" fontId="96" fillId="4" borderId="23" xfId="0" applyFont="1" applyFill="1" applyBorder="1" applyAlignment="1">
      <alignment horizontal="center"/>
    </xf>
    <xf numFmtId="0" fontId="96" fillId="4" borderId="44" xfId="0" applyFont="1" applyFill="1" applyBorder="1" applyAlignment="1">
      <alignment horizontal="center"/>
    </xf>
    <xf numFmtId="0" fontId="58" fillId="4" borderId="30" xfId="0" applyFont="1" applyFill="1" applyBorder="1" applyAlignment="1">
      <alignment horizontal="center" wrapText="1"/>
    </xf>
    <xf numFmtId="0" fontId="58" fillId="4" borderId="28" xfId="0" applyFont="1" applyFill="1" applyBorder="1" applyAlignment="1">
      <alignment horizontal="center" wrapText="1"/>
    </xf>
    <xf numFmtId="0" fontId="61" fillId="4" borderId="75" xfId="0" applyFont="1" applyFill="1" applyBorder="1" applyAlignment="1">
      <alignment horizontal="center"/>
    </xf>
    <xf numFmtId="0" fontId="105" fillId="4" borderId="76" xfId="0" applyFont="1" applyFill="1" applyBorder="1" applyAlignment="1">
      <alignment horizontal="center"/>
    </xf>
    <xf numFmtId="1" fontId="0" fillId="4" borderId="30" xfId="0" applyNumberFormat="1" applyFill="1" applyBorder="1" applyAlignment="1" applyProtection="1">
      <alignment horizontal="center"/>
      <protection hidden="1"/>
    </xf>
    <xf numFmtId="1" fontId="0" fillId="4" borderId="28" xfId="0" applyNumberFormat="1" applyFill="1" applyBorder="1" applyAlignment="1" applyProtection="1">
      <alignment horizontal="center"/>
      <protection hidden="1"/>
    </xf>
    <xf numFmtId="1" fontId="0" fillId="4" borderId="57" xfId="0" applyNumberFormat="1" applyFill="1" applyBorder="1" applyAlignment="1" applyProtection="1">
      <alignment horizontal="center"/>
      <protection hidden="1"/>
    </xf>
    <xf numFmtId="9" fontId="113" fillId="4" borderId="60" xfId="3" applyFont="1" applyFill="1" applyBorder="1" applyAlignment="1" applyProtection="1">
      <alignment horizontal="center" vertical="center"/>
      <protection hidden="1"/>
    </xf>
    <xf numFmtId="9" fontId="113" fillId="4" borderId="103" xfId="3" applyFont="1" applyFill="1" applyBorder="1" applyAlignment="1" applyProtection="1">
      <alignment horizontal="center" vertical="center"/>
      <protection hidden="1"/>
    </xf>
    <xf numFmtId="9" fontId="113" fillId="4" borderId="27" xfId="3" applyFont="1" applyFill="1" applyBorder="1" applyAlignment="1" applyProtection="1">
      <alignment horizontal="center" vertical="center"/>
      <protection hidden="1"/>
    </xf>
    <xf numFmtId="0" fontId="187" fillId="4" borderId="0" xfId="2" applyNumberFormat="1" applyFont="1" applyFill="1" applyBorder="1" applyAlignment="1" applyProtection="1">
      <alignment horizontal="center" vertical="center"/>
      <protection hidden="1"/>
    </xf>
    <xf numFmtId="0" fontId="166" fillId="4" borderId="0" xfId="2" applyNumberFormat="1" applyFont="1" applyFill="1" applyBorder="1" applyAlignment="1" applyProtection="1">
      <alignment horizontal="center" vertical="center"/>
      <protection hidden="1"/>
    </xf>
    <xf numFmtId="0" fontId="59" fillId="4" borderId="59" xfId="0" applyFont="1" applyFill="1" applyBorder="1" applyAlignment="1">
      <alignment horizontal="center" vertical="center" wrapText="1"/>
    </xf>
    <xf numFmtId="0" fontId="59" fillId="4" borderId="191" xfId="0" applyFont="1" applyFill="1" applyBorder="1" applyAlignment="1">
      <alignment horizontal="center" vertical="center" wrapText="1"/>
    </xf>
    <xf numFmtId="0" fontId="59" fillId="4" borderId="144" xfId="0" applyFont="1" applyFill="1" applyBorder="1" applyAlignment="1">
      <alignment horizontal="center" wrapText="1"/>
    </xf>
    <xf numFmtId="0" fontId="59" fillId="4" borderId="192" xfId="0" applyFont="1" applyFill="1" applyBorder="1" applyAlignment="1">
      <alignment horizontal="center" wrapText="1"/>
    </xf>
    <xf numFmtId="0" fontId="61" fillId="4" borderId="115" xfId="0" applyFont="1" applyFill="1" applyBorder="1" applyAlignment="1">
      <alignment horizontal="center" vertical="center" wrapText="1"/>
    </xf>
    <xf numFmtId="0" fontId="61" fillId="4" borderId="194" xfId="0" applyFont="1" applyFill="1" applyBorder="1" applyAlignment="1">
      <alignment horizontal="center" vertical="center" wrapText="1"/>
    </xf>
    <xf numFmtId="0" fontId="61" fillId="4" borderId="59" xfId="0" applyFont="1" applyFill="1" applyBorder="1" applyAlignment="1" applyProtection="1">
      <alignment horizontal="right" wrapText="1"/>
      <protection hidden="1"/>
    </xf>
    <xf numFmtId="0" fontId="61" fillId="4" borderId="191" xfId="0" applyFont="1" applyFill="1" applyBorder="1" applyAlignment="1" applyProtection="1">
      <alignment horizontal="right" wrapText="1"/>
      <protection hidden="1"/>
    </xf>
    <xf numFmtId="14" fontId="59" fillId="4" borderId="72" xfId="0" applyNumberFormat="1" applyFont="1" applyFill="1" applyBorder="1" applyAlignment="1">
      <alignment horizontal="center" vertical="center" wrapText="1"/>
    </xf>
    <xf numFmtId="14" fontId="59" fillId="4" borderId="73" xfId="0" applyNumberFormat="1" applyFont="1" applyFill="1" applyBorder="1" applyAlignment="1">
      <alignment horizontal="center" vertical="center" wrapText="1"/>
    </xf>
    <xf numFmtId="0" fontId="59" fillId="4" borderId="75" xfId="0" applyFont="1" applyFill="1" applyBorder="1" applyAlignment="1" applyProtection="1">
      <alignment horizontal="center" vertical="center"/>
      <protection hidden="1"/>
    </xf>
    <xf numFmtId="0" fontId="59" fillId="4" borderId="196" xfId="0" applyFont="1" applyFill="1" applyBorder="1" applyAlignment="1" applyProtection="1">
      <alignment horizontal="center" vertical="center"/>
      <protection hidden="1"/>
    </xf>
    <xf numFmtId="0" fontId="59" fillId="4" borderId="76" xfId="0" applyFont="1" applyFill="1" applyBorder="1" applyAlignment="1" applyProtection="1">
      <alignment horizontal="center" vertical="center"/>
      <protection hidden="1"/>
    </xf>
    <xf numFmtId="0" fontId="96" fillId="4" borderId="43" xfId="0" applyFont="1" applyFill="1" applyBorder="1" applyProtection="1">
      <protection hidden="1"/>
    </xf>
    <xf numFmtId="0" fontId="96" fillId="4" borderId="23" xfId="0" applyFont="1" applyFill="1" applyBorder="1" applyProtection="1">
      <protection hidden="1"/>
    </xf>
    <xf numFmtId="0" fontId="96" fillId="4" borderId="44" xfId="0" applyFont="1" applyFill="1" applyBorder="1" applyProtection="1">
      <protection hidden="1"/>
    </xf>
    <xf numFmtId="0" fontId="61" fillId="4" borderId="16" xfId="0" applyFont="1" applyFill="1" applyBorder="1" applyAlignment="1" applyProtection="1">
      <alignment horizontal="center" vertical="center"/>
      <protection hidden="1"/>
    </xf>
    <xf numFmtId="0" fontId="61" fillId="4" borderId="18" xfId="0" applyFont="1" applyFill="1" applyBorder="1" applyAlignment="1" applyProtection="1">
      <alignment horizontal="center" vertical="center"/>
      <protection hidden="1"/>
    </xf>
    <xf numFmtId="0" fontId="61" fillId="4" borderId="39" xfId="0" applyFont="1" applyFill="1" applyBorder="1" applyAlignment="1" applyProtection="1">
      <alignment horizontal="center" vertical="center"/>
      <protection hidden="1"/>
    </xf>
    <xf numFmtId="0" fontId="58" fillId="4" borderId="65" xfId="0" applyFont="1" applyFill="1" applyBorder="1" applyAlignment="1" applyProtection="1">
      <alignment horizontal="center" wrapText="1"/>
      <protection hidden="1"/>
    </xf>
    <xf numFmtId="0" fontId="58" fillId="4" borderId="79" xfId="0" applyFont="1" applyFill="1" applyBorder="1" applyAlignment="1" applyProtection="1">
      <alignment horizontal="center" wrapText="1"/>
      <protection hidden="1"/>
    </xf>
    <xf numFmtId="0" fontId="58" fillId="4" borderId="20" xfId="0" applyFont="1" applyFill="1" applyBorder="1" applyAlignment="1" applyProtection="1">
      <alignment horizontal="center" wrapText="1"/>
      <protection hidden="1"/>
    </xf>
    <xf numFmtId="0" fontId="0" fillId="4" borderId="0" xfId="0" applyFill="1" applyAlignment="1">
      <alignment horizontal="center"/>
    </xf>
    <xf numFmtId="0" fontId="176" fillId="4" borderId="19" xfId="0" applyFont="1" applyFill="1" applyBorder="1" applyAlignment="1">
      <alignment horizontal="left" wrapText="1"/>
    </xf>
    <xf numFmtId="0" fontId="0" fillId="4" borderId="43" xfId="0" applyFill="1" applyBorder="1" applyAlignment="1" applyProtection="1">
      <alignment horizontal="center"/>
      <protection hidden="1"/>
    </xf>
    <xf numFmtId="0" fontId="0" fillId="4" borderId="23" xfId="0" applyFill="1" applyBorder="1" applyAlignment="1" applyProtection="1">
      <alignment horizontal="center"/>
      <protection hidden="1"/>
    </xf>
    <xf numFmtId="0" fontId="0" fillId="4" borderId="44" xfId="0" applyFill="1" applyBorder="1" applyAlignment="1" applyProtection="1">
      <alignment horizontal="center"/>
      <protection hidden="1"/>
    </xf>
    <xf numFmtId="0" fontId="105" fillId="4" borderId="16" xfId="0" applyFont="1" applyFill="1" applyBorder="1" applyAlignment="1" applyProtection="1">
      <alignment horizontal="center"/>
      <protection hidden="1"/>
    </xf>
    <xf numFmtId="0" fontId="105" fillId="4" borderId="18" xfId="0" applyFont="1" applyFill="1" applyBorder="1" applyAlignment="1" applyProtection="1">
      <alignment horizontal="center"/>
      <protection hidden="1"/>
    </xf>
    <xf numFmtId="0" fontId="105" fillId="4" borderId="39" xfId="0" applyFont="1" applyFill="1" applyBorder="1" applyAlignment="1" applyProtection="1">
      <alignment horizontal="center"/>
      <protection hidden="1"/>
    </xf>
    <xf numFmtId="10" fontId="58" fillId="0" borderId="1" xfId="3" applyNumberFormat="1" applyFont="1" applyBorder="1" applyAlignment="1" applyProtection="1">
      <alignment horizontal="center" vertical="center"/>
      <protection locked="0"/>
    </xf>
    <xf numFmtId="10" fontId="58" fillId="0" borderId="9" xfId="3" applyNumberFormat="1" applyFont="1" applyBorder="1" applyAlignment="1" applyProtection="1">
      <alignment horizontal="center" vertical="center"/>
      <protection locked="0"/>
    </xf>
    <xf numFmtId="10" fontId="58" fillId="0" borderId="10" xfId="3" applyNumberFormat="1" applyFont="1" applyBorder="1" applyAlignment="1" applyProtection="1">
      <alignment horizontal="center" vertical="center"/>
      <protection locked="0"/>
    </xf>
    <xf numFmtId="0" fontId="61" fillId="4" borderId="0" xfId="0" applyFont="1" applyFill="1" applyAlignment="1">
      <alignment horizontal="center"/>
    </xf>
    <xf numFmtId="0" fontId="61" fillId="4" borderId="43" xfId="0" applyFont="1" applyFill="1" applyBorder="1" applyAlignment="1" applyProtection="1">
      <alignment horizontal="center" vertical="center" wrapText="1"/>
      <protection hidden="1"/>
    </xf>
    <xf numFmtId="0" fontId="61" fillId="4" borderId="23" xfId="0" applyFont="1" applyFill="1" applyBorder="1" applyAlignment="1" applyProtection="1">
      <alignment horizontal="center" vertical="center" wrapText="1"/>
      <protection hidden="1"/>
    </xf>
    <xf numFmtId="0" fontId="61" fillId="4" borderId="19" xfId="0" applyFont="1" applyFill="1" applyBorder="1" applyAlignment="1" applyProtection="1">
      <alignment horizontal="center" vertical="center" wrapText="1"/>
      <protection hidden="1"/>
    </xf>
    <xf numFmtId="0" fontId="61" fillId="4" borderId="0" xfId="0" applyFont="1" applyFill="1" applyAlignment="1" applyProtection="1">
      <alignment horizontal="center" vertical="center" wrapText="1"/>
      <protection hidden="1"/>
    </xf>
    <xf numFmtId="0" fontId="61" fillId="4" borderId="16" xfId="0" applyFont="1" applyFill="1" applyBorder="1" applyAlignment="1" applyProtection="1">
      <alignment horizontal="center" vertical="center" wrapText="1"/>
      <protection hidden="1"/>
    </xf>
    <xf numFmtId="0" fontId="61" fillId="4" borderId="18" xfId="0" applyFont="1" applyFill="1" applyBorder="1" applyAlignment="1" applyProtection="1">
      <alignment horizontal="center" vertical="center" wrapText="1"/>
      <protection hidden="1"/>
    </xf>
    <xf numFmtId="0" fontId="97" fillId="4" borderId="69" xfId="0" applyFont="1" applyFill="1" applyBorder="1" applyAlignment="1" applyProtection="1">
      <alignment horizontal="center" vertical="center"/>
      <protection hidden="1"/>
    </xf>
    <xf numFmtId="0" fontId="97" fillId="4" borderId="71" xfId="0" applyFont="1" applyFill="1" applyBorder="1" applyAlignment="1" applyProtection="1">
      <alignment horizontal="center" vertical="center"/>
      <protection hidden="1"/>
    </xf>
    <xf numFmtId="0" fontId="97" fillId="4" borderId="70" xfId="0" applyFont="1" applyFill="1" applyBorder="1" applyAlignment="1" applyProtection="1">
      <alignment horizontal="center" vertical="center"/>
      <protection hidden="1"/>
    </xf>
    <xf numFmtId="0" fontId="97" fillId="4" borderId="19" xfId="0" applyFont="1" applyFill="1" applyBorder="1" applyAlignment="1" applyProtection="1">
      <alignment horizontal="center" vertical="center"/>
      <protection hidden="1"/>
    </xf>
    <xf numFmtId="0" fontId="97" fillId="4" borderId="0" xfId="0" applyFont="1" applyFill="1" applyAlignment="1" applyProtection="1">
      <alignment horizontal="center" vertical="center"/>
      <protection hidden="1"/>
    </xf>
    <xf numFmtId="0" fontId="97" fillId="4" borderId="15" xfId="0" applyFont="1" applyFill="1" applyBorder="1" applyAlignment="1" applyProtection="1">
      <alignment horizontal="center" vertical="center"/>
      <protection hidden="1"/>
    </xf>
    <xf numFmtId="0" fontId="97" fillId="4" borderId="16" xfId="0" applyFont="1" applyFill="1" applyBorder="1" applyAlignment="1" applyProtection="1">
      <alignment horizontal="center" vertical="center"/>
      <protection hidden="1"/>
    </xf>
    <xf numFmtId="0" fontId="97" fillId="4" borderId="18" xfId="0" applyFont="1" applyFill="1" applyBorder="1" applyAlignment="1" applyProtection="1">
      <alignment horizontal="center" vertical="center"/>
      <protection hidden="1"/>
    </xf>
    <xf numFmtId="0" fontId="97" fillId="4" borderId="39" xfId="0" applyFont="1" applyFill="1" applyBorder="1" applyAlignment="1" applyProtection="1">
      <alignment horizontal="center" vertical="center"/>
      <protection hidden="1"/>
    </xf>
    <xf numFmtId="0" fontId="58" fillId="4" borderId="5" xfId="0" applyFont="1" applyFill="1" applyBorder="1" applyAlignment="1" applyProtection="1">
      <alignment horizontal="left" vertical="center"/>
      <protection hidden="1"/>
    </xf>
    <xf numFmtId="0" fontId="58" fillId="4" borderId="6" xfId="0" applyFont="1" applyFill="1" applyBorder="1" applyAlignment="1" applyProtection="1">
      <alignment horizontal="left" vertical="center"/>
      <protection hidden="1"/>
    </xf>
    <xf numFmtId="0" fontId="102" fillId="4" borderId="4" xfId="0" applyFont="1" applyFill="1" applyBorder="1" applyAlignment="1">
      <alignment horizontal="left" vertical="center"/>
    </xf>
    <xf numFmtId="0" fontId="102" fillId="4" borderId="2" xfId="0" applyFont="1" applyFill="1" applyBorder="1" applyAlignment="1">
      <alignment horizontal="left" vertical="center"/>
    </xf>
    <xf numFmtId="178" fontId="90" fillId="4" borderId="38" xfId="0" applyNumberFormat="1" applyFont="1" applyFill="1" applyBorder="1" applyAlignment="1" applyProtection="1">
      <alignment horizontal="center" vertical="center"/>
      <protection hidden="1"/>
    </xf>
    <xf numFmtId="178" fontId="90" fillId="4" borderId="66" xfId="0" applyNumberFormat="1" applyFont="1" applyFill="1" applyBorder="1" applyAlignment="1" applyProtection="1">
      <alignment horizontal="center" vertical="center"/>
      <protection hidden="1"/>
    </xf>
    <xf numFmtId="178" fontId="90" fillId="4" borderId="40" xfId="0" applyNumberFormat="1" applyFont="1" applyFill="1" applyBorder="1" applyAlignment="1" applyProtection="1">
      <alignment horizontal="center" vertical="center"/>
      <protection hidden="1"/>
    </xf>
    <xf numFmtId="3" fontId="90" fillId="4" borderId="38" xfId="0" applyNumberFormat="1" applyFont="1" applyFill="1" applyBorder="1" applyAlignment="1" applyProtection="1">
      <alignment horizontal="center" vertical="center"/>
      <protection hidden="1"/>
    </xf>
    <xf numFmtId="3" fontId="90" fillId="4" borderId="66" xfId="0" applyNumberFormat="1" applyFont="1" applyFill="1" applyBorder="1" applyAlignment="1" applyProtection="1">
      <alignment horizontal="center" vertical="center"/>
      <protection hidden="1"/>
    </xf>
    <xf numFmtId="3" fontId="90" fillId="4" borderId="40" xfId="0" applyNumberFormat="1" applyFont="1" applyFill="1" applyBorder="1" applyAlignment="1" applyProtection="1">
      <alignment horizontal="center" vertical="center"/>
      <protection hidden="1"/>
    </xf>
    <xf numFmtId="0" fontId="97" fillId="4" borderId="69" xfId="0" applyFont="1" applyFill="1" applyBorder="1" applyAlignment="1">
      <alignment horizontal="center" vertical="center"/>
    </xf>
    <xf numFmtId="0" fontId="97" fillId="4" borderId="70" xfId="0" applyFont="1" applyFill="1" applyBorder="1" applyAlignment="1">
      <alignment horizontal="center" vertical="center"/>
    </xf>
    <xf numFmtId="3" fontId="58" fillId="4" borderId="119" xfId="0" applyNumberFormat="1" applyFont="1" applyFill="1" applyBorder="1" applyAlignment="1" applyProtection="1">
      <alignment horizontal="center" vertical="center"/>
      <protection hidden="1"/>
    </xf>
    <xf numFmtId="3" fontId="58" fillId="4" borderId="125" xfId="0" applyNumberFormat="1" applyFont="1" applyFill="1" applyBorder="1" applyAlignment="1" applyProtection="1">
      <alignment horizontal="center" vertical="center"/>
      <protection hidden="1"/>
    </xf>
    <xf numFmtId="3" fontId="58" fillId="4" borderId="126" xfId="0" applyNumberFormat="1" applyFont="1" applyFill="1" applyBorder="1" applyAlignment="1" applyProtection="1">
      <alignment horizontal="center" vertical="center"/>
      <protection hidden="1"/>
    </xf>
    <xf numFmtId="8" fontId="102" fillId="4" borderId="80" xfId="8" applyNumberFormat="1" applyFont="1" applyFill="1" applyBorder="1" applyAlignment="1" applyProtection="1">
      <alignment horizontal="center" vertical="center"/>
      <protection hidden="1"/>
    </xf>
    <xf numFmtId="8" fontId="102" fillId="4" borderId="81" xfId="8" applyNumberFormat="1" applyFont="1" applyFill="1" applyBorder="1" applyAlignment="1" applyProtection="1">
      <alignment horizontal="center" vertical="center"/>
      <protection hidden="1"/>
    </xf>
    <xf numFmtId="8" fontId="102" fillId="4" borderId="82" xfId="8" applyNumberFormat="1" applyFont="1" applyFill="1" applyBorder="1" applyAlignment="1" applyProtection="1">
      <alignment horizontal="center" vertical="center"/>
      <protection hidden="1"/>
    </xf>
    <xf numFmtId="0" fontId="58" fillId="4" borderId="63" xfId="0" applyFont="1" applyFill="1" applyBorder="1" applyAlignment="1" applyProtection="1">
      <alignment horizontal="left" vertical="center"/>
      <protection hidden="1"/>
    </xf>
    <xf numFmtId="0" fontId="58" fillId="4" borderId="78" xfId="0" applyFont="1" applyFill="1" applyBorder="1" applyAlignment="1" applyProtection="1">
      <alignment horizontal="left" vertical="center"/>
      <protection hidden="1"/>
    </xf>
    <xf numFmtId="0" fontId="58" fillId="4" borderId="67" xfId="0" applyFont="1" applyFill="1" applyBorder="1" applyAlignment="1" applyProtection="1">
      <alignment horizontal="left" vertical="center"/>
      <protection hidden="1"/>
    </xf>
    <xf numFmtId="8" fontId="102" fillId="0" borderId="1" xfId="3" applyNumberFormat="1" applyFont="1" applyBorder="1" applyAlignment="1" applyProtection="1">
      <alignment horizontal="center" vertical="center"/>
      <protection locked="0"/>
    </xf>
    <xf numFmtId="8" fontId="102" fillId="0" borderId="9" xfId="3" applyNumberFormat="1" applyFont="1" applyBorder="1" applyAlignment="1" applyProtection="1">
      <alignment horizontal="center" vertical="center"/>
      <protection locked="0"/>
    </xf>
    <xf numFmtId="8" fontId="102" fillId="0" borderId="10" xfId="3" applyNumberFormat="1" applyFont="1" applyBorder="1" applyAlignment="1" applyProtection="1">
      <alignment horizontal="center" vertical="center"/>
      <protection locked="0"/>
    </xf>
    <xf numFmtId="8" fontId="102" fillId="4" borderId="1" xfId="0" applyNumberFormat="1" applyFont="1" applyFill="1" applyBorder="1" applyAlignment="1" applyProtection="1">
      <alignment horizontal="center" vertical="center"/>
      <protection hidden="1"/>
    </xf>
    <xf numFmtId="8" fontId="102" fillId="4" borderId="9" xfId="0" applyNumberFormat="1" applyFont="1" applyFill="1" applyBorder="1" applyAlignment="1" applyProtection="1">
      <alignment horizontal="center" vertical="center"/>
      <protection hidden="1"/>
    </xf>
    <xf numFmtId="8" fontId="102" fillId="4" borderId="10" xfId="0" applyNumberFormat="1" applyFont="1" applyFill="1" applyBorder="1" applyAlignment="1" applyProtection="1">
      <alignment horizontal="center" vertical="center"/>
      <protection hidden="1"/>
    </xf>
    <xf numFmtId="0" fontId="105" fillId="4" borderId="4" xfId="0" applyFont="1" applyFill="1" applyBorder="1" applyAlignment="1">
      <alignment horizontal="center" vertical="center" wrapText="1"/>
    </xf>
    <xf numFmtId="0" fontId="105" fillId="4" borderId="2" xfId="0" applyFont="1" applyFill="1" applyBorder="1" applyAlignment="1">
      <alignment horizontal="center" vertical="center" wrapText="1"/>
    </xf>
    <xf numFmtId="0" fontId="105" fillId="4" borderId="3" xfId="0" applyFont="1" applyFill="1" applyBorder="1" applyAlignment="1">
      <alignment horizontal="center" vertical="center" wrapText="1"/>
    </xf>
    <xf numFmtId="14" fontId="100" fillId="0" borderId="2" xfId="0" applyNumberFormat="1" applyFont="1" applyBorder="1" applyAlignment="1">
      <alignment horizontal="center"/>
    </xf>
    <xf numFmtId="0" fontId="100" fillId="4" borderId="43" xfId="0" applyFont="1" applyFill="1" applyBorder="1" applyAlignment="1">
      <alignment horizontal="center" vertical="center" wrapText="1"/>
    </xf>
    <xf numFmtId="0" fontId="100" fillId="4" borderId="23" xfId="0" applyFont="1" applyFill="1" applyBorder="1" applyAlignment="1">
      <alignment horizontal="center" vertical="center" wrapText="1"/>
    </xf>
    <xf numFmtId="0" fontId="100" fillId="4" borderId="44" xfId="0" applyFont="1" applyFill="1" applyBorder="1" applyAlignment="1">
      <alignment horizontal="center" vertical="center" wrapText="1"/>
    </xf>
    <xf numFmtId="0" fontId="100" fillId="4" borderId="19" xfId="0" applyFont="1" applyFill="1" applyBorder="1" applyAlignment="1">
      <alignment horizontal="center" vertical="center" wrapText="1"/>
    </xf>
    <xf numFmtId="0" fontId="100" fillId="4" borderId="0" xfId="0" applyFont="1" applyFill="1" applyAlignment="1">
      <alignment horizontal="center" vertical="center" wrapText="1"/>
    </xf>
    <xf numFmtId="0" fontId="100" fillId="4" borderId="15" xfId="0" applyFont="1" applyFill="1" applyBorder="1" applyAlignment="1">
      <alignment horizontal="center" vertical="center" wrapText="1"/>
    </xf>
    <xf numFmtId="0" fontId="100" fillId="4" borderId="30" xfId="0" applyFont="1" applyFill="1" applyBorder="1" applyAlignment="1">
      <alignment horizontal="center" vertical="center" wrapText="1"/>
    </xf>
    <xf numFmtId="0" fontId="100" fillId="4" borderId="28" xfId="0" applyFont="1" applyFill="1" applyBorder="1" applyAlignment="1">
      <alignment horizontal="center" vertical="center" wrapText="1"/>
    </xf>
    <xf numFmtId="0" fontId="100" fillId="4" borderId="57" xfId="0" applyFont="1" applyFill="1" applyBorder="1" applyAlignment="1">
      <alignment horizontal="center" vertical="center" wrapText="1"/>
    </xf>
    <xf numFmtId="0" fontId="0" fillId="0" borderId="15" xfId="0" applyBorder="1" applyAlignment="1">
      <alignment horizontal="center"/>
    </xf>
    <xf numFmtId="169" fontId="133" fillId="0" borderId="21" xfId="0" applyNumberFormat="1" applyFont="1" applyBorder="1" applyAlignment="1">
      <alignment horizontal="center" vertical="center" wrapText="1"/>
    </xf>
    <xf numFmtId="169" fontId="133" fillId="0" borderId="2" xfId="0" applyNumberFormat="1" applyFont="1" applyBorder="1" applyAlignment="1">
      <alignment horizontal="center" vertical="center" wrapText="1"/>
    </xf>
    <xf numFmtId="169" fontId="133" fillId="0" borderId="22" xfId="0" applyNumberFormat="1" applyFont="1" applyBorder="1" applyAlignment="1">
      <alignment horizontal="center" vertical="center" wrapText="1"/>
    </xf>
    <xf numFmtId="169" fontId="133" fillId="0" borderId="3" xfId="0" applyNumberFormat="1" applyFont="1" applyBorder="1" applyAlignment="1">
      <alignment horizontal="center" vertical="center" wrapText="1"/>
    </xf>
    <xf numFmtId="0" fontId="124" fillId="0" borderId="88" xfId="0" applyFont="1" applyBorder="1" applyAlignment="1">
      <alignment horizontal="center" vertical="center"/>
    </xf>
    <xf numFmtId="0" fontId="124" fillId="0" borderId="89" xfId="0" applyFont="1" applyBorder="1" applyAlignment="1">
      <alignment horizontal="center" vertical="center"/>
    </xf>
    <xf numFmtId="0" fontId="124" fillId="0" borderId="90" xfId="0" applyFont="1" applyBorder="1" applyAlignment="1">
      <alignment horizontal="center" vertical="center"/>
    </xf>
    <xf numFmtId="0" fontId="124" fillId="0" borderId="91" xfId="0" applyFont="1" applyBorder="1" applyAlignment="1">
      <alignment horizontal="center" vertical="center"/>
    </xf>
    <xf numFmtId="0" fontId="124" fillId="0" borderId="92" xfId="0" applyFont="1" applyBorder="1" applyAlignment="1">
      <alignment horizontal="center" vertical="center"/>
    </xf>
    <xf numFmtId="0" fontId="124" fillId="0" borderId="93" xfId="0" applyFont="1" applyBorder="1" applyAlignment="1">
      <alignment horizontal="center" vertical="center"/>
    </xf>
    <xf numFmtId="0" fontId="105" fillId="4" borderId="43" xfId="0" applyFont="1" applyFill="1" applyBorder="1" applyAlignment="1">
      <alignment horizontal="center" vertical="center" wrapText="1"/>
    </xf>
    <xf numFmtId="0" fontId="105" fillId="4" borderId="23" xfId="0" applyFont="1" applyFill="1" applyBorder="1" applyAlignment="1">
      <alignment horizontal="center" vertical="center" wrapText="1"/>
    </xf>
    <xf numFmtId="0" fontId="105" fillId="4" borderId="44" xfId="0" applyFont="1" applyFill="1" applyBorder="1" applyAlignment="1">
      <alignment horizontal="center" vertical="center" wrapText="1"/>
    </xf>
    <xf numFmtId="0" fontId="105" fillId="4" borderId="16" xfId="0" applyFont="1" applyFill="1" applyBorder="1" applyAlignment="1">
      <alignment horizontal="center" vertical="center" wrapText="1"/>
    </xf>
    <xf numFmtId="0" fontId="105" fillId="4" borderId="18" xfId="0" applyFont="1" applyFill="1" applyBorder="1" applyAlignment="1">
      <alignment horizontal="center" vertical="center" wrapText="1"/>
    </xf>
    <xf numFmtId="0" fontId="105" fillId="4" borderId="39" xfId="0" applyFont="1" applyFill="1" applyBorder="1" applyAlignment="1">
      <alignment horizontal="center" vertical="center" wrapText="1"/>
    </xf>
    <xf numFmtId="0" fontId="0" fillId="0" borderId="43" xfId="0" applyBorder="1" applyAlignment="1">
      <alignment horizontal="center"/>
    </xf>
    <xf numFmtId="0" fontId="0" fillId="0" borderId="44" xfId="0" applyBorder="1" applyAlignment="1">
      <alignment horizontal="center"/>
    </xf>
    <xf numFmtId="0" fontId="100" fillId="4" borderId="2" xfId="0" applyFont="1" applyFill="1" applyBorder="1" applyAlignment="1">
      <alignment horizontal="right" vertical="center"/>
    </xf>
    <xf numFmtId="0" fontId="100" fillId="4" borderId="4" xfId="0" applyFont="1" applyFill="1" applyBorder="1" applyAlignment="1">
      <alignment horizontal="right"/>
    </xf>
    <xf numFmtId="0" fontId="100" fillId="4" borderId="2" xfId="0" applyFont="1" applyFill="1" applyBorder="1" applyAlignment="1">
      <alignment horizontal="right"/>
    </xf>
    <xf numFmtId="169" fontId="133" fillId="0" borderId="24" xfId="0" applyNumberFormat="1" applyFont="1" applyBorder="1" applyAlignment="1">
      <alignment horizontal="center" vertical="center" textRotation="90" wrapText="1"/>
    </xf>
    <xf numFmtId="169" fontId="133" fillId="0" borderId="4" xfId="0" applyNumberFormat="1" applyFont="1" applyBorder="1" applyAlignment="1">
      <alignment horizontal="center" vertical="center" textRotation="90" wrapText="1"/>
    </xf>
    <xf numFmtId="0" fontId="111" fillId="9" borderId="43" xfId="0" applyFont="1" applyFill="1" applyBorder="1" applyAlignment="1">
      <alignment horizontal="center" vertical="center"/>
    </xf>
    <xf numFmtId="0" fontId="111" fillId="9" borderId="23" xfId="0" applyFont="1" applyFill="1" applyBorder="1" applyAlignment="1">
      <alignment horizontal="center" vertical="center"/>
    </xf>
    <xf numFmtId="0" fontId="111" fillId="9" borderId="44" xfId="0" applyFont="1" applyFill="1" applyBorder="1" applyAlignment="1">
      <alignment horizontal="center" vertical="center"/>
    </xf>
    <xf numFmtId="0" fontId="111" fillId="9" borderId="19" xfId="0" applyFont="1" applyFill="1" applyBorder="1" applyAlignment="1">
      <alignment horizontal="center" vertical="center"/>
    </xf>
    <xf numFmtId="0" fontId="111" fillId="9" borderId="0" xfId="0" applyFont="1" applyFill="1" applyAlignment="1">
      <alignment horizontal="center" vertical="center"/>
    </xf>
    <xf numFmtId="0" fontId="111" fillId="9" borderId="15" xfId="0" applyFont="1" applyFill="1" applyBorder="1" applyAlignment="1">
      <alignment horizontal="center" vertical="center"/>
    </xf>
    <xf numFmtId="0" fontId="111" fillId="9" borderId="30" xfId="0" applyFont="1" applyFill="1" applyBorder="1" applyAlignment="1">
      <alignment horizontal="center" vertical="center"/>
    </xf>
    <xf numFmtId="0" fontId="111" fillId="9" borderId="28" xfId="0" applyFont="1" applyFill="1" applyBorder="1" applyAlignment="1">
      <alignment horizontal="center" vertical="center"/>
    </xf>
    <xf numFmtId="0" fontId="111" fillId="9" borderId="57" xfId="0" applyFont="1" applyFill="1" applyBorder="1" applyAlignment="1">
      <alignment horizontal="center" vertical="center"/>
    </xf>
    <xf numFmtId="169" fontId="132" fillId="0" borderId="5" xfId="0" applyNumberFormat="1" applyFont="1" applyBorder="1" applyAlignment="1">
      <alignment horizontal="center"/>
    </xf>
    <xf numFmtId="169" fontId="132" fillId="0" borderId="6" xfId="0" applyNumberFormat="1" applyFont="1" applyBorder="1" applyAlignment="1">
      <alignment horizontal="center"/>
    </xf>
    <xf numFmtId="169" fontId="132" fillId="0" borderId="7" xfId="0" applyNumberFormat="1" applyFont="1" applyBorder="1" applyAlignment="1">
      <alignment horizontal="center"/>
    </xf>
    <xf numFmtId="0" fontId="100" fillId="6" borderId="88" xfId="0" applyFont="1" applyFill="1" applyBorder="1" applyAlignment="1">
      <alignment horizontal="center" vertical="center"/>
    </xf>
    <xf numFmtId="0" fontId="100" fillId="6" borderId="89" xfId="0" applyFont="1" applyFill="1" applyBorder="1" applyAlignment="1">
      <alignment horizontal="center" vertical="center"/>
    </xf>
    <xf numFmtId="0" fontId="100" fillId="6" borderId="90" xfId="0" applyFont="1" applyFill="1" applyBorder="1" applyAlignment="1">
      <alignment horizontal="center" vertical="center"/>
    </xf>
    <xf numFmtId="0" fontId="100" fillId="6" borderId="94" xfId="0" applyFont="1" applyFill="1" applyBorder="1" applyAlignment="1">
      <alignment horizontal="center" vertical="center"/>
    </xf>
    <xf numFmtId="0" fontId="100" fillId="6" borderId="0" xfId="0" applyFont="1" applyFill="1" applyAlignment="1">
      <alignment horizontal="center" vertical="center"/>
    </xf>
    <xf numFmtId="0" fontId="100" fillId="6" borderId="95" xfId="0" applyFont="1" applyFill="1" applyBorder="1" applyAlignment="1">
      <alignment horizontal="center" vertical="center"/>
    </xf>
    <xf numFmtId="0" fontId="100" fillId="6" borderId="94" xfId="0" applyFont="1" applyFill="1" applyBorder="1" applyAlignment="1">
      <alignment horizontal="center" vertical="center" textRotation="90"/>
    </xf>
    <xf numFmtId="0" fontId="100" fillId="6" borderId="91" xfId="0" applyFont="1" applyFill="1" applyBorder="1" applyAlignment="1">
      <alignment horizontal="center" vertical="center" textRotation="90"/>
    </xf>
    <xf numFmtId="10" fontId="100" fillId="9" borderId="2" xfId="3" applyNumberFormat="1" applyFont="1" applyFill="1" applyBorder="1" applyAlignment="1">
      <alignment horizontal="center"/>
    </xf>
    <xf numFmtId="10" fontId="100" fillId="9" borderId="3" xfId="3" applyNumberFormat="1" applyFont="1" applyFill="1" applyBorder="1" applyAlignment="1">
      <alignment horizontal="center"/>
    </xf>
    <xf numFmtId="2" fontId="0" fillId="9" borderId="2" xfId="0" applyNumberFormat="1" applyFill="1" applyBorder="1" applyAlignment="1">
      <alignment horizontal="center"/>
    </xf>
    <xf numFmtId="0" fontId="0" fillId="9" borderId="3" xfId="0" applyFill="1" applyBorder="1" applyAlignment="1">
      <alignment horizontal="center"/>
    </xf>
    <xf numFmtId="2" fontId="100" fillId="9" borderId="6" xfId="0" applyNumberFormat="1" applyFont="1" applyFill="1" applyBorder="1" applyAlignment="1">
      <alignment horizontal="center"/>
    </xf>
    <xf numFmtId="2" fontId="100" fillId="9" borderId="7" xfId="0" applyNumberFormat="1" applyFont="1" applyFill="1" applyBorder="1" applyAlignment="1">
      <alignment horizontal="center"/>
    </xf>
    <xf numFmtId="0" fontId="100" fillId="9" borderId="24" xfId="0" applyFont="1" applyFill="1" applyBorder="1" applyAlignment="1">
      <alignment horizontal="center" vertical="center"/>
    </xf>
    <xf numFmtId="0" fontId="100" fillId="9" borderId="21" xfId="0" applyFont="1" applyFill="1" applyBorder="1" applyAlignment="1">
      <alignment horizontal="center" vertical="center"/>
    </xf>
    <xf numFmtId="0" fontId="100" fillId="9" borderId="22" xfId="0" applyFont="1" applyFill="1" applyBorder="1" applyAlignment="1">
      <alignment horizontal="center" vertical="center"/>
    </xf>
    <xf numFmtId="0" fontId="100" fillId="9" borderId="4" xfId="0" applyFont="1" applyFill="1" applyBorder="1" applyAlignment="1">
      <alignment horizontal="center" vertical="center"/>
    </xf>
    <xf numFmtId="0" fontId="100" fillId="9" borderId="2" xfId="0" applyFont="1" applyFill="1" applyBorder="1" applyAlignment="1">
      <alignment horizontal="center" vertical="center"/>
    </xf>
    <xf numFmtId="0" fontId="100" fillId="9" borderId="3" xfId="0" applyFont="1" applyFill="1" applyBorder="1" applyAlignment="1">
      <alignment horizontal="center" vertic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8" fontId="0" fillId="0" borderId="2" xfId="0" applyNumberFormat="1" applyBorder="1" applyAlignment="1" applyProtection="1">
      <alignment horizontal="center"/>
      <protection locked="0"/>
    </xf>
    <xf numFmtId="8" fontId="0" fillId="0" borderId="3" xfId="0" applyNumberFormat="1" applyBorder="1" applyAlignment="1" applyProtection="1">
      <alignment horizontal="center"/>
      <protection locked="0"/>
    </xf>
    <xf numFmtId="9" fontId="0" fillId="0" borderId="2" xfId="0" applyNumberFormat="1" applyBorder="1" applyAlignment="1" applyProtection="1">
      <alignment horizontal="center"/>
      <protection locked="0"/>
    </xf>
    <xf numFmtId="9" fontId="0" fillId="0" borderId="3" xfId="0" applyNumberFormat="1" applyBorder="1" applyAlignment="1" applyProtection="1">
      <alignment horizontal="center"/>
      <protection locked="0"/>
    </xf>
    <xf numFmtId="8" fontId="0" fillId="9" borderId="2" xfId="0" applyNumberFormat="1" applyFill="1" applyBorder="1" applyAlignment="1">
      <alignment horizontal="center"/>
    </xf>
    <xf numFmtId="8" fontId="0" fillId="9" borderId="3" xfId="0" applyNumberFormat="1" applyFill="1" applyBorder="1" applyAlignment="1">
      <alignment horizontal="center"/>
    </xf>
    <xf numFmtId="8" fontId="100" fillId="9" borderId="42" xfId="0" applyNumberFormat="1" applyFont="1" applyFill="1" applyBorder="1" applyAlignment="1">
      <alignment horizontal="center" vertical="center"/>
    </xf>
    <xf numFmtId="8" fontId="100" fillId="9" borderId="58" xfId="0" applyNumberFormat="1" applyFont="1" applyFill="1" applyBorder="1" applyAlignment="1">
      <alignment horizontal="center" vertical="center"/>
    </xf>
    <xf numFmtId="8" fontId="100" fillId="9" borderId="31" xfId="0" applyNumberFormat="1" applyFont="1" applyFill="1" applyBorder="1" applyAlignment="1">
      <alignment horizontal="center" vertical="center"/>
    </xf>
    <xf numFmtId="8" fontId="100" fillId="9" borderId="57" xfId="0" applyNumberFormat="1" applyFont="1" applyFill="1" applyBorder="1" applyAlignment="1">
      <alignment horizontal="center" vertical="center"/>
    </xf>
    <xf numFmtId="0" fontId="100" fillId="9" borderId="13" xfId="0" applyFont="1" applyFill="1" applyBorder="1" applyAlignment="1">
      <alignment horizontal="center" wrapText="1"/>
    </xf>
    <xf numFmtId="0" fontId="100" fillId="9" borderId="26" xfId="0" applyFont="1" applyFill="1" applyBorder="1" applyAlignment="1">
      <alignment horizontal="center" wrapText="1"/>
    </xf>
    <xf numFmtId="0" fontId="133" fillId="0" borderId="24" xfId="0" applyFont="1" applyBorder="1" applyAlignment="1">
      <alignment horizontal="center" vertical="center" textRotation="90" wrapText="1"/>
    </xf>
    <xf numFmtId="0" fontId="133" fillId="0" borderId="4" xfId="0" applyFont="1" applyBorder="1" applyAlignment="1">
      <alignment horizontal="center" vertical="center" textRotation="90" wrapText="1"/>
    </xf>
    <xf numFmtId="169" fontId="191" fillId="0" borderId="43" xfId="2" applyNumberFormat="1" applyFont="1" applyBorder="1" applyAlignment="1" applyProtection="1">
      <alignment horizontal="center" vertical="center"/>
    </xf>
    <xf numFmtId="169" fontId="191" fillId="0" borderId="23" xfId="2" applyNumberFormat="1" applyFont="1" applyBorder="1" applyAlignment="1" applyProtection="1">
      <alignment horizontal="center" vertical="center"/>
    </xf>
    <xf numFmtId="169" fontId="191" fillId="0" borderId="19" xfId="2" applyNumberFormat="1" applyFont="1" applyBorder="1" applyAlignment="1" applyProtection="1">
      <alignment horizontal="center" vertical="center"/>
    </xf>
    <xf numFmtId="169" fontId="191" fillId="0" borderId="0" xfId="2" applyNumberFormat="1" applyFont="1" applyBorder="1" applyAlignment="1" applyProtection="1">
      <alignment horizontal="center" vertical="center"/>
    </xf>
    <xf numFmtId="169" fontId="62" fillId="0" borderId="4" xfId="0" applyNumberFormat="1" applyFont="1" applyBorder="1" applyAlignment="1">
      <alignment horizontal="center"/>
    </xf>
    <xf numFmtId="169" fontId="62" fillId="0" borderId="2" xfId="0" applyNumberFormat="1" applyFont="1" applyBorder="1" applyAlignment="1">
      <alignment horizontal="center"/>
    </xf>
    <xf numFmtId="169" fontId="62" fillId="0" borderId="3" xfId="0" applyNumberFormat="1" applyFont="1" applyBorder="1" applyAlignment="1">
      <alignment horizontal="center"/>
    </xf>
    <xf numFmtId="169" fontId="131" fillId="0" borderId="4" xfId="0" applyNumberFormat="1" applyFont="1" applyBorder="1" applyAlignment="1">
      <alignment horizontal="center"/>
    </xf>
    <xf numFmtId="169" fontId="131" fillId="0" borderId="2" xfId="0" applyNumberFormat="1" applyFont="1" applyBorder="1" applyAlignment="1">
      <alignment horizontal="center"/>
    </xf>
    <xf numFmtId="169" fontId="131" fillId="0" borderId="3" xfId="0" applyNumberFormat="1" applyFont="1" applyBorder="1" applyAlignment="1">
      <alignment horizontal="center"/>
    </xf>
    <xf numFmtId="0" fontId="0" fillId="0" borderId="0" xfId="0" applyAlignment="1" applyProtection="1">
      <alignment horizontal="center" wrapText="1"/>
      <protection hidden="1"/>
    </xf>
    <xf numFmtId="0" fontId="100" fillId="4" borderId="19" xfId="0" applyFont="1" applyFill="1" applyBorder="1" applyAlignment="1" applyProtection="1">
      <alignment horizontal="center" vertical="center" wrapText="1"/>
      <protection hidden="1"/>
    </xf>
    <xf numFmtId="0" fontId="100" fillId="4" borderId="15" xfId="0" applyFont="1" applyFill="1" applyBorder="1" applyAlignment="1" applyProtection="1">
      <alignment horizontal="center" vertical="center" wrapText="1"/>
      <protection hidden="1"/>
    </xf>
    <xf numFmtId="0" fontId="100" fillId="4" borderId="30" xfId="0" applyFont="1" applyFill="1" applyBorder="1" applyAlignment="1" applyProtection="1">
      <alignment horizontal="center" vertical="center" wrapText="1"/>
      <protection hidden="1"/>
    </xf>
    <xf numFmtId="0" fontId="100" fillId="4" borderId="57" xfId="0" applyFont="1" applyFill="1" applyBorder="1" applyAlignment="1" applyProtection="1">
      <alignment horizontal="center" vertical="center" wrapText="1"/>
      <protection hidden="1"/>
    </xf>
    <xf numFmtId="0" fontId="122" fillId="4" borderId="24" xfId="0" applyFont="1" applyFill="1" applyBorder="1" applyAlignment="1" applyProtection="1">
      <alignment horizontal="center" vertical="center"/>
      <protection hidden="1"/>
    </xf>
    <xf numFmtId="0" fontId="122" fillId="4" borderId="21" xfId="0" applyFont="1" applyFill="1" applyBorder="1" applyAlignment="1" applyProtection="1">
      <alignment horizontal="center" vertical="center"/>
      <protection hidden="1"/>
    </xf>
    <xf numFmtId="0" fontId="122" fillId="4" borderId="22" xfId="0" applyFont="1" applyFill="1" applyBorder="1" applyAlignment="1" applyProtection="1">
      <alignment horizontal="center" vertical="center"/>
      <protection hidden="1"/>
    </xf>
    <xf numFmtId="0" fontId="122" fillId="4" borderId="78" xfId="0" applyFont="1" applyFill="1" applyBorder="1" applyAlignment="1" applyProtection="1">
      <alignment horizontal="center" vertical="center"/>
      <protection hidden="1"/>
    </xf>
    <xf numFmtId="0" fontId="122" fillId="4" borderId="64" xfId="0" applyFont="1" applyFill="1" applyBorder="1" applyAlignment="1" applyProtection="1">
      <alignment horizontal="center" vertical="center"/>
      <protection hidden="1"/>
    </xf>
    <xf numFmtId="0" fontId="0" fillId="4" borderId="72" xfId="0" applyFill="1" applyBorder="1" applyAlignment="1" applyProtection="1">
      <alignment horizontal="center" vertical="center" textRotation="90" wrapText="1"/>
      <protection hidden="1"/>
    </xf>
    <xf numFmtId="0" fontId="0" fillId="4" borderId="29" xfId="0" applyFill="1" applyBorder="1" applyAlignment="1" applyProtection="1">
      <alignment horizontal="center" vertical="center" textRotation="90" wrapText="1"/>
      <protection hidden="1"/>
    </xf>
    <xf numFmtId="0" fontId="112" fillId="4" borderId="19" xfId="0" quotePrefix="1" applyFont="1" applyFill="1" applyBorder="1" applyAlignment="1" applyProtection="1">
      <alignment horizontal="center" vertical="center" wrapText="1"/>
      <protection hidden="1"/>
    </xf>
    <xf numFmtId="0" fontId="112" fillId="4" borderId="0" xfId="0" applyFont="1" applyFill="1" applyAlignment="1" applyProtection="1">
      <alignment horizontal="center" vertical="center" wrapText="1"/>
      <protection hidden="1"/>
    </xf>
    <xf numFmtId="0" fontId="112" fillId="4" borderId="15" xfId="0" applyFont="1" applyFill="1" applyBorder="1" applyAlignment="1" applyProtection="1">
      <alignment horizontal="center" vertical="center" wrapText="1"/>
      <protection hidden="1"/>
    </xf>
    <xf numFmtId="0" fontId="0" fillId="0" borderId="23" xfId="0" applyBorder="1" applyAlignment="1" applyProtection="1">
      <alignment horizontal="right"/>
      <protection hidden="1"/>
    </xf>
    <xf numFmtId="0" fontId="0" fillId="4" borderId="9" xfId="0" applyFill="1" applyBorder="1" applyAlignment="1" applyProtection="1">
      <alignment horizontal="right"/>
      <protection hidden="1"/>
    </xf>
    <xf numFmtId="0" fontId="0" fillId="4" borderId="10" xfId="0" applyFill="1" applyBorder="1" applyAlignment="1" applyProtection="1">
      <alignment horizontal="right"/>
      <protection hidden="1"/>
    </xf>
    <xf numFmtId="0" fontId="0" fillId="0" borderId="0" xfId="0" applyAlignment="1" applyProtection="1">
      <alignment horizontal="center"/>
      <protection hidden="1"/>
    </xf>
    <xf numFmtId="0" fontId="116" fillId="4" borderId="43" xfId="0" applyFont="1" applyFill="1" applyBorder="1" applyAlignment="1" applyProtection="1">
      <alignment horizontal="center" vertical="center" textRotation="90" wrapText="1"/>
      <protection hidden="1"/>
    </xf>
    <xf numFmtId="0" fontId="116" fillId="4" borderId="19" xfId="0" applyFont="1" applyFill="1" applyBorder="1" applyAlignment="1" applyProtection="1">
      <alignment horizontal="center" vertical="center" textRotation="90" wrapText="1"/>
      <protection hidden="1"/>
    </xf>
    <xf numFmtId="0" fontId="111" fillId="9" borderId="106" xfId="0" applyFont="1" applyFill="1" applyBorder="1" applyAlignment="1" applyProtection="1">
      <alignment horizontal="center" vertical="center" wrapText="1"/>
      <protection hidden="1"/>
    </xf>
    <xf numFmtId="0" fontId="103" fillId="4" borderId="78" xfId="0" applyFont="1" applyFill="1" applyBorder="1" applyAlignment="1" applyProtection="1">
      <alignment horizontal="center" vertical="center"/>
      <protection hidden="1"/>
    </xf>
    <xf numFmtId="0" fontId="103" fillId="4" borderId="67" xfId="0" applyFont="1" applyFill="1" applyBorder="1" applyAlignment="1" applyProtection="1">
      <alignment horizontal="center" vertical="center"/>
      <protection hidden="1"/>
    </xf>
    <xf numFmtId="0" fontId="0" fillId="4" borderId="127" xfId="0" applyFill="1" applyBorder="1" applyAlignment="1" applyProtection="1">
      <alignment horizontal="right"/>
      <protection hidden="1"/>
    </xf>
    <xf numFmtId="0" fontId="0" fillId="4" borderId="129" xfId="0" applyFill="1" applyBorder="1" applyAlignment="1" applyProtection="1">
      <alignment horizontal="right"/>
      <protection hidden="1"/>
    </xf>
    <xf numFmtId="0" fontId="105" fillId="4" borderId="23" xfId="0" applyFont="1" applyFill="1" applyBorder="1" applyAlignment="1">
      <alignment horizontal="center" vertical="center"/>
    </xf>
    <xf numFmtId="0" fontId="154" fillId="4" borderId="79" xfId="0" applyFont="1" applyFill="1" applyBorder="1" applyAlignment="1">
      <alignment horizontal="center" vertical="center"/>
    </xf>
    <xf numFmtId="0" fontId="154" fillId="4" borderId="163" xfId="0" applyFont="1" applyFill="1" applyBorder="1" applyAlignment="1">
      <alignment horizontal="center" vertical="center"/>
    </xf>
    <xf numFmtId="14" fontId="105" fillId="4" borderId="138" xfId="0" applyNumberFormat="1" applyFont="1" applyFill="1" applyBorder="1" applyAlignment="1" applyProtection="1">
      <alignment horizontal="center" vertical="center" wrapText="1"/>
      <protection hidden="1"/>
    </xf>
    <xf numFmtId="14" fontId="105" fillId="4" borderId="139" xfId="0" applyNumberFormat="1" applyFont="1" applyFill="1" applyBorder="1" applyAlignment="1" applyProtection="1">
      <alignment horizontal="center" vertical="center" wrapText="1"/>
      <protection hidden="1"/>
    </xf>
    <xf numFmtId="14" fontId="105" fillId="4" borderId="140" xfId="0" applyNumberFormat="1" applyFont="1" applyFill="1" applyBorder="1" applyAlignment="1" applyProtection="1">
      <alignment horizontal="center" vertical="center" wrapText="1"/>
      <protection hidden="1"/>
    </xf>
    <xf numFmtId="0" fontId="100" fillId="4" borderId="119" xfId="0" applyFont="1" applyFill="1" applyBorder="1" applyAlignment="1" applyProtection="1">
      <alignment horizontal="right" vertical="center" wrapText="1"/>
      <protection hidden="1"/>
    </xf>
    <xf numFmtId="0" fontId="100" fillId="4" borderId="125" xfId="0" applyFont="1" applyFill="1" applyBorder="1" applyAlignment="1" applyProtection="1">
      <alignment horizontal="right" vertical="center" wrapText="1"/>
      <protection hidden="1"/>
    </xf>
    <xf numFmtId="0" fontId="100" fillId="4" borderId="126" xfId="0" applyFont="1" applyFill="1" applyBorder="1" applyAlignment="1" applyProtection="1">
      <alignment horizontal="right" vertical="center" wrapText="1"/>
      <protection hidden="1"/>
    </xf>
    <xf numFmtId="0" fontId="105" fillId="4" borderId="29" xfId="0" applyFont="1" applyFill="1" applyBorder="1" applyAlignment="1" applyProtection="1">
      <alignment horizontal="center" vertical="center" wrapText="1"/>
      <protection hidden="1"/>
    </xf>
    <xf numFmtId="0" fontId="105" fillId="4" borderId="100" xfId="0" applyFont="1" applyFill="1" applyBorder="1" applyAlignment="1" applyProtection="1">
      <alignment horizontal="center" vertical="center" wrapText="1"/>
      <protection hidden="1"/>
    </xf>
    <xf numFmtId="0" fontId="100" fillId="4" borderId="118" xfId="0" quotePrefix="1" applyFont="1" applyFill="1" applyBorder="1" applyAlignment="1" applyProtection="1">
      <alignment horizontal="right" vertical="center"/>
      <protection hidden="1"/>
    </xf>
    <xf numFmtId="0" fontId="100" fillId="4" borderId="107" xfId="0" quotePrefix="1" applyFont="1" applyFill="1" applyBorder="1" applyAlignment="1" applyProtection="1">
      <alignment horizontal="right" vertical="center"/>
      <protection hidden="1"/>
    </xf>
    <xf numFmtId="0" fontId="0" fillId="4" borderId="13" xfId="0" applyFill="1" applyBorder="1" applyAlignment="1" applyProtection="1">
      <alignment horizontal="right" vertical="center" wrapText="1"/>
      <protection hidden="1"/>
    </xf>
    <xf numFmtId="0" fontId="0" fillId="4" borderId="113" xfId="0" applyFill="1" applyBorder="1" applyAlignment="1" applyProtection="1">
      <alignment horizontal="right" vertical="center" wrapText="1"/>
      <protection hidden="1"/>
    </xf>
    <xf numFmtId="0" fontId="0" fillId="4" borderId="11" xfId="0" applyFill="1" applyBorder="1" applyAlignment="1" applyProtection="1">
      <alignment horizontal="right" vertical="center" wrapText="1"/>
      <protection hidden="1"/>
    </xf>
    <xf numFmtId="0" fontId="0" fillId="0" borderId="44" xfId="0" applyBorder="1" applyAlignment="1">
      <alignment horizontal="center" vertical="center" wrapText="1"/>
    </xf>
    <xf numFmtId="0" fontId="0" fillId="0" borderId="57" xfId="0" applyBorder="1" applyAlignment="1">
      <alignment horizontal="center" vertical="center" wrapText="1"/>
    </xf>
    <xf numFmtId="0" fontId="58" fillId="4" borderId="65" xfId="0" applyFont="1" applyFill="1" applyBorder="1" applyAlignment="1" applyProtection="1">
      <alignment horizontal="center" vertical="center" wrapText="1"/>
      <protection hidden="1"/>
    </xf>
    <xf numFmtId="0" fontId="58" fillId="4" borderId="79" xfId="0" applyFont="1" applyFill="1" applyBorder="1" applyAlignment="1" applyProtection="1">
      <alignment horizontal="center" vertical="center" wrapText="1"/>
      <protection hidden="1"/>
    </xf>
    <xf numFmtId="8" fontId="0" fillId="0" borderId="0" xfId="3" applyNumberFormat="1" applyFont="1" applyAlignment="1">
      <alignment horizontal="center"/>
    </xf>
    <xf numFmtId="0" fontId="100" fillId="4" borderId="68" xfId="0" applyFont="1" applyFill="1" applyBorder="1" applyAlignment="1" applyProtection="1">
      <alignment horizontal="right" vertical="center" wrapText="1"/>
      <protection hidden="1"/>
    </xf>
    <xf numFmtId="0" fontId="100" fillId="4" borderId="77" xfId="0" applyFont="1" applyFill="1" applyBorder="1" applyAlignment="1" applyProtection="1">
      <alignment horizontal="right" vertical="center" wrapText="1"/>
      <protection hidden="1"/>
    </xf>
    <xf numFmtId="0" fontId="0" fillId="4" borderId="68" xfId="0" applyFill="1" applyBorder="1" applyAlignment="1" applyProtection="1">
      <alignment horizontal="right" vertical="center"/>
      <protection hidden="1"/>
    </xf>
    <xf numFmtId="0" fontId="0" fillId="4" borderId="77" xfId="0" applyFill="1" applyBorder="1" applyAlignment="1" applyProtection="1">
      <alignment horizontal="right" vertical="center"/>
      <protection hidden="1"/>
    </xf>
    <xf numFmtId="0" fontId="105" fillId="4" borderId="101" xfId="0" applyFont="1" applyFill="1" applyBorder="1" applyAlignment="1" applyProtection="1">
      <alignment horizontal="center" vertical="center" wrapText="1"/>
      <protection hidden="1"/>
    </xf>
    <xf numFmtId="0" fontId="105" fillId="4" borderId="66" xfId="0" applyFont="1" applyFill="1" applyBorder="1" applyAlignment="1" applyProtection="1">
      <alignment horizontal="center" vertical="center" wrapText="1"/>
      <protection hidden="1"/>
    </xf>
    <xf numFmtId="0" fontId="0" fillId="4" borderId="68" xfId="0" applyFill="1" applyBorder="1" applyAlignment="1" applyProtection="1">
      <alignment horizontal="left" vertical="center" wrapText="1"/>
      <protection hidden="1"/>
    </xf>
    <xf numFmtId="0" fontId="0" fillId="4" borderId="77" xfId="0" applyFill="1" applyBorder="1" applyAlignment="1" applyProtection="1">
      <alignment horizontal="left" vertical="center" wrapText="1"/>
      <protection hidden="1"/>
    </xf>
    <xf numFmtId="8" fontId="0" fillId="4" borderId="4" xfId="0" applyNumberFormat="1" applyFill="1" applyBorder="1" applyAlignment="1">
      <alignment horizontal="right" vertical="center" wrapText="1"/>
    </xf>
    <xf numFmtId="8" fontId="0" fillId="4" borderId="2" xfId="0" applyNumberFormat="1" applyFill="1" applyBorder="1" applyAlignment="1">
      <alignment horizontal="right" vertical="center" wrapText="1"/>
    </xf>
    <xf numFmtId="0" fontId="0" fillId="4" borderId="4" xfId="0" applyFill="1" applyBorder="1" applyAlignment="1">
      <alignment horizontal="right" vertical="center" wrapText="1"/>
    </xf>
    <xf numFmtId="0" fontId="0" fillId="4" borderId="2" xfId="0" applyFill="1" applyBorder="1" applyAlignment="1">
      <alignment horizontal="right" vertical="center" wrapText="1"/>
    </xf>
    <xf numFmtId="0" fontId="100" fillId="4" borderId="65" xfId="0" applyFont="1" applyFill="1" applyBorder="1" applyAlignment="1">
      <alignment horizontal="right" vertical="center" wrapText="1"/>
    </xf>
    <xf numFmtId="0" fontId="100" fillId="4" borderId="79" xfId="0" applyFont="1" applyFill="1" applyBorder="1" applyAlignment="1">
      <alignment horizontal="right" vertical="center" wrapText="1"/>
    </xf>
    <xf numFmtId="0" fontId="100" fillId="4" borderId="20" xfId="0" applyFont="1" applyFill="1" applyBorder="1" applyAlignment="1">
      <alignment horizontal="right" vertical="center" wrapText="1"/>
    </xf>
    <xf numFmtId="0" fontId="0" fillId="4" borderId="5" xfId="0" applyFill="1" applyBorder="1" applyAlignment="1">
      <alignment horizontal="right" vertical="center" wrapText="1"/>
    </xf>
    <xf numFmtId="0" fontId="0" fillId="4" borderId="6" xfId="0" applyFill="1" applyBorder="1" applyAlignment="1">
      <alignment horizontal="right" vertical="center" wrapText="1"/>
    </xf>
    <xf numFmtId="0" fontId="100" fillId="4" borderId="4" xfId="0" applyFont="1" applyFill="1" applyBorder="1" applyAlignment="1">
      <alignment horizontal="right" vertical="center" wrapText="1"/>
    </xf>
    <xf numFmtId="0" fontId="100" fillId="4" borderId="2" xfId="0" applyFont="1" applyFill="1" applyBorder="1" applyAlignment="1">
      <alignment horizontal="right" vertical="center" wrapText="1"/>
    </xf>
    <xf numFmtId="0" fontId="100" fillId="4" borderId="68" xfId="0" applyFont="1" applyFill="1" applyBorder="1" applyAlignment="1">
      <alignment horizontal="right" vertical="center" wrapText="1"/>
    </xf>
    <xf numFmtId="0" fontId="100" fillId="4" borderId="9" xfId="0" applyFont="1" applyFill="1" applyBorder="1" applyAlignment="1">
      <alignment horizontal="right" vertical="center" wrapText="1"/>
    </xf>
    <xf numFmtId="0" fontId="100" fillId="4" borderId="10" xfId="0" applyFont="1" applyFill="1" applyBorder="1" applyAlignment="1">
      <alignment horizontal="right" vertical="center" wrapText="1"/>
    </xf>
    <xf numFmtId="0" fontId="0" fillId="4" borderId="147" xfId="0" applyFill="1" applyBorder="1" applyAlignment="1">
      <alignment horizontal="right" vertical="center"/>
    </xf>
    <xf numFmtId="0" fontId="0" fillId="4" borderId="148" xfId="0" applyFill="1" applyBorder="1" applyAlignment="1">
      <alignment horizontal="right" vertical="center"/>
    </xf>
    <xf numFmtId="0" fontId="0" fillId="4" borderId="149" xfId="0" applyFill="1" applyBorder="1" applyAlignment="1">
      <alignment horizontal="right" vertical="center"/>
    </xf>
    <xf numFmtId="0" fontId="141" fillId="4" borderId="136" xfId="0" applyFont="1" applyFill="1" applyBorder="1" applyAlignment="1" applyProtection="1">
      <alignment horizontal="center" vertical="center" wrapText="1"/>
      <protection hidden="1"/>
    </xf>
    <xf numFmtId="0" fontId="141" fillId="4" borderId="133" xfId="0" applyFont="1" applyFill="1" applyBorder="1" applyAlignment="1" applyProtection="1">
      <alignment horizontal="center" vertical="center" wrapText="1"/>
      <protection hidden="1"/>
    </xf>
    <xf numFmtId="0" fontId="141" fillId="4" borderId="150" xfId="0" applyFont="1" applyFill="1" applyBorder="1" applyAlignment="1" applyProtection="1">
      <alignment horizontal="center" vertical="center" wrapText="1"/>
      <protection hidden="1"/>
    </xf>
    <xf numFmtId="176" fontId="0" fillId="0" borderId="2" xfId="3" applyNumberFormat="1" applyFont="1" applyFill="1" applyBorder="1" applyAlignment="1">
      <alignment horizontal="center" vertical="center" wrapText="1"/>
    </xf>
    <xf numFmtId="0" fontId="100" fillId="0" borderId="1" xfId="0" applyFont="1" applyBorder="1" applyAlignment="1">
      <alignment horizontal="right" vertical="center" wrapText="1"/>
    </xf>
    <xf numFmtId="0" fontId="100" fillId="0" borderId="10" xfId="0" applyFont="1" applyBorder="1" applyAlignment="1">
      <alignment horizontal="right" vertical="center" wrapText="1"/>
    </xf>
    <xf numFmtId="0" fontId="107" fillId="4" borderId="30" xfId="0" applyFont="1" applyFill="1" applyBorder="1" applyAlignment="1">
      <alignment horizontal="center" vertical="center" wrapText="1"/>
    </xf>
    <xf numFmtId="0" fontId="107" fillId="4" borderId="28" xfId="0" applyFont="1" applyFill="1" applyBorder="1" applyAlignment="1">
      <alignment horizontal="center" vertical="center" wrapText="1"/>
    </xf>
    <xf numFmtId="0" fontId="105" fillId="0" borderId="2" xfId="0" applyFont="1" applyBorder="1" applyAlignment="1">
      <alignment horizontal="right" vertical="center" wrapText="1"/>
    </xf>
    <xf numFmtId="0" fontId="0" fillId="0" borderId="0" xfId="0" applyAlignment="1">
      <alignment horizontal="left" vertical="center" wrapText="1"/>
    </xf>
    <xf numFmtId="0" fontId="128" fillId="4" borderId="19" xfId="0" applyFont="1" applyFill="1" applyBorder="1" applyAlignment="1" applyProtection="1">
      <alignment horizontal="left" vertical="center"/>
      <protection hidden="1"/>
    </xf>
    <xf numFmtId="0" fontId="128" fillId="4" borderId="0" xfId="0" applyFont="1" applyFill="1" applyAlignment="1" applyProtection="1">
      <alignment horizontal="left" vertical="center"/>
      <protection hidden="1"/>
    </xf>
    <xf numFmtId="0" fontId="0" fillId="4" borderId="68" xfId="0" applyFill="1" applyBorder="1" applyAlignment="1" applyProtection="1">
      <alignment horizontal="center" vertical="center" wrapText="1"/>
      <protection hidden="1"/>
    </xf>
    <xf numFmtId="0" fontId="0" fillId="4" borderId="10" xfId="0" applyFill="1" applyBorder="1" applyAlignment="1" applyProtection="1">
      <alignment horizontal="center" vertical="center" wrapText="1"/>
      <protection hidden="1"/>
    </xf>
    <xf numFmtId="8" fontId="105" fillId="4" borderId="1" xfId="0" applyNumberFormat="1" applyFont="1" applyFill="1" applyBorder="1" applyAlignment="1" applyProtection="1">
      <alignment horizontal="center" vertical="center" wrapText="1"/>
      <protection hidden="1"/>
    </xf>
    <xf numFmtId="8" fontId="105" fillId="4" borderId="77" xfId="0" applyNumberFormat="1" applyFont="1" applyFill="1" applyBorder="1" applyAlignment="1" applyProtection="1">
      <alignment horizontal="center" vertical="center" wrapText="1"/>
      <protection hidden="1"/>
    </xf>
    <xf numFmtId="0" fontId="89" fillId="4" borderId="19" xfId="0" applyFont="1" applyFill="1" applyBorder="1" applyAlignment="1" applyProtection="1">
      <alignment horizontal="center" vertical="center" wrapText="1"/>
      <protection hidden="1"/>
    </xf>
    <xf numFmtId="0" fontId="89" fillId="4" borderId="0" xfId="0" applyFont="1" applyFill="1" applyAlignment="1" applyProtection="1">
      <alignment horizontal="center" vertical="center" wrapText="1"/>
      <protection hidden="1"/>
    </xf>
    <xf numFmtId="0" fontId="122" fillId="4" borderId="43" xfId="0" applyFont="1" applyFill="1" applyBorder="1" applyAlignment="1" applyProtection="1">
      <alignment horizontal="center" vertical="center" wrapText="1"/>
      <protection hidden="1"/>
    </xf>
    <xf numFmtId="0" fontId="122" fillId="4" borderId="44" xfId="0" applyFont="1" applyFill="1" applyBorder="1" applyAlignment="1" applyProtection="1">
      <alignment horizontal="center" vertical="center" wrapText="1"/>
      <protection hidden="1"/>
    </xf>
    <xf numFmtId="0" fontId="122" fillId="4" borderId="19" xfId="0" applyFont="1" applyFill="1" applyBorder="1" applyAlignment="1" applyProtection="1">
      <alignment horizontal="center" vertical="center" wrapText="1"/>
      <protection hidden="1"/>
    </xf>
    <xf numFmtId="0" fontId="122" fillId="4" borderId="15" xfId="0" applyFont="1" applyFill="1" applyBorder="1" applyAlignment="1" applyProtection="1">
      <alignment horizontal="center" vertical="center" wrapText="1"/>
      <protection hidden="1"/>
    </xf>
    <xf numFmtId="0" fontId="0" fillId="4" borderId="19" xfId="0" quotePrefix="1" applyFill="1" applyBorder="1" applyAlignment="1" applyProtection="1">
      <alignment horizontal="center" vertical="top" wrapText="1"/>
      <protection hidden="1"/>
    </xf>
    <xf numFmtId="0" fontId="0" fillId="4" borderId="15" xfId="0" quotePrefix="1" applyFill="1" applyBorder="1" applyAlignment="1" applyProtection="1">
      <alignment horizontal="center" vertical="top" wrapText="1"/>
      <protection hidden="1"/>
    </xf>
    <xf numFmtId="0" fontId="0" fillId="4" borderId="16" xfId="0" quotePrefix="1" applyFill="1" applyBorder="1" applyAlignment="1" applyProtection="1">
      <alignment horizontal="center" vertical="top" wrapText="1"/>
      <protection hidden="1"/>
    </xf>
    <xf numFmtId="0" fontId="0" fillId="4" borderId="39" xfId="0" quotePrefix="1" applyFill="1" applyBorder="1" applyAlignment="1" applyProtection="1">
      <alignment horizontal="center" vertical="top" wrapText="1"/>
      <protection hidden="1"/>
    </xf>
    <xf numFmtId="0" fontId="89" fillId="4" borderId="19" xfId="0" applyFont="1" applyFill="1" applyBorder="1" applyAlignment="1">
      <alignment horizontal="center" vertical="center" wrapText="1"/>
    </xf>
    <xf numFmtId="0" fontId="89" fillId="4" borderId="0" xfId="0" applyFont="1" applyFill="1" applyAlignment="1">
      <alignment horizontal="center" vertical="center" wrapText="1"/>
    </xf>
    <xf numFmtId="0" fontId="89" fillId="4" borderId="15" xfId="0" applyFont="1" applyFill="1" applyBorder="1" applyAlignment="1">
      <alignment horizontal="center" vertical="center" wrapText="1"/>
    </xf>
    <xf numFmtId="9" fontId="157" fillId="4" borderId="0" xfId="3" applyFont="1" applyFill="1" applyBorder="1" applyAlignment="1" applyProtection="1">
      <alignment horizontal="center" vertical="center" wrapText="1"/>
      <protection hidden="1"/>
    </xf>
    <xf numFmtId="9" fontId="157" fillId="4" borderId="15" xfId="3" applyFont="1" applyFill="1" applyBorder="1" applyAlignment="1" applyProtection="1">
      <alignment horizontal="center" vertical="center" wrapText="1"/>
      <protection hidden="1"/>
    </xf>
    <xf numFmtId="0" fontId="157" fillId="4" borderId="0" xfId="0" applyFont="1" applyFill="1" applyAlignment="1" applyProtection="1">
      <alignment horizontal="center" vertical="center" wrapText="1"/>
      <protection hidden="1"/>
    </xf>
    <xf numFmtId="0" fontId="157" fillId="4" borderId="15" xfId="0" applyFont="1" applyFill="1" applyBorder="1" applyAlignment="1" applyProtection="1">
      <alignment horizontal="center" vertical="center" wrapText="1"/>
      <protection hidden="1"/>
    </xf>
    <xf numFmtId="0" fontId="157" fillId="4" borderId="18" xfId="0" applyFont="1" applyFill="1" applyBorder="1" applyAlignment="1" applyProtection="1">
      <alignment horizontal="center" vertical="center" wrapText="1"/>
      <protection hidden="1"/>
    </xf>
    <xf numFmtId="0" fontId="157" fillId="4" borderId="39" xfId="0" applyFont="1" applyFill="1" applyBorder="1" applyAlignment="1" applyProtection="1">
      <alignment horizontal="center" vertical="center" wrapText="1"/>
      <protection hidden="1"/>
    </xf>
    <xf numFmtId="0" fontId="100" fillId="4" borderId="102" xfId="0" applyFont="1" applyFill="1" applyBorder="1" applyAlignment="1" applyProtection="1">
      <alignment horizontal="right" vertical="center" wrapText="1"/>
      <protection hidden="1"/>
    </xf>
    <xf numFmtId="0" fontId="128" fillId="4" borderId="19" xfId="0" applyFont="1" applyFill="1" applyBorder="1" applyAlignment="1" applyProtection="1">
      <alignment horizontal="left" vertical="center" wrapText="1"/>
      <protection hidden="1"/>
    </xf>
    <xf numFmtId="0" fontId="128" fillId="4" borderId="0" xfId="0" applyFont="1" applyFill="1" applyAlignment="1" applyProtection="1">
      <alignment horizontal="left" vertical="center" wrapText="1"/>
      <protection hidden="1"/>
    </xf>
    <xf numFmtId="0" fontId="190" fillId="4" borderId="65" xfId="2" applyNumberFormat="1" applyFont="1" applyFill="1" applyBorder="1" applyAlignment="1" applyProtection="1">
      <alignment horizontal="center" vertical="center" wrapText="1"/>
      <protection hidden="1"/>
    </xf>
    <xf numFmtId="0" fontId="190" fillId="4" borderId="79" xfId="2" applyNumberFormat="1" applyFont="1" applyFill="1" applyBorder="1" applyAlignment="1" applyProtection="1">
      <alignment horizontal="center" vertical="center" wrapText="1"/>
      <protection hidden="1"/>
    </xf>
    <xf numFmtId="0" fontId="190" fillId="4" borderId="20" xfId="2" applyNumberFormat="1" applyFont="1" applyFill="1" applyBorder="1" applyAlignment="1" applyProtection="1">
      <alignment horizontal="center" vertical="center" wrapText="1"/>
      <protection hidden="1"/>
    </xf>
    <xf numFmtId="0" fontId="155" fillId="4" borderId="16" xfId="0" applyFont="1" applyFill="1" applyBorder="1" applyAlignment="1" applyProtection="1">
      <alignment horizontal="left" vertical="center"/>
      <protection hidden="1"/>
    </xf>
    <xf numFmtId="0" fontId="155" fillId="4" borderId="18" xfId="0" applyFont="1" applyFill="1" applyBorder="1" applyAlignment="1" applyProtection="1">
      <alignment horizontal="left" vertical="center"/>
      <protection hidden="1"/>
    </xf>
    <xf numFmtId="0" fontId="0" fillId="0" borderId="0" xfId="0" applyAlignment="1">
      <alignment horizontal="center" wrapText="1"/>
    </xf>
    <xf numFmtId="0" fontId="170" fillId="4" borderId="23" xfId="2" applyNumberFormat="1" applyFont="1" applyFill="1" applyBorder="1" applyAlignment="1" applyProtection="1">
      <alignment horizontal="center" vertical="center" wrapText="1"/>
      <protection locked="0" hidden="1"/>
    </xf>
    <xf numFmtId="0" fontId="170" fillId="4" borderId="23" xfId="2" applyNumberFormat="1" applyFont="1" applyFill="1" applyBorder="1" applyAlignment="1" applyProtection="1">
      <alignment horizontal="center" vertical="center"/>
      <protection locked="0" hidden="1"/>
    </xf>
    <xf numFmtId="14" fontId="0" fillId="4" borderId="21" xfId="0" applyNumberFormat="1" applyFill="1" applyBorder="1" applyAlignment="1" applyProtection="1">
      <alignment horizontal="center" vertical="center"/>
      <protection hidden="1"/>
    </xf>
    <xf numFmtId="0" fontId="0" fillId="4" borderId="22" xfId="0" applyFill="1" applyBorder="1" applyAlignment="1" applyProtection="1">
      <alignment horizontal="center" vertical="center"/>
      <protection hidden="1"/>
    </xf>
    <xf numFmtId="6" fontId="0" fillId="4" borderId="2" xfId="0" applyNumberFormat="1" applyFill="1" applyBorder="1" applyAlignment="1" applyProtection="1">
      <alignment horizontal="right" vertical="center"/>
      <protection hidden="1"/>
    </xf>
    <xf numFmtId="6" fontId="0" fillId="4" borderId="3" xfId="0" applyNumberFormat="1" applyFill="1" applyBorder="1" applyAlignment="1" applyProtection="1">
      <alignment horizontal="right" vertical="center"/>
      <protection hidden="1"/>
    </xf>
    <xf numFmtId="0" fontId="110" fillId="4" borderId="43" xfId="0" applyFont="1" applyFill="1" applyBorder="1" applyAlignment="1" applyProtection="1">
      <alignment horizontal="center" vertical="center"/>
      <protection hidden="1"/>
    </xf>
    <xf numFmtId="0" fontId="110" fillId="4" borderId="23" xfId="0" applyFont="1" applyFill="1" applyBorder="1" applyAlignment="1" applyProtection="1">
      <alignment horizontal="center" vertical="center"/>
      <protection hidden="1"/>
    </xf>
    <xf numFmtId="0" fontId="110" fillId="4" borderId="44" xfId="0" applyFont="1" applyFill="1" applyBorder="1" applyAlignment="1" applyProtection="1">
      <alignment horizontal="center" vertical="center"/>
      <protection hidden="1"/>
    </xf>
    <xf numFmtId="0" fontId="0" fillId="4" borderId="16" xfId="0" applyFill="1" applyBorder="1" applyAlignment="1" applyProtection="1">
      <alignment horizontal="center" vertical="center"/>
      <protection hidden="1"/>
    </xf>
    <xf numFmtId="0" fontId="0" fillId="4" borderId="18" xfId="0" applyFill="1" applyBorder="1" applyAlignment="1" applyProtection="1">
      <alignment horizontal="center" vertical="center"/>
      <protection hidden="1"/>
    </xf>
    <xf numFmtId="0" fontId="0" fillId="4" borderId="39" xfId="0" applyFill="1" applyBorder="1" applyAlignment="1" applyProtection="1">
      <alignment horizontal="center" vertical="center"/>
      <protection hidden="1"/>
    </xf>
    <xf numFmtId="0" fontId="105" fillId="4" borderId="11" xfId="0" applyFont="1" applyFill="1" applyBorder="1" applyAlignment="1" applyProtection="1">
      <alignment horizontal="center" vertical="center" wrapText="1"/>
      <protection hidden="1"/>
    </xf>
    <xf numFmtId="0" fontId="105" fillId="4" borderId="27" xfId="0" applyFont="1" applyFill="1" applyBorder="1" applyAlignment="1" applyProtection="1">
      <alignment horizontal="center" vertical="center" wrapText="1"/>
      <protection hidden="1"/>
    </xf>
    <xf numFmtId="0" fontId="122" fillId="9" borderId="4" xfId="0" applyFont="1" applyFill="1" applyBorder="1" applyAlignment="1" applyProtection="1">
      <alignment horizontal="center" vertical="center" wrapText="1"/>
      <protection hidden="1"/>
    </xf>
    <xf numFmtId="0" fontId="122" fillId="9" borderId="2" xfId="0" applyFont="1" applyFill="1" applyBorder="1" applyAlignment="1" applyProtection="1">
      <alignment horizontal="center" vertical="center" wrapText="1"/>
      <protection hidden="1"/>
    </xf>
    <xf numFmtId="0" fontId="111" fillId="9" borderId="24" xfId="0" applyFont="1" applyFill="1" applyBorder="1" applyAlignment="1" applyProtection="1">
      <alignment horizontal="center" vertical="center"/>
      <protection hidden="1"/>
    </xf>
    <xf numFmtId="0" fontId="111" fillId="9" borderId="21" xfId="0" applyFont="1" applyFill="1" applyBorder="1" applyAlignment="1" applyProtection="1">
      <alignment horizontal="center" vertical="center"/>
      <protection hidden="1"/>
    </xf>
    <xf numFmtId="0" fontId="111" fillId="9" borderId="22" xfId="0" applyFont="1" applyFill="1" applyBorder="1" applyAlignment="1" applyProtection="1">
      <alignment horizontal="center" vertical="center"/>
      <protection hidden="1"/>
    </xf>
    <xf numFmtId="0" fontId="0" fillId="9" borderId="54" xfId="0" applyFill="1" applyBorder="1" applyAlignment="1" applyProtection="1">
      <alignment horizontal="left" vertical="top" wrapText="1"/>
      <protection locked="0" hidden="1"/>
    </xf>
    <xf numFmtId="0" fontId="0" fillId="9" borderId="113" xfId="0" applyFill="1" applyBorder="1" applyAlignment="1" applyProtection="1">
      <alignment horizontal="left" vertical="top" wrapText="1"/>
      <protection locked="0" hidden="1"/>
    </xf>
    <xf numFmtId="0" fontId="0" fillId="9" borderId="58" xfId="0" applyFill="1" applyBorder="1" applyAlignment="1" applyProtection="1">
      <alignment horizontal="left" vertical="top" wrapText="1"/>
      <protection locked="0" hidden="1"/>
    </xf>
    <xf numFmtId="0" fontId="0" fillId="9" borderId="19" xfId="0" applyFill="1" applyBorder="1" applyAlignment="1" applyProtection="1">
      <alignment horizontal="left" vertical="top" wrapText="1"/>
      <protection locked="0" hidden="1"/>
    </xf>
    <xf numFmtId="0" fontId="0" fillId="9" borderId="0" xfId="0" applyFill="1" applyAlignment="1" applyProtection="1">
      <alignment horizontal="left" vertical="top" wrapText="1"/>
      <protection locked="0" hidden="1"/>
    </xf>
    <xf numFmtId="0" fontId="0" fillId="9" borderId="15" xfId="0" applyFill="1" applyBorder="1" applyAlignment="1" applyProtection="1">
      <alignment horizontal="left" vertical="top" wrapText="1"/>
      <protection locked="0" hidden="1"/>
    </xf>
    <xf numFmtId="0" fontId="0" fillId="9" borderId="16" xfId="0" applyFill="1" applyBorder="1" applyAlignment="1" applyProtection="1">
      <alignment horizontal="left" vertical="top" wrapText="1"/>
      <protection locked="0" hidden="1"/>
    </xf>
    <xf numFmtId="0" fontId="0" fillId="9" borderId="18" xfId="0" applyFill="1" applyBorder="1" applyAlignment="1" applyProtection="1">
      <alignment horizontal="left" vertical="top" wrapText="1"/>
      <protection locked="0" hidden="1"/>
    </xf>
    <xf numFmtId="0" fontId="0" fillId="9" borderId="39" xfId="0" applyFill="1" applyBorder="1" applyAlignment="1" applyProtection="1">
      <alignment horizontal="left" vertical="top" wrapText="1"/>
      <protection locked="0" hidden="1"/>
    </xf>
    <xf numFmtId="0" fontId="0" fillId="9" borderId="58" xfId="0" applyFill="1" applyBorder="1" applyAlignment="1" applyProtection="1">
      <alignment horizontal="left" vertical="center"/>
      <protection hidden="1"/>
    </xf>
    <xf numFmtId="0" fontId="0" fillId="9" borderId="39" xfId="0" applyFill="1" applyBorder="1" applyAlignment="1" applyProtection="1">
      <alignment horizontal="left" vertical="center"/>
      <protection hidden="1"/>
    </xf>
    <xf numFmtId="0" fontId="0" fillId="9" borderId="42" xfId="0" applyFill="1" applyBorder="1" applyAlignment="1" applyProtection="1">
      <alignment horizontal="right" vertical="center" wrapText="1"/>
      <protection hidden="1"/>
    </xf>
    <xf numFmtId="0" fontId="0" fillId="9" borderId="113" xfId="0" applyFill="1" applyBorder="1" applyAlignment="1" applyProtection="1">
      <alignment horizontal="right" vertical="center" wrapText="1"/>
      <protection hidden="1"/>
    </xf>
    <xf numFmtId="0" fontId="0" fillId="9" borderId="114" xfId="0" applyFill="1" applyBorder="1" applyAlignment="1" applyProtection="1">
      <alignment horizontal="right" vertical="center" wrapText="1"/>
      <protection hidden="1"/>
    </xf>
    <xf numFmtId="0" fontId="0" fillId="9" borderId="18" xfId="0" applyFill="1" applyBorder="1" applyAlignment="1" applyProtection="1">
      <alignment horizontal="right" vertical="center" wrapText="1"/>
      <protection hidden="1"/>
    </xf>
    <xf numFmtId="0" fontId="102" fillId="9" borderId="1" xfId="0" applyFont="1" applyFill="1" applyBorder="1" applyAlignment="1" applyProtection="1">
      <alignment horizontal="center" vertical="center" wrapText="1"/>
      <protection hidden="1"/>
    </xf>
    <xf numFmtId="0" fontId="102" fillId="9" borderId="9" xfId="0" applyFont="1" applyFill="1" applyBorder="1" applyAlignment="1" applyProtection="1">
      <alignment horizontal="center" vertical="center" wrapText="1"/>
      <protection hidden="1"/>
    </xf>
    <xf numFmtId="0" fontId="102" fillId="9" borderId="77" xfId="0" applyFont="1" applyFill="1" applyBorder="1" applyAlignment="1" applyProtection="1">
      <alignment horizontal="center" vertical="center" wrapText="1"/>
      <protection hidden="1"/>
    </xf>
    <xf numFmtId="0" fontId="122" fillId="9" borderId="1" xfId="0" applyFont="1" applyFill="1" applyBorder="1" applyAlignment="1">
      <alignment horizontal="center"/>
    </xf>
    <xf numFmtId="0" fontId="122" fillId="9" borderId="9" xfId="0" applyFont="1" applyFill="1" applyBorder="1" applyAlignment="1">
      <alignment horizontal="center"/>
    </xf>
    <xf numFmtId="0" fontId="122" fillId="9" borderId="77" xfId="0" applyFont="1" applyFill="1" applyBorder="1" applyAlignment="1">
      <alignment horizontal="center"/>
    </xf>
    <xf numFmtId="14" fontId="0" fillId="8" borderId="68" xfId="0" applyNumberFormat="1" applyFill="1" applyBorder="1" applyAlignment="1">
      <alignment horizontal="center"/>
    </xf>
    <xf numFmtId="14" fontId="0" fillId="8" borderId="9" xfId="0" applyNumberFormat="1" applyFill="1" applyBorder="1" applyAlignment="1">
      <alignment horizontal="center"/>
    </xf>
    <xf numFmtId="14" fontId="0" fillId="8" borderId="10" xfId="0" applyNumberFormat="1" applyFill="1" applyBorder="1" applyAlignment="1">
      <alignment horizontal="center"/>
    </xf>
    <xf numFmtId="0" fontId="104" fillId="9" borderId="79" xfId="0" applyFont="1" applyFill="1" applyBorder="1" applyAlignment="1" applyProtection="1">
      <alignment horizontal="center" vertical="center" wrapText="1"/>
      <protection hidden="1"/>
    </xf>
    <xf numFmtId="0" fontId="104" fillId="9" borderId="20" xfId="0" applyFont="1" applyFill="1" applyBorder="1" applyAlignment="1" applyProtection="1">
      <alignment horizontal="center" vertical="center" wrapText="1"/>
      <protection hidden="1"/>
    </xf>
    <xf numFmtId="0" fontId="0" fillId="9" borderId="54" xfId="0" applyFill="1" applyBorder="1" applyAlignment="1" applyProtection="1">
      <alignment horizontal="center" vertical="center" wrapText="1"/>
      <protection hidden="1"/>
    </xf>
    <xf numFmtId="0" fontId="0" fillId="9" borderId="113" xfId="0" applyFill="1" applyBorder="1" applyAlignment="1" applyProtection="1">
      <alignment horizontal="center" vertical="center" wrapText="1"/>
      <protection hidden="1"/>
    </xf>
    <xf numFmtId="0" fontId="0" fillId="9" borderId="55" xfId="0" applyFill="1" applyBorder="1" applyAlignment="1" applyProtection="1">
      <alignment horizontal="center" vertical="center" wrapText="1"/>
      <protection hidden="1"/>
    </xf>
    <xf numFmtId="0" fontId="0" fillId="9" borderId="30" xfId="0" applyFill="1" applyBorder="1" applyAlignment="1" applyProtection="1">
      <alignment horizontal="center" vertical="center" wrapText="1"/>
      <protection hidden="1"/>
    </xf>
    <xf numFmtId="0" fontId="0" fillId="9" borderId="28" xfId="0" applyFill="1" applyBorder="1" applyAlignment="1" applyProtection="1">
      <alignment horizontal="center" vertical="center" wrapText="1"/>
      <protection hidden="1"/>
    </xf>
    <xf numFmtId="0" fontId="0" fillId="9" borderId="56" xfId="0" applyFill="1" applyBorder="1" applyAlignment="1" applyProtection="1">
      <alignment horizontal="center" vertical="center" wrapText="1"/>
      <protection hidden="1"/>
    </xf>
    <xf numFmtId="0" fontId="204" fillId="25" borderId="11" xfId="2" applyNumberFormat="1" applyFont="1" applyFill="1" applyBorder="1" applyAlignment="1" applyProtection="1">
      <alignment horizontal="center" vertical="center" wrapText="1"/>
      <protection hidden="1"/>
    </xf>
    <xf numFmtId="0" fontId="204" fillId="25" borderId="27" xfId="2" applyNumberFormat="1" applyFont="1" applyFill="1" applyBorder="1" applyAlignment="1" applyProtection="1">
      <alignment horizontal="center" vertical="center" wrapText="1"/>
      <protection hidden="1"/>
    </xf>
    <xf numFmtId="0" fontId="0" fillId="0" borderId="0" xfId="0" applyAlignment="1">
      <alignment horizontal="right" vertical="top" wrapText="1"/>
    </xf>
    <xf numFmtId="0" fontId="206" fillId="9" borderId="79" xfId="0" applyFont="1" applyFill="1" applyBorder="1" applyAlignment="1" applyProtection="1">
      <alignment horizontal="center" vertical="center" wrapText="1"/>
      <protection hidden="1"/>
    </xf>
    <xf numFmtId="0" fontId="206" fillId="9" borderId="20" xfId="0" applyFont="1" applyFill="1" applyBorder="1" applyAlignment="1" applyProtection="1">
      <alignment horizontal="center" vertical="center" wrapText="1"/>
      <protection hidden="1"/>
    </xf>
    <xf numFmtId="0" fontId="100" fillId="9" borderId="65" xfId="0" applyFont="1" applyFill="1" applyBorder="1" applyAlignment="1" applyProtection="1">
      <alignment horizontal="center" vertical="center" wrapText="1"/>
      <protection hidden="1"/>
    </xf>
    <xf numFmtId="0" fontId="100" fillId="9" borderId="79" xfId="0" applyFont="1" applyFill="1" applyBorder="1" applyAlignment="1" applyProtection="1">
      <alignment horizontal="center" vertical="center" wrapText="1"/>
      <protection hidden="1"/>
    </xf>
    <xf numFmtId="0" fontId="105" fillId="9" borderId="0" xfId="0" applyFont="1" applyFill="1" applyAlignment="1">
      <alignment horizontal="center" vertical="center" wrapText="1"/>
    </xf>
    <xf numFmtId="0" fontId="0" fillId="0" borderId="0" xfId="0" applyAlignment="1">
      <alignment horizontal="left" vertical="top" wrapText="1"/>
    </xf>
    <xf numFmtId="0" fontId="173" fillId="9" borderId="171" xfId="0" applyFont="1" applyFill="1" applyBorder="1" applyAlignment="1">
      <alignment horizontal="center" vertical="center"/>
    </xf>
    <xf numFmtId="0" fontId="173" fillId="9" borderId="172" xfId="0" applyFont="1" applyFill="1" applyBorder="1" applyAlignment="1">
      <alignment horizontal="center" vertical="center"/>
    </xf>
    <xf numFmtId="0" fontId="115" fillId="9" borderId="223" xfId="0" applyFont="1" applyFill="1" applyBorder="1" applyAlignment="1">
      <alignment horizontal="left" vertical="center"/>
    </xf>
    <xf numFmtId="0" fontId="115" fillId="9" borderId="171" xfId="0" applyFont="1" applyFill="1" applyBorder="1" applyAlignment="1">
      <alignment horizontal="left" vertical="center"/>
    </xf>
    <xf numFmtId="0" fontId="23" fillId="9" borderId="80" xfId="0" applyFont="1" applyFill="1" applyBorder="1" applyAlignment="1">
      <alignment horizontal="right" vertical="center"/>
    </xf>
    <xf numFmtId="0" fontId="23" fillId="9" borderId="82" xfId="0" applyFont="1" applyFill="1" applyBorder="1" applyAlignment="1">
      <alignment horizontal="right" vertical="center"/>
    </xf>
    <xf numFmtId="8" fontId="8" fillId="6" borderId="164" xfId="0" applyNumberFormat="1" applyFont="1" applyFill="1" applyBorder="1" applyAlignment="1" applyProtection="1">
      <alignment horizontal="center" vertical="center"/>
      <protection locked="0"/>
    </xf>
    <xf numFmtId="8" fontId="22" fillId="6" borderId="10" xfId="0" applyNumberFormat="1" applyFont="1" applyFill="1" applyBorder="1" applyAlignment="1" applyProtection="1">
      <alignment horizontal="center" vertical="center"/>
      <protection locked="0"/>
    </xf>
    <xf numFmtId="8" fontId="15" fillId="6" borderId="164" xfId="0" applyNumberFormat="1" applyFont="1" applyFill="1" applyBorder="1" applyAlignment="1" applyProtection="1">
      <alignment horizontal="center" vertical="center"/>
      <protection locked="0"/>
    </xf>
    <xf numFmtId="8" fontId="23" fillId="6" borderId="10" xfId="0" applyNumberFormat="1" applyFont="1" applyFill="1" applyBorder="1" applyAlignment="1" applyProtection="1">
      <alignment horizontal="center" vertical="center"/>
      <protection locked="0"/>
    </xf>
    <xf numFmtId="14" fontId="211" fillId="9" borderId="187" xfId="0" applyNumberFormat="1" applyFont="1" applyFill="1" applyBorder="1" applyAlignment="1" applyProtection="1">
      <alignment horizontal="center" vertical="center" wrapText="1"/>
      <protection hidden="1"/>
    </xf>
    <xf numFmtId="14" fontId="211" fillId="9" borderId="55" xfId="0" applyNumberFormat="1" applyFont="1" applyFill="1" applyBorder="1" applyAlignment="1" applyProtection="1">
      <alignment horizontal="center" vertical="center" wrapText="1"/>
      <protection hidden="1"/>
    </xf>
    <xf numFmtId="14" fontId="211" fillId="9" borderId="182" xfId="0" applyNumberFormat="1" applyFont="1" applyFill="1" applyBorder="1" applyAlignment="1" applyProtection="1">
      <alignment horizontal="center" vertical="center" wrapText="1"/>
      <protection hidden="1"/>
    </xf>
    <xf numFmtId="14" fontId="211" fillId="9" borderId="56" xfId="0" applyNumberFormat="1" applyFont="1" applyFill="1" applyBorder="1" applyAlignment="1" applyProtection="1">
      <alignment horizontal="center" vertical="center" wrapText="1"/>
      <protection hidden="1"/>
    </xf>
    <xf numFmtId="0" fontId="63" fillId="9" borderId="0" xfId="2" applyNumberFormat="1" applyFill="1" applyAlignment="1" applyProtection="1">
      <alignment horizontal="right" vertical="center"/>
      <protection hidden="1"/>
    </xf>
    <xf numFmtId="14" fontId="63" fillId="9" borderId="295" xfId="2" applyNumberFormat="1" applyFill="1" applyBorder="1" applyAlignment="1" applyProtection="1">
      <alignment horizontal="right" vertical="center"/>
      <protection hidden="1"/>
    </xf>
    <xf numFmtId="14" fontId="63" fillId="9" borderId="81" xfId="2" applyNumberFormat="1" applyFill="1" applyBorder="1" applyAlignment="1" applyProtection="1">
      <alignment horizontal="right" vertical="center"/>
      <protection hidden="1"/>
    </xf>
    <xf numFmtId="14" fontId="63" fillId="9" borderId="82" xfId="2" applyNumberFormat="1" applyFill="1" applyBorder="1" applyAlignment="1" applyProtection="1">
      <alignment horizontal="right" vertical="center"/>
      <protection hidden="1"/>
    </xf>
    <xf numFmtId="0" fontId="20" fillId="9" borderId="187" xfId="0" applyFont="1" applyFill="1" applyBorder="1" applyAlignment="1" applyProtection="1">
      <alignment horizontal="right" vertical="center" wrapText="1"/>
      <protection hidden="1"/>
    </xf>
    <xf numFmtId="0" fontId="20" fillId="9" borderId="113" xfId="0" applyFont="1" applyFill="1" applyBorder="1" applyAlignment="1" applyProtection="1">
      <alignment horizontal="right" vertical="center" wrapText="1"/>
      <protection hidden="1"/>
    </xf>
    <xf numFmtId="0" fontId="20" fillId="9" borderId="55" xfId="0" applyFont="1" applyFill="1" applyBorder="1" applyAlignment="1" applyProtection="1">
      <alignment horizontal="right" vertical="center" wrapText="1"/>
      <protection hidden="1"/>
    </xf>
    <xf numFmtId="0" fontId="20" fillId="9" borderId="182" xfId="0" applyFont="1" applyFill="1" applyBorder="1" applyAlignment="1" applyProtection="1">
      <alignment horizontal="right" vertical="center" wrapText="1"/>
      <protection hidden="1"/>
    </xf>
    <xf numFmtId="0" fontId="20" fillId="9" borderId="28" xfId="0" applyFont="1" applyFill="1" applyBorder="1" applyAlignment="1" applyProtection="1">
      <alignment horizontal="right" vertical="center" wrapText="1"/>
      <protection hidden="1"/>
    </xf>
    <xf numFmtId="0" fontId="20" fillId="9" borderId="56" xfId="0" applyFont="1" applyFill="1" applyBorder="1" applyAlignment="1" applyProtection="1">
      <alignment horizontal="right" vertical="center" wrapText="1"/>
      <protection hidden="1"/>
    </xf>
    <xf numFmtId="0" fontId="142" fillId="9" borderId="164" xfId="0" applyFont="1" applyFill="1" applyBorder="1" applyAlignment="1" applyProtection="1">
      <alignment horizontal="left" vertical="center"/>
      <protection hidden="1"/>
    </xf>
    <xf numFmtId="0" fontId="142" fillId="9" borderId="9" xfId="0" applyFont="1" applyFill="1" applyBorder="1" applyAlignment="1" applyProtection="1">
      <alignment horizontal="left" vertical="center"/>
      <protection hidden="1"/>
    </xf>
    <xf numFmtId="0" fontId="142" fillId="9" borderId="10" xfId="0" applyFont="1" applyFill="1" applyBorder="1" applyAlignment="1" applyProtection="1">
      <alignment horizontal="left" vertical="center"/>
      <protection hidden="1"/>
    </xf>
    <xf numFmtId="0" fontId="173" fillId="0" borderId="1" xfId="0" applyFont="1" applyBorder="1" applyAlignment="1" applyProtection="1">
      <alignment horizontal="center" vertical="center"/>
      <protection locked="0"/>
    </xf>
    <xf numFmtId="0" fontId="173" fillId="0" borderId="9" xfId="0" applyFont="1" applyBorder="1" applyAlignment="1" applyProtection="1">
      <alignment horizontal="center" vertical="center"/>
      <protection locked="0"/>
    </xf>
    <xf numFmtId="0" fontId="173" fillId="0" borderId="146" xfId="0" applyFont="1" applyBorder="1" applyAlignment="1" applyProtection="1">
      <alignment horizontal="center" vertical="center"/>
      <protection locked="0"/>
    </xf>
    <xf numFmtId="0" fontId="173" fillId="9" borderId="224" xfId="0" applyFont="1" applyFill="1" applyBorder="1" applyAlignment="1" applyProtection="1">
      <alignment horizontal="center" vertical="center"/>
      <protection hidden="1"/>
    </xf>
    <xf numFmtId="0" fontId="173" fillId="9" borderId="23" xfId="0" applyFont="1" applyFill="1" applyBorder="1" applyAlignment="1" applyProtection="1">
      <alignment horizontal="center" vertical="center"/>
      <protection hidden="1"/>
    </xf>
    <xf numFmtId="0" fontId="173" fillId="9" borderId="225" xfId="0" applyFont="1" applyFill="1" applyBorder="1" applyAlignment="1" applyProtection="1">
      <alignment horizontal="center" vertical="center"/>
      <protection hidden="1"/>
    </xf>
    <xf numFmtId="0" fontId="240" fillId="9" borderId="185" xfId="0" applyFont="1" applyFill="1" applyBorder="1" applyAlignment="1" applyProtection="1">
      <alignment horizontal="center" vertical="center" wrapText="1"/>
      <protection hidden="1"/>
    </xf>
    <xf numFmtId="0" fontId="240" fillId="9" borderId="0" xfId="0" applyFont="1" applyFill="1" applyAlignment="1" applyProtection="1">
      <alignment horizontal="center" vertical="center" wrapText="1"/>
      <protection hidden="1"/>
    </xf>
    <xf numFmtId="0" fontId="240" fillId="9" borderId="153" xfId="0" applyFont="1" applyFill="1" applyBorder="1" applyAlignment="1" applyProtection="1">
      <alignment horizontal="center" vertical="center" wrapText="1"/>
      <protection hidden="1"/>
    </xf>
    <xf numFmtId="0" fontId="240" fillId="9" borderId="205" xfId="0" applyFont="1" applyFill="1" applyBorder="1" applyAlignment="1" applyProtection="1">
      <alignment horizontal="center" vertical="center" wrapText="1"/>
      <protection hidden="1"/>
    </xf>
    <xf numFmtId="0" fontId="240" fillId="9" borderId="18" xfId="0" applyFont="1" applyFill="1" applyBorder="1" applyAlignment="1" applyProtection="1">
      <alignment horizontal="center" vertical="center" wrapText="1"/>
      <protection hidden="1"/>
    </xf>
    <xf numFmtId="0" fontId="240" fillId="9" borderId="296" xfId="0" applyFont="1" applyFill="1" applyBorder="1" applyAlignment="1" applyProtection="1">
      <alignment horizontal="center" vertical="center" wrapText="1"/>
      <protection hidden="1"/>
    </xf>
    <xf numFmtId="0" fontId="113" fillId="9" borderId="115" xfId="0" quotePrefix="1" applyFont="1" applyFill="1" applyBorder="1" applyAlignment="1" applyProtection="1">
      <alignment horizontal="center" vertical="center" wrapText="1"/>
      <protection hidden="1"/>
    </xf>
    <xf numFmtId="0" fontId="113" fillId="9" borderId="23" xfId="0" quotePrefix="1" applyFont="1" applyFill="1" applyBorder="1" applyAlignment="1" applyProtection="1">
      <alignment horizontal="center" vertical="center" wrapText="1"/>
      <protection hidden="1"/>
    </xf>
    <xf numFmtId="14" fontId="211" fillId="9" borderId="12" xfId="0" applyNumberFormat="1" applyFont="1" applyFill="1" applyBorder="1" applyAlignment="1" applyProtection="1">
      <alignment horizontal="center" vertical="center" wrapText="1"/>
      <protection hidden="1"/>
    </xf>
    <xf numFmtId="14" fontId="211" fillId="9" borderId="41" xfId="0" applyNumberFormat="1" applyFont="1" applyFill="1" applyBorder="1" applyAlignment="1" applyProtection="1">
      <alignment horizontal="center" vertical="center" wrapText="1"/>
      <protection hidden="1"/>
    </xf>
    <xf numFmtId="8" fontId="211" fillId="9" borderId="12" xfId="3" applyNumberFormat="1" applyFont="1" applyFill="1" applyBorder="1" applyAlignment="1" applyProtection="1">
      <alignment horizontal="center" vertical="center" wrapText="1"/>
      <protection hidden="1"/>
    </xf>
    <xf numFmtId="8" fontId="211" fillId="9" borderId="41" xfId="3" applyNumberFormat="1" applyFont="1" applyFill="1" applyBorder="1" applyAlignment="1" applyProtection="1">
      <alignment horizontal="center" vertical="center" wrapText="1"/>
      <protection hidden="1"/>
    </xf>
    <xf numFmtId="0" fontId="23" fillId="9" borderId="164" xfId="0" applyFont="1" applyFill="1" applyBorder="1" applyAlignment="1">
      <alignment horizontal="left" vertical="center"/>
    </xf>
    <xf numFmtId="0" fontId="23" fillId="9" borderId="9" xfId="0" applyFont="1" applyFill="1" applyBorder="1" applyAlignment="1">
      <alignment horizontal="left" vertical="center"/>
    </xf>
    <xf numFmtId="0" fontId="23" fillId="9" borderId="10" xfId="0" applyFont="1" applyFill="1" applyBorder="1" applyAlignment="1">
      <alignment horizontal="left" vertical="center"/>
    </xf>
    <xf numFmtId="0" fontId="23" fillId="9" borderId="81" xfId="0" applyFont="1" applyFill="1" applyBorder="1" applyAlignment="1">
      <alignment horizontal="center" vertical="center"/>
    </xf>
    <xf numFmtId="0" fontId="23" fillId="9" borderId="252" xfId="0" applyFont="1" applyFill="1" applyBorder="1" applyAlignment="1">
      <alignment horizontal="center" vertical="center"/>
    </xf>
    <xf numFmtId="10" fontId="220" fillId="9" borderId="225" xfId="3" applyNumberFormat="1" applyFont="1" applyFill="1" applyBorder="1" applyAlignment="1" applyProtection="1">
      <alignment horizontal="center" vertical="center" wrapText="1"/>
      <protection hidden="1"/>
    </xf>
    <xf numFmtId="10" fontId="220" fillId="9" borderId="153" xfId="3" applyNumberFormat="1" applyFont="1" applyFill="1" applyBorder="1" applyAlignment="1" applyProtection="1">
      <alignment horizontal="center" vertical="center" wrapText="1"/>
      <protection hidden="1"/>
    </xf>
    <xf numFmtId="10" fontId="220" fillId="9" borderId="174" xfId="3" applyNumberFormat="1" applyFont="1" applyFill="1" applyBorder="1" applyAlignment="1" applyProtection="1">
      <alignment horizontal="center" vertical="center" wrapText="1"/>
      <protection hidden="1"/>
    </xf>
    <xf numFmtId="0" fontId="23" fillId="9" borderId="224" xfId="0" applyFont="1" applyFill="1" applyBorder="1" applyAlignment="1" applyProtection="1">
      <alignment horizontal="right" vertical="center" wrapText="1"/>
      <protection hidden="1"/>
    </xf>
    <xf numFmtId="0" fontId="23" fillId="9" borderId="23" xfId="0" applyFont="1" applyFill="1" applyBorder="1" applyAlignment="1" applyProtection="1">
      <alignment horizontal="right" vertical="center" wrapText="1"/>
      <protection hidden="1"/>
    </xf>
    <xf numFmtId="0" fontId="23" fillId="9" borderId="84" xfId="0" applyFont="1" applyFill="1" applyBorder="1" applyAlignment="1" applyProtection="1">
      <alignment horizontal="right" vertical="center" wrapText="1"/>
      <protection hidden="1"/>
    </xf>
    <xf numFmtId="0" fontId="20" fillId="9" borderId="295" xfId="0" applyFont="1" applyFill="1" applyBorder="1" applyAlignment="1">
      <alignment horizontal="center" vertical="center"/>
    </xf>
    <xf numFmtId="0" fontId="20" fillId="9" borderId="81" xfId="0" applyFont="1" applyFill="1" applyBorder="1" applyAlignment="1">
      <alignment horizontal="center" vertical="center"/>
    </xf>
    <xf numFmtId="0" fontId="63" fillId="9" borderId="164" xfId="2" applyNumberFormat="1" applyFill="1" applyBorder="1" applyAlignment="1" applyProtection="1">
      <alignment horizontal="left" vertical="center"/>
      <protection hidden="1"/>
    </xf>
    <xf numFmtId="0" fontId="63" fillId="9" borderId="9" xfId="2" applyNumberFormat="1" applyFill="1" applyBorder="1" applyAlignment="1" applyProtection="1">
      <alignment horizontal="left" vertical="center"/>
      <protection hidden="1"/>
    </xf>
    <xf numFmtId="8" fontId="125" fillId="6" borderId="164" xfId="0" applyNumberFormat="1" applyFont="1" applyFill="1" applyBorder="1" applyAlignment="1" applyProtection="1">
      <alignment horizontal="center" vertical="center"/>
      <protection locked="0"/>
    </xf>
    <xf numFmtId="8" fontId="23" fillId="6" borderId="164" xfId="0" applyNumberFormat="1" applyFont="1" applyFill="1" applyBorder="1" applyAlignment="1" applyProtection="1">
      <alignment horizontal="center" vertical="center"/>
      <protection locked="0"/>
    </xf>
    <xf numFmtId="14" fontId="115" fillId="9" borderId="214" xfId="0" applyNumberFormat="1" applyFont="1" applyFill="1" applyBorder="1" applyAlignment="1" applyProtection="1">
      <alignment horizontal="right" vertical="center"/>
      <protection hidden="1"/>
    </xf>
    <xf numFmtId="14" fontId="115" fillId="9" borderId="210" xfId="0" applyNumberFormat="1" applyFont="1" applyFill="1" applyBorder="1" applyAlignment="1" applyProtection="1">
      <alignment horizontal="right" vertical="center"/>
      <protection hidden="1"/>
    </xf>
    <xf numFmtId="0" fontId="18" fillId="9" borderId="171" xfId="0" applyFont="1" applyFill="1" applyBorder="1" applyAlignment="1" applyProtection="1">
      <alignment horizontal="right" vertical="center"/>
      <protection hidden="1"/>
    </xf>
    <xf numFmtId="0" fontId="19" fillId="9" borderId="171" xfId="0" applyFont="1" applyFill="1" applyBorder="1" applyAlignment="1" applyProtection="1">
      <alignment horizontal="right" vertical="center"/>
      <protection hidden="1"/>
    </xf>
    <xf numFmtId="0" fontId="63" fillId="9" borderId="164" xfId="2" quotePrefix="1" applyNumberFormat="1" applyFill="1" applyBorder="1" applyAlignment="1" applyProtection="1">
      <alignment horizontal="left" vertical="center"/>
      <protection hidden="1"/>
    </xf>
    <xf numFmtId="0" fontId="63" fillId="9" borderId="9" xfId="2" quotePrefix="1" applyNumberFormat="1" applyFill="1" applyBorder="1" applyAlignment="1" applyProtection="1">
      <alignment horizontal="left" vertical="center"/>
      <protection hidden="1"/>
    </xf>
    <xf numFmtId="0" fontId="23" fillId="9" borderId="206" xfId="0" applyFont="1" applyFill="1" applyBorder="1" applyAlignment="1" applyProtection="1">
      <alignment horizontal="left" vertical="center"/>
      <protection hidden="1"/>
    </xf>
    <xf numFmtId="0" fontId="23" fillId="9" borderId="78" xfId="0" applyFont="1" applyFill="1" applyBorder="1" applyAlignment="1" applyProtection="1">
      <alignment horizontal="left" vertical="center"/>
      <protection hidden="1"/>
    </xf>
    <xf numFmtId="0" fontId="100" fillId="0" borderId="0" xfId="0" applyFont="1" applyAlignment="1">
      <alignment horizontal="center" vertical="center"/>
    </xf>
    <xf numFmtId="10" fontId="0" fillId="0" borderId="0" xfId="0" applyNumberFormat="1" applyAlignment="1">
      <alignment horizontal="center" vertical="center"/>
    </xf>
    <xf numFmtId="0" fontId="115" fillId="9" borderId="164" xfId="0" applyFont="1" applyFill="1" applyBorder="1" applyAlignment="1" applyProtection="1">
      <alignment horizontal="left" vertical="center"/>
      <protection hidden="1"/>
    </xf>
    <xf numFmtId="0" fontId="115" fillId="9" borderId="9" xfId="0" applyFont="1" applyFill="1" applyBorder="1" applyAlignment="1" applyProtection="1">
      <alignment horizontal="left" vertical="center"/>
      <protection hidden="1"/>
    </xf>
    <xf numFmtId="0" fontId="115" fillId="9" borderId="10" xfId="0" applyFont="1" applyFill="1" applyBorder="1" applyAlignment="1" applyProtection="1">
      <alignment horizontal="left" vertical="center"/>
      <protection hidden="1"/>
    </xf>
    <xf numFmtId="0" fontId="23" fillId="9" borderId="164" xfId="0" applyFont="1" applyFill="1" applyBorder="1" applyAlignment="1" applyProtection="1">
      <alignment horizontal="left" vertical="center"/>
      <protection hidden="1"/>
    </xf>
    <xf numFmtId="0" fontId="23" fillId="9" borderId="9" xfId="0" applyFont="1" applyFill="1" applyBorder="1" applyAlignment="1" applyProtection="1">
      <alignment horizontal="left" vertical="center"/>
      <protection hidden="1"/>
    </xf>
    <xf numFmtId="0" fontId="23" fillId="9" borderId="10" xfId="0" applyFont="1" applyFill="1" applyBorder="1" applyAlignment="1" applyProtection="1">
      <alignment horizontal="left" vertical="center"/>
      <protection hidden="1"/>
    </xf>
    <xf numFmtId="0" fontId="0" fillId="0" borderId="0" xfId="0" applyAlignment="1">
      <alignment horizontal="center" vertical="center"/>
    </xf>
    <xf numFmtId="0" fontId="203" fillId="9" borderId="164" xfId="0" applyFont="1" applyFill="1" applyBorder="1" applyAlignment="1" applyProtection="1">
      <alignment horizontal="left" vertical="center"/>
      <protection hidden="1"/>
    </xf>
    <xf numFmtId="0" fontId="203" fillId="9" borderId="9" xfId="0" applyFont="1" applyFill="1" applyBorder="1" applyAlignment="1" applyProtection="1">
      <alignment horizontal="left" vertical="center"/>
      <protection hidden="1"/>
    </xf>
    <xf numFmtId="0" fontId="203" fillId="9" borderId="10" xfId="0" applyFont="1" applyFill="1" applyBorder="1" applyAlignment="1" applyProtection="1">
      <alignment horizontal="left" vertical="center"/>
      <protection hidden="1"/>
    </xf>
    <xf numFmtId="0" fontId="173" fillId="9" borderId="164" xfId="0" applyFont="1" applyFill="1" applyBorder="1" applyAlignment="1" applyProtection="1">
      <alignment horizontal="left" vertical="center"/>
      <protection hidden="1"/>
    </xf>
    <xf numFmtId="0" fontId="173" fillId="9" borderId="9" xfId="0" applyFont="1" applyFill="1" applyBorder="1" applyAlignment="1" applyProtection="1">
      <alignment horizontal="left" vertical="center"/>
      <protection hidden="1"/>
    </xf>
    <xf numFmtId="0" fontId="173" fillId="9" borderId="10" xfId="0" applyFont="1" applyFill="1" applyBorder="1" applyAlignment="1" applyProtection="1">
      <alignment horizontal="left" vertical="center"/>
      <protection hidden="1"/>
    </xf>
    <xf numFmtId="0" fontId="115" fillId="9" borderId="214" xfId="0" applyFont="1" applyFill="1" applyBorder="1" applyAlignment="1">
      <alignment horizontal="center" vertical="center"/>
    </xf>
    <xf numFmtId="0" fontId="115" fillId="9" borderId="176" xfId="0" applyFont="1" applyFill="1" applyBorder="1" applyAlignment="1">
      <alignment horizontal="center" vertical="center"/>
    </xf>
    <xf numFmtId="0" fontId="115" fillId="9" borderId="231" xfId="0" applyFont="1" applyFill="1" applyBorder="1" applyAlignment="1">
      <alignment horizontal="center" vertical="center"/>
    </xf>
    <xf numFmtId="8" fontId="106" fillId="4" borderId="189" xfId="0" applyNumberFormat="1" applyFont="1" applyFill="1" applyBorder="1" applyAlignment="1" applyProtection="1">
      <alignment horizontal="center" vertical="center" wrapText="1"/>
      <protection hidden="1"/>
    </xf>
    <xf numFmtId="8" fontId="106" fillId="4" borderId="180" xfId="0" applyNumberFormat="1" applyFont="1" applyFill="1" applyBorder="1" applyAlignment="1" applyProtection="1">
      <alignment horizontal="center" vertical="center" wrapText="1"/>
      <protection hidden="1"/>
    </xf>
    <xf numFmtId="8" fontId="106" fillId="4" borderId="181" xfId="0" applyNumberFormat="1" applyFont="1" applyFill="1" applyBorder="1" applyAlignment="1" applyProtection="1">
      <alignment horizontal="center" vertical="center" wrapText="1"/>
      <protection hidden="1"/>
    </xf>
    <xf numFmtId="8" fontId="106" fillId="4" borderId="31" xfId="0" applyNumberFormat="1" applyFont="1" applyFill="1" applyBorder="1" applyAlignment="1" applyProtection="1">
      <alignment horizontal="center" vertical="center" wrapText="1"/>
      <protection hidden="1"/>
    </xf>
    <xf numFmtId="8" fontId="106" fillId="4" borderId="28" xfId="0" applyNumberFormat="1" applyFont="1" applyFill="1" applyBorder="1" applyAlignment="1" applyProtection="1">
      <alignment horizontal="center" vertical="center" wrapText="1"/>
      <protection hidden="1"/>
    </xf>
    <xf numFmtId="8" fontId="106" fillId="4" borderId="174" xfId="0" applyNumberFormat="1" applyFont="1" applyFill="1" applyBorder="1" applyAlignment="1" applyProtection="1">
      <alignment horizontal="center" vertical="center" wrapText="1"/>
      <protection hidden="1"/>
    </xf>
    <xf numFmtId="0" fontId="63" fillId="9" borderId="185" xfId="2" applyNumberFormat="1" applyFill="1" applyBorder="1" applyAlignment="1" applyProtection="1">
      <alignment horizontal="center" vertical="top" wrapText="1"/>
    </xf>
    <xf numFmtId="0" fontId="63" fillId="9" borderId="0" xfId="2" applyNumberFormat="1" applyFill="1" applyBorder="1" applyAlignment="1" applyProtection="1">
      <alignment horizontal="center" vertical="top" wrapText="1"/>
    </xf>
    <xf numFmtId="0" fontId="63" fillId="9" borderId="153" xfId="2" applyNumberFormat="1" applyFill="1" applyBorder="1" applyAlignment="1" applyProtection="1">
      <alignment horizontal="center" vertical="top" wrapText="1"/>
    </xf>
    <xf numFmtId="0" fontId="63" fillId="9" borderId="212" xfId="2" applyNumberFormat="1" applyFill="1" applyBorder="1" applyAlignment="1" applyProtection="1">
      <alignment horizontal="center" vertical="top" wrapText="1"/>
    </xf>
    <xf numFmtId="0" fontId="63" fillId="9" borderId="184" xfId="2" applyNumberFormat="1" applyFill="1" applyBorder="1" applyAlignment="1" applyProtection="1">
      <alignment horizontal="center" vertical="top" wrapText="1"/>
    </xf>
    <xf numFmtId="0" fontId="63" fillId="9" borderId="221" xfId="2" applyNumberFormat="1" applyFill="1" applyBorder="1" applyAlignment="1" applyProtection="1">
      <alignment horizontal="center" vertical="top" wrapText="1"/>
    </xf>
    <xf numFmtId="0" fontId="110" fillId="9" borderId="295" xfId="0" applyFont="1" applyFill="1" applyBorder="1" applyAlignment="1" applyProtection="1">
      <alignment horizontal="left" vertical="center"/>
      <protection hidden="1"/>
    </xf>
    <xf numFmtId="0" fontId="110" fillId="9" borderId="81" xfId="0" applyFont="1" applyFill="1" applyBorder="1" applyAlignment="1" applyProtection="1">
      <alignment horizontal="left" vertical="center"/>
      <protection hidden="1"/>
    </xf>
    <xf numFmtId="0" fontId="110" fillId="9" borderId="82" xfId="0" applyFont="1" applyFill="1" applyBorder="1" applyAlignment="1" applyProtection="1">
      <alignment horizontal="left" vertical="center"/>
      <protection hidden="1"/>
    </xf>
    <xf numFmtId="197" fontId="89" fillId="9" borderId="2" xfId="0" applyNumberFormat="1" applyFont="1" applyFill="1" applyBorder="1" applyAlignment="1" applyProtection="1">
      <alignment horizontal="center" vertical="center"/>
      <protection hidden="1"/>
    </xf>
    <xf numFmtId="197" fontId="89" fillId="9" borderId="232" xfId="0" applyNumberFormat="1" applyFont="1" applyFill="1" applyBorder="1" applyAlignment="1" applyProtection="1">
      <alignment horizontal="center" vertical="center"/>
      <protection hidden="1"/>
    </xf>
    <xf numFmtId="197" fontId="0" fillId="9" borderId="10" xfId="0" applyNumberFormat="1" applyFill="1" applyBorder="1" applyAlignment="1" applyProtection="1">
      <alignment horizontal="center" vertical="center"/>
      <protection hidden="1"/>
    </xf>
    <xf numFmtId="197" fontId="0" fillId="9" borderId="3" xfId="0" applyNumberFormat="1" applyFill="1" applyBorder="1" applyAlignment="1" applyProtection="1">
      <alignment horizontal="center" vertical="center"/>
      <protection hidden="1"/>
    </xf>
    <xf numFmtId="0" fontId="58" fillId="9" borderId="289" xfId="0" applyFont="1" applyFill="1" applyBorder="1" applyAlignment="1">
      <alignment horizontal="center" vertical="center" wrapText="1"/>
    </xf>
    <xf numFmtId="0" fontId="58" fillId="9" borderId="290" xfId="0" applyFont="1" applyFill="1" applyBorder="1" applyAlignment="1">
      <alignment horizontal="center" vertical="center" wrapText="1"/>
    </xf>
    <xf numFmtId="0" fontId="58" fillId="9" borderId="291" xfId="0" applyFont="1" applyFill="1" applyBorder="1" applyAlignment="1">
      <alignment horizontal="center" vertical="center" wrapText="1"/>
    </xf>
    <xf numFmtId="0" fontId="21" fillId="9" borderId="164" xfId="0" applyFont="1" applyFill="1" applyBorder="1" applyAlignment="1" applyProtection="1">
      <alignment horizontal="right" vertical="center" wrapText="1"/>
      <protection hidden="1"/>
    </xf>
    <xf numFmtId="0" fontId="21" fillId="9" borderId="10" xfId="0" applyFont="1" applyFill="1" applyBorder="1" applyAlignment="1" applyProtection="1">
      <alignment horizontal="right" vertical="center" wrapText="1"/>
      <protection hidden="1"/>
    </xf>
    <xf numFmtId="0" fontId="0" fillId="4" borderId="1" xfId="0" applyFill="1" applyBorder="1" applyAlignment="1" applyProtection="1">
      <alignment horizontal="center" vertical="center" wrapText="1"/>
      <protection hidden="1"/>
    </xf>
    <xf numFmtId="0" fontId="0" fillId="4" borderId="9" xfId="0" applyFill="1" applyBorder="1" applyAlignment="1" applyProtection="1">
      <alignment horizontal="center" vertical="center" wrapText="1"/>
      <protection hidden="1"/>
    </xf>
    <xf numFmtId="0" fontId="0" fillId="4" borderId="146" xfId="0" applyFill="1" applyBorder="1" applyAlignment="1" applyProtection="1">
      <alignment horizontal="center" vertical="center" wrapText="1"/>
      <protection hidden="1"/>
    </xf>
    <xf numFmtId="0" fontId="122" fillId="4" borderId="18" xfId="0" applyFont="1" applyFill="1" applyBorder="1" applyAlignment="1" applyProtection="1">
      <alignment horizontal="left" vertical="center"/>
      <protection locked="0" hidden="1"/>
    </xf>
    <xf numFmtId="0" fontId="0" fillId="9" borderId="74" xfId="0" applyFill="1" applyBorder="1" applyAlignment="1" applyProtection="1">
      <alignment horizontal="right" vertical="center" wrapText="1"/>
      <protection hidden="1"/>
    </xf>
    <xf numFmtId="0" fontId="252" fillId="9" borderId="154" xfId="0" applyFont="1" applyFill="1" applyBorder="1" applyAlignment="1" applyProtection="1">
      <alignment horizontal="center" vertical="center"/>
      <protection hidden="1"/>
    </xf>
    <xf numFmtId="0" fontId="0" fillId="9" borderId="12" xfId="0" applyFill="1" applyBorder="1" applyAlignment="1" applyProtection="1">
      <alignment horizontal="center" vertical="center"/>
      <protection hidden="1"/>
    </xf>
    <xf numFmtId="0" fontId="0" fillId="9" borderId="183" xfId="0" applyFill="1" applyBorder="1" applyAlignment="1" applyProtection="1">
      <alignment horizontal="center" vertical="center"/>
      <protection hidden="1"/>
    </xf>
    <xf numFmtId="0" fontId="110" fillId="9" borderId="255" xfId="0" applyFont="1" applyFill="1" applyBorder="1" applyAlignment="1" applyProtection="1">
      <alignment horizontal="right" vertical="center" wrapText="1"/>
      <protection hidden="1"/>
    </xf>
    <xf numFmtId="0" fontId="110" fillId="9" borderId="235" xfId="0" applyFont="1" applyFill="1" applyBorder="1" applyAlignment="1" applyProtection="1">
      <alignment horizontal="right" vertical="center" wrapText="1"/>
      <protection hidden="1"/>
    </xf>
    <xf numFmtId="10" fontId="251" fillId="6" borderId="236" xfId="3" applyNumberFormat="1" applyFont="1" applyFill="1" applyBorder="1" applyAlignment="1" applyProtection="1">
      <alignment horizontal="center" vertical="center" wrapText="1"/>
      <protection locked="0"/>
    </xf>
    <xf numFmtId="10" fontId="251" fillId="6" borderId="237" xfId="3" applyNumberFormat="1" applyFont="1" applyFill="1" applyBorder="1" applyAlignment="1" applyProtection="1">
      <alignment horizontal="center" vertical="center" wrapText="1"/>
      <protection locked="0"/>
    </xf>
    <xf numFmtId="10" fontId="251" fillId="6" borderId="256" xfId="3" applyNumberFormat="1" applyFont="1" applyFill="1" applyBorder="1" applyAlignment="1" applyProtection="1">
      <alignment horizontal="center" vertical="center" wrapText="1"/>
      <protection locked="0"/>
    </xf>
    <xf numFmtId="0" fontId="100" fillId="9" borderId="164" xfId="0" applyFont="1" applyFill="1" applyBorder="1" applyAlignment="1" applyProtection="1">
      <alignment horizontal="right" vertical="center" wrapText="1"/>
      <protection hidden="1"/>
    </xf>
    <xf numFmtId="0" fontId="0" fillId="9" borderId="9" xfId="0" applyFill="1" applyBorder="1" applyAlignment="1" applyProtection="1">
      <alignment horizontal="right" vertical="center" wrapText="1"/>
      <protection hidden="1"/>
    </xf>
    <xf numFmtId="0" fontId="0" fillId="9" borderId="10" xfId="0" applyFill="1" applyBorder="1" applyAlignment="1" applyProtection="1">
      <alignment horizontal="right" vertical="center" wrapText="1"/>
      <protection hidden="1"/>
    </xf>
    <xf numFmtId="10" fontId="0" fillId="6" borderId="1" xfId="3" applyNumberFormat="1" applyFont="1" applyFill="1" applyBorder="1" applyAlignment="1" applyProtection="1">
      <alignment horizontal="center" vertical="center"/>
      <protection locked="0"/>
    </xf>
    <xf numFmtId="10" fontId="0" fillId="6" borderId="9" xfId="3" applyNumberFormat="1" applyFont="1" applyFill="1" applyBorder="1" applyAlignment="1" applyProtection="1">
      <alignment horizontal="center" vertical="center"/>
      <protection locked="0"/>
    </xf>
    <xf numFmtId="10" fontId="0" fillId="6" borderId="146" xfId="3" applyNumberFormat="1" applyFont="1" applyFill="1" applyBorder="1" applyAlignment="1" applyProtection="1">
      <alignment horizontal="center" vertical="center"/>
      <protection locked="0"/>
    </xf>
    <xf numFmtId="0" fontId="0" fillId="9" borderId="170" xfId="0" applyFill="1" applyBorder="1" applyAlignment="1">
      <alignment horizontal="right" vertical="center"/>
    </xf>
    <xf numFmtId="0" fontId="0" fillId="9" borderId="2" xfId="0" applyFill="1" applyBorder="1" applyAlignment="1">
      <alignment horizontal="right" vertical="center"/>
    </xf>
    <xf numFmtId="0" fontId="0" fillId="9" borderId="187" xfId="0" applyFill="1" applyBorder="1" applyAlignment="1" applyProtection="1">
      <alignment horizontal="right" vertical="center" wrapText="1"/>
      <protection hidden="1"/>
    </xf>
    <xf numFmtId="0" fontId="0" fillId="9" borderId="55" xfId="0" applyFill="1" applyBorder="1" applyAlignment="1" applyProtection="1">
      <alignment horizontal="right" vertical="center" wrapText="1"/>
      <protection hidden="1"/>
    </xf>
    <xf numFmtId="10" fontId="0" fillId="0" borderId="42" xfId="3" applyNumberFormat="1" applyFont="1" applyBorder="1" applyAlignment="1" applyProtection="1">
      <alignment horizontal="center" vertical="center"/>
      <protection locked="0"/>
    </xf>
    <xf numFmtId="10" fontId="0" fillId="0" borderId="113" xfId="3" applyNumberFormat="1" applyFont="1" applyBorder="1" applyAlignment="1" applyProtection="1">
      <alignment horizontal="center" vertical="center"/>
      <protection locked="0"/>
    </xf>
    <xf numFmtId="10" fontId="0" fillId="0" borderId="173" xfId="3" applyNumberFormat="1" applyFont="1" applyBorder="1" applyAlignment="1" applyProtection="1">
      <alignment horizontal="center" vertical="center"/>
      <protection locked="0"/>
    </xf>
    <xf numFmtId="0" fontId="110" fillId="9" borderId="170" xfId="0" applyFont="1" applyFill="1" applyBorder="1" applyAlignment="1">
      <alignment horizontal="right" vertical="center"/>
    </xf>
    <xf numFmtId="0" fontId="110" fillId="9" borderId="2" xfId="0" applyFont="1" applyFill="1" applyBorder="1" applyAlignment="1">
      <alignment horizontal="right" vertical="center"/>
    </xf>
    <xf numFmtId="0" fontId="0" fillId="9" borderId="164" xfId="0" applyFill="1" applyBorder="1" applyAlignment="1" applyProtection="1">
      <alignment horizontal="right" vertical="center" wrapText="1"/>
      <protection hidden="1"/>
    </xf>
    <xf numFmtId="9" fontId="0" fillId="6" borderId="1" xfId="3" applyFont="1" applyFill="1" applyBorder="1" applyAlignment="1" applyProtection="1">
      <alignment horizontal="center" vertical="center"/>
      <protection locked="0"/>
    </xf>
    <xf numFmtId="9" fontId="0" fillId="6" borderId="9" xfId="3" applyFont="1" applyFill="1" applyBorder="1" applyAlignment="1" applyProtection="1">
      <alignment horizontal="center" vertical="center"/>
      <protection locked="0"/>
    </xf>
    <xf numFmtId="9" fontId="0" fillId="6" borderId="146" xfId="3" applyFont="1" applyFill="1" applyBorder="1" applyAlignment="1" applyProtection="1">
      <alignment horizontal="center" vertical="center"/>
      <protection locked="0"/>
    </xf>
    <xf numFmtId="0" fontId="27" fillId="9" borderId="0" xfId="0" applyFont="1" applyFill="1" applyAlignment="1" applyProtection="1">
      <alignment horizontal="center" vertical="center"/>
      <protection hidden="1"/>
    </xf>
    <xf numFmtId="178" fontId="253" fillId="9" borderId="249" xfId="0" applyNumberFormat="1" applyFont="1" applyFill="1" applyBorder="1" applyAlignment="1" applyProtection="1">
      <alignment horizontal="center" vertical="center"/>
      <protection hidden="1"/>
    </xf>
    <xf numFmtId="178" fontId="253" fillId="9" borderId="11" xfId="0" applyNumberFormat="1" applyFont="1" applyFill="1" applyBorder="1" applyAlignment="1" applyProtection="1">
      <alignment horizontal="center" vertical="center"/>
      <protection hidden="1"/>
    </xf>
    <xf numFmtId="0" fontId="162" fillId="9" borderId="234" xfId="0" applyFont="1" applyFill="1" applyBorder="1" applyAlignment="1" applyProtection="1">
      <alignment horizontal="right" vertical="center" wrapText="1"/>
      <protection hidden="1"/>
    </xf>
    <xf numFmtId="0" fontId="162" fillId="9" borderId="235" xfId="0" applyFont="1" applyFill="1" applyBorder="1" applyAlignment="1" applyProtection="1">
      <alignment horizontal="right" vertical="center" wrapText="1"/>
      <protection hidden="1"/>
    </xf>
    <xf numFmtId="6" fontId="122" fillId="9" borderId="235" xfId="0" applyNumberFormat="1" applyFont="1" applyFill="1" applyBorder="1" applyAlignment="1" applyProtection="1">
      <alignment horizontal="center" vertical="center"/>
      <protection hidden="1"/>
    </xf>
    <xf numFmtId="6" fontId="122" fillId="9" borderId="251" xfId="0" applyNumberFormat="1" applyFont="1" applyFill="1" applyBorder="1" applyAlignment="1" applyProtection="1">
      <alignment horizontal="center" vertical="center"/>
      <protection hidden="1"/>
    </xf>
    <xf numFmtId="6" fontId="122" fillId="9" borderId="237" xfId="3" applyNumberFormat="1" applyFont="1" applyFill="1" applyBorder="1" applyAlignment="1" applyProtection="1">
      <alignment horizontal="center" vertical="center"/>
      <protection hidden="1"/>
    </xf>
    <xf numFmtId="6" fontId="122" fillId="9" borderId="238" xfId="3" applyNumberFormat="1" applyFont="1" applyFill="1" applyBorder="1" applyAlignment="1" applyProtection="1">
      <alignment horizontal="center" vertical="center"/>
      <protection hidden="1"/>
    </xf>
    <xf numFmtId="178" fontId="89" fillId="0" borderId="2" xfId="0" applyNumberFormat="1" applyFont="1" applyBorder="1" applyAlignment="1" applyProtection="1">
      <alignment horizontal="center" vertical="center"/>
      <protection locked="0"/>
    </xf>
    <xf numFmtId="0" fontId="89" fillId="0" borderId="232" xfId="0" applyFont="1" applyBorder="1" applyAlignment="1" applyProtection="1">
      <alignment horizontal="center" vertical="center"/>
      <protection locked="0"/>
    </xf>
    <xf numFmtId="0" fontId="0" fillId="9" borderId="4" xfId="0" applyFill="1" applyBorder="1" applyAlignment="1" applyProtection="1">
      <alignment horizontal="right" vertical="center"/>
      <protection hidden="1"/>
    </xf>
    <xf numFmtId="0" fontId="100" fillId="9" borderId="13" xfId="0" applyFont="1" applyFill="1" applyBorder="1" applyAlignment="1" applyProtection="1">
      <alignment horizontal="right" vertical="center"/>
      <protection hidden="1"/>
    </xf>
    <xf numFmtId="0" fontId="100" fillId="9" borderId="12" xfId="0" applyFont="1" applyFill="1" applyBorder="1" applyAlignment="1" applyProtection="1">
      <alignment horizontal="right" vertical="center"/>
      <protection hidden="1"/>
    </xf>
    <xf numFmtId="178" fontId="100" fillId="9" borderId="12" xfId="0" applyNumberFormat="1" applyFont="1" applyFill="1" applyBorder="1" applyAlignment="1" applyProtection="1">
      <alignment horizontal="center" vertical="center"/>
      <protection hidden="1"/>
    </xf>
    <xf numFmtId="178" fontId="100" fillId="9" borderId="233" xfId="0" applyNumberFormat="1" applyFont="1" applyFill="1" applyBorder="1" applyAlignment="1" applyProtection="1">
      <alignment horizontal="center" vertical="center"/>
      <protection hidden="1"/>
    </xf>
    <xf numFmtId="6" fontId="102" fillId="9" borderId="263" xfId="0" applyNumberFormat="1" applyFont="1" applyFill="1" applyBorder="1" applyAlignment="1" applyProtection="1">
      <alignment horizontal="center" vertical="center"/>
      <protection hidden="1"/>
    </xf>
    <xf numFmtId="6" fontId="102" fillId="9" borderId="279" xfId="0" applyNumberFormat="1" applyFont="1" applyFill="1" applyBorder="1" applyAlignment="1" applyProtection="1">
      <alignment horizontal="center" vertical="center"/>
      <protection hidden="1"/>
    </xf>
    <xf numFmtId="6" fontId="102" fillId="9" borderId="280" xfId="0" applyNumberFormat="1" applyFont="1" applyFill="1" applyBorder="1" applyAlignment="1" applyProtection="1">
      <alignment horizontal="center" vertical="center"/>
      <protection hidden="1"/>
    </xf>
    <xf numFmtId="0" fontId="102" fillId="9" borderId="262" xfId="0" applyFont="1" applyFill="1" applyBorder="1" applyAlignment="1" applyProtection="1">
      <alignment horizontal="right" vertical="center" wrapText="1"/>
      <protection hidden="1"/>
    </xf>
    <xf numFmtId="0" fontId="102" fillId="9" borderId="263" xfId="0" applyFont="1" applyFill="1" applyBorder="1" applyAlignment="1" applyProtection="1">
      <alignment horizontal="right" vertical="center" wrapText="1"/>
      <protection hidden="1"/>
    </xf>
    <xf numFmtId="0" fontId="89" fillId="9" borderId="259" xfId="0" applyFont="1" applyFill="1" applyBorder="1" applyAlignment="1">
      <alignment horizontal="right" vertical="center"/>
    </xf>
    <xf numFmtId="0" fontId="89" fillId="9" borderId="260" xfId="0" applyFont="1" applyFill="1" applyBorder="1" applyAlignment="1">
      <alignment horizontal="right" vertical="center"/>
    </xf>
    <xf numFmtId="6" fontId="89" fillId="9" borderId="260" xfId="0" applyNumberFormat="1" applyFont="1" applyFill="1" applyBorder="1" applyAlignment="1">
      <alignment horizontal="center" vertical="center"/>
    </xf>
    <xf numFmtId="6" fontId="89" fillId="9" borderId="261" xfId="0" applyNumberFormat="1" applyFont="1" applyFill="1" applyBorder="1" applyAlignment="1">
      <alignment horizontal="center" vertical="center"/>
    </xf>
    <xf numFmtId="0" fontId="89" fillId="9" borderId="260" xfId="0" applyFont="1" applyFill="1" applyBorder="1" applyAlignment="1">
      <alignment horizontal="center" vertical="center"/>
    </xf>
    <xf numFmtId="0" fontId="58" fillId="9" borderId="264" xfId="0" applyFont="1" applyFill="1" applyBorder="1" applyAlignment="1" applyProtection="1">
      <alignment horizontal="right" vertical="center" wrapText="1"/>
      <protection hidden="1"/>
    </xf>
    <xf numFmtId="0" fontId="58" fillId="9" borderId="265" xfId="0" applyFont="1" applyFill="1" applyBorder="1" applyAlignment="1" applyProtection="1">
      <alignment horizontal="right" vertical="center" wrapText="1"/>
      <protection hidden="1"/>
    </xf>
    <xf numFmtId="6" fontId="58" fillId="9" borderId="265" xfId="0" applyNumberFormat="1" applyFont="1" applyFill="1" applyBorder="1" applyAlignment="1" applyProtection="1">
      <alignment horizontal="center" vertical="center"/>
      <protection hidden="1"/>
    </xf>
    <xf numFmtId="6" fontId="58" fillId="9" borderId="265" xfId="3" applyNumberFormat="1" applyFont="1" applyFill="1" applyBorder="1" applyAlignment="1" applyProtection="1">
      <alignment horizontal="center" vertical="center"/>
      <protection hidden="1"/>
    </xf>
    <xf numFmtId="6" fontId="58" fillId="9" borderId="266" xfId="3" applyNumberFormat="1" applyFont="1" applyFill="1" applyBorder="1" applyAlignment="1" applyProtection="1">
      <alignment horizontal="center" vertical="center"/>
      <protection hidden="1"/>
    </xf>
    <xf numFmtId="0" fontId="27" fillId="9" borderId="0" xfId="0" applyFont="1" applyFill="1" applyAlignment="1" applyProtection="1">
      <alignment horizontal="left" vertical="center"/>
      <protection hidden="1"/>
    </xf>
    <xf numFmtId="0" fontId="260" fillId="9" borderId="0" xfId="0" applyFont="1" applyFill="1" applyAlignment="1" applyProtection="1">
      <alignment horizontal="center" vertical="center" wrapText="1"/>
      <protection hidden="1"/>
    </xf>
    <xf numFmtId="0" fontId="203" fillId="9" borderId="214" xfId="0" applyFont="1" applyFill="1" applyBorder="1" applyAlignment="1" applyProtection="1">
      <alignment horizontal="right" vertical="center" wrapText="1"/>
      <protection hidden="1"/>
    </xf>
    <xf numFmtId="0" fontId="203" fillId="9" borderId="210" xfId="0" applyFont="1" applyFill="1" applyBorder="1" applyAlignment="1" applyProtection="1">
      <alignment horizontal="right" vertical="center" wrapText="1"/>
      <protection hidden="1"/>
    </xf>
    <xf numFmtId="0" fontId="122" fillId="4" borderId="179" xfId="0" applyFont="1" applyFill="1" applyBorder="1" applyAlignment="1" applyProtection="1">
      <alignment horizontal="center" vertical="center" wrapText="1"/>
      <protection hidden="1"/>
    </xf>
    <xf numFmtId="0" fontId="122" fillId="4" borderId="180" xfId="0" applyFont="1" applyFill="1" applyBorder="1" applyAlignment="1" applyProtection="1">
      <alignment horizontal="center" vertical="center" wrapText="1"/>
      <protection hidden="1"/>
    </xf>
    <xf numFmtId="0" fontId="122" fillId="4" borderId="181" xfId="0" applyFont="1" applyFill="1" applyBorder="1" applyAlignment="1" applyProtection="1">
      <alignment horizontal="center" vertical="center" wrapText="1"/>
      <protection hidden="1"/>
    </xf>
    <xf numFmtId="0" fontId="122" fillId="4" borderId="182" xfId="0" applyFont="1" applyFill="1" applyBorder="1" applyAlignment="1" applyProtection="1">
      <alignment horizontal="center" vertical="center" wrapText="1"/>
      <protection hidden="1"/>
    </xf>
    <xf numFmtId="0" fontId="122" fillId="4" borderId="28" xfId="0" applyFont="1" applyFill="1" applyBorder="1" applyAlignment="1" applyProtection="1">
      <alignment horizontal="center" vertical="center" wrapText="1"/>
      <protection hidden="1"/>
    </xf>
    <xf numFmtId="0" fontId="122" fillId="4" borderId="174" xfId="0" applyFont="1" applyFill="1" applyBorder="1" applyAlignment="1" applyProtection="1">
      <alignment horizontal="center" vertical="center" wrapText="1"/>
      <protection hidden="1"/>
    </xf>
    <xf numFmtId="0" fontId="102" fillId="9" borderId="164" xfId="0" applyFont="1" applyFill="1" applyBorder="1" applyAlignment="1">
      <alignment horizontal="right" vertical="center"/>
    </xf>
    <xf numFmtId="0" fontId="102" fillId="9" borderId="10" xfId="0" applyFont="1" applyFill="1" applyBorder="1" applyAlignment="1">
      <alignment horizontal="right" vertical="center"/>
    </xf>
    <xf numFmtId="14" fontId="96" fillId="0" borderId="236" xfId="0" applyNumberFormat="1" applyFont="1" applyBorder="1" applyAlignment="1" applyProtection="1">
      <alignment horizontal="center" vertical="center"/>
      <protection locked="0"/>
    </xf>
    <xf numFmtId="14" fontId="96" fillId="0" borderId="237" xfId="0" applyNumberFormat="1" applyFont="1" applyBorder="1" applyAlignment="1" applyProtection="1">
      <alignment horizontal="center" vertical="center"/>
      <protection locked="0"/>
    </xf>
    <xf numFmtId="14" fontId="96" fillId="0" borderId="238" xfId="0" applyNumberFormat="1" applyFont="1" applyBorder="1" applyAlignment="1" applyProtection="1">
      <alignment horizontal="center" vertical="center"/>
      <protection locked="0"/>
    </xf>
    <xf numFmtId="0" fontId="122" fillId="4" borderId="206" xfId="0" applyFont="1" applyFill="1" applyBorder="1" applyAlignment="1">
      <alignment horizontal="center" vertical="center" wrapText="1"/>
    </xf>
    <xf numFmtId="0" fontId="122" fillId="4" borderId="78" xfId="0" applyFont="1" applyFill="1" applyBorder="1" applyAlignment="1">
      <alignment horizontal="center" vertical="center" wrapText="1"/>
    </xf>
    <xf numFmtId="0" fontId="122" fillId="4" borderId="253" xfId="0" applyFont="1" applyFill="1" applyBorder="1" applyAlignment="1">
      <alignment horizontal="center" vertical="center" wrapText="1"/>
    </xf>
    <xf numFmtId="0" fontId="122" fillId="9" borderId="282" xfId="0" applyFont="1" applyFill="1" applyBorder="1" applyAlignment="1" applyProtection="1">
      <alignment horizontal="right" vertical="center"/>
      <protection hidden="1"/>
    </xf>
    <xf numFmtId="0" fontId="122" fillId="9" borderId="237" xfId="0" applyFont="1" applyFill="1" applyBorder="1" applyAlignment="1" applyProtection="1">
      <alignment horizontal="right" vertical="center"/>
      <protection hidden="1"/>
    </xf>
    <xf numFmtId="0" fontId="122" fillId="9" borderId="283" xfId="0" applyFont="1" applyFill="1" applyBorder="1" applyAlignment="1" applyProtection="1">
      <alignment horizontal="right" vertical="center"/>
      <protection hidden="1"/>
    </xf>
    <xf numFmtId="14" fontId="0" fillId="0" borderId="1"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0" fontId="0" fillId="9" borderId="164" xfId="0" applyFill="1" applyBorder="1" applyAlignment="1">
      <alignment horizontal="right" vertical="center"/>
    </xf>
    <xf numFmtId="0" fontId="0" fillId="9" borderId="10" xfId="0" applyFill="1" applyBorder="1" applyAlignment="1">
      <alignment horizontal="right" vertical="center"/>
    </xf>
    <xf numFmtId="8" fontId="110" fillId="0" borderId="80" xfId="0" applyNumberFormat="1" applyFont="1" applyBorder="1" applyAlignment="1" applyProtection="1">
      <alignment horizontal="center" vertical="center"/>
      <protection locked="0"/>
    </xf>
    <xf numFmtId="8" fontId="110" fillId="0" borderId="81" xfId="0" applyNumberFormat="1" applyFont="1" applyBorder="1" applyAlignment="1" applyProtection="1">
      <alignment horizontal="center" vertical="center"/>
      <protection locked="0"/>
    </xf>
    <xf numFmtId="8" fontId="110" fillId="0" borderId="252" xfId="0" applyNumberFormat="1" applyFont="1" applyBorder="1" applyAlignment="1" applyProtection="1">
      <alignment horizontal="center" vertical="center"/>
      <protection locked="0"/>
    </xf>
    <xf numFmtId="0" fontId="122" fillId="4" borderId="178" xfId="0" applyFont="1" applyFill="1" applyBorder="1" applyAlignment="1" applyProtection="1">
      <alignment horizontal="center" vertical="center" wrapText="1"/>
      <protection hidden="1"/>
    </xf>
    <xf numFmtId="0" fontId="122" fillId="4" borderId="171" xfId="0" applyFont="1" applyFill="1" applyBorder="1" applyAlignment="1" applyProtection="1">
      <alignment horizontal="center" vertical="center" wrapText="1"/>
      <protection hidden="1"/>
    </xf>
    <xf numFmtId="0" fontId="122" fillId="4" borderId="172" xfId="0" applyFont="1" applyFill="1" applyBorder="1" applyAlignment="1" applyProtection="1">
      <alignment horizontal="center" vertical="center" wrapText="1"/>
      <protection hidden="1"/>
    </xf>
    <xf numFmtId="0" fontId="0" fillId="9" borderId="170" xfId="0" applyFill="1" applyBorder="1" applyAlignment="1" applyProtection="1">
      <alignment horizontal="right" vertical="center"/>
      <protection hidden="1"/>
    </xf>
    <xf numFmtId="14" fontId="0" fillId="0" borderId="146" xfId="0" applyNumberFormat="1" applyBorder="1" applyAlignment="1" applyProtection="1">
      <alignment horizontal="center" vertical="center"/>
      <protection locked="0"/>
    </xf>
    <xf numFmtId="0" fontId="100" fillId="9" borderId="170" xfId="0" applyFont="1" applyFill="1" applyBorder="1" applyAlignment="1" applyProtection="1">
      <alignment horizontal="right" vertical="center" wrapText="1"/>
      <protection hidden="1"/>
    </xf>
    <xf numFmtId="0" fontId="100" fillId="9" borderId="2" xfId="0" applyFont="1" applyFill="1" applyBorder="1" applyAlignment="1" applyProtection="1">
      <alignment horizontal="right" vertical="center" wrapText="1"/>
      <protection hidden="1"/>
    </xf>
    <xf numFmtId="0" fontId="100" fillId="6" borderId="1" xfId="0" applyFont="1" applyFill="1" applyBorder="1" applyAlignment="1" applyProtection="1">
      <alignment horizontal="center" vertical="center"/>
      <protection locked="0"/>
    </xf>
    <xf numFmtId="0" fontId="100" fillId="6" borderId="9" xfId="0" applyFont="1" applyFill="1" applyBorder="1" applyAlignment="1" applyProtection="1">
      <alignment horizontal="center" vertical="center"/>
      <protection locked="0"/>
    </xf>
    <xf numFmtId="0" fontId="100" fillId="6" borderId="146" xfId="0" applyFont="1" applyFill="1" applyBorder="1" applyAlignment="1" applyProtection="1">
      <alignment horizontal="center" vertical="center"/>
      <protection locked="0"/>
    </xf>
    <xf numFmtId="0" fontId="107" fillId="4" borderId="179" xfId="0" applyFont="1" applyFill="1" applyBorder="1" applyAlignment="1" applyProtection="1">
      <alignment horizontal="center" vertical="center" wrapText="1"/>
      <protection hidden="1"/>
    </xf>
    <xf numFmtId="0" fontId="107" fillId="4" borderId="180" xfId="0" applyFont="1" applyFill="1" applyBorder="1" applyAlignment="1" applyProtection="1">
      <alignment horizontal="center" vertical="center" wrapText="1"/>
      <protection hidden="1"/>
    </xf>
    <xf numFmtId="0" fontId="107" fillId="4" borderId="211" xfId="0" applyFont="1" applyFill="1" applyBorder="1" applyAlignment="1" applyProtection="1">
      <alignment horizontal="center" vertical="center" wrapText="1"/>
      <protection hidden="1"/>
    </xf>
    <xf numFmtId="0" fontId="107" fillId="4" borderId="182" xfId="0" applyFont="1" applyFill="1" applyBorder="1" applyAlignment="1" applyProtection="1">
      <alignment horizontal="center" vertical="center" wrapText="1"/>
      <protection hidden="1"/>
    </xf>
    <xf numFmtId="0" fontId="107" fillId="4" borderId="28" xfId="0" applyFont="1" applyFill="1" applyBorder="1" applyAlignment="1" applyProtection="1">
      <alignment horizontal="center" vertical="center" wrapText="1"/>
      <protection hidden="1"/>
    </xf>
    <xf numFmtId="0" fontId="107" fillId="4" borderId="56" xfId="0" applyFont="1" applyFill="1" applyBorder="1" applyAlignment="1" applyProtection="1">
      <alignment horizontal="center" vertical="center" wrapText="1"/>
      <protection hidden="1"/>
    </xf>
    <xf numFmtId="14" fontId="0" fillId="9" borderId="1" xfId="0" applyNumberFormat="1" applyFill="1" applyBorder="1" applyAlignment="1" applyProtection="1">
      <alignment horizontal="center" vertical="center"/>
      <protection hidden="1"/>
    </xf>
    <xf numFmtId="14" fontId="0" fillId="9" borderId="9" xfId="0" applyNumberFormat="1" applyFill="1" applyBorder="1" applyAlignment="1" applyProtection="1">
      <alignment horizontal="center" vertical="center"/>
      <protection hidden="1"/>
    </xf>
    <xf numFmtId="0" fontId="280" fillId="4" borderId="179" xfId="0" applyFont="1" applyFill="1" applyBorder="1" applyAlignment="1" applyProtection="1">
      <alignment horizontal="center" vertical="center" wrapText="1"/>
      <protection hidden="1"/>
    </xf>
    <xf numFmtId="0" fontId="280" fillId="4" borderId="180" xfId="0" applyFont="1" applyFill="1" applyBorder="1" applyAlignment="1" applyProtection="1">
      <alignment horizontal="center" vertical="center" wrapText="1"/>
      <protection hidden="1"/>
    </xf>
    <xf numFmtId="0" fontId="280" fillId="4" borderId="181" xfId="0" applyFont="1" applyFill="1" applyBorder="1" applyAlignment="1" applyProtection="1">
      <alignment horizontal="center" vertical="center" wrapText="1"/>
      <protection hidden="1"/>
    </xf>
    <xf numFmtId="0" fontId="280" fillId="4" borderId="182" xfId="0" applyFont="1" applyFill="1" applyBorder="1" applyAlignment="1" applyProtection="1">
      <alignment horizontal="center" vertical="center" wrapText="1"/>
      <protection hidden="1"/>
    </xf>
    <xf numFmtId="0" fontId="280" fillId="4" borderId="28" xfId="0" applyFont="1" applyFill="1" applyBorder="1" applyAlignment="1" applyProtection="1">
      <alignment horizontal="center" vertical="center" wrapText="1"/>
      <protection hidden="1"/>
    </xf>
    <xf numFmtId="0" fontId="280" fillId="4" borderId="174" xfId="0" applyFont="1" applyFill="1" applyBorder="1" applyAlignment="1" applyProtection="1">
      <alignment horizontal="center" vertical="center" wrapText="1"/>
      <protection hidden="1"/>
    </xf>
    <xf numFmtId="8" fontId="100" fillId="9" borderId="10" xfId="0" applyNumberFormat="1" applyFont="1" applyFill="1" applyBorder="1" applyAlignment="1" applyProtection="1">
      <alignment horizontal="center" vertical="center"/>
      <protection hidden="1"/>
    </xf>
    <xf numFmtId="8" fontId="100" fillId="9" borderId="3" xfId="0" applyNumberFormat="1" applyFont="1" applyFill="1" applyBorder="1" applyAlignment="1" applyProtection="1">
      <alignment horizontal="center" vertical="center"/>
      <protection hidden="1"/>
    </xf>
    <xf numFmtId="0" fontId="105" fillId="9" borderId="113" xfId="0" applyFont="1" applyFill="1" applyBorder="1" applyAlignment="1" applyProtection="1">
      <alignment horizontal="center" vertical="center" wrapText="1"/>
      <protection hidden="1"/>
    </xf>
    <xf numFmtId="0" fontId="105" fillId="9" borderId="58" xfId="0" applyFont="1" applyFill="1" applyBorder="1" applyAlignment="1" applyProtection="1">
      <alignment horizontal="center" vertical="center" wrapText="1"/>
      <protection hidden="1"/>
    </xf>
    <xf numFmtId="0" fontId="105" fillId="9" borderId="0" xfId="0" applyFont="1" applyFill="1" applyAlignment="1" applyProtection="1">
      <alignment horizontal="center" vertical="center" wrapText="1"/>
      <protection hidden="1"/>
    </xf>
    <xf numFmtId="0" fontId="105" fillId="9" borderId="15" xfId="0" applyFont="1" applyFill="1" applyBorder="1" applyAlignment="1" applyProtection="1">
      <alignment horizontal="center" vertical="center" wrapText="1"/>
      <protection hidden="1"/>
    </xf>
    <xf numFmtId="0" fontId="105" fillId="9" borderId="28" xfId="0" applyFont="1" applyFill="1" applyBorder="1" applyAlignment="1" applyProtection="1">
      <alignment horizontal="center" vertical="center" wrapText="1"/>
      <protection hidden="1"/>
    </xf>
    <xf numFmtId="0" fontId="105" fillId="9" borderId="57" xfId="0" applyFont="1" applyFill="1" applyBorder="1" applyAlignment="1" applyProtection="1">
      <alignment horizontal="center" vertical="center" wrapText="1"/>
      <protection hidden="1"/>
    </xf>
    <xf numFmtId="2" fontId="0" fillId="9" borderId="10" xfId="0" applyNumberFormat="1" applyFill="1" applyBorder="1" applyAlignment="1" applyProtection="1">
      <alignment horizontal="center" vertical="center"/>
      <protection hidden="1"/>
    </xf>
    <xf numFmtId="2" fontId="0" fillId="9" borderId="3" xfId="0" applyNumberFormat="1" applyFill="1" applyBorder="1" applyAlignment="1" applyProtection="1">
      <alignment horizontal="center" vertical="center"/>
      <protection hidden="1"/>
    </xf>
    <xf numFmtId="8" fontId="154" fillId="9" borderId="2" xfId="0" applyNumberFormat="1" applyFont="1" applyFill="1" applyBorder="1" applyAlignment="1" applyProtection="1">
      <alignment horizontal="center" vertical="center"/>
      <protection hidden="1"/>
    </xf>
    <xf numFmtId="8" fontId="154" fillId="9" borderId="232" xfId="0" applyNumberFormat="1" applyFont="1" applyFill="1" applyBorder="1" applyAlignment="1" applyProtection="1">
      <alignment horizontal="center" vertical="center"/>
      <protection hidden="1"/>
    </xf>
    <xf numFmtId="0" fontId="100" fillId="9" borderId="68" xfId="0" applyFont="1" applyFill="1" applyBorder="1" applyAlignment="1" applyProtection="1">
      <alignment horizontal="right" vertical="center"/>
      <protection hidden="1"/>
    </xf>
    <xf numFmtId="0" fontId="100" fillId="9" borderId="9" xfId="0" applyFont="1" applyFill="1" applyBorder="1" applyAlignment="1" applyProtection="1">
      <alignment horizontal="right" vertical="center"/>
      <protection hidden="1"/>
    </xf>
    <xf numFmtId="0" fontId="100" fillId="9" borderId="10" xfId="0" applyFont="1" applyFill="1" applyBorder="1" applyAlignment="1" applyProtection="1">
      <alignment horizontal="right" vertical="center"/>
      <protection hidden="1"/>
    </xf>
    <xf numFmtId="0" fontId="115" fillId="9" borderId="164" xfId="0" applyFont="1" applyFill="1" applyBorder="1" applyAlignment="1" applyProtection="1">
      <alignment horizontal="right" vertical="center" wrapText="1"/>
      <protection hidden="1"/>
    </xf>
    <xf numFmtId="0" fontId="115" fillId="9" borderId="10" xfId="0" applyFont="1" applyFill="1" applyBorder="1" applyAlignment="1" applyProtection="1">
      <alignment horizontal="right" vertical="center" wrapText="1"/>
      <protection hidden="1"/>
    </xf>
    <xf numFmtId="0" fontId="211" fillId="9" borderId="292" xfId="0" applyFont="1" applyFill="1" applyBorder="1" applyAlignment="1" applyProtection="1">
      <alignment horizontal="right" vertical="center" wrapText="1"/>
      <protection hidden="1"/>
    </xf>
    <xf numFmtId="0" fontId="211" fillId="9" borderId="129" xfId="0" applyFont="1" applyFill="1" applyBorder="1" applyAlignment="1" applyProtection="1">
      <alignment horizontal="right" vertical="center" wrapText="1"/>
      <protection hidden="1"/>
    </xf>
    <xf numFmtId="2" fontId="89" fillId="9" borderId="2" xfId="0" applyNumberFormat="1" applyFont="1" applyFill="1" applyBorder="1" applyAlignment="1" applyProtection="1">
      <alignment horizontal="center" vertical="center"/>
      <protection hidden="1"/>
    </xf>
    <xf numFmtId="2" fontId="89" fillId="9" borderId="232" xfId="0" applyNumberFormat="1" applyFont="1" applyFill="1" applyBorder="1" applyAlignment="1" applyProtection="1">
      <alignment horizontal="center" vertical="center"/>
      <protection hidden="1"/>
    </xf>
    <xf numFmtId="0" fontId="203" fillId="9" borderId="293" xfId="0" applyFont="1" applyFill="1" applyBorder="1" applyAlignment="1" applyProtection="1">
      <alignment horizontal="right" vertical="center" wrapText="1"/>
      <protection hidden="1"/>
    </xf>
    <xf numFmtId="0" fontId="203" fillId="9" borderId="294" xfId="0" applyFont="1" applyFill="1" applyBorder="1" applyAlignment="1" applyProtection="1">
      <alignment horizontal="right" vertical="center" wrapText="1"/>
      <protection hidden="1"/>
    </xf>
    <xf numFmtId="178" fontId="154" fillId="0" borderId="12" xfId="0" applyNumberFormat="1" applyFont="1" applyBorder="1" applyAlignment="1" applyProtection="1">
      <alignment horizontal="center" vertical="center"/>
      <protection locked="0"/>
    </xf>
    <xf numFmtId="178" fontId="154" fillId="0" borderId="233" xfId="0" applyNumberFormat="1" applyFont="1" applyBorder="1" applyAlignment="1" applyProtection="1">
      <alignment horizontal="center" vertical="center"/>
      <protection locked="0"/>
    </xf>
    <xf numFmtId="0" fontId="122" fillId="4" borderId="16" xfId="0" applyFont="1" applyFill="1" applyBorder="1" applyAlignment="1">
      <alignment horizontal="left" vertical="center"/>
    </xf>
    <xf numFmtId="0" fontId="122" fillId="4" borderId="18" xfId="0" applyFont="1" applyFill="1" applyBorder="1" applyAlignment="1">
      <alignment horizontal="left" vertical="center"/>
    </xf>
    <xf numFmtId="10" fontId="0" fillId="0" borderId="21" xfId="0" applyNumberFormat="1" applyBorder="1" applyAlignment="1" applyProtection="1">
      <alignment horizontal="center" vertical="center"/>
      <protection locked="0"/>
    </xf>
    <xf numFmtId="10" fontId="0" fillId="0" borderId="22" xfId="0" applyNumberFormat="1" applyBorder="1" applyAlignment="1" applyProtection="1">
      <alignment horizontal="center" vertical="center"/>
      <protection locked="0"/>
    </xf>
    <xf numFmtId="0" fontId="259" fillId="9" borderId="0" xfId="0" applyFont="1" applyFill="1" applyAlignment="1">
      <alignment horizontal="left" vertical="top" wrapText="1"/>
    </xf>
    <xf numFmtId="0" fontId="259" fillId="9" borderId="0" xfId="0" applyFont="1" applyFill="1" applyAlignment="1" applyProtection="1">
      <alignment horizontal="left" vertical="center" wrapText="1"/>
      <protection hidden="1"/>
    </xf>
    <xf numFmtId="0" fontId="21" fillId="9" borderId="154" xfId="0" applyFont="1" applyFill="1" applyBorder="1" applyAlignment="1" applyProtection="1">
      <alignment horizontal="right" vertical="center" wrapText="1"/>
      <protection hidden="1"/>
    </xf>
    <xf numFmtId="0" fontId="21" fillId="9" borderId="155" xfId="0" applyFont="1" applyFill="1" applyBorder="1" applyAlignment="1" applyProtection="1">
      <alignment horizontal="right" vertical="center" wrapText="1"/>
      <protection hidden="1"/>
    </xf>
    <xf numFmtId="8" fontId="100" fillId="9" borderId="175" xfId="0" applyNumberFormat="1" applyFont="1" applyFill="1" applyBorder="1" applyAlignment="1" applyProtection="1">
      <alignment horizontal="center" vertical="center"/>
      <protection hidden="1"/>
    </xf>
    <xf numFmtId="8" fontId="100" fillId="9" borderId="176" xfId="0" applyNumberFormat="1" applyFont="1" applyFill="1" applyBorder="1" applyAlignment="1" applyProtection="1">
      <alignment horizontal="center" vertical="center"/>
      <protection hidden="1"/>
    </xf>
    <xf numFmtId="8" fontId="100" fillId="9" borderId="231" xfId="0" applyNumberFormat="1" applyFont="1" applyFill="1" applyBorder="1" applyAlignment="1" applyProtection="1">
      <alignment horizontal="center" vertical="center"/>
      <protection hidden="1"/>
    </xf>
    <xf numFmtId="8" fontId="0" fillId="0" borderId="0" xfId="0" applyNumberForma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0" fillId="0" borderId="10" xfId="0" applyBorder="1" applyAlignment="1">
      <alignment horizontal="center" vertical="center"/>
    </xf>
    <xf numFmtId="6" fontId="96" fillId="9" borderId="235" xfId="0" applyNumberFormat="1" applyFont="1" applyFill="1" applyBorder="1" applyAlignment="1" applyProtection="1">
      <alignment horizontal="center" vertical="center"/>
      <protection hidden="1"/>
    </xf>
    <xf numFmtId="6" fontId="96" fillId="9" borderId="251" xfId="0" applyNumberFormat="1" applyFont="1" applyFill="1" applyBorder="1" applyAlignment="1" applyProtection="1">
      <alignment horizontal="center" vertical="center"/>
      <protection hidden="1"/>
    </xf>
    <xf numFmtId="178" fontId="0" fillId="0" borderId="2" xfId="0" applyNumberFormat="1" applyBorder="1" applyAlignment="1" applyProtection="1">
      <alignment horizontal="center" vertical="center"/>
      <protection locked="0"/>
    </xf>
    <xf numFmtId="178" fontId="0" fillId="0" borderId="232" xfId="0" applyNumberFormat="1" applyBorder="1" applyAlignment="1" applyProtection="1">
      <alignment horizontal="center" vertical="center"/>
      <protection locked="0"/>
    </xf>
    <xf numFmtId="8" fontId="0" fillId="9" borderId="1" xfId="0" applyNumberFormat="1" applyFill="1" applyBorder="1" applyAlignment="1" applyProtection="1">
      <alignment horizontal="center" vertical="center"/>
      <protection hidden="1"/>
    </xf>
    <xf numFmtId="8" fontId="0" fillId="9" borderId="9" xfId="0" applyNumberFormat="1" applyFill="1" applyBorder="1" applyAlignment="1" applyProtection="1">
      <alignment horizontal="center" vertical="center"/>
      <protection hidden="1"/>
    </xf>
    <xf numFmtId="8" fontId="0" fillId="9" borderId="146" xfId="0" applyNumberFormat="1" applyFill="1" applyBorder="1" applyAlignment="1" applyProtection="1">
      <alignment horizontal="center" vertical="center"/>
      <protection hidden="1"/>
    </xf>
    <xf numFmtId="6" fontId="122" fillId="9" borderId="283" xfId="0" applyNumberFormat="1" applyFont="1" applyFill="1" applyBorder="1" applyAlignment="1" applyProtection="1">
      <alignment horizontal="center" vertical="center"/>
      <protection hidden="1"/>
    </xf>
    <xf numFmtId="6" fontId="122" fillId="9" borderId="284" xfId="0" applyNumberFormat="1" applyFont="1" applyFill="1" applyBorder="1" applyAlignment="1" applyProtection="1">
      <alignment horizontal="center" vertical="center"/>
      <protection hidden="1"/>
    </xf>
    <xf numFmtId="6" fontId="264" fillId="9" borderId="281" xfId="0" applyNumberFormat="1" applyFont="1" applyFill="1" applyBorder="1" applyAlignment="1" applyProtection="1">
      <alignment horizontal="center" vertical="center"/>
      <protection hidden="1"/>
    </xf>
    <xf numFmtId="6" fontId="264" fillId="9" borderId="184" xfId="0" applyNumberFormat="1" applyFont="1" applyFill="1" applyBorder="1" applyAlignment="1" applyProtection="1">
      <alignment horizontal="center" vertical="center"/>
      <protection hidden="1"/>
    </xf>
    <xf numFmtId="6" fontId="122" fillId="0" borderId="250" xfId="0" applyNumberFormat="1" applyFont="1" applyBorder="1" applyAlignment="1" applyProtection="1">
      <alignment horizontal="center" vertical="center" wrapText="1"/>
      <protection locked="0" hidden="1"/>
    </xf>
    <xf numFmtId="6" fontId="122" fillId="0" borderId="257" xfId="0" applyNumberFormat="1" applyFont="1" applyBorder="1" applyAlignment="1" applyProtection="1">
      <alignment horizontal="center" vertical="center" wrapText="1"/>
      <protection locked="0" hidden="1"/>
    </xf>
    <xf numFmtId="6" fontId="122" fillId="0" borderId="258" xfId="0" applyNumberFormat="1" applyFont="1" applyBorder="1" applyAlignment="1" applyProtection="1">
      <alignment horizontal="center" vertical="center" wrapText="1"/>
      <protection locked="0" hidden="1"/>
    </xf>
    <xf numFmtId="0" fontId="110" fillId="9" borderId="164" xfId="0" applyFont="1" applyFill="1" applyBorder="1" applyAlignment="1" applyProtection="1">
      <alignment horizontal="right" vertical="center" wrapText="1"/>
      <protection hidden="1"/>
    </xf>
    <xf numFmtId="0" fontId="110" fillId="9" borderId="9" xfId="0" applyFont="1" applyFill="1" applyBorder="1" applyAlignment="1" applyProtection="1">
      <alignment horizontal="right" vertical="center" wrapText="1"/>
      <protection hidden="1"/>
    </xf>
    <xf numFmtId="0" fontId="110" fillId="9" borderId="10" xfId="0" applyFont="1" applyFill="1" applyBorder="1" applyAlignment="1" applyProtection="1">
      <alignment horizontal="right" vertical="center" wrapText="1"/>
      <protection hidden="1"/>
    </xf>
    <xf numFmtId="8" fontId="122" fillId="9" borderId="1" xfId="0" quotePrefix="1" applyNumberFormat="1" applyFont="1" applyFill="1" applyBorder="1" applyAlignment="1" applyProtection="1">
      <alignment horizontal="center" vertical="center"/>
      <protection hidden="1"/>
    </xf>
    <xf numFmtId="8" fontId="122" fillId="9" borderId="9" xfId="0" quotePrefix="1" applyNumberFormat="1" applyFont="1" applyFill="1" applyBorder="1" applyAlignment="1" applyProtection="1">
      <alignment horizontal="center" vertical="center"/>
      <protection hidden="1"/>
    </xf>
    <xf numFmtId="8" fontId="122" fillId="9" borderId="146" xfId="0" quotePrefix="1" applyNumberFormat="1" applyFont="1" applyFill="1" applyBorder="1" applyAlignment="1" applyProtection="1">
      <alignment horizontal="center" vertical="center"/>
      <protection hidden="1"/>
    </xf>
    <xf numFmtId="0" fontId="0" fillId="9" borderId="164" xfId="0" applyFill="1" applyBorder="1" applyAlignment="1" applyProtection="1">
      <alignment horizontal="right" vertical="center"/>
      <protection hidden="1"/>
    </xf>
    <xf numFmtId="0" fontId="0" fillId="9" borderId="9" xfId="0" applyFill="1" applyBorder="1" applyAlignment="1" applyProtection="1">
      <alignment horizontal="right" vertical="center"/>
      <protection hidden="1"/>
    </xf>
    <xf numFmtId="0" fontId="0" fillId="9" borderId="10" xfId="0" applyFill="1" applyBorder="1" applyAlignment="1" applyProtection="1">
      <alignment horizontal="right" vertical="center"/>
      <protection hidden="1"/>
    </xf>
    <xf numFmtId="0" fontId="0" fillId="9" borderId="1" xfId="0" applyFill="1" applyBorder="1" applyAlignment="1" applyProtection="1">
      <alignment horizontal="right" vertical="center"/>
      <protection hidden="1"/>
    </xf>
    <xf numFmtId="0" fontId="0" fillId="0" borderId="28" xfId="0" applyBorder="1" applyAlignment="1">
      <alignment horizontal="center" vertical="center" wrapText="1"/>
    </xf>
    <xf numFmtId="0" fontId="0" fillId="0" borderId="2" xfId="0" applyBorder="1" applyAlignment="1">
      <alignment horizontal="center" vertical="center" wrapText="1"/>
    </xf>
    <xf numFmtId="0" fontId="100" fillId="9" borderId="4" xfId="0" applyFont="1" applyFill="1" applyBorder="1" applyAlignment="1" applyProtection="1">
      <alignment horizontal="right" vertical="center"/>
      <protection hidden="1"/>
    </xf>
    <xf numFmtId="0" fontId="100" fillId="9" borderId="2" xfId="0" applyFont="1" applyFill="1" applyBorder="1" applyAlignment="1" applyProtection="1">
      <alignment horizontal="right" vertical="center"/>
      <protection hidden="1"/>
    </xf>
    <xf numFmtId="0" fontId="100" fillId="9" borderId="21" xfId="0" applyFont="1" applyFill="1" applyBorder="1" applyAlignment="1">
      <alignment horizontal="right" vertical="center"/>
    </xf>
    <xf numFmtId="0" fontId="122" fillId="9" borderId="282" xfId="0" applyFont="1" applyFill="1" applyBorder="1" applyAlignment="1">
      <alignment horizontal="right" vertical="center" wrapText="1"/>
    </xf>
    <xf numFmtId="0" fontId="122" fillId="9" borderId="237" xfId="0" applyFont="1" applyFill="1" applyBorder="1" applyAlignment="1">
      <alignment horizontal="right" vertical="center" wrapText="1"/>
    </xf>
    <xf numFmtId="0" fontId="122" fillId="9" borderId="283" xfId="0" applyFont="1" applyFill="1" applyBorder="1" applyAlignment="1">
      <alignment horizontal="right" vertical="center" wrapText="1"/>
    </xf>
    <xf numFmtId="0" fontId="122" fillId="4" borderId="179" xfId="0" applyFont="1" applyFill="1" applyBorder="1" applyAlignment="1">
      <alignment horizontal="left" vertical="center" wrapText="1"/>
    </xf>
    <xf numFmtId="0" fontId="122" fillId="4" borderId="180" xfId="0" applyFont="1" applyFill="1" applyBorder="1" applyAlignment="1">
      <alignment horizontal="left" vertical="center"/>
    </xf>
    <xf numFmtId="0" fontId="122" fillId="4" borderId="211" xfId="0" applyFont="1" applyFill="1" applyBorder="1" applyAlignment="1">
      <alignment horizontal="left" vertical="center"/>
    </xf>
    <xf numFmtId="0" fontId="122" fillId="4" borderId="182" xfId="0" applyFont="1" applyFill="1" applyBorder="1" applyAlignment="1">
      <alignment horizontal="left" vertical="center"/>
    </xf>
    <xf numFmtId="0" fontId="122" fillId="4" borderId="28" xfId="0" applyFont="1" applyFill="1" applyBorder="1" applyAlignment="1">
      <alignment horizontal="left" vertical="center"/>
    </xf>
    <xf numFmtId="0" fontId="122" fillId="4" borderId="56" xfId="0" applyFont="1" applyFill="1" applyBorder="1" applyAlignment="1">
      <alignment horizontal="left" vertical="center"/>
    </xf>
    <xf numFmtId="0" fontId="100" fillId="9" borderId="214" xfId="0" applyFont="1" applyFill="1" applyBorder="1" applyAlignment="1" applyProtection="1">
      <alignment horizontal="right" vertical="center"/>
      <protection hidden="1"/>
    </xf>
    <xf numFmtId="0" fontId="100" fillId="9" borderId="176" xfId="0" applyFont="1" applyFill="1" applyBorder="1" applyAlignment="1" applyProtection="1">
      <alignment horizontal="right" vertical="center"/>
      <protection hidden="1"/>
    </xf>
    <xf numFmtId="0" fontId="100" fillId="9" borderId="210" xfId="0" applyFont="1" applyFill="1" applyBorder="1" applyAlignment="1" applyProtection="1">
      <alignment horizontal="right" vertical="center"/>
      <protection hidden="1"/>
    </xf>
    <xf numFmtId="0" fontId="100" fillId="9" borderId="2" xfId="0" applyFont="1" applyFill="1" applyBorder="1" applyAlignment="1">
      <alignment horizontal="right" vertical="center"/>
    </xf>
    <xf numFmtId="188" fontId="89" fillId="9" borderId="2" xfId="0" applyNumberFormat="1" applyFont="1" applyFill="1" applyBorder="1" applyAlignment="1" applyProtection="1">
      <alignment horizontal="center" vertical="center"/>
      <protection hidden="1"/>
    </xf>
    <xf numFmtId="0" fontId="259" fillId="9" borderId="185" xfId="0" applyFont="1" applyFill="1" applyBorder="1" applyAlignment="1" applyProtection="1">
      <alignment horizontal="left" vertical="center" wrapText="1"/>
      <protection hidden="1"/>
    </xf>
    <xf numFmtId="0" fontId="259" fillId="9" borderId="153" xfId="0" applyFont="1" applyFill="1" applyBorder="1" applyAlignment="1" applyProtection="1">
      <alignment horizontal="left" vertical="center" wrapText="1"/>
      <protection hidden="1"/>
    </xf>
    <xf numFmtId="0" fontId="100" fillId="9" borderId="154" xfId="0" applyFont="1" applyFill="1" applyBorder="1" applyAlignment="1">
      <alignment horizontal="right" vertical="center"/>
    </xf>
    <xf numFmtId="0" fontId="100" fillId="9" borderId="12" xfId="0" applyFont="1" applyFill="1" applyBorder="1" applyAlignment="1">
      <alignment horizontal="right" vertical="center"/>
    </xf>
    <xf numFmtId="0" fontId="63" fillId="9" borderId="0" xfId="2" applyNumberFormat="1" applyFill="1" applyBorder="1" applyAlignment="1" applyProtection="1">
      <alignment horizontal="center" vertical="center"/>
    </xf>
    <xf numFmtId="0" fontId="109" fillId="9" borderId="68" xfId="0" applyFont="1" applyFill="1" applyBorder="1" applyAlignment="1" applyProtection="1">
      <alignment horizontal="right" vertical="center" wrapText="1"/>
      <protection hidden="1"/>
    </xf>
    <xf numFmtId="0" fontId="109" fillId="9" borderId="9" xfId="0" applyFont="1" applyFill="1" applyBorder="1" applyAlignment="1" applyProtection="1">
      <alignment horizontal="right" vertical="center" wrapText="1"/>
      <protection hidden="1"/>
    </xf>
    <xf numFmtId="0" fontId="109" fillId="9" borderId="10" xfId="0" applyFont="1" applyFill="1" applyBorder="1" applyAlignment="1" applyProtection="1">
      <alignment horizontal="right" vertical="center" wrapText="1"/>
      <protection hidden="1"/>
    </xf>
    <xf numFmtId="0" fontId="109" fillId="9" borderId="68" xfId="0" applyFont="1" applyFill="1" applyBorder="1" applyAlignment="1" applyProtection="1">
      <alignment horizontal="right" vertical="center"/>
      <protection hidden="1"/>
    </xf>
    <xf numFmtId="0" fontId="109" fillId="9" borderId="9" xfId="0" applyFont="1" applyFill="1" applyBorder="1" applyAlignment="1" applyProtection="1">
      <alignment horizontal="right" vertical="center"/>
      <protection hidden="1"/>
    </xf>
    <xf numFmtId="0" fontId="109" fillId="9" borderId="10" xfId="0" applyFont="1" applyFill="1" applyBorder="1" applyAlignment="1" applyProtection="1">
      <alignment horizontal="right" vertical="center"/>
      <protection hidden="1"/>
    </xf>
    <xf numFmtId="0" fontId="0" fillId="9" borderId="68" xfId="0" applyFill="1" applyBorder="1" applyAlignment="1" applyProtection="1">
      <alignment horizontal="right" vertical="center"/>
      <protection hidden="1"/>
    </xf>
    <xf numFmtId="0" fontId="122" fillId="9" borderId="85" xfId="0" applyFont="1" applyFill="1" applyBorder="1" applyAlignment="1" applyProtection="1">
      <alignment horizontal="right" vertical="center"/>
      <protection hidden="1"/>
    </xf>
    <xf numFmtId="0" fontId="122" fillId="9" borderId="81" xfId="0" applyFont="1" applyFill="1" applyBorder="1" applyAlignment="1" applyProtection="1">
      <alignment horizontal="right" vertical="center"/>
      <protection hidden="1"/>
    </xf>
    <xf numFmtId="0" fontId="122" fillId="9" borderId="82" xfId="0" applyFont="1" applyFill="1" applyBorder="1" applyAlignment="1" applyProtection="1">
      <alignment horizontal="right" vertical="center"/>
      <protection hidden="1"/>
    </xf>
    <xf numFmtId="0" fontId="122" fillId="9" borderId="43" xfId="0" applyFont="1" applyFill="1" applyBorder="1" applyAlignment="1">
      <alignment horizontal="center" vertical="center" wrapText="1"/>
    </xf>
    <xf numFmtId="0" fontId="122" fillId="9" borderId="23" xfId="0" applyFont="1" applyFill="1" applyBorder="1" applyAlignment="1">
      <alignment horizontal="center" vertical="center" wrapText="1"/>
    </xf>
    <xf numFmtId="0" fontId="122" fillId="9" borderId="44" xfId="0" applyFont="1" applyFill="1" applyBorder="1" applyAlignment="1">
      <alignment horizontal="center" vertical="center" wrapText="1"/>
    </xf>
    <xf numFmtId="0" fontId="122" fillId="9" borderId="16" xfId="0" applyFont="1" applyFill="1" applyBorder="1" applyAlignment="1">
      <alignment horizontal="center" vertical="center"/>
    </xf>
    <xf numFmtId="0" fontId="122" fillId="9" borderId="18" xfId="0" applyFont="1" applyFill="1" applyBorder="1" applyAlignment="1">
      <alignment horizontal="center" vertical="center"/>
    </xf>
    <xf numFmtId="0" fontId="122" fillId="9" borderId="39" xfId="0" applyFont="1" applyFill="1" applyBorder="1" applyAlignment="1">
      <alignment horizontal="center" vertical="center"/>
    </xf>
    <xf numFmtId="0" fontId="112" fillId="9" borderId="26" xfId="0" applyFont="1" applyFill="1" applyBorder="1" applyAlignment="1" applyProtection="1">
      <alignment horizontal="right" vertical="center" wrapText="1"/>
      <protection hidden="1"/>
    </xf>
    <xf numFmtId="0" fontId="112" fillId="9" borderId="41" xfId="0" applyFont="1" applyFill="1" applyBorder="1" applyAlignment="1" applyProtection="1">
      <alignment horizontal="right" vertical="center" wrapText="1"/>
      <protection hidden="1"/>
    </xf>
    <xf numFmtId="0" fontId="0" fillId="9" borderId="66" xfId="0" applyFill="1" applyBorder="1" applyAlignment="1" applyProtection="1">
      <alignment horizontal="center" vertical="center" wrapText="1"/>
      <protection hidden="1"/>
    </xf>
    <xf numFmtId="0" fontId="100" fillId="9" borderId="26" xfId="0" applyFont="1" applyFill="1" applyBorder="1" applyAlignment="1" applyProtection="1">
      <alignment horizontal="right" vertical="center"/>
      <protection hidden="1"/>
    </xf>
    <xf numFmtId="0" fontId="100" fillId="9" borderId="41" xfId="0" applyFont="1" applyFill="1" applyBorder="1" applyAlignment="1" applyProtection="1">
      <alignment horizontal="right" vertical="center"/>
      <protection hidden="1"/>
    </xf>
    <xf numFmtId="0" fontId="106" fillId="9" borderId="66" xfId="0" applyFont="1" applyFill="1" applyBorder="1" applyAlignment="1" applyProtection="1">
      <alignment horizontal="center" vertical="center" wrapText="1"/>
      <protection hidden="1"/>
    </xf>
    <xf numFmtId="0" fontId="106" fillId="9" borderId="29" xfId="0" applyFont="1" applyFill="1" applyBorder="1" applyAlignment="1" applyProtection="1">
      <alignment horizontal="center" vertical="center" wrapText="1"/>
      <protection hidden="1"/>
    </xf>
    <xf numFmtId="0" fontId="191" fillId="4" borderId="83" xfId="2" applyNumberFormat="1" applyFont="1" applyFill="1" applyBorder="1" applyAlignment="1" applyProtection="1">
      <alignment horizontal="center" vertical="center"/>
      <protection hidden="1"/>
    </xf>
    <xf numFmtId="0" fontId="191" fillId="4" borderId="78" xfId="2" applyNumberFormat="1" applyFont="1" applyFill="1" applyBorder="1" applyAlignment="1" applyProtection="1">
      <alignment horizontal="center" vertical="center"/>
      <protection hidden="1"/>
    </xf>
    <xf numFmtId="0" fontId="191" fillId="4" borderId="64" xfId="2" applyNumberFormat="1" applyFont="1" applyFill="1" applyBorder="1" applyAlignment="1" applyProtection="1">
      <alignment horizontal="center" vertical="center"/>
      <protection hidden="1"/>
    </xf>
    <xf numFmtId="0" fontId="104" fillId="4" borderId="4" xfId="0" applyFont="1" applyFill="1" applyBorder="1" applyAlignment="1" applyProtection="1">
      <alignment horizontal="right" vertical="center"/>
      <protection hidden="1"/>
    </xf>
    <xf numFmtId="0" fontId="104" fillId="4" borderId="2" xfId="0" applyFont="1" applyFill="1" applyBorder="1" applyAlignment="1" applyProtection="1">
      <alignment horizontal="right" vertical="center"/>
      <protection hidden="1"/>
    </xf>
    <xf numFmtId="0" fontId="104" fillId="4" borderId="5" xfId="0" applyFont="1" applyFill="1" applyBorder="1" applyAlignment="1" applyProtection="1">
      <alignment horizontal="right" vertical="center"/>
      <protection hidden="1"/>
    </xf>
    <xf numFmtId="0" fontId="104" fillId="4" borderId="6" xfId="0" applyFont="1" applyFill="1" applyBorder="1" applyAlignment="1" applyProtection="1">
      <alignment horizontal="right" vertical="center"/>
      <protection hidden="1"/>
    </xf>
    <xf numFmtId="0" fontId="63" fillId="4" borderId="0" xfId="2" applyNumberFormat="1" applyFill="1" applyAlignment="1" applyProtection="1">
      <alignment horizontal="center"/>
    </xf>
    <xf numFmtId="0" fontId="102" fillId="4" borderId="54" xfId="0" applyFont="1" applyFill="1" applyBorder="1" applyAlignment="1" applyProtection="1">
      <alignment horizontal="right" vertical="center" wrapText="1"/>
      <protection hidden="1"/>
    </xf>
    <xf numFmtId="0" fontId="106" fillId="4" borderId="55" xfId="0" applyFont="1" applyFill="1" applyBorder="1" applyAlignment="1" applyProtection="1">
      <alignment horizontal="right" vertical="center"/>
      <protection hidden="1"/>
    </xf>
    <xf numFmtId="0" fontId="106" fillId="4" borderId="19" xfId="0" applyFont="1" applyFill="1" applyBorder="1" applyAlignment="1" applyProtection="1">
      <alignment horizontal="right" vertical="center"/>
      <protection hidden="1"/>
    </xf>
    <xf numFmtId="0" fontId="106" fillId="4" borderId="99" xfId="0" applyFont="1" applyFill="1" applyBorder="1" applyAlignment="1" applyProtection="1">
      <alignment horizontal="right" vertical="center"/>
      <protection hidden="1"/>
    </xf>
    <xf numFmtId="0" fontId="106" fillId="4" borderId="30" xfId="0" applyFont="1" applyFill="1" applyBorder="1" applyAlignment="1" applyProtection="1">
      <alignment horizontal="right" vertical="center"/>
      <protection hidden="1"/>
    </xf>
    <xf numFmtId="0" fontId="106" fillId="4" borderId="56" xfId="0" applyFont="1" applyFill="1" applyBorder="1" applyAlignment="1" applyProtection="1">
      <alignment horizontal="right" vertical="center"/>
      <protection hidden="1"/>
    </xf>
    <xf numFmtId="0" fontId="0" fillId="4" borderId="12" xfId="0" applyFill="1" applyBorder="1" applyAlignment="1" applyProtection="1">
      <alignment horizontal="center" vertical="center" wrapText="1"/>
      <protection hidden="1"/>
    </xf>
    <xf numFmtId="0" fontId="0" fillId="4" borderId="108" xfId="0" applyFill="1" applyBorder="1" applyAlignment="1" applyProtection="1">
      <alignment horizontal="center" vertical="center" wrapText="1"/>
      <protection hidden="1"/>
    </xf>
    <xf numFmtId="0" fontId="0" fillId="4" borderId="41" xfId="0" applyFill="1" applyBorder="1" applyAlignment="1" applyProtection="1">
      <alignment horizontal="center" vertical="center" wrapText="1"/>
      <protection hidden="1"/>
    </xf>
    <xf numFmtId="0" fontId="0" fillId="4" borderId="11" xfId="0" applyFill="1" applyBorder="1" applyAlignment="1" applyProtection="1">
      <alignment horizontal="center" vertical="center" wrapText="1"/>
      <protection hidden="1"/>
    </xf>
    <xf numFmtId="0" fontId="0" fillId="4" borderId="103" xfId="0" applyFill="1" applyBorder="1" applyAlignment="1" applyProtection="1">
      <alignment horizontal="center" vertical="center" wrapText="1"/>
      <protection hidden="1"/>
    </xf>
    <xf numFmtId="0" fontId="0" fillId="4" borderId="27" xfId="0" applyFill="1" applyBorder="1" applyAlignment="1" applyProtection="1">
      <alignment horizontal="center" vertical="center" wrapText="1"/>
      <protection hidden="1"/>
    </xf>
    <xf numFmtId="0" fontId="104" fillId="4" borderId="68" xfId="0" applyFont="1" applyFill="1" applyBorder="1" applyAlignment="1" applyProtection="1">
      <alignment horizontal="right" vertical="center"/>
      <protection hidden="1"/>
    </xf>
    <xf numFmtId="0" fontId="104" fillId="4" borderId="9" xfId="0" applyFont="1" applyFill="1" applyBorder="1" applyAlignment="1" applyProtection="1">
      <alignment horizontal="right" vertical="center"/>
      <protection hidden="1"/>
    </xf>
    <xf numFmtId="0" fontId="104" fillId="4" borderId="10" xfId="0" applyFont="1" applyFill="1" applyBorder="1" applyAlignment="1" applyProtection="1">
      <alignment horizontal="right" vertical="center"/>
      <protection hidden="1"/>
    </xf>
    <xf numFmtId="0" fontId="104" fillId="4" borderId="85" xfId="0" applyFont="1" applyFill="1" applyBorder="1" applyAlignment="1" applyProtection="1">
      <alignment horizontal="right" vertical="center"/>
      <protection hidden="1"/>
    </xf>
    <xf numFmtId="0" fontId="104" fillId="4" borderId="81" xfId="0" applyFont="1" applyFill="1" applyBorder="1" applyAlignment="1" applyProtection="1">
      <alignment horizontal="right" vertical="center"/>
      <protection hidden="1"/>
    </xf>
    <xf numFmtId="0" fontId="104" fillId="4" borderId="82" xfId="0" applyFont="1" applyFill="1" applyBorder="1" applyAlignment="1" applyProtection="1">
      <alignment horizontal="right" vertical="center"/>
      <protection hidden="1"/>
    </xf>
    <xf numFmtId="0" fontId="100" fillId="4" borderId="63" xfId="0" applyFont="1" applyFill="1" applyBorder="1" applyAlignment="1" applyProtection="1">
      <alignment horizontal="center" vertical="center" wrapText="1"/>
      <protection hidden="1"/>
    </xf>
    <xf numFmtId="0" fontId="100" fillId="4" borderId="78" xfId="0" applyFont="1" applyFill="1" applyBorder="1" applyAlignment="1" applyProtection="1">
      <alignment horizontal="center" vertical="center" wrapText="1"/>
      <protection hidden="1"/>
    </xf>
    <xf numFmtId="0" fontId="100" fillId="4" borderId="64" xfId="0" applyFont="1" applyFill="1" applyBorder="1" applyAlignment="1" applyProtection="1">
      <alignment horizontal="center" vertical="center" wrapText="1"/>
      <protection hidden="1"/>
    </xf>
    <xf numFmtId="0" fontId="110" fillId="4" borderId="43" xfId="0" applyFont="1" applyFill="1" applyBorder="1" applyAlignment="1" applyProtection="1">
      <alignment horizontal="center"/>
      <protection hidden="1"/>
    </xf>
    <xf numFmtId="0" fontId="110" fillId="4" borderId="23" xfId="0" applyFont="1" applyFill="1" applyBorder="1" applyAlignment="1" applyProtection="1">
      <alignment horizontal="center"/>
      <protection hidden="1"/>
    </xf>
    <xf numFmtId="0" fontId="110" fillId="4" borderId="44" xfId="0" applyFont="1" applyFill="1" applyBorder="1" applyAlignment="1" applyProtection="1">
      <alignment horizontal="center"/>
      <protection hidden="1"/>
    </xf>
    <xf numFmtId="0" fontId="110" fillId="4" borderId="30" xfId="0" applyFont="1" applyFill="1" applyBorder="1" applyAlignment="1" applyProtection="1">
      <alignment horizontal="center"/>
      <protection hidden="1"/>
    </xf>
    <xf numFmtId="0" fontId="110" fillId="4" borderId="28" xfId="0" applyFont="1" applyFill="1" applyBorder="1" applyAlignment="1" applyProtection="1">
      <alignment horizontal="center"/>
      <protection hidden="1"/>
    </xf>
    <xf numFmtId="0" fontId="110" fillId="4" borderId="57" xfId="0" applyFont="1" applyFill="1" applyBorder="1" applyAlignment="1" applyProtection="1">
      <alignment horizontal="center"/>
      <protection hidden="1"/>
    </xf>
    <xf numFmtId="0" fontId="0" fillId="4" borderId="4" xfId="0" applyFill="1" applyBorder="1" applyAlignment="1" applyProtection="1">
      <alignment horizontal="right" vertical="center"/>
      <protection hidden="1"/>
    </xf>
    <xf numFmtId="0" fontId="0" fillId="4" borderId="2" xfId="0" applyFill="1" applyBorder="1" applyAlignment="1" applyProtection="1">
      <alignment horizontal="right" vertical="center"/>
      <protection hidden="1"/>
    </xf>
    <xf numFmtId="0" fontId="122" fillId="6" borderId="2" xfId="0" applyFont="1" applyFill="1" applyBorder="1" applyAlignment="1" applyProtection="1">
      <alignment horizontal="center" vertical="center"/>
      <protection locked="0"/>
    </xf>
    <xf numFmtId="0" fontId="122" fillId="6" borderId="3" xfId="0" applyFont="1" applyFill="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0" fontId="0" fillId="0" borderId="3" xfId="0" applyBorder="1" applyAlignment="1" applyProtection="1">
      <alignment horizontal="center" vertical="center"/>
      <protection locked="0"/>
    </xf>
    <xf numFmtId="8" fontId="0" fillId="4" borderId="2" xfId="0" applyNumberFormat="1" applyFill="1" applyBorder="1" applyAlignment="1" applyProtection="1">
      <alignment horizontal="center" vertical="center"/>
      <protection hidden="1"/>
    </xf>
    <xf numFmtId="8" fontId="0" fillId="4" borderId="3" xfId="0" applyNumberFormat="1" applyFill="1" applyBorder="1" applyAlignment="1" applyProtection="1">
      <alignment horizontal="center" vertical="center"/>
      <protection hidden="1"/>
    </xf>
    <xf numFmtId="13" fontId="0" fillId="0" borderId="2" xfId="0" applyNumberFormat="1" applyBorder="1" applyAlignment="1" applyProtection="1">
      <alignment horizontal="center" vertical="center"/>
      <protection locked="0"/>
    </xf>
    <xf numFmtId="13" fontId="0" fillId="0" borderId="3" xfId="0" applyNumberFormat="1" applyBorder="1" applyAlignment="1" applyProtection="1">
      <alignment horizontal="center" vertical="center"/>
      <protection locked="0"/>
    </xf>
    <xf numFmtId="0" fontId="100" fillId="4" borderId="4" xfId="0" applyFont="1" applyFill="1" applyBorder="1" applyAlignment="1" applyProtection="1">
      <alignment horizontal="right" vertical="center"/>
      <protection hidden="1"/>
    </xf>
    <xf numFmtId="0" fontId="100" fillId="4" borderId="2" xfId="0" applyFont="1" applyFill="1" applyBorder="1" applyAlignment="1" applyProtection="1">
      <alignment horizontal="right" vertical="center"/>
      <protection hidden="1"/>
    </xf>
    <xf numFmtId="0" fontId="0" fillId="4" borderId="5" xfId="0" applyFill="1" applyBorder="1" applyAlignment="1" applyProtection="1">
      <alignment horizontal="right" vertical="center"/>
      <protection hidden="1"/>
    </xf>
    <xf numFmtId="0" fontId="0" fillId="4" borderId="6" xfId="0" applyFill="1" applyBorder="1" applyAlignment="1" applyProtection="1">
      <alignment horizontal="right" vertical="center"/>
      <protection hidden="1"/>
    </xf>
    <xf numFmtId="0" fontId="100" fillId="4" borderId="4" xfId="0" applyFont="1" applyFill="1" applyBorder="1" applyAlignment="1" applyProtection="1">
      <alignment horizontal="center" vertical="center"/>
      <protection hidden="1"/>
    </xf>
    <xf numFmtId="0" fontId="100" fillId="4" borderId="2" xfId="0" applyFont="1" applyFill="1" applyBorder="1" applyAlignment="1" applyProtection="1">
      <alignment horizontal="center" vertical="center"/>
      <protection hidden="1"/>
    </xf>
    <xf numFmtId="0" fontId="100" fillId="4" borderId="3" xfId="0" applyFont="1" applyFill="1" applyBorder="1" applyAlignment="1" applyProtection="1">
      <alignment horizontal="center" vertical="center"/>
      <protection hidden="1"/>
    </xf>
    <xf numFmtId="169" fontId="58" fillId="0" borderId="1" xfId="0" applyNumberFormat="1" applyFont="1" applyBorder="1"/>
    <xf numFmtId="169" fontId="58" fillId="0" borderId="77" xfId="0" applyNumberFormat="1" applyFont="1" applyBorder="1"/>
    <xf numFmtId="169" fontId="72" fillId="0" borderId="24" xfId="0" applyNumberFormat="1" applyFont="1" applyBorder="1" applyAlignment="1">
      <alignment horizontal="center"/>
    </xf>
    <xf numFmtId="169" fontId="72" fillId="0" borderId="21" xfId="0" applyNumberFormat="1" applyFont="1" applyBorder="1" applyAlignment="1">
      <alignment horizontal="center"/>
    </xf>
    <xf numFmtId="169" fontId="72" fillId="0" borderId="22" xfId="0" applyNumberFormat="1" applyFont="1" applyBorder="1" applyAlignment="1">
      <alignment horizontal="center"/>
    </xf>
    <xf numFmtId="169" fontId="61" fillId="0" borderId="1" xfId="0" applyNumberFormat="1" applyFont="1" applyBorder="1" applyAlignment="1">
      <alignment vertical="center"/>
    </xf>
    <xf numFmtId="169" fontId="61" fillId="0" borderId="77" xfId="0" applyNumberFormat="1" applyFont="1" applyBorder="1" applyAlignment="1">
      <alignment vertical="center"/>
    </xf>
    <xf numFmtId="169" fontId="58" fillId="0" borderId="114" xfId="0" applyNumberFormat="1" applyFont="1" applyBorder="1"/>
    <xf numFmtId="169" fontId="58" fillId="0" borderId="39" xfId="0" applyNumberFormat="1" applyFont="1" applyBorder="1"/>
    <xf numFmtId="169" fontId="58" fillId="0" borderId="80" xfId="0" applyNumberFormat="1" applyFont="1" applyBorder="1"/>
    <xf numFmtId="169" fontId="58" fillId="0" borderId="86" xfId="0" applyNumberFormat="1" applyFont="1" applyBorder="1"/>
    <xf numFmtId="0" fontId="102" fillId="4" borderId="30" xfId="0" applyFont="1" applyFill="1" applyBorder="1" applyAlignment="1" applyProtection="1">
      <alignment horizontal="right" vertical="center" wrapText="1"/>
      <protection hidden="1"/>
    </xf>
    <xf numFmtId="0" fontId="102" fillId="4" borderId="57" xfId="0" applyFont="1" applyFill="1" applyBorder="1" applyAlignment="1" applyProtection="1">
      <alignment horizontal="right" vertical="center" wrapText="1"/>
      <protection hidden="1"/>
    </xf>
    <xf numFmtId="0" fontId="100" fillId="4" borderId="4" xfId="0" applyFont="1" applyFill="1" applyBorder="1" applyAlignment="1" applyProtection="1">
      <alignment horizontal="center" vertical="center" wrapText="1"/>
      <protection hidden="1"/>
    </xf>
    <xf numFmtId="0" fontId="100" fillId="4" borderId="3" xfId="0" applyFont="1" applyFill="1" applyBorder="1" applyAlignment="1" applyProtection="1">
      <alignment horizontal="center" vertical="center" wrapText="1"/>
      <protection hidden="1"/>
    </xf>
    <xf numFmtId="0" fontId="110" fillId="4" borderId="65" xfId="0" applyFont="1" applyFill="1" applyBorder="1" applyAlignment="1" applyProtection="1">
      <alignment horizontal="center" vertical="center" wrapText="1"/>
      <protection hidden="1"/>
    </xf>
    <xf numFmtId="0" fontId="110" fillId="4" borderId="20" xfId="0" applyFont="1" applyFill="1" applyBorder="1" applyAlignment="1" applyProtection="1">
      <alignment horizontal="center" vertical="center" wrapText="1"/>
      <protection hidden="1"/>
    </xf>
    <xf numFmtId="0" fontId="63" fillId="0" borderId="0" xfId="2" applyNumberFormat="1" applyFill="1" applyAlignment="1" applyProtection="1">
      <alignment horizontal="center"/>
    </xf>
    <xf numFmtId="14" fontId="0" fillId="0" borderId="10" xfId="0" applyNumberFormat="1" applyBorder="1" applyAlignment="1" applyProtection="1">
      <alignment horizontal="center"/>
      <protection locked="0"/>
    </xf>
    <xf numFmtId="14" fontId="0" fillId="4" borderId="10" xfId="0" applyNumberFormat="1" applyFill="1" applyBorder="1" applyAlignment="1" applyProtection="1">
      <alignment horizontal="center" vertical="center"/>
      <protection hidden="1"/>
    </xf>
    <xf numFmtId="14" fontId="0" fillId="4" borderId="3" xfId="0" applyNumberFormat="1" applyFill="1" applyBorder="1" applyAlignment="1" applyProtection="1">
      <alignment horizontal="center" vertical="center"/>
      <protection hidden="1"/>
    </xf>
    <xf numFmtId="14" fontId="0" fillId="4" borderId="2" xfId="0" applyNumberFormat="1" applyFill="1" applyBorder="1" applyAlignment="1" applyProtection="1">
      <alignment horizontal="center" vertical="center"/>
      <protection hidden="1"/>
    </xf>
    <xf numFmtId="14" fontId="0" fillId="4" borderId="130" xfId="0" applyNumberFormat="1" applyFill="1" applyBorder="1" applyAlignment="1" applyProtection="1">
      <alignment horizontal="center" vertical="center"/>
      <protection hidden="1"/>
    </xf>
    <xf numFmtId="14" fontId="0" fillId="0" borderId="2" xfId="0" applyNumberFormat="1" applyBorder="1" applyAlignment="1" applyProtection="1">
      <alignment horizontal="center"/>
      <protection locked="0"/>
    </xf>
    <xf numFmtId="14" fontId="0" fillId="0" borderId="130" xfId="0" applyNumberFormat="1" applyBorder="1" applyAlignment="1" applyProtection="1">
      <alignment horizontal="center"/>
      <protection locked="0"/>
    </xf>
    <xf numFmtId="181" fontId="0" fillId="4" borderId="6" xfId="0" applyNumberFormat="1" applyFill="1" applyBorder="1" applyAlignment="1" applyProtection="1">
      <alignment horizontal="center" vertical="center"/>
      <protection hidden="1"/>
    </xf>
    <xf numFmtId="181" fontId="0" fillId="4" borderId="152" xfId="0" applyNumberFormat="1" applyFill="1" applyBorder="1" applyAlignment="1" applyProtection="1">
      <alignment horizontal="center" vertical="center"/>
      <protection hidden="1"/>
    </xf>
    <xf numFmtId="181" fontId="0" fillId="4" borderId="82" xfId="0" applyNumberFormat="1" applyFill="1" applyBorder="1" applyAlignment="1" applyProtection="1">
      <alignment horizontal="center" vertical="center"/>
      <protection hidden="1"/>
    </xf>
    <xf numFmtId="181" fontId="0" fillId="4" borderId="7" xfId="0" applyNumberFormat="1" applyFill="1" applyBorder="1" applyAlignment="1" applyProtection="1">
      <alignment horizontal="center" vertical="center"/>
      <protection hidden="1"/>
    </xf>
    <xf numFmtId="0" fontId="0" fillId="4" borderId="78" xfId="0" applyFill="1" applyBorder="1" applyAlignment="1" applyProtection="1">
      <alignment horizontal="center"/>
      <protection hidden="1"/>
    </xf>
    <xf numFmtId="0" fontId="0" fillId="4" borderId="64" xfId="0" applyFill="1" applyBorder="1" applyAlignment="1" applyProtection="1">
      <alignment horizontal="center"/>
      <protection hidden="1"/>
    </xf>
    <xf numFmtId="0" fontId="0" fillId="4" borderId="65" xfId="0" applyFill="1" applyBorder="1" applyAlignment="1" applyProtection="1">
      <alignment horizontal="center" vertical="center" wrapText="1"/>
      <protection hidden="1"/>
    </xf>
    <xf numFmtId="0" fontId="0" fillId="4" borderId="79" xfId="0" applyFill="1" applyBorder="1" applyAlignment="1" applyProtection="1">
      <alignment horizontal="center" vertical="center" wrapText="1"/>
      <protection hidden="1"/>
    </xf>
    <xf numFmtId="0" fontId="0" fillId="4" borderId="20" xfId="0" applyFill="1" applyBorder="1" applyAlignment="1" applyProtection="1">
      <alignment horizontal="center" vertical="center" wrapText="1"/>
      <protection hidden="1"/>
    </xf>
    <xf numFmtId="0" fontId="107" fillId="4" borderId="79" xfId="0" applyFont="1" applyFill="1" applyBorder="1" applyAlignment="1" applyProtection="1">
      <alignment horizontal="center"/>
      <protection hidden="1"/>
    </xf>
    <xf numFmtId="0" fontId="105" fillId="0" borderId="0" xfId="0" applyFont="1" applyAlignment="1" applyProtection="1">
      <alignment horizontal="center" vertical="center" wrapText="1"/>
      <protection locked="0"/>
    </xf>
    <xf numFmtId="181" fontId="0" fillId="4" borderId="2" xfId="0" applyNumberFormat="1" applyFill="1" applyBorder="1" applyAlignment="1" applyProtection="1">
      <alignment horizontal="center" vertical="center"/>
      <protection hidden="1"/>
    </xf>
    <xf numFmtId="181" fontId="0" fillId="4" borderId="130" xfId="0" applyNumberFormat="1" applyFill="1" applyBorder="1" applyAlignment="1" applyProtection="1">
      <alignment horizontal="center" vertical="center"/>
      <protection hidden="1"/>
    </xf>
    <xf numFmtId="181" fontId="0" fillId="4" borderId="10" xfId="0" applyNumberFormat="1" applyFill="1" applyBorder="1" applyAlignment="1" applyProtection="1">
      <alignment horizontal="center" vertical="center"/>
      <protection hidden="1"/>
    </xf>
    <xf numFmtId="181" fontId="0" fillId="4" borderId="3" xfId="0" applyNumberFormat="1" applyFill="1" applyBorder="1" applyAlignment="1" applyProtection="1">
      <alignment horizontal="center" vertical="center"/>
      <protection hidden="1"/>
    </xf>
    <xf numFmtId="0" fontId="100" fillId="4" borderId="21" xfId="0" applyFont="1" applyFill="1" applyBorder="1" applyAlignment="1" applyProtection="1">
      <alignment horizontal="center"/>
      <protection hidden="1"/>
    </xf>
    <xf numFmtId="0" fontId="100" fillId="4" borderId="159" xfId="0" applyFont="1" applyFill="1" applyBorder="1" applyAlignment="1" applyProtection="1">
      <alignment horizontal="center"/>
      <protection hidden="1"/>
    </xf>
    <xf numFmtId="0" fontId="100" fillId="4" borderId="78" xfId="0" applyFont="1" applyFill="1" applyBorder="1" applyAlignment="1" applyProtection="1">
      <alignment horizontal="center"/>
      <protection hidden="1"/>
    </xf>
    <xf numFmtId="0" fontId="100" fillId="4" borderId="64" xfId="0" applyFont="1" applyFill="1" applyBorder="1" applyAlignment="1" applyProtection="1">
      <alignment horizontal="center"/>
      <protection hidden="1"/>
    </xf>
    <xf numFmtId="0" fontId="105" fillId="4" borderId="43" xfId="0" applyFont="1" applyFill="1" applyBorder="1" applyAlignment="1" applyProtection="1">
      <alignment horizontal="center" vertical="top" wrapText="1"/>
      <protection hidden="1"/>
    </xf>
    <xf numFmtId="0" fontId="105" fillId="4" borderId="23" xfId="0" applyFont="1" applyFill="1" applyBorder="1" applyAlignment="1" applyProtection="1">
      <alignment horizontal="center" vertical="top" wrapText="1"/>
      <protection hidden="1"/>
    </xf>
    <xf numFmtId="0" fontId="105" fillId="4" borderId="44" xfId="0" applyFont="1" applyFill="1" applyBorder="1" applyAlignment="1" applyProtection="1">
      <alignment horizontal="center" vertical="top" wrapText="1"/>
      <protection hidden="1"/>
    </xf>
    <xf numFmtId="0" fontId="105" fillId="4" borderId="19" xfId="0" applyFont="1" applyFill="1" applyBorder="1" applyAlignment="1" applyProtection="1">
      <alignment horizontal="center" vertical="top" wrapText="1"/>
      <protection hidden="1"/>
    </xf>
    <xf numFmtId="0" fontId="105" fillId="4" borderId="0" xfId="0" applyFont="1" applyFill="1" applyAlignment="1" applyProtection="1">
      <alignment horizontal="center" vertical="top" wrapText="1"/>
      <protection hidden="1"/>
    </xf>
    <xf numFmtId="0" fontId="105" fillId="4" borderId="15" xfId="0" applyFont="1" applyFill="1" applyBorder="1" applyAlignment="1" applyProtection="1">
      <alignment horizontal="center" vertical="top" wrapText="1"/>
      <protection hidden="1"/>
    </xf>
    <xf numFmtId="0" fontId="110" fillId="4" borderId="0" xfId="0" applyFont="1" applyFill="1" applyAlignment="1">
      <alignment horizontal="center" vertical="center"/>
    </xf>
    <xf numFmtId="0" fontId="110" fillId="4" borderId="99" xfId="0" applyFont="1" applyFill="1" applyBorder="1" applyAlignment="1">
      <alignment horizontal="center" vertical="center"/>
    </xf>
    <xf numFmtId="0" fontId="104" fillId="4" borderId="19" xfId="0" applyFont="1" applyFill="1" applyBorder="1" applyAlignment="1" applyProtection="1">
      <alignment horizontal="center" wrapText="1"/>
      <protection hidden="1"/>
    </xf>
    <xf numFmtId="0" fontId="104" fillId="4" borderId="15" xfId="0" applyFont="1" applyFill="1" applyBorder="1" applyAlignment="1" applyProtection="1">
      <alignment horizontal="center" wrapText="1"/>
      <protection hidden="1"/>
    </xf>
    <xf numFmtId="0" fontId="0" fillId="4" borderId="19" xfId="0" applyFill="1" applyBorder="1" applyAlignment="1" applyProtection="1">
      <alignment horizontal="center"/>
      <protection hidden="1"/>
    </xf>
    <xf numFmtId="0" fontId="0" fillId="4" borderId="15" xfId="0" applyFill="1" applyBorder="1" applyAlignment="1" applyProtection="1">
      <alignment horizontal="center"/>
      <protection hidden="1"/>
    </xf>
    <xf numFmtId="0" fontId="170" fillId="4" borderId="43" xfId="2" applyNumberFormat="1" applyFont="1" applyFill="1" applyBorder="1" applyAlignment="1" applyProtection="1">
      <alignment horizontal="center" vertical="center" wrapText="1"/>
    </xf>
    <xf numFmtId="0" fontId="170" fillId="4" borderId="16" xfId="2" applyNumberFormat="1" applyFont="1" applyFill="1" applyBorder="1" applyAlignment="1" applyProtection="1">
      <alignment horizontal="center" vertical="center" wrapText="1"/>
    </xf>
    <xf numFmtId="0" fontId="286" fillId="4" borderId="44" xfId="2" applyNumberFormat="1" applyFont="1" applyFill="1" applyBorder="1" applyAlignment="1" applyProtection="1">
      <alignment horizontal="center" vertical="center" wrapText="1"/>
    </xf>
    <xf numFmtId="0" fontId="286" fillId="4" borderId="39" xfId="2" applyNumberFormat="1" applyFont="1" applyFill="1" applyBorder="1" applyAlignment="1" applyProtection="1">
      <alignment horizontal="center" vertical="center" wrapText="1"/>
    </xf>
    <xf numFmtId="0" fontId="0" fillId="4" borderId="164" xfId="0" applyFill="1" applyBorder="1" applyAlignment="1" applyProtection="1">
      <alignment horizontal="left"/>
      <protection hidden="1"/>
    </xf>
    <xf numFmtId="0" fontId="0" fillId="4" borderId="10" xfId="0" applyFill="1" applyBorder="1" applyAlignment="1" applyProtection="1">
      <alignment horizontal="left"/>
      <protection hidden="1"/>
    </xf>
    <xf numFmtId="0" fontId="0" fillId="4" borderId="164" xfId="0" applyFill="1" applyBorder="1" applyAlignment="1" applyProtection="1">
      <alignment horizontal="left" vertical="center"/>
      <protection hidden="1"/>
    </xf>
    <xf numFmtId="0" fontId="0" fillId="4" borderId="10" xfId="0" applyFill="1" applyBorder="1" applyAlignment="1" applyProtection="1">
      <alignment horizontal="left" vertical="center"/>
      <protection hidden="1"/>
    </xf>
    <xf numFmtId="0" fontId="162" fillId="4" borderId="30" xfId="0" applyFont="1" applyFill="1" applyBorder="1" applyAlignment="1">
      <alignment horizontal="center" vertical="center"/>
    </xf>
    <xf numFmtId="0" fontId="162" fillId="4" borderId="56" xfId="0" applyFont="1" applyFill="1" applyBorder="1" applyAlignment="1">
      <alignment horizontal="center" vertical="center"/>
    </xf>
    <xf numFmtId="10" fontId="105" fillId="0" borderId="2" xfId="3" applyNumberFormat="1" applyFont="1" applyFill="1" applyBorder="1" applyAlignment="1" applyProtection="1">
      <alignment horizontal="center" vertical="center"/>
      <protection locked="0"/>
    </xf>
    <xf numFmtId="0" fontId="105" fillId="4" borderId="183" xfId="0" applyFont="1" applyFill="1" applyBorder="1" applyAlignment="1" applyProtection="1">
      <alignment horizontal="center" vertical="center" wrapText="1"/>
      <protection hidden="1"/>
    </xf>
    <xf numFmtId="0" fontId="105" fillId="4" borderId="226" xfId="0" applyFont="1" applyFill="1" applyBorder="1" applyAlignment="1" applyProtection="1">
      <alignment horizontal="center" vertical="center" wrapText="1"/>
      <protection hidden="1"/>
    </xf>
    <xf numFmtId="0" fontId="162" fillId="4" borderId="227" xfId="0" applyFont="1" applyFill="1" applyBorder="1" applyAlignment="1">
      <alignment horizontal="center" vertical="center"/>
    </xf>
    <xf numFmtId="0" fontId="162" fillId="4" borderId="21" xfId="0" applyFont="1" applyFill="1" applyBorder="1" applyAlignment="1">
      <alignment horizontal="center" vertical="center"/>
    </xf>
    <xf numFmtId="0" fontId="162" fillId="4" borderId="159" xfId="0" applyFont="1" applyFill="1" applyBorder="1" applyAlignment="1">
      <alignment horizontal="center" vertical="center"/>
    </xf>
    <xf numFmtId="0" fontId="0" fillId="4" borderId="170" xfId="0" applyFill="1" applyBorder="1" applyAlignment="1" applyProtection="1">
      <alignment horizontal="left" vertical="center"/>
      <protection hidden="1"/>
    </xf>
    <xf numFmtId="0" fontId="0" fillId="4" borderId="2" xfId="0" applyFill="1" applyBorder="1" applyAlignment="1" applyProtection="1">
      <alignment horizontal="left" vertical="center"/>
      <protection hidden="1"/>
    </xf>
    <xf numFmtId="0" fontId="100" fillId="4" borderId="170" xfId="0" applyFont="1" applyFill="1" applyBorder="1" applyAlignment="1" applyProtection="1">
      <alignment horizontal="left" vertical="center"/>
      <protection hidden="1"/>
    </xf>
    <xf numFmtId="0" fontId="100" fillId="4" borderId="2" xfId="0" applyFont="1" applyFill="1" applyBorder="1" applyAlignment="1" applyProtection="1">
      <alignment horizontal="left" vertical="center"/>
      <protection hidden="1"/>
    </xf>
    <xf numFmtId="0" fontId="63" fillId="4" borderId="31" xfId="2" applyNumberFormat="1" applyFill="1" applyBorder="1" applyAlignment="1" applyProtection="1">
      <alignment horizontal="center" vertical="center"/>
    </xf>
    <xf numFmtId="0" fontId="63" fillId="4" borderId="57" xfId="2" applyNumberFormat="1" applyFill="1" applyBorder="1" applyAlignment="1" applyProtection="1">
      <alignment horizontal="center" vertical="center"/>
    </xf>
    <xf numFmtId="0" fontId="0" fillId="4" borderId="68" xfId="0" applyFill="1" applyBorder="1" applyAlignment="1">
      <alignment horizontal="left" vertical="center"/>
    </xf>
    <xf numFmtId="0" fontId="0" fillId="4" borderId="9" xfId="0" applyFill="1" applyBorder="1" applyAlignment="1">
      <alignment horizontal="left" vertical="center"/>
    </xf>
    <xf numFmtId="0" fontId="0" fillId="4" borderId="10" xfId="0" applyFill="1" applyBorder="1" applyAlignment="1">
      <alignment horizontal="left" vertical="center"/>
    </xf>
    <xf numFmtId="0" fontId="100" fillId="4" borderId="63" xfId="0" applyFont="1" applyFill="1" applyBorder="1" applyAlignment="1">
      <alignment horizontal="center" vertical="center"/>
    </xf>
    <xf numFmtId="0" fontId="100" fillId="4" borderId="78" xfId="0" applyFont="1" applyFill="1" applyBorder="1" applyAlignment="1">
      <alignment horizontal="center" vertical="center"/>
    </xf>
    <xf numFmtId="0" fontId="100" fillId="4" borderId="67" xfId="0" applyFont="1" applyFill="1" applyBorder="1" applyAlignment="1">
      <alignment horizontal="center" vertical="center"/>
    </xf>
    <xf numFmtId="0" fontId="105" fillId="4" borderId="8" xfId="0" applyFont="1" applyFill="1" applyBorder="1" applyAlignment="1">
      <alignment horizontal="center" vertical="center"/>
    </xf>
    <xf numFmtId="0" fontId="105" fillId="4" borderId="99" xfId="0" applyFont="1" applyFill="1" applyBorder="1" applyAlignment="1">
      <alignment horizontal="center" vertical="center"/>
    </xf>
    <xf numFmtId="0" fontId="107" fillId="4" borderId="179" xfId="0" applyFont="1" applyFill="1" applyBorder="1" applyAlignment="1">
      <alignment horizontal="center" vertical="center" wrapText="1"/>
    </xf>
    <xf numFmtId="0" fontId="107" fillId="4" borderId="211" xfId="0" applyFont="1" applyFill="1" applyBorder="1" applyAlignment="1">
      <alignment horizontal="center" vertical="center" wrapText="1"/>
    </xf>
    <xf numFmtId="0" fontId="107" fillId="4" borderId="185" xfId="0" applyFont="1" applyFill="1" applyBorder="1" applyAlignment="1">
      <alignment horizontal="center" vertical="center" wrapText="1"/>
    </xf>
    <xf numFmtId="0" fontId="107" fillId="4" borderId="99" xfId="0" applyFont="1" applyFill="1" applyBorder="1" applyAlignment="1">
      <alignment horizontal="center" vertical="center" wrapText="1"/>
    </xf>
    <xf numFmtId="0" fontId="107" fillId="4" borderId="182" xfId="0" applyFont="1" applyFill="1" applyBorder="1" applyAlignment="1">
      <alignment horizontal="center" vertical="center" wrapText="1"/>
    </xf>
    <xf numFmtId="0" fontId="107" fillId="4" borderId="56" xfId="0" applyFont="1" applyFill="1" applyBorder="1" applyAlignment="1">
      <alignment horizontal="center" vertical="center" wrapText="1"/>
    </xf>
    <xf numFmtId="0" fontId="107" fillId="4" borderId="63" xfId="0" applyFont="1" applyFill="1" applyBorder="1" applyAlignment="1">
      <alignment horizontal="center" vertical="center" textRotation="90"/>
    </xf>
    <xf numFmtId="0" fontId="107" fillId="4" borderId="30" xfId="0" applyFont="1" applyFill="1" applyBorder="1" applyAlignment="1">
      <alignment horizontal="center" vertical="center" textRotation="90"/>
    </xf>
    <xf numFmtId="0" fontId="107" fillId="4" borderId="68" xfId="0" applyFont="1" applyFill="1" applyBorder="1" applyAlignment="1">
      <alignment horizontal="center" vertical="center" textRotation="90"/>
    </xf>
    <xf numFmtId="0" fontId="107" fillId="4" borderId="85" xfId="0" applyFont="1" applyFill="1" applyBorder="1" applyAlignment="1">
      <alignment horizontal="center" vertical="center" textRotation="90"/>
    </xf>
    <xf numFmtId="0" fontId="100" fillId="4" borderId="59" xfId="0" applyFont="1" applyFill="1" applyBorder="1" applyAlignment="1">
      <alignment horizontal="center" vertical="center" wrapText="1"/>
    </xf>
    <xf numFmtId="0" fontId="100" fillId="4" borderId="144" xfId="0" applyFont="1" applyFill="1" applyBorder="1" applyAlignment="1">
      <alignment horizontal="center" vertical="center" wrapText="1"/>
    </xf>
    <xf numFmtId="0" fontId="100" fillId="4" borderId="117" xfId="0" applyFont="1" applyFill="1" applyBorder="1" applyAlignment="1">
      <alignment horizontal="center" vertical="center" wrapText="1"/>
    </xf>
    <xf numFmtId="0" fontId="100" fillId="4" borderId="108" xfId="0" applyFont="1" applyFill="1" applyBorder="1" applyAlignment="1">
      <alignment horizontal="center" vertical="center" wrapText="1"/>
    </xf>
    <xf numFmtId="0" fontId="100" fillId="4" borderId="61" xfId="0" applyFont="1" applyFill="1" applyBorder="1" applyAlignment="1">
      <alignment horizontal="center" vertical="center" wrapText="1"/>
    </xf>
    <xf numFmtId="0" fontId="100" fillId="4" borderId="87" xfId="0" applyFont="1" applyFill="1" applyBorder="1" applyAlignment="1">
      <alignment horizontal="center" vertical="center" wrapText="1"/>
    </xf>
    <xf numFmtId="0" fontId="105" fillId="4" borderId="144" xfId="0" applyFont="1" applyFill="1" applyBorder="1" applyAlignment="1">
      <alignment horizontal="right" vertical="center"/>
    </xf>
    <xf numFmtId="0" fontId="201" fillId="4" borderId="19" xfId="0" applyFont="1" applyFill="1" applyBorder="1" applyAlignment="1">
      <alignment horizontal="right" vertical="center" textRotation="90"/>
    </xf>
    <xf numFmtId="0" fontId="100" fillId="4" borderId="19" xfId="0" applyFont="1" applyFill="1" applyBorder="1" applyAlignment="1">
      <alignment horizontal="right" vertical="center" textRotation="90"/>
    </xf>
    <xf numFmtId="0" fontId="112" fillId="0" borderId="1" xfId="0" applyFont="1" applyBorder="1" applyAlignment="1" applyProtection="1">
      <alignment horizontal="center" vertical="center" wrapText="1"/>
      <protection locked="0"/>
    </xf>
    <xf numFmtId="0" fontId="112" fillId="0" borderId="146" xfId="0" applyFont="1" applyBorder="1" applyAlignment="1" applyProtection="1">
      <alignment horizontal="center" vertical="center" wrapText="1"/>
      <protection locked="0"/>
    </xf>
    <xf numFmtId="0" fontId="0" fillId="4" borderId="87" xfId="0" applyFill="1" applyBorder="1" applyAlignment="1">
      <alignment horizontal="right" vertical="center"/>
    </xf>
    <xf numFmtId="0" fontId="110" fillId="4" borderId="72" xfId="0" applyFont="1" applyFill="1" applyBorder="1" applyAlignment="1">
      <alignment horizontal="center" vertical="top" textRotation="90"/>
    </xf>
    <xf numFmtId="0" fontId="110" fillId="4" borderId="66" xfId="0" applyFont="1" applyFill="1" applyBorder="1" applyAlignment="1">
      <alignment horizontal="center" vertical="top" textRotation="90"/>
    </xf>
    <xf numFmtId="0" fontId="110" fillId="4" borderId="40" xfId="0" applyFont="1" applyFill="1" applyBorder="1" applyAlignment="1">
      <alignment horizontal="center" vertical="top" textRotation="90"/>
    </xf>
    <xf numFmtId="0" fontId="102" fillId="4" borderId="31" xfId="0" applyFont="1" applyFill="1" applyBorder="1" applyAlignment="1">
      <alignment horizontal="center" vertical="center"/>
    </xf>
    <xf numFmtId="0" fontId="102" fillId="4" borderId="28" xfId="0" applyFont="1" applyFill="1" applyBorder="1" applyAlignment="1">
      <alignment horizontal="center" vertical="center"/>
    </xf>
    <xf numFmtId="10" fontId="105" fillId="4" borderId="1" xfId="0" applyNumberFormat="1" applyFont="1" applyFill="1" applyBorder="1" applyAlignment="1">
      <alignment horizontal="center" vertical="center"/>
    </xf>
    <xf numFmtId="10" fontId="105" fillId="4" borderId="10" xfId="0" applyNumberFormat="1" applyFont="1" applyFill="1" applyBorder="1" applyAlignment="1">
      <alignment horizontal="center" vertical="center"/>
    </xf>
    <xf numFmtId="0" fontId="0" fillId="4" borderId="182"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174" xfId="0" applyFill="1" applyBorder="1" applyAlignment="1">
      <alignment horizontal="center" vertical="center" wrapText="1"/>
    </xf>
    <xf numFmtId="0" fontId="0" fillId="4" borderId="187" xfId="0" applyFill="1" applyBorder="1" applyAlignment="1" applyProtection="1">
      <alignment horizontal="left" vertical="center"/>
      <protection hidden="1"/>
    </xf>
    <xf numFmtId="0" fontId="0" fillId="4" borderId="55" xfId="0" applyFill="1" applyBorder="1" applyAlignment="1" applyProtection="1">
      <alignment horizontal="left" vertical="center"/>
      <protection hidden="1"/>
    </xf>
    <xf numFmtId="0" fontId="107" fillId="4" borderId="23" xfId="0" applyFont="1" applyFill="1" applyBorder="1" applyAlignment="1">
      <alignment horizontal="center" vertical="center" textRotation="90"/>
    </xf>
    <xf numFmtId="0" fontId="107" fillId="4" borderId="0" xfId="0" applyFont="1" applyFill="1" applyAlignment="1">
      <alignment horizontal="center" vertical="center" textRotation="90"/>
    </xf>
    <xf numFmtId="0" fontId="107" fillId="4" borderId="15" xfId="0" applyFont="1" applyFill="1" applyBorder="1" applyAlignment="1">
      <alignment horizontal="center" vertical="center" textRotation="90"/>
    </xf>
    <xf numFmtId="0" fontId="0" fillId="4" borderId="68" xfId="0" applyFill="1" applyBorder="1" applyAlignment="1" applyProtection="1">
      <alignment horizontal="left"/>
      <protection hidden="1"/>
    </xf>
    <xf numFmtId="8" fontId="0" fillId="0" borderId="2" xfId="0" applyNumberFormat="1" applyBorder="1" applyAlignment="1">
      <alignment horizontal="center"/>
    </xf>
    <xf numFmtId="0" fontId="89" fillId="4" borderId="2" xfId="0" applyFont="1" applyFill="1" applyBorder="1" applyAlignment="1">
      <alignment horizontal="right" vertical="center"/>
    </xf>
    <xf numFmtId="0" fontId="110" fillId="4" borderId="59" xfId="0" applyFont="1" applyFill="1" applyBorder="1" applyAlignment="1">
      <alignment horizontal="center" vertical="center" textRotation="90" wrapText="1"/>
    </xf>
    <xf numFmtId="0" fontId="110" fillId="4" borderId="117" xfId="0" applyFont="1" applyFill="1" applyBorder="1" applyAlignment="1">
      <alignment horizontal="center" vertical="center" textRotation="90" wrapText="1"/>
    </xf>
    <xf numFmtId="8" fontId="0" fillId="4" borderId="2" xfId="0" applyNumberFormat="1" applyFill="1" applyBorder="1" applyAlignment="1" applyProtection="1">
      <alignment horizontal="center"/>
      <protection hidden="1"/>
    </xf>
    <xf numFmtId="0" fontId="0" fillId="4" borderId="3" xfId="0" applyFill="1" applyBorder="1" applyAlignment="1" applyProtection="1">
      <alignment horizontal="center"/>
      <protection hidden="1"/>
    </xf>
    <xf numFmtId="6" fontId="105" fillId="4" borderId="4" xfId="0" applyNumberFormat="1" applyFont="1" applyFill="1" applyBorder="1" applyAlignment="1" applyProtection="1">
      <alignment horizontal="center" vertical="center"/>
      <protection hidden="1"/>
    </xf>
    <xf numFmtId="6" fontId="105" fillId="4" borderId="3" xfId="0" applyNumberFormat="1" applyFont="1" applyFill="1" applyBorder="1" applyAlignment="1" applyProtection="1">
      <alignment horizontal="center" vertical="center"/>
      <protection hidden="1"/>
    </xf>
    <xf numFmtId="0" fontId="100" fillId="4" borderId="85" xfId="0" applyFont="1" applyFill="1" applyBorder="1" applyAlignment="1">
      <alignment horizontal="left" vertical="center"/>
    </xf>
    <xf numFmtId="0" fontId="100" fillId="4" borderId="81" xfId="0" applyFont="1" applyFill="1" applyBorder="1" applyAlignment="1">
      <alignment horizontal="left" vertical="center"/>
    </xf>
    <xf numFmtId="0" fontId="100" fillId="4" borderId="82" xfId="0" applyFont="1" applyFill="1" applyBorder="1" applyAlignment="1">
      <alignment horizontal="left" vertical="center"/>
    </xf>
    <xf numFmtId="0" fontId="0" fillId="4" borderId="43" xfId="0" applyFill="1" applyBorder="1" applyAlignment="1" applyProtection="1">
      <alignment horizontal="left" vertical="center" wrapText="1"/>
      <protection hidden="1"/>
    </xf>
    <xf numFmtId="0" fontId="0" fillId="4" borderId="23" xfId="0" applyFill="1" applyBorder="1" applyAlignment="1" applyProtection="1">
      <alignment horizontal="left" vertical="center" wrapText="1"/>
      <protection hidden="1"/>
    </xf>
    <xf numFmtId="0" fontId="0" fillId="4" borderId="19" xfId="0" applyFill="1" applyBorder="1" applyAlignment="1" applyProtection="1">
      <alignment horizontal="left" vertical="center" wrapText="1"/>
      <protection hidden="1"/>
    </xf>
    <xf numFmtId="0" fontId="0" fillId="4" borderId="0" xfId="0" applyFill="1" applyAlignment="1" applyProtection="1">
      <alignment horizontal="left" vertical="center" wrapText="1"/>
      <protection hidden="1"/>
    </xf>
    <xf numFmtId="0" fontId="0" fillId="4" borderId="99" xfId="0" applyFill="1" applyBorder="1" applyAlignment="1" applyProtection="1">
      <alignment horizontal="left" vertical="center" wrapText="1"/>
      <protection hidden="1"/>
    </xf>
    <xf numFmtId="10" fontId="89" fillId="4" borderId="2" xfId="3" applyNumberFormat="1" applyFont="1" applyFill="1" applyBorder="1" applyAlignment="1">
      <alignment horizontal="center" vertical="center"/>
    </xf>
    <xf numFmtId="10" fontId="89" fillId="4" borderId="3" xfId="3" applyNumberFormat="1" applyFont="1" applyFill="1" applyBorder="1" applyAlignment="1">
      <alignment horizontal="center" vertical="center"/>
    </xf>
    <xf numFmtId="0" fontId="0" fillId="0" borderId="113" xfId="0" applyBorder="1" applyAlignment="1">
      <alignment horizontal="center"/>
    </xf>
    <xf numFmtId="0" fontId="162" fillId="4" borderId="24" xfId="0" applyFont="1" applyFill="1" applyBorder="1" applyAlignment="1">
      <alignment horizontal="center" vertical="center"/>
    </xf>
    <xf numFmtId="0" fontId="162" fillId="4" borderId="67" xfId="0" applyFont="1" applyFill="1" applyBorder="1" applyAlignment="1">
      <alignment horizontal="center" vertical="center"/>
    </xf>
    <xf numFmtId="0" fontId="162" fillId="4" borderId="22" xfId="0" applyFont="1" applyFill="1" applyBorder="1" applyAlignment="1">
      <alignment horizontal="center" vertical="center"/>
    </xf>
    <xf numFmtId="0" fontId="165" fillId="4" borderId="4" xfId="2" applyNumberFormat="1" applyFont="1" applyFill="1" applyBorder="1" applyAlignment="1" applyProtection="1">
      <alignment horizontal="center" vertical="center"/>
      <protection hidden="1"/>
    </xf>
    <xf numFmtId="0" fontId="165" fillId="4" borderId="10" xfId="2" applyNumberFormat="1" applyFont="1" applyFill="1" applyBorder="1" applyAlignment="1" applyProtection="1">
      <alignment horizontal="center" vertical="center"/>
      <protection hidden="1"/>
    </xf>
    <xf numFmtId="0" fontId="165" fillId="4" borderId="2" xfId="2" applyNumberFormat="1" applyFont="1" applyFill="1" applyBorder="1" applyAlignment="1" applyProtection="1">
      <alignment horizontal="center" vertical="center"/>
      <protection hidden="1"/>
    </xf>
    <xf numFmtId="0" fontId="165" fillId="4" borderId="3" xfId="2" applyNumberFormat="1" applyFont="1" applyFill="1" applyBorder="1" applyAlignment="1" applyProtection="1">
      <alignment horizontal="center" vertical="center"/>
      <protection hidden="1"/>
    </xf>
    <xf numFmtId="0" fontId="0" fillId="0" borderId="0" xfId="0" applyAlignment="1">
      <alignment horizontal="left" vertical="center" textRotation="180"/>
    </xf>
    <xf numFmtId="0" fontId="100" fillId="4" borderId="164" xfId="0" applyFont="1" applyFill="1" applyBorder="1" applyAlignment="1" applyProtection="1">
      <alignment horizontal="center" vertical="center"/>
      <protection hidden="1"/>
    </xf>
    <xf numFmtId="0" fontId="100" fillId="4" borderId="10" xfId="0" applyFont="1" applyFill="1" applyBorder="1" applyAlignment="1" applyProtection="1">
      <alignment horizontal="center" vertical="center"/>
      <protection hidden="1"/>
    </xf>
    <xf numFmtId="0" fontId="191" fillId="4" borderId="23" xfId="2" applyNumberFormat="1" applyFont="1" applyFill="1" applyBorder="1" applyAlignment="1" applyProtection="1">
      <alignment horizontal="center" vertical="center"/>
    </xf>
    <xf numFmtId="0" fontId="100" fillId="4" borderId="85" xfId="0" applyFont="1" applyFill="1" applyBorder="1" applyAlignment="1" applyProtection="1">
      <alignment horizontal="right"/>
      <protection hidden="1"/>
    </xf>
    <xf numFmtId="0" fontId="100" fillId="4" borderId="82" xfId="0" applyFont="1" applyFill="1" applyBorder="1" applyAlignment="1" applyProtection="1">
      <alignment horizontal="right"/>
      <protection hidden="1"/>
    </xf>
    <xf numFmtId="0" fontId="154" fillId="4" borderId="68" xfId="0" applyFont="1" applyFill="1" applyBorder="1" applyAlignment="1" applyProtection="1">
      <alignment horizontal="left" vertical="center"/>
      <protection hidden="1"/>
    </xf>
    <xf numFmtId="0" fontId="154" fillId="4" borderId="10" xfId="0" applyFont="1" applyFill="1" applyBorder="1" applyAlignment="1" applyProtection="1">
      <alignment horizontal="left" vertical="center"/>
      <protection hidden="1"/>
    </xf>
    <xf numFmtId="6" fontId="89" fillId="4" borderId="21" xfId="0" applyNumberFormat="1" applyFont="1" applyFill="1" applyBorder="1" applyAlignment="1">
      <alignment horizontal="center" vertical="center"/>
    </xf>
    <xf numFmtId="0" fontId="89" fillId="4" borderId="22" xfId="0" applyFont="1" applyFill="1" applyBorder="1" applyAlignment="1">
      <alignment horizontal="center" vertical="center"/>
    </xf>
    <xf numFmtId="8" fontId="89" fillId="4" borderId="21" xfId="0" applyNumberFormat="1" applyFont="1" applyFill="1" applyBorder="1" applyAlignment="1">
      <alignment horizontal="center" vertical="center"/>
    </xf>
    <xf numFmtId="0" fontId="100" fillId="4" borderId="189" xfId="0" applyFont="1" applyFill="1" applyBorder="1" applyAlignment="1">
      <alignment horizontal="center" wrapText="1"/>
    </xf>
    <xf numFmtId="0" fontId="100" fillId="4" borderId="181" xfId="0" applyFont="1" applyFill="1" applyBorder="1" applyAlignment="1">
      <alignment horizontal="center" wrapText="1"/>
    </xf>
    <xf numFmtId="0" fontId="100" fillId="4" borderId="31" xfId="0" applyFont="1" applyFill="1" applyBorder="1" applyAlignment="1">
      <alignment horizontal="center" wrapText="1"/>
    </xf>
    <xf numFmtId="0" fontId="100" fillId="4" borderId="174" xfId="0" applyFont="1" applyFill="1" applyBorder="1" applyAlignment="1">
      <alignment horizontal="center" wrapText="1"/>
    </xf>
    <xf numFmtId="0" fontId="100" fillId="4" borderId="68" xfId="0" applyFont="1" applyFill="1" applyBorder="1" applyAlignment="1" applyProtection="1">
      <alignment horizontal="left"/>
      <protection hidden="1"/>
    </xf>
    <xf numFmtId="0" fontId="100" fillId="4" borderId="10" xfId="0" applyFont="1" applyFill="1" applyBorder="1" applyAlignment="1" applyProtection="1">
      <alignment horizontal="left"/>
      <protection hidden="1"/>
    </xf>
    <xf numFmtId="0" fontId="165" fillId="4" borderId="68" xfId="2" applyNumberFormat="1" applyFont="1" applyFill="1" applyBorder="1" applyAlignment="1" applyProtection="1">
      <alignment horizontal="left"/>
      <protection hidden="1"/>
    </xf>
    <xf numFmtId="0" fontId="165" fillId="4" borderId="10" xfId="2" applyNumberFormat="1" applyFont="1" applyFill="1" applyBorder="1" applyAlignment="1" applyProtection="1">
      <alignment horizontal="left"/>
      <protection hidden="1"/>
    </xf>
    <xf numFmtId="0" fontId="0" fillId="4" borderId="164" xfId="0" applyFill="1" applyBorder="1" applyAlignment="1">
      <alignment horizontal="left" vertical="center"/>
    </xf>
    <xf numFmtId="0" fontId="0" fillId="4" borderId="214" xfId="0" applyFill="1" applyBorder="1" applyAlignment="1">
      <alignment horizontal="right"/>
    </xf>
    <xf numFmtId="0" fontId="0" fillId="4" borderId="176" xfId="0" applyFill="1" applyBorder="1" applyAlignment="1">
      <alignment horizontal="right"/>
    </xf>
    <xf numFmtId="0" fontId="0" fillId="4" borderId="210" xfId="0" applyFill="1" applyBorder="1" applyAlignment="1">
      <alignment horizontal="right"/>
    </xf>
    <xf numFmtId="0" fontId="0" fillId="4" borderId="170" xfId="0" applyFill="1" applyBorder="1" applyAlignment="1" applyProtection="1">
      <alignment horizontal="left"/>
      <protection hidden="1"/>
    </xf>
    <xf numFmtId="0" fontId="0" fillId="4" borderId="2" xfId="0" applyFill="1" applyBorder="1" applyAlignment="1" applyProtection="1">
      <alignment horizontal="left"/>
      <protection hidden="1"/>
    </xf>
    <xf numFmtId="0" fontId="242" fillId="4" borderId="164" xfId="2" applyNumberFormat="1" applyFont="1" applyFill="1" applyBorder="1" applyAlignment="1" applyProtection="1">
      <alignment horizontal="left"/>
      <protection hidden="1"/>
    </xf>
    <xf numFmtId="0" fontId="242" fillId="4" borderId="10" xfId="2" applyNumberFormat="1" applyFont="1" applyFill="1" applyBorder="1" applyAlignment="1" applyProtection="1">
      <alignment horizontal="left"/>
      <protection hidden="1"/>
    </xf>
    <xf numFmtId="8" fontId="0" fillId="0" borderId="0" xfId="0" applyNumberFormat="1" applyAlignment="1">
      <alignment horizontal="center"/>
    </xf>
    <xf numFmtId="8" fontId="89" fillId="4" borderId="2" xfId="0" applyNumberFormat="1" applyFont="1" applyFill="1" applyBorder="1" applyAlignment="1">
      <alignment horizontal="center" vertical="center"/>
    </xf>
    <xf numFmtId="0" fontId="89" fillId="4" borderId="2" xfId="0" applyFont="1" applyFill="1" applyBorder="1" applyAlignment="1">
      <alignment horizontal="center" vertical="center"/>
    </xf>
    <xf numFmtId="8" fontId="89" fillId="4" borderId="3" xfId="0" applyNumberFormat="1" applyFont="1" applyFill="1" applyBorder="1" applyAlignment="1">
      <alignment horizontal="center" vertical="center"/>
    </xf>
    <xf numFmtId="0" fontId="89" fillId="4" borderId="6" xfId="0" applyFont="1" applyFill="1" applyBorder="1" applyAlignment="1">
      <alignment horizontal="right" vertical="center"/>
    </xf>
    <xf numFmtId="0" fontId="89" fillId="4" borderId="6" xfId="0" applyFont="1" applyFill="1" applyBorder="1" applyAlignment="1">
      <alignment horizontal="center" vertical="center"/>
    </xf>
    <xf numFmtId="0" fontId="89" fillId="4" borderId="7" xfId="0" applyFont="1" applyFill="1" applyBorder="1" applyAlignment="1">
      <alignment horizontal="center" vertical="center"/>
    </xf>
    <xf numFmtId="0" fontId="0" fillId="4" borderId="1" xfId="0" applyFill="1" applyBorder="1" applyAlignment="1" applyProtection="1">
      <alignment horizontal="center" vertical="center"/>
      <protection hidden="1"/>
    </xf>
    <xf numFmtId="0" fontId="105" fillId="4" borderId="67" xfId="0" applyFont="1" applyFill="1" applyBorder="1" applyAlignment="1">
      <alignment horizontal="center" vertical="center"/>
    </xf>
    <xf numFmtId="0" fontId="105" fillId="4" borderId="22" xfId="0" applyFont="1" applyFill="1" applyBorder="1" applyAlignment="1">
      <alignment horizontal="center" vertical="center"/>
    </xf>
    <xf numFmtId="0" fontId="61" fillId="4" borderId="24" xfId="0" applyFont="1" applyFill="1" applyBorder="1" applyAlignment="1">
      <alignment horizontal="center" vertical="center"/>
    </xf>
    <xf numFmtId="0" fontId="61" fillId="4" borderId="4" xfId="0" applyFont="1" applyFill="1" applyBorder="1" applyAlignment="1">
      <alignment horizontal="center" vertical="center"/>
    </xf>
    <xf numFmtId="0" fontId="61" fillId="4" borderId="5" xfId="0" applyFont="1" applyFill="1" applyBorder="1" applyAlignment="1">
      <alignment horizontal="center" vertical="center"/>
    </xf>
    <xf numFmtId="0" fontId="89" fillId="4" borderId="21" xfId="0" applyFont="1" applyFill="1" applyBorder="1" applyAlignment="1">
      <alignment horizontal="right" vertical="center"/>
    </xf>
    <xf numFmtId="10" fontId="105" fillId="0" borderId="1" xfId="3" applyNumberFormat="1" applyFont="1" applyFill="1" applyBorder="1" applyAlignment="1" applyProtection="1">
      <alignment horizontal="center" vertical="center"/>
      <protection locked="0"/>
    </xf>
    <xf numFmtId="10" fontId="105" fillId="0" borderId="10" xfId="3" applyNumberFormat="1" applyFont="1" applyFill="1" applyBorder="1" applyAlignment="1" applyProtection="1">
      <alignment horizontal="center" vertical="center"/>
      <protection locked="0"/>
    </xf>
    <xf numFmtId="0" fontId="140" fillId="4" borderId="65" xfId="0" applyFont="1" applyFill="1" applyBorder="1" applyAlignment="1">
      <alignment horizontal="center" vertical="center"/>
    </xf>
    <xf numFmtId="0" fontId="140" fillId="4" borderId="79" xfId="0" applyFont="1" applyFill="1" applyBorder="1" applyAlignment="1">
      <alignment horizontal="center" vertical="center"/>
    </xf>
    <xf numFmtId="0" fontId="140" fillId="4" borderId="20" xfId="0" applyFont="1" applyFill="1" applyBorder="1" applyAlignment="1">
      <alignment horizontal="center" vertical="center"/>
    </xf>
    <xf numFmtId="0" fontId="0" fillId="4" borderId="16" xfId="0" applyFill="1" applyBorder="1" applyAlignment="1">
      <alignment horizontal="right" vertical="center"/>
    </xf>
    <xf numFmtId="0" fontId="0" fillId="4" borderId="18" xfId="0" applyFill="1" applyBorder="1" applyAlignment="1">
      <alignment horizontal="right" vertical="center"/>
    </xf>
    <xf numFmtId="0" fontId="0" fillId="4" borderId="39" xfId="0" applyFill="1" applyBorder="1" applyAlignment="1">
      <alignment horizontal="right" vertical="center"/>
    </xf>
    <xf numFmtId="0" fontId="105" fillId="4" borderId="42" xfId="0" applyFont="1" applyFill="1" applyBorder="1" applyAlignment="1" applyProtection="1">
      <alignment horizontal="center" vertical="center" wrapText="1"/>
      <protection hidden="1"/>
    </xf>
    <xf numFmtId="0" fontId="105" fillId="4" borderId="58" xfId="0" applyFont="1" applyFill="1" applyBorder="1" applyAlignment="1" applyProtection="1">
      <alignment horizontal="center" vertical="center" wrapText="1"/>
      <protection hidden="1"/>
    </xf>
    <xf numFmtId="0" fontId="105" fillId="4" borderId="8" xfId="0" applyFont="1" applyFill="1" applyBorder="1" applyAlignment="1" applyProtection="1">
      <alignment horizontal="center" vertical="center" wrapText="1"/>
      <protection hidden="1"/>
    </xf>
    <xf numFmtId="0" fontId="105" fillId="4" borderId="15" xfId="0" applyFont="1" applyFill="1" applyBorder="1" applyAlignment="1" applyProtection="1">
      <alignment horizontal="center" vertical="center" wrapText="1"/>
      <protection hidden="1"/>
    </xf>
    <xf numFmtId="0" fontId="105" fillId="4" borderId="31" xfId="0" applyFont="1" applyFill="1" applyBorder="1" applyAlignment="1" applyProtection="1">
      <alignment horizontal="center" vertical="center" wrapText="1"/>
      <protection hidden="1"/>
    </xf>
    <xf numFmtId="0" fontId="105" fillId="4" borderId="57" xfId="0" applyFont="1" applyFill="1" applyBorder="1" applyAlignment="1" applyProtection="1">
      <alignment horizontal="center" vertical="center" wrapText="1"/>
      <protection hidden="1"/>
    </xf>
    <xf numFmtId="0" fontId="105" fillId="4" borderId="19" xfId="0" applyFont="1" applyFill="1" applyBorder="1" applyAlignment="1" applyProtection="1">
      <alignment horizontal="center" vertical="center" wrapText="1"/>
      <protection hidden="1"/>
    </xf>
    <xf numFmtId="0" fontId="105" fillId="4" borderId="0" xfId="0" applyFont="1" applyFill="1" applyAlignment="1" applyProtection="1">
      <alignment horizontal="center" vertical="center" wrapText="1"/>
      <protection hidden="1"/>
    </xf>
    <xf numFmtId="0" fontId="105" fillId="4" borderId="16" xfId="0" applyFont="1" applyFill="1" applyBorder="1" applyAlignment="1" applyProtection="1">
      <alignment horizontal="center" vertical="center" wrapText="1"/>
      <protection hidden="1"/>
    </xf>
    <xf numFmtId="0" fontId="105" fillId="4" borderId="18" xfId="0" applyFont="1" applyFill="1" applyBorder="1" applyAlignment="1" applyProtection="1">
      <alignment horizontal="center" vertical="center" wrapText="1"/>
      <protection hidden="1"/>
    </xf>
    <xf numFmtId="0" fontId="105" fillId="4" borderId="39" xfId="0" applyFont="1" applyFill="1" applyBorder="1" applyAlignment="1" applyProtection="1">
      <alignment horizontal="center" vertical="center" wrapText="1"/>
      <protection hidden="1"/>
    </xf>
    <xf numFmtId="0" fontId="169" fillId="4" borderId="23" xfId="0" applyFont="1" applyFill="1" applyBorder="1" applyAlignment="1">
      <alignment horizontal="center"/>
    </xf>
    <xf numFmtId="0" fontId="0" fillId="4" borderId="68" xfId="0" applyFill="1" applyBorder="1" applyAlignment="1" applyProtection="1">
      <alignment horizontal="left" vertical="center"/>
      <protection hidden="1"/>
    </xf>
    <xf numFmtId="0" fontId="102" fillId="4" borderId="1" xfId="0" applyFont="1" applyFill="1" applyBorder="1" applyAlignment="1" applyProtection="1">
      <alignment horizontal="center" vertical="center"/>
      <protection hidden="1"/>
    </xf>
    <xf numFmtId="0" fontId="102" fillId="4" borderId="9" xfId="0" applyFont="1" applyFill="1" applyBorder="1" applyAlignment="1" applyProtection="1">
      <alignment horizontal="center" vertical="center"/>
      <protection hidden="1"/>
    </xf>
    <xf numFmtId="0" fontId="102" fillId="4" borderId="77" xfId="0" applyFont="1" applyFill="1" applyBorder="1" applyAlignment="1" applyProtection="1">
      <alignment horizontal="center" vertical="center"/>
      <protection hidden="1"/>
    </xf>
    <xf numFmtId="9" fontId="0" fillId="0" borderId="0" xfId="3" applyFont="1" applyAlignment="1" applyProtection="1">
      <alignment horizontal="center" vertical="center"/>
      <protection locked="0"/>
    </xf>
    <xf numFmtId="0" fontId="105" fillId="4" borderId="68" xfId="0" applyFont="1" applyFill="1" applyBorder="1" applyAlignment="1" applyProtection="1">
      <alignment horizontal="left" vertical="center"/>
      <protection hidden="1"/>
    </xf>
    <xf numFmtId="0" fontId="105" fillId="4" borderId="10" xfId="0" applyFont="1" applyFill="1" applyBorder="1" applyAlignment="1" applyProtection="1">
      <alignment horizontal="left" vertical="center"/>
      <protection hidden="1"/>
    </xf>
    <xf numFmtId="0" fontId="63" fillId="4" borderId="18" xfId="2" applyNumberFormat="1" applyFill="1" applyBorder="1" applyAlignment="1" applyProtection="1">
      <alignment horizontal="center"/>
    </xf>
    <xf numFmtId="0" fontId="63" fillId="4" borderId="39" xfId="2" applyNumberFormat="1" applyFill="1" applyBorder="1" applyAlignment="1" applyProtection="1">
      <alignment horizontal="center"/>
    </xf>
    <xf numFmtId="0" fontId="100" fillId="4" borderId="43" xfId="0" applyFont="1" applyFill="1" applyBorder="1" applyAlignment="1" applyProtection="1">
      <alignment horizontal="center" vertical="center" wrapText="1"/>
      <protection hidden="1"/>
    </xf>
    <xf numFmtId="0" fontId="100" fillId="4" borderId="23" xfId="0" applyFont="1" applyFill="1" applyBorder="1" applyAlignment="1" applyProtection="1">
      <alignment horizontal="center" vertical="center" wrapText="1"/>
      <protection hidden="1"/>
    </xf>
    <xf numFmtId="0" fontId="100" fillId="4" borderId="0" xfId="0" applyFont="1" applyFill="1" applyAlignment="1" applyProtection="1">
      <alignment horizontal="center" vertical="center" wrapText="1"/>
      <protection hidden="1"/>
    </xf>
    <xf numFmtId="0" fontId="100" fillId="4" borderId="16" xfId="0" applyFont="1" applyFill="1" applyBorder="1" applyAlignment="1" applyProtection="1">
      <alignment horizontal="center" vertical="center" wrapText="1"/>
      <protection hidden="1"/>
    </xf>
    <xf numFmtId="0" fontId="100" fillId="4" borderId="18" xfId="0" applyFont="1" applyFill="1" applyBorder="1" applyAlignment="1" applyProtection="1">
      <alignment horizontal="center" vertical="center" wrapText="1"/>
      <protection hidden="1"/>
    </xf>
    <xf numFmtId="0" fontId="63" fillId="3" borderId="0" xfId="2" applyNumberFormat="1" applyFill="1" applyBorder="1" applyAlignment="1" applyProtection="1">
      <alignment horizontal="center"/>
    </xf>
    <xf numFmtId="0" fontId="63" fillId="3" borderId="15" xfId="2" applyNumberFormat="1" applyFill="1" applyBorder="1" applyAlignment="1" applyProtection="1">
      <alignment horizontal="center"/>
    </xf>
    <xf numFmtId="0" fontId="0" fillId="4" borderId="115" xfId="0" applyFill="1" applyBorder="1" applyAlignment="1">
      <alignment horizontal="center" vertical="center"/>
    </xf>
    <xf numFmtId="0" fontId="0" fillId="4" borderId="44" xfId="0" applyFill="1" applyBorder="1" applyAlignment="1">
      <alignment horizontal="center" vertical="center"/>
    </xf>
    <xf numFmtId="0" fontId="0" fillId="0" borderId="0" xfId="0" applyAlignment="1" applyProtection="1">
      <alignment horizontal="center"/>
      <protection locked="0"/>
    </xf>
    <xf numFmtId="0" fontId="142" fillId="0" borderId="18" xfId="0" applyFont="1" applyBorder="1" applyAlignment="1">
      <alignment horizontal="center" vertical="center"/>
    </xf>
    <xf numFmtId="178" fontId="49" fillId="0" borderId="0" xfId="0" applyNumberFormat="1" applyFont="1" applyAlignment="1">
      <alignment horizontal="center"/>
    </xf>
    <xf numFmtId="0" fontId="115" fillId="0" borderId="43" xfId="0" applyFont="1" applyBorder="1" applyAlignment="1">
      <alignment horizontal="center" wrapText="1"/>
    </xf>
    <xf numFmtId="0" fontId="115" fillId="0" borderId="23" xfId="0" applyFont="1" applyBorder="1" applyAlignment="1">
      <alignment horizontal="center" wrapText="1"/>
    </xf>
    <xf numFmtId="0" fontId="115" fillId="0" borderId="44" xfId="0" applyFont="1" applyBorder="1" applyAlignment="1">
      <alignment horizontal="center" wrapText="1"/>
    </xf>
    <xf numFmtId="0" fontId="115" fillId="0" borderId="43" xfId="0" applyFont="1" applyBorder="1" applyAlignment="1">
      <alignment horizontal="center" vertical="center"/>
    </xf>
    <xf numFmtId="0" fontId="115" fillId="0" borderId="23" xfId="0" applyFont="1" applyBorder="1" applyAlignment="1">
      <alignment horizontal="center" vertical="center"/>
    </xf>
    <xf numFmtId="0" fontId="63" fillId="0" borderId="0" xfId="2" applyNumberFormat="1" applyFill="1" applyAlignment="1" applyProtection="1">
      <alignment horizontal="center" wrapText="1"/>
    </xf>
    <xf numFmtId="0" fontId="63" fillId="0" borderId="23" xfId="2" applyNumberFormat="1" applyBorder="1" applyAlignment="1" applyProtection="1">
      <alignment horizontal="center" vertical="center" wrapText="1"/>
    </xf>
    <xf numFmtId="0" fontId="0" fillId="0" borderId="1" xfId="0" applyBorder="1" applyAlignment="1">
      <alignment horizontal="center"/>
    </xf>
    <xf numFmtId="0" fontId="0" fillId="0" borderId="10" xfId="0" applyBorder="1" applyAlignment="1">
      <alignment horizontal="center"/>
    </xf>
    <xf numFmtId="0" fontId="115" fillId="0" borderId="24" xfId="0" applyFont="1" applyBorder="1" applyAlignment="1">
      <alignment horizontal="center" wrapText="1"/>
    </xf>
    <xf numFmtId="0" fontId="115" fillId="0" borderId="21" xfId="0" applyFont="1" applyBorder="1" applyAlignment="1">
      <alignment horizontal="center" wrapText="1"/>
    </xf>
    <xf numFmtId="175" fontId="115" fillId="0" borderId="21" xfId="0" applyNumberFormat="1" applyFont="1" applyBorder="1" applyAlignment="1">
      <alignment horizontal="center" vertical="center" wrapText="1"/>
    </xf>
    <xf numFmtId="175" fontId="115" fillId="0" borderId="22" xfId="0" applyNumberFormat="1" applyFont="1" applyBorder="1" applyAlignment="1">
      <alignment horizontal="center" vertical="center" wrapText="1"/>
    </xf>
    <xf numFmtId="175" fontId="115" fillId="0" borderId="24" xfId="0" applyNumberFormat="1" applyFont="1" applyBorder="1" applyAlignment="1">
      <alignment horizontal="center" vertical="center" wrapText="1"/>
    </xf>
    <xf numFmtId="200" fontId="100" fillId="4" borderId="2" xfId="3" applyNumberFormat="1" applyFont="1" applyFill="1" applyBorder="1" applyAlignment="1" applyProtection="1">
      <alignment horizontal="center" vertical="center"/>
      <protection hidden="1"/>
    </xf>
    <xf numFmtId="200" fontId="100" fillId="4" borderId="3" xfId="3" applyNumberFormat="1" applyFont="1" applyFill="1" applyBorder="1" applyAlignment="1" applyProtection="1">
      <alignment horizontal="center" vertical="center"/>
      <protection hidden="1"/>
    </xf>
    <xf numFmtId="0" fontId="107" fillId="16" borderId="24" xfId="0" applyFont="1" applyFill="1" applyBorder="1" applyAlignment="1" applyProtection="1">
      <alignment horizontal="center" vertical="center"/>
      <protection hidden="1"/>
    </xf>
    <xf numFmtId="0" fontId="107" fillId="16" borderId="21" xfId="0" applyFont="1" applyFill="1" applyBorder="1" applyAlignment="1" applyProtection="1">
      <alignment horizontal="center" vertical="center"/>
      <protection hidden="1"/>
    </xf>
    <xf numFmtId="0" fontId="107" fillId="16" borderId="22" xfId="0" applyFont="1" applyFill="1" applyBorder="1" applyAlignment="1" applyProtection="1">
      <alignment horizontal="center" vertical="center"/>
      <protection hidden="1"/>
    </xf>
    <xf numFmtId="0" fontId="107" fillId="16" borderId="4" xfId="0" applyFont="1" applyFill="1" applyBorder="1" applyAlignment="1" applyProtection="1">
      <alignment horizontal="center" vertical="center"/>
      <protection hidden="1"/>
    </xf>
    <xf numFmtId="0" fontId="107" fillId="16" borderId="2" xfId="0" applyFont="1" applyFill="1" applyBorder="1" applyAlignment="1" applyProtection="1">
      <alignment horizontal="center" vertical="center"/>
      <protection hidden="1"/>
    </xf>
    <xf numFmtId="0" fontId="107" fillId="16" borderId="3" xfId="0" applyFont="1" applyFill="1" applyBorder="1" applyAlignment="1" applyProtection="1">
      <alignment horizontal="center" vertical="center"/>
      <protection hidden="1"/>
    </xf>
    <xf numFmtId="0" fontId="80" fillId="4" borderId="4" xfId="0" applyFont="1" applyFill="1" applyBorder="1" applyAlignment="1" applyProtection="1">
      <alignment horizontal="left" vertical="center"/>
      <protection hidden="1"/>
    </xf>
    <xf numFmtId="0" fontId="80" fillId="4" borderId="2" xfId="0" applyFont="1" applyFill="1" applyBorder="1" applyAlignment="1" applyProtection="1">
      <alignment horizontal="left" vertical="center"/>
      <protection hidden="1"/>
    </xf>
    <xf numFmtId="0" fontId="83" fillId="16" borderId="24" xfId="0" applyFont="1" applyFill="1" applyBorder="1" applyAlignment="1">
      <alignment horizontal="center" vertical="center"/>
    </xf>
    <xf numFmtId="0" fontId="83" fillId="16" borderId="21" xfId="0" applyFont="1" applyFill="1" applyBorder="1" applyAlignment="1">
      <alignment horizontal="center" vertical="center"/>
    </xf>
    <xf numFmtId="0" fontId="83" fillId="16" borderId="22" xfId="0" applyFont="1" applyFill="1" applyBorder="1" applyAlignment="1">
      <alignment horizontal="center" vertical="center"/>
    </xf>
    <xf numFmtId="0" fontId="83" fillId="16" borderId="4" xfId="0" applyFont="1" applyFill="1" applyBorder="1" applyAlignment="1">
      <alignment horizontal="center" vertical="center"/>
    </xf>
    <xf numFmtId="0" fontId="83" fillId="16" borderId="2" xfId="0" applyFont="1" applyFill="1" applyBorder="1" applyAlignment="1">
      <alignment horizontal="center" vertical="center"/>
    </xf>
    <xf numFmtId="0" fontId="83" fillId="16" borderId="3" xfId="0" applyFont="1" applyFill="1" applyBorder="1" applyAlignment="1">
      <alignment horizontal="center" vertical="center"/>
    </xf>
    <xf numFmtId="0" fontId="0" fillId="4" borderId="10" xfId="0" applyFill="1" applyBorder="1" applyAlignment="1" applyProtection="1">
      <alignment horizontal="right" vertical="center"/>
      <protection hidden="1"/>
    </xf>
    <xf numFmtId="0" fontId="0" fillId="4" borderId="68" xfId="0" applyFill="1" applyBorder="1" applyAlignment="1" applyProtection="1">
      <alignment horizontal="center" vertical="center"/>
      <protection hidden="1"/>
    </xf>
    <xf numFmtId="0" fontId="0" fillId="4" borderId="9" xfId="0" applyFill="1" applyBorder="1" applyAlignment="1" applyProtection="1">
      <alignment horizontal="center" vertical="center"/>
      <protection hidden="1"/>
    </xf>
    <xf numFmtId="0" fontId="0" fillId="4" borderId="10" xfId="0" applyFill="1" applyBorder="1" applyAlignment="1" applyProtection="1">
      <alignment horizontal="center" vertical="center"/>
      <protection hidden="1"/>
    </xf>
    <xf numFmtId="0" fontId="0" fillId="4" borderId="4" xfId="0" applyFill="1" applyBorder="1" applyAlignment="1" applyProtection="1">
      <alignment horizontal="left" vertical="center"/>
      <protection hidden="1"/>
    </xf>
    <xf numFmtId="14" fontId="0" fillId="4" borderId="4" xfId="0" applyNumberFormat="1" applyFill="1" applyBorder="1" applyAlignment="1">
      <alignment horizontal="right" vertical="center"/>
    </xf>
    <xf numFmtId="14" fontId="0" fillId="4" borderId="2" xfId="0" applyNumberFormat="1" applyFill="1" applyBorder="1" applyAlignment="1">
      <alignment horizontal="right" vertical="center"/>
    </xf>
    <xf numFmtId="0" fontId="102" fillId="4" borderId="26" xfId="0" applyFont="1" applyFill="1" applyBorder="1" applyAlignment="1">
      <alignment horizontal="left" vertical="center"/>
    </xf>
    <xf numFmtId="0" fontId="102" fillId="4" borderId="41" xfId="0" applyFont="1" applyFill="1" applyBorder="1" applyAlignment="1">
      <alignment horizontal="left" vertical="center"/>
    </xf>
    <xf numFmtId="0" fontId="104" fillId="4" borderId="85" xfId="0" applyFont="1" applyFill="1" applyBorder="1" applyAlignment="1">
      <alignment horizontal="center" vertical="center"/>
    </xf>
    <xf numFmtId="0" fontId="104" fillId="4" borderId="81" xfId="0" applyFont="1" applyFill="1" applyBorder="1" applyAlignment="1">
      <alignment horizontal="center" vertical="center"/>
    </xf>
    <xf numFmtId="0" fontId="104" fillId="4" borderId="86" xfId="0" applyFont="1" applyFill="1" applyBorder="1" applyAlignment="1">
      <alignment horizontal="center" vertical="center"/>
    </xf>
    <xf numFmtId="0" fontId="107" fillId="16" borderId="43" xfId="0" applyFont="1" applyFill="1" applyBorder="1" applyAlignment="1">
      <alignment horizontal="center" vertical="center"/>
    </xf>
    <xf numFmtId="0" fontId="107" fillId="16" borderId="23" xfId="0" applyFont="1" applyFill="1" applyBorder="1" applyAlignment="1">
      <alignment horizontal="center" vertical="center"/>
    </xf>
    <xf numFmtId="0" fontId="107" fillId="16" borderId="44" xfId="0" applyFont="1" applyFill="1" applyBorder="1" applyAlignment="1">
      <alignment horizontal="center" vertical="center"/>
    </xf>
    <xf numFmtId="0" fontId="107" fillId="16" borderId="16" xfId="0" applyFont="1" applyFill="1" applyBorder="1" applyAlignment="1">
      <alignment horizontal="center" vertical="center"/>
    </xf>
    <xf numFmtId="0" fontId="107" fillId="16" borderId="18" xfId="0" applyFont="1" applyFill="1" applyBorder="1" applyAlignment="1">
      <alignment horizontal="center" vertical="center"/>
    </xf>
    <xf numFmtId="0" fontId="107" fillId="16" borderId="39" xfId="0" applyFont="1" applyFill="1" applyBorder="1" applyAlignment="1">
      <alignment horizontal="center" vertical="center"/>
    </xf>
    <xf numFmtId="0" fontId="0" fillId="4" borderId="9" xfId="0" applyFill="1" applyBorder="1" applyAlignment="1" applyProtection="1">
      <alignment horizontal="left" vertical="center"/>
      <protection hidden="1"/>
    </xf>
    <xf numFmtId="0" fontId="0" fillId="4" borderId="4" xfId="0" applyFill="1" applyBorder="1" applyAlignment="1">
      <alignment horizontal="right" vertical="center"/>
    </xf>
    <xf numFmtId="0" fontId="0" fillId="4" borderId="2" xfId="0" applyFill="1" applyBorder="1" applyAlignment="1">
      <alignment horizontal="right" vertical="center"/>
    </xf>
    <xf numFmtId="0" fontId="0" fillId="4" borderId="5" xfId="0" applyFill="1" applyBorder="1" applyAlignment="1" applyProtection="1">
      <alignment horizontal="center" vertical="center"/>
      <protection hidden="1"/>
    </xf>
    <xf numFmtId="0" fontId="0" fillId="4" borderId="6" xfId="0" applyFill="1" applyBorder="1" applyAlignment="1" applyProtection="1">
      <alignment horizontal="center" vertical="center"/>
      <protection hidden="1"/>
    </xf>
    <xf numFmtId="0" fontId="0" fillId="4" borderId="7" xfId="0" applyFill="1" applyBorder="1" applyAlignment="1" applyProtection="1">
      <alignment horizontal="center" vertical="center"/>
      <protection hidden="1"/>
    </xf>
    <xf numFmtId="0" fontId="107" fillId="4" borderId="269" xfId="0" applyFont="1" applyFill="1" applyBorder="1" applyAlignment="1">
      <alignment horizontal="center" vertical="center" textRotation="90"/>
    </xf>
    <xf numFmtId="0" fontId="107" fillId="4" borderId="273" xfId="0" applyFont="1" applyFill="1" applyBorder="1" applyAlignment="1">
      <alignment horizontal="center" vertical="center" textRotation="90"/>
    </xf>
    <xf numFmtId="0" fontId="107" fillId="4" borderId="276" xfId="0" applyFont="1" applyFill="1" applyBorder="1" applyAlignment="1">
      <alignment horizontal="center" vertical="center" textRotation="90"/>
    </xf>
    <xf numFmtId="0" fontId="28" fillId="4" borderId="170" xfId="0" applyFont="1" applyFill="1" applyBorder="1" applyAlignment="1" applyProtection="1">
      <alignment horizontal="right" vertical="center"/>
      <protection hidden="1"/>
    </xf>
    <xf numFmtId="0" fontId="28" fillId="4" borderId="2" xfId="0" applyFont="1" applyFill="1" applyBorder="1" applyAlignment="1" applyProtection="1">
      <alignment horizontal="right" vertical="center"/>
      <protection hidden="1"/>
    </xf>
    <xf numFmtId="0" fontId="160" fillId="16" borderId="270" xfId="0" applyFont="1" applyFill="1" applyBorder="1" applyAlignment="1">
      <alignment horizontal="center" vertical="center" wrapText="1"/>
    </xf>
    <xf numFmtId="0" fontId="160" fillId="16" borderId="271" xfId="0" applyFont="1" applyFill="1" applyBorder="1" applyAlignment="1">
      <alignment horizontal="center" vertical="center" wrapText="1"/>
    </xf>
    <xf numFmtId="0" fontId="160" fillId="16" borderId="272" xfId="0" applyFont="1" applyFill="1" applyBorder="1" applyAlignment="1">
      <alignment horizontal="center" vertical="center" wrapText="1"/>
    </xf>
    <xf numFmtId="0" fontId="116" fillId="4" borderId="19" xfId="0" applyFont="1" applyFill="1" applyBorder="1" applyAlignment="1">
      <alignment horizontal="center" vertical="center" textRotation="90"/>
    </xf>
    <xf numFmtId="0" fontId="116" fillId="4" borderId="16" xfId="0" applyFont="1" applyFill="1" applyBorder="1" applyAlignment="1">
      <alignment horizontal="center" vertical="center" textRotation="90"/>
    </xf>
    <xf numFmtId="0" fontId="105" fillId="4" borderId="1" xfId="0" applyFont="1" applyFill="1" applyBorder="1" applyAlignment="1">
      <alignment horizontal="left" vertical="center"/>
    </xf>
    <xf numFmtId="0" fontId="105" fillId="4" borderId="10" xfId="0" applyFont="1" applyFill="1" applyBorder="1" applyAlignment="1">
      <alignment horizontal="left" vertical="center"/>
    </xf>
    <xf numFmtId="0" fontId="115" fillId="4" borderId="170" xfId="0" applyFont="1" applyFill="1" applyBorder="1" applyAlignment="1" applyProtection="1">
      <alignment horizontal="center" vertical="center"/>
      <protection hidden="1"/>
    </xf>
    <xf numFmtId="0" fontId="115" fillId="4" borderId="2" xfId="0" applyFont="1" applyFill="1" applyBorder="1" applyAlignment="1" applyProtection="1">
      <alignment horizontal="center" vertical="center"/>
      <protection hidden="1"/>
    </xf>
    <xf numFmtId="0" fontId="211" fillId="4" borderId="177" xfId="0" applyFont="1" applyFill="1" applyBorder="1" applyAlignment="1" applyProtection="1">
      <alignment horizontal="right" vertical="center"/>
      <protection hidden="1"/>
    </xf>
    <xf numFmtId="0" fontId="211" fillId="4" borderId="131" xfId="0" applyFont="1" applyFill="1" applyBorder="1" applyAlignment="1" applyProtection="1">
      <alignment horizontal="right" vertical="center"/>
      <protection hidden="1"/>
    </xf>
    <xf numFmtId="0" fontId="28" fillId="4" borderId="170" xfId="0" applyFont="1" applyFill="1" applyBorder="1" applyAlignment="1" applyProtection="1">
      <alignment horizontal="center" vertical="center" wrapText="1"/>
      <protection hidden="1"/>
    </xf>
    <xf numFmtId="0" fontId="28" fillId="4" borderId="2" xfId="0" applyFont="1" applyFill="1" applyBorder="1" applyAlignment="1" applyProtection="1">
      <alignment horizontal="center" vertical="center" wrapText="1"/>
      <protection hidden="1"/>
    </xf>
    <xf numFmtId="0" fontId="249" fillId="4" borderId="170" xfId="0" applyFont="1" applyFill="1" applyBorder="1" applyAlignment="1">
      <alignment horizontal="center" vertical="center"/>
    </xf>
    <xf numFmtId="0" fontId="249" fillId="4" borderId="2" xfId="0" applyFont="1" applyFill="1" applyBorder="1" applyAlignment="1">
      <alignment horizontal="center" vertical="center"/>
    </xf>
    <xf numFmtId="0" fontId="249" fillId="4" borderId="130" xfId="0" applyFont="1" applyFill="1" applyBorder="1" applyAlignment="1">
      <alignment horizontal="center" vertical="center"/>
    </xf>
    <xf numFmtId="0" fontId="211" fillId="4" borderId="170" xfId="0" applyFont="1" applyFill="1" applyBorder="1" applyAlignment="1" applyProtection="1">
      <alignment horizontal="right" vertical="center"/>
      <protection hidden="1"/>
    </xf>
    <xf numFmtId="0" fontId="211" fillId="4" borderId="2" xfId="0" applyFont="1" applyFill="1" applyBorder="1" applyAlignment="1" applyProtection="1">
      <alignment horizontal="right" vertical="center"/>
      <protection hidden="1"/>
    </xf>
    <xf numFmtId="0" fontId="184" fillId="16" borderId="155" xfId="0" applyFont="1" applyFill="1" applyBorder="1" applyAlignment="1">
      <alignment horizontal="center" vertical="center"/>
    </xf>
    <xf numFmtId="0" fontId="184" fillId="16" borderId="41" xfId="0" applyFont="1" applyFill="1" applyBorder="1" applyAlignment="1">
      <alignment horizontal="center" vertical="center"/>
    </xf>
    <xf numFmtId="0" fontId="184" fillId="16" borderId="145" xfId="0" applyFont="1" applyFill="1" applyBorder="1" applyAlignment="1">
      <alignment horizontal="center" vertical="center"/>
    </xf>
    <xf numFmtId="0" fontId="184" fillId="16" borderId="170" xfId="0" applyFont="1" applyFill="1" applyBorder="1" applyAlignment="1">
      <alignment horizontal="center" vertical="center"/>
    </xf>
    <xf numFmtId="0" fontId="184" fillId="16" borderId="2" xfId="0" applyFont="1" applyFill="1" applyBorder="1" applyAlignment="1">
      <alignment horizontal="center" vertical="center"/>
    </xf>
    <xf numFmtId="0" fontId="184" fillId="16" borderId="130" xfId="0" applyFont="1" applyFill="1" applyBorder="1" applyAlignment="1">
      <alignment horizontal="center" vertical="center"/>
    </xf>
    <xf numFmtId="14" fontId="63" fillId="4" borderId="19" xfId="2" applyNumberFormat="1" applyFill="1" applyBorder="1" applyAlignment="1" applyProtection="1">
      <alignment horizontal="center" vertical="center"/>
    </xf>
    <xf numFmtId="14" fontId="63" fillId="4" borderId="0" xfId="2" applyNumberFormat="1" applyFill="1" applyAlignment="1" applyProtection="1">
      <alignment horizontal="center" vertical="center"/>
    </xf>
    <xf numFmtId="14" fontId="63" fillId="4" borderId="15" xfId="2" applyNumberFormat="1" applyFill="1" applyBorder="1" applyAlignment="1" applyProtection="1">
      <alignment horizontal="center" vertical="center"/>
    </xf>
    <xf numFmtId="14" fontId="165" fillId="4" borderId="19" xfId="2" applyNumberFormat="1" applyFont="1" applyFill="1" applyBorder="1" applyAlignment="1" applyProtection="1">
      <alignment horizontal="center" vertical="center"/>
    </xf>
    <xf numFmtId="14" fontId="165" fillId="4" borderId="0" xfId="2" applyNumberFormat="1" applyFont="1" applyFill="1" applyBorder="1" applyAlignment="1" applyProtection="1">
      <alignment horizontal="center" vertical="center"/>
    </xf>
    <xf numFmtId="14" fontId="165" fillId="4" borderId="15" xfId="2" applyNumberFormat="1" applyFont="1" applyFill="1" applyBorder="1" applyAlignment="1" applyProtection="1">
      <alignment horizontal="center" vertical="center"/>
    </xf>
    <xf numFmtId="14" fontId="166" fillId="4" borderId="19" xfId="2" applyNumberFormat="1" applyFont="1" applyFill="1" applyBorder="1" applyAlignment="1" applyProtection="1">
      <alignment horizontal="center" vertical="center"/>
    </xf>
    <xf numFmtId="14" fontId="166" fillId="4" borderId="0" xfId="2" applyNumberFormat="1" applyFont="1" applyFill="1" applyBorder="1" applyAlignment="1" applyProtection="1">
      <alignment horizontal="center" vertical="center"/>
    </xf>
    <xf numFmtId="14" fontId="166" fillId="4" borderId="15" xfId="2" applyNumberFormat="1" applyFont="1" applyFill="1" applyBorder="1" applyAlignment="1" applyProtection="1">
      <alignment horizontal="center" vertical="center"/>
    </xf>
    <xf numFmtId="0" fontId="107" fillId="16" borderId="24" xfId="0" applyFont="1" applyFill="1" applyBorder="1" applyAlignment="1">
      <alignment horizontal="center" vertical="center"/>
    </xf>
    <xf numFmtId="0" fontId="107" fillId="16" borderId="21" xfId="0" applyFont="1" applyFill="1" applyBorder="1" applyAlignment="1">
      <alignment horizontal="center" vertical="center"/>
    </xf>
    <xf numFmtId="0" fontId="107" fillId="16" borderId="22" xfId="0" applyFont="1" applyFill="1" applyBorder="1" applyAlignment="1">
      <alignment horizontal="center" vertical="center"/>
    </xf>
    <xf numFmtId="10" fontId="0" fillId="4" borderId="2" xfId="3" applyNumberFormat="1" applyFont="1" applyFill="1" applyBorder="1" applyAlignment="1" applyProtection="1">
      <alignment horizontal="center" vertical="center"/>
      <protection hidden="1"/>
    </xf>
    <xf numFmtId="10" fontId="0" fillId="4" borderId="3" xfId="3" applyNumberFormat="1" applyFont="1" applyFill="1" applyBorder="1" applyAlignment="1" applyProtection="1">
      <alignment horizontal="center" vertical="center"/>
      <protection hidden="1"/>
    </xf>
    <xf numFmtId="10" fontId="0" fillId="4" borderId="6" xfId="3" applyNumberFormat="1" applyFont="1" applyFill="1" applyBorder="1" applyAlignment="1" applyProtection="1">
      <alignment horizontal="center" vertical="center"/>
      <protection hidden="1"/>
    </xf>
    <xf numFmtId="10" fontId="0" fillId="4" borderId="7" xfId="3" applyNumberFormat="1" applyFont="1" applyFill="1" applyBorder="1" applyAlignment="1" applyProtection="1">
      <alignment horizontal="center" vertical="center"/>
      <protection hidden="1"/>
    </xf>
    <xf numFmtId="0" fontId="165" fillId="4" borderId="19" xfId="2" applyNumberFormat="1" applyFont="1" applyFill="1" applyBorder="1" applyAlignment="1" applyProtection="1">
      <alignment horizontal="center" vertical="center"/>
    </xf>
    <xf numFmtId="0" fontId="165" fillId="4" borderId="0" xfId="2" applyNumberFormat="1" applyFont="1" applyFill="1" applyBorder="1" applyAlignment="1" applyProtection="1">
      <alignment horizontal="center" vertical="center"/>
    </xf>
    <xf numFmtId="0" fontId="165" fillId="4" borderId="15" xfId="2" applyNumberFormat="1" applyFont="1" applyFill="1" applyBorder="1" applyAlignment="1" applyProtection="1">
      <alignment horizontal="center" vertical="center"/>
    </xf>
    <xf numFmtId="0" fontId="63" fillId="4" borderId="19" xfId="2" applyNumberFormat="1" applyFill="1" applyBorder="1" applyAlignment="1" applyProtection="1">
      <alignment horizontal="left" vertical="center" textRotation="180" wrapText="1"/>
    </xf>
    <xf numFmtId="0" fontId="129" fillId="4" borderId="19" xfId="0" applyFont="1" applyFill="1" applyBorder="1" applyAlignment="1">
      <alignment horizontal="left" vertical="center" textRotation="180" wrapText="1"/>
    </xf>
    <xf numFmtId="14" fontId="167" fillId="4" borderId="16" xfId="2" applyNumberFormat="1" applyFont="1" applyFill="1" applyBorder="1" applyAlignment="1" applyProtection="1">
      <alignment horizontal="center" vertical="center"/>
    </xf>
    <xf numFmtId="14" fontId="167" fillId="4" borderId="18" xfId="2" applyNumberFormat="1" applyFont="1" applyFill="1" applyBorder="1" applyAlignment="1" applyProtection="1">
      <alignment horizontal="center" vertical="center"/>
    </xf>
    <xf numFmtId="14" fontId="167" fillId="4" borderId="39" xfId="2" applyNumberFormat="1" applyFont="1" applyFill="1" applyBorder="1" applyAlignment="1" applyProtection="1">
      <alignment horizontal="center" vertical="center"/>
    </xf>
    <xf numFmtId="8" fontId="0" fillId="0" borderId="2" xfId="0" applyNumberFormat="1" applyBorder="1" applyAlignment="1" applyProtection="1">
      <alignment horizontal="center" vertical="center"/>
      <protection locked="0"/>
    </xf>
    <xf numFmtId="8" fontId="0" fillId="0" borderId="3" xfId="0" applyNumberFormat="1" applyBorder="1" applyAlignment="1" applyProtection="1">
      <alignment horizontal="center" vertical="center"/>
      <protection locked="0"/>
    </xf>
    <xf numFmtId="0" fontId="184" fillId="16" borderId="43" xfId="0" applyFont="1" applyFill="1" applyBorder="1" applyAlignment="1">
      <alignment horizontal="center" vertical="center"/>
    </xf>
    <xf numFmtId="0" fontId="184" fillId="16" borderId="23" xfId="0" applyFont="1" applyFill="1" applyBorder="1" applyAlignment="1">
      <alignment horizontal="center" vertical="center"/>
    </xf>
    <xf numFmtId="0" fontId="184" fillId="16" borderId="44" xfId="0" applyFont="1" applyFill="1" applyBorder="1" applyAlignment="1">
      <alignment horizontal="center" vertical="center"/>
    </xf>
    <xf numFmtId="14" fontId="165" fillId="4" borderId="19" xfId="2" applyNumberFormat="1" applyFont="1" applyFill="1" applyBorder="1" applyAlignment="1" applyProtection="1">
      <alignment horizontal="right" vertical="center"/>
    </xf>
    <xf numFmtId="14" fontId="165" fillId="4" borderId="0" xfId="2" applyNumberFormat="1" applyFont="1" applyFill="1" applyBorder="1" applyAlignment="1" applyProtection="1">
      <alignment horizontal="right" vertical="center"/>
    </xf>
    <xf numFmtId="14" fontId="165" fillId="4" borderId="15" xfId="2" applyNumberFormat="1" applyFont="1" applyFill="1" applyBorder="1" applyAlignment="1" applyProtection="1">
      <alignment horizontal="right" vertical="center"/>
    </xf>
    <xf numFmtId="0" fontId="110" fillId="4" borderId="68" xfId="0" applyFont="1" applyFill="1" applyBorder="1" applyAlignment="1">
      <alignment horizontal="center" vertical="center"/>
    </xf>
    <xf numFmtId="0" fontId="110" fillId="4" borderId="9" xfId="0" applyFont="1" applyFill="1" applyBorder="1" applyAlignment="1">
      <alignment horizontal="center" vertical="center"/>
    </xf>
    <xf numFmtId="0" fontId="110" fillId="4" borderId="77" xfId="0" applyFont="1" applyFill="1" applyBorder="1" applyAlignment="1">
      <alignment horizontal="center" vertical="center"/>
    </xf>
    <xf numFmtId="0" fontId="167" fillId="16" borderId="63" xfId="2" applyNumberFormat="1" applyFont="1" applyFill="1" applyBorder="1" applyAlignment="1" applyProtection="1">
      <alignment horizontal="center" vertical="center" wrapText="1"/>
    </xf>
    <xf numFmtId="0" fontId="167" fillId="16" borderId="64" xfId="2" applyNumberFormat="1" applyFont="1" applyFill="1" applyBorder="1" applyAlignment="1" applyProtection="1">
      <alignment horizontal="center" vertical="center" wrapText="1"/>
    </xf>
    <xf numFmtId="0" fontId="99" fillId="4" borderId="19" xfId="0" applyFont="1" applyFill="1" applyBorder="1" applyAlignment="1">
      <alignment horizontal="left" vertical="center"/>
    </xf>
    <xf numFmtId="0" fontId="99" fillId="4" borderId="0" xfId="0" applyFont="1" applyFill="1" applyAlignment="1">
      <alignment horizontal="left" vertical="center"/>
    </xf>
    <xf numFmtId="8" fontId="0" fillId="4" borderId="2" xfId="3" applyNumberFormat="1" applyFont="1" applyFill="1" applyBorder="1" applyAlignment="1" applyProtection="1">
      <alignment horizontal="center" vertical="center"/>
      <protection hidden="1"/>
    </xf>
    <xf numFmtId="8" fontId="0" fillId="4" borderId="3" xfId="3" applyNumberFormat="1" applyFont="1" applyFill="1" applyBorder="1" applyAlignment="1" applyProtection="1">
      <alignment horizontal="center" vertical="center"/>
      <protection hidden="1"/>
    </xf>
    <xf numFmtId="0" fontId="0" fillId="4" borderId="65" xfId="0" applyFill="1" applyBorder="1" applyAlignment="1">
      <alignment horizontal="right" vertical="center"/>
    </xf>
    <xf numFmtId="0" fontId="0" fillId="4" borderId="79" xfId="0" applyFill="1" applyBorder="1" applyAlignment="1">
      <alignment horizontal="right" vertical="center"/>
    </xf>
    <xf numFmtId="0" fontId="0" fillId="4" borderId="85" xfId="0" applyFill="1" applyBorder="1" applyAlignment="1" applyProtection="1">
      <alignment horizontal="center" vertical="center"/>
      <protection hidden="1"/>
    </xf>
    <xf numFmtId="0" fontId="0" fillId="4" borderId="81" xfId="0" applyFill="1" applyBorder="1" applyAlignment="1" applyProtection="1">
      <alignment horizontal="center" vertical="center"/>
      <protection hidden="1"/>
    </xf>
    <xf numFmtId="0" fontId="0" fillId="4" borderId="86" xfId="0" applyFill="1" applyBorder="1" applyAlignment="1" applyProtection="1">
      <alignment horizontal="center" vertical="center"/>
      <protection hidden="1"/>
    </xf>
    <xf numFmtId="0" fontId="0" fillId="4" borderId="30" xfId="0" applyFill="1" applyBorder="1" applyAlignment="1" applyProtection="1">
      <alignment horizontal="left" vertical="center"/>
      <protection hidden="1"/>
    </xf>
    <xf numFmtId="0" fontId="0" fillId="4" borderId="56" xfId="0" applyFill="1" applyBorder="1" applyAlignment="1" applyProtection="1">
      <alignment horizontal="left" vertical="center"/>
      <protection hidden="1"/>
    </xf>
    <xf numFmtId="6" fontId="0" fillId="4" borderId="3" xfId="0" applyNumberFormat="1" applyFill="1" applyBorder="1" applyAlignment="1" applyProtection="1">
      <alignment horizontal="center" vertical="center"/>
      <protection hidden="1"/>
    </xf>
    <xf numFmtId="0" fontId="106" fillId="4" borderId="85" xfId="0" applyFont="1" applyFill="1" applyBorder="1" applyAlignment="1" applyProtection="1">
      <alignment horizontal="center" vertical="center" wrapText="1"/>
      <protection hidden="1"/>
    </xf>
    <xf numFmtId="0" fontId="106" fillId="4" borderId="81" xfId="0" applyFont="1" applyFill="1" applyBorder="1" applyAlignment="1" applyProtection="1">
      <alignment horizontal="center" vertical="center" wrapText="1"/>
      <protection hidden="1"/>
    </xf>
    <xf numFmtId="0" fontId="106" fillId="4" borderId="86" xfId="0" applyFont="1" applyFill="1" applyBorder="1" applyAlignment="1" applyProtection="1">
      <alignment horizontal="center" vertical="center" wrapText="1"/>
      <protection hidden="1"/>
    </xf>
    <xf numFmtId="165" fontId="80" fillId="4" borderId="4" xfId="0" applyNumberFormat="1" applyFont="1" applyFill="1" applyBorder="1" applyAlignment="1" applyProtection="1">
      <alignment horizontal="left" vertical="center" wrapText="1"/>
      <protection hidden="1"/>
    </xf>
    <xf numFmtId="165" fontId="80" fillId="4" borderId="2" xfId="0" applyNumberFormat="1" applyFont="1" applyFill="1" applyBorder="1" applyAlignment="1" applyProtection="1">
      <alignment horizontal="left" vertical="center" wrapText="1"/>
      <protection hidden="1"/>
    </xf>
    <xf numFmtId="165" fontId="80" fillId="4" borderId="5" xfId="0" applyNumberFormat="1" applyFont="1" applyFill="1" applyBorder="1" applyAlignment="1" applyProtection="1">
      <alignment horizontal="left" vertical="center" wrapText="1"/>
      <protection hidden="1"/>
    </xf>
    <xf numFmtId="165" fontId="80" fillId="4" borderId="6" xfId="0" applyNumberFormat="1" applyFont="1" applyFill="1" applyBorder="1" applyAlignment="1" applyProtection="1">
      <alignment horizontal="left" vertical="center" wrapText="1"/>
      <protection hidden="1"/>
    </xf>
    <xf numFmtId="186" fontId="80" fillId="4" borderId="3" xfId="0" applyNumberFormat="1" applyFont="1" applyFill="1" applyBorder="1" applyAlignment="1" applyProtection="1">
      <alignment horizontal="center" vertical="center"/>
      <protection hidden="1"/>
    </xf>
    <xf numFmtId="186" fontId="80" fillId="4" borderId="7" xfId="0" applyNumberFormat="1" applyFont="1" applyFill="1" applyBorder="1" applyAlignment="1" applyProtection="1">
      <alignment horizontal="center" vertical="center"/>
      <protection hidden="1"/>
    </xf>
    <xf numFmtId="0" fontId="106" fillId="4" borderId="4" xfId="0" applyFont="1" applyFill="1" applyBorder="1" applyAlignment="1" applyProtection="1">
      <alignment horizontal="right" vertical="center" wrapText="1"/>
      <protection hidden="1"/>
    </xf>
    <xf numFmtId="0" fontId="106" fillId="4" borderId="2" xfId="0" applyFont="1" applyFill="1" applyBorder="1" applyAlignment="1" applyProtection="1">
      <alignment horizontal="right" vertical="center" wrapText="1"/>
      <protection hidden="1"/>
    </xf>
    <xf numFmtId="6" fontId="100" fillId="4" borderId="2" xfId="0" applyNumberFormat="1" applyFont="1" applyFill="1" applyBorder="1" applyAlignment="1" applyProtection="1">
      <alignment horizontal="center" vertical="center"/>
      <protection hidden="1"/>
    </xf>
    <xf numFmtId="0" fontId="0" fillId="4" borderId="68" xfId="0" applyFill="1" applyBorder="1" applyAlignment="1">
      <alignment horizontal="right" vertical="center"/>
    </xf>
    <xf numFmtId="0" fontId="0" fillId="4" borderId="10" xfId="0" applyFill="1" applyBorder="1" applyAlignment="1">
      <alignment horizontal="right" vertical="center"/>
    </xf>
    <xf numFmtId="0" fontId="111" fillId="3" borderId="19" xfId="0" applyFont="1" applyFill="1" applyBorder="1" applyAlignment="1">
      <alignment horizontal="center" vertical="center" wrapText="1"/>
    </xf>
    <xf numFmtId="0" fontId="111" fillId="3" borderId="0" xfId="0" applyFont="1" applyFill="1" applyAlignment="1">
      <alignment horizontal="center" vertical="center" wrapText="1"/>
    </xf>
    <xf numFmtId="0" fontId="100" fillId="4" borderId="170" xfId="0" applyFont="1" applyFill="1" applyBorder="1" applyAlignment="1" applyProtection="1">
      <alignment horizontal="left" vertical="center" wrapText="1"/>
      <protection hidden="1"/>
    </xf>
    <xf numFmtId="0" fontId="100" fillId="4" borderId="177" xfId="0" applyFont="1" applyFill="1" applyBorder="1" applyAlignment="1" applyProtection="1">
      <alignment horizontal="left" vertical="center" wrapText="1"/>
      <protection hidden="1"/>
    </xf>
    <xf numFmtId="6" fontId="0" fillId="4" borderId="2" xfId="0" applyNumberFormat="1" applyFill="1" applyBorder="1" applyAlignment="1" applyProtection="1">
      <alignment horizontal="center" vertical="center" wrapText="1"/>
      <protection hidden="1"/>
    </xf>
    <xf numFmtId="6" fontId="0" fillId="4" borderId="131" xfId="0" applyNumberFormat="1" applyFill="1" applyBorder="1" applyAlignment="1" applyProtection="1">
      <alignment horizontal="center" vertical="center" wrapText="1"/>
      <protection hidden="1"/>
    </xf>
    <xf numFmtId="204" fontId="0" fillId="4" borderId="183" xfId="0" applyNumberFormat="1" applyFill="1" applyBorder="1" applyAlignment="1" applyProtection="1">
      <alignment horizontal="center" vertical="center" wrapText="1"/>
      <protection hidden="1"/>
    </xf>
    <xf numFmtId="204" fontId="0" fillId="4" borderId="207" xfId="0" applyNumberFormat="1" applyFill="1" applyBorder="1" applyAlignment="1" applyProtection="1">
      <alignment horizontal="center" vertical="center" wrapText="1"/>
      <protection hidden="1"/>
    </xf>
    <xf numFmtId="0" fontId="142" fillId="16" borderId="285" xfId="0" applyFont="1" applyFill="1" applyBorder="1" applyAlignment="1">
      <alignment horizontal="center" vertical="center" wrapText="1"/>
    </xf>
    <xf numFmtId="0" fontId="142" fillId="16" borderId="286" xfId="0" applyFont="1" applyFill="1" applyBorder="1" applyAlignment="1">
      <alignment horizontal="center" vertical="center" wrapText="1"/>
    </xf>
    <xf numFmtId="0" fontId="142" fillId="16" borderId="287" xfId="0" applyFont="1" applyFill="1" applyBorder="1" applyAlignment="1">
      <alignment horizontal="center" vertical="center" wrapText="1"/>
    </xf>
    <xf numFmtId="0" fontId="110" fillId="4" borderId="63" xfId="0" applyFont="1" applyFill="1" applyBorder="1" applyAlignment="1">
      <alignment horizontal="center" vertical="center"/>
    </xf>
    <xf numFmtId="0" fontId="110" fillId="4" borderId="78" xfId="0" applyFont="1" applyFill="1" applyBorder="1" applyAlignment="1">
      <alignment horizontal="center" vertical="center"/>
    </xf>
    <xf numFmtId="0" fontId="110" fillId="4" borderId="64" xfId="0" applyFont="1" applyFill="1" applyBorder="1" applyAlignment="1">
      <alignment horizontal="center" vertical="center"/>
    </xf>
    <xf numFmtId="10" fontId="0" fillId="4" borderId="12" xfId="3" applyNumberFormat="1" applyFont="1" applyFill="1" applyBorder="1" applyAlignment="1" applyProtection="1">
      <alignment horizontal="center" vertical="center"/>
      <protection hidden="1"/>
    </xf>
    <xf numFmtId="10" fontId="0" fillId="4" borderId="11" xfId="3" applyNumberFormat="1" applyFont="1" applyFill="1" applyBorder="1" applyAlignment="1" applyProtection="1">
      <alignment horizontal="center" vertical="center"/>
      <protection hidden="1"/>
    </xf>
    <xf numFmtId="0" fontId="148" fillId="4" borderId="0" xfId="2" applyNumberFormat="1" applyFont="1" applyFill="1" applyAlignment="1" applyProtection="1">
      <alignment horizontal="center"/>
    </xf>
    <xf numFmtId="14" fontId="148" fillId="4" borderId="19" xfId="2" applyNumberFormat="1" applyFont="1" applyFill="1" applyBorder="1" applyAlignment="1" applyProtection="1">
      <alignment horizontal="center" vertical="center"/>
    </xf>
    <xf numFmtId="14" fontId="148" fillId="4" borderId="0" xfId="2" applyNumberFormat="1" applyFont="1" applyFill="1" applyBorder="1" applyAlignment="1" applyProtection="1">
      <alignment horizontal="center" vertical="center"/>
    </xf>
    <xf numFmtId="14" fontId="148" fillId="4" borderId="15" xfId="2" applyNumberFormat="1" applyFont="1" applyFill="1" applyBorder="1" applyAlignment="1" applyProtection="1">
      <alignment horizontal="center" vertical="center"/>
    </xf>
    <xf numFmtId="0" fontId="110" fillId="16" borderId="24" xfId="0" applyFont="1" applyFill="1" applyBorder="1" applyAlignment="1">
      <alignment horizontal="center" vertical="center" wrapText="1"/>
    </xf>
    <xf numFmtId="0" fontId="110" fillId="16" borderId="21" xfId="0" applyFont="1" applyFill="1" applyBorder="1" applyAlignment="1">
      <alignment horizontal="center" vertical="center" wrapText="1"/>
    </xf>
    <xf numFmtId="0" fontId="110" fillId="16" borderId="22" xfId="0" applyFont="1" applyFill="1" applyBorder="1" applyAlignment="1">
      <alignment horizontal="center" vertical="center" wrapText="1"/>
    </xf>
    <xf numFmtId="0" fontId="110" fillId="16" borderId="4" xfId="0" applyFont="1" applyFill="1" applyBorder="1" applyAlignment="1">
      <alignment horizontal="center" vertical="center" wrapText="1"/>
    </xf>
    <xf numFmtId="0" fontId="110" fillId="16" borderId="2" xfId="0" applyFont="1" applyFill="1" applyBorder="1" applyAlignment="1">
      <alignment horizontal="center" vertical="center" wrapText="1"/>
    </xf>
    <xf numFmtId="0" fontId="110" fillId="16" borderId="3" xfId="0" applyFont="1" applyFill="1" applyBorder="1" applyAlignment="1">
      <alignment horizontal="center" vertical="center" wrapText="1"/>
    </xf>
    <xf numFmtId="0" fontId="63" fillId="4" borderId="4" xfId="2" applyNumberFormat="1" applyFill="1" applyBorder="1" applyAlignment="1" applyProtection="1">
      <alignment horizontal="center" vertical="center"/>
    </xf>
    <xf numFmtId="0" fontId="63" fillId="4" borderId="2" xfId="2" applyNumberFormat="1" applyFill="1" applyBorder="1" applyAlignment="1" applyProtection="1">
      <alignment horizontal="center" vertical="center"/>
    </xf>
    <xf numFmtId="0" fontId="107" fillId="16" borderId="19" xfId="0" applyFont="1" applyFill="1" applyBorder="1" applyAlignment="1">
      <alignment horizontal="center" vertical="center" wrapText="1"/>
    </xf>
    <xf numFmtId="0" fontId="107" fillId="16" borderId="0" xfId="0" applyFont="1" applyFill="1" applyAlignment="1">
      <alignment horizontal="center" vertical="center" wrapText="1"/>
    </xf>
    <xf numFmtId="0" fontId="107" fillId="16" borderId="15" xfId="0" applyFont="1" applyFill="1" applyBorder="1" applyAlignment="1">
      <alignment horizontal="center" vertical="center" wrapText="1"/>
    </xf>
    <xf numFmtId="14" fontId="0" fillId="4" borderId="11" xfId="0" applyNumberFormat="1" applyFill="1" applyBorder="1" applyAlignment="1" applyProtection="1">
      <alignment horizontal="center" vertical="center" wrapText="1"/>
      <protection hidden="1"/>
    </xf>
    <xf numFmtId="14" fontId="0" fillId="4" borderId="27" xfId="0" applyNumberFormat="1" applyFill="1" applyBorder="1" applyAlignment="1" applyProtection="1">
      <alignment horizontal="center" vertical="center" wrapText="1"/>
      <protection hidden="1"/>
    </xf>
    <xf numFmtId="0" fontId="107" fillId="16" borderId="4" xfId="0" applyFont="1" applyFill="1" applyBorder="1" applyAlignment="1">
      <alignment horizontal="center" vertical="center"/>
    </xf>
    <xf numFmtId="0" fontId="107" fillId="16" borderId="2" xfId="0" applyFont="1" applyFill="1" applyBorder="1" applyAlignment="1">
      <alignment horizontal="center" vertical="center"/>
    </xf>
    <xf numFmtId="0" fontId="107" fillId="16" borderId="3" xfId="0" applyFont="1" applyFill="1" applyBorder="1" applyAlignment="1">
      <alignment horizontal="center" vertical="center"/>
    </xf>
    <xf numFmtId="6" fontId="112" fillId="9" borderId="12" xfId="0" applyNumberFormat="1" applyFont="1" applyFill="1" applyBorder="1" applyAlignment="1" applyProtection="1">
      <alignment horizontal="center" vertical="center" wrapText="1"/>
      <protection hidden="1"/>
    </xf>
    <xf numFmtId="6" fontId="0" fillId="9" borderId="12" xfId="0" applyNumberFormat="1" applyFill="1" applyBorder="1" applyAlignment="1" applyProtection="1">
      <alignment horizontal="center" vertical="center" wrapText="1"/>
      <protection hidden="1"/>
    </xf>
    <xf numFmtId="0" fontId="0" fillId="9" borderId="42" xfId="0" applyFill="1" applyBorder="1" applyAlignment="1" applyProtection="1">
      <alignment horizontal="center" vertical="center" wrapText="1"/>
      <protection hidden="1"/>
    </xf>
    <xf numFmtId="0" fontId="290" fillId="29" borderId="9" xfId="0" applyFont="1" applyFill="1" applyBorder="1" applyAlignment="1">
      <alignment horizontal="center" vertical="center"/>
    </xf>
    <xf numFmtId="0" fontId="290" fillId="29" borderId="10" xfId="0" applyFont="1" applyFill="1" applyBorder="1" applyAlignment="1">
      <alignment horizontal="center" vertical="center"/>
    </xf>
    <xf numFmtId="0" fontId="0" fillId="9" borderId="10" xfId="0" applyFill="1" applyBorder="1" applyAlignment="1" applyProtection="1">
      <alignment horizontal="left" vertical="center" wrapText="1"/>
      <protection hidden="1"/>
    </xf>
    <xf numFmtId="0" fontId="0" fillId="9" borderId="2" xfId="0" applyFill="1" applyBorder="1" applyAlignment="1" applyProtection="1">
      <alignment horizontal="left" vertical="center" wrapText="1"/>
      <protection hidden="1"/>
    </xf>
    <xf numFmtId="0" fontId="0" fillId="9" borderId="1" xfId="0" applyFill="1" applyBorder="1" applyAlignment="1" applyProtection="1">
      <alignment horizontal="left" vertical="center" wrapText="1"/>
      <protection hidden="1"/>
    </xf>
    <xf numFmtId="0" fontId="122" fillId="9" borderId="10" xfId="0" applyFont="1" applyFill="1" applyBorder="1" applyAlignment="1" applyProtection="1">
      <alignment horizontal="center" vertical="center" wrapText="1"/>
      <protection hidden="1"/>
    </xf>
    <xf numFmtId="10" fontId="99" fillId="9" borderId="2" xfId="3" applyNumberFormat="1" applyFont="1" applyFill="1" applyBorder="1" applyAlignment="1">
      <alignment horizontal="center" vertical="center"/>
    </xf>
    <xf numFmtId="0" fontId="100" fillId="9" borderId="1" xfId="0" applyFont="1" applyFill="1" applyBorder="1" applyAlignment="1">
      <alignment horizontal="center" vertical="center"/>
    </xf>
    <xf numFmtId="10" fontId="99" fillId="9" borderId="1" xfId="3" applyNumberFormat="1" applyFont="1" applyFill="1" applyBorder="1" applyAlignment="1">
      <alignment horizontal="center" vertical="center"/>
    </xf>
    <xf numFmtId="0" fontId="100" fillId="9" borderId="164" xfId="0" applyFont="1" applyFill="1" applyBorder="1" applyAlignment="1" applyProtection="1">
      <alignment horizontal="right" vertical="center"/>
      <protection hidden="1"/>
    </xf>
    <xf numFmtId="0" fontId="0" fillId="9" borderId="12" xfId="0" applyFill="1" applyBorder="1" applyAlignment="1">
      <alignment horizontal="center" vertical="center"/>
    </xf>
    <xf numFmtId="0" fontId="0" fillId="9" borderId="41" xfId="0" applyFill="1" applyBorder="1" applyAlignment="1">
      <alignment horizontal="center" vertical="center"/>
    </xf>
    <xf numFmtId="6" fontId="0" fillId="4" borderId="130" xfId="0" applyNumberFormat="1" applyFill="1" applyBorder="1" applyAlignment="1" applyProtection="1">
      <alignment horizontal="center" vertical="center" wrapText="1"/>
      <protection hidden="1"/>
    </xf>
    <xf numFmtId="6" fontId="0" fillId="4" borderId="132" xfId="0" applyNumberFormat="1" applyFill="1" applyBorder="1" applyAlignment="1" applyProtection="1">
      <alignment horizontal="center" vertical="center" wrapText="1"/>
      <protection hidden="1"/>
    </xf>
    <xf numFmtId="0" fontId="0" fillId="9" borderId="206" xfId="0" applyFill="1" applyBorder="1" applyAlignment="1" applyProtection="1">
      <alignment horizontal="right" vertical="center"/>
      <protection hidden="1"/>
    </xf>
    <xf numFmtId="0" fontId="0" fillId="9" borderId="78" xfId="0" applyFill="1" applyBorder="1" applyAlignment="1" applyProtection="1">
      <alignment horizontal="right" vertical="center"/>
      <protection hidden="1"/>
    </xf>
    <xf numFmtId="0" fontId="0" fillId="9" borderId="67" xfId="0" applyFill="1" applyBorder="1" applyAlignment="1" applyProtection="1">
      <alignment horizontal="right" vertical="center"/>
      <protection hidden="1"/>
    </xf>
    <xf numFmtId="0" fontId="205" fillId="0" borderId="153" xfId="0" applyFont="1" applyBorder="1" applyAlignment="1">
      <alignment horizontal="center" vertical="center" textRotation="90"/>
    </xf>
    <xf numFmtId="0" fontId="112" fillId="9" borderId="164" xfId="0" applyFont="1" applyFill="1" applyBorder="1" applyAlignment="1" applyProtection="1">
      <alignment horizontal="right" vertical="center"/>
      <protection hidden="1"/>
    </xf>
    <xf numFmtId="0" fontId="112" fillId="9" borderId="9" xfId="0" applyFont="1" applyFill="1" applyBorder="1" applyAlignment="1" applyProtection="1">
      <alignment horizontal="right" vertical="center"/>
      <protection hidden="1"/>
    </xf>
    <xf numFmtId="0" fontId="112" fillId="9" borderId="10" xfId="0" applyFont="1" applyFill="1" applyBorder="1" applyAlignment="1" applyProtection="1">
      <alignment horizontal="right" vertical="center"/>
      <protection hidden="1"/>
    </xf>
    <xf numFmtId="0" fontId="0" fillId="9" borderId="9" xfId="0" applyFill="1" applyBorder="1" applyAlignment="1">
      <alignment horizontal="right" vertical="center"/>
    </xf>
    <xf numFmtId="0" fontId="110" fillId="9" borderId="164" xfId="0" applyFont="1" applyFill="1" applyBorder="1" applyAlignment="1">
      <alignment horizontal="right" vertical="center"/>
    </xf>
    <xf numFmtId="0" fontId="110" fillId="9" borderId="9" xfId="0" applyFont="1" applyFill="1" applyBorder="1" applyAlignment="1">
      <alignment horizontal="right" vertical="center"/>
    </xf>
    <xf numFmtId="0" fontId="110" fillId="9" borderId="10" xfId="0" applyFont="1" applyFill="1" applyBorder="1" applyAlignment="1">
      <alignment horizontal="right" vertical="center"/>
    </xf>
    <xf numFmtId="0" fontId="100" fillId="9" borderId="9" xfId="0" applyFont="1" applyFill="1" applyBorder="1" applyAlignment="1" applyProtection="1">
      <alignment horizontal="right" vertical="center" wrapText="1"/>
      <protection hidden="1"/>
    </xf>
    <xf numFmtId="0" fontId="100" fillId="9" borderId="10" xfId="0" applyFont="1" applyFill="1" applyBorder="1" applyAlignment="1" applyProtection="1">
      <alignment horizontal="right" vertical="center" wrapText="1"/>
      <protection hidden="1"/>
    </xf>
    <xf numFmtId="0" fontId="288" fillId="9" borderId="164" xfId="0" applyFont="1" applyFill="1" applyBorder="1" applyAlignment="1" applyProtection="1">
      <alignment horizontal="right" vertical="center" wrapText="1"/>
      <protection hidden="1"/>
    </xf>
    <xf numFmtId="0" fontId="288" fillId="9" borderId="9" xfId="0" applyFont="1" applyFill="1" applyBorder="1" applyAlignment="1" applyProtection="1">
      <alignment horizontal="right" vertical="center" wrapText="1"/>
      <protection hidden="1"/>
    </xf>
    <xf numFmtId="0" fontId="288" fillId="9" borderId="10" xfId="0" applyFont="1" applyFill="1" applyBorder="1" applyAlignment="1" applyProtection="1">
      <alignment horizontal="right" vertical="center" wrapText="1"/>
      <protection hidden="1"/>
    </xf>
    <xf numFmtId="0" fontId="0" fillId="0" borderId="0" xfId="0" applyAlignment="1" applyProtection="1">
      <alignment horizontal="center" vertical="center"/>
      <protection locked="0"/>
    </xf>
    <xf numFmtId="0" fontId="100" fillId="0" borderId="0" xfId="3" applyNumberFormat="1" applyFont="1" applyAlignment="1" applyProtection="1">
      <alignment horizontal="center"/>
      <protection locked="0"/>
    </xf>
    <xf numFmtId="10" fontId="0" fillId="0" borderId="8" xfId="3" applyNumberFormat="1" applyFont="1" applyBorder="1" applyAlignment="1">
      <alignment horizontal="center" vertical="center"/>
    </xf>
    <xf numFmtId="10" fontId="0" fillId="0" borderId="0" xfId="3" applyNumberFormat="1" applyFont="1" applyBorder="1" applyAlignment="1">
      <alignment horizontal="center" vertical="center"/>
    </xf>
    <xf numFmtId="0" fontId="0" fillId="4" borderId="2" xfId="0" applyFill="1" applyBorder="1" applyAlignment="1">
      <alignment horizontal="center" vertical="center" textRotation="90"/>
    </xf>
    <xf numFmtId="0" fontId="0" fillId="4" borderId="2" xfId="0" applyFill="1" applyBorder="1" applyAlignment="1">
      <alignment horizontal="center"/>
    </xf>
    <xf numFmtId="0" fontId="0" fillId="4" borderId="2" xfId="0" applyFill="1" applyBorder="1" applyAlignment="1">
      <alignment horizontal="right"/>
    </xf>
    <xf numFmtId="0" fontId="0" fillId="4" borderId="12" xfId="0" applyFill="1" applyBorder="1" applyAlignment="1">
      <alignment horizontal="center"/>
    </xf>
    <xf numFmtId="0" fontId="0" fillId="4" borderId="41" xfId="0" applyFill="1" applyBorder="1" applyAlignment="1">
      <alignment horizontal="center"/>
    </xf>
    <xf numFmtId="0" fontId="0" fillId="4" borderId="42" xfId="0" applyFill="1" applyBorder="1" applyAlignment="1">
      <alignment horizontal="center"/>
    </xf>
    <xf numFmtId="0" fontId="0" fillId="4" borderId="113" xfId="0" applyFill="1" applyBorder="1" applyAlignment="1">
      <alignment horizontal="center"/>
    </xf>
    <xf numFmtId="0" fontId="0" fillId="4" borderId="55" xfId="0" applyFill="1" applyBorder="1" applyAlignment="1">
      <alignment horizontal="center"/>
    </xf>
    <xf numFmtId="0" fontId="102" fillId="4" borderId="1" xfId="0" applyFont="1" applyFill="1" applyBorder="1" applyAlignment="1">
      <alignment horizontal="right"/>
    </xf>
    <xf numFmtId="0" fontId="102" fillId="4" borderId="10" xfId="0" applyFont="1" applyFill="1" applyBorder="1" applyAlignment="1">
      <alignment horizontal="right"/>
    </xf>
    <xf numFmtId="0" fontId="0" fillId="4" borderId="31" xfId="0" applyFill="1" applyBorder="1" applyAlignment="1">
      <alignment horizontal="center"/>
    </xf>
    <xf numFmtId="0" fontId="0" fillId="4" borderId="28" xfId="0" applyFill="1" applyBorder="1" applyAlignment="1">
      <alignment horizontal="center"/>
    </xf>
    <xf numFmtId="0" fontId="0" fillId="4" borderId="56" xfId="0" applyFill="1" applyBorder="1" applyAlignment="1">
      <alignment horizontal="center"/>
    </xf>
    <xf numFmtId="0" fontId="0" fillId="4" borderId="1" xfId="0" applyFill="1" applyBorder="1" applyAlignment="1">
      <alignment horizontal="right"/>
    </xf>
    <xf numFmtId="0" fontId="0" fillId="4" borderId="10" xfId="0" applyFill="1" applyBorder="1" applyAlignment="1">
      <alignment horizontal="right"/>
    </xf>
    <xf numFmtId="0" fontId="0" fillId="18" borderId="0" xfId="0" applyFill="1" applyAlignment="1">
      <alignment horizontal="center" vertical="center" wrapText="1"/>
    </xf>
    <xf numFmtId="0" fontId="0" fillId="23" borderId="0" xfId="0" applyFill="1" applyAlignment="1">
      <alignment horizontal="center" vertical="center" wrapText="1"/>
    </xf>
    <xf numFmtId="0" fontId="0" fillId="28" borderId="0" xfId="0" applyFill="1" applyAlignment="1">
      <alignment horizontal="center" vertical="center" wrapText="1"/>
    </xf>
    <xf numFmtId="0" fontId="79" fillId="18" borderId="0" xfId="0" applyFont="1" applyFill="1" applyAlignment="1">
      <alignment horizontal="center"/>
    </xf>
    <xf numFmtId="0" fontId="0" fillId="18" borderId="0" xfId="0" applyFill="1" applyAlignment="1">
      <alignment horizontal="center"/>
    </xf>
    <xf numFmtId="0" fontId="0" fillId="23" borderId="0" xfId="0" applyFill="1" applyAlignment="1">
      <alignment horizontal="center"/>
    </xf>
    <xf numFmtId="0" fontId="0" fillId="28" borderId="0" xfId="0" applyFill="1" applyAlignment="1">
      <alignment horizontal="center"/>
    </xf>
    <xf numFmtId="0" fontId="0" fillId="18" borderId="21" xfId="0" applyFill="1" applyBorder="1" applyAlignment="1">
      <alignment horizontal="center" vertical="center" wrapText="1"/>
    </xf>
    <xf numFmtId="0" fontId="0" fillId="18" borderId="22" xfId="0" applyFill="1" applyBorder="1" applyAlignment="1">
      <alignment horizontal="center" vertical="center" wrapText="1"/>
    </xf>
    <xf numFmtId="0" fontId="0" fillId="23" borderId="21" xfId="0" applyFill="1" applyBorder="1" applyAlignment="1">
      <alignment horizontal="center" vertical="center" wrapText="1"/>
    </xf>
    <xf numFmtId="0" fontId="0" fillId="23" borderId="22" xfId="0" applyFill="1" applyBorder="1" applyAlignment="1">
      <alignment horizontal="center" vertical="center" wrapText="1"/>
    </xf>
    <xf numFmtId="0" fontId="79" fillId="18" borderId="24" xfId="0" applyFont="1" applyFill="1" applyBorder="1" applyAlignment="1">
      <alignment horizontal="center"/>
    </xf>
    <xf numFmtId="0" fontId="79" fillId="18" borderId="4" xfId="0" applyFont="1" applyFill="1" applyBorder="1" applyAlignment="1">
      <alignment horizontal="center"/>
    </xf>
    <xf numFmtId="0" fontId="0" fillId="28" borderId="21" xfId="0" applyFill="1" applyBorder="1" applyAlignment="1">
      <alignment horizontal="center" vertical="center" wrapText="1"/>
    </xf>
    <xf numFmtId="0" fontId="0" fillId="28" borderId="22" xfId="0" applyFill="1" applyBorder="1" applyAlignment="1">
      <alignment horizontal="center" vertical="center" wrapText="1"/>
    </xf>
    <xf numFmtId="0" fontId="0" fillId="18" borderId="83" xfId="0" applyFill="1" applyBorder="1" applyAlignment="1">
      <alignment horizontal="center" vertical="center" wrapText="1"/>
    </xf>
    <xf numFmtId="0" fontId="0" fillId="18" borderId="78" xfId="0" applyFill="1" applyBorder="1" applyAlignment="1">
      <alignment horizontal="center" vertical="center" wrapText="1"/>
    </xf>
    <xf numFmtId="0" fontId="0" fillId="18" borderId="64" xfId="0" applyFill="1" applyBorder="1" applyAlignment="1">
      <alignment horizontal="center" vertical="center" wrapText="1"/>
    </xf>
    <xf numFmtId="0" fontId="0" fillId="23" borderId="83" xfId="0" applyFill="1" applyBorder="1" applyAlignment="1">
      <alignment horizontal="center" vertical="center" wrapText="1"/>
    </xf>
    <xf numFmtId="0" fontId="0" fillId="23" borderId="78" xfId="0" applyFill="1" applyBorder="1" applyAlignment="1">
      <alignment horizontal="center" vertical="center" wrapText="1"/>
    </xf>
    <xf numFmtId="0" fontId="0" fillId="23" borderId="64" xfId="0" applyFill="1" applyBorder="1" applyAlignment="1">
      <alignment horizontal="center" vertical="center" wrapText="1"/>
    </xf>
    <xf numFmtId="0" fontId="0" fillId="28" borderId="83" xfId="0" applyFill="1" applyBorder="1" applyAlignment="1">
      <alignment horizontal="center" vertical="center" wrapText="1"/>
    </xf>
    <xf numFmtId="0" fontId="0" fillId="28" borderId="78" xfId="0" applyFill="1" applyBorder="1" applyAlignment="1">
      <alignment horizontal="center" vertical="center" wrapText="1"/>
    </xf>
    <xf numFmtId="0" fontId="0" fillId="28" borderId="64" xfId="0" applyFill="1" applyBorder="1" applyAlignment="1">
      <alignment horizontal="center" vertical="center" wrapText="1"/>
    </xf>
    <xf numFmtId="171" fontId="301" fillId="4" borderId="0" xfId="0" applyNumberFormat="1" applyFont="1" applyFill="1" applyAlignment="1">
      <alignment vertical="center"/>
    </xf>
    <xf numFmtId="14" fontId="102" fillId="0" borderId="0" xfId="39" applyNumberFormat="1" applyFont="1"/>
    <xf numFmtId="4" fontId="102" fillId="0" borderId="0" xfId="39" applyNumberFormat="1" applyFont="1" applyAlignment="1">
      <alignment horizontal="right"/>
    </xf>
  </cellXfs>
  <cellStyles count="40">
    <cellStyle name="EingabeEuro" xfId="17" xr:uid="{26163BAC-85F4-4590-93FB-187EB5C4193D}"/>
    <cellStyle name="Euro" xfId="1" xr:uid="{00000000-0005-0000-0000-000000000000}"/>
    <cellStyle name="Gesperrt" xfId="19" xr:uid="{CCCB0CD7-6920-43B8-9204-C5517526AE8A}"/>
    <cellStyle name="Hyperlink 4" xfId="28" xr:uid="{EA2EFDDD-5883-46D5-A8B5-F9045DD57128}"/>
    <cellStyle name="Komma" xfId="20" builtinId="3"/>
    <cellStyle name="Link" xfId="2" builtinId="8"/>
    <cellStyle name="Link 2" xfId="26" xr:uid="{B91DA9D7-F77B-449E-84A4-2D36B79F30D9}"/>
    <cellStyle name="Prozent" xfId="3" builtinId="5"/>
    <cellStyle name="Standard" xfId="0" builtinId="0"/>
    <cellStyle name="Standard 10" xfId="16" xr:uid="{4B7BBCBF-1245-4FD0-93D4-35DBBC7CB6CA}"/>
    <cellStyle name="Standard 11" xfId="22" xr:uid="{5D004751-6072-4ACB-9C67-5926AA1CD561}"/>
    <cellStyle name="Standard 11 3" xfId="27" xr:uid="{3B4AE285-B9F4-4984-9E7D-9CAC753E03D0}"/>
    <cellStyle name="Standard 12" xfId="21" xr:uid="{BE32EEEB-4BB4-41A7-A520-BF55AB089824}"/>
    <cellStyle name="Standard 13" xfId="31" xr:uid="{0BFD99B7-751A-4343-9FF7-7351E8128EB8}"/>
    <cellStyle name="Standard 14" xfId="32" xr:uid="{20C458BB-4E89-4E82-971F-D1EADE0A0EF1}"/>
    <cellStyle name="Standard 15" xfId="33" xr:uid="{A70B3028-1D60-4735-A4AC-9B2DA8879A37}"/>
    <cellStyle name="Standard 16" xfId="34" xr:uid="{148988DF-9FE0-4F61-B602-E7262255E139}"/>
    <cellStyle name="Standard 17" xfId="35" xr:uid="{52AB04C3-E9AB-4BB7-8530-88BF2A171CD8}"/>
    <cellStyle name="Standard 18" xfId="36" xr:uid="{9C358166-6705-4790-9FEF-8C29221C3E88}"/>
    <cellStyle name="Standard 19" xfId="37" xr:uid="{4221B66D-1246-475F-9E17-5A927E912D76}"/>
    <cellStyle name="Standard 2" xfId="4" xr:uid="{00000000-0005-0000-0000-000004000000}"/>
    <cellStyle name="Standard 2 2" xfId="23" xr:uid="{12ACC741-E3DE-4699-8626-AF575B9D8E88}"/>
    <cellStyle name="Standard 20" xfId="24" xr:uid="{4361DA2F-15A2-45D4-8E3E-DB7AA8B20306}"/>
    <cellStyle name="Standard 21" xfId="29" xr:uid="{56F40B04-C603-49F3-B0CD-07D6443BB576}"/>
    <cellStyle name="Standard 22" xfId="38" xr:uid="{2A33A4D1-7812-4F98-8660-3D2E49B23C1F}"/>
    <cellStyle name="Standard 23" xfId="39" xr:uid="{0CC858B6-0F78-40BA-B61E-68F7DDF5E948}"/>
    <cellStyle name="Standard 3" xfId="5" xr:uid="{00000000-0005-0000-0000-000005000000}"/>
    <cellStyle name="Standard 3 2" xfId="25" xr:uid="{D760EDF9-010D-4A56-8008-DBFFFC9EDAE3}"/>
    <cellStyle name="Standard 4" xfId="9" xr:uid="{00000000-0005-0000-0000-000006000000}"/>
    <cellStyle name="Standard 4 2" xfId="30" xr:uid="{1F9775BF-202C-4555-807B-17FBBCFBC5FA}"/>
    <cellStyle name="Standard 5" xfId="11" xr:uid="{00000000-0005-0000-0000-000007000000}"/>
    <cellStyle name="Standard 6" xfId="12" xr:uid="{00000000-0005-0000-0000-000008000000}"/>
    <cellStyle name="Standard 7" xfId="13" xr:uid="{00000000-0005-0000-0000-000009000000}"/>
    <cellStyle name="Standard 8" xfId="14" xr:uid="{00000000-0005-0000-0000-00000A000000}"/>
    <cellStyle name="Standard 9" xfId="15" xr:uid="{00000000-0005-0000-0000-00000B000000}"/>
    <cellStyle name="Standard_G_Sterbetafel_FV2" xfId="6" xr:uid="{00000000-0005-0000-0000-00000C000000}"/>
    <cellStyle name="Standard_Sterbetafel_2009_11_D" xfId="10" xr:uid="{00000000-0005-0000-0000-00000E000000}"/>
    <cellStyle name="Standard_Tabelle3" xfId="7" xr:uid="{00000000-0005-0000-0000-00000F000000}"/>
    <cellStyle name="Stil 1" xfId="18" xr:uid="{D0E30724-B99D-47A8-8BEC-2911F48FDFBE}"/>
    <cellStyle name="Währung" xfId="8" builtinId="4"/>
  </cellStyles>
  <dxfs count="433">
    <dxf>
      <fill>
        <patternFill>
          <bgColor rgb="FFFFFF00"/>
        </patternFill>
      </fill>
    </dxf>
    <dxf>
      <fill>
        <patternFill>
          <bgColor rgb="FFFFFF00"/>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FFFF00"/>
        </patternFill>
      </fill>
    </dxf>
    <dxf>
      <font>
        <color theme="0" tint="-0.14996795556505021"/>
      </font>
    </dxf>
    <dxf>
      <fill>
        <patternFill>
          <bgColor rgb="FFFFFF00"/>
        </patternFill>
      </fill>
    </dxf>
    <dxf>
      <font>
        <color theme="0" tint="-0.14996795556505021"/>
      </font>
    </dxf>
    <dxf>
      <fill>
        <patternFill>
          <bgColor rgb="FFFFFF00"/>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FFFF00"/>
        </patternFill>
      </fill>
    </dxf>
    <dxf>
      <font>
        <b/>
        <i val="0"/>
        <color rgb="FFFF0000"/>
      </font>
    </dxf>
    <dxf>
      <fill>
        <patternFill>
          <bgColor rgb="FFFFFF00"/>
        </patternFill>
      </fill>
    </dxf>
    <dxf>
      <fill>
        <patternFill>
          <bgColor rgb="FFFFFF00"/>
        </patternFill>
      </fill>
    </dxf>
    <dxf>
      <font>
        <color theme="0"/>
      </font>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ont>
        <b/>
        <i val="0"/>
      </font>
      <fill>
        <patternFill>
          <bgColor rgb="FF92D050"/>
        </patternFill>
      </fill>
    </dxf>
    <dxf>
      <font>
        <b/>
        <i val="0"/>
        <color theme="0"/>
      </font>
      <fill>
        <patternFill>
          <bgColor rgb="FFFF0000"/>
        </patternFill>
      </fill>
    </dxf>
    <dxf>
      <font>
        <color auto="1"/>
      </font>
      <fill>
        <patternFill>
          <bgColor rgb="FF92D050"/>
        </patternFill>
      </fill>
    </dxf>
    <dxf>
      <font>
        <color theme="0"/>
      </font>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rgb="FFFF0000"/>
        </patternFill>
      </fill>
    </dxf>
    <dxf>
      <fill>
        <patternFill>
          <bgColor theme="4" tint="0.59996337778862885"/>
        </patternFill>
      </fill>
    </dxf>
    <dxf>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4" tint="0.59996337778862885"/>
        </patternFill>
      </fill>
    </dxf>
    <dxf>
      <fill>
        <patternFill>
          <bgColor rgb="FFFFFF00"/>
        </patternFill>
      </fill>
    </dxf>
    <dxf>
      <font>
        <color theme="1"/>
      </font>
      <fill>
        <patternFill>
          <bgColor theme="4" tint="0.59996337778862885"/>
        </patternFill>
      </fill>
    </dxf>
    <dxf>
      <font>
        <color theme="0" tint="-0.499984740745262"/>
      </font>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theme="5" tint="0.59996337778862885"/>
        </patternFill>
      </fill>
    </dxf>
    <dxf>
      <fill>
        <patternFill>
          <bgColor theme="9" tint="0.59996337778862885"/>
        </patternFill>
      </fill>
    </dxf>
    <dxf>
      <fill>
        <patternFill>
          <bgColor theme="4" tint="0.59996337778862885"/>
        </patternFill>
      </fill>
    </dxf>
    <dxf>
      <fill>
        <patternFill>
          <bgColor rgb="FFFF0000"/>
        </patternFill>
      </fill>
    </dxf>
    <dxf>
      <fill>
        <patternFill>
          <bgColor rgb="FF92D050"/>
        </patternFill>
      </fill>
    </dxf>
    <dxf>
      <fill>
        <patternFill>
          <bgColor theme="0" tint="-0.14996795556505021"/>
        </patternFill>
      </fill>
    </dxf>
    <dxf>
      <fill>
        <patternFill>
          <bgColor rgb="FFFFFF00"/>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4" tint="0.59996337778862885"/>
        </patternFill>
      </fill>
    </dxf>
    <dxf>
      <font>
        <color theme="0" tint="-0.14996795556505021"/>
      </font>
      <fill>
        <patternFill>
          <bgColor theme="0" tint="-0.14996795556505021"/>
        </patternFill>
      </fill>
      <border>
        <left style="thin">
          <color theme="1"/>
        </left>
        <right style="thin">
          <color theme="1"/>
        </right>
        <top style="thin">
          <color theme="1"/>
        </top>
        <bottom style="thin">
          <color theme="1"/>
        </bottom>
        <vertical/>
        <horizontal/>
      </border>
    </dxf>
    <dxf>
      <font>
        <color theme="0" tint="-0.499984740745262"/>
      </font>
      <fill>
        <patternFill>
          <bgColor theme="0" tint="-0.14996795556505021"/>
        </patternFill>
      </fill>
    </dxf>
    <dxf>
      <font>
        <color rgb="FFFF0000"/>
      </font>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numFmt numFmtId="197" formatCode="#,##0.0000\ [$EP];[Red]\-#,##0.0000\ [$EP]"/>
    </dxf>
    <dxf>
      <fill>
        <patternFill>
          <bgColor theme="0" tint="-0.14996795556505021"/>
        </patternFill>
      </fill>
    </dxf>
    <dxf>
      <fill>
        <patternFill>
          <bgColor rgb="FFFFFF0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92D050"/>
        </patternFill>
      </fill>
    </dxf>
    <dxf>
      <numFmt numFmtId="197" formatCode="#,##0.0000\ [$EP];[Red]\-#,##0.0000\ [$EP]"/>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numFmt numFmtId="182" formatCode="#,##0.0000_)\ [$EP];[Red]\-#,##0.0000_)\ [$EP]"/>
    </dxf>
    <dxf>
      <fill>
        <patternFill>
          <bgColor theme="5" tint="0.79998168889431442"/>
        </patternFill>
      </fill>
    </dxf>
    <dxf>
      <fill>
        <patternFill>
          <bgColor rgb="FFFFFF00"/>
        </patternFill>
      </fill>
    </dxf>
    <dxf>
      <fill>
        <patternFill>
          <bgColor rgb="FFFFFF00"/>
        </patternFill>
      </fill>
    </dxf>
    <dxf>
      <fill>
        <patternFill>
          <bgColor theme="4" tint="0.59996337778862885"/>
        </patternFill>
      </fill>
    </dxf>
    <dxf>
      <fill>
        <patternFill>
          <bgColor rgb="FFFFC000"/>
        </patternFill>
      </fill>
    </dxf>
    <dxf>
      <fill>
        <patternFill>
          <bgColor rgb="FFFF0000"/>
        </patternFill>
      </fill>
    </dxf>
    <dxf>
      <fill>
        <patternFill>
          <bgColor rgb="FF92D050"/>
        </patternFill>
      </fill>
    </dxf>
    <dxf>
      <fill>
        <patternFill>
          <bgColor theme="0" tint="-0.14996795556505021"/>
        </patternFill>
      </fill>
    </dxf>
    <dxf>
      <fill>
        <patternFill>
          <bgColor rgb="FF92D050"/>
        </patternFill>
      </fill>
    </dxf>
    <dxf>
      <fill>
        <patternFill>
          <bgColor theme="0" tint="-0.14996795556505021"/>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theme="4" tint="0.39994506668294322"/>
        </patternFill>
      </fill>
    </dxf>
    <dxf>
      <fill>
        <patternFill>
          <bgColor rgb="FF92D050"/>
        </patternFill>
      </fill>
    </dxf>
    <dxf>
      <fill>
        <patternFill>
          <bgColor rgb="FFFFC000"/>
        </patternFill>
      </fill>
    </dxf>
    <dxf>
      <fill>
        <patternFill>
          <bgColor theme="0" tint="-0.14996795556505021"/>
        </patternFill>
      </fill>
    </dxf>
    <dxf>
      <fill>
        <patternFill>
          <bgColor rgb="FF92D050"/>
        </patternFill>
      </fill>
    </dxf>
    <dxf>
      <fill>
        <patternFill>
          <bgColor rgb="FFFFC000"/>
        </patternFill>
      </fill>
    </dxf>
    <dxf>
      <fill>
        <patternFill>
          <bgColor theme="4" tint="0.39994506668294322"/>
        </patternFill>
      </fill>
    </dxf>
    <dxf>
      <fill>
        <patternFill>
          <bgColor theme="4" tint="0.39994506668294322"/>
        </patternFill>
      </fill>
    </dxf>
    <dxf>
      <fill>
        <patternFill>
          <bgColor rgb="FF92D050"/>
        </patternFill>
      </fill>
    </dxf>
    <dxf>
      <fill>
        <patternFill>
          <bgColor rgb="FFFFC000"/>
        </patternFill>
      </fill>
    </dxf>
    <dxf>
      <fill>
        <patternFill>
          <bgColor theme="0" tint="-0.14996795556505021"/>
        </patternFill>
      </fill>
    </dxf>
    <dxf>
      <fill>
        <patternFill>
          <bgColor rgb="FFFFC000"/>
        </patternFill>
      </fill>
    </dxf>
    <dxf>
      <fill>
        <patternFill>
          <bgColor rgb="FF92D050"/>
        </patternFill>
      </fill>
    </dxf>
    <dxf>
      <fill>
        <patternFill>
          <bgColor theme="4"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numFmt numFmtId="185" formatCode="#,##0.00\ &quot;€&quot;"/>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ont>
        <strike val="0"/>
        <color theme="1"/>
      </font>
      <fill>
        <patternFill patternType="none">
          <bgColor auto="1"/>
        </patternFill>
      </fill>
    </dxf>
    <dxf>
      <font>
        <strike val="0"/>
        <color theme="0" tint="-4.9989318521683403E-2"/>
      </font>
      <fill>
        <patternFill>
          <bgColor theme="0" tint="-4.9989318521683403E-2"/>
        </patternFill>
      </fill>
    </dxf>
    <dxf>
      <font>
        <color theme="0" tint="-4.9989318521683403E-2"/>
      </font>
      <fill>
        <patternFill>
          <bgColor theme="0" tint="-4.9989318521683403E-2"/>
        </patternFill>
      </fill>
    </dxf>
    <dxf>
      <font>
        <strike val="0"/>
        <color theme="0" tint="-4.9989318521683403E-2"/>
      </font>
      <fill>
        <patternFill>
          <bgColor theme="0" tint="-4.9989318521683403E-2"/>
        </patternFill>
      </fill>
    </dxf>
    <dxf>
      <font>
        <b/>
        <i val="0"/>
        <color theme="0"/>
      </font>
      <fill>
        <patternFill>
          <bgColor rgb="FFFF0000"/>
        </patternFill>
      </fill>
    </dxf>
    <dxf>
      <font>
        <color theme="0" tint="-4.9989318521683403E-2"/>
      </font>
    </dxf>
    <dxf>
      <fill>
        <patternFill>
          <bgColor rgb="FFFFFF00"/>
        </patternFill>
      </fill>
    </dxf>
    <dxf>
      <fill>
        <patternFill>
          <bgColor rgb="FFFFFF00"/>
        </patternFill>
      </fill>
    </dxf>
    <dxf>
      <font>
        <color theme="0" tint="-4.9989318521683403E-2"/>
      </font>
    </dxf>
    <dxf>
      <fill>
        <patternFill>
          <bgColor rgb="FFFFFF00"/>
        </patternFill>
      </fill>
    </dxf>
    <dxf>
      <fill>
        <patternFill>
          <bgColor rgb="FFFFFF00"/>
        </patternFill>
      </fill>
    </dxf>
    <dxf>
      <fill>
        <patternFill>
          <bgColor theme="0" tint="-4.9989318521683403E-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FFFF00"/>
        </patternFill>
      </fill>
    </dxf>
    <dxf>
      <font>
        <b/>
        <i val="0"/>
        <color theme="1"/>
      </font>
    </dxf>
    <dxf>
      <font>
        <b/>
        <i val="0"/>
        <color theme="1"/>
      </font>
    </dxf>
    <dxf>
      <fill>
        <patternFill>
          <bgColor rgb="FFFFFF00"/>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FF0000"/>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rgb="FFFFFF00"/>
        </patternFill>
      </fill>
    </dxf>
    <dxf>
      <fill>
        <patternFill>
          <bgColor theme="0" tint="-4.9989318521683403E-2"/>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theme="5" tint="0.79998168889431442"/>
        </patternFill>
      </fill>
    </dxf>
    <dxf>
      <fill>
        <patternFill>
          <bgColor theme="8" tint="0.79998168889431442"/>
        </patternFill>
      </fill>
    </dxf>
    <dxf>
      <font>
        <color theme="0" tint="-4.9989318521683403E-2"/>
      </font>
      <fill>
        <patternFill>
          <bgColor theme="0" tint="-4.9989318521683403E-2"/>
        </patternFill>
      </fill>
    </dxf>
    <dxf>
      <font>
        <strike/>
        <color rgb="FFFF0000"/>
      </font>
      <fill>
        <patternFill>
          <bgColor theme="0" tint="-4.9989318521683403E-2"/>
        </patternFill>
      </fill>
    </dxf>
    <dxf>
      <fill>
        <patternFill>
          <bgColor rgb="FFFFFF00"/>
        </patternFill>
      </fill>
    </dxf>
    <dxf>
      <font>
        <strike/>
        <color rgb="FFFF3300"/>
      </font>
      <fill>
        <patternFill>
          <bgColor theme="0" tint="-4.9989318521683403E-2"/>
        </patternFill>
      </fill>
    </dxf>
    <dxf>
      <font>
        <b/>
        <i val="0"/>
      </font>
    </dxf>
    <dxf>
      <border>
        <left style="thin">
          <color auto="1"/>
        </left>
        <vertical/>
        <horizontal/>
      </border>
    </dxf>
    <dxf>
      <font>
        <color theme="0" tint="-4.9989318521683403E-2"/>
      </font>
    </dxf>
    <dxf>
      <font>
        <color theme="0"/>
      </font>
      <fill>
        <patternFill>
          <bgColor rgb="FFFF0000"/>
        </patternFill>
      </fill>
    </dxf>
    <dxf>
      <font>
        <color theme="0" tint="-4.9989318521683403E-2"/>
      </font>
    </dxf>
    <dxf>
      <fill>
        <patternFill>
          <bgColor rgb="FFFFFF00"/>
        </patternFill>
      </fill>
    </dxf>
    <dxf>
      <border>
        <right style="thin">
          <color auto="1"/>
        </right>
        <vertical/>
        <horizontal/>
      </border>
    </dxf>
    <dxf>
      <fill>
        <patternFill patternType="none">
          <bgColor auto="1"/>
        </patternFill>
      </fill>
    </dxf>
    <dxf>
      <fill>
        <patternFill>
          <bgColor rgb="FFFFFF00"/>
        </patternFill>
      </fill>
    </dxf>
    <dxf>
      <font>
        <color theme="0"/>
      </font>
      <fill>
        <patternFill>
          <bgColor rgb="FFFF0000"/>
        </patternFill>
      </fill>
    </dxf>
    <dxf>
      <fill>
        <patternFill>
          <bgColor rgb="FFFFFF00"/>
        </patternFill>
      </fill>
    </dxf>
    <dxf>
      <fill>
        <patternFill>
          <bgColor theme="4" tint="0.59996337778862885"/>
        </patternFill>
      </fill>
    </dxf>
    <dxf>
      <fill>
        <patternFill>
          <bgColor rgb="FFFFFF00"/>
        </patternFill>
      </fill>
    </dxf>
    <dxf>
      <font>
        <color auto="1"/>
      </font>
    </dxf>
    <dxf>
      <font>
        <color theme="0"/>
      </font>
      <fill>
        <patternFill>
          <bgColor rgb="FFFF0000"/>
        </patternFill>
      </fill>
    </dxf>
    <dxf>
      <fill>
        <patternFill>
          <bgColor rgb="FF92D050"/>
        </patternFill>
      </fill>
    </dxf>
    <dxf>
      <font>
        <color theme="0" tint="-4.9989318521683403E-2"/>
      </font>
      <fill>
        <patternFill>
          <bgColor theme="0" tint="-4.9989318521683403E-2"/>
        </patternFill>
      </fill>
      <border>
        <left/>
        <right/>
        <top style="thin">
          <color auto="1"/>
        </top>
        <bottom style="thin">
          <color auto="1"/>
        </bottom>
      </border>
    </dxf>
    <dxf>
      <font>
        <b/>
        <i val="0"/>
        <color theme="0" tint="-4.9989318521683403E-2"/>
      </font>
      <fill>
        <patternFill>
          <bgColor rgb="FFFF0000"/>
        </patternFill>
      </fill>
    </dxf>
    <dxf>
      <font>
        <b/>
        <i val="0"/>
        <strike val="0"/>
      </font>
    </dxf>
    <dxf>
      <font>
        <b/>
        <i val="0"/>
        <strike val="0"/>
      </font>
    </dxf>
    <dxf>
      <font>
        <b/>
        <i val="0"/>
      </font>
    </dxf>
    <dxf>
      <font>
        <b/>
        <i val="0"/>
      </font>
    </dxf>
    <dxf>
      <border>
        <right style="thin">
          <color auto="1"/>
        </right>
        <vertical/>
        <horizontal/>
      </border>
    </dxf>
    <dxf>
      <font>
        <b/>
        <i val="0"/>
        <color auto="1"/>
      </font>
      <fill>
        <patternFill>
          <bgColor rgb="FFFFC000"/>
        </patternFill>
      </fill>
      <border>
        <left style="thin">
          <color auto="1"/>
        </left>
      </border>
    </dxf>
    <dxf>
      <font>
        <b/>
        <i val="0"/>
        <color auto="1"/>
      </font>
      <fill>
        <patternFill>
          <bgColor rgb="FFFFC000"/>
        </patternFill>
      </fill>
      <border>
        <left style="thin">
          <color auto="1"/>
        </left>
        <right style="thin">
          <color auto="1"/>
        </right>
      </border>
    </dxf>
    <dxf>
      <font>
        <b/>
        <i val="0"/>
        <color theme="0"/>
      </font>
      <fill>
        <patternFill>
          <bgColor rgb="FFFF0000"/>
        </patternFill>
      </fill>
    </dxf>
    <dxf>
      <font>
        <b/>
        <i val="0"/>
        <color auto="1"/>
      </font>
      <fill>
        <patternFill>
          <bgColor rgb="FFFFC000"/>
        </patternFill>
      </fill>
      <border>
        <left style="thin">
          <color auto="1"/>
        </left>
        <right style="thin">
          <color auto="1"/>
        </right>
      </border>
    </dxf>
    <dxf>
      <font>
        <b/>
        <i val="0"/>
        <color theme="0"/>
      </font>
      <fill>
        <patternFill>
          <bgColor rgb="FFFF0000"/>
        </patternFill>
      </fill>
    </dxf>
    <dxf>
      <fill>
        <patternFill>
          <bgColor theme="8" tint="0.79998168889431442"/>
        </patternFill>
      </fill>
    </dxf>
    <dxf>
      <fill>
        <patternFill>
          <bgColor rgb="FFFFC000"/>
        </patternFill>
      </fill>
    </dxf>
    <dxf>
      <fill>
        <patternFill>
          <bgColor theme="0" tint="-4.9989318521683403E-2"/>
        </patternFill>
      </fill>
    </dxf>
    <dxf>
      <fill>
        <patternFill>
          <bgColor theme="0" tint="-4.9989318521683403E-2"/>
        </patternFill>
      </fill>
    </dxf>
    <dxf>
      <font>
        <color theme="0" tint="-0.14996795556505021"/>
      </font>
    </dxf>
    <dxf>
      <font>
        <color theme="0" tint="-0.14996795556505021"/>
      </font>
    </dxf>
    <dxf>
      <border>
        <bottom style="thin">
          <color auto="1"/>
        </bottom>
        <vertical/>
        <horizontal/>
      </border>
    </dxf>
    <dxf>
      <font>
        <color theme="1"/>
      </font>
      <fill>
        <patternFill>
          <bgColor theme="0" tint="-0.14996795556505021"/>
        </patternFill>
      </fill>
    </dxf>
    <dxf>
      <fill>
        <patternFill>
          <bgColor theme="5" tint="0.79998168889431442"/>
        </patternFill>
      </fill>
    </dxf>
    <dxf>
      <fill>
        <patternFill>
          <bgColor theme="5" tint="0.79998168889431442"/>
        </patternFill>
      </fill>
    </dxf>
    <dxf>
      <font>
        <color theme="1"/>
      </font>
      <fill>
        <patternFill>
          <bgColor theme="0" tint="-0.14996795556505021"/>
        </patternFill>
      </fill>
    </dxf>
    <dxf>
      <font>
        <color theme="1"/>
      </font>
    </dxf>
    <dxf>
      <font>
        <color theme="0" tint="-0.14996795556505021"/>
      </font>
      <fill>
        <patternFill>
          <bgColor theme="0" tint="-0.14996795556505021"/>
        </patternFill>
      </fill>
      <border>
        <top/>
        <bottom/>
      </border>
    </dxf>
    <dxf>
      <fill>
        <patternFill>
          <bgColor rgb="FFFFFF00"/>
        </patternFill>
      </fill>
      <border>
        <top style="thin">
          <color auto="1"/>
        </top>
        <bottom style="thin">
          <color auto="1"/>
        </bottom>
      </border>
    </dxf>
    <dxf>
      <font>
        <color theme="1"/>
      </font>
      <fill>
        <patternFill patternType="none">
          <bgColor auto="1"/>
        </patternFill>
      </fill>
      <border>
        <top style="thin">
          <color auto="1"/>
        </top>
        <bottom style="thin">
          <color auto="1"/>
        </bottom>
      </border>
    </dxf>
    <dxf>
      <font>
        <color auto="1"/>
      </font>
      <fill>
        <patternFill patternType="none">
          <bgColor auto="1"/>
        </patternFill>
      </fill>
    </dxf>
    <dxf>
      <font>
        <color theme="0" tint="-0.14996795556505021"/>
      </font>
    </dxf>
    <dxf>
      <border>
        <bottom style="thin">
          <color auto="1"/>
        </bottom>
        <vertical/>
        <horizontal/>
      </border>
    </dxf>
    <dxf>
      <font>
        <color theme="0" tint="-0.14996795556505021"/>
      </font>
      <fill>
        <patternFill>
          <bgColor theme="0" tint="-0.14996795556505021"/>
        </patternFill>
      </fill>
    </dxf>
    <dxf>
      <fill>
        <patternFill patternType="none">
          <bgColor auto="1"/>
        </patternFill>
      </fill>
    </dxf>
    <dxf>
      <font>
        <color theme="1"/>
      </font>
    </dxf>
    <dxf>
      <fill>
        <patternFill patternType="none">
          <bgColor auto="1"/>
        </patternFill>
      </fill>
    </dxf>
    <dxf>
      <fill>
        <patternFill>
          <bgColor theme="0" tint="-0.14996795556505021"/>
        </patternFill>
      </fill>
    </dxf>
    <dxf>
      <font>
        <color theme="0" tint="-0.14996795556505021"/>
      </font>
    </dxf>
    <dxf>
      <font>
        <color theme="0" tint="-0.14996795556505021"/>
      </font>
      <fill>
        <patternFill>
          <bgColor theme="0" tint="-0.14996795556505021"/>
        </patternFill>
      </fill>
      <border>
        <top/>
        <bottom style="thin">
          <color auto="1"/>
        </bottom>
      </border>
    </dxf>
    <dxf>
      <fill>
        <patternFill>
          <bgColor theme="0" tint="-0.14996795556505021"/>
        </patternFill>
      </fill>
      <border>
        <top style="thin">
          <color auto="1"/>
        </top>
        <bottom style="thin">
          <color auto="1"/>
        </bottom>
      </border>
    </dxf>
    <dxf>
      <font>
        <color theme="0" tint="-0.14996795556505021"/>
      </font>
    </dxf>
    <dxf>
      <fill>
        <patternFill>
          <bgColor theme="5" tint="0.79998168889431442"/>
        </patternFill>
      </fill>
    </dxf>
    <dxf>
      <fill>
        <patternFill>
          <bgColor theme="5" tint="0.79998168889431442"/>
        </patternFill>
      </fill>
    </dxf>
    <dxf>
      <border>
        <bottom style="thin">
          <color auto="1"/>
        </bottom>
        <vertical/>
        <horizontal/>
      </border>
    </dxf>
    <dxf>
      <font>
        <color theme="0" tint="-0.14996795556505021"/>
      </font>
    </dxf>
    <dxf>
      <font>
        <color theme="0" tint="-0.14996795556505021"/>
      </font>
    </dxf>
    <dxf>
      <fill>
        <patternFill>
          <bgColor theme="0" tint="-0.14996795556505021"/>
        </patternFill>
      </fill>
    </dxf>
    <dxf>
      <font>
        <color theme="0" tint="-0.14996795556505021"/>
      </font>
    </dxf>
    <dxf>
      <font>
        <color theme="0" tint="-0.14996795556505021"/>
      </font>
      <fill>
        <patternFill>
          <bgColor theme="0" tint="-0.14996795556505021"/>
        </patternFill>
      </fill>
      <border>
        <top/>
        <bottom style="thin">
          <color auto="1"/>
        </bottom>
      </border>
    </dxf>
    <dxf>
      <font>
        <color theme="0" tint="-0.14996795556505021"/>
      </font>
      <fill>
        <patternFill>
          <bgColor theme="0" tint="-0.14996795556505021"/>
        </patternFill>
      </fill>
      <border>
        <bottom style="thin">
          <color auto="1"/>
        </bottom>
      </border>
    </dxf>
    <dxf>
      <font>
        <color theme="0" tint="-0.14996795556505021"/>
      </font>
      <border>
        <top style="thin">
          <color auto="1"/>
        </top>
        <bottom style="thin">
          <color auto="1"/>
        </bottom>
      </border>
    </dxf>
    <dxf>
      <font>
        <color theme="0" tint="-0.14996795556505021"/>
      </font>
      <fill>
        <patternFill>
          <bgColor theme="0" tint="-0.14996795556505021"/>
        </patternFill>
      </fill>
      <border>
        <top style="thin">
          <color auto="1"/>
        </top>
        <bottom/>
      </border>
    </dxf>
    <dxf>
      <font>
        <color theme="0" tint="-0.14996795556505021"/>
      </font>
      <border>
        <top style="thin">
          <color auto="1"/>
        </top>
        <bottom/>
      </border>
    </dxf>
    <dxf>
      <numFmt numFmtId="185" formatCode="#,##0.00\ &quot;€&quot;"/>
    </dxf>
    <dxf>
      <font>
        <color theme="0" tint="-0.14996795556505021"/>
      </font>
      <fill>
        <patternFill>
          <bgColor theme="0" tint="-0.14996795556505021"/>
        </patternFill>
      </fill>
    </dxf>
    <dxf>
      <fill>
        <patternFill>
          <bgColor theme="0" tint="-0.14996795556505021"/>
        </patternFill>
      </fill>
    </dxf>
    <dxf>
      <font>
        <color theme="0" tint="-0.14996795556505021"/>
      </font>
    </dxf>
    <dxf>
      <fill>
        <patternFill>
          <bgColor theme="5" tint="0.79998168889431442"/>
        </patternFill>
      </fill>
    </dxf>
    <dxf>
      <font>
        <color theme="0" tint="-0.14996795556505021"/>
      </font>
      <border>
        <top/>
        <bottom/>
        <vertical/>
        <horizontal/>
      </border>
    </dxf>
    <dxf>
      <font>
        <color theme="0" tint="-0.14996795556505021"/>
      </font>
      <border>
        <top style="thin">
          <color auto="1"/>
        </top>
        <bottom style="thin">
          <color auto="1"/>
        </bottom>
        <vertical/>
        <horizontal/>
      </border>
    </dxf>
    <dxf>
      <font>
        <color theme="1"/>
      </font>
      <fill>
        <patternFill patternType="none">
          <bgColor auto="1"/>
        </patternFill>
      </fill>
    </dxf>
    <dxf>
      <font>
        <color theme="0" tint="-0.14996795556505021"/>
      </font>
      <fill>
        <patternFill>
          <bgColor theme="0" tint="-0.14996795556505021"/>
        </patternFill>
      </fill>
      <border>
        <top style="thin">
          <color auto="1"/>
        </top>
        <bottom/>
      </border>
    </dxf>
    <dxf>
      <font>
        <b/>
        <i val="0"/>
        <color theme="0"/>
      </font>
      <fill>
        <patternFill>
          <bgColor rgb="FFFF0000"/>
        </patternFill>
      </fill>
    </dxf>
    <dxf>
      <fill>
        <patternFill>
          <bgColor theme="0" tint="-0.14996795556505021"/>
        </patternFill>
      </fill>
    </dxf>
    <dxf>
      <fill>
        <patternFill>
          <bgColor rgb="FF92D050"/>
        </patternFill>
      </fill>
    </dxf>
    <dxf>
      <border>
        <bottom style="thin">
          <color auto="1"/>
        </bottom>
        <vertical/>
        <horizontal/>
      </border>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theme="9" tint="0.79998168889431442"/>
        </patternFill>
      </fill>
    </dxf>
    <dxf>
      <fill>
        <patternFill>
          <bgColor theme="9" tint="0.79998168889431442"/>
        </patternFill>
      </fill>
    </dxf>
    <dxf>
      <fill>
        <patternFill>
          <bgColor rgb="FFFFFF00"/>
        </patternFill>
      </fill>
    </dxf>
    <dxf>
      <fill>
        <patternFill>
          <bgColor rgb="FFFFC000"/>
        </patternFill>
      </fill>
    </dxf>
    <dxf>
      <fill>
        <patternFill>
          <bgColor rgb="FFFFFF00"/>
        </patternFill>
      </fill>
    </dxf>
    <dxf>
      <fill>
        <patternFill>
          <bgColor theme="9" tint="0.79998168889431442"/>
        </patternFill>
      </fill>
    </dxf>
    <dxf>
      <fill>
        <patternFill>
          <bgColor rgb="FFFFFF00"/>
        </patternFill>
      </fill>
    </dxf>
    <dxf>
      <fill>
        <patternFill>
          <bgColor rgb="FFFFFF00"/>
        </patternFill>
      </fill>
    </dxf>
    <dxf>
      <fill>
        <patternFill>
          <bgColor rgb="FFFE7F72"/>
        </patternFill>
      </fill>
    </dxf>
    <dxf>
      <font>
        <color theme="0" tint="-0.34998626667073579"/>
      </font>
    </dxf>
    <dxf>
      <font>
        <color theme="0" tint="-0.34998626667073579"/>
      </font>
    </dxf>
    <dxf>
      <fill>
        <patternFill>
          <bgColor rgb="FFFFFF00"/>
        </patternFill>
      </fill>
    </dxf>
    <dxf>
      <fill>
        <patternFill>
          <bgColor rgb="FFFFC000"/>
        </patternFill>
      </fill>
    </dxf>
    <dxf>
      <font>
        <color theme="0" tint="-0.14996795556505021"/>
      </font>
      <fill>
        <patternFill>
          <bgColor theme="0" tint="-0.14996795556505021"/>
        </patternFill>
      </fill>
    </dxf>
    <dxf>
      <font>
        <color auto="1"/>
      </font>
      <fill>
        <patternFill>
          <bgColor rgb="FF92D050"/>
        </patternFill>
      </fill>
    </dxf>
    <dxf>
      <font>
        <color theme="0"/>
      </font>
      <fill>
        <patternFill>
          <bgColor rgb="FFFF0000"/>
        </patternFill>
      </fill>
    </dxf>
    <dxf>
      <border>
        <bottom style="thin">
          <color auto="1"/>
        </bottom>
        <vertical/>
        <horizontal/>
      </border>
    </dxf>
    <dxf>
      <fill>
        <patternFill>
          <bgColor rgb="FFFFC000"/>
        </patternFill>
      </fill>
    </dxf>
    <dxf>
      <fill>
        <patternFill>
          <bgColor rgb="FFFFC000"/>
        </patternFill>
      </fill>
    </dxf>
    <dxf>
      <font>
        <color theme="0" tint="-0.14996795556505021"/>
      </font>
      <fill>
        <patternFill>
          <bgColor theme="0" tint="-0.14996795556505021"/>
        </patternFill>
      </fill>
    </dxf>
    <dxf>
      <fill>
        <patternFill>
          <bgColor theme="4" tint="0.59996337778862885"/>
        </patternFill>
      </fill>
    </dxf>
    <dxf>
      <fill>
        <patternFill>
          <bgColor theme="4" tint="0.59996337778862885"/>
        </patternFill>
      </fill>
    </dxf>
    <dxf>
      <font>
        <color theme="0" tint="-0.14996795556505021"/>
      </font>
    </dxf>
    <dxf>
      <fill>
        <patternFill>
          <bgColor rgb="FFFFFF00"/>
        </patternFill>
      </fill>
    </dxf>
    <dxf>
      <font>
        <b/>
        <i val="0"/>
      </font>
    </dxf>
    <dxf>
      <font>
        <color theme="1"/>
      </font>
    </dxf>
    <dxf>
      <font>
        <color auto="1"/>
      </font>
    </dxf>
    <dxf>
      <font>
        <color rgb="FFFF0000"/>
      </font>
    </dxf>
    <dxf>
      <font>
        <color theme="0" tint="-0.14996795556505021"/>
      </font>
      <border>
        <left/>
        <right/>
        <top/>
        <bottom/>
        <vertical/>
        <horizontal/>
      </border>
    </dxf>
    <dxf>
      <border>
        <bottom style="thin">
          <color auto="1"/>
        </bottom>
        <vertical/>
        <horizontal/>
      </border>
    </dxf>
    <dxf>
      <fill>
        <patternFill>
          <bgColor theme="4" tint="0.59996337778862885"/>
        </patternFill>
      </fill>
    </dxf>
    <dxf>
      <fill>
        <patternFill>
          <bgColor rgb="FFFFFF00"/>
        </patternFill>
      </fill>
    </dxf>
    <dxf>
      <fill>
        <patternFill>
          <bgColor theme="4" tint="0.59996337778862885"/>
        </patternFill>
      </fill>
    </dxf>
    <dxf>
      <fill>
        <patternFill>
          <bgColor rgb="FFFFFF00"/>
        </patternFill>
      </fill>
    </dxf>
    <dxf>
      <font>
        <color theme="0" tint="-0.14996795556505021"/>
      </font>
    </dxf>
    <dxf>
      <numFmt numFmtId="4" formatCode="#,##0.00"/>
    </dxf>
    <dxf>
      <numFmt numFmtId="1" formatCode="0"/>
    </dxf>
    <dxf>
      <font>
        <color theme="0" tint="-0.499984740745262"/>
      </font>
      <fill>
        <patternFill>
          <bgColor theme="0" tint="-0.14996795556505021"/>
        </patternFill>
      </fill>
    </dxf>
    <dxf>
      <font>
        <color theme="0" tint="-0.14996795556505021"/>
      </font>
    </dxf>
    <dxf>
      <font>
        <color theme="0" tint="-0.499984740745262"/>
      </font>
      <fill>
        <patternFill>
          <bgColor theme="0" tint="-0.14996795556505021"/>
        </patternFill>
      </fill>
    </dxf>
    <dxf>
      <fill>
        <patternFill>
          <bgColor theme="5" tint="0.59996337778862885"/>
        </patternFill>
      </fill>
    </dxf>
    <dxf>
      <fill>
        <patternFill>
          <bgColor rgb="FFFFFF00"/>
        </patternFill>
      </fill>
    </dxf>
    <dxf>
      <font>
        <color theme="0" tint="-0.14996795556505021"/>
      </font>
      <fill>
        <patternFill>
          <bgColor theme="0" tint="-0.14996795556505021"/>
        </patternFill>
      </fill>
      <border>
        <left/>
        <right/>
        <top/>
        <bottom/>
      </border>
    </dxf>
    <dxf>
      <fill>
        <patternFill>
          <bgColor rgb="FFFFC000"/>
        </patternFill>
      </fill>
    </dxf>
    <dxf>
      <fill>
        <patternFill>
          <bgColor rgb="FFFFFF00"/>
        </patternFill>
      </fill>
    </dxf>
    <dxf>
      <font>
        <color theme="1"/>
      </font>
      <fill>
        <patternFill>
          <bgColor rgb="FFFFC000"/>
        </patternFill>
      </fill>
    </dxf>
    <dxf>
      <fill>
        <patternFill>
          <bgColor rgb="FFFFC000"/>
        </patternFill>
      </fill>
    </dxf>
    <dxf>
      <fill>
        <patternFill>
          <bgColor theme="5" tint="0.79998168889431442"/>
        </patternFill>
      </fill>
    </dxf>
    <dxf>
      <fill>
        <patternFill>
          <bgColor theme="4" tint="0.79998168889431442"/>
        </patternFill>
      </fill>
    </dxf>
    <dxf>
      <fill>
        <patternFill>
          <bgColor rgb="FFFFFF00"/>
        </patternFill>
      </fill>
    </dxf>
    <dxf>
      <fill>
        <patternFill>
          <bgColor rgb="FFFFFF00"/>
        </patternFill>
      </fill>
    </dxf>
    <dxf>
      <fill>
        <patternFill>
          <bgColor rgb="FFFFFF00"/>
        </patternFill>
      </fill>
    </dxf>
    <dxf>
      <fill>
        <patternFill>
          <bgColor rgb="FFFFC000"/>
        </patternFill>
      </fill>
    </dxf>
    <dxf>
      <font>
        <color theme="0" tint="-0.14996795556505021"/>
      </font>
      <fill>
        <patternFill>
          <bgColor theme="0" tint="-0.14996795556505021"/>
        </patternFill>
      </fill>
    </dxf>
    <dxf>
      <fill>
        <patternFill>
          <bgColor rgb="FFFFFF00"/>
        </patternFill>
      </fill>
    </dxf>
    <dxf>
      <fill>
        <patternFill>
          <bgColor rgb="FFFFFF00"/>
        </patternFill>
      </fill>
    </dxf>
    <dxf>
      <fill>
        <patternFill>
          <bgColor theme="5" tint="0.79998168889431442"/>
        </patternFill>
      </fill>
    </dxf>
    <dxf>
      <fill>
        <patternFill>
          <bgColor theme="4" tint="0.79998168889431442"/>
        </patternFill>
      </fill>
    </dxf>
    <dxf>
      <fill>
        <patternFill>
          <bgColor theme="0" tint="-0.14996795556505021"/>
        </patternFill>
      </fill>
    </dxf>
    <dxf>
      <fill>
        <patternFill>
          <bgColor theme="4" tint="0.59996337778862885"/>
        </patternFill>
      </fill>
    </dxf>
    <dxf>
      <fill>
        <patternFill>
          <bgColor theme="4" tint="0.59996337778862885"/>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FF0000"/>
        </patternFill>
      </fill>
    </dxf>
    <dxf>
      <fill>
        <patternFill>
          <bgColor rgb="FF92D050"/>
        </patternFill>
      </fill>
    </dxf>
    <dxf>
      <fill>
        <patternFill>
          <bgColor rgb="FFFFC000"/>
        </patternFill>
      </fill>
    </dxf>
    <dxf>
      <fill>
        <patternFill>
          <bgColor theme="4" tint="0.79998168889431442"/>
        </patternFill>
      </fill>
    </dxf>
    <dxf>
      <fill>
        <patternFill>
          <bgColor theme="5" tint="0.79998168889431442"/>
        </patternFill>
      </fill>
    </dxf>
    <dxf>
      <fill>
        <patternFill>
          <bgColor theme="9" tint="0.59996337778862885"/>
        </patternFill>
      </fill>
    </dxf>
    <dxf>
      <fill>
        <patternFill>
          <bgColor theme="5" tint="0.79998168889431442"/>
        </patternFill>
      </fill>
    </dxf>
    <dxf>
      <fill>
        <patternFill>
          <bgColor theme="9" tint="0.39994506668294322"/>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b/>
        <i/>
        <color rgb="FFFF0000"/>
      </font>
    </dxf>
    <dxf>
      <fill>
        <patternFill>
          <bgColor rgb="FFFFC000"/>
        </patternFill>
      </fill>
    </dxf>
    <dxf>
      <font>
        <b val="0"/>
        <i/>
        <color theme="0"/>
      </font>
      <fill>
        <patternFill>
          <bgColor rgb="FFFF0000"/>
        </patternFill>
      </fill>
    </dxf>
    <dxf>
      <font>
        <b val="0"/>
        <i/>
      </font>
    </dxf>
    <dxf>
      <fill>
        <patternFill>
          <bgColor rgb="FFFF0000"/>
        </patternFill>
      </fill>
    </dxf>
    <dxf>
      <fill>
        <patternFill>
          <bgColor rgb="FFFF0000"/>
        </patternFill>
      </fill>
    </dxf>
    <dxf>
      <fill>
        <patternFill>
          <bgColor rgb="FFFFFF00"/>
        </patternFill>
      </fill>
    </dxf>
    <dxf>
      <font>
        <color theme="0" tint="-0.14996795556505021"/>
      </font>
      <fill>
        <patternFill>
          <bgColor theme="0" tint="-0.14996795556505021"/>
        </patternFill>
      </fill>
      <border>
        <left/>
        <right/>
        <top/>
        <bottom/>
      </border>
    </dxf>
    <dxf>
      <fill>
        <patternFill>
          <bgColor rgb="FFFFFF00"/>
        </patternFill>
      </fill>
    </dxf>
    <dxf>
      <font>
        <b/>
        <i/>
        <color rgb="FFFF0000"/>
      </font>
    </dxf>
    <dxf>
      <font>
        <b val="0"/>
        <i/>
        <color theme="0"/>
      </font>
      <fill>
        <patternFill>
          <bgColor rgb="FFFF0000"/>
        </patternFill>
      </fill>
    </dxf>
    <dxf>
      <font>
        <b val="0"/>
        <i/>
      </font>
    </dxf>
    <dxf>
      <fill>
        <patternFill>
          <bgColor rgb="FFFFC000"/>
        </patternFill>
      </fill>
    </dxf>
    <dxf>
      <font>
        <color theme="0" tint="-0.14996795556505021"/>
      </font>
      <fill>
        <patternFill>
          <bgColor theme="0" tint="-0.14996795556505021"/>
        </patternFill>
      </fill>
      <border>
        <left/>
        <right/>
        <top/>
        <bottom/>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14996795556505021"/>
      </font>
      <fill>
        <patternFill>
          <bgColor theme="0" tint="-0.14996795556505021"/>
        </patternFill>
      </fill>
      <border>
        <left/>
        <right/>
        <top/>
        <bottom/>
      </border>
    </dxf>
    <dxf>
      <font>
        <b val="0"/>
        <i/>
      </font>
    </dxf>
    <dxf>
      <font>
        <color theme="0" tint="-0.14996795556505021"/>
      </font>
      <fill>
        <patternFill>
          <bgColor theme="0" tint="-0.14996795556505021"/>
        </patternFill>
      </fill>
      <border>
        <left/>
        <right/>
        <top/>
        <bottom/>
      </border>
    </dxf>
    <dxf>
      <fill>
        <patternFill>
          <bgColor rgb="FFFFFF00"/>
        </patternFill>
      </fill>
    </dxf>
    <dxf>
      <font>
        <color theme="0"/>
      </font>
      <fill>
        <patternFill>
          <bgColor rgb="FFFF0000"/>
        </patternFill>
      </fill>
    </dxf>
    <dxf>
      <fill>
        <patternFill>
          <bgColor rgb="FFFFFF00"/>
        </patternFill>
      </fill>
    </dxf>
    <dxf>
      <font>
        <color theme="0" tint="-0.14996795556505021"/>
      </font>
      <fill>
        <patternFill>
          <bgColor theme="0" tint="-0.14996795556505021"/>
        </patternFill>
      </fill>
      <border>
        <left/>
        <right/>
        <top/>
        <bottom/>
        <vertical/>
        <horizontal/>
      </border>
    </dxf>
    <dxf>
      <fill>
        <patternFill>
          <bgColor rgb="FFFF0000"/>
        </patternFill>
      </fill>
    </dxf>
    <dxf>
      <fill>
        <patternFill>
          <bgColor rgb="FFFFC000"/>
        </patternFill>
      </fill>
    </dxf>
    <dxf>
      <fill>
        <patternFill>
          <bgColor theme="9" tint="0.59996337778862885"/>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theme="0" tint="-0.14996795556505021"/>
      </font>
      <fill>
        <patternFill>
          <bgColor theme="0" tint="-0.14996795556505021"/>
        </patternFill>
      </fill>
      <border>
        <left/>
        <right/>
        <top/>
        <bottom/>
        <vertical/>
        <horizontal/>
      </border>
    </dxf>
    <dxf>
      <font>
        <color theme="0" tint="-0.14996795556505021"/>
      </font>
      <fill>
        <patternFill>
          <bgColor theme="0" tint="-0.14996795556505021"/>
        </patternFill>
      </fill>
      <border>
        <left/>
        <right/>
        <top/>
        <bottom/>
        <vertical/>
        <horizontal/>
      </border>
    </dxf>
    <dxf>
      <font>
        <color theme="0" tint="-0.14996795556505021"/>
      </font>
      <fill>
        <patternFill>
          <bgColor theme="0" tint="-0.14996795556505021"/>
        </patternFill>
      </fill>
      <border>
        <left/>
        <right/>
        <top/>
        <bottom/>
      </border>
    </dxf>
    <dxf>
      <font>
        <color theme="0" tint="-0.14996795556505021"/>
      </font>
      <fill>
        <patternFill>
          <bgColor theme="0" tint="-0.14996795556505021"/>
        </patternFill>
      </fill>
      <border>
        <left/>
        <right/>
        <top/>
        <bottom/>
      </border>
    </dxf>
    <dxf>
      <fill>
        <patternFill>
          <bgColor rgb="FFFFFF00"/>
        </patternFill>
      </fill>
    </dxf>
    <dxf>
      <fill>
        <patternFill>
          <bgColor rgb="FFFFFF00"/>
        </patternFill>
      </fill>
    </dxf>
    <dxf>
      <fill>
        <patternFill>
          <bgColor theme="9" tint="0.79998168889431442"/>
        </patternFill>
      </fill>
    </dxf>
    <dxf>
      <fill>
        <patternFill>
          <bgColor rgb="FFFFC000"/>
        </patternFill>
      </fill>
    </dxf>
    <dxf>
      <fill>
        <patternFill>
          <bgColor rgb="FFFFFF00"/>
        </patternFill>
      </fill>
    </dxf>
    <dxf>
      <font>
        <color theme="0"/>
      </font>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FF00"/>
        </patternFill>
      </fill>
    </dxf>
    <dxf>
      <fill>
        <patternFill>
          <bgColor theme="9" tint="0.59996337778862885"/>
        </patternFill>
      </fill>
    </dxf>
    <dxf>
      <fill>
        <patternFill>
          <bgColor rgb="FFFFC000"/>
        </patternFill>
      </fill>
    </dxf>
    <dxf>
      <fill>
        <patternFill>
          <bgColor rgb="FFFFFF00"/>
        </patternFill>
      </fill>
    </dxf>
    <dxf>
      <fill>
        <patternFill>
          <bgColor theme="9" tint="0.59996337778862885"/>
        </patternFill>
      </fill>
    </dxf>
    <dxf>
      <fill>
        <patternFill>
          <bgColor rgb="FFFFC000"/>
        </patternFill>
      </fill>
    </dxf>
    <dxf>
      <fill>
        <patternFill>
          <bgColor theme="7" tint="0.59996337778862885"/>
        </patternFill>
      </fill>
    </dxf>
    <dxf>
      <fill>
        <patternFill>
          <bgColor theme="7"/>
        </patternFill>
      </fill>
    </dxf>
    <dxf>
      <fill>
        <patternFill>
          <bgColor theme="7" tint="0.59996337778862885"/>
        </patternFill>
      </fill>
    </dxf>
    <dxf>
      <fill>
        <patternFill>
          <bgColor theme="7"/>
        </patternFill>
      </fill>
    </dxf>
    <dxf>
      <fill>
        <patternFill>
          <bgColor theme="7"/>
        </patternFill>
      </fill>
    </dxf>
    <dxf>
      <fill>
        <patternFill>
          <bgColor theme="7" tint="0.59996337778862885"/>
        </patternFill>
      </fill>
    </dxf>
    <dxf>
      <fill>
        <patternFill>
          <bgColor theme="7" tint="0.59996337778862885"/>
        </patternFill>
      </fill>
    </dxf>
    <dxf>
      <font>
        <b/>
        <i val="0"/>
      </font>
    </dxf>
    <dxf>
      <font>
        <b/>
        <i val="0"/>
      </font>
    </dxf>
    <dxf>
      <fill>
        <patternFill>
          <bgColor theme="4" tint="0.79998168889431442"/>
        </patternFill>
      </fill>
    </dxf>
    <dxf>
      <fill>
        <patternFill>
          <bgColor theme="5" tint="0.79998168889431442"/>
        </patternFill>
      </fill>
    </dxf>
    <dxf>
      <fill>
        <patternFill>
          <bgColor rgb="FFFFFF00"/>
        </patternFill>
      </fill>
    </dxf>
    <dxf>
      <numFmt numFmtId="12" formatCode="#,##0.00\ &quot;€&quot;;[Red]\-#,##0.00\ &quot;€&quot;"/>
      <border diagonalUp="0" diagonalDown="0">
        <left/>
        <right/>
        <top style="thin">
          <color auto="1"/>
        </top>
        <bottom style="thin">
          <color auto="1"/>
        </bottom>
        <vertical/>
        <horizontal style="thin">
          <color auto="1"/>
        </horizontal>
      </border>
      <protection locked="1" hidden="1"/>
    </dxf>
    <dxf>
      <numFmt numFmtId="12" formatCode="#,##0.00\ &quot;€&quot;;[Red]\-#,##0.00\ &quot;€&quot;"/>
      <border diagonalUp="0" diagonalDown="0">
        <left/>
        <right/>
        <top style="thin">
          <color auto="1"/>
        </top>
        <bottom style="thin">
          <color auto="1"/>
        </bottom>
        <vertical/>
        <horizontal style="thin">
          <color auto="1"/>
        </horizontal>
      </border>
      <protection locked="1" hidden="1"/>
    </dxf>
    <dxf>
      <numFmt numFmtId="12" formatCode="#,##0.00\ &quot;€&quot;;[Red]\-#,##0.00\ &quot;€&quot;"/>
      <border diagonalUp="0" diagonalDown="0">
        <left/>
        <right/>
        <top style="thin">
          <color auto="1"/>
        </top>
        <bottom style="thin">
          <color auto="1"/>
        </bottom>
        <vertical/>
        <horizontal style="thin">
          <color auto="1"/>
        </horizontal>
      </border>
      <protection locked="1" hidden="1"/>
    </dxf>
    <dxf>
      <numFmt numFmtId="12" formatCode="#,##0.00\ &quot;€&quot;;[Red]\-#,##0.00\ &quot;€&quot;"/>
      <border diagonalUp="0" diagonalDown="0">
        <left/>
        <right/>
        <top style="thin">
          <color auto="1"/>
        </top>
        <bottom style="thin">
          <color auto="1"/>
        </bottom>
        <vertical/>
        <horizontal style="thin">
          <color auto="1"/>
        </horizontal>
      </border>
      <protection locked="1" hidden="1"/>
    </dxf>
    <dxf>
      <alignment horizontal="center" vertical="bottom" textRotation="0" wrapText="0" indent="0" justifyLastLine="0" shrinkToFit="0" readingOrder="0"/>
      <border diagonalUp="0" diagonalDown="0">
        <left/>
        <right/>
        <top style="thin">
          <color auto="1"/>
        </top>
        <bottom style="thin">
          <color auto="1"/>
        </bottom>
        <vertical/>
        <horizontal style="thin">
          <color auto="1"/>
        </horizontal>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1" hidden="1"/>
    </dxf>
    <dxf>
      <border outline="0">
        <bottom style="thin">
          <color indexed="64"/>
        </bottom>
      </border>
    </dxf>
    <dxf>
      <numFmt numFmtId="12" formatCode="#,##0.00\ &quot;€&quot;;[Red]\-#,##0.00\ &quot;€&quot;"/>
      <alignment horizontal="center" vertical="bottom" textRotation="0" wrapText="0" indent="0" justifyLastLine="0" shrinkToFit="0" readingOrder="0"/>
      <border diagonalUp="0" diagonalDown="0">
        <left style="thin">
          <color indexed="64"/>
        </left>
        <right style="thin">
          <color indexed="64"/>
        </right>
        <top/>
        <bottom/>
      </border>
      <protection locked="1" hidden="1"/>
    </dxf>
  </dxfs>
  <tableStyles count="0" defaultTableStyle="TableStyleMedium2" defaultPivotStyle="PivotStyleLight16"/>
  <colors>
    <mruColors>
      <color rgb="FFEEFEC6"/>
      <color rgb="FFEEFEDE"/>
      <color rgb="FF0066FF"/>
      <color rgb="FFFDDFE0"/>
      <color rgb="FFFF0000"/>
      <color rgb="FFFAB8BA"/>
      <color rgb="FFF9A5A7"/>
      <color rgb="FFF8CBAD"/>
      <color rgb="FFDD9575"/>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63" Type="http://schemas.openxmlformats.org/officeDocument/2006/relationships/theme" Target="theme/theme1.xml"/><Relationship Id="rId68" Type="http://schemas.microsoft.com/office/2017/06/relationships/rdRichValue" Target="richData/rdrichvalue.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4.xml"/><Relationship Id="rId66"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61"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6.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64" Type="http://schemas.openxmlformats.org/officeDocument/2006/relationships/styles" Target="styles.xml"/><Relationship Id="rId69"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5.xml"/><Relationship Id="rId67" Type="http://schemas.microsoft.com/office/2022/10/relationships/richValueRel" Target="richData/richValueRel.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8.xml"/><Relationship Id="rId70"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2000" b="1"/>
              <a:t>Versorgungsertrag bei externer Teilung</a:t>
            </a:r>
          </a:p>
          <a:p>
            <a:pPr>
              <a:defRPr/>
            </a:pPr>
            <a:r>
              <a:rPr lang="de-DE"/>
              <a:t>BilMoG-7 vs. BilMoG-10</a:t>
            </a:r>
          </a:p>
          <a:p>
            <a:pPr>
              <a:defRPr/>
            </a:pPr>
            <a:r>
              <a:rPr lang="de-DE"/>
              <a:t>in Quellversorgung bAV 50Jahre alter M und Zielversorgung DRV</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v>BilMoG-7-Zins</c:v>
          </c:tx>
          <c:spPr>
            <a:ln w="28575" cap="rnd">
              <a:solidFill>
                <a:schemeClr val="accent1"/>
              </a:solidFill>
              <a:round/>
            </a:ln>
            <a:effectLst/>
          </c:spPr>
          <c:marker>
            <c:symbol val="triangle"/>
            <c:size val="5"/>
            <c:spPr>
              <a:solidFill>
                <a:schemeClr val="accent1"/>
              </a:solidFill>
              <a:ln w="9525">
                <a:solidFill>
                  <a:schemeClr val="accent1"/>
                </a:solidFill>
              </a:ln>
              <a:effectLst/>
            </c:spPr>
          </c:marker>
          <c:cat>
            <c:numRef>
              <c:f>BilMoG10!$A$9:$A$99</c:f>
              <c:numCache>
                <c:formatCode>d/m/yyyy</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formatCode="m/d/yyyy">
                  <c:v>43312</c:v>
                </c:pt>
                <c:pt idx="43">
                  <c:v>43343</c:v>
                </c:pt>
                <c:pt idx="44" formatCode="m/d/yyyy">
                  <c:v>43373</c:v>
                </c:pt>
                <c:pt idx="45">
                  <c:v>43404</c:v>
                </c:pt>
                <c:pt idx="46" formatCode="m/d/yyyy">
                  <c:v>43434</c:v>
                </c:pt>
                <c:pt idx="47">
                  <c:v>43465</c:v>
                </c:pt>
                <c:pt idx="48" formatCode="m/d/yyyy">
                  <c:v>43496</c:v>
                </c:pt>
                <c:pt idx="49">
                  <c:v>43524</c:v>
                </c:pt>
                <c:pt idx="50" formatCode="m/d/yyyy">
                  <c:v>43555</c:v>
                </c:pt>
                <c:pt idx="51">
                  <c:v>43585</c:v>
                </c:pt>
                <c:pt idx="52" formatCode="m/d/yyyy">
                  <c:v>43616</c:v>
                </c:pt>
                <c:pt idx="53">
                  <c:v>43646</c:v>
                </c:pt>
                <c:pt idx="54" formatCode="m/d/yyyy">
                  <c:v>43677</c:v>
                </c:pt>
                <c:pt idx="55">
                  <c:v>43708</c:v>
                </c:pt>
                <c:pt idx="56" formatCode="m/d/yyyy">
                  <c:v>43738</c:v>
                </c:pt>
                <c:pt idx="57">
                  <c:v>43769</c:v>
                </c:pt>
                <c:pt idx="58" formatCode="m/d/yyyy">
                  <c:v>43799</c:v>
                </c:pt>
                <c:pt idx="59">
                  <c:v>43830</c:v>
                </c:pt>
                <c:pt idx="60" formatCode="m/d/yyyy">
                  <c:v>43861</c:v>
                </c:pt>
                <c:pt idx="61">
                  <c:v>43890</c:v>
                </c:pt>
                <c:pt idx="62" formatCode="m/d/yyyy">
                  <c:v>43921</c:v>
                </c:pt>
                <c:pt idx="63">
                  <c:v>43951</c:v>
                </c:pt>
                <c:pt idx="64" formatCode="m/d/yyyy">
                  <c:v>43982</c:v>
                </c:pt>
                <c:pt idx="65">
                  <c:v>44012</c:v>
                </c:pt>
                <c:pt idx="66" formatCode="m/d/yyyy">
                  <c:v>44043</c:v>
                </c:pt>
                <c:pt idx="67">
                  <c:v>44074</c:v>
                </c:pt>
                <c:pt idx="68" formatCode="m/d/yyyy">
                  <c:v>44104</c:v>
                </c:pt>
                <c:pt idx="69">
                  <c:v>44135</c:v>
                </c:pt>
                <c:pt idx="70" formatCode="m/d/yyyy">
                  <c:v>44165</c:v>
                </c:pt>
                <c:pt idx="71">
                  <c:v>44196</c:v>
                </c:pt>
                <c:pt idx="72" formatCode="m/d/yyyy">
                  <c:v>44227</c:v>
                </c:pt>
                <c:pt idx="73">
                  <c:v>44255</c:v>
                </c:pt>
                <c:pt idx="74" formatCode="m/d/yyyy">
                  <c:v>44286</c:v>
                </c:pt>
                <c:pt idx="75">
                  <c:v>44316</c:v>
                </c:pt>
                <c:pt idx="76" formatCode="m/d/yyyy">
                  <c:v>44347</c:v>
                </c:pt>
                <c:pt idx="77">
                  <c:v>44377</c:v>
                </c:pt>
                <c:pt idx="78" formatCode="m/d/yyyy">
                  <c:v>44408</c:v>
                </c:pt>
                <c:pt idx="79">
                  <c:v>44439</c:v>
                </c:pt>
                <c:pt idx="80" formatCode="m/d/yyyy">
                  <c:v>44469</c:v>
                </c:pt>
                <c:pt idx="81">
                  <c:v>44500</c:v>
                </c:pt>
                <c:pt idx="82" formatCode="m/d/yyyy">
                  <c:v>44530</c:v>
                </c:pt>
                <c:pt idx="83">
                  <c:v>44561</c:v>
                </c:pt>
                <c:pt idx="84" formatCode="m/d/yyyy">
                  <c:v>44592</c:v>
                </c:pt>
                <c:pt idx="85">
                  <c:v>44620</c:v>
                </c:pt>
                <c:pt idx="86" formatCode="m/d/yyyy">
                  <c:v>44651</c:v>
                </c:pt>
                <c:pt idx="87">
                  <c:v>44681</c:v>
                </c:pt>
                <c:pt idx="88" formatCode="m/d/yyyy">
                  <c:v>44712</c:v>
                </c:pt>
                <c:pt idx="89">
                  <c:v>44742</c:v>
                </c:pt>
                <c:pt idx="90" formatCode="m/d/yyyy">
                  <c:v>44773</c:v>
                </c:pt>
              </c:numCache>
            </c:numRef>
          </c:cat>
          <c:val>
            <c:numRef>
              <c:f>BilMoG10!$BB$9:$BB$100</c:f>
              <c:numCache>
                <c:formatCode>General</c:formatCode>
                <c:ptCount val="92"/>
                <c:pt idx="0">
                  <c:v>4.4800000000000004</c:v>
                </c:pt>
                <c:pt idx="1">
                  <c:v>4.43</c:v>
                </c:pt>
                <c:pt idx="2">
                  <c:v>4.37</c:v>
                </c:pt>
                <c:pt idx="3">
                  <c:v>4.3099999999999996</c:v>
                </c:pt>
                <c:pt idx="4">
                  <c:v>4.26</c:v>
                </c:pt>
                <c:pt idx="5">
                  <c:v>4.21</c:v>
                </c:pt>
                <c:pt idx="6">
                  <c:v>4.17</c:v>
                </c:pt>
                <c:pt idx="7">
                  <c:v>4.12</c:v>
                </c:pt>
                <c:pt idx="8">
                  <c:v>4.07</c:v>
                </c:pt>
                <c:pt idx="9">
                  <c:v>4</c:v>
                </c:pt>
                <c:pt idx="10">
                  <c:v>3.94</c:v>
                </c:pt>
                <c:pt idx="11">
                  <c:v>3.89</c:v>
                </c:pt>
                <c:pt idx="12">
                  <c:v>3.83</c:v>
                </c:pt>
                <c:pt idx="13">
                  <c:v>3.76</c:v>
                </c:pt>
                <c:pt idx="14">
                  <c:v>3.7</c:v>
                </c:pt>
                <c:pt idx="15">
                  <c:v>3.64</c:v>
                </c:pt>
                <c:pt idx="16">
                  <c:v>3.58</c:v>
                </c:pt>
                <c:pt idx="17">
                  <c:v>3.52</c:v>
                </c:pt>
                <c:pt idx="18">
                  <c:v>3.47</c:v>
                </c:pt>
                <c:pt idx="19">
                  <c:v>3.42</c:v>
                </c:pt>
                <c:pt idx="20">
                  <c:v>3.37</c:v>
                </c:pt>
                <c:pt idx="21">
                  <c:v>3.32</c:v>
                </c:pt>
                <c:pt idx="22">
                  <c:v>3.28</c:v>
                </c:pt>
                <c:pt idx="23">
                  <c:v>3.24</c:v>
                </c:pt>
                <c:pt idx="24">
                  <c:v>3.2</c:v>
                </c:pt>
                <c:pt idx="25">
                  <c:v>3.16</c:v>
                </c:pt>
                <c:pt idx="26">
                  <c:v>3.12</c:v>
                </c:pt>
                <c:pt idx="27">
                  <c:v>3.08</c:v>
                </c:pt>
                <c:pt idx="28">
                  <c:v>3.04</c:v>
                </c:pt>
                <c:pt idx="29">
                  <c:v>3</c:v>
                </c:pt>
                <c:pt idx="30">
                  <c:v>2.97</c:v>
                </c:pt>
                <c:pt idx="31">
                  <c:v>2.94</c:v>
                </c:pt>
                <c:pt idx="32">
                  <c:v>2.91</c:v>
                </c:pt>
                <c:pt idx="33">
                  <c:v>2.88</c:v>
                </c:pt>
                <c:pt idx="34">
                  <c:v>2.84</c:v>
                </c:pt>
                <c:pt idx="35">
                  <c:v>2.8</c:v>
                </c:pt>
                <c:pt idx="36">
                  <c:v>2.76</c:v>
                </c:pt>
                <c:pt idx="37">
                  <c:v>2.72</c:v>
                </c:pt>
                <c:pt idx="38">
                  <c:v>2.68</c:v>
                </c:pt>
                <c:pt idx="39">
                  <c:v>2.64</c:v>
                </c:pt>
                <c:pt idx="40">
                  <c:v>2.6</c:v>
                </c:pt>
                <c:pt idx="41">
                  <c:v>2.56</c:v>
                </c:pt>
                <c:pt idx="42">
                  <c:v>2.52</c:v>
                </c:pt>
                <c:pt idx="43">
                  <c:v>2.48</c:v>
                </c:pt>
                <c:pt idx="44">
                  <c:v>2.4300000000000002</c:v>
                </c:pt>
                <c:pt idx="45">
                  <c:v>2.4</c:v>
                </c:pt>
                <c:pt idx="46">
                  <c:v>2.36</c:v>
                </c:pt>
                <c:pt idx="47">
                  <c:v>2.3199999999999998</c:v>
                </c:pt>
                <c:pt idx="48">
                  <c:v>2.29</c:v>
                </c:pt>
                <c:pt idx="49">
                  <c:v>2.2599999999999998</c:v>
                </c:pt>
                <c:pt idx="50">
                  <c:v>2.23</c:v>
                </c:pt>
                <c:pt idx="51">
                  <c:v>2.2000000000000002</c:v>
                </c:pt>
                <c:pt idx="52">
                  <c:v>2.1800000000000002</c:v>
                </c:pt>
                <c:pt idx="53">
                  <c:v>2.15</c:v>
                </c:pt>
                <c:pt idx="54">
                  <c:v>2.12</c:v>
                </c:pt>
                <c:pt idx="55">
                  <c:v>2.08</c:v>
                </c:pt>
                <c:pt idx="56">
                  <c:v>2.0499999999999998</c:v>
                </c:pt>
                <c:pt idx="57">
                  <c:v>2.02</c:v>
                </c:pt>
                <c:pt idx="58">
                  <c:v>2</c:v>
                </c:pt>
                <c:pt idx="59">
                  <c:v>1.97</c:v>
                </c:pt>
                <c:pt idx="60">
                  <c:v>1.94</c:v>
                </c:pt>
                <c:pt idx="61">
                  <c:v>1.91</c:v>
                </c:pt>
                <c:pt idx="62">
                  <c:v>1.89</c:v>
                </c:pt>
                <c:pt idx="63">
                  <c:v>1.87</c:v>
                </c:pt>
                <c:pt idx="64">
                  <c:v>1.84</c:v>
                </c:pt>
                <c:pt idx="65">
                  <c:v>1.81</c:v>
                </c:pt>
                <c:pt idx="66">
                  <c:v>1.78</c:v>
                </c:pt>
                <c:pt idx="67">
                  <c:v>1.74</c:v>
                </c:pt>
                <c:pt idx="68">
                  <c:v>1.71</c:v>
                </c:pt>
                <c:pt idx="69">
                  <c:v>1.68</c:v>
                </c:pt>
                <c:pt idx="70">
                  <c:v>1.64</c:v>
                </c:pt>
                <c:pt idx="71">
                  <c:v>1.6</c:v>
                </c:pt>
                <c:pt idx="72">
                  <c:v>1.57</c:v>
                </c:pt>
                <c:pt idx="73">
                  <c:v>1.54</c:v>
                </c:pt>
                <c:pt idx="74">
                  <c:v>1.51</c:v>
                </c:pt>
                <c:pt idx="75">
                  <c:v>1.49</c:v>
                </c:pt>
                <c:pt idx="76">
                  <c:v>1.47</c:v>
                </c:pt>
                <c:pt idx="77">
                  <c:v>1.45</c:v>
                </c:pt>
                <c:pt idx="78">
                  <c:v>1.42</c:v>
                </c:pt>
                <c:pt idx="79">
                  <c:v>1.41</c:v>
                </c:pt>
                <c:pt idx="80">
                  <c:v>1.39</c:v>
                </c:pt>
                <c:pt idx="81">
                  <c:v>1.37</c:v>
                </c:pt>
                <c:pt idx="82">
                  <c:v>1.36</c:v>
                </c:pt>
                <c:pt idx="83">
                  <c:v>1.35</c:v>
                </c:pt>
                <c:pt idx="84">
                  <c:v>1.34</c:v>
                </c:pt>
                <c:pt idx="85">
                  <c:v>1.35</c:v>
                </c:pt>
                <c:pt idx="86">
                  <c:v>1.35</c:v>
                </c:pt>
                <c:pt idx="87">
                  <c:v>1.36</c:v>
                </c:pt>
                <c:pt idx="88">
                  <c:v>1.37</c:v>
                </c:pt>
                <c:pt idx="89">
                  <c:v>1.38</c:v>
                </c:pt>
                <c:pt idx="90">
                  <c:v>1.38</c:v>
                </c:pt>
                <c:pt idx="91">
                  <c:v>1.38</c:v>
                </c:pt>
              </c:numCache>
            </c:numRef>
          </c:val>
          <c:smooth val="0"/>
          <c:extLst>
            <c:ext xmlns:c16="http://schemas.microsoft.com/office/drawing/2014/chart" uri="{C3380CC4-5D6E-409C-BE32-E72D297353CC}">
              <c16:uniqueId val="{00000000-C5AE-4471-ADF0-9C6DB64C9265}"/>
            </c:ext>
          </c:extLst>
        </c:ser>
        <c:ser>
          <c:idx val="1"/>
          <c:order val="1"/>
          <c:tx>
            <c:v>BilMoG-10-Zins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BilMoG10!$A$9:$A$99</c:f>
              <c:numCache>
                <c:formatCode>d/m/yyyy</c:formatCode>
                <c:ptCount val="9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formatCode="m/d/yyyy">
                  <c:v>43312</c:v>
                </c:pt>
                <c:pt idx="43">
                  <c:v>43343</c:v>
                </c:pt>
                <c:pt idx="44" formatCode="m/d/yyyy">
                  <c:v>43373</c:v>
                </c:pt>
                <c:pt idx="45">
                  <c:v>43404</c:v>
                </c:pt>
                <c:pt idx="46" formatCode="m/d/yyyy">
                  <c:v>43434</c:v>
                </c:pt>
                <c:pt idx="47">
                  <c:v>43465</c:v>
                </c:pt>
                <c:pt idx="48" formatCode="m/d/yyyy">
                  <c:v>43496</c:v>
                </c:pt>
                <c:pt idx="49">
                  <c:v>43524</c:v>
                </c:pt>
                <c:pt idx="50" formatCode="m/d/yyyy">
                  <c:v>43555</c:v>
                </c:pt>
                <c:pt idx="51">
                  <c:v>43585</c:v>
                </c:pt>
                <c:pt idx="52" formatCode="m/d/yyyy">
                  <c:v>43616</c:v>
                </c:pt>
                <c:pt idx="53">
                  <c:v>43646</c:v>
                </c:pt>
                <c:pt idx="54" formatCode="m/d/yyyy">
                  <c:v>43677</c:v>
                </c:pt>
                <c:pt idx="55">
                  <c:v>43708</c:v>
                </c:pt>
                <c:pt idx="56" formatCode="m/d/yyyy">
                  <c:v>43738</c:v>
                </c:pt>
                <c:pt idx="57">
                  <c:v>43769</c:v>
                </c:pt>
                <c:pt idx="58" formatCode="m/d/yyyy">
                  <c:v>43799</c:v>
                </c:pt>
                <c:pt idx="59">
                  <c:v>43830</c:v>
                </c:pt>
                <c:pt idx="60" formatCode="m/d/yyyy">
                  <c:v>43861</c:v>
                </c:pt>
                <c:pt idx="61">
                  <c:v>43890</c:v>
                </c:pt>
                <c:pt idx="62" formatCode="m/d/yyyy">
                  <c:v>43921</c:v>
                </c:pt>
                <c:pt idx="63">
                  <c:v>43951</c:v>
                </c:pt>
                <c:pt idx="64" formatCode="m/d/yyyy">
                  <c:v>43982</c:v>
                </c:pt>
                <c:pt idx="65">
                  <c:v>44012</c:v>
                </c:pt>
                <c:pt idx="66" formatCode="m/d/yyyy">
                  <c:v>44043</c:v>
                </c:pt>
                <c:pt idx="67">
                  <c:v>44074</c:v>
                </c:pt>
                <c:pt idx="68" formatCode="m/d/yyyy">
                  <c:v>44104</c:v>
                </c:pt>
                <c:pt idx="69">
                  <c:v>44135</c:v>
                </c:pt>
                <c:pt idx="70" formatCode="m/d/yyyy">
                  <c:v>44165</c:v>
                </c:pt>
                <c:pt idx="71">
                  <c:v>44196</c:v>
                </c:pt>
                <c:pt idx="72" formatCode="m/d/yyyy">
                  <c:v>44227</c:v>
                </c:pt>
                <c:pt idx="73">
                  <c:v>44255</c:v>
                </c:pt>
                <c:pt idx="74" formatCode="m/d/yyyy">
                  <c:v>44286</c:v>
                </c:pt>
                <c:pt idx="75">
                  <c:v>44316</c:v>
                </c:pt>
                <c:pt idx="76" formatCode="m/d/yyyy">
                  <c:v>44347</c:v>
                </c:pt>
                <c:pt idx="77">
                  <c:v>44377</c:v>
                </c:pt>
                <c:pt idx="78" formatCode="m/d/yyyy">
                  <c:v>44408</c:v>
                </c:pt>
                <c:pt idx="79">
                  <c:v>44439</c:v>
                </c:pt>
                <c:pt idx="80" formatCode="m/d/yyyy">
                  <c:v>44469</c:v>
                </c:pt>
                <c:pt idx="81">
                  <c:v>44500</c:v>
                </c:pt>
                <c:pt idx="82" formatCode="m/d/yyyy">
                  <c:v>44530</c:v>
                </c:pt>
                <c:pt idx="83">
                  <c:v>44561</c:v>
                </c:pt>
                <c:pt idx="84" formatCode="m/d/yyyy">
                  <c:v>44592</c:v>
                </c:pt>
                <c:pt idx="85">
                  <c:v>44620</c:v>
                </c:pt>
                <c:pt idx="86" formatCode="m/d/yyyy">
                  <c:v>44651</c:v>
                </c:pt>
                <c:pt idx="87">
                  <c:v>44681</c:v>
                </c:pt>
                <c:pt idx="88" formatCode="m/d/yyyy">
                  <c:v>44712</c:v>
                </c:pt>
                <c:pt idx="89">
                  <c:v>44742</c:v>
                </c:pt>
                <c:pt idx="90" formatCode="m/d/yyyy">
                  <c:v>44773</c:v>
                </c:pt>
              </c:numCache>
            </c:numRef>
          </c:cat>
          <c:val>
            <c:numRef>
              <c:f>BilMoG10!$P$9:$P$99</c:f>
              <c:numCache>
                <c:formatCode>General</c:formatCode>
                <c:ptCount val="91"/>
                <c:pt idx="0">
                  <c:v>4.51</c:v>
                </c:pt>
                <c:pt idx="1">
                  <c:v>4.4800000000000004</c:v>
                </c:pt>
                <c:pt idx="2">
                  <c:v>4.46</c:v>
                </c:pt>
                <c:pt idx="3">
                  <c:v>4.43</c:v>
                </c:pt>
                <c:pt idx="4">
                  <c:v>4.41</c:v>
                </c:pt>
                <c:pt idx="5">
                  <c:v>4.3899999999999997</c:v>
                </c:pt>
                <c:pt idx="6">
                  <c:v>4.38</c:v>
                </c:pt>
                <c:pt idx="7">
                  <c:v>4.3600000000000003</c:v>
                </c:pt>
                <c:pt idx="8">
                  <c:v>4.3499999999999996</c:v>
                </c:pt>
                <c:pt idx="9">
                  <c:v>4.33</c:v>
                </c:pt>
                <c:pt idx="10">
                  <c:v>4.32</c:v>
                </c:pt>
                <c:pt idx="11">
                  <c:v>4.3099999999999996</c:v>
                </c:pt>
                <c:pt idx="12">
                  <c:v>4.29</c:v>
                </c:pt>
                <c:pt idx="13">
                  <c:v>4.2699999999999996</c:v>
                </c:pt>
                <c:pt idx="14">
                  <c:v>4.24</c:v>
                </c:pt>
                <c:pt idx="15">
                  <c:v>4.22</c:v>
                </c:pt>
                <c:pt idx="16">
                  <c:v>4.2</c:v>
                </c:pt>
                <c:pt idx="17">
                  <c:v>4.17</c:v>
                </c:pt>
                <c:pt idx="18">
                  <c:v>4.1399999999999997</c:v>
                </c:pt>
                <c:pt idx="19">
                  <c:v>4.1100000000000003</c:v>
                </c:pt>
                <c:pt idx="20">
                  <c:v>4.08</c:v>
                </c:pt>
                <c:pt idx="21">
                  <c:v>4.0599999999999996</c:v>
                </c:pt>
                <c:pt idx="22">
                  <c:v>4.03</c:v>
                </c:pt>
                <c:pt idx="23">
                  <c:v>4.01</c:v>
                </c:pt>
                <c:pt idx="24">
                  <c:v>3.99</c:v>
                </c:pt>
                <c:pt idx="25">
                  <c:v>3.96</c:v>
                </c:pt>
                <c:pt idx="26">
                  <c:v>3.94</c:v>
                </c:pt>
                <c:pt idx="27">
                  <c:v>3.91</c:v>
                </c:pt>
                <c:pt idx="28">
                  <c:v>3.88</c:v>
                </c:pt>
                <c:pt idx="29">
                  <c:v>3.86</c:v>
                </c:pt>
                <c:pt idx="30">
                  <c:v>3.83</c:v>
                </c:pt>
                <c:pt idx="31">
                  <c:v>3.8</c:v>
                </c:pt>
                <c:pt idx="32">
                  <c:v>3.77</c:v>
                </c:pt>
                <c:pt idx="33">
                  <c:v>3.74</c:v>
                </c:pt>
                <c:pt idx="34">
                  <c:v>3.71</c:v>
                </c:pt>
                <c:pt idx="35">
                  <c:v>3.68</c:v>
                </c:pt>
                <c:pt idx="36">
                  <c:v>3.64</c:v>
                </c:pt>
                <c:pt idx="37">
                  <c:v>3.61</c:v>
                </c:pt>
                <c:pt idx="38">
                  <c:v>3.57</c:v>
                </c:pt>
                <c:pt idx="39">
                  <c:v>3.53</c:v>
                </c:pt>
                <c:pt idx="40">
                  <c:v>3.5</c:v>
                </c:pt>
                <c:pt idx="41">
                  <c:v>3.46</c:v>
                </c:pt>
                <c:pt idx="42">
                  <c:v>3.42</c:v>
                </c:pt>
                <c:pt idx="43">
                  <c:v>3.39</c:v>
                </c:pt>
                <c:pt idx="44">
                  <c:v>3.34</c:v>
                </c:pt>
                <c:pt idx="45">
                  <c:v>3.29</c:v>
                </c:pt>
                <c:pt idx="46">
                  <c:v>3.25</c:v>
                </c:pt>
                <c:pt idx="47">
                  <c:v>3.21</c:v>
                </c:pt>
                <c:pt idx="48">
                  <c:v>3.16</c:v>
                </c:pt>
                <c:pt idx="49">
                  <c:v>3.12</c:v>
                </c:pt>
                <c:pt idx="50">
                  <c:v>3.07</c:v>
                </c:pt>
                <c:pt idx="51">
                  <c:v>3.03</c:v>
                </c:pt>
                <c:pt idx="52">
                  <c:v>2.98</c:v>
                </c:pt>
                <c:pt idx="53">
                  <c:v>2.94</c:v>
                </c:pt>
                <c:pt idx="54">
                  <c:v>2.9</c:v>
                </c:pt>
                <c:pt idx="55">
                  <c:v>2.86</c:v>
                </c:pt>
                <c:pt idx="56">
                  <c:v>2.82</c:v>
                </c:pt>
                <c:pt idx="57">
                  <c:v>2.79</c:v>
                </c:pt>
                <c:pt idx="58">
                  <c:v>2.75</c:v>
                </c:pt>
                <c:pt idx="59">
                  <c:v>2.71</c:v>
                </c:pt>
                <c:pt idx="60">
                  <c:v>2.68</c:v>
                </c:pt>
                <c:pt idx="61">
                  <c:v>2.64</c:v>
                </c:pt>
                <c:pt idx="62">
                  <c:v>2.61</c:v>
                </c:pt>
                <c:pt idx="63">
                  <c:v>2.58</c:v>
                </c:pt>
                <c:pt idx="64">
                  <c:v>2.54</c:v>
                </c:pt>
                <c:pt idx="65">
                  <c:v>2.5099999999999998</c:v>
                </c:pt>
                <c:pt idx="66">
                  <c:v>2.4700000000000002</c:v>
                </c:pt>
                <c:pt idx="67">
                  <c:v>2.4500000000000002</c:v>
                </c:pt>
                <c:pt idx="68">
                  <c:v>2.41</c:v>
                </c:pt>
                <c:pt idx="69">
                  <c:v>2.38</c:v>
                </c:pt>
                <c:pt idx="70">
                  <c:v>2.34</c:v>
                </c:pt>
                <c:pt idx="71">
                  <c:v>2.2999999999999998</c:v>
                </c:pt>
                <c:pt idx="72">
                  <c:v>2.2599999999999998</c:v>
                </c:pt>
                <c:pt idx="73">
                  <c:v>2.23</c:v>
                </c:pt>
                <c:pt idx="74">
                  <c:v>2.19</c:v>
                </c:pt>
                <c:pt idx="75">
                  <c:v>2.16</c:v>
                </c:pt>
                <c:pt idx="76">
                  <c:v>2.12</c:v>
                </c:pt>
                <c:pt idx="77">
                  <c:v>2.09</c:v>
                </c:pt>
                <c:pt idx="78">
                  <c:v>2.0499999999999998</c:v>
                </c:pt>
                <c:pt idx="79">
                  <c:v>2.0099999999999998</c:v>
                </c:pt>
                <c:pt idx="80">
                  <c:v>1.98</c:v>
                </c:pt>
                <c:pt idx="81">
                  <c:v>1.94</c:v>
                </c:pt>
                <c:pt idx="82">
                  <c:v>1.9</c:v>
                </c:pt>
                <c:pt idx="83">
                  <c:v>1.87</c:v>
                </c:pt>
                <c:pt idx="84">
                  <c:v>1.85</c:v>
                </c:pt>
                <c:pt idx="85">
                  <c:v>1.82</c:v>
                </c:pt>
                <c:pt idx="86">
                  <c:v>1.81</c:v>
                </c:pt>
                <c:pt idx="87">
                  <c:v>1.79</c:v>
                </c:pt>
                <c:pt idx="88">
                  <c:v>1.79</c:v>
                </c:pt>
                <c:pt idx="89">
                  <c:v>1.78</c:v>
                </c:pt>
                <c:pt idx="90">
                  <c:v>1.78</c:v>
                </c:pt>
              </c:numCache>
            </c:numRef>
          </c:val>
          <c:smooth val="0"/>
          <c:extLst>
            <c:ext xmlns:c16="http://schemas.microsoft.com/office/drawing/2014/chart" uri="{C3380CC4-5D6E-409C-BE32-E72D297353CC}">
              <c16:uniqueId val="{00000001-C5AE-4471-ADF0-9C6DB64C9265}"/>
            </c:ext>
          </c:extLst>
        </c:ser>
        <c:dLbls>
          <c:showLegendKey val="0"/>
          <c:showVal val="0"/>
          <c:showCatName val="0"/>
          <c:showSerName val="0"/>
          <c:showPercent val="0"/>
          <c:showBubbleSize val="0"/>
        </c:dLbls>
        <c:marker val="1"/>
        <c:smooth val="0"/>
        <c:axId val="496450616"/>
        <c:axId val="496451600"/>
      </c:lineChart>
      <c:lineChart>
        <c:grouping val="standard"/>
        <c:varyColors val="0"/>
        <c:ser>
          <c:idx val="2"/>
          <c:order val="2"/>
          <c:tx>
            <c:v>BW BilMoG-7 QV</c:v>
          </c:tx>
          <c:spPr>
            <a:ln w="50800" cap="rnd">
              <a:solidFill>
                <a:schemeClr val="accent3"/>
              </a:solidFill>
              <a:round/>
            </a:ln>
            <a:effectLst/>
          </c:spPr>
          <c:marker>
            <c:symbol val="none"/>
          </c:marker>
          <c:val>
            <c:numRef>
              <c:f>'BilMoG-7'!$BD$82:$BD$172</c:f>
              <c:numCache>
                <c:formatCode>#,##0</c:formatCode>
                <c:ptCount val="91"/>
                <c:pt idx="0">
                  <c:v>20818</c:v>
                </c:pt>
                <c:pt idx="1">
                  <c:v>21119.583333333332</c:v>
                </c:pt>
                <c:pt idx="2">
                  <c:v>21421.166666666668</c:v>
                </c:pt>
                <c:pt idx="3">
                  <c:v>21722.75</c:v>
                </c:pt>
                <c:pt idx="4">
                  <c:v>22024.333333333332</c:v>
                </c:pt>
                <c:pt idx="5">
                  <c:v>22325.916666666668</c:v>
                </c:pt>
                <c:pt idx="6">
                  <c:v>22627.5</c:v>
                </c:pt>
                <c:pt idx="7">
                  <c:v>22929.083333333332</c:v>
                </c:pt>
                <c:pt idx="8">
                  <c:v>23230.666666666668</c:v>
                </c:pt>
                <c:pt idx="9">
                  <c:v>23532.25</c:v>
                </c:pt>
                <c:pt idx="10">
                  <c:v>23833.833333333332</c:v>
                </c:pt>
                <c:pt idx="11">
                  <c:v>24135.416666666668</c:v>
                </c:pt>
                <c:pt idx="12">
                  <c:v>24437</c:v>
                </c:pt>
                <c:pt idx="13">
                  <c:v>24802.916666666668</c:v>
                </c:pt>
                <c:pt idx="14">
                  <c:v>25168.833333333332</c:v>
                </c:pt>
                <c:pt idx="15">
                  <c:v>25534.75</c:v>
                </c:pt>
                <c:pt idx="16">
                  <c:v>25900.666666666668</c:v>
                </c:pt>
                <c:pt idx="17">
                  <c:v>26266.583333333332</c:v>
                </c:pt>
                <c:pt idx="18">
                  <c:v>26632.5</c:v>
                </c:pt>
                <c:pt idx="19">
                  <c:v>26998.416666666668</c:v>
                </c:pt>
                <c:pt idx="20">
                  <c:v>27364.333333333332</c:v>
                </c:pt>
                <c:pt idx="21">
                  <c:v>27730.25</c:v>
                </c:pt>
                <c:pt idx="22">
                  <c:v>28096.166666666668</c:v>
                </c:pt>
                <c:pt idx="23">
                  <c:v>28462.083333333332</c:v>
                </c:pt>
                <c:pt idx="24">
                  <c:v>28828</c:v>
                </c:pt>
                <c:pt idx="25">
                  <c:v>29123.916666666668</c:v>
                </c:pt>
                <c:pt idx="26">
                  <c:v>29419.833333333332</c:v>
                </c:pt>
                <c:pt idx="27">
                  <c:v>29715.75</c:v>
                </c:pt>
                <c:pt idx="28">
                  <c:v>30011.666666666668</c:v>
                </c:pt>
                <c:pt idx="29">
                  <c:v>30307.583333333332</c:v>
                </c:pt>
                <c:pt idx="30">
                  <c:v>30603.5</c:v>
                </c:pt>
                <c:pt idx="31">
                  <c:v>30899.416666666668</c:v>
                </c:pt>
                <c:pt idx="32">
                  <c:v>31195.333333333332</c:v>
                </c:pt>
                <c:pt idx="33">
                  <c:v>31491.25</c:v>
                </c:pt>
                <c:pt idx="34">
                  <c:v>31787.166666666668</c:v>
                </c:pt>
                <c:pt idx="35">
                  <c:v>32083.083333333332</c:v>
                </c:pt>
                <c:pt idx="36">
                  <c:v>32379</c:v>
                </c:pt>
                <c:pt idx="37">
                  <c:v>32746.916666666668</c:v>
                </c:pt>
                <c:pt idx="38">
                  <c:v>33114.833333333336</c:v>
                </c:pt>
                <c:pt idx="39">
                  <c:v>33482.75</c:v>
                </c:pt>
                <c:pt idx="40">
                  <c:v>33850.666666666664</c:v>
                </c:pt>
                <c:pt idx="41">
                  <c:v>34218.583333333336</c:v>
                </c:pt>
                <c:pt idx="42">
                  <c:v>34586.5</c:v>
                </c:pt>
                <c:pt idx="43">
                  <c:v>34954.416666666664</c:v>
                </c:pt>
                <c:pt idx="44">
                  <c:v>35322.333333333336</c:v>
                </c:pt>
                <c:pt idx="45">
                  <c:v>35690.25</c:v>
                </c:pt>
                <c:pt idx="46">
                  <c:v>36058.166666666664</c:v>
                </c:pt>
                <c:pt idx="47">
                  <c:v>36426.083333333336</c:v>
                </c:pt>
                <c:pt idx="48">
                  <c:v>36794</c:v>
                </c:pt>
                <c:pt idx="49">
                  <c:v>37103.25</c:v>
                </c:pt>
                <c:pt idx="50">
                  <c:v>37412.5</c:v>
                </c:pt>
                <c:pt idx="51">
                  <c:v>37721.75</c:v>
                </c:pt>
                <c:pt idx="52">
                  <c:v>38031</c:v>
                </c:pt>
                <c:pt idx="53">
                  <c:v>38340.25</c:v>
                </c:pt>
                <c:pt idx="54">
                  <c:v>38649.5</c:v>
                </c:pt>
                <c:pt idx="55">
                  <c:v>38958.75</c:v>
                </c:pt>
                <c:pt idx="56">
                  <c:v>39268</c:v>
                </c:pt>
                <c:pt idx="57">
                  <c:v>39577.25</c:v>
                </c:pt>
                <c:pt idx="58">
                  <c:v>39886.5</c:v>
                </c:pt>
                <c:pt idx="59">
                  <c:v>40195.75</c:v>
                </c:pt>
                <c:pt idx="60">
                  <c:v>40505</c:v>
                </c:pt>
                <c:pt idx="61">
                  <c:v>40870.166666666664</c:v>
                </c:pt>
                <c:pt idx="62">
                  <c:v>41235.333333333336</c:v>
                </c:pt>
                <c:pt idx="63">
                  <c:v>41600.5</c:v>
                </c:pt>
                <c:pt idx="64">
                  <c:v>41965.666666666664</c:v>
                </c:pt>
                <c:pt idx="65">
                  <c:v>42330.833333333336</c:v>
                </c:pt>
                <c:pt idx="66">
                  <c:v>42696</c:v>
                </c:pt>
                <c:pt idx="67">
                  <c:v>43061.166666666664</c:v>
                </c:pt>
                <c:pt idx="68">
                  <c:v>43426.333333333336</c:v>
                </c:pt>
                <c:pt idx="69">
                  <c:v>43791.5</c:v>
                </c:pt>
                <c:pt idx="70">
                  <c:v>44156.666666666664</c:v>
                </c:pt>
                <c:pt idx="71">
                  <c:v>44521.833333333336</c:v>
                </c:pt>
                <c:pt idx="72">
                  <c:v>44887</c:v>
                </c:pt>
                <c:pt idx="73">
                  <c:v>45168.25</c:v>
                </c:pt>
                <c:pt idx="74">
                  <c:v>45449.5</c:v>
                </c:pt>
                <c:pt idx="75">
                  <c:v>45730.75</c:v>
                </c:pt>
                <c:pt idx="76">
                  <c:v>46012</c:v>
                </c:pt>
                <c:pt idx="77">
                  <c:v>46293.25</c:v>
                </c:pt>
                <c:pt idx="78">
                  <c:v>46574.5</c:v>
                </c:pt>
                <c:pt idx="79">
                  <c:v>46855.75</c:v>
                </c:pt>
                <c:pt idx="80">
                  <c:v>47137</c:v>
                </c:pt>
                <c:pt idx="81">
                  <c:v>47418.25</c:v>
                </c:pt>
                <c:pt idx="82">
                  <c:v>47699.5</c:v>
                </c:pt>
                <c:pt idx="83">
                  <c:v>47980.75</c:v>
                </c:pt>
                <c:pt idx="84">
                  <c:v>48262</c:v>
                </c:pt>
                <c:pt idx="85">
                  <c:v>48255.142857142855</c:v>
                </c:pt>
                <c:pt idx="86">
                  <c:v>48248.285714285717</c:v>
                </c:pt>
                <c:pt idx="87">
                  <c:v>48241.428571428572</c:v>
                </c:pt>
                <c:pt idx="88">
                  <c:v>48234.571428571428</c:v>
                </c:pt>
                <c:pt idx="89">
                  <c:v>48227.714285714283</c:v>
                </c:pt>
                <c:pt idx="90">
                  <c:v>48214</c:v>
                </c:pt>
              </c:numCache>
            </c:numRef>
          </c:val>
          <c:smooth val="0"/>
          <c:extLst>
            <c:ext xmlns:c16="http://schemas.microsoft.com/office/drawing/2014/chart" uri="{C3380CC4-5D6E-409C-BE32-E72D297353CC}">
              <c16:uniqueId val="{00000005-C5AE-4471-ADF0-9C6DB64C9265}"/>
            </c:ext>
          </c:extLst>
        </c:ser>
        <c:ser>
          <c:idx val="3"/>
          <c:order val="3"/>
          <c:tx>
            <c:v>BW BilMoG-7 DRV</c:v>
          </c:tx>
          <c:spPr>
            <a:ln w="50800" cap="rnd">
              <a:solidFill>
                <a:schemeClr val="accent4"/>
              </a:solidFill>
              <a:round/>
            </a:ln>
            <a:effectLst/>
          </c:spPr>
          <c:marker>
            <c:symbol val="none"/>
          </c:marker>
          <c:val>
            <c:numRef>
              <c:f>'BilMoG-7'!$BE$82:$BE$172</c:f>
              <c:numCache>
                <c:formatCode>#,##0</c:formatCode>
                <c:ptCount val="91"/>
                <c:pt idx="0">
                  <c:v>12675</c:v>
                </c:pt>
                <c:pt idx="1">
                  <c:v>13070.083333333334</c:v>
                </c:pt>
                <c:pt idx="2">
                  <c:v>13465.166666666666</c:v>
                </c:pt>
                <c:pt idx="3">
                  <c:v>13860.25</c:v>
                </c:pt>
                <c:pt idx="4">
                  <c:v>14255.333333333334</c:v>
                </c:pt>
                <c:pt idx="5">
                  <c:v>14650.416666666666</c:v>
                </c:pt>
                <c:pt idx="6">
                  <c:v>15045.5</c:v>
                </c:pt>
                <c:pt idx="7">
                  <c:v>15440.583333333332</c:v>
                </c:pt>
                <c:pt idx="8">
                  <c:v>15835.666666666666</c:v>
                </c:pt>
                <c:pt idx="9">
                  <c:v>16230.75</c:v>
                </c:pt>
                <c:pt idx="10">
                  <c:v>16625.833333333332</c:v>
                </c:pt>
                <c:pt idx="11">
                  <c:v>17020.916666666664</c:v>
                </c:pt>
                <c:pt idx="12">
                  <c:v>17416</c:v>
                </c:pt>
                <c:pt idx="13">
                  <c:v>18048.833333333332</c:v>
                </c:pt>
                <c:pt idx="14">
                  <c:v>18681.666666666668</c:v>
                </c:pt>
                <c:pt idx="15">
                  <c:v>19314.5</c:v>
                </c:pt>
                <c:pt idx="16">
                  <c:v>19947.333333333332</c:v>
                </c:pt>
                <c:pt idx="17">
                  <c:v>20580.166666666668</c:v>
                </c:pt>
                <c:pt idx="18">
                  <c:v>21213</c:v>
                </c:pt>
                <c:pt idx="19">
                  <c:v>21845.833333333336</c:v>
                </c:pt>
                <c:pt idx="20">
                  <c:v>22478.666666666668</c:v>
                </c:pt>
                <c:pt idx="21">
                  <c:v>23111.5</c:v>
                </c:pt>
                <c:pt idx="22">
                  <c:v>23744.333333333336</c:v>
                </c:pt>
                <c:pt idx="23">
                  <c:v>24377.166666666668</c:v>
                </c:pt>
                <c:pt idx="24">
                  <c:v>25010</c:v>
                </c:pt>
                <c:pt idx="25">
                  <c:v>25587.5</c:v>
                </c:pt>
                <c:pt idx="26">
                  <c:v>26165</c:v>
                </c:pt>
                <c:pt idx="27">
                  <c:v>26742.5</c:v>
                </c:pt>
                <c:pt idx="28">
                  <c:v>27320</c:v>
                </c:pt>
                <c:pt idx="29">
                  <c:v>27897.5</c:v>
                </c:pt>
                <c:pt idx="30">
                  <c:v>28475</c:v>
                </c:pt>
                <c:pt idx="31">
                  <c:v>29052.5</c:v>
                </c:pt>
                <c:pt idx="32">
                  <c:v>29630</c:v>
                </c:pt>
                <c:pt idx="33">
                  <c:v>30207.5</c:v>
                </c:pt>
                <c:pt idx="34">
                  <c:v>30785</c:v>
                </c:pt>
                <c:pt idx="35">
                  <c:v>31362.5</c:v>
                </c:pt>
                <c:pt idx="36">
                  <c:v>31940</c:v>
                </c:pt>
                <c:pt idx="37">
                  <c:v>32764.333333333332</c:v>
                </c:pt>
                <c:pt idx="38">
                  <c:v>33588.666666666664</c:v>
                </c:pt>
                <c:pt idx="39">
                  <c:v>34413</c:v>
                </c:pt>
                <c:pt idx="40">
                  <c:v>35237.333333333336</c:v>
                </c:pt>
                <c:pt idx="41">
                  <c:v>36061.666666666664</c:v>
                </c:pt>
                <c:pt idx="42">
                  <c:v>36886</c:v>
                </c:pt>
                <c:pt idx="43">
                  <c:v>37710.333333333336</c:v>
                </c:pt>
                <c:pt idx="44">
                  <c:v>38534.666666666664</c:v>
                </c:pt>
                <c:pt idx="45">
                  <c:v>39359</c:v>
                </c:pt>
                <c:pt idx="46">
                  <c:v>40183.333333333336</c:v>
                </c:pt>
                <c:pt idx="47">
                  <c:v>41007.666666666672</c:v>
                </c:pt>
                <c:pt idx="48">
                  <c:v>41832</c:v>
                </c:pt>
                <c:pt idx="49">
                  <c:v>42558.416666666664</c:v>
                </c:pt>
                <c:pt idx="50">
                  <c:v>43284.833333333336</c:v>
                </c:pt>
                <c:pt idx="51">
                  <c:v>44011.25</c:v>
                </c:pt>
                <c:pt idx="52">
                  <c:v>44737.666666666664</c:v>
                </c:pt>
                <c:pt idx="53">
                  <c:v>45464.083333333336</c:v>
                </c:pt>
                <c:pt idx="54">
                  <c:v>46190.5</c:v>
                </c:pt>
                <c:pt idx="55">
                  <c:v>46916.916666666664</c:v>
                </c:pt>
                <c:pt idx="56">
                  <c:v>47643.333333333336</c:v>
                </c:pt>
                <c:pt idx="57">
                  <c:v>48369.75</c:v>
                </c:pt>
                <c:pt idx="58">
                  <c:v>49096.166666666664</c:v>
                </c:pt>
                <c:pt idx="59">
                  <c:v>49822.583333333336</c:v>
                </c:pt>
                <c:pt idx="60">
                  <c:v>50549</c:v>
                </c:pt>
                <c:pt idx="61">
                  <c:v>51598.083333333336</c:v>
                </c:pt>
                <c:pt idx="62">
                  <c:v>52647.166666666664</c:v>
                </c:pt>
                <c:pt idx="63">
                  <c:v>53696.25</c:v>
                </c:pt>
                <c:pt idx="64">
                  <c:v>54745.333333333336</c:v>
                </c:pt>
                <c:pt idx="65">
                  <c:v>55794.416666666664</c:v>
                </c:pt>
                <c:pt idx="66">
                  <c:v>56843.5</c:v>
                </c:pt>
                <c:pt idx="67">
                  <c:v>57892.583333333336</c:v>
                </c:pt>
                <c:pt idx="68">
                  <c:v>58941.666666666664</c:v>
                </c:pt>
                <c:pt idx="69">
                  <c:v>59990.75</c:v>
                </c:pt>
                <c:pt idx="70">
                  <c:v>61039.833333333328</c:v>
                </c:pt>
                <c:pt idx="71">
                  <c:v>62088.916666666664</c:v>
                </c:pt>
                <c:pt idx="72">
                  <c:v>63138</c:v>
                </c:pt>
                <c:pt idx="73">
                  <c:v>64405.916666666664</c:v>
                </c:pt>
                <c:pt idx="74">
                  <c:v>65673.833333333328</c:v>
                </c:pt>
                <c:pt idx="75">
                  <c:v>66941.75</c:v>
                </c:pt>
                <c:pt idx="76">
                  <c:v>68209.666666666672</c:v>
                </c:pt>
                <c:pt idx="77">
                  <c:v>69477.583333333328</c:v>
                </c:pt>
                <c:pt idx="78">
                  <c:v>70745.5</c:v>
                </c:pt>
                <c:pt idx="79">
                  <c:v>72013.416666666672</c:v>
                </c:pt>
                <c:pt idx="80">
                  <c:v>73281.333333333328</c:v>
                </c:pt>
                <c:pt idx="81">
                  <c:v>74549.25</c:v>
                </c:pt>
                <c:pt idx="82">
                  <c:v>75817.166666666672</c:v>
                </c:pt>
                <c:pt idx="83">
                  <c:v>77085.083333333328</c:v>
                </c:pt>
                <c:pt idx="84">
                  <c:v>78353</c:v>
                </c:pt>
                <c:pt idx="85">
                  <c:v>78807.571428571435</c:v>
                </c:pt>
                <c:pt idx="86">
                  <c:v>79262.142857142855</c:v>
                </c:pt>
                <c:pt idx="87">
                  <c:v>79716.71428571429</c:v>
                </c:pt>
                <c:pt idx="88">
                  <c:v>80171.28571428571</c:v>
                </c:pt>
                <c:pt idx="89">
                  <c:v>80625.857142857145</c:v>
                </c:pt>
                <c:pt idx="90">
                  <c:v>81535</c:v>
                </c:pt>
              </c:numCache>
            </c:numRef>
          </c:val>
          <c:smooth val="0"/>
          <c:extLst>
            <c:ext xmlns:c16="http://schemas.microsoft.com/office/drawing/2014/chart" uri="{C3380CC4-5D6E-409C-BE32-E72D297353CC}">
              <c16:uniqueId val="{00000006-C5AE-4471-ADF0-9C6DB64C9265}"/>
            </c:ext>
          </c:extLst>
        </c:ser>
        <c:ser>
          <c:idx val="4"/>
          <c:order val="4"/>
          <c:tx>
            <c:v>BW BilMoG-10 QV</c:v>
          </c:tx>
          <c:spPr>
            <a:ln w="50800" cap="rnd">
              <a:solidFill>
                <a:schemeClr val="accent5"/>
              </a:solidFill>
              <a:round/>
            </a:ln>
            <a:effectLst/>
          </c:spPr>
          <c:marker>
            <c:symbol val="none"/>
          </c:marker>
          <c:val>
            <c:numRef>
              <c:f>'BilMoG-7'!$BF$82:$BF$172</c:f>
              <c:numCache>
                <c:formatCode>#,##0</c:formatCode>
                <c:ptCount val="91"/>
                <c:pt idx="0">
                  <c:v>16565</c:v>
                </c:pt>
                <c:pt idx="1">
                  <c:v>17024.75</c:v>
                </c:pt>
                <c:pt idx="2">
                  <c:v>17484.5</c:v>
                </c:pt>
                <c:pt idx="3">
                  <c:v>17944.25</c:v>
                </c:pt>
                <c:pt idx="4">
                  <c:v>18404</c:v>
                </c:pt>
                <c:pt idx="5">
                  <c:v>18863.75</c:v>
                </c:pt>
                <c:pt idx="6">
                  <c:v>19323.5</c:v>
                </c:pt>
                <c:pt idx="7">
                  <c:v>19783.25</c:v>
                </c:pt>
                <c:pt idx="8">
                  <c:v>20243</c:v>
                </c:pt>
                <c:pt idx="9">
                  <c:v>20702.75</c:v>
                </c:pt>
                <c:pt idx="10">
                  <c:v>21162.5</c:v>
                </c:pt>
                <c:pt idx="11">
                  <c:v>21622.25</c:v>
                </c:pt>
                <c:pt idx="12">
                  <c:v>22082</c:v>
                </c:pt>
                <c:pt idx="13">
                  <c:v>22231.833333333332</c:v>
                </c:pt>
                <c:pt idx="14">
                  <c:v>22381.666666666668</c:v>
                </c:pt>
                <c:pt idx="15">
                  <c:v>22531.5</c:v>
                </c:pt>
                <c:pt idx="16">
                  <c:v>22681.333333333332</c:v>
                </c:pt>
                <c:pt idx="17">
                  <c:v>22831.166666666668</c:v>
                </c:pt>
                <c:pt idx="18">
                  <c:v>22981</c:v>
                </c:pt>
                <c:pt idx="19">
                  <c:v>23130.833333333332</c:v>
                </c:pt>
                <c:pt idx="20">
                  <c:v>23280.666666666668</c:v>
                </c:pt>
                <c:pt idx="21">
                  <c:v>23430.5</c:v>
                </c:pt>
                <c:pt idx="22">
                  <c:v>23580.333333333332</c:v>
                </c:pt>
                <c:pt idx="23">
                  <c:v>23730.166666666668</c:v>
                </c:pt>
                <c:pt idx="24">
                  <c:v>23880</c:v>
                </c:pt>
                <c:pt idx="25">
                  <c:v>24060.333333333332</c:v>
                </c:pt>
                <c:pt idx="26">
                  <c:v>24240.666666666668</c:v>
                </c:pt>
                <c:pt idx="27">
                  <c:v>24421</c:v>
                </c:pt>
                <c:pt idx="28">
                  <c:v>24601.333333333332</c:v>
                </c:pt>
                <c:pt idx="29">
                  <c:v>24781.666666666668</c:v>
                </c:pt>
                <c:pt idx="30">
                  <c:v>24962</c:v>
                </c:pt>
                <c:pt idx="31">
                  <c:v>25142.333333333332</c:v>
                </c:pt>
                <c:pt idx="32">
                  <c:v>25322.666666666668</c:v>
                </c:pt>
                <c:pt idx="33">
                  <c:v>25503</c:v>
                </c:pt>
                <c:pt idx="34">
                  <c:v>25683.333333333332</c:v>
                </c:pt>
                <c:pt idx="35">
                  <c:v>25863.666666666668</c:v>
                </c:pt>
                <c:pt idx="36">
                  <c:v>26044</c:v>
                </c:pt>
                <c:pt idx="37">
                  <c:v>26326.25</c:v>
                </c:pt>
                <c:pt idx="38">
                  <c:v>26608.5</c:v>
                </c:pt>
                <c:pt idx="39">
                  <c:v>26890.75</c:v>
                </c:pt>
                <c:pt idx="40">
                  <c:v>27173</c:v>
                </c:pt>
                <c:pt idx="41">
                  <c:v>27455.25</c:v>
                </c:pt>
                <c:pt idx="42">
                  <c:v>27737.5</c:v>
                </c:pt>
                <c:pt idx="43">
                  <c:v>28019.75</c:v>
                </c:pt>
                <c:pt idx="44">
                  <c:v>28302</c:v>
                </c:pt>
                <c:pt idx="45">
                  <c:v>28584.25</c:v>
                </c:pt>
                <c:pt idx="46">
                  <c:v>28866.5</c:v>
                </c:pt>
                <c:pt idx="47">
                  <c:v>29148.75</c:v>
                </c:pt>
                <c:pt idx="48">
                  <c:v>29431</c:v>
                </c:pt>
                <c:pt idx="49">
                  <c:v>29775.333333333332</c:v>
                </c:pt>
                <c:pt idx="50">
                  <c:v>30119.666666666668</c:v>
                </c:pt>
                <c:pt idx="51">
                  <c:v>30464</c:v>
                </c:pt>
                <c:pt idx="52">
                  <c:v>30808.333333333332</c:v>
                </c:pt>
                <c:pt idx="53">
                  <c:v>31152.666666666668</c:v>
                </c:pt>
                <c:pt idx="54">
                  <c:v>31497</c:v>
                </c:pt>
                <c:pt idx="55">
                  <c:v>31841.333333333332</c:v>
                </c:pt>
                <c:pt idx="56">
                  <c:v>32185.666666666668</c:v>
                </c:pt>
                <c:pt idx="57">
                  <c:v>32530</c:v>
                </c:pt>
                <c:pt idx="58">
                  <c:v>32874.333333333336</c:v>
                </c:pt>
                <c:pt idx="59">
                  <c:v>33218.666666666664</c:v>
                </c:pt>
                <c:pt idx="60">
                  <c:v>33563</c:v>
                </c:pt>
                <c:pt idx="61">
                  <c:v>33890.5</c:v>
                </c:pt>
                <c:pt idx="62">
                  <c:v>34218</c:v>
                </c:pt>
                <c:pt idx="63">
                  <c:v>34545.5</c:v>
                </c:pt>
                <c:pt idx="64">
                  <c:v>34873</c:v>
                </c:pt>
                <c:pt idx="65">
                  <c:v>35200.5</c:v>
                </c:pt>
                <c:pt idx="66">
                  <c:v>35528</c:v>
                </c:pt>
                <c:pt idx="67">
                  <c:v>35855.5</c:v>
                </c:pt>
                <c:pt idx="68">
                  <c:v>36183</c:v>
                </c:pt>
                <c:pt idx="69">
                  <c:v>36510.5</c:v>
                </c:pt>
                <c:pt idx="70">
                  <c:v>36838</c:v>
                </c:pt>
                <c:pt idx="71">
                  <c:v>37165.5</c:v>
                </c:pt>
                <c:pt idx="72">
                  <c:v>37493</c:v>
                </c:pt>
                <c:pt idx="73">
                  <c:v>37881.833333333336</c:v>
                </c:pt>
                <c:pt idx="74">
                  <c:v>38270.666666666664</c:v>
                </c:pt>
                <c:pt idx="75">
                  <c:v>38659.5</c:v>
                </c:pt>
                <c:pt idx="76">
                  <c:v>39048.333333333336</c:v>
                </c:pt>
                <c:pt idx="77">
                  <c:v>39437.166666666664</c:v>
                </c:pt>
                <c:pt idx="78">
                  <c:v>39826</c:v>
                </c:pt>
                <c:pt idx="79">
                  <c:v>40214.833333333336</c:v>
                </c:pt>
                <c:pt idx="80">
                  <c:v>40603.666666666664</c:v>
                </c:pt>
                <c:pt idx="81">
                  <c:v>40992.5</c:v>
                </c:pt>
                <c:pt idx="82">
                  <c:v>41381.333333333336</c:v>
                </c:pt>
                <c:pt idx="83">
                  <c:v>41770.166666666664</c:v>
                </c:pt>
                <c:pt idx="84">
                  <c:v>42159</c:v>
                </c:pt>
                <c:pt idx="85">
                  <c:v>42355.428571428572</c:v>
                </c:pt>
                <c:pt idx="86">
                  <c:v>42551.857142857145</c:v>
                </c:pt>
                <c:pt idx="87">
                  <c:v>42748.285714285717</c:v>
                </c:pt>
                <c:pt idx="88">
                  <c:v>42944.714285714283</c:v>
                </c:pt>
                <c:pt idx="89">
                  <c:v>43141.142857142855</c:v>
                </c:pt>
                <c:pt idx="90">
                  <c:v>43534</c:v>
                </c:pt>
              </c:numCache>
            </c:numRef>
          </c:val>
          <c:smooth val="0"/>
          <c:extLst>
            <c:ext xmlns:c16="http://schemas.microsoft.com/office/drawing/2014/chart" uri="{C3380CC4-5D6E-409C-BE32-E72D297353CC}">
              <c16:uniqueId val="{00000008-C5AE-4471-ADF0-9C6DB64C9265}"/>
            </c:ext>
          </c:extLst>
        </c:ser>
        <c:ser>
          <c:idx val="5"/>
          <c:order val="5"/>
          <c:tx>
            <c:v>BimMoG-10 DRV</c:v>
          </c:tx>
          <c:spPr>
            <a:ln w="50800" cap="rnd">
              <a:solidFill>
                <a:schemeClr val="accent6"/>
              </a:solidFill>
              <a:round/>
            </a:ln>
            <a:effectLst/>
          </c:spPr>
          <c:marker>
            <c:symbol val="none"/>
          </c:marker>
          <c:val>
            <c:numRef>
              <c:f>'BilMoG-7'!$BG$82:$BG$172</c:f>
              <c:numCache>
                <c:formatCode>#,##0</c:formatCode>
                <c:ptCount val="91"/>
                <c:pt idx="0">
                  <c:v>7890</c:v>
                </c:pt>
                <c:pt idx="1">
                  <c:v>8409</c:v>
                </c:pt>
                <c:pt idx="2">
                  <c:v>8928</c:v>
                </c:pt>
                <c:pt idx="3">
                  <c:v>9447</c:v>
                </c:pt>
                <c:pt idx="4">
                  <c:v>9966</c:v>
                </c:pt>
                <c:pt idx="5">
                  <c:v>10485</c:v>
                </c:pt>
                <c:pt idx="6">
                  <c:v>11004</c:v>
                </c:pt>
                <c:pt idx="7">
                  <c:v>11523</c:v>
                </c:pt>
                <c:pt idx="8">
                  <c:v>12042</c:v>
                </c:pt>
                <c:pt idx="9">
                  <c:v>12561</c:v>
                </c:pt>
                <c:pt idx="10">
                  <c:v>13080</c:v>
                </c:pt>
                <c:pt idx="11">
                  <c:v>13599</c:v>
                </c:pt>
                <c:pt idx="12">
                  <c:v>14118</c:v>
                </c:pt>
                <c:pt idx="13">
                  <c:v>14352.75</c:v>
                </c:pt>
                <c:pt idx="14">
                  <c:v>14587.5</c:v>
                </c:pt>
                <c:pt idx="15">
                  <c:v>14822.25</c:v>
                </c:pt>
                <c:pt idx="16">
                  <c:v>15057</c:v>
                </c:pt>
                <c:pt idx="17">
                  <c:v>15291.75</c:v>
                </c:pt>
                <c:pt idx="18">
                  <c:v>15526.5</c:v>
                </c:pt>
                <c:pt idx="19">
                  <c:v>15761.25</c:v>
                </c:pt>
                <c:pt idx="20">
                  <c:v>15996</c:v>
                </c:pt>
                <c:pt idx="21">
                  <c:v>16230.75</c:v>
                </c:pt>
                <c:pt idx="22">
                  <c:v>16465.5</c:v>
                </c:pt>
                <c:pt idx="23">
                  <c:v>16700.25</c:v>
                </c:pt>
                <c:pt idx="24">
                  <c:v>16935</c:v>
                </c:pt>
                <c:pt idx="25">
                  <c:v>17220</c:v>
                </c:pt>
                <c:pt idx="26">
                  <c:v>17505</c:v>
                </c:pt>
                <c:pt idx="27">
                  <c:v>17790</c:v>
                </c:pt>
                <c:pt idx="28">
                  <c:v>18075</c:v>
                </c:pt>
                <c:pt idx="29">
                  <c:v>18360</c:v>
                </c:pt>
                <c:pt idx="30">
                  <c:v>18645</c:v>
                </c:pt>
                <c:pt idx="31">
                  <c:v>18930</c:v>
                </c:pt>
                <c:pt idx="32">
                  <c:v>19215</c:v>
                </c:pt>
                <c:pt idx="33">
                  <c:v>19500</c:v>
                </c:pt>
                <c:pt idx="34">
                  <c:v>19785</c:v>
                </c:pt>
                <c:pt idx="35">
                  <c:v>20070</c:v>
                </c:pt>
                <c:pt idx="36">
                  <c:v>20355</c:v>
                </c:pt>
                <c:pt idx="37">
                  <c:v>20855.583333333332</c:v>
                </c:pt>
                <c:pt idx="38">
                  <c:v>21356.166666666668</c:v>
                </c:pt>
                <c:pt idx="39">
                  <c:v>21856.75</c:v>
                </c:pt>
                <c:pt idx="40">
                  <c:v>22357.333333333332</c:v>
                </c:pt>
                <c:pt idx="41">
                  <c:v>22857.916666666668</c:v>
                </c:pt>
                <c:pt idx="42">
                  <c:v>23358.5</c:v>
                </c:pt>
                <c:pt idx="43">
                  <c:v>23859.083333333332</c:v>
                </c:pt>
                <c:pt idx="44">
                  <c:v>24359.666666666668</c:v>
                </c:pt>
                <c:pt idx="45">
                  <c:v>24860.25</c:v>
                </c:pt>
                <c:pt idx="46">
                  <c:v>25360.833333333332</c:v>
                </c:pt>
                <c:pt idx="47">
                  <c:v>25861.416666666664</c:v>
                </c:pt>
                <c:pt idx="48">
                  <c:v>26362</c:v>
                </c:pt>
                <c:pt idx="49">
                  <c:v>27021.333333333332</c:v>
                </c:pt>
                <c:pt idx="50">
                  <c:v>27680.666666666668</c:v>
                </c:pt>
                <c:pt idx="51">
                  <c:v>28340</c:v>
                </c:pt>
                <c:pt idx="52">
                  <c:v>28999.333333333332</c:v>
                </c:pt>
                <c:pt idx="53">
                  <c:v>29658.666666666668</c:v>
                </c:pt>
                <c:pt idx="54">
                  <c:v>30318</c:v>
                </c:pt>
                <c:pt idx="55">
                  <c:v>30977.333333333336</c:v>
                </c:pt>
                <c:pt idx="56">
                  <c:v>31636.666666666668</c:v>
                </c:pt>
                <c:pt idx="57">
                  <c:v>32296</c:v>
                </c:pt>
                <c:pt idx="58">
                  <c:v>32955.333333333336</c:v>
                </c:pt>
                <c:pt idx="59">
                  <c:v>33614.666666666664</c:v>
                </c:pt>
                <c:pt idx="60">
                  <c:v>34274</c:v>
                </c:pt>
                <c:pt idx="61">
                  <c:v>35045.666666666664</c:v>
                </c:pt>
                <c:pt idx="62">
                  <c:v>35817.333333333336</c:v>
                </c:pt>
                <c:pt idx="63">
                  <c:v>36589</c:v>
                </c:pt>
                <c:pt idx="64">
                  <c:v>37360.666666666664</c:v>
                </c:pt>
                <c:pt idx="65">
                  <c:v>38132.333333333336</c:v>
                </c:pt>
                <c:pt idx="66">
                  <c:v>38904</c:v>
                </c:pt>
                <c:pt idx="67">
                  <c:v>39675.666666666664</c:v>
                </c:pt>
                <c:pt idx="68">
                  <c:v>40447.333333333336</c:v>
                </c:pt>
                <c:pt idx="69">
                  <c:v>41219</c:v>
                </c:pt>
                <c:pt idx="70">
                  <c:v>41990.666666666664</c:v>
                </c:pt>
                <c:pt idx="71">
                  <c:v>42762.333333333328</c:v>
                </c:pt>
                <c:pt idx="72">
                  <c:v>43534</c:v>
                </c:pt>
                <c:pt idx="73">
                  <c:v>44845.5</c:v>
                </c:pt>
                <c:pt idx="74">
                  <c:v>46157</c:v>
                </c:pt>
                <c:pt idx="75">
                  <c:v>47468.5</c:v>
                </c:pt>
                <c:pt idx="76">
                  <c:v>48780</c:v>
                </c:pt>
                <c:pt idx="77">
                  <c:v>50091.5</c:v>
                </c:pt>
                <c:pt idx="78">
                  <c:v>51403</c:v>
                </c:pt>
                <c:pt idx="79">
                  <c:v>52714.5</c:v>
                </c:pt>
                <c:pt idx="80">
                  <c:v>54026</c:v>
                </c:pt>
                <c:pt idx="81">
                  <c:v>55337.5</c:v>
                </c:pt>
                <c:pt idx="82">
                  <c:v>56649</c:v>
                </c:pt>
                <c:pt idx="83">
                  <c:v>57960.5</c:v>
                </c:pt>
                <c:pt idx="84">
                  <c:v>59272</c:v>
                </c:pt>
                <c:pt idx="85">
                  <c:v>60237.285714285717</c:v>
                </c:pt>
                <c:pt idx="86">
                  <c:v>61202.571428571428</c:v>
                </c:pt>
                <c:pt idx="87">
                  <c:v>62167.857142857145</c:v>
                </c:pt>
                <c:pt idx="88">
                  <c:v>63133.142857142855</c:v>
                </c:pt>
                <c:pt idx="89">
                  <c:v>64098.428571428572</c:v>
                </c:pt>
                <c:pt idx="90">
                  <c:v>66029</c:v>
                </c:pt>
              </c:numCache>
            </c:numRef>
          </c:val>
          <c:smooth val="0"/>
          <c:extLst>
            <c:ext xmlns:c16="http://schemas.microsoft.com/office/drawing/2014/chart" uri="{C3380CC4-5D6E-409C-BE32-E72D297353CC}">
              <c16:uniqueId val="{00000009-C5AE-4471-ADF0-9C6DB64C9265}"/>
            </c:ext>
          </c:extLst>
        </c:ser>
        <c:dLbls>
          <c:showLegendKey val="0"/>
          <c:showVal val="0"/>
          <c:showCatName val="0"/>
          <c:showSerName val="0"/>
          <c:showPercent val="0"/>
          <c:showBubbleSize val="0"/>
        </c:dLbls>
        <c:marker val="1"/>
        <c:smooth val="0"/>
        <c:axId val="822645648"/>
        <c:axId val="822645320"/>
      </c:lineChart>
      <c:dateAx>
        <c:axId val="496450616"/>
        <c:scaling>
          <c:orientation val="minMax"/>
        </c:scaling>
        <c:delete val="0"/>
        <c:axPos val="b"/>
        <c:numFmt formatCode="d/m/yy;@"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496451600"/>
        <c:crosses val="autoZero"/>
        <c:auto val="1"/>
        <c:lblOffset val="100"/>
        <c:baseTimeUnit val="months"/>
        <c:majorUnit val="12"/>
      </c:dateAx>
      <c:valAx>
        <c:axId val="4964516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496450616"/>
        <c:crosses val="autoZero"/>
        <c:crossBetween val="between"/>
      </c:valAx>
      <c:valAx>
        <c:axId val="8226453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822645648"/>
        <c:crosses val="max"/>
        <c:crossBetween val="between"/>
      </c:valAx>
      <c:catAx>
        <c:axId val="822645648"/>
        <c:scaling>
          <c:orientation val="minMax"/>
        </c:scaling>
        <c:delete val="1"/>
        <c:axPos val="b"/>
        <c:majorTickMark val="out"/>
        <c:minorTickMark val="none"/>
        <c:tickLblPos val="nextTo"/>
        <c:crossAx val="8226453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Vergleich Dynamisierung DRV - BeamtV </a:t>
            </a:r>
          </a:p>
          <a:p>
            <a:pPr>
              <a:defRPr/>
            </a:pPr>
            <a:r>
              <a:rPr lang="de-DE"/>
              <a:t>2005 bis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v>BeamtV</c:v>
          </c:tx>
          <c:spPr>
            <a:ln w="28575" cap="rnd">
              <a:solidFill>
                <a:schemeClr val="accent1"/>
              </a:solidFill>
              <a:round/>
            </a:ln>
            <a:effectLst/>
          </c:spPr>
          <c:marker>
            <c:symbol val="none"/>
          </c:marker>
          <c:cat>
            <c:numRef>
              <c:f>'DRV vs. BeamtV'!$O$10:$O$29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'DRV vs. BeamtV'!$J$10:$J$29</c:f>
              <c:numCache>
                <c:formatCode>"€"#,##0.00_);[Red]\("€"#,##0.00\)</c:formatCode>
                <c:ptCount val="20"/>
                <c:pt idx="0">
                  <c:v>100</c:v>
                </c:pt>
                <c:pt idx="1">
                  <c:v>100</c:v>
                </c:pt>
                <c:pt idx="2">
                  <c:v>100</c:v>
                </c:pt>
                <c:pt idx="3">
                  <c:v>102.56</c:v>
                </c:pt>
                <c:pt idx="4">
                  <c:v>104.87785600000001</c:v>
                </c:pt>
                <c:pt idx="5">
                  <c:v>105.57004984960001</c:v>
                </c:pt>
                <c:pt idx="6">
                  <c:v>105.95010202905857</c:v>
                </c:pt>
                <c:pt idx="7">
                  <c:v>109.4464553960175</c:v>
                </c:pt>
                <c:pt idx="8">
                  <c:v>112.07317032552191</c:v>
                </c:pt>
                <c:pt idx="9">
                  <c:v>115.21121909463653</c:v>
                </c:pt>
                <c:pt idx="10">
                  <c:v>117.74586591471854</c:v>
                </c:pt>
                <c:pt idx="11">
                  <c:v>120.33627496484235</c:v>
                </c:pt>
                <c:pt idx="12">
                  <c:v>123.16417742651615</c:v>
                </c:pt>
                <c:pt idx="13">
                  <c:v>126.84678633156898</c:v>
                </c:pt>
                <c:pt idx="14">
                  <c:v>130.76635202921446</c:v>
                </c:pt>
                <c:pt idx="15">
                  <c:v>132.15247536072414</c:v>
                </c:pt>
                <c:pt idx="16">
                  <c:v>133.73830506505283</c:v>
                </c:pt>
                <c:pt idx="17">
                  <c:v>136.14559455622378</c:v>
                </c:pt>
                <c:pt idx="18">
                  <c:v>136.14559455622378</c:v>
                </c:pt>
                <c:pt idx="19">
                  <c:v>143.36131106770364</c:v>
                </c:pt>
              </c:numCache>
            </c:numRef>
          </c:val>
          <c:smooth val="0"/>
          <c:extLst>
            <c:ext xmlns:c16="http://schemas.microsoft.com/office/drawing/2014/chart" uri="{C3380CC4-5D6E-409C-BE32-E72D297353CC}">
              <c16:uniqueId val="{00000000-DC8F-49BE-9D3A-B0520700C35E}"/>
            </c:ext>
          </c:extLst>
        </c:ser>
        <c:ser>
          <c:idx val="1"/>
          <c:order val="1"/>
          <c:tx>
            <c:v>DRV pur</c:v>
          </c:tx>
          <c:spPr>
            <a:ln w="28575" cap="rnd">
              <a:solidFill>
                <a:schemeClr val="accent2"/>
              </a:solidFill>
              <a:round/>
            </a:ln>
            <a:effectLst/>
          </c:spPr>
          <c:marker>
            <c:symbol val="none"/>
          </c:marker>
          <c:cat>
            <c:numRef>
              <c:f>'DRV vs. BeamtV'!$O$10:$O$29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'DRV vs. BeamtV'!$L$10:$L$29</c:f>
              <c:numCache>
                <c:formatCode>"€"#,##0.00_);[Red]\("€"#,##0.00\)</c:formatCode>
                <c:ptCount val="20"/>
                <c:pt idx="0">
                  <c:v>100</c:v>
                </c:pt>
                <c:pt idx="1">
                  <c:v>100</c:v>
                </c:pt>
                <c:pt idx="2">
                  <c:v>100.53578262533487</c:v>
                </c:pt>
                <c:pt idx="3">
                  <c:v>101.64561806352852</c:v>
                </c:pt>
                <c:pt idx="4">
                  <c:v>104.09491006505934</c:v>
                </c:pt>
                <c:pt idx="5">
                  <c:v>104.09491006505935</c:v>
                </c:pt>
                <c:pt idx="6">
                  <c:v>105.12544967470345</c:v>
                </c:pt>
                <c:pt idx="7">
                  <c:v>107.42441637964029</c:v>
                </c:pt>
                <c:pt idx="8">
                  <c:v>107.69230769230774</c:v>
                </c:pt>
                <c:pt idx="9">
                  <c:v>109.49100650593192</c:v>
                </c:pt>
                <c:pt idx="10">
                  <c:v>111.78721775736706</c:v>
                </c:pt>
                <c:pt idx="11">
                  <c:v>116.53272101033299</c:v>
                </c:pt>
                <c:pt idx="12">
                  <c:v>118.75239188672029</c:v>
                </c:pt>
                <c:pt idx="13">
                  <c:v>122.57941063911218</c:v>
                </c:pt>
                <c:pt idx="14">
                  <c:v>126.48296976655189</c:v>
                </c:pt>
                <c:pt idx="15">
                  <c:v>130.84577114427864</c:v>
                </c:pt>
                <c:pt idx="16">
                  <c:v>130.84577114427864</c:v>
                </c:pt>
                <c:pt idx="17">
                  <c:v>137.84921546115584</c:v>
                </c:pt>
                <c:pt idx="18">
                  <c:v>143.89590508993501</c:v>
                </c:pt>
                <c:pt idx="19">
                  <c:v>150.47837734404905</c:v>
                </c:pt>
              </c:numCache>
            </c:numRef>
          </c:val>
          <c:smooth val="0"/>
          <c:extLst>
            <c:ext xmlns:c16="http://schemas.microsoft.com/office/drawing/2014/chart" uri="{C3380CC4-5D6E-409C-BE32-E72D297353CC}">
              <c16:uniqueId val="{00000001-DC8F-49BE-9D3A-B0520700C35E}"/>
            </c:ext>
          </c:extLst>
        </c:ser>
        <c:ser>
          <c:idx val="2"/>
          <c:order val="2"/>
          <c:tx>
            <c:v>DRV + KV-Zuschuss</c:v>
          </c:tx>
          <c:spPr>
            <a:ln w="28575" cap="rnd">
              <a:solidFill>
                <a:schemeClr val="accent3"/>
              </a:solidFill>
              <a:round/>
            </a:ln>
            <a:effectLst/>
          </c:spPr>
          <c:marker>
            <c:symbol val="none"/>
          </c:marker>
          <c:cat>
            <c:numRef>
              <c:f>'DRV vs. BeamtV'!$O$10:$O$29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'DRV vs. BeamtV'!$M$10:$M$29</c:f>
              <c:numCache>
                <c:formatCode>"€"#,##0.00_);[Red]\("€"#,##0.00\)</c:formatCode>
                <c:ptCount val="20"/>
                <c:pt idx="0">
                  <c:v>107.3</c:v>
                </c:pt>
                <c:pt idx="1">
                  <c:v>107.3</c:v>
                </c:pt>
                <c:pt idx="2">
                  <c:v>107.87489475698432</c:v>
                </c:pt>
                <c:pt idx="3">
                  <c:v>109.0657481821661</c:v>
                </c:pt>
                <c:pt idx="4">
                  <c:v>111.69383849980866</c:v>
                </c:pt>
                <c:pt idx="5">
                  <c:v>111.69383849980869</c:v>
                </c:pt>
                <c:pt idx="6">
                  <c:v>112.7996075009568</c:v>
                </c:pt>
                <c:pt idx="7">
                  <c:v>115.26639877535403</c:v>
                </c:pt>
                <c:pt idx="8">
                  <c:v>115.55384615384619</c:v>
                </c:pt>
                <c:pt idx="9">
                  <c:v>117.48384998086495</c:v>
                </c:pt>
                <c:pt idx="10">
                  <c:v>119.94768465365486</c:v>
                </c:pt>
                <c:pt idx="11">
                  <c:v>125.03960964408731</c:v>
                </c:pt>
                <c:pt idx="12">
                  <c:v>127.42131649445088</c:v>
                </c:pt>
                <c:pt idx="13">
                  <c:v>131.52770761576738</c:v>
                </c:pt>
                <c:pt idx="14">
                  <c:v>135.71622655951018</c:v>
                </c:pt>
                <c:pt idx="15">
                  <c:v>140.39751243781097</c:v>
                </c:pt>
                <c:pt idx="16">
                  <c:v>140.39751243781097</c:v>
                </c:pt>
                <c:pt idx="17">
                  <c:v>147.91220818982021</c:v>
                </c:pt>
                <c:pt idx="18">
                  <c:v>154.40030616150028</c:v>
                </c:pt>
                <c:pt idx="19">
                  <c:v>161.46329889016462</c:v>
                </c:pt>
              </c:numCache>
            </c:numRef>
          </c:val>
          <c:smooth val="0"/>
          <c:extLst>
            <c:ext xmlns:c16="http://schemas.microsoft.com/office/drawing/2014/chart" uri="{C3380CC4-5D6E-409C-BE32-E72D297353CC}">
              <c16:uniqueId val="{00000002-DC8F-49BE-9D3A-B0520700C35E}"/>
            </c:ext>
          </c:extLst>
        </c:ser>
        <c:dLbls>
          <c:showLegendKey val="0"/>
          <c:showVal val="0"/>
          <c:showCatName val="0"/>
          <c:showSerName val="0"/>
          <c:showPercent val="0"/>
          <c:showBubbleSize val="0"/>
        </c:dLbls>
        <c:smooth val="0"/>
        <c:axId val="287631520"/>
        <c:axId val="288737168"/>
      </c:lineChart>
      <c:catAx>
        <c:axId val="28763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88737168"/>
        <c:crosses val="autoZero"/>
        <c:auto val="1"/>
        <c:lblAlgn val="ctr"/>
        <c:lblOffset val="100"/>
        <c:noMultiLvlLbl val="0"/>
      </c:catAx>
      <c:valAx>
        <c:axId val="288737168"/>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quot;€&quot;#,##0.00_);[Red]\(&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87631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'BVerfG 1 BvL 5-18'!$AE$16</c:f>
          <c:strCache>
            <c:ptCount val="1"/>
            <c:pt idx="0">
              <c:v>Rentenhöhe in unterschiedlichen Versorgungssystemen aus einem Ausgleichswert i.H.v. 0 €, EzE 30.06.26</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0.14048990512922388"/>
          <c:y val="0.22564313464095476"/>
          <c:w val="0.83957006564749226"/>
          <c:h val="0.55880766534409199"/>
        </c:manualLayout>
      </c:layout>
      <c:barChart>
        <c:barDir val="col"/>
        <c:grouping val="stacked"/>
        <c:varyColors val="0"/>
        <c:ser>
          <c:idx val="0"/>
          <c:order val="0"/>
          <c:tx>
            <c:strRef>
              <c:f>'BVerfG 1 BvL 5-18'!$AE$10</c:f>
              <c:strCache>
                <c:ptCount val="1"/>
                <c:pt idx="0">
                  <c:v>Quell-Versorgung </c:v>
                </c:pt>
              </c:strCache>
              <c:extLst xmlns:c15="http://schemas.microsoft.com/office/drawing/2012/chart"/>
            </c:strRef>
          </c:tx>
          <c:spPr>
            <a:solidFill>
              <a:schemeClr val="accent1"/>
            </a:solidFill>
            <a:ln>
              <a:noFill/>
            </a:ln>
            <a:effectLst/>
          </c:spPr>
          <c:invertIfNegative val="0"/>
          <c:cat>
            <c:strRef>
              <c:f>'Berechnungen BVerfG'!$B$18:$B$68</c:f>
              <c:strCache>
                <c:ptCount val="1"/>
                <c:pt idx="0">
                  <c:v>0</c:v>
                </c:pt>
              </c:strCache>
            </c:strRef>
          </c:cat>
          <c:val>
            <c:numRef>
              <c:f>'Berechnungen BVerfG'!$C$18:$C$68</c:f>
              <c:numCache>
                <c:formatCode>"€"#,##0.00_);[Red]\("€"#,##0.00\)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extLst xmlns:c15="http://schemas.microsoft.com/office/drawing/2012/chart"/>
            </c:numRef>
          </c:val>
          <c:extLst xmlns:c15="http://schemas.microsoft.com/office/drawing/2012/chart">
            <c:ext xmlns:c16="http://schemas.microsoft.com/office/drawing/2014/chart" uri="{C3380CC4-5D6E-409C-BE32-E72D297353CC}">
              <c16:uniqueId val="{00000000-43CC-4CB2-A88D-F39EA4993B2A}"/>
            </c:ext>
          </c:extLst>
        </c:ser>
        <c:dLbls>
          <c:showLegendKey val="0"/>
          <c:showVal val="0"/>
          <c:showCatName val="0"/>
          <c:showSerName val="0"/>
          <c:showPercent val="0"/>
          <c:showBubbleSize val="0"/>
        </c:dLbls>
        <c:gapWidth val="74"/>
        <c:overlap val="6"/>
        <c:axId val="642996520"/>
        <c:axId val="643002792"/>
      </c:barChart>
      <c:lineChart>
        <c:grouping val="standard"/>
        <c:varyColors val="0"/>
        <c:ser>
          <c:idx val="1"/>
          <c:order val="1"/>
          <c:tx>
            <c:strRef>
              <c:f>'BVerfG 1 BvL 5-18'!$AF$10</c:f>
              <c:strCache>
                <c:ptCount val="1"/>
                <c:pt idx="0">
                  <c:v>DRV </c:v>
                </c:pt>
              </c:strCache>
              <c:extLst xmlns:c15="http://schemas.microsoft.com/office/drawing/2012/chart"/>
            </c:strRef>
          </c:tx>
          <c:spPr>
            <a:ln w="38100" cap="rnd">
              <a:solidFill>
                <a:srgbClr val="00B050"/>
              </a:solidFill>
              <a:round/>
            </a:ln>
            <a:effectLst/>
          </c:spPr>
          <c:marker>
            <c:symbol val="none"/>
          </c:marker>
          <c:cat>
            <c:strRef>
              <c:f>'Berechnungen BVerfG'!$B$18:$B$68</c:f>
              <c:strCache>
                <c:ptCount val="1"/>
                <c:pt idx="0">
                  <c:v>0</c:v>
                </c:pt>
              </c:strCache>
            </c:strRef>
          </c:cat>
          <c:val>
            <c:numRef>
              <c:f>'Berechnungen BVerfG'!$D$18:$D$68</c:f>
              <c:numCache>
                <c:formatCode>"€"#,##0.00_);[Red]\("€"#,##0.00\)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1-43CC-4CB2-A88D-F39EA4993B2A}"/>
            </c:ext>
          </c:extLst>
        </c:ser>
        <c:ser>
          <c:idx val="2"/>
          <c:order val="2"/>
          <c:tx>
            <c:strRef>
              <c:f>'BVerfG 1 BvL 5-18'!$AG$10</c:f>
              <c:strCache>
                <c:ptCount val="1"/>
                <c:pt idx="0">
                  <c:v>VersAusglK </c:v>
                </c:pt>
              </c:strCache>
              <c:extLst xmlns:c15="http://schemas.microsoft.com/office/drawing/2012/chart"/>
            </c:strRef>
          </c:tx>
          <c:spPr>
            <a:ln w="38100" cap="rnd">
              <a:solidFill>
                <a:schemeClr val="bg1">
                  <a:lumMod val="50000"/>
                </a:schemeClr>
              </a:solidFill>
              <a:round/>
            </a:ln>
            <a:effectLst/>
          </c:spPr>
          <c:marker>
            <c:symbol val="none"/>
          </c:marker>
          <c:cat>
            <c:strRef>
              <c:f>'Berechnungen BVerfG'!$B$18:$B$68</c:f>
              <c:strCache>
                <c:ptCount val="1"/>
                <c:pt idx="0">
                  <c:v>0</c:v>
                </c:pt>
              </c:strCache>
            </c:strRef>
          </c:cat>
          <c:val>
            <c:numRef>
              <c:f>'Berechnungen BVerfG'!$E$18:$E$68</c:f>
              <c:numCache>
                <c:formatCode>"€"#,##0.00_);[Red]\("€"#,##0.00\)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43CC-4CB2-A88D-F39EA4993B2A}"/>
            </c:ext>
          </c:extLst>
        </c:ser>
        <c:ser>
          <c:idx val="3"/>
          <c:order val="3"/>
          <c:tx>
            <c:strRef>
              <c:f>'BVerfG 1 BvL 5-18'!$AH$10</c:f>
              <c:strCache>
                <c:ptCount val="1"/>
                <c:pt idx="0">
                  <c:v>Sonstige </c:v>
                </c:pt>
              </c:strCache>
              <c:extLst xmlns:c15="http://schemas.microsoft.com/office/drawing/2012/chart"/>
            </c:strRef>
          </c:tx>
          <c:spPr>
            <a:ln w="38100" cap="rnd">
              <a:solidFill>
                <a:schemeClr val="accent4"/>
              </a:solidFill>
              <a:round/>
            </a:ln>
            <a:effectLst/>
          </c:spPr>
          <c:marker>
            <c:symbol val="none"/>
          </c:marker>
          <c:cat>
            <c:strRef>
              <c:f>'Berechnungen BVerfG'!$B$18:$B$68</c:f>
              <c:strCache>
                <c:ptCount val="1"/>
                <c:pt idx="0">
                  <c:v>0</c:v>
                </c:pt>
              </c:strCache>
            </c:strRef>
          </c:cat>
          <c:val>
            <c:numRef>
              <c:f>'Berechnungen BVerfG'!$F$18:$F$68</c:f>
              <c:numCache>
                <c:formatCode>"€"#,##0.00_);[Red]\("€"#,##0.00\)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43CC-4CB2-A88D-F39EA4993B2A}"/>
            </c:ext>
          </c:extLst>
        </c:ser>
        <c:ser>
          <c:idx val="5"/>
          <c:order val="4"/>
          <c:tx>
            <c:strRef>
              <c:f>'BVerfG 1 BvL 5-18'!$AI$10</c:f>
              <c:strCache>
                <c:ptCount val="1"/>
                <c:pt idx="0">
                  <c:v>∑ Versorg. </c:v>
                </c:pt>
              </c:strCache>
              <c:extLst xmlns:c15="http://schemas.microsoft.com/office/drawing/2012/chart"/>
            </c:strRef>
          </c:tx>
          <c:spPr>
            <a:ln w="41275" cap="rnd">
              <a:solidFill>
                <a:schemeClr val="accent6"/>
              </a:solidFill>
              <a:prstDash val="sysDash"/>
              <a:round/>
            </a:ln>
            <a:effectLst/>
          </c:spPr>
          <c:marker>
            <c:symbol val="none"/>
          </c:marker>
          <c:val>
            <c:numRef>
              <c:f>#REF!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1-8A3A-44BF-9A69-BBC462BE28E4}"/>
            </c:ext>
          </c:extLst>
        </c:ser>
        <c:ser>
          <c:idx val="6"/>
          <c:order val="5"/>
          <c:tx>
            <c:strRef>
              <c:f>'BVerfG 1 BvL 5-18'!$AJ$10</c:f>
              <c:strCache>
                <c:ptCount val="1"/>
                <c:pt idx="0">
                  <c:v>DRV-Ber.</c:v>
                </c:pt>
              </c:strCache>
              <c:extLst xmlns:c15="http://schemas.microsoft.com/office/drawing/2012/chart"/>
            </c:strRef>
          </c:tx>
          <c:spPr>
            <a:ln w="44450" cap="rnd">
              <a:solidFill>
                <a:srgbClr val="C00000"/>
              </a:solidFill>
              <a:prstDash val="sysDash"/>
              <a:round/>
            </a:ln>
            <a:effectLst/>
          </c:spPr>
          <c:marker>
            <c:symbol val="none"/>
          </c:marker>
          <c:val>
            <c:numRef>
              <c:f>'Berechnungen BVerfG'!$N$18:$N$93</c:f>
              <c:numCache>
                <c:formatCode>"€"#,##0.00_);[Red]\("€"#,##0.00\)</c:formatCode>
                <c:ptCount val="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F6FD-405D-9A46-9584F1294251}"/>
            </c:ext>
          </c:extLst>
        </c:ser>
        <c:dLbls>
          <c:showLegendKey val="0"/>
          <c:showVal val="0"/>
          <c:showCatName val="0"/>
          <c:showSerName val="0"/>
          <c:showPercent val="0"/>
          <c:showBubbleSize val="0"/>
        </c:dLbls>
        <c:marker val="1"/>
        <c:smooth val="0"/>
        <c:axId val="642996520"/>
        <c:axId val="643002792"/>
        <c:extLst/>
      </c:lineChart>
      <c:catAx>
        <c:axId val="642996520"/>
        <c:scaling>
          <c:orientation val="minMax"/>
        </c:scaling>
        <c:delete val="0"/>
        <c:axPos val="b"/>
        <c:title>
          <c:tx>
            <c:strRef>
              <c:f>'BVerfG 1 BvL 5-18'!$AF$12</c:f>
              <c:strCache>
                <c:ptCount val="1"/>
                <c:pt idx="0">
                  <c:v>AlterAusglPfl.</c:v>
                </c:pt>
              </c:strCache>
            </c:strRef>
          </c:tx>
          <c:layout>
            <c:manualLayout>
              <c:xMode val="edge"/>
              <c:yMode val="edge"/>
              <c:x val="7.6486207021974192E-3"/>
              <c:y val="0.80249818288010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out"/>
        <c:minorTickMark val="none"/>
        <c:tickLblPos val="nextTo"/>
        <c:spPr>
          <a:no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643002792"/>
        <c:crosses val="autoZero"/>
        <c:auto val="0"/>
        <c:lblAlgn val="ctr"/>
        <c:lblOffset val="100"/>
        <c:tickLblSkip val="2"/>
        <c:noMultiLvlLbl val="0"/>
      </c:catAx>
      <c:valAx>
        <c:axId val="643002792"/>
        <c:scaling>
          <c:orientation val="minMax"/>
        </c:scaling>
        <c:delete val="0"/>
        <c:axPos val="l"/>
        <c:majorGridlines>
          <c:spPr>
            <a:ln w="9525" cap="flat" cmpd="sng" algn="ctr">
              <a:solidFill>
                <a:schemeClr val="tx1">
                  <a:lumMod val="50000"/>
                  <a:lumOff val="50000"/>
                </a:schemeClr>
              </a:solidFill>
              <a:round/>
            </a:ln>
            <a:effectLst/>
          </c:spPr>
        </c:majorGridlines>
        <c:numFmt formatCode="#,##0\ &quot;€&quot;"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e-DE"/>
          </a:p>
        </c:txPr>
        <c:crossAx val="642996520"/>
        <c:crosses val="autoZero"/>
        <c:crossBetween val="between"/>
      </c:valAx>
      <c:spPr>
        <a:noFill/>
        <a:ln>
          <a:noFill/>
        </a:ln>
        <a:effectLst/>
      </c:spPr>
    </c:plotArea>
    <c:legend>
      <c:legendPos val="b"/>
      <c:layout>
        <c:manualLayout>
          <c:xMode val="edge"/>
          <c:yMode val="edge"/>
          <c:x val="5.2823729916844218E-2"/>
          <c:y val="0.84233750118109441"/>
          <c:w val="0.91633930363290894"/>
          <c:h val="0.15202061889859964"/>
        </c:manualLayout>
      </c:layout>
      <c:overlay val="0"/>
      <c:spPr>
        <a:noFill/>
        <a:ln>
          <a:noFill/>
          <a:prstDash val="lgDashDot"/>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65000"/>
          <a:lumOff val="3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59120456022802"/>
          <c:y val="0.22336106490713975"/>
          <c:w val="0.8453061023382149"/>
          <c:h val="0.61197564244777225"/>
        </c:manualLayout>
      </c:layout>
      <c:lineChart>
        <c:grouping val="standard"/>
        <c:varyColors val="0"/>
        <c:ser>
          <c:idx val="0"/>
          <c:order val="0"/>
          <c:spPr>
            <a:ln w="28575" cap="rnd">
              <a:solidFill>
                <a:schemeClr val="accent1">
                  <a:shade val="50000"/>
                  <a:alpha val="0"/>
                </a:schemeClr>
              </a:solidFill>
              <a:round/>
            </a:ln>
            <a:effectLst/>
          </c:spPr>
          <c:marker>
            <c:symbol val="none"/>
          </c:marker>
          <c:cat>
            <c:strRef>
              <c:f>'Berechnungen BVerfG'!$M$18:$M$68</c:f>
              <c:strCache>
                <c:ptCount val="1"/>
                <c:pt idx="0">
                  <c:v>0</c:v>
                </c:pt>
              </c:strCache>
            </c:strRef>
          </c:cat>
          <c:val>
            <c:numRef>
              <c:f>#REF!</c:f>
              <c:numCache>
                <c:formatCode>General</c:formatCode>
                <c:ptCount val="1"/>
                <c:pt idx="0">
                  <c:v>1</c:v>
                </c:pt>
              </c:numCache>
            </c:numRef>
          </c:val>
          <c:smooth val="0"/>
          <c:extLst>
            <c:ext xmlns:c16="http://schemas.microsoft.com/office/drawing/2014/chart" uri="{C3380CC4-5D6E-409C-BE32-E72D297353CC}">
              <c16:uniqueId val="{00000002-C21D-4441-96C0-F8264985E322}"/>
            </c:ext>
          </c:extLst>
        </c:ser>
        <c:dLbls>
          <c:showLegendKey val="0"/>
          <c:showVal val="0"/>
          <c:showCatName val="0"/>
          <c:showSerName val="0"/>
          <c:showPercent val="0"/>
          <c:showBubbleSize val="0"/>
        </c:dLbls>
        <c:smooth val="0"/>
        <c:axId val="350027040"/>
        <c:axId val="308064464"/>
        <c:extLst/>
      </c:lineChart>
      <c:valAx>
        <c:axId val="308064464"/>
        <c:scaling>
          <c:orientation val="minMax"/>
        </c:scaling>
        <c:delete val="1"/>
        <c:axPos val="r"/>
        <c:numFmt formatCode="General" sourceLinked="1"/>
        <c:majorTickMark val="out"/>
        <c:minorTickMark val="none"/>
        <c:tickLblPos val="nextTo"/>
        <c:crossAx val="350027040"/>
        <c:crosses val="max"/>
        <c:crossBetween val="midCat"/>
      </c:valAx>
      <c:catAx>
        <c:axId val="350027040"/>
        <c:scaling>
          <c:orientation val="minMax"/>
        </c:scaling>
        <c:delete val="0"/>
        <c:axPos val="t"/>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308064464"/>
        <c:crosses val="max"/>
        <c:auto val="0"/>
        <c:lblAlgn val="ctr"/>
        <c:lblOffset val="100"/>
        <c:tickLblSkip val="2"/>
        <c:tickMarkSkip val="2"/>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12700" cap="flat" cmpd="sng" algn="ctr">
      <a:solidFill>
        <a:schemeClr val="accent1">
          <a:shade val="50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Bilanz_BilMoG10" lockText="1" noThreeD="1"/>
</file>

<file path=xl/ctrlProps/ctrlProp10.xml><?xml version="1.0" encoding="utf-8"?>
<formControlPr xmlns="http://schemas.microsoft.com/office/spreadsheetml/2009/9/main" objectType="CheckBox" checked="Checked" fmlaLink="Dat_DRV_ReSumme" lockText="1" noThreeD="1"/>
</file>

<file path=xl/ctrlProps/ctrlProp11.xml><?xml version="1.0" encoding="utf-8"?>
<formControlPr xmlns="http://schemas.microsoft.com/office/spreadsheetml/2009/9/main" objectType="CheckBox" checked="Checked" fmlaLink="E_Invalidität" lockText="1" noThreeD="1"/>
</file>

<file path=xl/ctrlProps/ctrlProp12.xml><?xml version="1.0" encoding="utf-8"?>
<formControlPr xmlns="http://schemas.microsoft.com/office/spreadsheetml/2009/9/main" objectType="CheckBox" fmlaLink="E_Hinterbliebene" lockText="1" noThreeD="1"/>
</file>

<file path=xl/ctrlProps/ctrlProp13.xml><?xml version="1.0" encoding="utf-8"?>
<formControlPr xmlns="http://schemas.microsoft.com/office/spreadsheetml/2009/9/main" objectType="Radio" checked="Checked" firstButton="1" fmlaLink="E_sex"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E_InvaliditätAusglBer" lockText="1" noThreeD="1"/>
</file>

<file path=xl/ctrlProps/ctrlProp18.xml><?xml version="1.0" encoding="utf-8"?>
<formControlPr xmlns="http://schemas.microsoft.com/office/spreadsheetml/2009/9/main" objectType="CheckBox" fmlaLink="E_HinterbliebeneAusglBer" lockText="1" noThreeD="1"/>
</file>

<file path=xl/ctrlProps/ctrlProp19.xml><?xml version="1.0" encoding="utf-8"?>
<formControlPr xmlns="http://schemas.microsoft.com/office/spreadsheetml/2009/9/main" objectType="Radio" firstButton="1" fmlaLink="E_RenteKapital" lockText="1" noThreeD="1"/>
</file>

<file path=xl/ctrlProps/ctrlProp2.xml><?xml version="1.0" encoding="utf-8"?>
<formControlPr xmlns="http://schemas.microsoft.com/office/spreadsheetml/2009/9/main" objectType="CheckBox" fmlaLink="StDat_GrusiAdd" lockText="1" noThreeD="1"/>
</file>

<file path=xl/ctrlProps/ctrlProp20.xml><?xml version="1.0" encoding="utf-8"?>
<formControlPr xmlns="http://schemas.microsoft.com/office/spreadsheetml/2009/9/main" objectType="CheckBox" fmlaLink="E_Halbteilung" lockText="1" noThreeD="1"/>
</file>

<file path=xl/ctrlProps/ctrlProp21.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CheckBox" fmlaLink="E_BilMoG10" lockText="1" noThreeD="1"/>
</file>

<file path=xl/ctrlProps/ctrlProp23.xml><?xml version="1.0" encoding="utf-8"?>
<formControlPr xmlns="http://schemas.microsoft.com/office/spreadsheetml/2009/9/main" objectType="CheckBox" fmlaLink="Ost"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checked="Checked" fmlaLink="E_Volldynamik" lockText="1" noThreeD="1"/>
</file>

<file path=xl/ctrlProps/ctrlProp26.xml><?xml version="1.0" encoding="utf-8"?>
<formControlPr xmlns="http://schemas.microsoft.com/office/spreadsheetml/2009/9/main" objectType="Drop" dropStyle="combo" dx="22" fmlaLink="$AE$4" fmlaRange="$AE$1:$AE$3" noThreeD="1" sel="3" val="0"/>
</file>

<file path=xl/ctrlProps/ctrlProp27.xml><?xml version="1.0" encoding="utf-8"?>
<formControlPr xmlns="http://schemas.microsoft.com/office/spreadsheetml/2009/9/main" objectType="CheckBox" fmlaLink="TZ_Faktor" lockText="1" noThreeD="1"/>
</file>

<file path=xl/ctrlProps/ctrlProp28.xml><?xml version="1.0" encoding="utf-8"?>
<formControlPr xmlns="http://schemas.microsoft.com/office/spreadsheetml/2009/9/main" objectType="CheckBox" fmlaLink="Adaequanz_DRV_Werte" lockText="1" noThreeD="1"/>
</file>

<file path=xl/ctrlProps/ctrlProp29.xml><?xml version="1.0" encoding="utf-8"?>
<formControlPr xmlns="http://schemas.microsoft.com/office/spreadsheetml/2009/9/main" objectType="CheckBox" fmlaLink="Invaliditätsrente" lockText="1" noThreeD="1"/>
</file>

<file path=xl/ctrlProps/ctrlProp3.xml><?xml version="1.0" encoding="utf-8"?>
<formControlPr xmlns="http://schemas.microsoft.com/office/spreadsheetml/2009/9/main" objectType="Drop" dropLines="25" dropStyle="combo" dx="22" fmlaLink="'TO-Prüfung'!$K$2" fmlaRange="'TO Ziff.5'!$A$5:$A$443" sel="1" val="167"/>
</file>

<file path=xl/ctrlProps/ctrlProp30.xml><?xml version="1.0" encoding="utf-8"?>
<formControlPr xmlns="http://schemas.microsoft.com/office/spreadsheetml/2009/9/main" objectType="CheckBox" checked="Checked" fmlaLink="DRVJa" lockText="1" noThreeD="1"/>
</file>

<file path=xl/ctrlProps/ctrlProp31.xml><?xml version="1.0" encoding="utf-8"?>
<formControlPr xmlns="http://schemas.microsoft.com/office/spreadsheetml/2009/9/main" objectType="CheckBox" fmlaLink="VersAusglKJa" lockText="1" noThreeD="1"/>
</file>

<file path=xl/ctrlProps/ctrlProp32.xml><?xml version="1.0" encoding="utf-8"?>
<formControlPr xmlns="http://schemas.microsoft.com/office/spreadsheetml/2009/9/main" objectType="CheckBox" fmlaLink="SonstJa" lockText="1" noThreeD="1"/>
</file>

<file path=xl/ctrlProps/ctrlProp33.xml><?xml version="1.0" encoding="utf-8"?>
<formControlPr xmlns="http://schemas.microsoft.com/office/spreadsheetml/2009/9/main" objectType="Drop" dropLines="3" dropStyle="combo" dx="22" fmlaLink="Adaequanz_VerzinsungAusglW" fmlaRange="$P$25:$P$27" sel="1" val="0"/>
</file>

<file path=xl/ctrlProps/ctrlProp34.xml><?xml version="1.0" encoding="utf-8"?>
<formControlPr xmlns="http://schemas.microsoft.com/office/spreadsheetml/2009/9/main" objectType="Radio" firstButton="1" fmlaLink="BerechnetAuf" lockText="1" noThreeD="1"/>
</file>

<file path=xl/ctrlProps/ctrlProp35.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CheckBox" fmlaLink="EP_Ost" lockText="1" noThreeD="1"/>
</file>

<file path=xl/ctrlProps/ctrlProp37.xml><?xml version="1.0" encoding="utf-8"?>
<formControlPr xmlns="http://schemas.microsoft.com/office/spreadsheetml/2009/9/main" objectType="CheckBox" fmlaLink="DRVAusglBerJa" lockText="1" noThreeD="1"/>
</file>

<file path=xl/ctrlProps/ctrlProp38.xml><?xml version="1.0" encoding="utf-8"?>
<formControlPr xmlns="http://schemas.microsoft.com/office/spreadsheetml/2009/9/main" objectType="CheckBox" fmlaLink="BGHXIIZB23016" lockText="1" noThreeD="1"/>
</file>

<file path=xl/ctrlProps/ctrlProp39.xml><?xml version="1.0" encoding="utf-8"?>
<formControlPr xmlns="http://schemas.microsoft.com/office/spreadsheetml/2009/9/main" objectType="CheckBox" fmlaLink="Adaequanz_DRV_Werte" lockText="1" noThreeD="1"/>
</file>

<file path=xl/ctrlProps/ctrlProp4.xml><?xml version="1.0" encoding="utf-8"?>
<formControlPr xmlns="http://schemas.microsoft.com/office/spreadsheetml/2009/9/main" objectType="Radio" checked="Checked" firstButton="1" fmlaLink="$AK$3" lockText="1" noThreeD="1"/>
</file>

<file path=xl/ctrlProps/ctrlProp40.xml><?xml version="1.0" encoding="utf-8"?>
<formControlPr xmlns="http://schemas.microsoft.com/office/spreadsheetml/2009/9/main" objectType="Drop" dropLines="3" dropStyle="combo" dx="22" fmlaLink="Adaequanz_VerzinsungAusglW" fmlaRange="$P$25:$P$27" sel="1" val="0"/>
</file>

<file path=xl/ctrlProps/ctrlProp41.xml><?xml version="1.0" encoding="utf-8"?>
<formControlPr xmlns="http://schemas.microsoft.com/office/spreadsheetml/2009/9/main" objectType="CheckBox" fmlaLink="KeineInvaliditätinDRV" lockText="1" noThreeD="1"/>
</file>

<file path=xl/ctrlProps/ctrlProp42.xml><?xml version="1.0" encoding="utf-8"?>
<formControlPr xmlns="http://schemas.microsoft.com/office/spreadsheetml/2009/9/main" objectType="CheckBox" checked="Checked" fmlaLink="QVersJa" lockText="1" noThreeD="1"/>
</file>

<file path=xl/ctrlProps/ctrlProp43.xml><?xml version="1.0" encoding="utf-8"?>
<formControlPr xmlns="http://schemas.microsoft.com/office/spreadsheetml/2009/9/main" objectType="CheckBox" checked="Checked" fmlaLink="C_BilMoG10" lockText="1" noThreeD="1"/>
</file>

<file path=xl/ctrlProps/ctrlProp44.xml><?xml version="1.0" encoding="utf-8"?>
<formControlPr xmlns="http://schemas.microsoft.com/office/spreadsheetml/2009/9/main" objectType="CheckBox" fmlaLink="RentenerwerbDRV" lockText="1" noThreeD="1"/>
</file>

<file path=xl/ctrlProps/ctrlProp45.xml><?xml version="1.0" encoding="utf-8"?>
<formControlPr xmlns="http://schemas.microsoft.com/office/spreadsheetml/2009/9/main" objectType="CheckBox" checked="Checked" fmlaLink="QuellVersrg" lockText="1" noThreeD="1"/>
</file>

<file path=xl/ctrlProps/ctrlProp46.xml><?xml version="1.0" encoding="utf-8"?>
<formControlPr xmlns="http://schemas.microsoft.com/office/spreadsheetml/2009/9/main" objectType="CheckBox" fmlaLink="RentenerwerbDRVBer" lockText="1" noThreeD="1"/>
</file>

<file path=xl/ctrlProps/ctrlProp47.xml><?xml version="1.0" encoding="utf-8"?>
<formControlPr xmlns="http://schemas.microsoft.com/office/spreadsheetml/2009/9/main" objectType="CheckBox" checked="Checked" fmlaLink="DRVPfl" lockText="1" noThreeD="1"/>
</file>

<file path=xl/ctrlProps/ctrlProp48.xml><?xml version="1.0" encoding="utf-8"?>
<formControlPr xmlns="http://schemas.microsoft.com/office/spreadsheetml/2009/9/main" objectType="CheckBox" fmlaLink="GesVersrgPfl" lockText="1" noThreeD="1"/>
</file>

<file path=xl/ctrlProps/ctrlProp49.xml><?xml version="1.0" encoding="utf-8"?>
<formControlPr xmlns="http://schemas.microsoft.com/office/spreadsheetml/2009/9/main" objectType="CheckBox" checked="Checked" fmlaLink="SonstPfl"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CheckBox" fmlaLink="VersBer" lockText="1" noThreeD="1"/>
</file>

<file path=xl/ctrlProps/ctrlProp51.xml><?xml version="1.0" encoding="utf-8"?>
<formControlPr xmlns="http://schemas.microsoft.com/office/spreadsheetml/2009/9/main" objectType="CheckBox" checked="Checked" fmlaLink="VersAusglKPfl" lockText="1" noThreeD="1"/>
</file>

<file path=xl/ctrlProps/ctrlProp52.xml><?xml version="1.0" encoding="utf-8"?>
<formControlPr xmlns="http://schemas.microsoft.com/office/spreadsheetml/2009/9/main" objectType="Drop" dropLines="25" dropStyle="combo" dx="22" fmlaLink="$K$2" fmlaRange="'TO Ziff.5'!$A$5:$A$364" sel="1" val="0"/>
</file>

<file path=xl/ctrlProps/ctrlProp53.xml><?xml version="1.0" encoding="utf-8"?>
<formControlPr xmlns="http://schemas.microsoft.com/office/spreadsheetml/2009/9/main" objectType="Radio" checked="Checked" firstButton="1" fmlaLink="K3"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CheckBox" fmlaLink="sVA_EPOst" lockText="1" noThreeD="1"/>
</file>

<file path=xl/ctrlProps/ctrlProp57.xml><?xml version="1.0" encoding="utf-8"?>
<formControlPr xmlns="http://schemas.microsoft.com/office/spreadsheetml/2009/9/main" objectType="CheckBox" fmlaLink="SVAbgaben" lockText="1" noThreeD="1"/>
</file>

<file path=xl/ctrlProps/ctrlProp58.xml><?xml version="1.0" encoding="utf-8"?>
<formControlPr xmlns="http://schemas.microsoft.com/office/spreadsheetml/2009/9/main" objectType="Drop" dropLines="6" dropStyle="combo" dx="22" fmlaLink="$Y$37" fmlaRange="$Y$31:$Y$36" noThreeD="1" sel="1" val="0"/>
</file>

<file path=xl/ctrlProps/ctrlProp59.xml><?xml version="1.0" encoding="utf-8"?>
<formControlPr xmlns="http://schemas.microsoft.com/office/spreadsheetml/2009/9/main" objectType="Radio" checked="Checked" firstButton="1" fmlaLink="$Y$30" lockText="1" noThreeD="1"/>
</file>

<file path=xl/ctrlProps/ctrlProp6.xml><?xml version="1.0" encoding="utf-8"?>
<formControlPr xmlns="http://schemas.microsoft.com/office/spreadsheetml/2009/9/main" objectType="CheckBox" fmlaLink="Dat_RentnerF"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checked="Checked" fmlaLink="Z28" lockText="1" noThreeD="1"/>
</file>

<file path=xl/ctrlProps/ctrlProp64.xml><?xml version="1.0" encoding="utf-8"?>
<formControlPr xmlns="http://schemas.microsoft.com/office/spreadsheetml/2009/9/main" objectType="CheckBox" fmlaLink="Z29" lockText="1" noThreeD="1"/>
</file>

<file path=xl/ctrlProps/ctrlProp65.xml><?xml version="1.0" encoding="utf-8"?>
<formControlPr xmlns="http://schemas.microsoft.com/office/spreadsheetml/2009/9/main" objectType="CheckBox" fmlaLink="Z30" lockText="1" noThreeD="1"/>
</file>

<file path=xl/ctrlProps/ctrlProp66.xml><?xml version="1.0" encoding="utf-8"?>
<formControlPr xmlns="http://schemas.microsoft.com/office/spreadsheetml/2009/9/main" objectType="CheckBox" fmlaLink="Z31" lockText="1" noThreeD="1"/>
</file>

<file path=xl/ctrlProps/ctrlProp67.xml><?xml version="1.0" encoding="utf-8"?>
<formControlPr xmlns="http://schemas.microsoft.com/office/spreadsheetml/2009/9/main" objectType="CheckBox" checked="Checked" fmlaLink="sVA_Privat" lockText="1" noThreeD="1"/>
</file>

<file path=xl/ctrlProps/ctrlProp68.xml><?xml version="1.0" encoding="utf-8"?>
<formControlPr xmlns="http://schemas.microsoft.com/office/spreadsheetml/2009/9/main" objectType="CheckBox" checked="Checked" fmlaLink="FB_Aktiv" lockText="1" noThreeD="1"/>
</file>

<file path=xl/ctrlProps/ctrlProp69.xml><?xml version="1.0" encoding="utf-8"?>
<formControlPr xmlns="http://schemas.microsoft.com/office/spreadsheetml/2009/9/main" objectType="Radio" checked="Checked" firstButton="1" fmlaLink="O_BewG" lockText="1" noThreeD="1"/>
</file>

<file path=xl/ctrlProps/ctrlProp7.xml><?xml version="1.0" encoding="utf-8"?>
<formControlPr xmlns="http://schemas.microsoft.com/office/spreadsheetml/2009/9/main" objectType="CheckBox" fmlaLink="Dat_RentnerM"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CheckBox" checked="Checked" fmlaLink="Euro_EP" lockText="1" noThreeD="1"/>
</file>

<file path=xl/ctrlProps/ctrlProp72.xml><?xml version="1.0" encoding="utf-8"?>
<formControlPr xmlns="http://schemas.microsoft.com/office/spreadsheetml/2009/9/main" objectType="CheckBox" fmlaLink="VereinbarterUnterhalt" lockText="1" noThreeD="1"/>
</file>

<file path=xl/ctrlProps/ctrlProp73.xml><?xml version="1.0" encoding="utf-8"?>
<formControlPr xmlns="http://schemas.microsoft.com/office/spreadsheetml/2009/9/main" objectType="Radio" firstButton="1" fmlaLink="Geschlecht" lockText="1" noThreeD="1"/>
</file>

<file path=xl/ctrlProps/ctrlProp74.xml><?xml version="1.0" encoding="utf-8"?>
<formControlPr xmlns="http://schemas.microsoft.com/office/spreadsheetml/2009/9/main" objectType="Radio" checked="Checked" lockText="1" noThreeD="1"/>
</file>

<file path=xl/ctrlProps/ctrlProp75.xml><?xml version="1.0" encoding="utf-8"?>
<formControlPr xmlns="http://schemas.microsoft.com/office/spreadsheetml/2009/9/main" objectType="CheckBox" fmlaLink="O2" lockText="1" noThreeD="1"/>
</file>

<file path=xl/ctrlProps/ctrlProp76.xml><?xml version="1.0" encoding="utf-8"?>
<formControlPr xmlns="http://schemas.microsoft.com/office/spreadsheetml/2009/9/main" objectType="CheckBox" fmlaLink="verheiratet" lockText="1" noThreeD="1"/>
</file>

<file path=xl/ctrlProps/ctrlProp77.xml><?xml version="1.0" encoding="utf-8"?>
<formControlPr xmlns="http://schemas.microsoft.com/office/spreadsheetml/2009/9/main" objectType="CheckBox" fmlaLink="Verheiratet2" lockText="1" noThreeD="1"/>
</file>

<file path=xl/ctrlProps/ctrlProp78.xml><?xml version="1.0" encoding="utf-8"?>
<formControlPr xmlns="http://schemas.microsoft.com/office/spreadsheetml/2009/9/main" objectType="CheckBox" checked="Checked" fmlaLink="GR_EP_Teilung" lockText="1" noThreeD="1"/>
</file>

<file path=xl/ctrlProps/ctrlProp79.xml><?xml version="1.0" encoding="utf-8"?>
<formControlPr xmlns="http://schemas.microsoft.com/office/spreadsheetml/2009/9/main" objectType="CheckBox" fmlaLink="divers" lockText="1" noThreeD="1"/>
</file>

<file path=xl/ctrlProps/ctrlProp8.xml><?xml version="1.0" encoding="utf-8"?>
<formControlPr xmlns="http://schemas.microsoft.com/office/spreadsheetml/2009/9/main" objectType="CheckBox" fmlaLink="Dat_Unisex" lockText="1" noThreeD="1"/>
</file>

<file path=xl/ctrlProps/ctrlProp80.xml><?xml version="1.0" encoding="utf-8"?>
<formControlPr xmlns="http://schemas.microsoft.com/office/spreadsheetml/2009/9/main" objectType="CheckBox" fmlaLink="AbändBilMoG_Wahl" lockText="1" noThreeD="1"/>
</file>

<file path=xl/ctrlProps/ctrlProp81.xml><?xml version="1.0" encoding="utf-8"?>
<formControlPr xmlns="http://schemas.microsoft.com/office/spreadsheetml/2009/9/main" objectType="CheckBox" fmlaLink="S13" lockText="1" noThreeD="1"/>
</file>

<file path=xl/ctrlProps/ctrlProp82.xml><?xml version="1.0" encoding="utf-8"?>
<formControlPr xmlns="http://schemas.microsoft.com/office/spreadsheetml/2009/9/main" objectType="CheckBox" fmlaLink="EPOst" lockText="1" noThreeD="1"/>
</file>

<file path=xl/ctrlProps/ctrlProp83.xml><?xml version="1.0" encoding="utf-8"?>
<formControlPr xmlns="http://schemas.microsoft.com/office/spreadsheetml/2009/9/main" objectType="CheckBox" fmlaLink="$O$22" lockText="1" noThreeD="1"/>
</file>

<file path=xl/ctrlProps/ctrlProp84.xml><?xml version="1.0" encoding="utf-8"?>
<formControlPr xmlns="http://schemas.microsoft.com/office/spreadsheetml/2009/9/main" objectType="Radio" firstButton="1" fmlaLink="N27"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checked="Checked" lockText="1" noThreeD="1"/>
</file>

<file path=xl/ctrlProps/ctrlProp87.xml><?xml version="1.0" encoding="utf-8"?>
<formControlPr xmlns="http://schemas.microsoft.com/office/spreadsheetml/2009/9/main" objectType="CheckBox" fmlaLink="Vertins_BilMoG10" lockText="1" noThreeD="1"/>
</file>

<file path=xl/ctrlProps/ctrlProp88.xml><?xml version="1.0" encoding="utf-8"?>
<formControlPr xmlns="http://schemas.microsoft.com/office/spreadsheetml/2009/9/main" objectType="CheckBox" fmlaLink="Dies_und_Das_Ost" lockText="1" noThreeD="1"/>
</file>

<file path=xl/ctrlProps/ctrlProp89.xml><?xml version="1.0" encoding="utf-8"?>
<formControlPr xmlns="http://schemas.microsoft.com/office/spreadsheetml/2009/9/main" objectType="CheckBox" checked="Checked" fmlaLink="VVR" lockText="1" noThreeD="1"/>
</file>

<file path=xl/ctrlProps/ctrlProp9.xml><?xml version="1.0" encoding="utf-8"?>
<formControlPr xmlns="http://schemas.microsoft.com/office/spreadsheetml/2009/9/main" objectType="CheckBox" fmlaLink="ReSummeM" lockText="1" noThreeD="1"/>
</file>

<file path=xl/ctrlProps/ctrlProp90.xml><?xml version="1.0" encoding="utf-8"?>
<formControlPr xmlns="http://schemas.microsoft.com/office/spreadsheetml/2009/9/main" objectType="CheckBox" fmlaLink="Ost" lockText="1" noThreeD="1"/>
</file>

<file path=xl/ctrlProps/ctrlProp91.xml><?xml version="1.0" encoding="utf-8"?>
<formControlPr xmlns="http://schemas.microsoft.com/office/spreadsheetml/2009/9/main" objectType="CheckBox" fmlaLink="BilMoG_10" lockText="1" noThreeD="1"/>
</file>

<file path=xl/ctrlProps/ctrlProp92.xml><?xml version="1.0" encoding="utf-8"?>
<formControlPr xmlns="http://schemas.microsoft.com/office/spreadsheetml/2009/9/main" objectType="Radio" checked="Checked" firstButton="1" fmlaLink="DiesuDas_AboderAuf"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CheckBox" fmlaLink="O_BilMoG" lockText="1" noThreeD="1"/>
</file>

<file path=xl/ctrlProps/ctrlProp95.xml><?xml version="1.0" encoding="utf-8"?>
<formControlPr xmlns="http://schemas.microsoft.com/office/spreadsheetml/2009/9/main" objectType="CheckBox" fmlaLink="DuD_VVR1" lockText="1" noThreeD="1"/>
</file>

<file path=xl/ctrlProps/ctrlProp96.xml><?xml version="1.0" encoding="utf-8"?>
<formControlPr xmlns="http://schemas.microsoft.com/office/spreadsheetml/2009/9/main" objectType="Drop" dropStyle="combo" dx="22" fmlaLink="$Y$9" fmlaRange="$W$10:$X$12" noThreeD="1" sel="2" val="0"/>
</file>

<file path=xl/ctrlProps/ctrlProp97.xml><?xml version="1.0" encoding="utf-8"?>
<formControlPr xmlns="http://schemas.microsoft.com/office/spreadsheetml/2009/9/main" objectType="Drop" dropStyle="combo" dx="22" fmlaLink="$AE$9" fmlaRange="$AC$11:$AD$13" noThreeD="1" sel="0" val="0"/>
</file>

<file path=xl/ctrlProps/ctrlProp98.xml><?xml version="1.0" encoding="utf-8"?>
<formControlPr xmlns="http://schemas.microsoft.com/office/spreadsheetml/2009/9/main" objectType="Drop" dropStyle="combo" dx="22" fmlaLink="$AE$9" fmlaRange="$AC$11:$AD$13" noThreeD="1" sel="0" val="0"/>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emf"/></Relationships>
</file>

<file path=xl/drawings/_rels/drawing10.xml.rels><?xml version="1.0" encoding="UTF-8" standalone="yes"?>
<Relationships xmlns="http://schemas.openxmlformats.org/package/2006/relationships"><Relationship Id="rId3" Type="http://schemas.openxmlformats.org/officeDocument/2006/relationships/hyperlink" Target="mailto:Hauss@Anwaelte-DU.de?subject=Kapitalwertkontrolle%202023%20-%20Teilungsordnungen" TargetMode="External"/><Relationship Id="rId2" Type="http://schemas.openxmlformats.org/officeDocument/2006/relationships/hyperlink" Target="#Stammdatenerfassung"/><Relationship Id="rId1" Type="http://schemas.openxmlformats.org/officeDocument/2006/relationships/hyperlink" Target="#Inhalt"/><Relationship Id="rId6" Type="http://schemas.openxmlformats.org/officeDocument/2006/relationships/image" Target="../media/image6.png"/><Relationship Id="rId5" Type="http://schemas.openxmlformats.org/officeDocument/2006/relationships/image" Target="../media/image8.png"/><Relationship Id="rId4" Type="http://schemas.openxmlformats.org/officeDocument/2006/relationships/hyperlink" Target="https://www.anwaelte-du.de/media/files/nedden-boeger-2024.pdf" TargetMode="External"/></Relationships>
</file>

<file path=xl/drawings/_rels/drawing11.xml.rels><?xml version="1.0" encoding="UTF-8" standalone="yes"?>
<Relationships xmlns="http://schemas.openxmlformats.org/package/2006/relationships"><Relationship Id="rId8" Type="http://schemas.openxmlformats.org/officeDocument/2006/relationships/hyperlink" Target="https://www.anwaelte-du.de/media/files/sva-programmerlaeuterung.pdf" TargetMode="External"/><Relationship Id="rId3" Type="http://schemas.openxmlformats.org/officeDocument/2006/relationships/hyperlink" Target="https://www.gesetze-im-internet.de/sgb_5/__226.html" TargetMode="External"/><Relationship Id="rId7" Type="http://schemas.openxmlformats.org/officeDocument/2006/relationships/hyperlink" Target="https://www.gesetze-im-internet.de/versausglg/__51.html" TargetMode="External"/><Relationship Id="rId2" Type="http://schemas.openxmlformats.org/officeDocument/2006/relationships/hyperlink" Target="https://juris.bundesgerichtshof.de/cgi-bin/rechtsprechung/document.py?Gericht=bgh&amp;Art=en&amp;sid=147bbd4d247ee1fd255393c095243266&amp;nr=136817&amp;pos=0&amp;anz=1" TargetMode="External"/><Relationship Id="rId1" Type="http://schemas.openxmlformats.org/officeDocument/2006/relationships/hyperlink" Target="#Inhalt"/><Relationship Id="rId6" Type="http://schemas.openxmlformats.org/officeDocument/2006/relationships/hyperlink" Target="http://www.lexsoft.de/cgi-bin/lexsoft/justizportal_nrw.cgi?t=169488347202738020&amp;sessionID=295501000881055877&amp;templateID=document&amp;source=lawnavi&amp;chosenIndex=Dummy_nv_68&amp;xid=140298,6" TargetMode="External"/><Relationship Id="rId5" Type="http://schemas.openxmlformats.org/officeDocument/2006/relationships/hyperlink" Target="https://www.gesetze-im-internet.de/versausglg/__20.html" TargetMode="External"/><Relationship Id="rId4" Type="http://schemas.openxmlformats.org/officeDocument/2006/relationships/hyperlink" Target="https://www.gesetze-im-internet.de/sgb_4/__18.html" TargetMode="External"/><Relationship Id="rId9"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hyperlink" Target="https://www.anwaelte-du.de/media/files/abfindung-von-versorgungen.pdf#page=5" TargetMode="External"/><Relationship Id="rId2" Type="http://schemas.openxmlformats.org/officeDocument/2006/relationships/image" Target="../media/image7.png"/><Relationship Id="rId1" Type="http://schemas.openxmlformats.org/officeDocument/2006/relationships/hyperlink" Target="https://www.anwaelte-du.de/media/files/abfindung-von-versorgungen.pdf#Page 1" TargetMode="External"/><Relationship Id="rId6" Type="http://schemas.openxmlformats.org/officeDocument/2006/relationships/hyperlink" Target="https://www.juris.de/r3/document/jzs-FamRB-2024-7-030-302" TargetMode="External"/><Relationship Id="rId5" Type="http://schemas.openxmlformats.org/officeDocument/2006/relationships/hyperlink" Target="https://www.anwaelte-du.de/media/files/abfindung-von-versorgungen.pdf#page=2" TargetMode="External"/><Relationship Id="rId4" Type="http://schemas.openxmlformats.org/officeDocument/2006/relationships/hyperlink" Target="https://www.anwaelte-du.de/media/files/abfindung-von-versorgungen.pdf#page=3" TargetMode="External"/></Relationships>
</file>

<file path=xl/drawings/_rels/drawing14.xml.rels><?xml version="1.0" encoding="UTF-8" standalone="yes"?>
<Relationships xmlns="http://schemas.openxmlformats.org/package/2006/relationships"><Relationship Id="rId2" Type="http://schemas.openxmlformats.org/officeDocument/2006/relationships/hyperlink" Target="https://www.gesetze-im-internet.de/versausglg/__33.html" TargetMode="External"/><Relationship Id="rId1" Type="http://schemas.openxmlformats.org/officeDocument/2006/relationships/hyperlink" Target="#Inhalt"/></Relationships>
</file>

<file path=xl/drawings/_rels/drawing15.xml.rels><?xml version="1.0" encoding="UTF-8" standalone="yes"?>
<Relationships xmlns="http://schemas.openxmlformats.org/package/2006/relationships"><Relationship Id="rId3" Type="http://schemas.openxmlformats.org/officeDocument/2006/relationships/hyperlink" Target="https://www.gesetze-im-internet.de/sgb_6/__97a.html" TargetMode="External"/><Relationship Id="rId7" Type="http://schemas.openxmlformats.org/officeDocument/2006/relationships/hyperlink" Target="https://juris.bundesgerichtshof.de/cgi-bin/rechtsprechung/document.py?Gericht=bgh&amp;Art=en&amp;sid=a88eaf787df39c2e76d809c42fd788d1&amp;nr=134412&amp;anz=1&amp;pos=0&amp;Blank=1.pdf" TargetMode="External"/><Relationship Id="rId2" Type="http://schemas.openxmlformats.org/officeDocument/2006/relationships/hyperlink" Target="https://www.gesetze-im-internet.de/sgb_6/__235.html" TargetMode="External"/><Relationship Id="rId1" Type="http://schemas.openxmlformats.org/officeDocument/2006/relationships/hyperlink" Target="#Inhalt"/><Relationship Id="rId6" Type="http://schemas.openxmlformats.org/officeDocument/2006/relationships/hyperlink" Target="https://juris.bundesgerichtshof.de/cgi-bin/rechtsprechung/document.py?Gericht=bgh&amp;Art=en&amp;sid=59dabdf3b473fbe5a435af9cc9782b45&amp;nr=136818&amp;anz=1&amp;pos=0&amp;Blank=1.pdf" TargetMode="External"/><Relationship Id="rId5" Type="http://schemas.openxmlformats.org/officeDocument/2006/relationships/hyperlink" Target="https://juris.bundesgerichtshof.de/cgi-bin/rechtsprechung/document.py?Gericht=bgh&amp;Art=en&amp;sid=32d272001b5cf5ec13402502ebb59d01&amp;nr=133215&amp;anz=1&amp;pos=0&amp;Blank=1.pdf" TargetMode="External"/><Relationship Id="rId4" Type="http://schemas.openxmlformats.org/officeDocument/2006/relationships/hyperlink" Target="https://juris.bundesgerichtshof.de/cgi-bin/rechtsprechung/document.py?Gericht=bgh&amp;Art=en&amp;sid=326af4e1a1ade5640aacc84f46acc9f2&amp;nr=133256&amp;anz=1&amp;pos=0&amp;Blank=1.pdf"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https://www.gesetze-im-internet.de/versausglg/__51.html" TargetMode="External"/><Relationship Id="rId2" Type="http://schemas.openxmlformats.org/officeDocument/2006/relationships/hyperlink" Target="https://www.gesetze-im-internet.de/famfg/__225.html" TargetMode="External"/><Relationship Id="rId1" Type="http://schemas.openxmlformats.org/officeDocument/2006/relationships/hyperlink" Target="#Inhalt"/><Relationship Id="rId4" Type="http://schemas.openxmlformats.org/officeDocument/2006/relationships/hyperlink" Target="#Dienstzeitverl&#228;ngerung"/></Relationships>
</file>

<file path=xl/drawings/_rels/drawing17.xml.rels><?xml version="1.0" encoding="UTF-8" standalone="yes"?>
<Relationships xmlns="http://schemas.openxmlformats.org/package/2006/relationships"><Relationship Id="rId3" Type="http://schemas.openxmlformats.org/officeDocument/2006/relationships/hyperlink" Target="https://juris.bundesgerichtshof.de/cgi-bin/rechtsprechung/document.py?Gericht=bgh&amp;Art=en&amp;sid=d61a551998c0128c37e6ae16c0f2a616&amp;nr=57802&amp;pos=0&amp;anz=1" TargetMode="External"/><Relationship Id="rId2" Type="http://schemas.openxmlformats.org/officeDocument/2006/relationships/hyperlink" Target="https://www.gesetze-im-internet.de/sgb_6/__76.html" TargetMode="External"/><Relationship Id="rId1" Type="http://schemas.openxmlformats.org/officeDocument/2006/relationships/hyperlink" Target="#Inhalt"/></Relationships>
</file>

<file path=xl/drawings/_rels/drawing18.xml.rels><?xml version="1.0" encoding="UTF-8" standalone="yes"?>
<Relationships xmlns="http://schemas.openxmlformats.org/package/2006/relationships"><Relationship Id="rId1" Type="http://schemas.openxmlformats.org/officeDocument/2006/relationships/hyperlink" Target="#Inhalt"/></Relationships>
</file>

<file path=xl/drawings/_rels/drawing19.xml.rels><?xml version="1.0" encoding="UTF-8" standalone="yes"?>
<Relationships xmlns="http://schemas.openxmlformats.org/package/2006/relationships"><Relationship Id="rId8" Type="http://schemas.openxmlformats.org/officeDocument/2006/relationships/hyperlink" Target="https://www.gesetze-im-internet.de/sgb_6/__101.html" TargetMode="External"/><Relationship Id="rId13"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 Id="rId18" Type="http://schemas.openxmlformats.org/officeDocument/2006/relationships/hyperlink" Target="mailto:Hauss@Anwaelte-DU.de?subject=Kapitalwertkontrolle%202023%20-%20Dies%20&amp;%20Das" TargetMode="External"/><Relationship Id="rId3" Type="http://schemas.openxmlformats.org/officeDocument/2006/relationships/hyperlink" Target="https://dserver.bundestag.de/btd/19/249/1924925.pdf" TargetMode="External"/><Relationship Id="rId21" Type="http://schemas.openxmlformats.org/officeDocument/2006/relationships/hyperlink" Target="https://www.destatis.de/DE/Themen/Wirtschaft/Preise/Verbraucherpreisindex/Publikationen/_publikationen-verbraucherpreisindex.html?nn=206104" TargetMode="External"/><Relationship Id="rId7" Type="http://schemas.openxmlformats.org/officeDocument/2006/relationships/hyperlink" Target="https://www.gesetze-im-internet.de/sgb_6/__106.html" TargetMode="External"/><Relationship Id="rId12" Type="http://schemas.openxmlformats.org/officeDocument/2006/relationships/hyperlink" Target="https://www.bundesfinanzministerium.de/Content/DE/Downloads/BMF_Schreiben/Steuerarten/Erbschaft_Schenkungsteuerrecht/2021-10-04-bewertung-einer-lebenslaenglichen-nutzung-oder-leistung-stichtage-ab-1-1-2022.pdf?__blob=publicationFile&amp;v=2" TargetMode="External"/><Relationship Id="rId17" Type="http://schemas.openxmlformats.org/officeDocument/2006/relationships/hyperlink" Target="https://www.gesetze-im-internet.de/sgb_6/index.html" TargetMode="External"/><Relationship Id="rId2" Type="http://schemas.openxmlformats.org/officeDocument/2006/relationships/hyperlink" Target="#Inhalt"/><Relationship Id="rId16" Type="http://schemas.openxmlformats.org/officeDocument/2006/relationships/hyperlink" Target="https://www.missoc.org/missoc-information/missoc-vergleichende-tabellen-datenbank/?lang=de" TargetMode="External"/><Relationship Id="rId20" Type="http://schemas.openxmlformats.org/officeDocument/2006/relationships/hyperlink" Target="#aktRW"/><Relationship Id="rId1" Type="http://schemas.openxmlformats.org/officeDocument/2006/relationships/image" Target="../media/image9.png"/><Relationship Id="rId6" Type="http://schemas.openxmlformats.org/officeDocument/2006/relationships/hyperlink" Target="https://www.gesetze-im-internet.de/sgb_6/__315.html" TargetMode="External"/><Relationship Id="rId11" Type="http://schemas.openxmlformats.org/officeDocument/2006/relationships/hyperlink" Target="https://www.otto-schmidt.de/podcast/familienrecht" TargetMode="External"/><Relationship Id="rId5" Type="http://schemas.openxmlformats.org/officeDocument/2006/relationships/hyperlink" Target="https://www.gesetze-im-internet.de/sgb_6/__76.html" TargetMode="External"/><Relationship Id="rId15" Type="http://schemas.openxmlformats.org/officeDocument/2006/relationships/hyperlink" Target="https://rvrecht.deutsche-rentenversicherung.de/SiteGlobals/Forms/Suche/DokumentSuche/dokumentSuche_Formular.html?nn=1506092&amp;pathNonRecursive=%2FLitInternet%2FSharedDocs%2FrvRecht+%2FLitInternet%2FSharedDocs%2FrvRecht_Ergaenzungen" TargetMode="External"/><Relationship Id="rId10" Type="http://schemas.openxmlformats.org/officeDocument/2006/relationships/hyperlink" Target="https://www.famrb.de/" TargetMode="External"/><Relationship Id="rId19" Type="http://schemas.openxmlformats.org/officeDocument/2006/relationships/hyperlink" Target="https://www.ahv-iv.ch/Portals/0/adam/AHV-IV/WZuPffYb1UatWSmbYCJcYQ/Document/Monatliche%20Vollrenten,%20Skala%2044%2012.pdf" TargetMode="External"/><Relationship Id="rId4" Type="http://schemas.openxmlformats.org/officeDocument/2006/relationships/hyperlink" Target="https://www.gesetze-im-internet.de/sgb_5/__241.html" TargetMode="External"/><Relationship Id="rId9" Type="http://schemas.openxmlformats.org/officeDocument/2006/relationships/hyperlink" Target="https://alms.allianz.de/anonym/pages/start.xhtml?esales=VAUKAS" TargetMode="External"/><Relationship Id="rId14" Type="http://schemas.openxmlformats.org/officeDocument/2006/relationships/hyperlink" Target="https://www.destatis.de/DE/Themen/Gesellschaft-Umwelt/Bevoelkerung/Sterbefaelle-Lebenserwartung/Publikationen/Downloads-Sterbefaelle/periodensterbetafeln-bundeslaender-5126204207004.pdf?__blob=publicationFile" TargetMode="External"/><Relationship Id="rId22" Type="http://schemas.openxmlformats.org/officeDocument/2006/relationships/hyperlink" Target="#Stammdatenerfassu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https://joernhauss.my.webex.com/joernhauss.my/j.php?MTID=mf3ff619ab1a88908c807c53ab1bf5c63" TargetMode="External"/><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customXml" Target="../ink/ink7.xml"/><Relationship Id="rId3" Type="http://schemas.openxmlformats.org/officeDocument/2006/relationships/customXml" Target="../ink/ink2.xml"/><Relationship Id="rId7" Type="http://schemas.openxmlformats.org/officeDocument/2006/relationships/customXml" Target="../ink/ink4.xml"/><Relationship Id="rId12"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customXml" Target="../ink/ink1.xml"/><Relationship Id="rId6" Type="http://schemas.openxmlformats.org/officeDocument/2006/relationships/image" Target="../media/image13.png"/><Relationship Id="rId11" Type="http://schemas.openxmlformats.org/officeDocument/2006/relationships/customXml" Target="../ink/ink6.xml"/><Relationship Id="rId5" Type="http://schemas.openxmlformats.org/officeDocument/2006/relationships/customXml" Target="../ink/ink3.xml"/><Relationship Id="rId10" Type="http://schemas.openxmlformats.org/officeDocument/2006/relationships/image" Target="../media/image15.png"/><Relationship Id="rId4" Type="http://schemas.openxmlformats.org/officeDocument/2006/relationships/image" Target="../media/image12.png"/><Relationship Id="rId9" Type="http://schemas.openxmlformats.org/officeDocument/2006/relationships/customXml" Target="../ink/ink5.xml"/><Relationship Id="rId14"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1.svg"/><Relationship Id="rId1" Type="http://schemas.openxmlformats.org/officeDocument/2006/relationships/image" Target="../media/image10.png"/><Relationship Id="rId6" Type="http://schemas.openxmlformats.org/officeDocument/2006/relationships/image" Target="../media/image21.svg"/><Relationship Id="rId5" Type="http://schemas.openxmlformats.org/officeDocument/2006/relationships/image" Target="../media/image20.png"/><Relationship Id="rId4" Type="http://schemas.openxmlformats.org/officeDocument/2006/relationships/image" Target="../media/image19.svg"/></Relationships>
</file>

<file path=xl/drawings/_rels/drawing3.xml.rels><?xml version="1.0" encoding="UTF-8" standalone="yes"?>
<Relationships xmlns="http://schemas.openxmlformats.org/package/2006/relationships"><Relationship Id="rId3" Type="http://schemas.openxmlformats.org/officeDocument/2006/relationships/hyperlink" Target="#Berechnungsparameter"/><Relationship Id="rId7" Type="http://schemas.openxmlformats.org/officeDocument/2006/relationships/image" Target="../media/image6.png"/><Relationship Id="rId2" Type="http://schemas.openxmlformats.org/officeDocument/2006/relationships/hyperlink" Target="#Inhalt"/><Relationship Id="rId1" Type="http://schemas.openxmlformats.org/officeDocument/2006/relationships/hyperlink" Target="#Tenorierungsvorschlag"/><Relationship Id="rId6" Type="http://schemas.openxmlformats.org/officeDocument/2006/relationships/hyperlink" Target="https://www.kaffeerundeva.de/download-/#Download-Kapitalwertkontrolle-2025" TargetMode="External"/><Relationship Id="rId5" Type="http://schemas.openxmlformats.org/officeDocument/2006/relationships/image" Target="../media/image5.png"/><Relationship Id="rId4" Type="http://schemas.openxmlformats.org/officeDocument/2006/relationships/hyperlink" Target="https://www.anwaelte-du.de/media/files/fallerfassung-programmerlaeuterung.pdf" TargetMode="Externa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8" Type="http://schemas.openxmlformats.org/officeDocument/2006/relationships/hyperlink" Target="https://www.anwaelte-du.de/media/files/einzel-bewertung-programmerlaeuterung.pdf" TargetMode="External"/><Relationship Id="rId3" Type="http://schemas.openxmlformats.org/officeDocument/2006/relationships/hyperlink" Target="https://www.gesetze-im-internet.de/sgb_6/__187.html" TargetMode="External"/><Relationship Id="rId7" Type="http://schemas.openxmlformats.org/officeDocument/2006/relationships/hyperlink" Target="http://versorgungsausgleich-karlsruhe.de/" TargetMode="External"/><Relationship Id="rId2" Type="http://schemas.openxmlformats.org/officeDocument/2006/relationships/hyperlink" Target="https://juris.bundesgerichtshof.de/cgi-bin/rechtsprechung/document.py?Gericht=bgh&amp;Art=en&amp;sid=f28bdc1b110fe1b388bfb41ec9f0ab37&amp;nr=117991&amp;pos=0&amp;anz=1" TargetMode="External"/><Relationship Id="rId1" Type="http://schemas.openxmlformats.org/officeDocument/2006/relationships/hyperlink" Target="https://www.kaffeerundeva.de/download-/#Download-Kapitalwertkontrolle-2025" TargetMode="External"/><Relationship Id="rId6" Type="http://schemas.openxmlformats.org/officeDocument/2006/relationships/hyperlink" Target="mailto:Hauss@anwaelte-DU.de?subject=Kapitalwertkontrolle%20-%20Rentenbewertung" TargetMode="External"/><Relationship Id="rId5" Type="http://schemas.openxmlformats.org/officeDocument/2006/relationships/hyperlink" Target="https://www.anwaelte-du.de/" TargetMode="External"/><Relationship Id="rId10" Type="http://schemas.openxmlformats.org/officeDocument/2006/relationships/image" Target="../media/image6.png"/><Relationship Id="rId4" Type="http://schemas.openxmlformats.org/officeDocument/2006/relationships/hyperlink" Target="https://alms.allianz.de/anonym/pages/start.xhtml?esales=VAUKAS" TargetMode="External"/><Relationship Id="rId9"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hyperlink" Target="#Inhalt"/></Relationships>
</file>

<file path=xl/drawings/_rels/drawing7.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s://juris.bundesgerichtshof.de/cgi-bin/rechtsprechung/document.py?Gericht=bgh&amp;Art=en&amp;sid=05616f0f60cc93000f0a3aeabac8af89&amp;nr=117991&amp;pos=0&amp;anz=1" TargetMode="External"/><Relationship Id="rId7" Type="http://schemas.openxmlformats.org/officeDocument/2006/relationships/hyperlink" Target="https://www.famrb.de/media/Ad%c3%a4quanzpr%c3%bcfung%20nach%20BVerfG%20und%20BGH%20v%202-6-2021.pdf" TargetMode="Externa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hyperlink" Target="#Inhalt"/><Relationship Id="rId5" Type="http://schemas.openxmlformats.org/officeDocument/2006/relationships/hyperlink" Target="https://alms.allianz.de/anonym/pages/start.xhtml?esales=VAUKAS" TargetMode="External"/><Relationship Id="rId4" Type="http://schemas.openxmlformats.org/officeDocument/2006/relationships/hyperlink" Target="https://www.bundesverfassungsgericht.de/SharedDocs/Entscheidungen/DE/2020/05/ls20200526_1bvl000518.html" TargetMode="External"/><Relationship Id="rId9"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hyperlink" Target="#Inhalt"/></Relationships>
</file>

<file path=xl/drawings/drawing1.xml><?xml version="1.0" encoding="utf-8"?>
<xdr:wsDr xmlns:xdr="http://schemas.openxmlformats.org/drawingml/2006/spreadsheetDrawing" xmlns:a="http://schemas.openxmlformats.org/drawingml/2006/main">
  <xdr:twoCellAnchor editAs="oneCell">
    <xdr:from>
      <xdr:col>54</xdr:col>
      <xdr:colOff>0</xdr:colOff>
      <xdr:row>11</xdr:row>
      <xdr:rowOff>0</xdr:rowOff>
    </xdr:from>
    <xdr:to>
      <xdr:col>55</xdr:col>
      <xdr:colOff>796925</xdr:colOff>
      <xdr:row>22</xdr:row>
      <xdr:rowOff>41275</xdr:rowOff>
    </xdr:to>
    <xdr:pic>
      <xdr:nvPicPr>
        <xdr:cNvPr id="4" name="Grafik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61550" y="1943100"/>
          <a:ext cx="1631950" cy="178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61</xdr:col>
      <xdr:colOff>514350</xdr:colOff>
      <xdr:row>88</xdr:row>
      <xdr:rowOff>19049</xdr:rowOff>
    </xdr:from>
    <xdr:to>
      <xdr:col>72</xdr:col>
      <xdr:colOff>396875</xdr:colOff>
      <xdr:row>116</xdr:row>
      <xdr:rowOff>60324</xdr:rowOff>
    </xdr:to>
    <xdr:graphicFrame macro="">
      <xdr:nvGraphicFramePr>
        <xdr:cNvPr id="7" name="Diagramm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28575</xdr:colOff>
          <xdr:row>4</xdr:row>
          <xdr:rowOff>38100</xdr:rowOff>
        </xdr:from>
        <xdr:to>
          <xdr:col>3</xdr:col>
          <xdr:colOff>1590675</xdr:colOff>
          <xdr:row>4</xdr:row>
          <xdr:rowOff>333375</xdr:rowOff>
        </xdr:to>
        <xdr:sp macro="" textlink="">
          <xdr:nvSpPr>
            <xdr:cNvPr id="1921026" name="Drop Down 2" hidden="1">
              <a:extLst>
                <a:ext uri="{63B3BB69-23CF-44E3-9099-C40C66FF867C}">
                  <a14:compatExt spid="_x0000_s1921026"/>
                </a:ext>
                <a:ext uri="{FF2B5EF4-FFF2-40B4-BE49-F238E27FC236}">
                  <a16:creationId xmlns:a16="http://schemas.microsoft.com/office/drawing/2014/main" id="{00000000-0008-0000-1900-000002501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xdr:row>
          <xdr:rowOff>28575</xdr:rowOff>
        </xdr:from>
        <xdr:to>
          <xdr:col>3</xdr:col>
          <xdr:colOff>600075</xdr:colOff>
          <xdr:row>7</xdr:row>
          <xdr:rowOff>180975</xdr:rowOff>
        </xdr:to>
        <xdr:sp macro="" textlink="">
          <xdr:nvSpPr>
            <xdr:cNvPr id="1921027" name="Option Button 3" hidden="1">
              <a:extLst>
                <a:ext uri="{63B3BB69-23CF-44E3-9099-C40C66FF867C}">
                  <a14:compatExt spid="_x0000_s1921027"/>
                </a:ext>
                <a:ext uri="{FF2B5EF4-FFF2-40B4-BE49-F238E27FC236}">
                  <a16:creationId xmlns:a16="http://schemas.microsoft.com/office/drawing/2014/main" id="{00000000-0008-0000-1900-0000035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Kapital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1323975</xdr:colOff>
          <xdr:row>7</xdr:row>
          <xdr:rowOff>28575</xdr:rowOff>
        </xdr:from>
        <xdr:to>
          <xdr:col>3</xdr:col>
          <xdr:colOff>1857375</xdr:colOff>
          <xdr:row>7</xdr:row>
          <xdr:rowOff>180975</xdr:rowOff>
        </xdr:to>
        <xdr:sp macro="" textlink="">
          <xdr:nvSpPr>
            <xdr:cNvPr id="1921028" name="Option Button 4" hidden="1">
              <a:extLst>
                <a:ext uri="{63B3BB69-23CF-44E3-9099-C40C66FF867C}">
                  <a14:compatExt spid="_x0000_s1921028"/>
                </a:ext>
                <a:ext uri="{FF2B5EF4-FFF2-40B4-BE49-F238E27FC236}">
                  <a16:creationId xmlns:a16="http://schemas.microsoft.com/office/drawing/2014/main" id="{00000000-0008-0000-1900-0000045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Rente</a:t>
              </a:r>
            </a:p>
          </xdr:txBody>
        </xdr:sp>
        <xdr:clientData/>
      </xdr:twoCellAnchor>
    </mc:Choice>
    <mc:Fallback/>
  </mc:AlternateContent>
  <xdr:twoCellAnchor>
    <xdr:from>
      <xdr:col>8</xdr:col>
      <xdr:colOff>1</xdr:colOff>
      <xdr:row>1</xdr:row>
      <xdr:rowOff>0</xdr:rowOff>
    </xdr:from>
    <xdr:to>
      <xdr:col>8</xdr:col>
      <xdr:colOff>243064</xdr:colOff>
      <xdr:row>3</xdr:row>
      <xdr:rowOff>11906</xdr:rowOff>
    </xdr:to>
    <xdr:sp macro="" textlink="">
      <xdr:nvSpPr>
        <xdr:cNvPr id="6" name="Pfeil: gestreift nach rechts 5">
          <a:hlinkClick xmlns:r="http://schemas.openxmlformats.org/officeDocument/2006/relationships" r:id="rId1"/>
          <a:extLst>
            <a:ext uri="{FF2B5EF4-FFF2-40B4-BE49-F238E27FC236}">
              <a16:creationId xmlns:a16="http://schemas.microsoft.com/office/drawing/2014/main" id="{00000000-0008-0000-1900-000006000000}"/>
            </a:ext>
          </a:extLst>
        </xdr:cNvPr>
        <xdr:cNvSpPr/>
      </xdr:nvSpPr>
      <xdr:spPr>
        <a:xfrm rot="16200000">
          <a:off x="9670345" y="384484"/>
          <a:ext cx="631031" cy="243063"/>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a:solidFill>
                <a:schemeClr val="tx1"/>
              </a:solidFill>
            </a:rPr>
            <a:t>Inhalt</a:t>
          </a:r>
        </a:p>
      </xdr:txBody>
    </xdr:sp>
    <xdr:clientData/>
  </xdr:twoCellAnchor>
  <xdr:twoCellAnchor>
    <xdr:from>
      <xdr:col>6</xdr:col>
      <xdr:colOff>1121019</xdr:colOff>
      <xdr:row>10</xdr:row>
      <xdr:rowOff>0</xdr:rowOff>
    </xdr:from>
    <xdr:to>
      <xdr:col>7</xdr:col>
      <xdr:colOff>1238250</xdr:colOff>
      <xdr:row>10</xdr:row>
      <xdr:rowOff>373673</xdr:rowOff>
    </xdr:to>
    <xdr:sp macro="" textlink="">
      <xdr:nvSpPr>
        <xdr:cNvPr id="2" name="Flussdiagramm: Prozess 1">
          <a:hlinkClick xmlns:r="http://schemas.openxmlformats.org/officeDocument/2006/relationships" r:id="rId2"/>
          <a:extLst>
            <a:ext uri="{FF2B5EF4-FFF2-40B4-BE49-F238E27FC236}">
              <a16:creationId xmlns:a16="http://schemas.microsoft.com/office/drawing/2014/main" id="{00000000-0008-0000-1900-000002000000}"/>
            </a:ext>
          </a:extLst>
        </xdr:cNvPr>
        <xdr:cNvSpPr/>
      </xdr:nvSpPr>
      <xdr:spPr>
        <a:xfrm>
          <a:off x="8455269" y="3275135"/>
          <a:ext cx="1392116" cy="37367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7</xdr:col>
      <xdr:colOff>7327</xdr:colOff>
      <xdr:row>1</xdr:row>
      <xdr:rowOff>366346</xdr:rowOff>
    </xdr:from>
    <xdr:to>
      <xdr:col>7</xdr:col>
      <xdr:colOff>1252903</xdr:colOff>
      <xdr:row>3</xdr:row>
      <xdr:rowOff>241789</xdr:rowOff>
    </xdr:to>
    <xdr:sp macro="" textlink="">
      <xdr:nvSpPr>
        <xdr:cNvPr id="3" name="Rechteck 2">
          <a:hlinkClick xmlns:r="http://schemas.openxmlformats.org/officeDocument/2006/relationships" r:id="rId3"/>
          <a:extLst>
            <a:ext uri="{FF2B5EF4-FFF2-40B4-BE49-F238E27FC236}">
              <a16:creationId xmlns:a16="http://schemas.microsoft.com/office/drawing/2014/main" id="{00000000-0008-0000-1900-000003000000}"/>
            </a:ext>
          </a:extLst>
        </xdr:cNvPr>
        <xdr:cNvSpPr/>
      </xdr:nvSpPr>
      <xdr:spPr>
        <a:xfrm>
          <a:off x="8616462" y="556846"/>
          <a:ext cx="1245576" cy="4982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676275</xdr:colOff>
          <xdr:row>7</xdr:row>
          <xdr:rowOff>28575</xdr:rowOff>
        </xdr:from>
        <xdr:to>
          <xdr:col>3</xdr:col>
          <xdr:colOff>1219200</xdr:colOff>
          <xdr:row>7</xdr:row>
          <xdr:rowOff>180975</xdr:rowOff>
        </xdr:to>
        <xdr:sp macro="" textlink="">
          <xdr:nvSpPr>
            <xdr:cNvPr id="1921029" name="Option Button 5" hidden="1">
              <a:extLst>
                <a:ext uri="{63B3BB69-23CF-44E3-9099-C40C66FF867C}">
                  <a14:compatExt spid="_x0000_s1921029"/>
                </a:ext>
                <a:ext uri="{FF2B5EF4-FFF2-40B4-BE49-F238E27FC236}">
                  <a16:creationId xmlns:a16="http://schemas.microsoft.com/office/drawing/2014/main" id="{00000000-0008-0000-1900-0000055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Fonds</a:t>
              </a:r>
            </a:p>
          </xdr:txBody>
        </xdr:sp>
        <xdr:clientData/>
      </xdr:twoCellAnchor>
    </mc:Choice>
    <mc:Fallback/>
  </mc:AlternateContent>
  <xdr:twoCellAnchor editAs="oneCell">
    <xdr:from>
      <xdr:col>7</xdr:col>
      <xdr:colOff>1252296</xdr:colOff>
      <xdr:row>3</xdr:row>
      <xdr:rowOff>87923</xdr:rowOff>
    </xdr:from>
    <xdr:to>
      <xdr:col>9</xdr:col>
      <xdr:colOff>0</xdr:colOff>
      <xdr:row>4</xdr:row>
      <xdr:rowOff>140677</xdr:rowOff>
    </xdr:to>
    <xdr:pic>
      <xdr:nvPicPr>
        <xdr:cNvPr id="4" name="Grafik 3">
          <a:hlinkClick xmlns:r="http://schemas.openxmlformats.org/officeDocument/2006/relationships" r:id="rId4"/>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5"/>
        <a:stretch>
          <a:fillRect/>
        </a:stretch>
      </xdr:blipFill>
      <xdr:spPr>
        <a:xfrm>
          <a:off x="10085634" y="879231"/>
          <a:ext cx="312735" cy="298938"/>
        </a:xfrm>
        <a:prstGeom prst="rect">
          <a:avLst/>
        </a:prstGeom>
      </xdr:spPr>
    </xdr:pic>
    <xdr:clientData/>
  </xdr:twoCellAnchor>
  <xdr:twoCellAnchor editAs="oneCell">
    <xdr:from>
      <xdr:col>1</xdr:col>
      <xdr:colOff>6569</xdr:colOff>
      <xdr:row>1</xdr:row>
      <xdr:rowOff>1980</xdr:rowOff>
    </xdr:from>
    <xdr:to>
      <xdr:col>1</xdr:col>
      <xdr:colOff>428524</xdr:colOff>
      <xdr:row>2</xdr:row>
      <xdr:rowOff>1</xdr:rowOff>
    </xdr:to>
    <xdr:pic>
      <xdr:nvPicPr>
        <xdr:cNvPr id="5" name="Grafik 4">
          <a:extLst>
            <a:ext uri="{FF2B5EF4-FFF2-40B4-BE49-F238E27FC236}">
              <a16:creationId xmlns:a16="http://schemas.microsoft.com/office/drawing/2014/main" id="{EE646448-D1BA-4401-5175-BDC1EB0951B1}"/>
            </a:ext>
          </a:extLst>
        </xdr:cNvPr>
        <xdr:cNvPicPr>
          <a:picLocks noChangeAspect="1"/>
        </xdr:cNvPicPr>
      </xdr:nvPicPr>
      <xdr:blipFill>
        <a:blip xmlns:r="http://schemas.openxmlformats.org/officeDocument/2006/relationships" r:embed="rId6"/>
        <a:stretch>
          <a:fillRect/>
        </a:stretch>
      </xdr:blipFill>
      <xdr:spPr>
        <a:xfrm>
          <a:off x="282466" y="192480"/>
          <a:ext cx="421955" cy="3724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32</xdr:row>
          <xdr:rowOff>28575</xdr:rowOff>
        </xdr:from>
        <xdr:to>
          <xdr:col>6</xdr:col>
          <xdr:colOff>866775</xdr:colOff>
          <xdr:row>32</xdr:row>
          <xdr:rowOff>219075</xdr:rowOff>
        </xdr:to>
        <xdr:sp macro="" textlink="">
          <xdr:nvSpPr>
            <xdr:cNvPr id="1886209" name="Check Box 1" hidden="1">
              <a:extLst>
                <a:ext uri="{63B3BB69-23CF-44E3-9099-C40C66FF867C}">
                  <a14:compatExt spid="_x0000_s1886209"/>
                </a:ext>
                <a:ext uri="{FF2B5EF4-FFF2-40B4-BE49-F238E27FC236}">
                  <a16:creationId xmlns:a16="http://schemas.microsoft.com/office/drawing/2014/main" id="{00000000-0008-0000-1A00-000001C81C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EP-Ost?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23</xdr:row>
          <xdr:rowOff>28575</xdr:rowOff>
        </xdr:from>
        <xdr:to>
          <xdr:col>6</xdr:col>
          <xdr:colOff>1028700</xdr:colOff>
          <xdr:row>25</xdr:row>
          <xdr:rowOff>219075</xdr:rowOff>
        </xdr:to>
        <xdr:sp macro="" textlink="">
          <xdr:nvSpPr>
            <xdr:cNvPr id="1886210" name="Check Box 2" hidden="1">
              <a:extLst>
                <a:ext uri="{63B3BB69-23CF-44E3-9099-C40C66FF867C}">
                  <a14:compatExt spid="_x0000_s1886210"/>
                </a:ext>
                <a:ext uri="{FF2B5EF4-FFF2-40B4-BE49-F238E27FC236}">
                  <a16:creationId xmlns:a16="http://schemas.microsoft.com/office/drawing/2014/main" id="{00000000-0008-0000-1A00-000002C81C00}"/>
                </a:ext>
              </a:extLst>
            </xdr:cNvPr>
            <xdr:cNvSpPr/>
          </xdr:nvSpPr>
          <xdr:spPr bwMode="auto">
            <a:xfrm>
              <a:off x="0" y="0"/>
              <a:ext cx="0" cy="0"/>
            </a:xfrm>
            <a:prstGeom prst="rect">
              <a:avLst/>
            </a:prstGeom>
            <a:solidFill>
              <a:srgbClr val="EAEAEA"/>
            </a:solidFill>
            <a:ln w="9525">
              <a:solidFill>
                <a:srgbClr val="C0C0C0" mc:Ignorable="a14" a14:legacySpreadsheetColorIndex="22"/>
              </a:solidFill>
              <a:miter lim="800000"/>
              <a:headEnd/>
              <a:tailEnd/>
            </a:ln>
          </xdr:spPr>
          <xdr:txBody>
            <a:bodyPr vertOverflow="clip" wrap="square" lIns="27432" tIns="22860" rIns="0" bIns="22860" anchor="ctr" upright="1"/>
            <a:lstStyle/>
            <a:p>
              <a:pPr algn="l" rtl="0">
                <a:defRPr sz="1000"/>
              </a:pPr>
              <a:r>
                <a:rPr lang="de-DE" sz="1100" b="0" i="0" u="none" strike="noStrike" baseline="0">
                  <a:solidFill>
                    <a:srgbClr val="000000"/>
                  </a:solidFill>
                  <a:latin typeface="Arial"/>
                  <a:cs typeface="Arial"/>
                </a:rPr>
                <a:t>automatischen Sozialabgabenabzug hier deaktivieren!</a:t>
              </a:r>
            </a:p>
          </xdr:txBody>
        </xdr:sp>
        <xdr:clientData fPrintsWithSheet="0"/>
      </xdr:twoCellAnchor>
    </mc:Choice>
    <mc:Fallback/>
  </mc:AlternateContent>
  <xdr:twoCellAnchor>
    <xdr:from>
      <xdr:col>9</xdr:col>
      <xdr:colOff>8284</xdr:colOff>
      <xdr:row>1</xdr:row>
      <xdr:rowOff>16565</xdr:rowOff>
    </xdr:from>
    <xdr:to>
      <xdr:col>12</xdr:col>
      <xdr:colOff>8284</xdr:colOff>
      <xdr:row>1</xdr:row>
      <xdr:rowOff>240196</xdr:rowOff>
    </xdr:to>
    <xdr:sp macro="" textlink="">
      <xdr:nvSpPr>
        <xdr:cNvPr id="6" name="Pfeil: gestreift nach rechts 5">
          <a:hlinkClick xmlns:r="http://schemas.openxmlformats.org/officeDocument/2006/relationships" r:id="rId1"/>
          <a:extLst>
            <a:ext uri="{FF2B5EF4-FFF2-40B4-BE49-F238E27FC236}">
              <a16:creationId xmlns:a16="http://schemas.microsoft.com/office/drawing/2014/main" id="{00000000-0008-0000-1A00-000006000000}"/>
            </a:ext>
          </a:extLst>
        </xdr:cNvPr>
        <xdr:cNvSpPr/>
      </xdr:nvSpPr>
      <xdr:spPr>
        <a:xfrm rot="16200000">
          <a:off x="7388088" y="223631"/>
          <a:ext cx="223631" cy="190500"/>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12</xdr:col>
      <xdr:colOff>8283</xdr:colOff>
      <xdr:row>25</xdr:row>
      <xdr:rowOff>8283</xdr:rowOff>
    </xdr:from>
    <xdr:to>
      <xdr:col>16</xdr:col>
      <xdr:colOff>1060174</xdr:colOff>
      <xdr:row>26</xdr:row>
      <xdr:rowOff>0</xdr:rowOff>
    </xdr:to>
    <xdr:sp macro="" textlink="">
      <xdr:nvSpPr>
        <xdr:cNvPr id="3" name="Rechteck 2">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a:off x="7048500" y="3544957"/>
          <a:ext cx="4257261" cy="1822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790575</xdr:colOff>
          <xdr:row>24</xdr:row>
          <xdr:rowOff>28575</xdr:rowOff>
        </xdr:from>
        <xdr:to>
          <xdr:col>5</xdr:col>
          <xdr:colOff>180975</xdr:colOff>
          <xdr:row>24</xdr:row>
          <xdr:rowOff>219075</xdr:rowOff>
        </xdr:to>
        <xdr:sp macro="" textlink="">
          <xdr:nvSpPr>
            <xdr:cNvPr id="1886215" name="Drop Down 7" hidden="1">
              <a:extLst>
                <a:ext uri="{63B3BB69-23CF-44E3-9099-C40C66FF867C}">
                  <a14:compatExt spid="_x0000_s1886215"/>
                </a:ext>
                <a:ext uri="{FF2B5EF4-FFF2-40B4-BE49-F238E27FC236}">
                  <a16:creationId xmlns:a16="http://schemas.microsoft.com/office/drawing/2014/main" id="{00000000-0008-0000-1A00-000007C81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28575</xdr:rowOff>
        </xdr:from>
        <xdr:to>
          <xdr:col>2</xdr:col>
          <xdr:colOff>333375</xdr:colOff>
          <xdr:row>16</xdr:row>
          <xdr:rowOff>28575</xdr:rowOff>
        </xdr:to>
        <xdr:sp macro="" textlink="">
          <xdr:nvSpPr>
            <xdr:cNvPr id="1886219" name="Option Button 11" hidden="1">
              <a:extLst>
                <a:ext uri="{63B3BB69-23CF-44E3-9099-C40C66FF867C}">
                  <a14:compatExt spid="_x0000_s1886219"/>
                </a:ext>
                <a:ext uri="{FF2B5EF4-FFF2-40B4-BE49-F238E27FC236}">
                  <a16:creationId xmlns:a16="http://schemas.microsoft.com/office/drawing/2014/main" id="{00000000-0008-0000-1A00-00000BC81C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28575</xdr:rowOff>
        </xdr:from>
        <xdr:to>
          <xdr:col>2</xdr:col>
          <xdr:colOff>333375</xdr:colOff>
          <xdr:row>17</xdr:row>
          <xdr:rowOff>28575</xdr:rowOff>
        </xdr:to>
        <xdr:sp macro="" textlink="">
          <xdr:nvSpPr>
            <xdr:cNvPr id="1886220" name="Option Button 12" hidden="1">
              <a:extLst>
                <a:ext uri="{63B3BB69-23CF-44E3-9099-C40C66FF867C}">
                  <a14:compatExt spid="_x0000_s1886220"/>
                </a:ext>
                <a:ext uri="{FF2B5EF4-FFF2-40B4-BE49-F238E27FC236}">
                  <a16:creationId xmlns:a16="http://schemas.microsoft.com/office/drawing/2014/main" id="{00000000-0008-0000-1A00-00000CC81C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28575</xdr:rowOff>
        </xdr:from>
        <xdr:to>
          <xdr:col>2</xdr:col>
          <xdr:colOff>333375</xdr:colOff>
          <xdr:row>18</xdr:row>
          <xdr:rowOff>0</xdr:rowOff>
        </xdr:to>
        <xdr:sp macro="" textlink="">
          <xdr:nvSpPr>
            <xdr:cNvPr id="1886221" name="Option Button 13" hidden="1">
              <a:extLst>
                <a:ext uri="{63B3BB69-23CF-44E3-9099-C40C66FF867C}">
                  <a14:compatExt spid="_x0000_s1886221"/>
                </a:ext>
                <a:ext uri="{FF2B5EF4-FFF2-40B4-BE49-F238E27FC236}">
                  <a16:creationId xmlns:a16="http://schemas.microsoft.com/office/drawing/2014/main" id="{00000000-0008-0000-1A00-00000DC8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0</xdr:rowOff>
        </xdr:from>
        <xdr:to>
          <xdr:col>2</xdr:col>
          <xdr:colOff>333375</xdr:colOff>
          <xdr:row>19</xdr:row>
          <xdr:rowOff>0</xdr:rowOff>
        </xdr:to>
        <xdr:sp macro="" textlink="">
          <xdr:nvSpPr>
            <xdr:cNvPr id="1886222" name="Option Button 14" hidden="1">
              <a:extLst>
                <a:ext uri="{63B3BB69-23CF-44E3-9099-C40C66FF867C}">
                  <a14:compatExt spid="_x0000_s1886222"/>
                </a:ext>
                <a:ext uri="{FF2B5EF4-FFF2-40B4-BE49-F238E27FC236}">
                  <a16:creationId xmlns:a16="http://schemas.microsoft.com/office/drawing/2014/main" id="{00000000-0008-0000-1A00-00000EC8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396450</xdr:colOff>
      <xdr:row>10</xdr:row>
      <xdr:rowOff>160005</xdr:rowOff>
    </xdr:from>
    <xdr:to>
      <xdr:col>2</xdr:col>
      <xdr:colOff>1121815</xdr:colOff>
      <xdr:row>11</xdr:row>
      <xdr:rowOff>84922</xdr:rowOff>
    </xdr:to>
    <xdr:sp macro="" textlink="">
      <xdr:nvSpPr>
        <xdr:cNvPr id="4" name="Rechteck 3">
          <a:hlinkClick xmlns:r="http://schemas.openxmlformats.org/officeDocument/2006/relationships" r:id="rId3"/>
          <a:extLst>
            <a:ext uri="{FF2B5EF4-FFF2-40B4-BE49-F238E27FC236}">
              <a16:creationId xmlns:a16="http://schemas.microsoft.com/office/drawing/2014/main" id="{00000000-0008-0000-1A00-000004000000}"/>
            </a:ext>
          </a:extLst>
        </xdr:cNvPr>
        <xdr:cNvSpPr/>
      </xdr:nvSpPr>
      <xdr:spPr>
        <a:xfrm>
          <a:off x="700059" y="2600786"/>
          <a:ext cx="725365" cy="1511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254907</xdr:colOff>
      <xdr:row>10</xdr:row>
      <xdr:rowOff>148910</xdr:rowOff>
    </xdr:from>
    <xdr:to>
      <xdr:col>8</xdr:col>
      <xdr:colOff>841061</xdr:colOff>
      <xdr:row>11</xdr:row>
      <xdr:rowOff>110462</xdr:rowOff>
    </xdr:to>
    <xdr:sp macro="" textlink="">
      <xdr:nvSpPr>
        <xdr:cNvPr id="5" name="Rechteck 4">
          <a:hlinkClick xmlns:r="http://schemas.openxmlformats.org/officeDocument/2006/relationships" r:id="rId4"/>
          <a:extLst>
            <a:ext uri="{FF2B5EF4-FFF2-40B4-BE49-F238E27FC236}">
              <a16:creationId xmlns:a16="http://schemas.microsoft.com/office/drawing/2014/main" id="{00000000-0008-0000-1A00-000005000000}"/>
            </a:ext>
          </a:extLst>
        </xdr:cNvPr>
        <xdr:cNvSpPr/>
      </xdr:nvSpPr>
      <xdr:spPr>
        <a:xfrm>
          <a:off x="12679136" y="1411653"/>
          <a:ext cx="586154" cy="1538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41867</xdr:colOff>
      <xdr:row>9</xdr:row>
      <xdr:rowOff>187778</xdr:rowOff>
    </xdr:from>
    <xdr:to>
      <xdr:col>8</xdr:col>
      <xdr:colOff>629348</xdr:colOff>
      <xdr:row>10</xdr:row>
      <xdr:rowOff>151144</xdr:rowOff>
    </xdr:to>
    <xdr:sp macro="" textlink="">
      <xdr:nvSpPr>
        <xdr:cNvPr id="15" name="Rechteck 14">
          <a:hlinkClick xmlns:r="http://schemas.openxmlformats.org/officeDocument/2006/relationships" r:id="rId5"/>
          <a:extLst>
            <a:ext uri="{FF2B5EF4-FFF2-40B4-BE49-F238E27FC236}">
              <a16:creationId xmlns:a16="http://schemas.microsoft.com/office/drawing/2014/main" id="{00000000-0008-0000-1A00-00000F000000}"/>
            </a:ext>
          </a:extLst>
        </xdr:cNvPr>
        <xdr:cNvSpPr/>
      </xdr:nvSpPr>
      <xdr:spPr>
        <a:xfrm>
          <a:off x="12466096" y="1258207"/>
          <a:ext cx="587481" cy="1556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2</xdr:col>
      <xdr:colOff>0</xdr:colOff>
      <xdr:row>31</xdr:row>
      <xdr:rowOff>0</xdr:rowOff>
    </xdr:from>
    <xdr:to>
      <xdr:col>2</xdr:col>
      <xdr:colOff>586154</xdr:colOff>
      <xdr:row>31</xdr:row>
      <xdr:rowOff>152052</xdr:rowOff>
    </xdr:to>
    <xdr:sp macro="" textlink="">
      <xdr:nvSpPr>
        <xdr:cNvPr id="17" name="Rechteck 16">
          <a:hlinkClick xmlns:r="http://schemas.openxmlformats.org/officeDocument/2006/relationships" r:id="rId4"/>
          <a:extLst>
            <a:ext uri="{FF2B5EF4-FFF2-40B4-BE49-F238E27FC236}">
              <a16:creationId xmlns:a16="http://schemas.microsoft.com/office/drawing/2014/main" id="{00000000-0008-0000-1A00-000011000000}"/>
            </a:ext>
          </a:extLst>
        </xdr:cNvPr>
        <xdr:cNvSpPr/>
      </xdr:nvSpPr>
      <xdr:spPr>
        <a:xfrm>
          <a:off x="207065" y="2973457"/>
          <a:ext cx="586154" cy="1520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2</xdr:col>
      <xdr:colOff>2451652</xdr:colOff>
      <xdr:row>31</xdr:row>
      <xdr:rowOff>24847</xdr:rowOff>
    </xdr:from>
    <xdr:to>
      <xdr:col>2</xdr:col>
      <xdr:colOff>3329609</xdr:colOff>
      <xdr:row>31</xdr:row>
      <xdr:rowOff>182216</xdr:rowOff>
    </xdr:to>
    <xdr:sp macro="" textlink="">
      <xdr:nvSpPr>
        <xdr:cNvPr id="18" name="Rechteck 17">
          <a:hlinkClick xmlns:r="http://schemas.openxmlformats.org/officeDocument/2006/relationships" r:id="rId6"/>
          <a:extLst>
            <a:ext uri="{FF2B5EF4-FFF2-40B4-BE49-F238E27FC236}">
              <a16:creationId xmlns:a16="http://schemas.microsoft.com/office/drawing/2014/main" id="{00000000-0008-0000-1A00-000012000000}"/>
            </a:ext>
          </a:extLst>
        </xdr:cNvPr>
        <xdr:cNvSpPr/>
      </xdr:nvSpPr>
      <xdr:spPr>
        <a:xfrm>
          <a:off x="2658717" y="2998304"/>
          <a:ext cx="877957" cy="1573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2</xdr:col>
      <xdr:colOff>2724978</xdr:colOff>
      <xdr:row>34</xdr:row>
      <xdr:rowOff>33131</xdr:rowOff>
    </xdr:from>
    <xdr:to>
      <xdr:col>2</xdr:col>
      <xdr:colOff>4248978</xdr:colOff>
      <xdr:row>34</xdr:row>
      <xdr:rowOff>173935</xdr:rowOff>
    </xdr:to>
    <xdr:sp macro="" textlink="">
      <xdr:nvSpPr>
        <xdr:cNvPr id="19" name="Rechteck 18">
          <a:hlinkClick xmlns:r="http://schemas.openxmlformats.org/officeDocument/2006/relationships" r:id="rId7"/>
          <a:extLst>
            <a:ext uri="{FF2B5EF4-FFF2-40B4-BE49-F238E27FC236}">
              <a16:creationId xmlns:a16="http://schemas.microsoft.com/office/drawing/2014/main" id="{00000000-0008-0000-1A00-000013000000}"/>
            </a:ext>
          </a:extLst>
        </xdr:cNvPr>
        <xdr:cNvSpPr/>
      </xdr:nvSpPr>
      <xdr:spPr>
        <a:xfrm>
          <a:off x="2932043" y="3578088"/>
          <a:ext cx="1524000" cy="140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2</xdr:col>
      <xdr:colOff>3735456</xdr:colOff>
      <xdr:row>27</xdr:row>
      <xdr:rowOff>24848</xdr:rowOff>
    </xdr:from>
    <xdr:to>
      <xdr:col>2</xdr:col>
      <xdr:colOff>5168348</xdr:colOff>
      <xdr:row>28</xdr:row>
      <xdr:rowOff>0</xdr:rowOff>
    </xdr:to>
    <xdr:sp macro="" textlink="">
      <xdr:nvSpPr>
        <xdr:cNvPr id="21" name="Rechteck 20">
          <a:hlinkClick xmlns:r="http://schemas.openxmlformats.org/officeDocument/2006/relationships" r:id="rId5"/>
          <a:extLst>
            <a:ext uri="{FF2B5EF4-FFF2-40B4-BE49-F238E27FC236}">
              <a16:creationId xmlns:a16="http://schemas.microsoft.com/office/drawing/2014/main" id="{00000000-0008-0000-1A00-000015000000}"/>
            </a:ext>
          </a:extLst>
        </xdr:cNvPr>
        <xdr:cNvSpPr/>
      </xdr:nvSpPr>
      <xdr:spPr>
        <a:xfrm>
          <a:off x="3942521" y="2236305"/>
          <a:ext cx="1432892" cy="1656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oneCell">
    <xdr:from>
      <xdr:col>4</xdr:col>
      <xdr:colOff>291316</xdr:colOff>
      <xdr:row>1</xdr:row>
      <xdr:rowOff>23989</xdr:rowOff>
    </xdr:from>
    <xdr:to>
      <xdr:col>4</xdr:col>
      <xdr:colOff>649297</xdr:colOff>
      <xdr:row>1</xdr:row>
      <xdr:rowOff>371475</xdr:rowOff>
    </xdr:to>
    <xdr:pic>
      <xdr:nvPicPr>
        <xdr:cNvPr id="23" name="Grafik 22">
          <a:hlinkClick xmlns:r="http://schemas.openxmlformats.org/officeDocument/2006/relationships" r:id="rId8"/>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9"/>
        <a:stretch>
          <a:fillRect/>
        </a:stretch>
      </xdr:blipFill>
      <xdr:spPr>
        <a:xfrm>
          <a:off x="3101191" y="166864"/>
          <a:ext cx="357981" cy="3474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28575</xdr:colOff>
          <xdr:row>15</xdr:row>
          <xdr:rowOff>28575</xdr:rowOff>
        </xdr:from>
        <xdr:to>
          <xdr:col>5</xdr:col>
          <xdr:colOff>295275</xdr:colOff>
          <xdr:row>16</xdr:row>
          <xdr:rowOff>0</xdr:rowOff>
        </xdr:to>
        <xdr:sp macro="" textlink="">
          <xdr:nvSpPr>
            <xdr:cNvPr id="1886375" name="Check Box 167" hidden="1">
              <a:extLst>
                <a:ext uri="{63B3BB69-23CF-44E3-9099-C40C66FF867C}">
                  <a14:compatExt spid="_x0000_s1886375"/>
                </a:ext>
                <a:ext uri="{FF2B5EF4-FFF2-40B4-BE49-F238E27FC236}">
                  <a16:creationId xmlns:a16="http://schemas.microsoft.com/office/drawing/2014/main" id="{00000000-0008-0000-1A00-0000A7C8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28575</xdr:rowOff>
        </xdr:from>
        <xdr:to>
          <xdr:col>5</xdr:col>
          <xdr:colOff>295275</xdr:colOff>
          <xdr:row>17</xdr:row>
          <xdr:rowOff>0</xdr:rowOff>
        </xdr:to>
        <xdr:sp macro="" textlink="">
          <xdr:nvSpPr>
            <xdr:cNvPr id="1886376" name="Check Box 168" hidden="1">
              <a:extLst>
                <a:ext uri="{63B3BB69-23CF-44E3-9099-C40C66FF867C}">
                  <a14:compatExt spid="_x0000_s1886376"/>
                </a:ext>
                <a:ext uri="{FF2B5EF4-FFF2-40B4-BE49-F238E27FC236}">
                  <a16:creationId xmlns:a16="http://schemas.microsoft.com/office/drawing/2014/main" id="{00000000-0008-0000-1A00-0000A8C8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xdr:row>
          <xdr:rowOff>28575</xdr:rowOff>
        </xdr:from>
        <xdr:to>
          <xdr:col>5</xdr:col>
          <xdr:colOff>295275</xdr:colOff>
          <xdr:row>18</xdr:row>
          <xdr:rowOff>0</xdr:rowOff>
        </xdr:to>
        <xdr:sp macro="" textlink="">
          <xdr:nvSpPr>
            <xdr:cNvPr id="1886377" name="Check Box 169" hidden="1">
              <a:extLst>
                <a:ext uri="{63B3BB69-23CF-44E3-9099-C40C66FF867C}">
                  <a14:compatExt spid="_x0000_s1886377"/>
                </a:ext>
                <a:ext uri="{FF2B5EF4-FFF2-40B4-BE49-F238E27FC236}">
                  <a16:creationId xmlns:a16="http://schemas.microsoft.com/office/drawing/2014/main" id="{00000000-0008-0000-1A00-0000A9C8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28575</xdr:rowOff>
        </xdr:from>
        <xdr:to>
          <xdr:col>5</xdr:col>
          <xdr:colOff>295275</xdr:colOff>
          <xdr:row>19</xdr:row>
          <xdr:rowOff>0</xdr:rowOff>
        </xdr:to>
        <xdr:sp macro="" textlink="">
          <xdr:nvSpPr>
            <xdr:cNvPr id="1886378" name="Check Box 170" hidden="1">
              <a:extLst>
                <a:ext uri="{63B3BB69-23CF-44E3-9099-C40C66FF867C}">
                  <a14:compatExt spid="_x0000_s1886378"/>
                </a:ext>
                <a:ext uri="{FF2B5EF4-FFF2-40B4-BE49-F238E27FC236}">
                  <a16:creationId xmlns:a16="http://schemas.microsoft.com/office/drawing/2014/main" id="{00000000-0008-0000-1A00-0000AAC8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xdr:row>
          <xdr:rowOff>28575</xdr:rowOff>
        </xdr:from>
        <xdr:to>
          <xdr:col>2</xdr:col>
          <xdr:colOff>1362075</xdr:colOff>
          <xdr:row>22</xdr:row>
          <xdr:rowOff>219075</xdr:rowOff>
        </xdr:to>
        <xdr:sp macro="" textlink="">
          <xdr:nvSpPr>
            <xdr:cNvPr id="1886379" name="Check Box 171" hidden="1">
              <a:extLst>
                <a:ext uri="{63B3BB69-23CF-44E3-9099-C40C66FF867C}">
                  <a14:compatExt spid="_x0000_s1886379"/>
                </a:ext>
                <a:ext uri="{FF2B5EF4-FFF2-40B4-BE49-F238E27FC236}">
                  <a16:creationId xmlns:a16="http://schemas.microsoft.com/office/drawing/2014/main" id="{00000000-0008-0000-1A00-0000ABC81C00}"/>
                </a:ext>
              </a:extLst>
            </xdr:cNvPr>
            <xdr:cNvSpPr/>
          </xdr:nvSpPr>
          <xdr:spPr bwMode="auto">
            <a:xfrm>
              <a:off x="0" y="0"/>
              <a:ext cx="0" cy="0"/>
            </a:xfrm>
            <a:prstGeom prst="rect">
              <a:avLst/>
            </a:prstGeom>
            <a:solidFill>
              <a:srgbClr val="EAEAEA"/>
            </a:solidFill>
            <a:ln w="9525">
              <a:solidFill>
                <a:srgbClr val="C0C0C0" mc:Ignorable="a14" a14:legacySpreadsheetColorIndex="22"/>
              </a:solidFill>
              <a:miter lim="800000"/>
              <a:headEnd/>
              <a:tailEnd/>
            </a:ln>
          </xdr:spPr>
          <xdr:txBody>
            <a:bodyPr vertOverflow="clip" wrap="square" lIns="27432" tIns="22860" rIns="0" bIns="22860" anchor="ctr" upright="1"/>
            <a:lstStyle/>
            <a:p>
              <a:pPr algn="l" rtl="0">
                <a:defRPr sz="1000"/>
              </a:pPr>
              <a:r>
                <a:rPr lang="de-DE" sz="1100" b="0" i="0" u="none" strike="noStrike" baseline="0">
                  <a:solidFill>
                    <a:srgbClr val="000000"/>
                  </a:solidFill>
                  <a:latin typeface="Arial"/>
                  <a:cs typeface="Arial"/>
                </a:rPr>
                <a:t>Privat Versicherte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xdr:row>
          <xdr:rowOff>28575</xdr:rowOff>
        </xdr:from>
        <xdr:to>
          <xdr:col>2</xdr:col>
          <xdr:colOff>257175</xdr:colOff>
          <xdr:row>9</xdr:row>
          <xdr:rowOff>0</xdr:rowOff>
        </xdr:to>
        <xdr:sp macro="" textlink="">
          <xdr:nvSpPr>
            <xdr:cNvPr id="1886389" name="Check Box 181" hidden="1">
              <a:extLst>
                <a:ext uri="{63B3BB69-23CF-44E3-9099-C40C66FF867C}">
                  <a14:compatExt spid="_x0000_s1886389"/>
                </a:ext>
                <a:ext uri="{FF2B5EF4-FFF2-40B4-BE49-F238E27FC236}">
                  <a16:creationId xmlns:a16="http://schemas.microsoft.com/office/drawing/2014/main" id="{00000000-0008-0000-1A00-0000B5C81C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267890</xdr:colOff>
      <xdr:row>10</xdr:row>
      <xdr:rowOff>35719</xdr:rowOff>
    </xdr:from>
    <xdr:to>
      <xdr:col>7</xdr:col>
      <xdr:colOff>708421</xdr:colOff>
      <xdr:row>10</xdr:row>
      <xdr:rowOff>154781</xdr:rowOff>
    </xdr:to>
    <xdr:sp macro="" textlink="">
      <xdr:nvSpPr>
        <xdr:cNvPr id="8" name="Rechteck 7">
          <a:hlinkClick xmlns:r="http://schemas.openxmlformats.org/officeDocument/2006/relationships" r:id="rId5"/>
          <a:extLst>
            <a:ext uri="{FF2B5EF4-FFF2-40B4-BE49-F238E27FC236}">
              <a16:creationId xmlns:a16="http://schemas.microsoft.com/office/drawing/2014/main" id="{00000000-0008-0000-1A00-000008000000}"/>
            </a:ext>
          </a:extLst>
        </xdr:cNvPr>
        <xdr:cNvSpPr/>
      </xdr:nvSpPr>
      <xdr:spPr>
        <a:xfrm>
          <a:off x="6155531" y="2476500"/>
          <a:ext cx="440531"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229790</xdr:colOff>
      <xdr:row>10</xdr:row>
      <xdr:rowOff>188119</xdr:rowOff>
    </xdr:from>
    <xdr:to>
      <xdr:col>6</xdr:col>
      <xdr:colOff>803671</xdr:colOff>
      <xdr:row>11</xdr:row>
      <xdr:rowOff>71437</xdr:rowOff>
    </xdr:to>
    <xdr:sp macro="" textlink="">
      <xdr:nvSpPr>
        <xdr:cNvPr id="29" name="Rechteck 28">
          <a:hlinkClick xmlns:r="http://schemas.openxmlformats.org/officeDocument/2006/relationships" r:id="rId4"/>
          <a:extLst>
            <a:ext uri="{FF2B5EF4-FFF2-40B4-BE49-F238E27FC236}">
              <a16:creationId xmlns:a16="http://schemas.microsoft.com/office/drawing/2014/main" id="{00000000-0008-0000-1A00-00001D000000}"/>
            </a:ext>
          </a:extLst>
        </xdr:cNvPr>
        <xdr:cNvSpPr/>
      </xdr:nvSpPr>
      <xdr:spPr>
        <a:xfrm>
          <a:off x="5069681" y="2628900"/>
          <a:ext cx="573881" cy="1095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4</xdr:col>
      <xdr:colOff>696516</xdr:colOff>
      <xdr:row>27</xdr:row>
      <xdr:rowOff>59531</xdr:rowOff>
    </xdr:from>
    <xdr:to>
      <xdr:col>5</xdr:col>
      <xdr:colOff>940593</xdr:colOff>
      <xdr:row>27</xdr:row>
      <xdr:rowOff>208359</xdr:rowOff>
    </xdr:to>
    <xdr:sp macro="" textlink="">
      <xdr:nvSpPr>
        <xdr:cNvPr id="30" name="Rechteck 29">
          <a:hlinkClick xmlns:r="http://schemas.openxmlformats.org/officeDocument/2006/relationships" r:id="rId5"/>
          <a:extLst>
            <a:ext uri="{FF2B5EF4-FFF2-40B4-BE49-F238E27FC236}">
              <a16:creationId xmlns:a16="http://schemas.microsoft.com/office/drawing/2014/main" id="{00000000-0008-0000-1A00-00001E000000}"/>
            </a:ext>
          </a:extLst>
        </xdr:cNvPr>
        <xdr:cNvSpPr/>
      </xdr:nvSpPr>
      <xdr:spPr>
        <a:xfrm>
          <a:off x="3524250" y="6346031"/>
          <a:ext cx="1208484" cy="1488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457240</xdr:colOff>
      <xdr:row>2</xdr:row>
      <xdr:rowOff>207429</xdr:rowOff>
    </xdr:to>
    <xdr:pic>
      <xdr:nvPicPr>
        <xdr:cNvPr id="5" name="Grafik 4">
          <a:hlinkClick xmlns:r="http://schemas.openxmlformats.org/officeDocument/2006/relationships" r:id="rId1"/>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2"/>
        <a:stretch>
          <a:fillRect/>
        </a:stretch>
      </xdr:blipFill>
      <xdr:spPr>
        <a:xfrm>
          <a:off x="190500" y="203200"/>
          <a:ext cx="457240" cy="439204"/>
        </a:xfrm>
        <a:prstGeom prst="rect">
          <a:avLst/>
        </a:prstGeom>
      </xdr:spPr>
    </xdr:pic>
    <xdr:clientData/>
  </xdr:twoCellAnchor>
  <xdr:twoCellAnchor editAs="oneCell">
    <xdr:from>
      <xdr:col>16</xdr:col>
      <xdr:colOff>669924</xdr:colOff>
      <xdr:row>25</xdr:row>
      <xdr:rowOff>79418</xdr:rowOff>
    </xdr:from>
    <xdr:to>
      <xdr:col>16</xdr:col>
      <xdr:colOff>955714</xdr:colOff>
      <xdr:row>26</xdr:row>
      <xdr:rowOff>36313</xdr:rowOff>
    </xdr:to>
    <xdr:pic>
      <xdr:nvPicPr>
        <xdr:cNvPr id="8" name="Grafik 7">
          <a:hlinkClick xmlns:r="http://schemas.openxmlformats.org/officeDocument/2006/relationships" r:id="rId3"/>
          <a:extLst>
            <a:ext uri="{FF2B5EF4-FFF2-40B4-BE49-F238E27FC236}">
              <a16:creationId xmlns:a16="http://schemas.microsoft.com/office/drawing/2014/main" id="{00000000-0008-0000-1B00-000008000000}"/>
            </a:ext>
          </a:extLst>
        </xdr:cNvPr>
        <xdr:cNvPicPr>
          <a:picLocks noChangeAspect="1"/>
        </xdr:cNvPicPr>
      </xdr:nvPicPr>
      <xdr:blipFill>
        <a:blip xmlns:r="http://schemas.openxmlformats.org/officeDocument/2006/relationships" r:embed="rId2"/>
        <a:stretch>
          <a:fillRect/>
        </a:stretch>
      </xdr:blipFill>
      <xdr:spPr>
        <a:xfrm>
          <a:off x="15154274" y="4702218"/>
          <a:ext cx="285790" cy="280411"/>
        </a:xfrm>
        <a:prstGeom prst="rect">
          <a:avLst/>
        </a:prstGeom>
      </xdr:spPr>
    </xdr:pic>
    <xdr:clientData/>
  </xdr:twoCellAnchor>
  <xdr:twoCellAnchor editAs="oneCell">
    <xdr:from>
      <xdr:col>16</xdr:col>
      <xdr:colOff>650874</xdr:colOff>
      <xdr:row>1</xdr:row>
      <xdr:rowOff>120693</xdr:rowOff>
    </xdr:from>
    <xdr:to>
      <xdr:col>16</xdr:col>
      <xdr:colOff>936664</xdr:colOff>
      <xdr:row>2</xdr:row>
      <xdr:rowOff>162979</xdr:rowOff>
    </xdr:to>
    <xdr:pic>
      <xdr:nvPicPr>
        <xdr:cNvPr id="9" name="Grafik 8">
          <a:hlinkClick xmlns:r="http://schemas.openxmlformats.org/officeDocument/2006/relationships" r:id="rId3"/>
          <a:extLst>
            <a:ext uri="{FF2B5EF4-FFF2-40B4-BE49-F238E27FC236}">
              <a16:creationId xmlns:a16="http://schemas.microsoft.com/office/drawing/2014/main" id="{00000000-0008-0000-1B00-000009000000}"/>
            </a:ext>
          </a:extLst>
        </xdr:cNvPr>
        <xdr:cNvPicPr>
          <a:picLocks noChangeAspect="1"/>
        </xdr:cNvPicPr>
      </xdr:nvPicPr>
      <xdr:blipFill>
        <a:blip xmlns:r="http://schemas.openxmlformats.org/officeDocument/2006/relationships" r:embed="rId2"/>
        <a:stretch>
          <a:fillRect/>
        </a:stretch>
      </xdr:blipFill>
      <xdr:spPr>
        <a:xfrm>
          <a:off x="15135224" y="323893"/>
          <a:ext cx="285790" cy="283586"/>
        </a:xfrm>
        <a:prstGeom prst="rect">
          <a:avLst/>
        </a:prstGeom>
      </xdr:spPr>
    </xdr:pic>
    <xdr:clientData/>
  </xdr:twoCellAnchor>
  <xdr:twoCellAnchor editAs="oneCell">
    <xdr:from>
      <xdr:col>8</xdr:col>
      <xdr:colOff>508000</xdr:colOff>
      <xdr:row>19</xdr:row>
      <xdr:rowOff>57150</xdr:rowOff>
    </xdr:from>
    <xdr:to>
      <xdr:col>8</xdr:col>
      <xdr:colOff>793790</xdr:colOff>
      <xdr:row>20</xdr:row>
      <xdr:rowOff>137536</xdr:rowOff>
    </xdr:to>
    <xdr:pic>
      <xdr:nvPicPr>
        <xdr:cNvPr id="10" name="Grafik 9">
          <a:hlinkClick xmlns:r="http://schemas.openxmlformats.org/officeDocument/2006/relationships" r:id="rId4"/>
          <a:extLst>
            <a:ext uri="{FF2B5EF4-FFF2-40B4-BE49-F238E27FC236}">
              <a16:creationId xmlns:a16="http://schemas.microsoft.com/office/drawing/2014/main" id="{00000000-0008-0000-1B00-00000A000000}"/>
            </a:ext>
          </a:extLst>
        </xdr:cNvPr>
        <xdr:cNvPicPr>
          <a:picLocks noChangeAspect="1"/>
        </xdr:cNvPicPr>
      </xdr:nvPicPr>
      <xdr:blipFill>
        <a:blip xmlns:r="http://schemas.openxmlformats.org/officeDocument/2006/relationships" r:embed="rId2"/>
        <a:stretch>
          <a:fillRect/>
        </a:stretch>
      </xdr:blipFill>
      <xdr:spPr>
        <a:xfrm>
          <a:off x="6781800" y="4679950"/>
          <a:ext cx="285790" cy="283586"/>
        </a:xfrm>
        <a:prstGeom prst="rect">
          <a:avLst/>
        </a:prstGeom>
      </xdr:spPr>
    </xdr:pic>
    <xdr:clientData/>
  </xdr:twoCellAnchor>
  <xdr:twoCellAnchor editAs="oneCell">
    <xdr:from>
      <xdr:col>12</xdr:col>
      <xdr:colOff>177800</xdr:colOff>
      <xdr:row>6</xdr:row>
      <xdr:rowOff>273050</xdr:rowOff>
    </xdr:from>
    <xdr:to>
      <xdr:col>12</xdr:col>
      <xdr:colOff>463590</xdr:colOff>
      <xdr:row>8</xdr:row>
      <xdr:rowOff>29586</xdr:rowOff>
    </xdr:to>
    <xdr:pic>
      <xdr:nvPicPr>
        <xdr:cNvPr id="11" name="Grafik 10">
          <a:hlinkClick xmlns:r="http://schemas.openxmlformats.org/officeDocument/2006/relationships" r:id="rId5"/>
          <a:extLst>
            <a:ext uri="{FF2B5EF4-FFF2-40B4-BE49-F238E27FC236}">
              <a16:creationId xmlns:a16="http://schemas.microsoft.com/office/drawing/2014/main" id="{00000000-0008-0000-1B00-00000B000000}"/>
            </a:ext>
          </a:extLst>
        </xdr:cNvPr>
        <xdr:cNvPicPr>
          <a:picLocks noChangeAspect="1"/>
        </xdr:cNvPicPr>
      </xdr:nvPicPr>
      <xdr:blipFill>
        <a:blip xmlns:r="http://schemas.openxmlformats.org/officeDocument/2006/relationships" r:embed="rId2"/>
        <a:stretch>
          <a:fillRect/>
        </a:stretch>
      </xdr:blipFill>
      <xdr:spPr>
        <a:xfrm>
          <a:off x="9201150" y="1568450"/>
          <a:ext cx="285790" cy="283586"/>
        </a:xfrm>
        <a:prstGeom prst="rect">
          <a:avLst/>
        </a:prstGeom>
      </xdr:spPr>
    </xdr:pic>
    <xdr:clientData/>
  </xdr:twoCellAnchor>
  <xdr:twoCellAnchor>
    <xdr:from>
      <xdr:col>14</xdr:col>
      <xdr:colOff>112059</xdr:colOff>
      <xdr:row>19</xdr:row>
      <xdr:rowOff>0</xdr:rowOff>
    </xdr:from>
    <xdr:to>
      <xdr:col>16</xdr:col>
      <xdr:colOff>930089</xdr:colOff>
      <xdr:row>19</xdr:row>
      <xdr:rowOff>190500</xdr:rowOff>
    </xdr:to>
    <xdr:sp macro="" textlink="">
      <xdr:nvSpPr>
        <xdr:cNvPr id="2" name="Rechteck 1">
          <a:hlinkClick xmlns:r="http://schemas.openxmlformats.org/officeDocument/2006/relationships" r:id="rId6"/>
          <a:extLst>
            <a:ext uri="{FF2B5EF4-FFF2-40B4-BE49-F238E27FC236}">
              <a16:creationId xmlns:a16="http://schemas.microsoft.com/office/drawing/2014/main" id="{00000000-0008-0000-1B00-000002000000}"/>
            </a:ext>
          </a:extLst>
        </xdr:cNvPr>
        <xdr:cNvSpPr/>
      </xdr:nvSpPr>
      <xdr:spPr>
        <a:xfrm>
          <a:off x="10174941" y="4762500"/>
          <a:ext cx="558053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ln>
              <a:noFill/>
            </a:ln>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23</xdr:row>
          <xdr:rowOff>257175</xdr:rowOff>
        </xdr:from>
        <xdr:to>
          <xdr:col>2</xdr:col>
          <xdr:colOff>333375</xdr:colOff>
          <xdr:row>23</xdr:row>
          <xdr:rowOff>409575</xdr:rowOff>
        </xdr:to>
        <xdr:sp macro="" textlink="">
          <xdr:nvSpPr>
            <xdr:cNvPr id="2019329" name="Option Button 1" hidden="1">
              <a:extLst>
                <a:ext uri="{63B3BB69-23CF-44E3-9099-C40C66FF867C}">
                  <a14:compatExt spid="_x0000_s2019329"/>
                </a:ext>
                <a:ext uri="{FF2B5EF4-FFF2-40B4-BE49-F238E27FC236}">
                  <a16:creationId xmlns:a16="http://schemas.microsoft.com/office/drawing/2014/main" id="{00000000-0008-0000-1C00-000001D01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VVR einrechnechnen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23</xdr:row>
          <xdr:rowOff>419100</xdr:rowOff>
        </xdr:from>
        <xdr:to>
          <xdr:col>2</xdr:col>
          <xdr:colOff>371475</xdr:colOff>
          <xdr:row>25</xdr:row>
          <xdr:rowOff>38100</xdr:rowOff>
        </xdr:to>
        <xdr:sp macro="" textlink="">
          <xdr:nvSpPr>
            <xdr:cNvPr id="2019330" name="Option Button 2" hidden="1">
              <a:extLst>
                <a:ext uri="{63B3BB69-23CF-44E3-9099-C40C66FF867C}">
                  <a14:compatExt spid="_x0000_s2019330"/>
                </a:ext>
                <a:ext uri="{FF2B5EF4-FFF2-40B4-BE49-F238E27FC236}">
                  <a16:creationId xmlns:a16="http://schemas.microsoft.com/office/drawing/2014/main" id="{00000000-0008-0000-1C00-000002D01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Berechnung nach BewG</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2924175</xdr:colOff>
          <xdr:row>14</xdr:row>
          <xdr:rowOff>180975</xdr:rowOff>
        </xdr:from>
        <xdr:to>
          <xdr:col>2</xdr:col>
          <xdr:colOff>3609975</xdr:colOff>
          <xdr:row>16</xdr:row>
          <xdr:rowOff>28575</xdr:rowOff>
        </xdr:to>
        <xdr:sp macro="" textlink="">
          <xdr:nvSpPr>
            <xdr:cNvPr id="1789953" name="Check Box 1" hidden="1">
              <a:extLst>
                <a:ext uri="{63B3BB69-23CF-44E3-9099-C40C66FF867C}">
                  <a14:compatExt spid="_x0000_s1789953"/>
                </a:ext>
                <a:ext uri="{FF2B5EF4-FFF2-40B4-BE49-F238E27FC236}">
                  <a16:creationId xmlns:a16="http://schemas.microsoft.com/office/drawing/2014/main" id="{00000000-0008-0000-1D00-00000150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 Euro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2924175</xdr:colOff>
          <xdr:row>13</xdr:row>
          <xdr:rowOff>180975</xdr:rowOff>
        </xdr:from>
        <xdr:to>
          <xdr:col>2</xdr:col>
          <xdr:colOff>3609975</xdr:colOff>
          <xdr:row>15</xdr:row>
          <xdr:rowOff>28575</xdr:rowOff>
        </xdr:to>
        <xdr:sp macro="" textlink="">
          <xdr:nvSpPr>
            <xdr:cNvPr id="1789954" name="Check Box 2" hidden="1">
              <a:extLst>
                <a:ext uri="{63B3BB69-23CF-44E3-9099-C40C66FF867C}">
                  <a14:compatExt spid="_x0000_s1789954"/>
                </a:ext>
                <a:ext uri="{FF2B5EF4-FFF2-40B4-BE49-F238E27FC236}">
                  <a16:creationId xmlns:a16="http://schemas.microsoft.com/office/drawing/2014/main" id="{00000000-0008-0000-1D00-00000250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vereinbart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12</xdr:row>
          <xdr:rowOff>180975</xdr:rowOff>
        </xdr:from>
        <xdr:to>
          <xdr:col>9</xdr:col>
          <xdr:colOff>371475</xdr:colOff>
          <xdr:row>14</xdr:row>
          <xdr:rowOff>28575</xdr:rowOff>
        </xdr:to>
        <xdr:sp macro="" textlink="">
          <xdr:nvSpPr>
            <xdr:cNvPr id="1789958" name="Option Button 6" hidden="1">
              <a:extLst>
                <a:ext uri="{63B3BB69-23CF-44E3-9099-C40C66FF867C}">
                  <a14:compatExt spid="_x0000_s1789958"/>
                </a:ext>
                <a:ext uri="{FF2B5EF4-FFF2-40B4-BE49-F238E27FC236}">
                  <a16:creationId xmlns:a16="http://schemas.microsoft.com/office/drawing/2014/main" id="{00000000-0008-0000-1D00-00000650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12</xdr:row>
          <xdr:rowOff>180975</xdr:rowOff>
        </xdr:from>
        <xdr:to>
          <xdr:col>9</xdr:col>
          <xdr:colOff>800100</xdr:colOff>
          <xdr:row>14</xdr:row>
          <xdr:rowOff>28575</xdr:rowOff>
        </xdr:to>
        <xdr:sp macro="" textlink="">
          <xdr:nvSpPr>
            <xdr:cNvPr id="1789959" name="Option Button 7" hidden="1">
              <a:extLst>
                <a:ext uri="{63B3BB69-23CF-44E3-9099-C40C66FF867C}">
                  <a14:compatExt spid="_x0000_s1789959"/>
                </a:ext>
                <a:ext uri="{FF2B5EF4-FFF2-40B4-BE49-F238E27FC236}">
                  <a16:creationId xmlns:a16="http://schemas.microsoft.com/office/drawing/2014/main" id="{00000000-0008-0000-1D00-00000750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t>
              </a:r>
            </a:p>
          </xdr:txBody>
        </xdr:sp>
        <xdr:clientData/>
      </xdr:twoCellAnchor>
    </mc:Choice>
    <mc:Fallback/>
  </mc:AlternateContent>
  <xdr:twoCellAnchor>
    <xdr:from>
      <xdr:col>6</xdr:col>
      <xdr:colOff>0</xdr:colOff>
      <xdr:row>1</xdr:row>
      <xdr:rowOff>0</xdr:rowOff>
    </xdr:from>
    <xdr:to>
      <xdr:col>9</xdr:col>
      <xdr:colOff>23256</xdr:colOff>
      <xdr:row>1</xdr:row>
      <xdr:rowOff>215348</xdr:rowOff>
    </xdr:to>
    <xdr:sp macro="" textlink="">
      <xdr:nvSpPr>
        <xdr:cNvPr id="7" name="Pfeil: gestreift nach rechts 6">
          <a:hlinkClick xmlns:r="http://schemas.openxmlformats.org/officeDocument/2006/relationships" r:id="rId1"/>
          <a:extLst>
            <a:ext uri="{FF2B5EF4-FFF2-40B4-BE49-F238E27FC236}">
              <a16:creationId xmlns:a16="http://schemas.microsoft.com/office/drawing/2014/main" id="{00000000-0008-0000-1E00-000007000000}"/>
            </a:ext>
          </a:extLst>
        </xdr:cNvPr>
        <xdr:cNvSpPr/>
      </xdr:nvSpPr>
      <xdr:spPr>
        <a:xfrm rot="16200000">
          <a:off x="7384743" y="176642"/>
          <a:ext cx="215348" cy="243063"/>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939362</xdr:colOff>
      <xdr:row>1</xdr:row>
      <xdr:rowOff>78828</xdr:rowOff>
    </xdr:from>
    <xdr:to>
      <xdr:col>5</xdr:col>
      <xdr:colOff>381000</xdr:colOff>
      <xdr:row>1</xdr:row>
      <xdr:rowOff>367862</xdr:rowOff>
    </xdr:to>
    <xdr:sp macro="" textlink="">
      <xdr:nvSpPr>
        <xdr:cNvPr id="2" name="Rechteck 1">
          <a:hlinkClick xmlns:r="http://schemas.openxmlformats.org/officeDocument/2006/relationships" r:id="rId2"/>
          <a:extLst>
            <a:ext uri="{FF2B5EF4-FFF2-40B4-BE49-F238E27FC236}">
              <a16:creationId xmlns:a16="http://schemas.microsoft.com/office/drawing/2014/main" id="{00000000-0008-0000-1E00-000002000000}"/>
            </a:ext>
          </a:extLst>
        </xdr:cNvPr>
        <xdr:cNvSpPr/>
      </xdr:nvSpPr>
      <xdr:spPr>
        <a:xfrm>
          <a:off x="4775638" y="269328"/>
          <a:ext cx="1799896" cy="2890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3648075</xdr:colOff>
          <xdr:row>4</xdr:row>
          <xdr:rowOff>180975</xdr:rowOff>
        </xdr:from>
        <xdr:to>
          <xdr:col>4</xdr:col>
          <xdr:colOff>28575</xdr:colOff>
          <xdr:row>6</xdr:row>
          <xdr:rowOff>28575</xdr:rowOff>
        </xdr:to>
        <xdr:sp macro="" textlink="">
          <xdr:nvSpPr>
            <xdr:cNvPr id="1916929" name="Check Box 1" hidden="1">
              <a:extLst>
                <a:ext uri="{63B3BB69-23CF-44E3-9099-C40C66FF867C}">
                  <a14:compatExt spid="_x0000_s1916929"/>
                </a:ext>
                <a:ext uri="{FF2B5EF4-FFF2-40B4-BE49-F238E27FC236}">
                  <a16:creationId xmlns:a16="http://schemas.microsoft.com/office/drawing/2014/main" id="{00000000-0008-0000-1F00-0000014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Entgeltpunkte 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190500</xdr:rowOff>
        </xdr:from>
        <xdr:to>
          <xdr:col>4</xdr:col>
          <xdr:colOff>904875</xdr:colOff>
          <xdr:row>22</xdr:row>
          <xdr:rowOff>0</xdr:rowOff>
        </xdr:to>
        <xdr:sp macro="" textlink="">
          <xdr:nvSpPr>
            <xdr:cNvPr id="1916930" name="Check Box 2" hidden="1">
              <a:extLst>
                <a:ext uri="{63B3BB69-23CF-44E3-9099-C40C66FF867C}">
                  <a14:compatExt spid="_x0000_s1916930"/>
                </a:ext>
                <a:ext uri="{FF2B5EF4-FFF2-40B4-BE49-F238E27FC236}">
                  <a16:creationId xmlns:a16="http://schemas.microsoft.com/office/drawing/2014/main" id="{00000000-0008-0000-1F00-0000024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verheiratet?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190500</xdr:rowOff>
        </xdr:from>
        <xdr:to>
          <xdr:col>6</xdr:col>
          <xdr:colOff>904875</xdr:colOff>
          <xdr:row>22</xdr:row>
          <xdr:rowOff>0</xdr:rowOff>
        </xdr:to>
        <xdr:sp macro="" textlink="">
          <xdr:nvSpPr>
            <xdr:cNvPr id="1916931" name="Check Box 3" hidden="1">
              <a:extLst>
                <a:ext uri="{63B3BB69-23CF-44E3-9099-C40C66FF867C}">
                  <a14:compatExt spid="_x0000_s1916931"/>
                </a:ext>
                <a:ext uri="{FF2B5EF4-FFF2-40B4-BE49-F238E27FC236}">
                  <a16:creationId xmlns:a16="http://schemas.microsoft.com/office/drawing/2014/main" id="{00000000-0008-0000-1F00-0000034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verheiratet?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xdr:row>
          <xdr:rowOff>180975</xdr:rowOff>
        </xdr:from>
        <xdr:to>
          <xdr:col>10</xdr:col>
          <xdr:colOff>219075</xdr:colOff>
          <xdr:row>9</xdr:row>
          <xdr:rowOff>0</xdr:rowOff>
        </xdr:to>
        <xdr:sp macro="" textlink="">
          <xdr:nvSpPr>
            <xdr:cNvPr id="1916932" name="Check Box 4" hidden="1">
              <a:extLst>
                <a:ext uri="{63B3BB69-23CF-44E3-9099-C40C66FF867C}">
                  <a14:compatExt spid="_x0000_s1916932"/>
                </a:ext>
                <a:ext uri="{FF2B5EF4-FFF2-40B4-BE49-F238E27FC236}">
                  <a16:creationId xmlns:a16="http://schemas.microsoft.com/office/drawing/2014/main" id="{00000000-0008-0000-1F00-00000440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20707</xdr:colOff>
      <xdr:row>0</xdr:row>
      <xdr:rowOff>12424</xdr:rowOff>
    </xdr:from>
    <xdr:to>
      <xdr:col>13</xdr:col>
      <xdr:colOff>0</xdr:colOff>
      <xdr:row>0</xdr:row>
      <xdr:rowOff>227772</xdr:rowOff>
    </xdr:to>
    <xdr:sp macro="" textlink="">
      <xdr:nvSpPr>
        <xdr:cNvPr id="2" name="Pfeil: gestreift nach rechts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rot="16200000">
          <a:off x="12641332" y="-2071"/>
          <a:ext cx="215348" cy="244337"/>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2850171</xdr:colOff>
      <xdr:row>8</xdr:row>
      <xdr:rowOff>14654</xdr:rowOff>
    </xdr:from>
    <xdr:to>
      <xdr:col>3</xdr:col>
      <xdr:colOff>4630614</xdr:colOff>
      <xdr:row>9</xdr:row>
      <xdr:rowOff>1</xdr:rowOff>
    </xdr:to>
    <xdr:sp macro="" textlink="">
      <xdr:nvSpPr>
        <xdr:cNvPr id="4" name="Rechteck 3">
          <a:hlinkClick xmlns:r="http://schemas.openxmlformats.org/officeDocument/2006/relationships" r:id="rId2"/>
          <a:extLst>
            <a:ext uri="{FF2B5EF4-FFF2-40B4-BE49-F238E27FC236}">
              <a16:creationId xmlns:a16="http://schemas.microsoft.com/office/drawing/2014/main" id="{00000000-0008-0000-2000-000004000000}"/>
            </a:ext>
          </a:extLst>
        </xdr:cNvPr>
        <xdr:cNvSpPr/>
      </xdr:nvSpPr>
      <xdr:spPr>
        <a:xfrm>
          <a:off x="3069979" y="1648558"/>
          <a:ext cx="1780443" cy="1685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276956</xdr:colOff>
      <xdr:row>14</xdr:row>
      <xdr:rowOff>13188</xdr:rowOff>
    </xdr:from>
    <xdr:to>
      <xdr:col>3</xdr:col>
      <xdr:colOff>4601307</xdr:colOff>
      <xdr:row>14</xdr:row>
      <xdr:rowOff>175846</xdr:rowOff>
    </xdr:to>
    <xdr:sp macro="" textlink="">
      <xdr:nvSpPr>
        <xdr:cNvPr id="9" name="Rechteck 8">
          <a:hlinkClick xmlns:r="http://schemas.openxmlformats.org/officeDocument/2006/relationships" r:id="rId3"/>
          <a:extLst>
            <a:ext uri="{FF2B5EF4-FFF2-40B4-BE49-F238E27FC236}">
              <a16:creationId xmlns:a16="http://schemas.microsoft.com/office/drawing/2014/main" id="{00000000-0008-0000-2000-000009000000}"/>
            </a:ext>
          </a:extLst>
        </xdr:cNvPr>
        <xdr:cNvSpPr/>
      </xdr:nvSpPr>
      <xdr:spPr>
        <a:xfrm>
          <a:off x="496764" y="2768111"/>
          <a:ext cx="4324351" cy="16265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696057</xdr:colOff>
      <xdr:row>19</xdr:row>
      <xdr:rowOff>19049</xdr:rowOff>
    </xdr:from>
    <xdr:to>
      <xdr:col>4</xdr:col>
      <xdr:colOff>0</xdr:colOff>
      <xdr:row>19</xdr:row>
      <xdr:rowOff>183172</xdr:rowOff>
    </xdr:to>
    <xdr:sp macro="" textlink="">
      <xdr:nvSpPr>
        <xdr:cNvPr id="10" name="Rechteck 9">
          <a:hlinkClick xmlns:r="http://schemas.openxmlformats.org/officeDocument/2006/relationships" r:id="rId3"/>
          <a:extLst>
            <a:ext uri="{FF2B5EF4-FFF2-40B4-BE49-F238E27FC236}">
              <a16:creationId xmlns:a16="http://schemas.microsoft.com/office/drawing/2014/main" id="{00000000-0008-0000-2000-00000A000000}"/>
            </a:ext>
          </a:extLst>
        </xdr:cNvPr>
        <xdr:cNvSpPr/>
      </xdr:nvSpPr>
      <xdr:spPr>
        <a:xfrm>
          <a:off x="915865" y="3697164"/>
          <a:ext cx="3941885" cy="1641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728294</xdr:colOff>
      <xdr:row>22</xdr:row>
      <xdr:rowOff>17585</xdr:rowOff>
    </xdr:from>
    <xdr:to>
      <xdr:col>3</xdr:col>
      <xdr:colOff>4630615</xdr:colOff>
      <xdr:row>23</xdr:row>
      <xdr:rowOff>0</xdr:rowOff>
    </xdr:to>
    <xdr:sp macro="" textlink="">
      <xdr:nvSpPr>
        <xdr:cNvPr id="11" name="Rechteck 10">
          <a:hlinkClick xmlns:r="http://schemas.openxmlformats.org/officeDocument/2006/relationships" r:id="rId3"/>
          <a:extLst>
            <a:ext uri="{FF2B5EF4-FFF2-40B4-BE49-F238E27FC236}">
              <a16:creationId xmlns:a16="http://schemas.microsoft.com/office/drawing/2014/main" id="{00000000-0008-0000-2000-00000B000000}"/>
            </a:ext>
          </a:extLst>
        </xdr:cNvPr>
        <xdr:cNvSpPr/>
      </xdr:nvSpPr>
      <xdr:spPr>
        <a:xfrm>
          <a:off x="948102" y="4106008"/>
          <a:ext cx="3902321" cy="165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726829</xdr:colOff>
      <xdr:row>23</xdr:row>
      <xdr:rowOff>23446</xdr:rowOff>
    </xdr:from>
    <xdr:to>
      <xdr:col>3</xdr:col>
      <xdr:colOff>4629150</xdr:colOff>
      <xdr:row>24</xdr:row>
      <xdr:rowOff>5861</xdr:rowOff>
    </xdr:to>
    <xdr:sp macro="" textlink="">
      <xdr:nvSpPr>
        <xdr:cNvPr id="16" name="Rechteck 15">
          <a:hlinkClick xmlns:r="http://schemas.openxmlformats.org/officeDocument/2006/relationships" r:id="rId3"/>
          <a:extLst>
            <a:ext uri="{FF2B5EF4-FFF2-40B4-BE49-F238E27FC236}">
              <a16:creationId xmlns:a16="http://schemas.microsoft.com/office/drawing/2014/main" id="{00000000-0008-0000-2000-000010000000}"/>
            </a:ext>
          </a:extLst>
        </xdr:cNvPr>
        <xdr:cNvSpPr/>
      </xdr:nvSpPr>
      <xdr:spPr>
        <a:xfrm>
          <a:off x="946637" y="4295042"/>
          <a:ext cx="3902321" cy="165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732690</xdr:colOff>
      <xdr:row>27</xdr:row>
      <xdr:rowOff>14654</xdr:rowOff>
    </xdr:from>
    <xdr:to>
      <xdr:col>3</xdr:col>
      <xdr:colOff>4635011</xdr:colOff>
      <xdr:row>27</xdr:row>
      <xdr:rowOff>180242</xdr:rowOff>
    </xdr:to>
    <xdr:sp macro="" textlink="">
      <xdr:nvSpPr>
        <xdr:cNvPr id="17" name="Rechteck 16">
          <a:hlinkClick xmlns:r="http://schemas.openxmlformats.org/officeDocument/2006/relationships" r:id="rId3"/>
          <a:extLst>
            <a:ext uri="{FF2B5EF4-FFF2-40B4-BE49-F238E27FC236}">
              <a16:creationId xmlns:a16="http://schemas.microsoft.com/office/drawing/2014/main" id="{00000000-0008-0000-2000-000011000000}"/>
            </a:ext>
          </a:extLst>
        </xdr:cNvPr>
        <xdr:cNvSpPr/>
      </xdr:nvSpPr>
      <xdr:spPr>
        <a:xfrm>
          <a:off x="952498" y="5018942"/>
          <a:ext cx="3902321" cy="165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723898</xdr:colOff>
      <xdr:row>28</xdr:row>
      <xdr:rowOff>20515</xdr:rowOff>
    </xdr:from>
    <xdr:to>
      <xdr:col>3</xdr:col>
      <xdr:colOff>4626219</xdr:colOff>
      <xdr:row>29</xdr:row>
      <xdr:rowOff>2930</xdr:rowOff>
    </xdr:to>
    <xdr:sp macro="" textlink="">
      <xdr:nvSpPr>
        <xdr:cNvPr id="18" name="Rechteck 17">
          <a:hlinkClick xmlns:r="http://schemas.openxmlformats.org/officeDocument/2006/relationships" r:id="rId3"/>
          <a:extLst>
            <a:ext uri="{FF2B5EF4-FFF2-40B4-BE49-F238E27FC236}">
              <a16:creationId xmlns:a16="http://schemas.microsoft.com/office/drawing/2014/main" id="{00000000-0008-0000-2000-000012000000}"/>
            </a:ext>
          </a:extLst>
        </xdr:cNvPr>
        <xdr:cNvSpPr/>
      </xdr:nvSpPr>
      <xdr:spPr>
        <a:xfrm>
          <a:off x="943706" y="5207977"/>
          <a:ext cx="3902321" cy="1655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11</xdr:col>
      <xdr:colOff>137948</xdr:colOff>
      <xdr:row>1</xdr:row>
      <xdr:rowOff>13138</xdr:rowOff>
    </xdr:from>
    <xdr:to>
      <xdr:col>11</xdr:col>
      <xdr:colOff>853965</xdr:colOff>
      <xdr:row>1</xdr:row>
      <xdr:rowOff>118241</xdr:rowOff>
    </xdr:to>
    <xdr:sp macro="" textlink="">
      <xdr:nvSpPr>
        <xdr:cNvPr id="5" name="Rechteck 4">
          <a:hlinkClick xmlns:r="http://schemas.openxmlformats.org/officeDocument/2006/relationships" r:id="rId4"/>
          <a:extLst>
            <a:ext uri="{FF2B5EF4-FFF2-40B4-BE49-F238E27FC236}">
              <a16:creationId xmlns:a16="http://schemas.microsoft.com/office/drawing/2014/main" id="{6DFE39C4-DF27-3BF0-CC1F-A4ABAC54F3A0}"/>
            </a:ext>
          </a:extLst>
        </xdr:cNvPr>
        <xdr:cNvSpPr/>
      </xdr:nvSpPr>
      <xdr:spPr>
        <a:xfrm>
          <a:off x="10668000" y="282466"/>
          <a:ext cx="716017" cy="1051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11</xdr:col>
      <xdr:colOff>151086</xdr:colOff>
      <xdr:row>2</xdr:row>
      <xdr:rowOff>1315</xdr:rowOff>
    </xdr:from>
    <xdr:to>
      <xdr:col>11</xdr:col>
      <xdr:colOff>867103</xdr:colOff>
      <xdr:row>2</xdr:row>
      <xdr:rowOff>106418</xdr:rowOff>
    </xdr:to>
    <xdr:sp macro="" textlink="">
      <xdr:nvSpPr>
        <xdr:cNvPr id="6" name="Rechteck 5">
          <a:hlinkClick xmlns:r="http://schemas.openxmlformats.org/officeDocument/2006/relationships" r:id="rId5"/>
          <a:extLst>
            <a:ext uri="{FF2B5EF4-FFF2-40B4-BE49-F238E27FC236}">
              <a16:creationId xmlns:a16="http://schemas.microsoft.com/office/drawing/2014/main" id="{49AA69F8-54CF-4C15-85DB-EDFE55809E21}"/>
            </a:ext>
          </a:extLst>
        </xdr:cNvPr>
        <xdr:cNvSpPr/>
      </xdr:nvSpPr>
      <xdr:spPr>
        <a:xfrm>
          <a:off x="10681138" y="500556"/>
          <a:ext cx="716017" cy="1051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11</xdr:col>
      <xdr:colOff>164224</xdr:colOff>
      <xdr:row>2</xdr:row>
      <xdr:rowOff>114301</xdr:rowOff>
    </xdr:from>
    <xdr:to>
      <xdr:col>11</xdr:col>
      <xdr:colOff>880241</xdr:colOff>
      <xdr:row>2</xdr:row>
      <xdr:rowOff>219404</xdr:rowOff>
    </xdr:to>
    <xdr:sp macro="" textlink="">
      <xdr:nvSpPr>
        <xdr:cNvPr id="7" name="Rechteck 6">
          <a:hlinkClick xmlns:r="http://schemas.openxmlformats.org/officeDocument/2006/relationships" r:id="rId6"/>
          <a:extLst>
            <a:ext uri="{FF2B5EF4-FFF2-40B4-BE49-F238E27FC236}">
              <a16:creationId xmlns:a16="http://schemas.microsoft.com/office/drawing/2014/main" id="{A3AD9A11-04CB-4C66-8A99-167633F256BD}"/>
            </a:ext>
          </a:extLst>
        </xdr:cNvPr>
        <xdr:cNvSpPr/>
      </xdr:nvSpPr>
      <xdr:spPr>
        <a:xfrm>
          <a:off x="10694276" y="613542"/>
          <a:ext cx="716017" cy="1051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11</xdr:col>
      <xdr:colOff>155027</xdr:colOff>
      <xdr:row>1</xdr:row>
      <xdr:rowOff>128751</xdr:rowOff>
    </xdr:from>
    <xdr:to>
      <xdr:col>11</xdr:col>
      <xdr:colOff>871044</xdr:colOff>
      <xdr:row>2</xdr:row>
      <xdr:rowOff>3941</xdr:rowOff>
    </xdr:to>
    <xdr:sp macro="" textlink="">
      <xdr:nvSpPr>
        <xdr:cNvPr id="8" name="Rechteck 7">
          <a:hlinkClick xmlns:r="http://schemas.openxmlformats.org/officeDocument/2006/relationships" r:id="rId7"/>
          <a:extLst>
            <a:ext uri="{FF2B5EF4-FFF2-40B4-BE49-F238E27FC236}">
              <a16:creationId xmlns:a16="http://schemas.microsoft.com/office/drawing/2014/main" id="{0EE7A668-0473-4F47-B6BE-D99B95DA52D2}"/>
            </a:ext>
          </a:extLst>
        </xdr:cNvPr>
        <xdr:cNvSpPr/>
      </xdr:nvSpPr>
      <xdr:spPr>
        <a:xfrm>
          <a:off x="10685079" y="398079"/>
          <a:ext cx="716017" cy="1051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561975</xdr:colOff>
          <xdr:row>4</xdr:row>
          <xdr:rowOff>28575</xdr:rowOff>
        </xdr:from>
        <xdr:to>
          <xdr:col>12</xdr:col>
          <xdr:colOff>561975</xdr:colOff>
          <xdr:row>4</xdr:row>
          <xdr:rowOff>180975</xdr:rowOff>
        </xdr:to>
        <xdr:sp macro="" textlink="">
          <xdr:nvSpPr>
            <xdr:cNvPr id="1982466" name="Check Box 2" hidden="1">
              <a:extLst>
                <a:ext uri="{63B3BB69-23CF-44E3-9099-C40C66FF867C}">
                  <a14:compatExt spid="_x0000_s1982466"/>
                </a:ext>
                <a:ext uri="{FF2B5EF4-FFF2-40B4-BE49-F238E27FC236}">
                  <a16:creationId xmlns:a16="http://schemas.microsoft.com/office/drawing/2014/main" id="{00000000-0008-0000-2200-000002401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divers</a:t>
              </a:r>
            </a:p>
          </xdr:txBody>
        </xdr:sp>
        <xdr:clientData/>
      </xdr:twoCellAnchor>
    </mc:Choice>
    <mc:Fallback/>
  </mc:AlternateContent>
  <xdr:twoCellAnchor>
    <xdr:from>
      <xdr:col>4</xdr:col>
      <xdr:colOff>908539</xdr:colOff>
      <xdr:row>0</xdr:row>
      <xdr:rowOff>2</xdr:rowOff>
    </xdr:from>
    <xdr:to>
      <xdr:col>6</xdr:col>
      <xdr:colOff>59891</xdr:colOff>
      <xdr:row>1</xdr:row>
      <xdr:rowOff>24850</xdr:rowOff>
    </xdr:to>
    <xdr:sp macro="" textlink="">
      <xdr:nvSpPr>
        <xdr:cNvPr id="4" name="Pfeil: gestreift nach rechts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rot="16200000">
          <a:off x="6772578" y="-6162"/>
          <a:ext cx="224873" cy="237202"/>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12</xdr:col>
          <xdr:colOff>104775</xdr:colOff>
          <xdr:row>2</xdr:row>
          <xdr:rowOff>142875</xdr:rowOff>
        </xdr:from>
        <xdr:to>
          <xdr:col>13</xdr:col>
          <xdr:colOff>66675</xdr:colOff>
          <xdr:row>3</xdr:row>
          <xdr:rowOff>142875</xdr:rowOff>
        </xdr:to>
        <xdr:sp macro="" textlink="">
          <xdr:nvSpPr>
            <xdr:cNvPr id="1982467" name="Check Box 3" hidden="1">
              <a:extLst>
                <a:ext uri="{63B3BB69-23CF-44E3-9099-C40C66FF867C}">
                  <a14:compatExt spid="_x0000_s1982467"/>
                </a:ext>
                <a:ext uri="{FF2B5EF4-FFF2-40B4-BE49-F238E27FC236}">
                  <a16:creationId xmlns:a16="http://schemas.microsoft.com/office/drawing/2014/main" id="{00000000-0008-0000-2200-000003401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BilMoG-10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3571875</xdr:colOff>
          <xdr:row>13</xdr:row>
          <xdr:rowOff>0</xdr:rowOff>
        </xdr:from>
        <xdr:to>
          <xdr:col>2</xdr:col>
          <xdr:colOff>523875</xdr:colOff>
          <xdr:row>13</xdr:row>
          <xdr:rowOff>180975</xdr:rowOff>
        </xdr:to>
        <xdr:sp macro="" textlink="">
          <xdr:nvSpPr>
            <xdr:cNvPr id="1982469" name="Check Box 5" hidden="1">
              <a:extLst>
                <a:ext uri="{63B3BB69-23CF-44E3-9099-C40C66FF867C}">
                  <a14:compatExt spid="_x0000_s1982469"/>
                </a:ext>
                <a:ext uri="{FF2B5EF4-FFF2-40B4-BE49-F238E27FC236}">
                  <a16:creationId xmlns:a16="http://schemas.microsoft.com/office/drawing/2014/main" id="{00000000-0008-0000-2200-000005401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EP Ost</a:t>
              </a:r>
            </a:p>
          </xdr:txBody>
        </xdr:sp>
        <xdr:clientData/>
      </xdr:twoCellAnchor>
    </mc:Choice>
    <mc:Fallback/>
  </mc:AlternateContent>
  <xdr:twoCellAnchor>
    <xdr:from>
      <xdr:col>1</xdr:col>
      <xdr:colOff>14655</xdr:colOff>
      <xdr:row>17</xdr:row>
      <xdr:rowOff>14654</xdr:rowOff>
    </xdr:from>
    <xdr:to>
      <xdr:col>2</xdr:col>
      <xdr:colOff>73269</xdr:colOff>
      <xdr:row>17</xdr:row>
      <xdr:rowOff>161194</xdr:rowOff>
    </xdr:to>
    <xdr:sp macro="" textlink="">
      <xdr:nvSpPr>
        <xdr:cNvPr id="2" name="Rechteck 1">
          <a:hlinkClick xmlns:r="http://schemas.openxmlformats.org/officeDocument/2006/relationships" r:id="rId2"/>
          <a:extLst>
            <a:ext uri="{FF2B5EF4-FFF2-40B4-BE49-F238E27FC236}">
              <a16:creationId xmlns:a16="http://schemas.microsoft.com/office/drawing/2014/main" id="{00000000-0008-0000-2300-000002000000}"/>
            </a:ext>
          </a:extLst>
        </xdr:cNvPr>
        <xdr:cNvSpPr/>
      </xdr:nvSpPr>
      <xdr:spPr>
        <a:xfrm>
          <a:off x="278424" y="3253154"/>
          <a:ext cx="4022480" cy="1465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0</xdr:col>
      <xdr:colOff>262304</xdr:colOff>
      <xdr:row>24</xdr:row>
      <xdr:rowOff>181707</xdr:rowOff>
    </xdr:from>
    <xdr:to>
      <xdr:col>2</xdr:col>
      <xdr:colOff>57149</xdr:colOff>
      <xdr:row>25</xdr:row>
      <xdr:rowOff>183172</xdr:rowOff>
    </xdr:to>
    <xdr:sp macro="" textlink="">
      <xdr:nvSpPr>
        <xdr:cNvPr id="8" name="Rechteck 7">
          <a:hlinkClick xmlns:r="http://schemas.openxmlformats.org/officeDocument/2006/relationships" r:id="rId2"/>
          <a:extLst>
            <a:ext uri="{FF2B5EF4-FFF2-40B4-BE49-F238E27FC236}">
              <a16:creationId xmlns:a16="http://schemas.microsoft.com/office/drawing/2014/main" id="{00000000-0008-0000-2300-000008000000}"/>
            </a:ext>
          </a:extLst>
        </xdr:cNvPr>
        <xdr:cNvSpPr/>
      </xdr:nvSpPr>
      <xdr:spPr>
        <a:xfrm>
          <a:off x="262304" y="4519245"/>
          <a:ext cx="4022480" cy="1846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xdr:col>
      <xdr:colOff>1301261</xdr:colOff>
      <xdr:row>28</xdr:row>
      <xdr:rowOff>4394</xdr:rowOff>
    </xdr:from>
    <xdr:to>
      <xdr:col>3</xdr:col>
      <xdr:colOff>524606</xdr:colOff>
      <xdr:row>29</xdr:row>
      <xdr:rowOff>5860</xdr:rowOff>
    </xdr:to>
    <xdr:sp macro="" textlink="">
      <xdr:nvSpPr>
        <xdr:cNvPr id="9" name="Rechteck 8">
          <a:hlinkClick xmlns:r="http://schemas.openxmlformats.org/officeDocument/2006/relationships" r:id="rId3"/>
          <a:extLst>
            <a:ext uri="{FF2B5EF4-FFF2-40B4-BE49-F238E27FC236}">
              <a16:creationId xmlns:a16="http://schemas.microsoft.com/office/drawing/2014/main" id="{00000000-0008-0000-2300-000009000000}"/>
            </a:ext>
          </a:extLst>
        </xdr:cNvPr>
        <xdr:cNvSpPr/>
      </xdr:nvSpPr>
      <xdr:spPr>
        <a:xfrm>
          <a:off x="1565030" y="5074625"/>
          <a:ext cx="4022480" cy="184639"/>
        </a:xfrm>
        <a:prstGeom prst="rect">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36635</xdr:colOff>
      <xdr:row>20</xdr:row>
      <xdr:rowOff>14653</xdr:rowOff>
    </xdr:from>
    <xdr:to>
      <xdr:col>4</xdr:col>
      <xdr:colOff>996462</xdr:colOff>
      <xdr:row>21</xdr:row>
      <xdr:rowOff>14653</xdr:rowOff>
    </xdr:to>
    <xdr:sp macro="" textlink="">
      <xdr:nvSpPr>
        <xdr:cNvPr id="3" name="Rechteck 2">
          <a:hlinkClick xmlns:r="http://schemas.openxmlformats.org/officeDocument/2006/relationships" r:id="rId4"/>
          <a:extLst>
            <a:ext uri="{FF2B5EF4-FFF2-40B4-BE49-F238E27FC236}">
              <a16:creationId xmlns:a16="http://schemas.microsoft.com/office/drawing/2014/main" id="{00000000-0008-0000-2300-000003000000}"/>
            </a:ext>
          </a:extLst>
        </xdr:cNvPr>
        <xdr:cNvSpPr/>
      </xdr:nvSpPr>
      <xdr:spPr>
        <a:xfrm>
          <a:off x="5099539" y="3619499"/>
          <a:ext cx="1795096"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28575</xdr:colOff>
          <xdr:row>25</xdr:row>
          <xdr:rowOff>152400</xdr:rowOff>
        </xdr:from>
        <xdr:to>
          <xdr:col>8</xdr:col>
          <xdr:colOff>28575</xdr:colOff>
          <xdr:row>27</xdr:row>
          <xdr:rowOff>38100</xdr:rowOff>
        </xdr:to>
        <xdr:sp macro="" textlink="">
          <xdr:nvSpPr>
            <xdr:cNvPr id="1864705" name="Check Box 1" hidden="1">
              <a:extLst>
                <a:ext uri="{63B3BB69-23CF-44E3-9099-C40C66FF867C}">
                  <a14:compatExt spid="_x0000_s1864705"/>
                </a:ext>
                <a:ext uri="{FF2B5EF4-FFF2-40B4-BE49-F238E27FC236}">
                  <a16:creationId xmlns:a16="http://schemas.microsoft.com/office/drawing/2014/main" id="{00000000-0008-0000-2300-00000174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Entgeltpunkte 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0</xdr:rowOff>
        </xdr:from>
        <xdr:to>
          <xdr:col>11</xdr:col>
          <xdr:colOff>1095375</xdr:colOff>
          <xdr:row>21</xdr:row>
          <xdr:rowOff>180975</xdr:rowOff>
        </xdr:to>
        <xdr:sp macro="" textlink="">
          <xdr:nvSpPr>
            <xdr:cNvPr id="1864710" name="Check Box 6" hidden="1">
              <a:extLst>
                <a:ext uri="{63B3BB69-23CF-44E3-9099-C40C66FF867C}">
                  <a14:compatExt spid="_x0000_s1864710"/>
                </a:ext>
                <a:ext uri="{FF2B5EF4-FFF2-40B4-BE49-F238E27FC236}">
                  <a16:creationId xmlns:a16="http://schemas.microsoft.com/office/drawing/2014/main" id="{00000000-0008-0000-2300-00000674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Entgeltpunkte (Ost)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9</xdr:col>
          <xdr:colOff>333375</xdr:colOff>
          <xdr:row>27</xdr:row>
          <xdr:rowOff>28575</xdr:rowOff>
        </xdr:to>
        <xdr:sp macro="" textlink="">
          <xdr:nvSpPr>
            <xdr:cNvPr id="1864711" name="Option Button 7" hidden="1">
              <a:extLst>
                <a:ext uri="{63B3BB69-23CF-44E3-9099-C40C66FF867C}">
                  <a14:compatExt spid="_x0000_s1864711"/>
                </a:ext>
                <a:ext uri="{FF2B5EF4-FFF2-40B4-BE49-F238E27FC236}">
                  <a16:creationId xmlns:a16="http://schemas.microsoft.com/office/drawing/2014/main" id="{00000000-0008-0000-2300-00000774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25</xdr:row>
          <xdr:rowOff>152400</xdr:rowOff>
        </xdr:from>
        <xdr:to>
          <xdr:col>10</xdr:col>
          <xdr:colOff>266700</xdr:colOff>
          <xdr:row>27</xdr:row>
          <xdr:rowOff>28575</xdr:rowOff>
        </xdr:to>
        <xdr:sp macro="" textlink="">
          <xdr:nvSpPr>
            <xdr:cNvPr id="1864713" name="Option Button 9" hidden="1">
              <a:extLst>
                <a:ext uri="{63B3BB69-23CF-44E3-9099-C40C66FF867C}">
                  <a14:compatExt spid="_x0000_s1864713"/>
                </a:ext>
                <a:ext uri="{FF2B5EF4-FFF2-40B4-BE49-F238E27FC236}">
                  <a16:creationId xmlns:a16="http://schemas.microsoft.com/office/drawing/2014/main" id="{00000000-0008-0000-2300-00000974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25</xdr:row>
          <xdr:rowOff>152400</xdr:rowOff>
        </xdr:from>
        <xdr:to>
          <xdr:col>11</xdr:col>
          <xdr:colOff>257175</xdr:colOff>
          <xdr:row>27</xdr:row>
          <xdr:rowOff>28575</xdr:rowOff>
        </xdr:to>
        <xdr:sp macro="" textlink="">
          <xdr:nvSpPr>
            <xdr:cNvPr id="1864714" name="Option Button 10" hidden="1">
              <a:extLst>
                <a:ext uri="{63B3BB69-23CF-44E3-9099-C40C66FF867C}">
                  <a14:compatExt spid="_x0000_s1864714"/>
                </a:ext>
                <a:ext uri="{FF2B5EF4-FFF2-40B4-BE49-F238E27FC236}">
                  <a16:creationId xmlns:a16="http://schemas.microsoft.com/office/drawing/2014/main" id="{00000000-0008-0000-2300-00000A74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803671</xdr:colOff>
      <xdr:row>0</xdr:row>
      <xdr:rowOff>0</xdr:rowOff>
    </xdr:from>
    <xdr:to>
      <xdr:col>11</xdr:col>
      <xdr:colOff>1046734</xdr:colOff>
      <xdr:row>20</xdr:row>
      <xdr:rowOff>142874</xdr:rowOff>
    </xdr:to>
    <xdr:sp macro="" textlink="">
      <xdr:nvSpPr>
        <xdr:cNvPr id="8" name="Pfeil: gestreift nach rechts 7">
          <a:hlinkClick xmlns:r="http://schemas.openxmlformats.org/officeDocument/2006/relationships" r:id="rId1"/>
          <a:extLst>
            <a:ext uri="{FF2B5EF4-FFF2-40B4-BE49-F238E27FC236}">
              <a16:creationId xmlns:a16="http://schemas.microsoft.com/office/drawing/2014/main" id="{00000000-0008-0000-1D00-000008000000}"/>
            </a:ext>
          </a:extLst>
        </xdr:cNvPr>
        <xdr:cNvSpPr/>
      </xdr:nvSpPr>
      <xdr:spPr>
        <a:xfrm rot="16200000">
          <a:off x="6595554" y="36226"/>
          <a:ext cx="315515" cy="243063"/>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28575</xdr:colOff>
          <xdr:row>23</xdr:row>
          <xdr:rowOff>28575</xdr:rowOff>
        </xdr:from>
        <xdr:to>
          <xdr:col>10</xdr:col>
          <xdr:colOff>752475</xdr:colOff>
          <xdr:row>23</xdr:row>
          <xdr:rowOff>180975</xdr:rowOff>
        </xdr:to>
        <xdr:sp macro="" textlink="">
          <xdr:nvSpPr>
            <xdr:cNvPr id="1864715" name="Check Box 11" hidden="1">
              <a:extLst>
                <a:ext uri="{63B3BB69-23CF-44E3-9099-C40C66FF867C}">
                  <a14:compatExt spid="_x0000_s1864715"/>
                </a:ext>
                <a:ext uri="{FF2B5EF4-FFF2-40B4-BE49-F238E27FC236}">
                  <a16:creationId xmlns:a16="http://schemas.microsoft.com/office/drawing/2014/main" id="{00000000-0008-0000-2300-00000B741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BilMoG-10</a:t>
              </a:r>
            </a:p>
          </xdr:txBody>
        </xdr:sp>
        <xdr:clientData/>
      </xdr:twoCellAnchor>
    </mc:Choice>
    <mc:Fallback/>
  </mc:AlternateContent>
  <xdr:twoCellAnchor>
    <xdr:from>
      <xdr:col>10</xdr:col>
      <xdr:colOff>4330</xdr:colOff>
      <xdr:row>19</xdr:row>
      <xdr:rowOff>17318</xdr:rowOff>
    </xdr:from>
    <xdr:to>
      <xdr:col>11</xdr:col>
      <xdr:colOff>785813</xdr:colOff>
      <xdr:row>20</xdr:row>
      <xdr:rowOff>8659</xdr:rowOff>
    </xdr:to>
    <xdr:sp macro="" textlink="">
      <xdr:nvSpPr>
        <xdr:cNvPr id="2" name="Rechteck 1">
          <a:hlinkClick xmlns:r="http://schemas.openxmlformats.org/officeDocument/2006/relationships" r:id="rId2"/>
          <a:extLst>
            <a:ext uri="{FF2B5EF4-FFF2-40B4-BE49-F238E27FC236}">
              <a16:creationId xmlns:a16="http://schemas.microsoft.com/office/drawing/2014/main" id="{00000000-0008-0000-1D00-000002000000}"/>
            </a:ext>
          </a:extLst>
        </xdr:cNvPr>
        <xdr:cNvSpPr/>
      </xdr:nvSpPr>
      <xdr:spPr>
        <a:xfrm>
          <a:off x="4719205" y="17318"/>
          <a:ext cx="1894717" cy="1639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9</xdr:col>
      <xdr:colOff>1104034</xdr:colOff>
      <xdr:row>20</xdr:row>
      <xdr:rowOff>4330</xdr:rowOff>
    </xdr:from>
    <xdr:to>
      <xdr:col>11</xdr:col>
      <xdr:colOff>1091046</xdr:colOff>
      <xdr:row>20</xdr:row>
      <xdr:rowOff>168853</xdr:rowOff>
    </xdr:to>
    <xdr:sp macro="" textlink="">
      <xdr:nvSpPr>
        <xdr:cNvPr id="3" name="Rechteck 2">
          <a:hlinkClick xmlns:r="http://schemas.openxmlformats.org/officeDocument/2006/relationships" r:id="rId3"/>
          <a:extLst>
            <a:ext uri="{FF2B5EF4-FFF2-40B4-BE49-F238E27FC236}">
              <a16:creationId xmlns:a16="http://schemas.microsoft.com/office/drawing/2014/main" id="{00000000-0008-0000-1D00-000003000000}"/>
            </a:ext>
          </a:extLst>
        </xdr:cNvPr>
        <xdr:cNvSpPr/>
      </xdr:nvSpPr>
      <xdr:spPr>
        <a:xfrm>
          <a:off x="4407477" y="177512"/>
          <a:ext cx="2195080" cy="1645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567581</xdr:colOff>
      <xdr:row>0</xdr:row>
      <xdr:rowOff>41460</xdr:rowOff>
    </xdr:from>
    <xdr:to>
      <xdr:col>26</xdr:col>
      <xdr:colOff>440956</xdr:colOff>
      <xdr:row>2</xdr:row>
      <xdr:rowOff>257174</xdr:rowOff>
    </xdr:to>
    <xdr:sp macro="" textlink="">
      <xdr:nvSpPr>
        <xdr:cNvPr id="5" name="Pfeil: gestreift nach rechts 4">
          <a:hlinkClick xmlns:r="http://schemas.openxmlformats.org/officeDocument/2006/relationships" r:id="rId1"/>
          <a:extLst>
            <a:ext uri="{FF2B5EF4-FFF2-40B4-BE49-F238E27FC236}">
              <a16:creationId xmlns:a16="http://schemas.microsoft.com/office/drawing/2014/main" id="{00000000-0008-0000-2400-000005000000}"/>
            </a:ext>
          </a:extLst>
        </xdr:cNvPr>
        <xdr:cNvSpPr/>
      </xdr:nvSpPr>
      <xdr:spPr>
        <a:xfrm rot="16200000">
          <a:off x="17227087" y="184054"/>
          <a:ext cx="749114" cy="463925"/>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solidFill>
                <a:schemeClr val="tx1"/>
              </a:solidFill>
            </a:rPr>
            <a:t>Inhalt</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12</xdr:row>
          <xdr:rowOff>28575</xdr:rowOff>
        </xdr:from>
        <xdr:to>
          <xdr:col>2</xdr:col>
          <xdr:colOff>28575</xdr:colOff>
          <xdr:row>12</xdr:row>
          <xdr:rowOff>190500</xdr:rowOff>
        </xdr:to>
        <xdr:sp macro="" textlink="">
          <xdr:nvSpPr>
            <xdr:cNvPr id="4101" name="Kontrollkästchen 5" hidden="1">
              <a:extLst>
                <a:ext uri="{63B3BB69-23CF-44E3-9099-C40C66FF867C}">
                  <a14:compatExt spid="_x0000_s4101"/>
                </a:ext>
                <a:ext uri="{FF2B5EF4-FFF2-40B4-BE49-F238E27FC236}">
                  <a16:creationId xmlns:a16="http://schemas.microsoft.com/office/drawing/2014/main" id="{00000000-0008-0000-2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xdr:row>
          <xdr:rowOff>219075</xdr:rowOff>
        </xdr:from>
        <xdr:to>
          <xdr:col>1</xdr:col>
          <xdr:colOff>257175</xdr:colOff>
          <xdr:row>34</xdr:row>
          <xdr:rowOff>219075</xdr:rowOff>
        </xdr:to>
        <xdr:sp macro="" textlink="">
          <xdr:nvSpPr>
            <xdr:cNvPr id="4105" name="Vorversterben" hidden="1">
              <a:extLst>
                <a:ext uri="{63B3BB69-23CF-44E3-9099-C40C66FF867C}">
                  <a14:compatExt spid="_x0000_s4105"/>
                </a:ext>
                <a:ext uri="{FF2B5EF4-FFF2-40B4-BE49-F238E27FC236}">
                  <a16:creationId xmlns:a16="http://schemas.microsoft.com/office/drawing/2014/main" id="{00000000-0008-0000-2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523875</xdr:colOff>
          <xdr:row>11</xdr:row>
          <xdr:rowOff>28575</xdr:rowOff>
        </xdr:from>
        <xdr:to>
          <xdr:col>13</xdr:col>
          <xdr:colOff>866775</xdr:colOff>
          <xdr:row>12</xdr:row>
          <xdr:rowOff>0</xdr:rowOff>
        </xdr:to>
        <xdr:sp macro="" textlink="">
          <xdr:nvSpPr>
            <xdr:cNvPr id="4106" name="Kontrollkästchen 5" hidden="1">
              <a:extLst>
                <a:ext uri="{63B3BB69-23CF-44E3-9099-C40C66FF867C}">
                  <a14:compatExt spid="_x0000_s4106"/>
                </a:ext>
                <a:ext uri="{FF2B5EF4-FFF2-40B4-BE49-F238E27FC236}">
                  <a16:creationId xmlns:a16="http://schemas.microsoft.com/office/drawing/2014/main" id="{00000000-0008-0000-2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Ost</a:t>
              </a:r>
            </a:p>
          </xdr:txBody>
        </xdr:sp>
        <xdr:clientData/>
      </xdr:twoCellAnchor>
    </mc:Choice>
    <mc:Fallback/>
  </mc:AlternateContent>
  <xdr:twoCellAnchor editAs="oneCell">
    <xdr:from>
      <xdr:col>6</xdr:col>
      <xdr:colOff>15241</xdr:colOff>
      <xdr:row>7</xdr:row>
      <xdr:rowOff>1</xdr:rowOff>
    </xdr:from>
    <xdr:to>
      <xdr:col>7</xdr:col>
      <xdr:colOff>227075</xdr:colOff>
      <xdr:row>8</xdr:row>
      <xdr:rowOff>186054</xdr:rowOff>
    </xdr:to>
    <xdr:pic>
      <xdr:nvPicPr>
        <xdr:cNvPr id="2" name="Grafik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6096001" y="1851661"/>
          <a:ext cx="1050034" cy="396239"/>
        </a:xfrm>
        <a:prstGeom prst="rect">
          <a:avLst/>
        </a:prstGeom>
        <a:ln>
          <a:solidFill>
            <a:schemeClr val="accent1"/>
          </a:solidFill>
        </a:ln>
      </xdr:spPr>
    </xdr:pic>
    <xdr:clientData/>
  </xdr:twoCellAnchor>
  <mc:AlternateContent xmlns:mc="http://schemas.openxmlformats.org/markup-compatibility/2006">
    <mc:Choice xmlns:a14="http://schemas.microsoft.com/office/drawing/2010/main" Requires="a14">
      <xdr:twoCellAnchor editAs="oneCell">
        <xdr:from>
          <xdr:col>2</xdr:col>
          <xdr:colOff>1400175</xdr:colOff>
          <xdr:row>32</xdr:row>
          <xdr:rowOff>219075</xdr:rowOff>
        </xdr:from>
        <xdr:to>
          <xdr:col>2</xdr:col>
          <xdr:colOff>2314575</xdr:colOff>
          <xdr:row>33</xdr:row>
          <xdr:rowOff>219075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2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953076</xdr:colOff>
      <xdr:row>0</xdr:row>
      <xdr:rowOff>77792</xdr:rowOff>
    </xdr:from>
    <xdr:to>
      <xdr:col>17</xdr:col>
      <xdr:colOff>64636</xdr:colOff>
      <xdr:row>0</xdr:row>
      <xdr:rowOff>602357</xdr:rowOff>
    </xdr:to>
    <xdr:sp macro="" textlink="">
      <xdr:nvSpPr>
        <xdr:cNvPr id="10" name="Pfeil: gestreift nach rechts 9">
          <a:hlinkClick xmlns:r="http://schemas.openxmlformats.org/officeDocument/2006/relationships" r:id="rId2"/>
          <a:extLst>
            <a:ext uri="{FF2B5EF4-FFF2-40B4-BE49-F238E27FC236}">
              <a16:creationId xmlns:a16="http://schemas.microsoft.com/office/drawing/2014/main" id="{00000000-0008-0000-2500-00000A000000}"/>
            </a:ext>
          </a:extLst>
        </xdr:cNvPr>
        <xdr:cNvSpPr/>
      </xdr:nvSpPr>
      <xdr:spPr>
        <a:xfrm rot="16200000">
          <a:off x="15122382" y="151162"/>
          <a:ext cx="524565" cy="377825"/>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28574</xdr:colOff>
      <xdr:row>2</xdr:row>
      <xdr:rowOff>9526</xdr:rowOff>
    </xdr:from>
    <xdr:to>
      <xdr:col>9</xdr:col>
      <xdr:colOff>923925</xdr:colOff>
      <xdr:row>3</xdr:row>
      <xdr:rowOff>9526</xdr:rowOff>
    </xdr:to>
    <xdr:sp macro="" textlink="">
      <xdr:nvSpPr>
        <xdr:cNvPr id="3" name="Rechteck 2">
          <a:hlinkClick xmlns:r="http://schemas.openxmlformats.org/officeDocument/2006/relationships" r:id="rId3"/>
          <a:extLst>
            <a:ext uri="{FF2B5EF4-FFF2-40B4-BE49-F238E27FC236}">
              <a16:creationId xmlns:a16="http://schemas.microsoft.com/office/drawing/2014/main" id="{00000000-0008-0000-2500-000003000000}"/>
            </a:ext>
          </a:extLst>
        </xdr:cNvPr>
        <xdr:cNvSpPr/>
      </xdr:nvSpPr>
      <xdr:spPr>
        <a:xfrm>
          <a:off x="5438774" y="1066801"/>
          <a:ext cx="3419476"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866774</xdr:colOff>
      <xdr:row>2</xdr:row>
      <xdr:rowOff>200026</xdr:rowOff>
    </xdr:from>
    <xdr:to>
      <xdr:col>9</xdr:col>
      <xdr:colOff>962024</xdr:colOff>
      <xdr:row>4</xdr:row>
      <xdr:rowOff>0</xdr:rowOff>
    </xdr:to>
    <xdr:sp macro="" textlink="">
      <xdr:nvSpPr>
        <xdr:cNvPr id="9" name="Rechteck 8">
          <a:hlinkClick xmlns:r="http://schemas.openxmlformats.org/officeDocument/2006/relationships" r:id="rId4"/>
          <a:extLst>
            <a:ext uri="{FF2B5EF4-FFF2-40B4-BE49-F238E27FC236}">
              <a16:creationId xmlns:a16="http://schemas.microsoft.com/office/drawing/2014/main" id="{00000000-0008-0000-2500-000009000000}"/>
            </a:ext>
          </a:extLst>
        </xdr:cNvPr>
        <xdr:cNvSpPr/>
      </xdr:nvSpPr>
      <xdr:spPr>
        <a:xfrm>
          <a:off x="7915274" y="1257301"/>
          <a:ext cx="981075" cy="2190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7</xdr:col>
      <xdr:colOff>657224</xdr:colOff>
      <xdr:row>5</xdr:row>
      <xdr:rowOff>3573</xdr:rowOff>
    </xdr:from>
    <xdr:to>
      <xdr:col>8</xdr:col>
      <xdr:colOff>838199</xdr:colOff>
      <xdr:row>6</xdr:row>
      <xdr:rowOff>13097</xdr:rowOff>
    </xdr:to>
    <xdr:sp macro="" textlink="">
      <xdr:nvSpPr>
        <xdr:cNvPr id="11" name="Rechteck 10">
          <a:hlinkClick xmlns:r="http://schemas.openxmlformats.org/officeDocument/2006/relationships" r:id="rId5"/>
          <a:extLst>
            <a:ext uri="{FF2B5EF4-FFF2-40B4-BE49-F238E27FC236}">
              <a16:creationId xmlns:a16="http://schemas.microsoft.com/office/drawing/2014/main" id="{00000000-0008-0000-2500-00000B000000}"/>
            </a:ext>
          </a:extLst>
        </xdr:cNvPr>
        <xdr:cNvSpPr/>
      </xdr:nvSpPr>
      <xdr:spPr>
        <a:xfrm>
          <a:off x="6908005" y="1688307"/>
          <a:ext cx="978694" cy="2178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866774</xdr:colOff>
      <xdr:row>3</xdr:row>
      <xdr:rowOff>190501</xdr:rowOff>
    </xdr:from>
    <xdr:to>
      <xdr:col>9</xdr:col>
      <xdr:colOff>962024</xdr:colOff>
      <xdr:row>4</xdr:row>
      <xdr:rowOff>200025</xdr:rowOff>
    </xdr:to>
    <xdr:sp macro="" textlink="">
      <xdr:nvSpPr>
        <xdr:cNvPr id="12" name="Rechteck 11">
          <a:hlinkClick xmlns:r="http://schemas.openxmlformats.org/officeDocument/2006/relationships" r:id="rId6"/>
          <a:extLst>
            <a:ext uri="{FF2B5EF4-FFF2-40B4-BE49-F238E27FC236}">
              <a16:creationId xmlns:a16="http://schemas.microsoft.com/office/drawing/2014/main" id="{00000000-0008-0000-2500-00000C000000}"/>
            </a:ext>
          </a:extLst>
        </xdr:cNvPr>
        <xdr:cNvSpPr/>
      </xdr:nvSpPr>
      <xdr:spPr>
        <a:xfrm>
          <a:off x="7915274" y="1457326"/>
          <a:ext cx="981075" cy="2190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7</xdr:col>
      <xdr:colOff>666749</xdr:colOff>
      <xdr:row>3</xdr:row>
      <xdr:rowOff>190501</xdr:rowOff>
    </xdr:from>
    <xdr:to>
      <xdr:col>8</xdr:col>
      <xdr:colOff>847724</xdr:colOff>
      <xdr:row>4</xdr:row>
      <xdr:rowOff>200025</xdr:rowOff>
    </xdr:to>
    <xdr:sp macro="" textlink="">
      <xdr:nvSpPr>
        <xdr:cNvPr id="13" name="Rechteck 12">
          <a:hlinkClick xmlns:r="http://schemas.openxmlformats.org/officeDocument/2006/relationships" r:id="rId7"/>
          <a:extLst>
            <a:ext uri="{FF2B5EF4-FFF2-40B4-BE49-F238E27FC236}">
              <a16:creationId xmlns:a16="http://schemas.microsoft.com/office/drawing/2014/main" id="{00000000-0008-0000-2500-00000D000000}"/>
            </a:ext>
          </a:extLst>
        </xdr:cNvPr>
        <xdr:cNvSpPr/>
      </xdr:nvSpPr>
      <xdr:spPr>
        <a:xfrm>
          <a:off x="6915149" y="1457326"/>
          <a:ext cx="981075" cy="2190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857249</xdr:colOff>
      <xdr:row>5</xdr:row>
      <xdr:rowOff>1</xdr:rowOff>
    </xdr:from>
    <xdr:to>
      <xdr:col>9</xdr:col>
      <xdr:colOff>952499</xdr:colOff>
      <xdr:row>6</xdr:row>
      <xdr:rowOff>9525</xdr:rowOff>
    </xdr:to>
    <xdr:sp macro="" textlink="">
      <xdr:nvSpPr>
        <xdr:cNvPr id="14" name="Rechteck 13">
          <a:hlinkClick xmlns:r="http://schemas.openxmlformats.org/officeDocument/2006/relationships" r:id="rId8"/>
          <a:extLst>
            <a:ext uri="{FF2B5EF4-FFF2-40B4-BE49-F238E27FC236}">
              <a16:creationId xmlns:a16="http://schemas.microsoft.com/office/drawing/2014/main" id="{00000000-0008-0000-2500-00000E000000}"/>
            </a:ext>
          </a:extLst>
        </xdr:cNvPr>
        <xdr:cNvSpPr/>
      </xdr:nvSpPr>
      <xdr:spPr>
        <a:xfrm>
          <a:off x="7905749" y="1685926"/>
          <a:ext cx="981075" cy="2190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315513</xdr:colOff>
      <xdr:row>6</xdr:row>
      <xdr:rowOff>11907</xdr:rowOff>
    </xdr:from>
    <xdr:to>
      <xdr:col>9</xdr:col>
      <xdr:colOff>565545</xdr:colOff>
      <xdr:row>6</xdr:row>
      <xdr:rowOff>184547</xdr:rowOff>
    </xdr:to>
    <xdr:sp macro="" textlink="">
      <xdr:nvSpPr>
        <xdr:cNvPr id="4" name="Rechteck 3">
          <a:hlinkClick xmlns:r="http://schemas.openxmlformats.org/officeDocument/2006/relationships" r:id="rId9"/>
          <a:extLst>
            <a:ext uri="{FF2B5EF4-FFF2-40B4-BE49-F238E27FC236}">
              <a16:creationId xmlns:a16="http://schemas.microsoft.com/office/drawing/2014/main" id="{00000000-0008-0000-2500-000004000000}"/>
            </a:ext>
          </a:extLst>
        </xdr:cNvPr>
        <xdr:cNvSpPr/>
      </xdr:nvSpPr>
      <xdr:spPr>
        <a:xfrm>
          <a:off x="5726904" y="1905001"/>
          <a:ext cx="2774157"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7</xdr:col>
      <xdr:colOff>255984</xdr:colOff>
      <xdr:row>6</xdr:row>
      <xdr:rowOff>205979</xdr:rowOff>
    </xdr:from>
    <xdr:to>
      <xdr:col>9</xdr:col>
      <xdr:colOff>634600</xdr:colOff>
      <xdr:row>7</xdr:row>
      <xdr:rowOff>170260</xdr:rowOff>
    </xdr:to>
    <xdr:sp macro="" textlink="">
      <xdr:nvSpPr>
        <xdr:cNvPr id="15" name="Rechteck 14">
          <a:hlinkClick xmlns:r="http://schemas.openxmlformats.org/officeDocument/2006/relationships" r:id="rId10"/>
          <a:extLst>
            <a:ext uri="{FF2B5EF4-FFF2-40B4-BE49-F238E27FC236}">
              <a16:creationId xmlns:a16="http://schemas.microsoft.com/office/drawing/2014/main" id="{00000000-0008-0000-2500-00000F000000}"/>
            </a:ext>
          </a:extLst>
        </xdr:cNvPr>
        <xdr:cNvSpPr/>
      </xdr:nvSpPr>
      <xdr:spPr>
        <a:xfrm>
          <a:off x="6506765" y="2099073"/>
          <a:ext cx="2063351"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7</xdr:col>
      <xdr:colOff>257173</xdr:colOff>
      <xdr:row>8</xdr:row>
      <xdr:rowOff>7143</xdr:rowOff>
    </xdr:from>
    <xdr:to>
      <xdr:col>9</xdr:col>
      <xdr:colOff>970360</xdr:colOff>
      <xdr:row>8</xdr:row>
      <xdr:rowOff>179783</xdr:rowOff>
    </xdr:to>
    <xdr:sp macro="" textlink="">
      <xdr:nvSpPr>
        <xdr:cNvPr id="16" name="Rechteck 15">
          <a:hlinkClick xmlns:r="http://schemas.openxmlformats.org/officeDocument/2006/relationships" r:id="rId11"/>
          <a:extLst>
            <a:ext uri="{FF2B5EF4-FFF2-40B4-BE49-F238E27FC236}">
              <a16:creationId xmlns:a16="http://schemas.microsoft.com/office/drawing/2014/main" id="{00000000-0008-0000-2500-000010000000}"/>
            </a:ext>
          </a:extLst>
        </xdr:cNvPr>
        <xdr:cNvSpPr/>
      </xdr:nvSpPr>
      <xdr:spPr>
        <a:xfrm>
          <a:off x="6507954" y="2316956"/>
          <a:ext cx="2397922"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195259</xdr:colOff>
      <xdr:row>9</xdr:row>
      <xdr:rowOff>10716</xdr:rowOff>
    </xdr:from>
    <xdr:to>
      <xdr:col>9</xdr:col>
      <xdr:colOff>821531</xdr:colOff>
      <xdr:row>9</xdr:row>
      <xdr:rowOff>183356</xdr:rowOff>
    </xdr:to>
    <xdr:sp macro="" textlink="">
      <xdr:nvSpPr>
        <xdr:cNvPr id="17" name="Rechteck 16">
          <a:hlinkClick xmlns:r="http://schemas.openxmlformats.org/officeDocument/2006/relationships" r:id="rId12"/>
          <a:extLst>
            <a:ext uri="{FF2B5EF4-FFF2-40B4-BE49-F238E27FC236}">
              <a16:creationId xmlns:a16="http://schemas.microsoft.com/office/drawing/2014/main" id="{00000000-0008-0000-2500-000011000000}"/>
            </a:ext>
          </a:extLst>
        </xdr:cNvPr>
        <xdr:cNvSpPr/>
      </xdr:nvSpPr>
      <xdr:spPr>
        <a:xfrm>
          <a:off x="5606650" y="2528888"/>
          <a:ext cx="3150397"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204784</xdr:colOff>
      <xdr:row>10</xdr:row>
      <xdr:rowOff>14288</xdr:rowOff>
    </xdr:from>
    <xdr:to>
      <xdr:col>9</xdr:col>
      <xdr:colOff>815578</xdr:colOff>
      <xdr:row>10</xdr:row>
      <xdr:rowOff>186928</xdr:rowOff>
    </xdr:to>
    <xdr:sp macro="" textlink="">
      <xdr:nvSpPr>
        <xdr:cNvPr id="18" name="Rechteck 17">
          <a:hlinkClick xmlns:r="http://schemas.openxmlformats.org/officeDocument/2006/relationships" r:id="rId13"/>
          <a:extLst>
            <a:ext uri="{FF2B5EF4-FFF2-40B4-BE49-F238E27FC236}">
              <a16:creationId xmlns:a16="http://schemas.microsoft.com/office/drawing/2014/main" id="{00000000-0008-0000-2500-000012000000}"/>
            </a:ext>
          </a:extLst>
        </xdr:cNvPr>
        <xdr:cNvSpPr/>
      </xdr:nvSpPr>
      <xdr:spPr>
        <a:xfrm>
          <a:off x="5616175" y="2740819"/>
          <a:ext cx="3134919"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196450</xdr:colOff>
      <xdr:row>11</xdr:row>
      <xdr:rowOff>5953</xdr:rowOff>
    </xdr:from>
    <xdr:to>
      <xdr:col>9</xdr:col>
      <xdr:colOff>797718</xdr:colOff>
      <xdr:row>11</xdr:row>
      <xdr:rowOff>178593</xdr:rowOff>
    </xdr:to>
    <xdr:sp macro="" textlink="">
      <xdr:nvSpPr>
        <xdr:cNvPr id="19" name="Rechteck 18">
          <a:hlinkClick xmlns:r="http://schemas.openxmlformats.org/officeDocument/2006/relationships" r:id="rId14"/>
          <a:extLst>
            <a:ext uri="{FF2B5EF4-FFF2-40B4-BE49-F238E27FC236}">
              <a16:creationId xmlns:a16="http://schemas.microsoft.com/office/drawing/2014/main" id="{00000000-0008-0000-2500-000013000000}"/>
            </a:ext>
          </a:extLst>
        </xdr:cNvPr>
        <xdr:cNvSpPr/>
      </xdr:nvSpPr>
      <xdr:spPr>
        <a:xfrm>
          <a:off x="5607841" y="2940844"/>
          <a:ext cx="3125393"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194068</xdr:colOff>
      <xdr:row>12</xdr:row>
      <xdr:rowOff>3572</xdr:rowOff>
    </xdr:from>
    <xdr:to>
      <xdr:col>9</xdr:col>
      <xdr:colOff>797718</xdr:colOff>
      <xdr:row>12</xdr:row>
      <xdr:rowOff>176212</xdr:rowOff>
    </xdr:to>
    <xdr:sp macro="" textlink="">
      <xdr:nvSpPr>
        <xdr:cNvPr id="20" name="Rechteck 19">
          <a:hlinkClick xmlns:r="http://schemas.openxmlformats.org/officeDocument/2006/relationships" r:id="rId15"/>
          <a:extLst>
            <a:ext uri="{FF2B5EF4-FFF2-40B4-BE49-F238E27FC236}">
              <a16:creationId xmlns:a16="http://schemas.microsoft.com/office/drawing/2014/main" id="{00000000-0008-0000-2500-000014000000}"/>
            </a:ext>
          </a:extLst>
        </xdr:cNvPr>
        <xdr:cNvSpPr/>
      </xdr:nvSpPr>
      <xdr:spPr>
        <a:xfrm>
          <a:off x="5605459" y="3146822"/>
          <a:ext cx="3127775"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197640</xdr:colOff>
      <xdr:row>13</xdr:row>
      <xdr:rowOff>13097</xdr:rowOff>
    </xdr:from>
    <xdr:to>
      <xdr:col>9</xdr:col>
      <xdr:colOff>803671</xdr:colOff>
      <xdr:row>13</xdr:row>
      <xdr:rowOff>185737</xdr:rowOff>
    </xdr:to>
    <xdr:sp macro="" textlink="">
      <xdr:nvSpPr>
        <xdr:cNvPr id="21" name="Rechteck 20">
          <a:hlinkClick xmlns:r="http://schemas.openxmlformats.org/officeDocument/2006/relationships" r:id="rId16"/>
          <a:extLst>
            <a:ext uri="{FF2B5EF4-FFF2-40B4-BE49-F238E27FC236}">
              <a16:creationId xmlns:a16="http://schemas.microsoft.com/office/drawing/2014/main" id="{00000000-0008-0000-2500-000015000000}"/>
            </a:ext>
          </a:extLst>
        </xdr:cNvPr>
        <xdr:cNvSpPr/>
      </xdr:nvSpPr>
      <xdr:spPr>
        <a:xfrm>
          <a:off x="5609031" y="3364706"/>
          <a:ext cx="3130156"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201212</xdr:colOff>
      <xdr:row>14</xdr:row>
      <xdr:rowOff>22621</xdr:rowOff>
    </xdr:from>
    <xdr:to>
      <xdr:col>6</xdr:col>
      <xdr:colOff>790575</xdr:colOff>
      <xdr:row>14</xdr:row>
      <xdr:rowOff>200024</xdr:rowOff>
    </xdr:to>
    <xdr:sp macro="" textlink="">
      <xdr:nvSpPr>
        <xdr:cNvPr id="22" name="Rechteck 21">
          <a:hlinkClick xmlns:r="http://schemas.openxmlformats.org/officeDocument/2006/relationships" r:id="rId17"/>
          <a:extLst>
            <a:ext uri="{FF2B5EF4-FFF2-40B4-BE49-F238E27FC236}">
              <a16:creationId xmlns:a16="http://schemas.microsoft.com/office/drawing/2014/main" id="{00000000-0008-0000-2500-000016000000}"/>
            </a:ext>
          </a:extLst>
        </xdr:cNvPr>
        <xdr:cNvSpPr/>
      </xdr:nvSpPr>
      <xdr:spPr>
        <a:xfrm>
          <a:off x="5611412" y="3594496"/>
          <a:ext cx="589363" cy="1774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210737</xdr:colOff>
      <xdr:row>16</xdr:row>
      <xdr:rowOff>20240</xdr:rowOff>
    </xdr:from>
    <xdr:to>
      <xdr:col>9</xdr:col>
      <xdr:colOff>807243</xdr:colOff>
      <xdr:row>16</xdr:row>
      <xdr:rowOff>192880</xdr:rowOff>
    </xdr:to>
    <xdr:sp macro="" textlink="">
      <xdr:nvSpPr>
        <xdr:cNvPr id="23" name="Rechteck 22">
          <a:hlinkClick xmlns:r="http://schemas.openxmlformats.org/officeDocument/2006/relationships" r:id="rId18"/>
          <a:extLst>
            <a:ext uri="{FF2B5EF4-FFF2-40B4-BE49-F238E27FC236}">
              <a16:creationId xmlns:a16="http://schemas.microsoft.com/office/drawing/2014/main" id="{00000000-0008-0000-2500-000017000000}"/>
            </a:ext>
          </a:extLst>
        </xdr:cNvPr>
        <xdr:cNvSpPr/>
      </xdr:nvSpPr>
      <xdr:spPr>
        <a:xfrm>
          <a:off x="5622128" y="3996928"/>
          <a:ext cx="3120631"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6</xdr:col>
      <xdr:colOff>202403</xdr:colOff>
      <xdr:row>15</xdr:row>
      <xdr:rowOff>23813</xdr:rowOff>
    </xdr:from>
    <xdr:to>
      <xdr:col>9</xdr:col>
      <xdr:colOff>798909</xdr:colOff>
      <xdr:row>15</xdr:row>
      <xdr:rowOff>196453</xdr:rowOff>
    </xdr:to>
    <xdr:sp macro="" textlink="">
      <xdr:nvSpPr>
        <xdr:cNvPr id="24" name="Rechteck 23">
          <a:hlinkClick xmlns:r="http://schemas.openxmlformats.org/officeDocument/2006/relationships" r:id="rId19"/>
          <a:extLst>
            <a:ext uri="{FF2B5EF4-FFF2-40B4-BE49-F238E27FC236}">
              <a16:creationId xmlns:a16="http://schemas.microsoft.com/office/drawing/2014/main" id="{00000000-0008-0000-2500-000018000000}"/>
            </a:ext>
          </a:extLst>
        </xdr:cNvPr>
        <xdr:cNvSpPr/>
      </xdr:nvSpPr>
      <xdr:spPr>
        <a:xfrm>
          <a:off x="5613794" y="3792141"/>
          <a:ext cx="3120631" cy="1726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13</xdr:col>
      <xdr:colOff>1452562</xdr:colOff>
      <xdr:row>11</xdr:row>
      <xdr:rowOff>23812</xdr:rowOff>
    </xdr:from>
    <xdr:to>
      <xdr:col>13</xdr:col>
      <xdr:colOff>2101453</xdr:colOff>
      <xdr:row>11</xdr:row>
      <xdr:rowOff>190500</xdr:rowOff>
    </xdr:to>
    <xdr:sp macro="" textlink="">
      <xdr:nvSpPr>
        <xdr:cNvPr id="5" name="Rechteck 4">
          <a:hlinkClick xmlns:r="http://schemas.openxmlformats.org/officeDocument/2006/relationships" r:id="rId20"/>
          <a:extLst>
            <a:ext uri="{FF2B5EF4-FFF2-40B4-BE49-F238E27FC236}">
              <a16:creationId xmlns:a16="http://schemas.microsoft.com/office/drawing/2014/main" id="{00000000-0008-0000-2500-000005000000}"/>
            </a:ext>
          </a:extLst>
        </xdr:cNvPr>
        <xdr:cNvSpPr/>
      </xdr:nvSpPr>
      <xdr:spPr>
        <a:xfrm>
          <a:off x="12573000" y="2958703"/>
          <a:ext cx="648891" cy="166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13</xdr:col>
      <xdr:colOff>1523996</xdr:colOff>
      <xdr:row>6</xdr:row>
      <xdr:rowOff>17860</xdr:rowOff>
    </xdr:from>
    <xdr:to>
      <xdr:col>13</xdr:col>
      <xdr:colOff>2083590</xdr:colOff>
      <xdr:row>6</xdr:row>
      <xdr:rowOff>202406</xdr:rowOff>
    </xdr:to>
    <xdr:sp macro="" textlink="">
      <xdr:nvSpPr>
        <xdr:cNvPr id="6" name="Rechteck 5">
          <a:hlinkClick xmlns:r="http://schemas.openxmlformats.org/officeDocument/2006/relationships" r:id="rId21"/>
          <a:extLst>
            <a:ext uri="{FF2B5EF4-FFF2-40B4-BE49-F238E27FC236}">
              <a16:creationId xmlns:a16="http://schemas.microsoft.com/office/drawing/2014/main" id="{00000000-0008-0000-2500-000006000000}"/>
            </a:ext>
          </a:extLst>
        </xdr:cNvPr>
        <xdr:cNvSpPr/>
      </xdr:nvSpPr>
      <xdr:spPr>
        <a:xfrm>
          <a:off x="12644434" y="1910954"/>
          <a:ext cx="559594" cy="1845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455542</xdr:colOff>
      <xdr:row>8</xdr:row>
      <xdr:rowOff>168412</xdr:rowOff>
    </xdr:from>
    <xdr:to>
      <xdr:col>5</xdr:col>
      <xdr:colOff>36304</xdr:colOff>
      <xdr:row>10</xdr:row>
      <xdr:rowOff>3174</xdr:rowOff>
    </xdr:to>
    <xdr:sp macro="" textlink="">
      <xdr:nvSpPr>
        <xdr:cNvPr id="27" name="Flussdiagramm: Prozess 26">
          <a:hlinkClick xmlns:r="http://schemas.openxmlformats.org/officeDocument/2006/relationships" r:id="rId22"/>
          <a:extLst>
            <a:ext uri="{FF2B5EF4-FFF2-40B4-BE49-F238E27FC236}">
              <a16:creationId xmlns:a16="http://schemas.microsoft.com/office/drawing/2014/main" id="{00000000-0008-0000-2500-00001B000000}"/>
            </a:ext>
          </a:extLst>
        </xdr:cNvPr>
        <xdr:cNvSpPr/>
      </xdr:nvSpPr>
      <xdr:spPr>
        <a:xfrm>
          <a:off x="3586092" y="2486162"/>
          <a:ext cx="1625462" cy="25386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u="sng">
              <a:solidFill>
                <a:srgbClr val="0066FF"/>
              </a:solidFill>
            </a:rPr>
            <a:t>Zurück zur Fallerfassung</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26</xdr:row>
          <xdr:rowOff>219075</xdr:rowOff>
        </xdr:from>
        <xdr:to>
          <xdr:col>4</xdr:col>
          <xdr:colOff>942975</xdr:colOff>
          <xdr:row>28</xdr:row>
          <xdr:rowOff>0</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2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Abzinsung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27</xdr:row>
          <xdr:rowOff>190500</xdr:rowOff>
        </xdr:from>
        <xdr:to>
          <xdr:col>4</xdr:col>
          <xdr:colOff>942975</xdr:colOff>
          <xdr:row>28</xdr:row>
          <xdr:rowOff>219075</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2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Aufzinsung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2333625</xdr:colOff>
          <xdr:row>22</xdr:row>
          <xdr:rowOff>0</xdr:rowOff>
        </xdr:from>
        <xdr:to>
          <xdr:col>3</xdr:col>
          <xdr:colOff>771525</xdr:colOff>
          <xdr:row>22</xdr:row>
          <xdr:rowOff>190500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25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BilMoG-10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16</xdr:row>
          <xdr:rowOff>200025</xdr:rowOff>
        </xdr:from>
        <xdr:to>
          <xdr:col>17</xdr:col>
          <xdr:colOff>1247775</xdr:colOff>
          <xdr:row>18</xdr:row>
          <xdr:rowOff>9525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25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berücksichtigen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2486025</xdr:colOff>
          <xdr:row>16</xdr:row>
          <xdr:rowOff>28575</xdr:rowOff>
        </xdr:from>
        <xdr:to>
          <xdr:col>17</xdr:col>
          <xdr:colOff>3476625</xdr:colOff>
          <xdr:row>16</xdr:row>
          <xdr:rowOff>190500</xdr:rowOff>
        </xdr:to>
        <xdr:sp macro="" textlink="">
          <xdr:nvSpPr>
            <xdr:cNvPr id="4147" name="Drop Down 51" hidden="1">
              <a:extLst>
                <a:ext uri="{63B3BB69-23CF-44E3-9099-C40C66FF867C}">
                  <a14:compatExt spid="_x0000_s4147"/>
                </a:ext>
                <a:ext uri="{FF2B5EF4-FFF2-40B4-BE49-F238E27FC236}">
                  <a16:creationId xmlns:a16="http://schemas.microsoft.com/office/drawing/2014/main" id="{00000000-0008-0000-2500-00003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9523</xdr:colOff>
      <xdr:row>0</xdr:row>
      <xdr:rowOff>0</xdr:rowOff>
    </xdr:from>
    <xdr:to>
      <xdr:col>4</xdr:col>
      <xdr:colOff>1137168</xdr:colOff>
      <xdr:row>13</xdr:row>
      <xdr:rowOff>161925</xdr:rowOff>
    </xdr:to>
    <xdr:sp macro="" textlink="">
      <xdr:nvSpPr>
        <xdr:cNvPr id="2" name="Scrollen: vertikal 1">
          <a:extLst>
            <a:ext uri="{FF2B5EF4-FFF2-40B4-BE49-F238E27FC236}">
              <a16:creationId xmlns:a16="http://schemas.microsoft.com/office/drawing/2014/main" id="{9EDC6A7E-7CC6-FC22-D327-091FEB4FBEF8}"/>
            </a:ext>
          </a:extLst>
        </xdr:cNvPr>
        <xdr:cNvSpPr/>
      </xdr:nvSpPr>
      <xdr:spPr>
        <a:xfrm>
          <a:off x="9523" y="0"/>
          <a:ext cx="4364201" cy="2348787"/>
        </a:xfrm>
        <a:prstGeom prst="verticalScrol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1400" b="1">
              <a:solidFill>
                <a:schemeClr val="tx1"/>
              </a:solidFill>
              <a:latin typeface="+mn-lt"/>
            </a:rPr>
            <a:t>Neu:</a:t>
          </a:r>
          <a:r>
            <a:rPr lang="de-DE" sz="1400" b="1" baseline="0">
              <a:solidFill>
                <a:schemeClr val="tx1"/>
              </a:solidFill>
              <a:latin typeface="+mn-lt"/>
            </a:rPr>
            <a:t> Das "Rentenvolumen"</a:t>
          </a:r>
        </a:p>
        <a:p>
          <a:pPr algn="l"/>
          <a:r>
            <a:rPr lang="de-DE" sz="1200" baseline="0">
              <a:solidFill>
                <a:schemeClr val="tx1"/>
              </a:solidFill>
              <a:latin typeface="+mn-lt"/>
            </a:rPr>
            <a:t>"</a:t>
          </a:r>
          <a:r>
            <a:rPr lang="de-DE" sz="1200" b="1" baseline="0">
              <a:solidFill>
                <a:schemeClr val="tx1"/>
              </a:solidFill>
              <a:latin typeface="+mn-lt"/>
            </a:rPr>
            <a:t>Bar- oder Kapitalwert</a:t>
          </a:r>
          <a:r>
            <a:rPr lang="de-DE" sz="1200" baseline="0">
              <a:solidFill>
                <a:schemeClr val="tx1"/>
              </a:solidFill>
              <a:latin typeface="+mn-lt"/>
            </a:rPr>
            <a:t>" von Versorgungen sind für Gerichte,  Anwaltschaft und die Ehegatten keine  Kathegorie, die eine Vorstellung  des zukünftigen Alters-einkommens ermöglichen. Ich  habe daher in dieser Version des Programms als zusätzliche Information für die Beteiligten die "</a:t>
          </a:r>
          <a:r>
            <a:rPr lang="de-DE" sz="1200" b="1" baseline="0">
              <a:solidFill>
                <a:schemeClr val="tx1"/>
              </a:solidFill>
              <a:latin typeface="+mn-lt"/>
            </a:rPr>
            <a:t>Summe der erwartbaren Altersrenten-</a:t>
          </a:r>
        </a:p>
        <a:p>
          <a:pPr algn="l"/>
          <a:r>
            <a:rPr lang="de-DE" sz="1200" b="1" baseline="0">
              <a:solidFill>
                <a:schemeClr val="tx1"/>
              </a:solidFill>
              <a:latin typeface="+mn-lt"/>
            </a:rPr>
            <a:t>zahlungen</a:t>
          </a:r>
          <a:r>
            <a:rPr lang="de-DE" sz="1200" baseline="0">
              <a:solidFill>
                <a:schemeClr val="tx1"/>
              </a:solidFill>
              <a:latin typeface="+mn-lt"/>
            </a:rPr>
            <a:t>" und den erwartbaren durchschnittlichen Rentenbezug pro Monat ausgewiesen.	Jörn Hauß</a:t>
          </a:r>
        </a:p>
        <a:p>
          <a:pPr algn="l"/>
          <a:endParaRPr lang="de-DE" sz="1100">
            <a:solidFill>
              <a:schemeClr val="tx1"/>
            </a:solidFill>
            <a:latin typeface="+mn-lt"/>
          </a:endParaRPr>
        </a:p>
      </xdr:txBody>
    </xdr:sp>
    <xdr:clientData/>
  </xdr:twoCellAnchor>
  <xdr:twoCellAnchor editAs="oneCell">
    <xdr:from>
      <xdr:col>7</xdr:col>
      <xdr:colOff>19441</xdr:colOff>
      <xdr:row>16</xdr:row>
      <xdr:rowOff>0</xdr:rowOff>
    </xdr:from>
    <xdr:to>
      <xdr:col>7</xdr:col>
      <xdr:colOff>663880</xdr:colOff>
      <xdr:row>18</xdr:row>
      <xdr:rowOff>19440</xdr:rowOff>
    </xdr:to>
    <xdr:pic>
      <xdr:nvPicPr>
        <xdr:cNvPr id="4" name="Grafik 3">
          <a:extLst>
            <a:ext uri="{FF2B5EF4-FFF2-40B4-BE49-F238E27FC236}">
              <a16:creationId xmlns:a16="http://schemas.microsoft.com/office/drawing/2014/main" id="{045533ED-53EF-4E5D-A601-D47B635C01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3982" y="2760306"/>
          <a:ext cx="644439" cy="622042"/>
        </a:xfrm>
        <a:prstGeom prst="rect">
          <a:avLst/>
        </a:prstGeom>
      </xdr:spPr>
    </xdr:pic>
    <xdr:clientData/>
  </xdr:twoCellAnchor>
  <xdr:twoCellAnchor>
    <xdr:from>
      <xdr:col>7</xdr:col>
      <xdr:colOff>19439</xdr:colOff>
      <xdr:row>22</xdr:row>
      <xdr:rowOff>9719</xdr:rowOff>
    </xdr:from>
    <xdr:to>
      <xdr:col>9</xdr:col>
      <xdr:colOff>9719</xdr:colOff>
      <xdr:row>23</xdr:row>
      <xdr:rowOff>9719</xdr:rowOff>
    </xdr:to>
    <xdr:sp macro="" textlink="">
      <xdr:nvSpPr>
        <xdr:cNvPr id="5" name="Rechteck 4">
          <a:hlinkClick xmlns:r="http://schemas.openxmlformats.org/officeDocument/2006/relationships" r:id="rId2"/>
          <a:extLst>
            <a:ext uri="{FF2B5EF4-FFF2-40B4-BE49-F238E27FC236}">
              <a16:creationId xmlns:a16="http://schemas.microsoft.com/office/drawing/2014/main" id="{E57493A8-36BE-04BD-6BBA-E2E4C52174A0}"/>
            </a:ext>
          </a:extLst>
        </xdr:cNvPr>
        <xdr:cNvSpPr/>
      </xdr:nvSpPr>
      <xdr:spPr>
        <a:xfrm>
          <a:off x="9213980" y="4461199"/>
          <a:ext cx="3819719" cy="26242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kern="1200">
            <a:solidFill>
              <a:schemeClr val="tx1"/>
            </a:solidFill>
          </a:endParaRPr>
        </a:p>
      </xdr:txBody>
    </xdr:sp>
    <xdr:clientData/>
  </xdr:twoCellAnchor>
  <xdr:twoCellAnchor editAs="oneCell">
    <xdr:from>
      <xdr:col>7</xdr:col>
      <xdr:colOff>1697182</xdr:colOff>
      <xdr:row>4</xdr:row>
      <xdr:rowOff>186330</xdr:rowOff>
    </xdr:from>
    <xdr:to>
      <xdr:col>9</xdr:col>
      <xdr:colOff>17318</xdr:colOff>
      <xdr:row>13</xdr:row>
      <xdr:rowOff>103910</xdr:rowOff>
    </xdr:to>
    <xdr:pic>
      <xdr:nvPicPr>
        <xdr:cNvPr id="6" name="Grafik 5">
          <a:extLst>
            <a:ext uri="{FF2B5EF4-FFF2-40B4-BE49-F238E27FC236}">
              <a16:creationId xmlns:a16="http://schemas.microsoft.com/office/drawing/2014/main" id="{8E06D516-9ADE-0F7A-6CBA-1D05B973E1CB}"/>
            </a:ext>
          </a:extLst>
        </xdr:cNvPr>
        <xdr:cNvPicPr>
          <a:picLocks noChangeAspect="1"/>
        </xdr:cNvPicPr>
      </xdr:nvPicPr>
      <xdr:blipFill>
        <a:blip xmlns:r="http://schemas.openxmlformats.org/officeDocument/2006/relationships" r:embed="rId3">
          <a:alphaModFix/>
        </a:blip>
        <a:stretch>
          <a:fillRect/>
        </a:stretch>
      </xdr:blipFill>
      <xdr:spPr>
        <a:xfrm>
          <a:off x="10875818" y="376830"/>
          <a:ext cx="2164773" cy="185721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2486025</xdr:colOff>
          <xdr:row>16</xdr:row>
          <xdr:rowOff>28575</xdr:rowOff>
        </xdr:from>
        <xdr:to>
          <xdr:col>7</xdr:col>
          <xdr:colOff>152400</xdr:colOff>
          <xdr:row>16</xdr:row>
          <xdr:rowOff>190500</xdr:rowOff>
        </xdr:to>
        <xdr:sp macro="" textlink="">
          <xdr:nvSpPr>
            <xdr:cNvPr id="2060292" name="Drop Down 4" hidden="1">
              <a:extLst>
                <a:ext uri="{63B3BB69-23CF-44E3-9099-C40C66FF867C}">
                  <a14:compatExt spid="_x0000_s2060292"/>
                </a:ext>
                <a:ext uri="{FF2B5EF4-FFF2-40B4-BE49-F238E27FC236}">
                  <a16:creationId xmlns:a16="http://schemas.microsoft.com/office/drawing/2014/main" id="{00000000-0008-0000-2600-000004701F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5857875</xdr:colOff>
          <xdr:row>16</xdr:row>
          <xdr:rowOff>28575</xdr:rowOff>
        </xdr:from>
        <xdr:to>
          <xdr:col>3</xdr:col>
          <xdr:colOff>28575</xdr:colOff>
          <xdr:row>16</xdr:row>
          <xdr:rowOff>190500</xdr:rowOff>
        </xdr:to>
        <xdr:sp macro="" textlink="">
          <xdr:nvSpPr>
            <xdr:cNvPr id="2060294" name="Drop Down 6" hidden="1">
              <a:extLst>
                <a:ext uri="{63B3BB69-23CF-44E3-9099-C40C66FF867C}">
                  <a14:compatExt spid="_x0000_s2060294"/>
                </a:ext>
                <a:ext uri="{FF2B5EF4-FFF2-40B4-BE49-F238E27FC236}">
                  <a16:creationId xmlns:a16="http://schemas.microsoft.com/office/drawing/2014/main" id="{00000000-0008-0000-2600-000006701F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286440</xdr:colOff>
      <xdr:row>12</xdr:row>
      <xdr:rowOff>57280</xdr:rowOff>
    </xdr:from>
    <xdr:to>
      <xdr:col>10</xdr:col>
      <xdr:colOff>306240</xdr:colOff>
      <xdr:row>12</xdr:row>
      <xdr:rowOff>85720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Freihand 1">
              <a:extLst>
                <a:ext uri="{FF2B5EF4-FFF2-40B4-BE49-F238E27FC236}">
                  <a16:creationId xmlns:a16="http://schemas.microsoft.com/office/drawing/2014/main" id="{C93C5F67-D201-1288-76D4-C30412E649C0}"/>
                </a:ext>
              </a:extLst>
            </xdr14:cNvPr>
            <xdr14:cNvContentPartPr/>
          </xdr14:nvContentPartPr>
          <xdr14:nvPr macro=""/>
          <xdr14:xfrm>
            <a:off x="11183040" y="2978280"/>
            <a:ext cx="19800" cy="28440"/>
          </xdr14:xfrm>
        </xdr:contentPart>
      </mc:Choice>
      <mc:Fallback xmlns="">
        <xdr:pic>
          <xdr:nvPicPr>
            <xdr:cNvPr id="2" name="Freihand 1">
              <a:extLst>
                <a:ext uri="{FF2B5EF4-FFF2-40B4-BE49-F238E27FC236}">
                  <a16:creationId xmlns:a16="http://schemas.microsoft.com/office/drawing/2014/main" id="{C93C5F67-D201-1288-76D4-C30412E649C0}"/>
                </a:ext>
              </a:extLst>
            </xdr:cNvPr>
            <xdr:cNvPicPr/>
          </xdr:nvPicPr>
          <xdr:blipFill>
            <a:blip xmlns:r="http://schemas.openxmlformats.org/officeDocument/2006/relationships" r:embed="rId2"/>
            <a:stretch>
              <a:fillRect/>
            </a:stretch>
          </xdr:blipFill>
          <xdr:spPr>
            <a:xfrm>
              <a:off x="11174040" y="2969640"/>
              <a:ext cx="37440" cy="46080"/>
            </a:xfrm>
            <a:prstGeom prst="rect">
              <a:avLst/>
            </a:prstGeom>
          </xdr:spPr>
        </xdr:pic>
      </mc:Fallback>
    </mc:AlternateContent>
    <xdr:clientData/>
  </xdr:twoCellAnchor>
  <xdr:twoCellAnchor editAs="oneCell">
    <xdr:from>
      <xdr:col>9</xdr:col>
      <xdr:colOff>598910</xdr:colOff>
      <xdr:row>4</xdr:row>
      <xdr:rowOff>86440</xdr:rowOff>
    </xdr:from>
    <xdr:to>
      <xdr:col>9</xdr:col>
      <xdr:colOff>599630</xdr:colOff>
      <xdr:row>4</xdr:row>
      <xdr:rowOff>88600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Freihand 2">
              <a:extLst>
                <a:ext uri="{FF2B5EF4-FFF2-40B4-BE49-F238E27FC236}">
                  <a16:creationId xmlns:a16="http://schemas.microsoft.com/office/drawing/2014/main" id="{0D603D31-DC23-26FF-4C77-BE2913D0CD1B}"/>
                </a:ext>
              </a:extLst>
            </xdr14:cNvPr>
            <xdr14:cNvContentPartPr/>
          </xdr14:nvContentPartPr>
          <xdr14:nvPr macro=""/>
          <xdr14:xfrm>
            <a:off x="10650960" y="1178640"/>
            <a:ext cx="720" cy="2160"/>
          </xdr14:xfrm>
        </xdr:contentPart>
      </mc:Choice>
      <mc:Fallback xmlns="">
        <xdr:pic>
          <xdr:nvPicPr>
            <xdr:cNvPr id="3" name="Freihand 2">
              <a:extLst>
                <a:ext uri="{FF2B5EF4-FFF2-40B4-BE49-F238E27FC236}">
                  <a16:creationId xmlns:a16="http://schemas.microsoft.com/office/drawing/2014/main" id="{0D603D31-DC23-26FF-4C77-BE2913D0CD1B}"/>
                </a:ext>
              </a:extLst>
            </xdr:cNvPr>
            <xdr:cNvPicPr/>
          </xdr:nvPicPr>
          <xdr:blipFill>
            <a:blip xmlns:r="http://schemas.openxmlformats.org/officeDocument/2006/relationships" r:embed="rId4"/>
            <a:stretch>
              <a:fillRect/>
            </a:stretch>
          </xdr:blipFill>
          <xdr:spPr>
            <a:xfrm>
              <a:off x="10644840" y="1172520"/>
              <a:ext cx="12960" cy="14400"/>
            </a:xfrm>
            <a:prstGeom prst="rect">
              <a:avLst/>
            </a:prstGeom>
          </xdr:spPr>
        </xdr:pic>
      </mc:Fallback>
    </mc:AlternateContent>
    <xdr:clientData/>
  </xdr:twoCellAnchor>
  <xdr:twoCellAnchor editAs="oneCell">
    <xdr:from>
      <xdr:col>6</xdr:col>
      <xdr:colOff>646620</xdr:colOff>
      <xdr:row>2</xdr:row>
      <xdr:rowOff>102640</xdr:rowOff>
    </xdr:from>
    <xdr:to>
      <xdr:col>6</xdr:col>
      <xdr:colOff>681900</xdr:colOff>
      <xdr:row>2</xdr:row>
      <xdr:rowOff>130720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Freihand 3">
              <a:extLst>
                <a:ext uri="{FF2B5EF4-FFF2-40B4-BE49-F238E27FC236}">
                  <a16:creationId xmlns:a16="http://schemas.microsoft.com/office/drawing/2014/main" id="{92B1B8F6-18E9-2AAF-FDC8-2DD992B0C711}"/>
                </a:ext>
              </a:extLst>
            </xdr14:cNvPr>
            <xdr14:cNvContentPartPr/>
          </xdr14:nvContentPartPr>
          <xdr14:nvPr macro=""/>
          <xdr14:xfrm>
            <a:off x="7771320" y="737640"/>
            <a:ext cx="35280" cy="28080"/>
          </xdr14:xfrm>
        </xdr:contentPart>
      </mc:Choice>
      <mc:Fallback xmlns="">
        <xdr:pic>
          <xdr:nvPicPr>
            <xdr:cNvPr id="4" name="Freihand 3">
              <a:extLst>
                <a:ext uri="{FF2B5EF4-FFF2-40B4-BE49-F238E27FC236}">
                  <a16:creationId xmlns:a16="http://schemas.microsoft.com/office/drawing/2014/main" id="{92B1B8F6-18E9-2AAF-FDC8-2DD992B0C711}"/>
                </a:ext>
              </a:extLst>
            </xdr:cNvPr>
            <xdr:cNvPicPr/>
          </xdr:nvPicPr>
          <xdr:blipFill>
            <a:blip xmlns:r="http://schemas.openxmlformats.org/officeDocument/2006/relationships" r:embed="rId6"/>
            <a:stretch>
              <a:fillRect/>
            </a:stretch>
          </xdr:blipFill>
          <xdr:spPr>
            <a:xfrm>
              <a:off x="7765200" y="731520"/>
              <a:ext cx="47520" cy="40320"/>
            </a:xfrm>
            <a:prstGeom prst="rect">
              <a:avLst/>
            </a:prstGeom>
          </xdr:spPr>
        </xdr:pic>
      </mc:Fallback>
    </mc:AlternateContent>
    <xdr:clientData/>
  </xdr:twoCellAnchor>
  <xdr:twoCellAnchor editAs="oneCell">
    <xdr:from>
      <xdr:col>6</xdr:col>
      <xdr:colOff>364740</xdr:colOff>
      <xdr:row>2</xdr:row>
      <xdr:rowOff>153400</xdr:rowOff>
    </xdr:from>
    <xdr:to>
      <xdr:col>6</xdr:col>
      <xdr:colOff>392100</xdr:colOff>
      <xdr:row>2</xdr:row>
      <xdr:rowOff>165280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Freihand 4">
              <a:extLst>
                <a:ext uri="{FF2B5EF4-FFF2-40B4-BE49-F238E27FC236}">
                  <a16:creationId xmlns:a16="http://schemas.microsoft.com/office/drawing/2014/main" id="{BF4B2D68-E8B0-54AE-2AD7-9C0D58FC1DBF}"/>
                </a:ext>
              </a:extLst>
            </xdr14:cNvPr>
            <xdr14:cNvContentPartPr/>
          </xdr14:nvContentPartPr>
          <xdr14:nvPr macro=""/>
          <xdr14:xfrm>
            <a:off x="7489440" y="788400"/>
            <a:ext cx="27360" cy="11880"/>
          </xdr14:xfrm>
        </xdr:contentPart>
      </mc:Choice>
      <mc:Fallback xmlns="">
        <xdr:pic>
          <xdr:nvPicPr>
            <xdr:cNvPr id="5" name="Freihand 4">
              <a:extLst>
                <a:ext uri="{FF2B5EF4-FFF2-40B4-BE49-F238E27FC236}">
                  <a16:creationId xmlns:a16="http://schemas.microsoft.com/office/drawing/2014/main" id="{BF4B2D68-E8B0-54AE-2AD7-9C0D58FC1DBF}"/>
                </a:ext>
              </a:extLst>
            </xdr:cNvPr>
            <xdr:cNvPicPr/>
          </xdr:nvPicPr>
          <xdr:blipFill>
            <a:blip xmlns:r="http://schemas.openxmlformats.org/officeDocument/2006/relationships" r:embed="rId8"/>
            <a:stretch>
              <a:fillRect/>
            </a:stretch>
          </xdr:blipFill>
          <xdr:spPr>
            <a:xfrm>
              <a:off x="7483320" y="782280"/>
              <a:ext cx="39600" cy="24120"/>
            </a:xfrm>
            <a:prstGeom prst="rect">
              <a:avLst/>
            </a:prstGeom>
          </xdr:spPr>
        </xdr:pic>
      </mc:Fallback>
    </mc:AlternateContent>
    <xdr:clientData/>
  </xdr:twoCellAnchor>
  <xdr:twoCellAnchor editAs="oneCell">
    <xdr:from>
      <xdr:col>6</xdr:col>
      <xdr:colOff>732660</xdr:colOff>
      <xdr:row>8</xdr:row>
      <xdr:rowOff>147640</xdr:rowOff>
    </xdr:from>
    <xdr:to>
      <xdr:col>6</xdr:col>
      <xdr:colOff>748500</xdr:colOff>
      <xdr:row>8</xdr:row>
      <xdr:rowOff>153400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Freihand 5">
              <a:extLst>
                <a:ext uri="{FF2B5EF4-FFF2-40B4-BE49-F238E27FC236}">
                  <a16:creationId xmlns:a16="http://schemas.microsoft.com/office/drawing/2014/main" id="{5A420776-31D3-A104-0B55-AF525AF0669E}"/>
                </a:ext>
              </a:extLst>
            </xdr14:cNvPr>
            <xdr14:cNvContentPartPr/>
          </xdr14:nvContentPartPr>
          <xdr14:nvPr macro=""/>
          <xdr14:xfrm>
            <a:off x="7857360" y="2154240"/>
            <a:ext cx="15840" cy="5760"/>
          </xdr14:xfrm>
        </xdr:contentPart>
      </mc:Choice>
      <mc:Fallback xmlns="">
        <xdr:pic>
          <xdr:nvPicPr>
            <xdr:cNvPr id="6" name="Freihand 5">
              <a:extLst>
                <a:ext uri="{FF2B5EF4-FFF2-40B4-BE49-F238E27FC236}">
                  <a16:creationId xmlns:a16="http://schemas.microsoft.com/office/drawing/2014/main" id="{5A420776-31D3-A104-0B55-AF525AF0669E}"/>
                </a:ext>
              </a:extLst>
            </xdr:cNvPr>
            <xdr:cNvPicPr/>
          </xdr:nvPicPr>
          <xdr:blipFill>
            <a:blip xmlns:r="http://schemas.openxmlformats.org/officeDocument/2006/relationships" r:embed="rId10"/>
            <a:stretch>
              <a:fillRect/>
            </a:stretch>
          </xdr:blipFill>
          <xdr:spPr>
            <a:xfrm>
              <a:off x="7851240" y="2148120"/>
              <a:ext cx="28080" cy="18000"/>
            </a:xfrm>
            <a:prstGeom prst="rect">
              <a:avLst/>
            </a:prstGeom>
          </xdr:spPr>
        </xdr:pic>
      </mc:Fallback>
    </mc:AlternateContent>
    <xdr:clientData/>
  </xdr:twoCellAnchor>
  <xdr:twoCellAnchor editAs="oneCell">
    <xdr:from>
      <xdr:col>6</xdr:col>
      <xdr:colOff>749580</xdr:colOff>
      <xdr:row>7</xdr:row>
      <xdr:rowOff>119560</xdr:rowOff>
    </xdr:from>
    <xdr:to>
      <xdr:col>6</xdr:col>
      <xdr:colOff>766500</xdr:colOff>
      <xdr:row>7</xdr:row>
      <xdr:rowOff>123520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Freihand 6">
              <a:extLst>
                <a:ext uri="{FF2B5EF4-FFF2-40B4-BE49-F238E27FC236}">
                  <a16:creationId xmlns:a16="http://schemas.microsoft.com/office/drawing/2014/main" id="{04BC3491-54D8-4FA1-9022-0435C9CA8D34}"/>
                </a:ext>
              </a:extLst>
            </xdr14:cNvPr>
            <xdr14:cNvContentPartPr/>
          </xdr14:nvContentPartPr>
          <xdr14:nvPr macro=""/>
          <xdr14:xfrm>
            <a:off x="7874280" y="1897560"/>
            <a:ext cx="16920" cy="3960"/>
          </xdr14:xfrm>
        </xdr:contentPart>
      </mc:Choice>
      <mc:Fallback xmlns="">
        <xdr:pic>
          <xdr:nvPicPr>
            <xdr:cNvPr id="7" name="Freihand 6">
              <a:extLst>
                <a:ext uri="{FF2B5EF4-FFF2-40B4-BE49-F238E27FC236}">
                  <a16:creationId xmlns:a16="http://schemas.microsoft.com/office/drawing/2014/main" id="{04BC3491-54D8-4FA1-9022-0435C9CA8D34}"/>
                </a:ext>
              </a:extLst>
            </xdr:cNvPr>
            <xdr:cNvPicPr/>
          </xdr:nvPicPr>
          <xdr:blipFill>
            <a:blip xmlns:r="http://schemas.openxmlformats.org/officeDocument/2006/relationships" r:embed="rId12"/>
            <a:stretch>
              <a:fillRect/>
            </a:stretch>
          </xdr:blipFill>
          <xdr:spPr>
            <a:xfrm>
              <a:off x="7868160" y="1891440"/>
              <a:ext cx="29160" cy="16200"/>
            </a:xfrm>
            <a:prstGeom prst="rect">
              <a:avLst/>
            </a:prstGeom>
          </xdr:spPr>
        </xdr:pic>
      </mc:Fallback>
    </mc:AlternateContent>
    <xdr:clientData/>
  </xdr:twoCellAnchor>
  <xdr:twoCellAnchor editAs="oneCell">
    <xdr:from>
      <xdr:col>8</xdr:col>
      <xdr:colOff>659590</xdr:colOff>
      <xdr:row>2</xdr:row>
      <xdr:rowOff>111280</xdr:rowOff>
    </xdr:from>
    <xdr:to>
      <xdr:col>8</xdr:col>
      <xdr:colOff>675070</xdr:colOff>
      <xdr:row>2</xdr:row>
      <xdr:rowOff>125320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Freihand 7">
              <a:extLst>
                <a:ext uri="{FF2B5EF4-FFF2-40B4-BE49-F238E27FC236}">
                  <a16:creationId xmlns:a16="http://schemas.microsoft.com/office/drawing/2014/main" id="{89F36785-F10D-E914-87F1-A287B75BBEEE}"/>
                </a:ext>
              </a:extLst>
            </xdr14:cNvPr>
            <xdr14:cNvContentPartPr/>
          </xdr14:nvContentPartPr>
          <xdr14:nvPr macro=""/>
          <xdr14:xfrm>
            <a:off x="9771840" y="746280"/>
            <a:ext cx="15480" cy="14040"/>
          </xdr14:xfrm>
        </xdr:contentPart>
      </mc:Choice>
      <mc:Fallback xmlns="">
        <xdr:pic>
          <xdr:nvPicPr>
            <xdr:cNvPr id="8" name="Freihand 7">
              <a:extLst>
                <a:ext uri="{FF2B5EF4-FFF2-40B4-BE49-F238E27FC236}">
                  <a16:creationId xmlns:a16="http://schemas.microsoft.com/office/drawing/2014/main" id="{89F36785-F10D-E914-87F1-A287B75BBEEE}"/>
                </a:ext>
              </a:extLst>
            </xdr:cNvPr>
            <xdr:cNvPicPr/>
          </xdr:nvPicPr>
          <xdr:blipFill>
            <a:blip xmlns:r="http://schemas.openxmlformats.org/officeDocument/2006/relationships" r:embed="rId14"/>
            <a:stretch>
              <a:fillRect/>
            </a:stretch>
          </xdr:blipFill>
          <xdr:spPr>
            <a:xfrm>
              <a:off x="9765720" y="740160"/>
              <a:ext cx="27720" cy="26280"/>
            </a:xfrm>
            <a:prstGeom prst="rect">
              <a:avLst/>
            </a:prstGeom>
          </xdr:spPr>
        </xdr:pic>
      </mc:Fallback>
    </mc:AlternateContent>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788571</xdr:colOff>
      <xdr:row>10</xdr:row>
      <xdr:rowOff>30973</xdr:rowOff>
    </xdr:from>
    <xdr:to>
      <xdr:col>2</xdr:col>
      <xdr:colOff>668253</xdr:colOff>
      <xdr:row>10</xdr:row>
      <xdr:rowOff>757655</xdr:rowOff>
    </xdr:to>
    <xdr:pic>
      <xdr:nvPicPr>
        <xdr:cNvPr id="8" name="Grafik 7" descr="Dokument">
          <a:extLst>
            <a:ext uri="{FF2B5EF4-FFF2-40B4-BE49-F238E27FC236}">
              <a16:creationId xmlns:a16="http://schemas.microsoft.com/office/drawing/2014/main" id="{00000000-0008-0000-27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954255" y="1942657"/>
          <a:ext cx="718551" cy="717157"/>
        </a:xfrm>
        <a:prstGeom prst="rect">
          <a:avLst/>
        </a:prstGeom>
      </xdr:spPr>
    </xdr:pic>
    <xdr:clientData/>
  </xdr:twoCellAnchor>
  <xdr:twoCellAnchor editAs="oneCell">
    <xdr:from>
      <xdr:col>3</xdr:col>
      <xdr:colOff>0</xdr:colOff>
      <xdr:row>10</xdr:row>
      <xdr:rowOff>0</xdr:rowOff>
    </xdr:from>
    <xdr:to>
      <xdr:col>3</xdr:col>
      <xdr:colOff>914400</xdr:colOff>
      <xdr:row>10</xdr:row>
      <xdr:rowOff>914400</xdr:rowOff>
    </xdr:to>
    <xdr:pic>
      <xdr:nvPicPr>
        <xdr:cNvPr id="3" name="Grafik 2" descr="Informationen">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43421" y="1911684"/>
          <a:ext cx="914400" cy="914400"/>
        </a:xfrm>
        <a:prstGeom prst="rect">
          <a:avLst/>
        </a:prstGeom>
      </xdr:spPr>
    </xdr:pic>
    <xdr:clientData/>
  </xdr:twoCellAnchor>
  <xdr:twoCellAnchor editAs="oneCell">
    <xdr:from>
      <xdr:col>5</xdr:col>
      <xdr:colOff>838868</xdr:colOff>
      <xdr:row>10</xdr:row>
      <xdr:rowOff>0</xdr:rowOff>
    </xdr:from>
    <xdr:to>
      <xdr:col>7</xdr:col>
      <xdr:colOff>75531</xdr:colOff>
      <xdr:row>10</xdr:row>
      <xdr:rowOff>914400</xdr:rowOff>
    </xdr:to>
    <xdr:pic>
      <xdr:nvPicPr>
        <xdr:cNvPr id="14" name="Grafik 13" descr="Waage der Justitia">
          <a:extLst>
            <a:ext uri="{FF2B5EF4-FFF2-40B4-BE49-F238E27FC236}">
              <a16:creationId xmlns:a16="http://schemas.microsoft.com/office/drawing/2014/main" id="{00000000-0008-0000-2700-00000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87289" y="1911684"/>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28575</xdr:colOff>
          <xdr:row>5</xdr:row>
          <xdr:rowOff>28575</xdr:rowOff>
        </xdr:from>
        <xdr:to>
          <xdr:col>24</xdr:col>
          <xdr:colOff>714375</xdr:colOff>
          <xdr:row>5</xdr:row>
          <xdr:rowOff>219075</xdr:rowOff>
        </xdr:to>
        <xdr:sp macro="" textlink="">
          <xdr:nvSpPr>
            <xdr:cNvPr id="1931265" name="Check Box 1" hidden="1">
              <a:extLst>
                <a:ext uri="{63B3BB69-23CF-44E3-9099-C40C66FF867C}">
                  <a14:compatExt spid="_x0000_s1931265"/>
                </a:ext>
                <a:ext uri="{FF2B5EF4-FFF2-40B4-BE49-F238E27FC236}">
                  <a16:creationId xmlns:a16="http://schemas.microsoft.com/office/drawing/2014/main" id="{00000000-0008-0000-0B00-000001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BiMoG-10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28575</xdr:rowOff>
        </xdr:from>
        <xdr:to>
          <xdr:col>12</xdr:col>
          <xdr:colOff>257175</xdr:colOff>
          <xdr:row>10</xdr:row>
          <xdr:rowOff>219075</xdr:rowOff>
        </xdr:to>
        <xdr:sp macro="" textlink="">
          <xdr:nvSpPr>
            <xdr:cNvPr id="1931285" name="Check Box 21" hidden="1">
              <a:extLst>
                <a:ext uri="{63B3BB69-23CF-44E3-9099-C40C66FF867C}">
                  <a14:compatExt spid="_x0000_s1931285"/>
                </a:ext>
                <a:ext uri="{FF2B5EF4-FFF2-40B4-BE49-F238E27FC236}">
                  <a16:creationId xmlns:a16="http://schemas.microsoft.com/office/drawing/2014/main" id="{00000000-0008-0000-0B00-000015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GruSi-EP zur Rente addieren</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28575</xdr:colOff>
          <xdr:row>15</xdr:row>
          <xdr:rowOff>152400</xdr:rowOff>
        </xdr:from>
        <xdr:to>
          <xdr:col>6</xdr:col>
          <xdr:colOff>28575</xdr:colOff>
          <xdr:row>16</xdr:row>
          <xdr:rowOff>190500</xdr:rowOff>
        </xdr:to>
        <xdr:sp macro="" textlink="">
          <xdr:nvSpPr>
            <xdr:cNvPr id="1931394" name="TO_Auswahl" hidden="1">
              <a:extLst>
                <a:ext uri="{63B3BB69-23CF-44E3-9099-C40C66FF867C}">
                  <a14:compatExt spid="_x0000_s1931394"/>
                </a:ext>
                <a:ext uri="{FF2B5EF4-FFF2-40B4-BE49-F238E27FC236}">
                  <a16:creationId xmlns:a16="http://schemas.microsoft.com/office/drawing/2014/main" id="{00000000-0008-0000-0B00-000082781D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28575</xdr:rowOff>
        </xdr:from>
        <xdr:to>
          <xdr:col>3</xdr:col>
          <xdr:colOff>28575</xdr:colOff>
          <xdr:row>4</xdr:row>
          <xdr:rowOff>0</xdr:rowOff>
        </xdr:to>
        <xdr:sp macro="" textlink="">
          <xdr:nvSpPr>
            <xdr:cNvPr id="1931403" name="Option Button 139" hidden="1">
              <a:extLst>
                <a:ext uri="{63B3BB69-23CF-44E3-9099-C40C66FF867C}">
                  <a14:compatExt spid="_x0000_s1931403"/>
                </a:ext>
                <a:ext uri="{FF2B5EF4-FFF2-40B4-BE49-F238E27FC236}">
                  <a16:creationId xmlns:a16="http://schemas.microsoft.com/office/drawing/2014/main" id="{00000000-0008-0000-0B00-00008B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Mdt.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xdr:row>
          <xdr:rowOff>28575</xdr:rowOff>
        </xdr:from>
        <xdr:to>
          <xdr:col>3</xdr:col>
          <xdr:colOff>28575</xdr:colOff>
          <xdr:row>5</xdr:row>
          <xdr:rowOff>28575</xdr:rowOff>
        </xdr:to>
        <xdr:sp macro="" textlink="">
          <xdr:nvSpPr>
            <xdr:cNvPr id="1931404" name="Option Button 140" hidden="1">
              <a:extLst>
                <a:ext uri="{63B3BB69-23CF-44E3-9099-C40C66FF867C}">
                  <a14:compatExt spid="_x0000_s1931404"/>
                </a:ext>
                <a:ext uri="{FF2B5EF4-FFF2-40B4-BE49-F238E27FC236}">
                  <a16:creationId xmlns:a16="http://schemas.microsoft.com/office/drawing/2014/main" id="{00000000-0008-0000-0B00-00008C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Mdt.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638175</xdr:colOff>
          <xdr:row>3</xdr:row>
          <xdr:rowOff>28575</xdr:rowOff>
        </xdr:from>
        <xdr:to>
          <xdr:col>21</xdr:col>
          <xdr:colOff>866775</xdr:colOff>
          <xdr:row>3</xdr:row>
          <xdr:rowOff>219075</xdr:rowOff>
        </xdr:to>
        <xdr:sp macro="" textlink="">
          <xdr:nvSpPr>
            <xdr:cNvPr id="1931406" name="Check Box 142" hidden="1">
              <a:extLst>
                <a:ext uri="{63B3BB69-23CF-44E3-9099-C40C66FF867C}">
                  <a14:compatExt spid="_x0000_s1931406"/>
                </a:ext>
                <a:ext uri="{FF2B5EF4-FFF2-40B4-BE49-F238E27FC236}">
                  <a16:creationId xmlns:a16="http://schemas.microsoft.com/office/drawing/2014/main" id="{00000000-0008-0000-0B00-00008E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ist bereits Rentnerin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676275</xdr:colOff>
          <xdr:row>3</xdr:row>
          <xdr:rowOff>28575</xdr:rowOff>
        </xdr:from>
        <xdr:to>
          <xdr:col>20</xdr:col>
          <xdr:colOff>28575</xdr:colOff>
          <xdr:row>3</xdr:row>
          <xdr:rowOff>219075</xdr:rowOff>
        </xdr:to>
        <xdr:sp macro="" textlink="">
          <xdr:nvSpPr>
            <xdr:cNvPr id="1931407" name="Check Box 143" hidden="1">
              <a:extLst>
                <a:ext uri="{63B3BB69-23CF-44E3-9099-C40C66FF867C}">
                  <a14:compatExt spid="_x0000_s1931407"/>
                </a:ext>
                <a:ext uri="{FF2B5EF4-FFF2-40B4-BE49-F238E27FC236}">
                  <a16:creationId xmlns:a16="http://schemas.microsoft.com/office/drawing/2014/main" id="{00000000-0008-0000-0B00-00008F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ist bereits Rentner</a:t>
              </a:r>
            </a:p>
          </xdr:txBody>
        </xdr:sp>
        <xdr:clientData/>
      </xdr:twoCellAnchor>
    </mc:Choice>
    <mc:Fallback/>
  </mc:AlternateContent>
  <xdr:twoCellAnchor>
    <xdr:from>
      <xdr:col>3</xdr:col>
      <xdr:colOff>290287</xdr:colOff>
      <xdr:row>19</xdr:row>
      <xdr:rowOff>1</xdr:rowOff>
    </xdr:from>
    <xdr:to>
      <xdr:col>6</xdr:col>
      <xdr:colOff>843644</xdr:colOff>
      <xdr:row>20</xdr:row>
      <xdr:rowOff>9072</xdr:rowOff>
    </xdr:to>
    <xdr:sp macro="" textlink="">
      <xdr:nvSpPr>
        <xdr:cNvPr id="2" name="Flussdiagramm: Prozess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206501" y="4254501"/>
          <a:ext cx="4091214" cy="217714"/>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1200" b="1">
            <a:solidFill>
              <a:srgbClr val="0070C0"/>
            </a:solidFill>
          </a:endParaRPr>
        </a:p>
      </xdr:txBody>
    </xdr:sp>
    <xdr:clientData/>
  </xdr:twoCellAnchor>
  <xdr:twoCellAnchor>
    <xdr:from>
      <xdr:col>16</xdr:col>
      <xdr:colOff>381002</xdr:colOff>
      <xdr:row>1</xdr:row>
      <xdr:rowOff>206187</xdr:rowOff>
    </xdr:from>
    <xdr:to>
      <xdr:col>18</xdr:col>
      <xdr:colOff>97921</xdr:colOff>
      <xdr:row>6</xdr:row>
      <xdr:rowOff>218165</xdr:rowOff>
    </xdr:to>
    <xdr:sp macro="" textlink="">
      <xdr:nvSpPr>
        <xdr:cNvPr id="13" name="Pfeil: gestreift nach rechts 12">
          <a:hlinkClick xmlns:r="http://schemas.openxmlformats.org/officeDocument/2006/relationships" r:id="rId2"/>
          <a:extLst>
            <a:ext uri="{FF2B5EF4-FFF2-40B4-BE49-F238E27FC236}">
              <a16:creationId xmlns:a16="http://schemas.microsoft.com/office/drawing/2014/main" id="{00000000-0008-0000-0B00-00000D000000}"/>
            </a:ext>
          </a:extLst>
        </xdr:cNvPr>
        <xdr:cNvSpPr/>
      </xdr:nvSpPr>
      <xdr:spPr>
        <a:xfrm rot="16200000">
          <a:off x="9843637" y="757129"/>
          <a:ext cx="1141531" cy="469954"/>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400" b="1">
              <a:solidFill>
                <a:schemeClr val="tx1"/>
              </a:solidFill>
            </a:rPr>
            <a:t>Inhalt</a:t>
          </a:r>
        </a:p>
      </xdr:txBody>
    </xdr:sp>
    <xdr:clientData fPrintsWithSheet="0"/>
  </xdr:twoCellAnchor>
  <xdr:twoCellAnchor>
    <xdr:from>
      <xdr:col>9</xdr:col>
      <xdr:colOff>399143</xdr:colOff>
      <xdr:row>11</xdr:row>
      <xdr:rowOff>81643</xdr:rowOff>
    </xdr:from>
    <xdr:to>
      <xdr:col>16</xdr:col>
      <xdr:colOff>90715</xdr:colOff>
      <xdr:row>12</xdr:row>
      <xdr:rowOff>145143</xdr:rowOff>
    </xdr:to>
    <xdr:sp macro="" textlink="">
      <xdr:nvSpPr>
        <xdr:cNvPr id="3" name="Rechteck 2">
          <a:hlinkClick xmlns:r="http://schemas.openxmlformats.org/officeDocument/2006/relationships" r:id="rId3"/>
          <a:extLst>
            <a:ext uri="{FF2B5EF4-FFF2-40B4-BE49-F238E27FC236}">
              <a16:creationId xmlns:a16="http://schemas.microsoft.com/office/drawing/2014/main" id="{00000000-0008-0000-0B00-000003000000}"/>
            </a:ext>
          </a:extLst>
        </xdr:cNvPr>
        <xdr:cNvSpPr/>
      </xdr:nvSpPr>
      <xdr:spPr>
        <a:xfrm>
          <a:off x="6767286" y="2521857"/>
          <a:ext cx="3175000" cy="290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oneCell">
    <xdr:from>
      <xdr:col>0</xdr:col>
      <xdr:colOff>231775</xdr:colOff>
      <xdr:row>0</xdr:row>
      <xdr:rowOff>206375</xdr:rowOff>
    </xdr:from>
    <xdr:to>
      <xdr:col>2</xdr:col>
      <xdr:colOff>115926</xdr:colOff>
      <xdr:row>3</xdr:row>
      <xdr:rowOff>3174</xdr:rowOff>
    </xdr:to>
    <xdr:pic>
      <xdr:nvPicPr>
        <xdr:cNvPr id="4" name="Grafik 3">
          <a:hlinkClick xmlns:r="http://schemas.openxmlformats.org/officeDocument/2006/relationships" r:id="rId4"/>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5"/>
        <a:stretch>
          <a:fillRect/>
        </a:stretch>
      </xdr:blipFill>
      <xdr:spPr>
        <a:xfrm>
          <a:off x="231775" y="206375"/>
          <a:ext cx="455651" cy="42544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24</xdr:col>
          <xdr:colOff>28575</xdr:colOff>
          <xdr:row>5</xdr:row>
          <xdr:rowOff>219075</xdr:rowOff>
        </xdr:from>
        <xdr:to>
          <xdr:col>26</xdr:col>
          <xdr:colOff>904875</xdr:colOff>
          <xdr:row>6</xdr:row>
          <xdr:rowOff>219075</xdr:rowOff>
        </xdr:to>
        <xdr:sp macro="" textlink="">
          <xdr:nvSpPr>
            <xdr:cNvPr id="1931420" name="Check Box 156" hidden="1">
              <a:extLst>
                <a:ext uri="{63B3BB69-23CF-44E3-9099-C40C66FF867C}">
                  <a14:compatExt spid="_x0000_s1931420"/>
                </a:ext>
                <a:ext uri="{FF2B5EF4-FFF2-40B4-BE49-F238E27FC236}">
                  <a16:creationId xmlns:a16="http://schemas.microsoft.com/office/drawing/2014/main" id="{00000000-0008-0000-0B00-00009C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Barw. d. ö-r-Versorg. mit Unisex-Tarifen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xdr:row>
          <xdr:rowOff>219075</xdr:rowOff>
        </xdr:from>
        <xdr:to>
          <xdr:col>28</xdr:col>
          <xdr:colOff>828675</xdr:colOff>
          <xdr:row>9</xdr:row>
          <xdr:rowOff>219075</xdr:rowOff>
        </xdr:to>
        <xdr:sp macro="" textlink="">
          <xdr:nvSpPr>
            <xdr:cNvPr id="1931435" name="Check Box 171" hidden="1">
              <a:extLst>
                <a:ext uri="{63B3BB69-23CF-44E3-9099-C40C66FF867C}">
                  <a14:compatExt spid="_x0000_s1931435"/>
                </a:ext>
                <a:ext uri="{FF2B5EF4-FFF2-40B4-BE49-F238E27FC236}">
                  <a16:creationId xmlns:a16="http://schemas.microsoft.com/office/drawing/2014/main" id="{00000000-0008-0000-0B00-0000AB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Berechnung auf Monatsbasis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219075</xdr:rowOff>
        </xdr:from>
        <xdr:to>
          <xdr:col>26</xdr:col>
          <xdr:colOff>914400</xdr:colOff>
          <xdr:row>26</xdr:row>
          <xdr:rowOff>0</xdr:rowOff>
        </xdr:to>
        <xdr:sp macro="" textlink="">
          <xdr:nvSpPr>
            <xdr:cNvPr id="1931451" name="Check Box 187" hidden="1">
              <a:extLst>
                <a:ext uri="{63B3BB69-23CF-44E3-9099-C40C66FF867C}">
                  <a14:compatExt spid="_x0000_s1931451"/>
                </a:ext>
                <a:ext uri="{FF2B5EF4-FFF2-40B4-BE49-F238E27FC236}">
                  <a16:creationId xmlns:a16="http://schemas.microsoft.com/office/drawing/2014/main" id="{00000000-0008-0000-0B00-0000BB781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Rentenleistung</a:t>
              </a:r>
            </a:p>
          </xdr:txBody>
        </xdr:sp>
        <xdr:clientData/>
      </xdr:twoCellAnchor>
    </mc:Choice>
    <mc:Fallback/>
  </mc:AlternateContent>
  <xdr:twoCellAnchor>
    <xdr:from>
      <xdr:col>17</xdr:col>
      <xdr:colOff>10583</xdr:colOff>
      <xdr:row>0</xdr:row>
      <xdr:rowOff>21167</xdr:rowOff>
    </xdr:from>
    <xdr:to>
      <xdr:col>21</xdr:col>
      <xdr:colOff>857250</xdr:colOff>
      <xdr:row>1</xdr:row>
      <xdr:rowOff>0</xdr:rowOff>
    </xdr:to>
    <xdr:sp macro="" textlink="">
      <xdr:nvSpPr>
        <xdr:cNvPr id="5" name="Rechteck 4">
          <a:hlinkClick xmlns:r="http://schemas.openxmlformats.org/officeDocument/2006/relationships" r:id="rId6"/>
          <a:extLst>
            <a:ext uri="{FF2B5EF4-FFF2-40B4-BE49-F238E27FC236}">
              <a16:creationId xmlns:a16="http://schemas.microsoft.com/office/drawing/2014/main" id="{68905D0B-BF62-3075-2E82-FF9D88576DB6}"/>
            </a:ext>
          </a:extLst>
        </xdr:cNvPr>
        <xdr:cNvSpPr/>
      </xdr:nvSpPr>
      <xdr:spPr>
        <a:xfrm>
          <a:off x="10202333" y="21167"/>
          <a:ext cx="377825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oneCell">
    <xdr:from>
      <xdr:col>13</xdr:col>
      <xdr:colOff>117232</xdr:colOff>
      <xdr:row>1</xdr:row>
      <xdr:rowOff>19024</xdr:rowOff>
    </xdr:from>
    <xdr:to>
      <xdr:col>14</xdr:col>
      <xdr:colOff>106647</xdr:colOff>
      <xdr:row>3</xdr:row>
      <xdr:rowOff>314</xdr:rowOff>
    </xdr:to>
    <xdr:pic>
      <xdr:nvPicPr>
        <xdr:cNvPr id="6" name="Grafik 5">
          <a:extLst>
            <a:ext uri="{FF2B5EF4-FFF2-40B4-BE49-F238E27FC236}">
              <a16:creationId xmlns:a16="http://schemas.microsoft.com/office/drawing/2014/main" id="{3D9F7AB1-F153-7207-8F18-E011BDE00BD7}"/>
            </a:ext>
          </a:extLst>
        </xdr:cNvPr>
        <xdr:cNvPicPr>
          <a:picLocks noChangeAspect="1"/>
        </xdr:cNvPicPr>
      </xdr:nvPicPr>
      <xdr:blipFill>
        <a:blip xmlns:r="http://schemas.openxmlformats.org/officeDocument/2006/relationships" r:embed="rId7"/>
        <a:stretch>
          <a:fillRect/>
        </a:stretch>
      </xdr:blipFill>
      <xdr:spPr>
        <a:xfrm>
          <a:off x="8367347" y="231505"/>
          <a:ext cx="458338" cy="403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558164</xdr:colOff>
      <xdr:row>15</xdr:row>
      <xdr:rowOff>45720</xdr:rowOff>
    </xdr:from>
    <xdr:to>
      <xdr:col>17</xdr:col>
      <xdr:colOff>2495549</xdr:colOff>
      <xdr:row>31</xdr:row>
      <xdr:rowOff>129540</xdr:rowOff>
    </xdr:to>
    <xdr:graphicFrame macro="">
      <xdr:nvGraphicFramePr>
        <xdr:cNvPr id="3" name="Diagramm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333375</xdr:colOff>
          <xdr:row>10</xdr:row>
          <xdr:rowOff>104775</xdr:rowOff>
        </xdr:from>
        <xdr:to>
          <xdr:col>4</xdr:col>
          <xdr:colOff>723900</xdr:colOff>
          <xdr:row>10</xdr:row>
          <xdr:rowOff>295275</xdr:rowOff>
        </xdr:to>
        <xdr:sp macro="" textlink="">
          <xdr:nvSpPr>
            <xdr:cNvPr id="5121" name="Kontrollkästchen 1" hidden="1">
              <a:extLst>
                <a:ext uri="{63B3BB69-23CF-44E3-9099-C40C66FF867C}">
                  <a14:compatExt spid="_x0000_s5121"/>
                </a:ext>
                <a:ext uri="{FF2B5EF4-FFF2-40B4-BE49-F238E27FC236}">
                  <a16:creationId xmlns:a16="http://schemas.microsoft.com/office/drawing/2014/main" id="{00000000-0008-0000-0E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11</xdr:row>
          <xdr:rowOff>104775</xdr:rowOff>
        </xdr:from>
        <xdr:to>
          <xdr:col>4</xdr:col>
          <xdr:colOff>723900</xdr:colOff>
          <xdr:row>11</xdr:row>
          <xdr:rowOff>295275</xdr:rowOff>
        </xdr:to>
        <xdr:sp macro="" textlink="">
          <xdr:nvSpPr>
            <xdr:cNvPr id="5122" name="Kontrollkästchen 2" hidden="1">
              <a:extLst>
                <a:ext uri="{63B3BB69-23CF-44E3-9099-C40C66FF867C}">
                  <a14:compatExt spid="_x0000_s5122"/>
                </a:ext>
                <a:ext uri="{FF2B5EF4-FFF2-40B4-BE49-F238E27FC236}">
                  <a16:creationId xmlns:a16="http://schemas.microsoft.com/office/drawing/2014/main" id="{00000000-0008-0000-0E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104775</xdr:rowOff>
        </xdr:from>
        <xdr:to>
          <xdr:col>4</xdr:col>
          <xdr:colOff>942975</xdr:colOff>
          <xdr:row>6</xdr:row>
          <xdr:rowOff>295275</xdr:rowOff>
        </xdr:to>
        <xdr:sp macro="" textlink="">
          <xdr:nvSpPr>
            <xdr:cNvPr id="5143" name="Optionsfeld 23" hidden="1">
              <a:extLst>
                <a:ext uri="{63B3BB69-23CF-44E3-9099-C40C66FF867C}">
                  <a14:compatExt spid="_x0000_s5143"/>
                </a:ext>
                <a:ext uri="{FF2B5EF4-FFF2-40B4-BE49-F238E27FC236}">
                  <a16:creationId xmlns:a16="http://schemas.microsoft.com/office/drawing/2014/main" id="{00000000-0008-0000-0E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männlich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6</xdr:row>
          <xdr:rowOff>104775</xdr:rowOff>
        </xdr:from>
        <xdr:to>
          <xdr:col>5</xdr:col>
          <xdr:colOff>1038225</xdr:colOff>
          <xdr:row>6</xdr:row>
          <xdr:rowOff>295275</xdr:rowOff>
        </xdr:to>
        <xdr:sp macro="" textlink="">
          <xdr:nvSpPr>
            <xdr:cNvPr id="5147" name="Optionsfeld 27" hidden="1">
              <a:extLst>
                <a:ext uri="{63B3BB69-23CF-44E3-9099-C40C66FF867C}">
                  <a14:compatExt spid="_x0000_s5147"/>
                </a:ext>
                <a:ext uri="{FF2B5EF4-FFF2-40B4-BE49-F238E27FC236}">
                  <a16:creationId xmlns:a16="http://schemas.microsoft.com/office/drawing/2014/main" id="{00000000-0008-0000-0E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weiblich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6</xdr:row>
          <xdr:rowOff>28575</xdr:rowOff>
        </xdr:from>
        <xdr:to>
          <xdr:col>7</xdr:col>
          <xdr:colOff>1266825</xdr:colOff>
          <xdr:row>7</xdr:row>
          <xdr:rowOff>0</xdr:rowOff>
        </xdr:to>
        <xdr:sp macro="" textlink="">
          <xdr:nvSpPr>
            <xdr:cNvPr id="5149" name="Gruppenfeld 29" hidden="1">
              <a:extLst>
                <a:ext uri="{63B3BB69-23CF-44E3-9099-C40C66FF867C}">
                  <a14:compatExt spid="_x0000_s5149"/>
                </a:ext>
                <a:ext uri="{FF2B5EF4-FFF2-40B4-BE49-F238E27FC236}">
                  <a16:creationId xmlns:a16="http://schemas.microsoft.com/office/drawing/2014/main" id="{00000000-0008-0000-0E00-00001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7</xdr:row>
          <xdr:rowOff>28575</xdr:rowOff>
        </xdr:from>
        <xdr:to>
          <xdr:col>7</xdr:col>
          <xdr:colOff>1266825</xdr:colOff>
          <xdr:row>8</xdr:row>
          <xdr:rowOff>0</xdr:rowOff>
        </xdr:to>
        <xdr:sp macro="" textlink="">
          <xdr:nvSpPr>
            <xdr:cNvPr id="5150" name="Gruppenfeld 30" hidden="1">
              <a:extLst>
                <a:ext uri="{63B3BB69-23CF-44E3-9099-C40C66FF867C}">
                  <a14:compatExt spid="_x0000_s5150"/>
                </a:ext>
                <a:ext uri="{FF2B5EF4-FFF2-40B4-BE49-F238E27FC236}">
                  <a16:creationId xmlns:a16="http://schemas.microsoft.com/office/drawing/2014/main" id="{00000000-0008-0000-0E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15</xdr:row>
          <xdr:rowOff>38100</xdr:rowOff>
        </xdr:from>
        <xdr:to>
          <xdr:col>7</xdr:col>
          <xdr:colOff>847725</xdr:colOff>
          <xdr:row>15</xdr:row>
          <xdr:rowOff>295275</xdr:rowOff>
        </xdr:to>
        <xdr:sp macro="" textlink="">
          <xdr:nvSpPr>
            <xdr:cNvPr id="5207" name="Kontrollkästchen 87" hidden="1">
              <a:extLst>
                <a:ext uri="{63B3BB69-23CF-44E3-9099-C40C66FF867C}">
                  <a14:compatExt spid="_x0000_s5207"/>
                </a:ext>
                <a:ext uri="{FF2B5EF4-FFF2-40B4-BE49-F238E27FC236}">
                  <a16:creationId xmlns:a16="http://schemas.microsoft.com/office/drawing/2014/main" id="{00000000-0008-0000-0E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Invaliditätsversorgung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66675</xdr:rowOff>
        </xdr:from>
        <xdr:to>
          <xdr:col>6</xdr:col>
          <xdr:colOff>219075</xdr:colOff>
          <xdr:row>15</xdr:row>
          <xdr:rowOff>295275</xdr:rowOff>
        </xdr:to>
        <xdr:sp macro="" textlink="">
          <xdr:nvSpPr>
            <xdr:cNvPr id="5208" name="Kontrollkästchen 88" hidden="1">
              <a:extLst>
                <a:ext uri="{63B3BB69-23CF-44E3-9099-C40C66FF867C}">
                  <a14:compatExt spid="_x0000_s5208"/>
                </a:ext>
                <a:ext uri="{FF2B5EF4-FFF2-40B4-BE49-F238E27FC236}">
                  <a16:creationId xmlns:a16="http://schemas.microsoft.com/office/drawing/2014/main" id="{00000000-0008-0000-0E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Hinterbliebenen- und/oder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7</xdr:row>
          <xdr:rowOff>66675</xdr:rowOff>
        </xdr:from>
        <xdr:to>
          <xdr:col>7</xdr:col>
          <xdr:colOff>228600</xdr:colOff>
          <xdr:row>7</xdr:row>
          <xdr:rowOff>295275</xdr:rowOff>
        </xdr:to>
        <xdr:sp macro="" textlink="">
          <xdr:nvSpPr>
            <xdr:cNvPr id="5342" name="Option Button 222" hidden="1">
              <a:extLst>
                <a:ext uri="{63B3BB69-23CF-44E3-9099-C40C66FF867C}">
                  <a14:compatExt spid="_x0000_s5342"/>
                </a:ext>
                <a:ext uri="{FF2B5EF4-FFF2-40B4-BE49-F238E27FC236}">
                  <a16:creationId xmlns:a16="http://schemas.microsoft.com/office/drawing/2014/main" id="{00000000-0008-0000-0E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Rente aus Kapital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66675</xdr:rowOff>
        </xdr:from>
        <xdr:to>
          <xdr:col>7</xdr:col>
          <xdr:colOff>57150</xdr:colOff>
          <xdr:row>16</xdr:row>
          <xdr:rowOff>295275</xdr:rowOff>
        </xdr:to>
        <xdr:sp macro="" textlink="">
          <xdr:nvSpPr>
            <xdr:cNvPr id="5801" name="Check Box 681" hidden="1">
              <a:extLst>
                <a:ext uri="{63B3BB69-23CF-44E3-9099-C40C66FF867C}">
                  <a14:compatExt spid="_x0000_s5801"/>
                </a:ext>
                <a:ext uri="{FF2B5EF4-FFF2-40B4-BE49-F238E27FC236}">
                  <a16:creationId xmlns:a16="http://schemas.microsoft.com/office/drawing/2014/main" id="{00000000-0008-0000-0E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Interne Teilung: Rente aus 1/2 des Kapitalwerts=</a:t>
              </a:r>
            </a:p>
          </xdr:txBody>
        </xdr:sp>
        <xdr:clientData/>
      </xdr:twoCellAnchor>
    </mc:Choice>
    <mc:Fallback/>
  </mc:AlternateContent>
  <xdr:oneCellAnchor>
    <xdr:from>
      <xdr:col>1</xdr:col>
      <xdr:colOff>1331595</xdr:colOff>
      <xdr:row>9</xdr:row>
      <xdr:rowOff>146685</xdr:rowOff>
    </xdr:from>
    <xdr:ext cx="184731" cy="264560"/>
    <xdr:sp macro="" textlink="">
      <xdr:nvSpPr>
        <xdr:cNvPr id="5" name="Textfeld 4">
          <a:extLst>
            <a:ext uri="{FF2B5EF4-FFF2-40B4-BE49-F238E27FC236}">
              <a16:creationId xmlns:a16="http://schemas.microsoft.com/office/drawing/2014/main" id="{00000000-0008-0000-0D00-000005000000}"/>
            </a:ext>
          </a:extLst>
        </xdr:cNvPr>
        <xdr:cNvSpPr txBox="1"/>
      </xdr:nvSpPr>
      <xdr:spPr>
        <a:xfrm>
          <a:off x="1604921" y="2780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mc:AlternateContent xmlns:mc="http://schemas.openxmlformats.org/markup-compatibility/2006">
    <mc:Choice xmlns:a14="http://schemas.microsoft.com/office/drawing/2010/main" Requires="a14">
      <xdr:twoCellAnchor editAs="oneCell">
        <xdr:from>
          <xdr:col>4</xdr:col>
          <xdr:colOff>66675</xdr:colOff>
          <xdr:row>7</xdr:row>
          <xdr:rowOff>104775</xdr:rowOff>
        </xdr:from>
        <xdr:to>
          <xdr:col>5</xdr:col>
          <xdr:colOff>533400</xdr:colOff>
          <xdr:row>7</xdr:row>
          <xdr:rowOff>257175</xdr:rowOff>
        </xdr:to>
        <xdr:sp macro="" textlink="">
          <xdr:nvSpPr>
            <xdr:cNvPr id="589771" name="Optionsfeld 26" hidden="1">
              <a:extLst>
                <a:ext uri="{63B3BB69-23CF-44E3-9099-C40C66FF867C}">
                  <a14:compatExt spid="_x0000_s589771"/>
                </a:ext>
                <a:ext uri="{FF2B5EF4-FFF2-40B4-BE49-F238E27FC236}">
                  <a16:creationId xmlns:a16="http://schemas.microsoft.com/office/drawing/2014/main" id="{00000000-0008-0000-0E00-0000CBFF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Barwertberechnung aus Rente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xdr:row>
          <xdr:rowOff>66675</xdr:rowOff>
        </xdr:from>
        <xdr:to>
          <xdr:col>8</xdr:col>
          <xdr:colOff>828675</xdr:colOff>
          <xdr:row>12</xdr:row>
          <xdr:rowOff>295275</xdr:rowOff>
        </xdr:to>
        <xdr:sp macro="" textlink="">
          <xdr:nvSpPr>
            <xdr:cNvPr id="589777" name="Check Box 2001" hidden="1">
              <a:extLst>
                <a:ext uri="{63B3BB69-23CF-44E3-9099-C40C66FF867C}">
                  <a14:compatExt spid="_x0000_s589777"/>
                </a:ext>
                <a:ext uri="{FF2B5EF4-FFF2-40B4-BE49-F238E27FC236}">
                  <a16:creationId xmlns:a16="http://schemas.microsoft.com/office/drawing/2014/main" id="{00000000-0008-0000-0E00-0000D1FF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BilMoG-10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xdr:row>
          <xdr:rowOff>66675</xdr:rowOff>
        </xdr:from>
        <xdr:to>
          <xdr:col>10</xdr:col>
          <xdr:colOff>0</xdr:colOff>
          <xdr:row>4</xdr:row>
          <xdr:rowOff>0</xdr:rowOff>
        </xdr:to>
        <xdr:sp macro="" textlink="">
          <xdr:nvSpPr>
            <xdr:cNvPr id="589782" name="Check Box 2006" hidden="1">
              <a:extLst>
                <a:ext uri="{63B3BB69-23CF-44E3-9099-C40C66FF867C}">
                  <a14:compatExt spid="_x0000_s589782"/>
                </a:ext>
                <a:ext uri="{FF2B5EF4-FFF2-40B4-BE49-F238E27FC236}">
                  <a16:creationId xmlns:a16="http://schemas.microsoft.com/office/drawing/2014/main" id="{00000000-0008-0000-0E00-0000D6FF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DRV-Werte in EP-Ost?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xdr:row>
          <xdr:rowOff>85725</xdr:rowOff>
        </xdr:from>
        <xdr:to>
          <xdr:col>7</xdr:col>
          <xdr:colOff>85725</xdr:colOff>
          <xdr:row>6</xdr:row>
          <xdr:rowOff>314325</xdr:rowOff>
        </xdr:to>
        <xdr:sp macro="" textlink="">
          <xdr:nvSpPr>
            <xdr:cNvPr id="589784" name="Option Button 2008" hidden="1">
              <a:extLst>
                <a:ext uri="{63B3BB69-23CF-44E3-9099-C40C66FF867C}">
                  <a14:compatExt spid="_x0000_s589784"/>
                </a:ext>
                <a:ext uri="{FF2B5EF4-FFF2-40B4-BE49-F238E27FC236}">
                  <a16:creationId xmlns:a16="http://schemas.microsoft.com/office/drawing/2014/main" id="{00000000-0008-0000-0E00-0000D8FF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unisex = (m + w)/2</a:t>
              </a:r>
            </a:p>
          </xdr:txBody>
        </xdr:sp>
        <xdr:clientData/>
      </xdr:twoCellAnchor>
    </mc:Choice>
    <mc:Fallback/>
  </mc:AlternateContent>
  <xdr:twoCellAnchor>
    <xdr:from>
      <xdr:col>7</xdr:col>
      <xdr:colOff>1466021</xdr:colOff>
      <xdr:row>1</xdr:row>
      <xdr:rowOff>29308</xdr:rowOff>
    </xdr:from>
    <xdr:to>
      <xdr:col>9</xdr:col>
      <xdr:colOff>447261</xdr:colOff>
      <xdr:row>1</xdr:row>
      <xdr:rowOff>439615</xdr:rowOff>
    </xdr:to>
    <xdr:sp macro="" textlink="">
      <xdr:nvSpPr>
        <xdr:cNvPr id="4" name="Flussdiagramm: Prozess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0808804" y="236373"/>
          <a:ext cx="2020957" cy="41030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050">
            <a:solidFill>
              <a:schemeClr val="tx1"/>
            </a:solidFill>
          </a:endParaRPr>
        </a:p>
      </xdr:txBody>
    </xdr:sp>
    <xdr:clientData/>
  </xdr:twoCellAnchor>
  <xdr:twoCellAnchor>
    <xdr:from>
      <xdr:col>5</xdr:col>
      <xdr:colOff>0</xdr:colOff>
      <xdr:row>12</xdr:row>
      <xdr:rowOff>0</xdr:rowOff>
    </xdr:from>
    <xdr:to>
      <xdr:col>7</xdr:col>
      <xdr:colOff>1377461</xdr:colOff>
      <xdr:row>13</xdr:row>
      <xdr:rowOff>7327</xdr:rowOff>
    </xdr:to>
    <xdr:sp macro="" textlink="">
      <xdr:nvSpPr>
        <xdr:cNvPr id="6" name="Flussdiagramm: Prozess 5">
          <a:hlinkClick xmlns:r="http://schemas.openxmlformats.org/officeDocument/2006/relationships" r:id="rId2"/>
          <a:extLst>
            <a:ext uri="{FF2B5EF4-FFF2-40B4-BE49-F238E27FC236}">
              <a16:creationId xmlns:a16="http://schemas.microsoft.com/office/drawing/2014/main" id="{00000000-0008-0000-0D00-000006000000}"/>
            </a:ext>
          </a:extLst>
        </xdr:cNvPr>
        <xdr:cNvSpPr/>
      </xdr:nvSpPr>
      <xdr:spPr>
        <a:xfrm>
          <a:off x="6967904" y="3707423"/>
          <a:ext cx="3853961" cy="351692"/>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8282</xdr:colOff>
      <xdr:row>17</xdr:row>
      <xdr:rowOff>16565</xdr:rowOff>
    </xdr:from>
    <xdr:to>
      <xdr:col>10</xdr:col>
      <xdr:colOff>8283</xdr:colOff>
      <xdr:row>18</xdr:row>
      <xdr:rowOff>0</xdr:rowOff>
    </xdr:to>
    <xdr:sp macro="" textlink="">
      <xdr:nvSpPr>
        <xdr:cNvPr id="7" name="Flussdiagramm: Prozess 6">
          <a:hlinkClick xmlns:r="http://schemas.openxmlformats.org/officeDocument/2006/relationships" r:id="rId3"/>
          <a:extLst>
            <a:ext uri="{FF2B5EF4-FFF2-40B4-BE49-F238E27FC236}">
              <a16:creationId xmlns:a16="http://schemas.microsoft.com/office/drawing/2014/main" id="{00000000-0008-0000-0D00-000007000000}"/>
            </a:ext>
          </a:extLst>
        </xdr:cNvPr>
        <xdr:cNvSpPr/>
      </xdr:nvSpPr>
      <xdr:spPr>
        <a:xfrm>
          <a:off x="10833652" y="5441674"/>
          <a:ext cx="2020957" cy="447261"/>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8</xdr:col>
      <xdr:colOff>41411</xdr:colOff>
      <xdr:row>21</xdr:row>
      <xdr:rowOff>16565</xdr:rowOff>
    </xdr:from>
    <xdr:to>
      <xdr:col>9</xdr:col>
      <xdr:colOff>414129</xdr:colOff>
      <xdr:row>21</xdr:row>
      <xdr:rowOff>248478</xdr:rowOff>
    </xdr:to>
    <xdr:sp macro="" textlink="">
      <xdr:nvSpPr>
        <xdr:cNvPr id="8" name="Flussdiagramm: Prozess 7">
          <a:hlinkClick xmlns:r="http://schemas.openxmlformats.org/officeDocument/2006/relationships" r:id="rId4"/>
          <a:extLst>
            <a:ext uri="{FF2B5EF4-FFF2-40B4-BE49-F238E27FC236}">
              <a16:creationId xmlns:a16="http://schemas.microsoft.com/office/drawing/2014/main" id="{00000000-0008-0000-0D00-000008000000}"/>
            </a:ext>
          </a:extLst>
        </xdr:cNvPr>
        <xdr:cNvSpPr/>
      </xdr:nvSpPr>
      <xdr:spPr>
        <a:xfrm>
          <a:off x="10866781" y="5905500"/>
          <a:ext cx="1938131" cy="23191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1</xdr:col>
      <xdr:colOff>16567</xdr:colOff>
      <xdr:row>21</xdr:row>
      <xdr:rowOff>66260</xdr:rowOff>
    </xdr:from>
    <xdr:to>
      <xdr:col>2</xdr:col>
      <xdr:colOff>778566</xdr:colOff>
      <xdr:row>22</xdr:row>
      <xdr:rowOff>8282</xdr:rowOff>
    </xdr:to>
    <xdr:sp macro="" textlink="">
      <xdr:nvSpPr>
        <xdr:cNvPr id="9" name="Flussdiagramm: Prozess 8">
          <a:hlinkClick xmlns:r="http://schemas.openxmlformats.org/officeDocument/2006/relationships" r:id="rId5"/>
          <a:extLst>
            <a:ext uri="{FF2B5EF4-FFF2-40B4-BE49-F238E27FC236}">
              <a16:creationId xmlns:a16="http://schemas.microsoft.com/office/drawing/2014/main" id="{00000000-0008-0000-0D00-000009000000}"/>
            </a:ext>
          </a:extLst>
        </xdr:cNvPr>
        <xdr:cNvSpPr/>
      </xdr:nvSpPr>
      <xdr:spPr>
        <a:xfrm>
          <a:off x="198784" y="5955195"/>
          <a:ext cx="4422912" cy="19878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3</xdr:col>
      <xdr:colOff>235227</xdr:colOff>
      <xdr:row>21</xdr:row>
      <xdr:rowOff>36444</xdr:rowOff>
    </xdr:from>
    <xdr:to>
      <xdr:col>4</xdr:col>
      <xdr:colOff>1101587</xdr:colOff>
      <xdr:row>21</xdr:row>
      <xdr:rowOff>235227</xdr:rowOff>
    </xdr:to>
    <xdr:sp macro="" textlink="">
      <xdr:nvSpPr>
        <xdr:cNvPr id="27" name="Flussdiagramm: Prozess 26">
          <a:hlinkClick xmlns:r="http://schemas.openxmlformats.org/officeDocument/2006/relationships" r:id="rId6"/>
          <a:extLst>
            <a:ext uri="{FF2B5EF4-FFF2-40B4-BE49-F238E27FC236}">
              <a16:creationId xmlns:a16="http://schemas.microsoft.com/office/drawing/2014/main" id="{00000000-0008-0000-0D00-00001B000000}"/>
            </a:ext>
          </a:extLst>
        </xdr:cNvPr>
        <xdr:cNvSpPr/>
      </xdr:nvSpPr>
      <xdr:spPr>
        <a:xfrm>
          <a:off x="5146814" y="5925379"/>
          <a:ext cx="1694621" cy="19878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5</xdr:col>
      <xdr:colOff>205409</xdr:colOff>
      <xdr:row>21</xdr:row>
      <xdr:rowOff>39757</xdr:rowOff>
    </xdr:from>
    <xdr:to>
      <xdr:col>7</xdr:col>
      <xdr:colOff>1209260</xdr:colOff>
      <xdr:row>21</xdr:row>
      <xdr:rowOff>238540</xdr:rowOff>
    </xdr:to>
    <xdr:sp macro="" textlink="">
      <xdr:nvSpPr>
        <xdr:cNvPr id="28" name="Flussdiagramm: Prozess 27">
          <a:hlinkClick xmlns:r="http://schemas.openxmlformats.org/officeDocument/2006/relationships" r:id="rId7"/>
          <a:extLst>
            <a:ext uri="{FF2B5EF4-FFF2-40B4-BE49-F238E27FC236}">
              <a16:creationId xmlns:a16="http://schemas.microsoft.com/office/drawing/2014/main" id="{00000000-0008-0000-0D00-00001C000000}"/>
            </a:ext>
          </a:extLst>
        </xdr:cNvPr>
        <xdr:cNvSpPr/>
      </xdr:nvSpPr>
      <xdr:spPr>
        <a:xfrm>
          <a:off x="7171083" y="5928692"/>
          <a:ext cx="3480351" cy="198783"/>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oneCell">
    <xdr:from>
      <xdr:col>5</xdr:col>
      <xdr:colOff>1177583</xdr:colOff>
      <xdr:row>1</xdr:row>
      <xdr:rowOff>205153</xdr:rowOff>
    </xdr:from>
    <xdr:to>
      <xdr:col>6</xdr:col>
      <xdr:colOff>413758</xdr:colOff>
      <xdr:row>2</xdr:row>
      <xdr:rowOff>186418</xdr:rowOff>
    </xdr:to>
    <xdr:pic>
      <xdr:nvPicPr>
        <xdr:cNvPr id="30" name="Grafik 29">
          <a:hlinkClick xmlns:r="http://schemas.openxmlformats.org/officeDocument/2006/relationships" r:id="rId8"/>
          <a:extLst>
            <a:ext uri="{FF2B5EF4-FFF2-40B4-BE49-F238E27FC236}">
              <a16:creationId xmlns:a16="http://schemas.microsoft.com/office/drawing/2014/main" id="{00000000-0008-0000-0D00-00001E000000}"/>
            </a:ext>
          </a:extLst>
        </xdr:cNvPr>
        <xdr:cNvPicPr>
          <a:picLocks noChangeAspect="1"/>
        </xdr:cNvPicPr>
      </xdr:nvPicPr>
      <xdr:blipFill>
        <a:blip xmlns:r="http://schemas.openxmlformats.org/officeDocument/2006/relationships" r:embed="rId9"/>
        <a:stretch>
          <a:fillRect/>
        </a:stretch>
      </xdr:blipFill>
      <xdr:spPr>
        <a:xfrm>
          <a:off x="8111783" y="410893"/>
          <a:ext cx="462995" cy="43846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1171575</xdr:colOff>
          <xdr:row>13</xdr:row>
          <xdr:rowOff>66675</xdr:rowOff>
        </xdr:from>
        <xdr:to>
          <xdr:col>3</xdr:col>
          <xdr:colOff>752475</xdr:colOff>
          <xdr:row>13</xdr:row>
          <xdr:rowOff>295275</xdr:rowOff>
        </xdr:to>
        <xdr:sp macro="" textlink="">
          <xdr:nvSpPr>
            <xdr:cNvPr id="589785" name="Check Box 2009" hidden="1">
              <a:extLst>
                <a:ext uri="{63B3BB69-23CF-44E3-9099-C40C66FF867C}">
                  <a14:compatExt spid="_x0000_s589785"/>
                </a:ext>
                <a:ext uri="{FF2B5EF4-FFF2-40B4-BE49-F238E27FC236}">
                  <a16:creationId xmlns:a16="http://schemas.microsoft.com/office/drawing/2014/main" id="{00000000-0008-0000-0E00-0000D9FF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Volldynamik</a:t>
              </a:r>
            </a:p>
          </xdr:txBody>
        </xdr:sp>
        <xdr:clientData/>
      </xdr:twoCellAnchor>
    </mc:Choice>
    <mc:Fallback/>
  </mc:AlternateContent>
  <xdr:twoCellAnchor>
    <xdr:from>
      <xdr:col>8</xdr:col>
      <xdr:colOff>8283</xdr:colOff>
      <xdr:row>0</xdr:row>
      <xdr:rowOff>198783</xdr:rowOff>
    </xdr:from>
    <xdr:to>
      <xdr:col>10</xdr:col>
      <xdr:colOff>8283</xdr:colOff>
      <xdr:row>2</xdr:row>
      <xdr:rowOff>24848</xdr:rowOff>
    </xdr:to>
    <xdr:sp macro="" textlink="">
      <xdr:nvSpPr>
        <xdr:cNvPr id="3" name="Rechteck 2">
          <a:extLst>
            <a:ext uri="{FF2B5EF4-FFF2-40B4-BE49-F238E27FC236}">
              <a16:creationId xmlns:a16="http://schemas.microsoft.com/office/drawing/2014/main" id="{2BE25327-151C-51D8-4D4E-14F91469F96A}"/>
            </a:ext>
          </a:extLst>
        </xdr:cNvPr>
        <xdr:cNvSpPr/>
      </xdr:nvSpPr>
      <xdr:spPr>
        <a:xfrm>
          <a:off x="10825370" y="198783"/>
          <a:ext cx="2020956" cy="4886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editAs="oneCell">
    <xdr:from>
      <xdr:col>7</xdr:col>
      <xdr:colOff>637442</xdr:colOff>
      <xdr:row>1</xdr:row>
      <xdr:rowOff>7327</xdr:rowOff>
    </xdr:from>
    <xdr:to>
      <xdr:col>8</xdr:col>
      <xdr:colOff>6461</xdr:colOff>
      <xdr:row>3</xdr:row>
      <xdr:rowOff>0</xdr:rowOff>
    </xdr:to>
    <xdr:pic>
      <xdr:nvPicPr>
        <xdr:cNvPr id="11" name="Grafik 10">
          <a:extLst>
            <a:ext uri="{FF2B5EF4-FFF2-40B4-BE49-F238E27FC236}">
              <a16:creationId xmlns:a16="http://schemas.microsoft.com/office/drawing/2014/main" id="{C93F19CF-66CC-59DC-6A05-4F993724E779}"/>
            </a:ext>
          </a:extLst>
        </xdr:cNvPr>
        <xdr:cNvPicPr>
          <a:picLocks noChangeAspect="1"/>
        </xdr:cNvPicPr>
      </xdr:nvPicPr>
      <xdr:blipFill>
        <a:blip xmlns:r="http://schemas.openxmlformats.org/officeDocument/2006/relationships" r:embed="rId10"/>
        <a:stretch>
          <a:fillRect/>
        </a:stretch>
      </xdr:blipFill>
      <xdr:spPr>
        <a:xfrm>
          <a:off x="9993923" y="219808"/>
          <a:ext cx="849057" cy="7494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695325</xdr:colOff>
          <xdr:row>1</xdr:row>
          <xdr:rowOff>9525</xdr:rowOff>
        </xdr:from>
        <xdr:to>
          <xdr:col>6</xdr:col>
          <xdr:colOff>504825</xdr:colOff>
          <xdr:row>1</xdr:row>
          <xdr:rowOff>200025</xdr:rowOff>
        </xdr:to>
        <xdr:sp macro="" textlink="">
          <xdr:nvSpPr>
            <xdr:cNvPr id="31773" name="Drop Down 29" hidden="1">
              <a:extLst>
                <a:ext uri="{63B3BB69-23CF-44E3-9099-C40C66FF867C}">
                  <a14:compatExt spid="_x0000_s31773"/>
                </a:ext>
                <a:ext uri="{FF2B5EF4-FFF2-40B4-BE49-F238E27FC236}">
                  <a16:creationId xmlns:a16="http://schemas.microsoft.com/office/drawing/2014/main" id="{00000000-0008-0000-1000-00001D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142875</xdr:rowOff>
        </xdr:from>
        <xdr:to>
          <xdr:col>4</xdr:col>
          <xdr:colOff>752475</xdr:colOff>
          <xdr:row>5</xdr:row>
          <xdr:rowOff>180975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10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674345</xdr:colOff>
      <xdr:row>0</xdr:row>
      <xdr:rowOff>35092</xdr:rowOff>
    </xdr:from>
    <xdr:to>
      <xdr:col>28</xdr:col>
      <xdr:colOff>0</xdr:colOff>
      <xdr:row>3</xdr:row>
      <xdr:rowOff>54518</xdr:rowOff>
    </xdr:to>
    <xdr:sp macro="" textlink="">
      <xdr:nvSpPr>
        <xdr:cNvPr id="6" name="Pfeil: gestreift nach rechts 5">
          <a:hlinkClick xmlns:r="http://schemas.openxmlformats.org/officeDocument/2006/relationships" r:id="rId1"/>
          <a:extLst>
            <a:ext uri="{FF2B5EF4-FFF2-40B4-BE49-F238E27FC236}">
              <a16:creationId xmlns:a16="http://schemas.microsoft.com/office/drawing/2014/main" id="{00000000-0008-0000-1000-000006000000}"/>
            </a:ext>
          </a:extLst>
        </xdr:cNvPr>
        <xdr:cNvSpPr/>
      </xdr:nvSpPr>
      <xdr:spPr>
        <a:xfrm rot="16200000">
          <a:off x="8265795" y="229076"/>
          <a:ext cx="631031" cy="243063"/>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b="1">
              <a:solidFill>
                <a:schemeClr val="tx1"/>
              </a:solidFill>
            </a:rPr>
            <a:t>Inhalt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95251</xdr:colOff>
      <xdr:row>1</xdr:row>
      <xdr:rowOff>1681</xdr:rowOff>
    </xdr:from>
    <xdr:to>
      <xdr:col>25</xdr:col>
      <xdr:colOff>22412</xdr:colOff>
      <xdr:row>17</xdr:row>
      <xdr:rowOff>21421</xdr:rowOff>
    </xdr:to>
    <xdr:graphicFrame macro="">
      <xdr:nvGraphicFramePr>
        <xdr:cNvPr id="4" name="Diagramm 3">
          <a:extLst>
            <a:ext uri="{FF2B5EF4-FFF2-40B4-BE49-F238E27FC236}">
              <a16:creationId xmlns:a16="http://schemas.microsoft.com/office/drawing/2014/main" id="{00000000-0008-0000-1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xdr:colOff>
      <xdr:row>1</xdr:row>
      <xdr:rowOff>22411</xdr:rowOff>
    </xdr:from>
    <xdr:to>
      <xdr:col>25</xdr:col>
      <xdr:colOff>56030</xdr:colOff>
      <xdr:row>17</xdr:row>
      <xdr:rowOff>50140</xdr:rowOff>
    </xdr:to>
    <xdr:graphicFrame macro="">
      <xdr:nvGraphicFramePr>
        <xdr:cNvPr id="22" name="Rentenhöhe_Adäquanz">
          <a:extLst>
            <a:ext uri="{FF2B5EF4-FFF2-40B4-BE49-F238E27FC236}">
              <a16:creationId xmlns:a16="http://schemas.microsoft.com/office/drawing/2014/main" id="{00000000-0008-0000-1700-00001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2362200</xdr:colOff>
          <xdr:row>17</xdr:row>
          <xdr:rowOff>180975</xdr:rowOff>
        </xdr:from>
        <xdr:to>
          <xdr:col>1</xdr:col>
          <xdr:colOff>3800475</xdr:colOff>
          <xdr:row>18</xdr:row>
          <xdr:rowOff>152400</xdr:rowOff>
        </xdr:to>
        <xdr:sp macro="" textlink="">
          <xdr:nvSpPr>
            <xdr:cNvPr id="1787987" name="Check Box 83" hidden="1">
              <a:extLst>
                <a:ext uri="{63B3BB69-23CF-44E3-9099-C40C66FF867C}">
                  <a14:compatExt spid="_x0000_s1787987"/>
                </a:ext>
                <a:ext uri="{FF2B5EF4-FFF2-40B4-BE49-F238E27FC236}">
                  <a16:creationId xmlns:a16="http://schemas.microsoft.com/office/drawing/2014/main" id="{00000000-0008-0000-1700-000053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DRV-Werte Durchschnitt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4676775</xdr:colOff>
          <xdr:row>8</xdr:row>
          <xdr:rowOff>0</xdr:rowOff>
        </xdr:from>
        <xdr:to>
          <xdr:col>2</xdr:col>
          <xdr:colOff>809625</xdr:colOff>
          <xdr:row>9</xdr:row>
          <xdr:rowOff>28575</xdr:rowOff>
        </xdr:to>
        <xdr:sp macro="" textlink="">
          <xdr:nvSpPr>
            <xdr:cNvPr id="1787992" name="Check Box 88" hidden="1">
              <a:extLst>
                <a:ext uri="{63B3BB69-23CF-44E3-9099-C40C66FF867C}">
                  <a14:compatExt spid="_x0000_s1787992"/>
                </a:ext>
                <a:ext uri="{FF2B5EF4-FFF2-40B4-BE49-F238E27FC236}">
                  <a16:creationId xmlns:a16="http://schemas.microsoft.com/office/drawing/2014/main" id="{00000000-0008-0000-1700-000058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Invaliditätsrentenbezieher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371475</xdr:rowOff>
        </xdr:from>
        <xdr:to>
          <xdr:col>4</xdr:col>
          <xdr:colOff>257175</xdr:colOff>
          <xdr:row>3</xdr:row>
          <xdr:rowOff>47625</xdr:rowOff>
        </xdr:to>
        <xdr:sp macro="" textlink="">
          <xdr:nvSpPr>
            <xdr:cNvPr id="1787993" name="Check Box 89" hidden="1">
              <a:extLst>
                <a:ext uri="{63B3BB69-23CF-44E3-9099-C40C66FF867C}">
                  <a14:compatExt spid="_x0000_s1787993"/>
                </a:ext>
                <a:ext uri="{FF2B5EF4-FFF2-40B4-BE49-F238E27FC236}">
                  <a16:creationId xmlns:a16="http://schemas.microsoft.com/office/drawing/2014/main" id="{00000000-0008-0000-1700-000059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xdr:row>
          <xdr:rowOff>371475</xdr:rowOff>
        </xdr:from>
        <xdr:to>
          <xdr:col>5</xdr:col>
          <xdr:colOff>228600</xdr:colOff>
          <xdr:row>3</xdr:row>
          <xdr:rowOff>28575</xdr:rowOff>
        </xdr:to>
        <xdr:sp macro="" textlink="">
          <xdr:nvSpPr>
            <xdr:cNvPr id="1787994" name="Check Box 90" hidden="1">
              <a:extLst>
                <a:ext uri="{63B3BB69-23CF-44E3-9099-C40C66FF867C}">
                  <a14:compatExt spid="_x0000_s1787994"/>
                </a:ext>
                <a:ext uri="{FF2B5EF4-FFF2-40B4-BE49-F238E27FC236}">
                  <a16:creationId xmlns:a16="http://schemas.microsoft.com/office/drawing/2014/main" id="{00000000-0008-0000-1700-00005A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xdr:row>
          <xdr:rowOff>371475</xdr:rowOff>
        </xdr:from>
        <xdr:to>
          <xdr:col>6</xdr:col>
          <xdr:colOff>276225</xdr:colOff>
          <xdr:row>3</xdr:row>
          <xdr:rowOff>28575</xdr:rowOff>
        </xdr:to>
        <xdr:sp macro="" textlink="">
          <xdr:nvSpPr>
            <xdr:cNvPr id="1787995" name="Check Box 91" hidden="1">
              <a:extLst>
                <a:ext uri="{63B3BB69-23CF-44E3-9099-C40C66FF867C}">
                  <a14:compatExt spid="_x0000_s1787995"/>
                </a:ext>
                <a:ext uri="{FF2B5EF4-FFF2-40B4-BE49-F238E27FC236}">
                  <a16:creationId xmlns:a16="http://schemas.microsoft.com/office/drawing/2014/main" id="{00000000-0008-0000-1700-00005B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4295775</xdr:colOff>
          <xdr:row>19</xdr:row>
          <xdr:rowOff>28575</xdr:rowOff>
        </xdr:from>
        <xdr:to>
          <xdr:col>2</xdr:col>
          <xdr:colOff>0</xdr:colOff>
          <xdr:row>19</xdr:row>
          <xdr:rowOff>200025</xdr:rowOff>
        </xdr:to>
        <xdr:sp macro="" textlink="">
          <xdr:nvSpPr>
            <xdr:cNvPr id="1788010" name="Drop Down 106" hidden="1">
              <a:extLst>
                <a:ext uri="{63B3BB69-23CF-44E3-9099-C40C66FF867C}">
                  <a14:compatExt spid="_x0000_s1788010"/>
                </a:ext>
                <a:ext uri="{FF2B5EF4-FFF2-40B4-BE49-F238E27FC236}">
                  <a16:creationId xmlns:a16="http://schemas.microsoft.com/office/drawing/2014/main" id="{00000000-0008-0000-1700-00006A481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xdr:row>
          <xdr:rowOff>66675</xdr:rowOff>
        </xdr:from>
        <xdr:to>
          <xdr:col>1</xdr:col>
          <xdr:colOff>1476375</xdr:colOff>
          <xdr:row>3</xdr:row>
          <xdr:rowOff>180975</xdr:rowOff>
        </xdr:to>
        <xdr:sp macro="" textlink="">
          <xdr:nvSpPr>
            <xdr:cNvPr id="1788029" name="Option Button 125" hidden="1">
              <a:extLst>
                <a:ext uri="{63B3BB69-23CF-44E3-9099-C40C66FF867C}">
                  <a14:compatExt spid="_x0000_s1788029"/>
                </a:ext>
                <a:ext uri="{FF2B5EF4-FFF2-40B4-BE49-F238E27FC236}">
                  <a16:creationId xmlns:a16="http://schemas.microsoft.com/office/drawing/2014/main" id="{00000000-0008-0000-1700-00007D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Berechnet auf Ehezeitende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xdr:row>
          <xdr:rowOff>28575</xdr:rowOff>
        </xdr:from>
        <xdr:to>
          <xdr:col>1</xdr:col>
          <xdr:colOff>1876425</xdr:colOff>
          <xdr:row>5</xdr:row>
          <xdr:rowOff>0</xdr:rowOff>
        </xdr:to>
        <xdr:sp macro="" textlink="">
          <xdr:nvSpPr>
            <xdr:cNvPr id="1788030" name="Option Button 126" hidden="1">
              <a:extLst>
                <a:ext uri="{63B3BB69-23CF-44E3-9099-C40C66FF867C}">
                  <a14:compatExt spid="_x0000_s1788030"/>
                </a:ext>
                <a:ext uri="{FF2B5EF4-FFF2-40B4-BE49-F238E27FC236}">
                  <a16:creationId xmlns:a16="http://schemas.microsoft.com/office/drawing/2014/main" id="{00000000-0008-0000-1700-00007E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Berechnet auf alternat. Datum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1104900</xdr:colOff>
          <xdr:row>3</xdr:row>
          <xdr:rowOff>28575</xdr:rowOff>
        </xdr:from>
        <xdr:to>
          <xdr:col>7</xdr:col>
          <xdr:colOff>1019175</xdr:colOff>
          <xdr:row>4</xdr:row>
          <xdr:rowOff>0</xdr:rowOff>
        </xdr:to>
        <xdr:sp macro="" textlink="">
          <xdr:nvSpPr>
            <xdr:cNvPr id="1788042" name="Check Box 138" hidden="1">
              <a:extLst>
                <a:ext uri="{63B3BB69-23CF-44E3-9099-C40C66FF867C}">
                  <a14:compatExt spid="_x0000_s1788042"/>
                </a:ext>
                <a:ext uri="{FF2B5EF4-FFF2-40B4-BE49-F238E27FC236}">
                  <a16:creationId xmlns:a16="http://schemas.microsoft.com/office/drawing/2014/main" id="{00000000-0008-0000-1700-00008A481B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EP-Ost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1104900</xdr:colOff>
          <xdr:row>2</xdr:row>
          <xdr:rowOff>371475</xdr:rowOff>
        </xdr:from>
        <xdr:to>
          <xdr:col>7</xdr:col>
          <xdr:colOff>1019175</xdr:colOff>
          <xdr:row>3</xdr:row>
          <xdr:rowOff>28575</xdr:rowOff>
        </xdr:to>
        <xdr:sp macro="" textlink="">
          <xdr:nvSpPr>
            <xdr:cNvPr id="1788044" name="Check Box 140" hidden="1">
              <a:extLst>
                <a:ext uri="{63B3BB69-23CF-44E3-9099-C40C66FF867C}">
                  <a14:compatExt spid="_x0000_s1788044"/>
                </a:ext>
                <a:ext uri="{FF2B5EF4-FFF2-40B4-BE49-F238E27FC236}">
                  <a16:creationId xmlns:a16="http://schemas.microsoft.com/office/drawing/2014/main" id="{00000000-0008-0000-1700-00008C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DRV f. and. Gatten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4448175</xdr:colOff>
          <xdr:row>4</xdr:row>
          <xdr:rowOff>190500</xdr:rowOff>
        </xdr:from>
        <xdr:to>
          <xdr:col>2</xdr:col>
          <xdr:colOff>990600</xdr:colOff>
          <xdr:row>6</xdr:row>
          <xdr:rowOff>47625</xdr:rowOff>
        </xdr:to>
        <xdr:sp macro="" textlink="">
          <xdr:nvSpPr>
            <xdr:cNvPr id="1788047" name="Check Box 143" hidden="1">
              <a:extLst>
                <a:ext uri="{63B3BB69-23CF-44E3-9099-C40C66FF867C}">
                  <a14:compatExt spid="_x0000_s1788047"/>
                </a:ext>
                <a:ext uri="{FF2B5EF4-FFF2-40B4-BE49-F238E27FC236}">
                  <a16:creationId xmlns:a16="http://schemas.microsoft.com/office/drawing/2014/main" id="{00000000-0008-0000-1700-00008F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BGH XII ZB 230/16 "ausgleichsber.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2362200</xdr:colOff>
          <xdr:row>17</xdr:row>
          <xdr:rowOff>180975</xdr:rowOff>
        </xdr:from>
        <xdr:to>
          <xdr:col>1</xdr:col>
          <xdr:colOff>3810000</xdr:colOff>
          <xdr:row>18</xdr:row>
          <xdr:rowOff>152400</xdr:rowOff>
        </xdr:to>
        <xdr:sp macro="" textlink="">
          <xdr:nvSpPr>
            <xdr:cNvPr id="1788102" name="Check Box 198" hidden="1">
              <a:extLst>
                <a:ext uri="{63B3BB69-23CF-44E3-9099-C40C66FF867C}">
                  <a14:compatExt spid="_x0000_s1788102"/>
                </a:ext>
                <a:ext uri="{FF2B5EF4-FFF2-40B4-BE49-F238E27FC236}">
                  <a16:creationId xmlns:a16="http://schemas.microsoft.com/office/drawing/2014/main" id="{00000000-0008-0000-1700-0000C6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DRV-Werte Durchschnitt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4295775</xdr:colOff>
          <xdr:row>19</xdr:row>
          <xdr:rowOff>28575</xdr:rowOff>
        </xdr:from>
        <xdr:to>
          <xdr:col>2</xdr:col>
          <xdr:colOff>0</xdr:colOff>
          <xdr:row>19</xdr:row>
          <xdr:rowOff>200025</xdr:rowOff>
        </xdr:to>
        <xdr:sp macro="" textlink="">
          <xdr:nvSpPr>
            <xdr:cNvPr id="1788106" name="Drop Down 202" hidden="1">
              <a:extLst>
                <a:ext uri="{63B3BB69-23CF-44E3-9099-C40C66FF867C}">
                  <a14:compatExt spid="_x0000_s1788106"/>
                </a:ext>
                <a:ext uri="{FF2B5EF4-FFF2-40B4-BE49-F238E27FC236}">
                  <a16:creationId xmlns:a16="http://schemas.microsoft.com/office/drawing/2014/main" id="{00000000-0008-0000-1700-0000CA481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4714875</xdr:colOff>
          <xdr:row>16</xdr:row>
          <xdr:rowOff>28575</xdr:rowOff>
        </xdr:from>
        <xdr:to>
          <xdr:col>2</xdr:col>
          <xdr:colOff>485775</xdr:colOff>
          <xdr:row>17</xdr:row>
          <xdr:rowOff>28575</xdr:rowOff>
        </xdr:to>
        <xdr:sp macro="" textlink="">
          <xdr:nvSpPr>
            <xdr:cNvPr id="1788112" name="Check Box 208" hidden="1">
              <a:extLst>
                <a:ext uri="{63B3BB69-23CF-44E3-9099-C40C66FF867C}">
                  <a14:compatExt spid="_x0000_s1788112"/>
                </a:ext>
                <a:ext uri="{FF2B5EF4-FFF2-40B4-BE49-F238E27FC236}">
                  <a16:creationId xmlns:a16="http://schemas.microsoft.com/office/drawing/2014/main" id="{00000000-0008-0000-1700-0000D048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keine Invalidität in DRV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381000</xdr:rowOff>
        </xdr:from>
        <xdr:to>
          <xdr:col>3</xdr:col>
          <xdr:colOff>219075</xdr:colOff>
          <xdr:row>3</xdr:row>
          <xdr:rowOff>0</xdr:rowOff>
        </xdr:to>
        <xdr:sp macro="" textlink="">
          <xdr:nvSpPr>
            <xdr:cNvPr id="1788183" name="Check Box 279" hidden="1">
              <a:extLst>
                <a:ext uri="{63B3BB69-23CF-44E3-9099-C40C66FF867C}">
                  <a14:compatExt spid="_x0000_s1788183"/>
                </a:ext>
                <a:ext uri="{FF2B5EF4-FFF2-40B4-BE49-F238E27FC236}">
                  <a16:creationId xmlns:a16="http://schemas.microsoft.com/office/drawing/2014/main" id="{00000000-0008-0000-1700-000017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3571875</xdr:colOff>
          <xdr:row>19</xdr:row>
          <xdr:rowOff>0</xdr:rowOff>
        </xdr:from>
        <xdr:to>
          <xdr:col>1</xdr:col>
          <xdr:colOff>4295775</xdr:colOff>
          <xdr:row>20</xdr:row>
          <xdr:rowOff>0</xdr:rowOff>
        </xdr:to>
        <xdr:sp macro="" textlink="">
          <xdr:nvSpPr>
            <xdr:cNvPr id="1788201" name="Check Box 297" hidden="1">
              <a:extLst>
                <a:ext uri="{63B3BB69-23CF-44E3-9099-C40C66FF867C}">
                  <a14:compatExt spid="_x0000_s1788201"/>
                </a:ext>
                <a:ext uri="{FF2B5EF4-FFF2-40B4-BE49-F238E27FC236}">
                  <a16:creationId xmlns:a16="http://schemas.microsoft.com/office/drawing/2014/main" id="{00000000-0008-0000-1700-000029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BilMoG-10</a:t>
              </a:r>
            </a:p>
          </xdr:txBody>
        </xdr:sp>
        <xdr:clientData/>
      </xdr:twoCellAnchor>
    </mc:Choice>
    <mc:Fallback/>
  </mc:AlternateContent>
  <xdr:twoCellAnchor>
    <xdr:from>
      <xdr:col>26</xdr:col>
      <xdr:colOff>303231</xdr:colOff>
      <xdr:row>3</xdr:row>
      <xdr:rowOff>117343</xdr:rowOff>
    </xdr:from>
    <xdr:to>
      <xdr:col>26</xdr:col>
      <xdr:colOff>836631</xdr:colOff>
      <xdr:row>3</xdr:row>
      <xdr:rowOff>117343</xdr:rowOff>
    </xdr:to>
    <xdr:cxnSp macro="">
      <xdr:nvCxnSpPr>
        <xdr:cNvPr id="7" name="Gerader Verbinder 6">
          <a:extLst>
            <a:ext uri="{FF2B5EF4-FFF2-40B4-BE49-F238E27FC236}">
              <a16:creationId xmlns:a16="http://schemas.microsoft.com/office/drawing/2014/main" id="{00000000-0008-0000-1700-000007000000}"/>
            </a:ext>
          </a:extLst>
        </xdr:cNvPr>
        <xdr:cNvCxnSpPr/>
      </xdr:nvCxnSpPr>
      <xdr:spPr>
        <a:xfrm>
          <a:off x="17580753" y="1271386"/>
          <a:ext cx="533400" cy="0"/>
        </a:xfrm>
        <a:prstGeom prst="line">
          <a:avLst/>
        </a:prstGeom>
        <a:ln w="762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304501</xdr:colOff>
      <xdr:row>4</xdr:row>
      <xdr:rowOff>118389</xdr:rowOff>
    </xdr:from>
    <xdr:to>
      <xdr:col>26</xdr:col>
      <xdr:colOff>837901</xdr:colOff>
      <xdr:row>4</xdr:row>
      <xdr:rowOff>118389</xdr:rowOff>
    </xdr:to>
    <xdr:cxnSp macro="">
      <xdr:nvCxnSpPr>
        <xdr:cNvPr id="8" name="Gerader Verbinder 7">
          <a:extLst>
            <a:ext uri="{FF2B5EF4-FFF2-40B4-BE49-F238E27FC236}">
              <a16:creationId xmlns:a16="http://schemas.microsoft.com/office/drawing/2014/main" id="{00000000-0008-0000-1700-000008000000}"/>
            </a:ext>
          </a:extLst>
        </xdr:cNvPr>
        <xdr:cNvCxnSpPr/>
      </xdr:nvCxnSpPr>
      <xdr:spPr>
        <a:xfrm>
          <a:off x="17582023" y="1482259"/>
          <a:ext cx="533400" cy="0"/>
        </a:xfrm>
        <a:prstGeom prst="line">
          <a:avLst/>
        </a:prstGeom>
        <a:ln w="5080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308420</xdr:colOff>
      <xdr:row>5</xdr:row>
      <xdr:rowOff>110041</xdr:rowOff>
    </xdr:from>
    <xdr:to>
      <xdr:col>26</xdr:col>
      <xdr:colOff>841820</xdr:colOff>
      <xdr:row>5</xdr:row>
      <xdr:rowOff>110041</xdr:rowOff>
    </xdr:to>
    <xdr:cxnSp macro="">
      <xdr:nvCxnSpPr>
        <xdr:cNvPr id="9" name="Gerader Verbinder 8">
          <a:extLst>
            <a:ext uri="{FF2B5EF4-FFF2-40B4-BE49-F238E27FC236}">
              <a16:creationId xmlns:a16="http://schemas.microsoft.com/office/drawing/2014/main" id="{00000000-0008-0000-1700-000009000000}"/>
            </a:ext>
          </a:extLst>
        </xdr:cNvPr>
        <xdr:cNvCxnSpPr/>
      </xdr:nvCxnSpPr>
      <xdr:spPr>
        <a:xfrm>
          <a:off x="17585942" y="1694780"/>
          <a:ext cx="533400" cy="0"/>
        </a:xfrm>
        <a:prstGeom prst="line">
          <a:avLst/>
        </a:prstGeom>
        <a:ln w="508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309736</xdr:colOff>
      <xdr:row>6</xdr:row>
      <xdr:rowOff>110970</xdr:rowOff>
    </xdr:from>
    <xdr:to>
      <xdr:col>26</xdr:col>
      <xdr:colOff>842536</xdr:colOff>
      <xdr:row>6</xdr:row>
      <xdr:rowOff>110970</xdr:rowOff>
    </xdr:to>
    <xdr:cxnSp macro="">
      <xdr:nvCxnSpPr>
        <xdr:cNvPr id="10" name="Gerader Verbinder 9">
          <a:extLst>
            <a:ext uri="{FF2B5EF4-FFF2-40B4-BE49-F238E27FC236}">
              <a16:creationId xmlns:a16="http://schemas.microsoft.com/office/drawing/2014/main" id="{00000000-0008-0000-1700-00000A000000}"/>
            </a:ext>
          </a:extLst>
        </xdr:cNvPr>
        <xdr:cNvCxnSpPr/>
      </xdr:nvCxnSpPr>
      <xdr:spPr>
        <a:xfrm flipV="1">
          <a:off x="17587258" y="1916579"/>
          <a:ext cx="532800" cy="0"/>
        </a:xfrm>
        <a:prstGeom prst="line">
          <a:avLst/>
        </a:prstGeom>
        <a:ln w="50800">
          <a:solidFill>
            <a:schemeClr val="accent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308250</xdr:colOff>
      <xdr:row>7</xdr:row>
      <xdr:rowOff>110041</xdr:rowOff>
    </xdr:from>
    <xdr:to>
      <xdr:col>26</xdr:col>
      <xdr:colOff>841650</xdr:colOff>
      <xdr:row>7</xdr:row>
      <xdr:rowOff>110041</xdr:rowOff>
    </xdr:to>
    <xdr:cxnSp macro="">
      <xdr:nvCxnSpPr>
        <xdr:cNvPr id="11" name="Gerader Verbinder 10">
          <a:extLst>
            <a:ext uri="{FF2B5EF4-FFF2-40B4-BE49-F238E27FC236}">
              <a16:creationId xmlns:a16="http://schemas.microsoft.com/office/drawing/2014/main" id="{00000000-0008-0000-1700-00000B000000}"/>
            </a:ext>
          </a:extLst>
        </xdr:cNvPr>
        <xdr:cNvCxnSpPr/>
      </xdr:nvCxnSpPr>
      <xdr:spPr>
        <a:xfrm>
          <a:off x="17585772" y="2136519"/>
          <a:ext cx="533400" cy="0"/>
        </a:xfrm>
        <a:prstGeom prst="line">
          <a:avLst/>
        </a:prstGeom>
        <a:ln w="50800">
          <a:solidFill>
            <a:schemeClr val="accent6"/>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308622</xdr:colOff>
      <xdr:row>8</xdr:row>
      <xdr:rowOff>109669</xdr:rowOff>
    </xdr:from>
    <xdr:to>
      <xdr:col>26</xdr:col>
      <xdr:colOff>842022</xdr:colOff>
      <xdr:row>8</xdr:row>
      <xdr:rowOff>109669</xdr:rowOff>
    </xdr:to>
    <xdr:cxnSp macro="">
      <xdr:nvCxnSpPr>
        <xdr:cNvPr id="12" name="Gerader Verbinder 11">
          <a:extLst>
            <a:ext uri="{FF2B5EF4-FFF2-40B4-BE49-F238E27FC236}">
              <a16:creationId xmlns:a16="http://schemas.microsoft.com/office/drawing/2014/main" id="{00000000-0008-0000-1700-00000C000000}"/>
            </a:ext>
          </a:extLst>
        </xdr:cNvPr>
        <xdr:cNvCxnSpPr/>
      </xdr:nvCxnSpPr>
      <xdr:spPr>
        <a:xfrm>
          <a:off x="17586144" y="2357017"/>
          <a:ext cx="533400" cy="0"/>
        </a:xfrm>
        <a:prstGeom prst="line">
          <a:avLst/>
        </a:prstGeom>
        <a:ln w="50800">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0</xdr:colOff>
          <xdr:row>4</xdr:row>
          <xdr:rowOff>28575</xdr:rowOff>
        </xdr:from>
        <xdr:to>
          <xdr:col>4</xdr:col>
          <xdr:colOff>180975</xdr:colOff>
          <xdr:row>5</xdr:row>
          <xdr:rowOff>0</xdr:rowOff>
        </xdr:to>
        <xdr:sp macro="" textlink="">
          <xdr:nvSpPr>
            <xdr:cNvPr id="1788203" name="Check Box 299" hidden="1">
              <a:extLst>
                <a:ext uri="{63B3BB69-23CF-44E3-9099-C40C66FF867C}">
                  <a14:compatExt spid="_x0000_s1788203"/>
                </a:ext>
                <a:ext uri="{FF2B5EF4-FFF2-40B4-BE49-F238E27FC236}">
                  <a16:creationId xmlns:a16="http://schemas.microsoft.com/office/drawing/2014/main" id="{00000000-0008-0000-1700-00002B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xdr:row>
          <xdr:rowOff>561975</xdr:rowOff>
        </xdr:from>
        <xdr:to>
          <xdr:col>26</xdr:col>
          <xdr:colOff>257175</xdr:colOff>
          <xdr:row>4</xdr:row>
          <xdr:rowOff>28575</xdr:rowOff>
        </xdr:to>
        <xdr:sp macro="" textlink="">
          <xdr:nvSpPr>
            <xdr:cNvPr id="1788204" name="Check Box 300" hidden="1">
              <a:extLst>
                <a:ext uri="{63B3BB69-23CF-44E3-9099-C40C66FF867C}">
                  <a14:compatExt spid="_x0000_s1788204"/>
                </a:ext>
                <a:ext uri="{FF2B5EF4-FFF2-40B4-BE49-F238E27FC236}">
                  <a16:creationId xmlns:a16="http://schemas.microsoft.com/office/drawing/2014/main" id="{00000000-0008-0000-1700-00002C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1104900</xdr:colOff>
          <xdr:row>4</xdr:row>
          <xdr:rowOff>28575</xdr:rowOff>
        </xdr:from>
        <xdr:to>
          <xdr:col>7</xdr:col>
          <xdr:colOff>228600</xdr:colOff>
          <xdr:row>5</xdr:row>
          <xdr:rowOff>0</xdr:rowOff>
        </xdr:to>
        <xdr:sp macro="" textlink="">
          <xdr:nvSpPr>
            <xdr:cNvPr id="1788205" name="Check Box 301" hidden="1">
              <a:extLst>
                <a:ext uri="{63B3BB69-23CF-44E3-9099-C40C66FF867C}">
                  <a14:compatExt spid="_x0000_s1788205"/>
                </a:ext>
                <a:ext uri="{FF2B5EF4-FFF2-40B4-BE49-F238E27FC236}">
                  <a16:creationId xmlns:a16="http://schemas.microsoft.com/office/drawing/2014/main" id="{00000000-0008-0000-1700-00002D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18491</xdr:colOff>
      <xdr:row>2</xdr:row>
      <xdr:rowOff>178734</xdr:rowOff>
    </xdr:from>
    <xdr:to>
      <xdr:col>3</xdr:col>
      <xdr:colOff>7285</xdr:colOff>
      <xdr:row>2</xdr:row>
      <xdr:rowOff>371475</xdr:rowOff>
    </xdr:to>
    <xdr:sp macro="" textlink="">
      <xdr:nvSpPr>
        <xdr:cNvPr id="5" name="Rechteck 4">
          <a:hlinkClick xmlns:r="http://schemas.openxmlformats.org/officeDocument/2006/relationships" r:id="rId3"/>
          <a:extLst>
            <a:ext uri="{FF2B5EF4-FFF2-40B4-BE49-F238E27FC236}">
              <a16:creationId xmlns:a16="http://schemas.microsoft.com/office/drawing/2014/main" id="{00000000-0008-0000-1700-000005000000}"/>
            </a:ext>
          </a:extLst>
        </xdr:cNvPr>
        <xdr:cNvSpPr/>
      </xdr:nvSpPr>
      <xdr:spPr>
        <a:xfrm>
          <a:off x="5685866" y="750234"/>
          <a:ext cx="1103219" cy="1927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2</xdr:col>
      <xdr:colOff>11206</xdr:colOff>
      <xdr:row>1</xdr:row>
      <xdr:rowOff>62193</xdr:rowOff>
    </xdr:from>
    <xdr:to>
      <xdr:col>2</xdr:col>
      <xdr:colOff>1098177</xdr:colOff>
      <xdr:row>1</xdr:row>
      <xdr:rowOff>454399</xdr:rowOff>
    </xdr:to>
    <xdr:sp macro="" textlink="">
      <xdr:nvSpPr>
        <xdr:cNvPr id="6" name="Rechteck 5">
          <a:hlinkClick xmlns:r="http://schemas.openxmlformats.org/officeDocument/2006/relationships" r:id="rId4"/>
          <a:extLst>
            <a:ext uri="{FF2B5EF4-FFF2-40B4-BE49-F238E27FC236}">
              <a16:creationId xmlns:a16="http://schemas.microsoft.com/office/drawing/2014/main" id="{00000000-0008-0000-1700-000006000000}"/>
            </a:ext>
          </a:extLst>
        </xdr:cNvPr>
        <xdr:cNvSpPr/>
      </xdr:nvSpPr>
      <xdr:spPr>
        <a:xfrm>
          <a:off x="5678581" y="147918"/>
          <a:ext cx="1086971" cy="3922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5</xdr:col>
      <xdr:colOff>100854</xdr:colOff>
      <xdr:row>2</xdr:row>
      <xdr:rowOff>134470</xdr:rowOff>
    </xdr:from>
    <xdr:to>
      <xdr:col>5</xdr:col>
      <xdr:colOff>1015254</xdr:colOff>
      <xdr:row>2</xdr:row>
      <xdr:rowOff>381000</xdr:rowOff>
    </xdr:to>
    <xdr:sp macro="" textlink="">
      <xdr:nvSpPr>
        <xdr:cNvPr id="14" name="Rechteck 13">
          <a:hlinkClick xmlns:r="http://schemas.openxmlformats.org/officeDocument/2006/relationships" r:id="rId5"/>
          <a:extLst>
            <a:ext uri="{FF2B5EF4-FFF2-40B4-BE49-F238E27FC236}">
              <a16:creationId xmlns:a16="http://schemas.microsoft.com/office/drawing/2014/main" id="{00000000-0008-0000-1700-00000E000000}"/>
            </a:ext>
          </a:extLst>
        </xdr:cNvPr>
        <xdr:cNvSpPr/>
      </xdr:nvSpPr>
      <xdr:spPr>
        <a:xfrm>
          <a:off x="8931089" y="705970"/>
          <a:ext cx="914400" cy="246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26</xdr:col>
      <xdr:colOff>89649</xdr:colOff>
      <xdr:row>17</xdr:row>
      <xdr:rowOff>131104</xdr:rowOff>
    </xdr:from>
    <xdr:to>
      <xdr:col>26</xdr:col>
      <xdr:colOff>1316692</xdr:colOff>
      <xdr:row>24</xdr:row>
      <xdr:rowOff>123265</xdr:rowOff>
    </xdr:to>
    <xdr:sp macro="" textlink="">
      <xdr:nvSpPr>
        <xdr:cNvPr id="42" name="Pfeil: gestreift nach rechts 41">
          <a:hlinkClick xmlns:r="http://schemas.openxmlformats.org/officeDocument/2006/relationships" r:id="rId6"/>
          <a:extLst>
            <a:ext uri="{FF2B5EF4-FFF2-40B4-BE49-F238E27FC236}">
              <a16:creationId xmlns:a16="http://schemas.microsoft.com/office/drawing/2014/main" id="{00000000-0008-0000-1700-00002A000000}"/>
            </a:ext>
          </a:extLst>
        </xdr:cNvPr>
        <xdr:cNvSpPr/>
      </xdr:nvSpPr>
      <xdr:spPr>
        <a:xfrm rot="16200000">
          <a:off x="19841135" y="5402354"/>
          <a:ext cx="2356602" cy="1227043"/>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chemeClr val="tx1"/>
              </a:solidFill>
            </a:rPr>
            <a:t>Zum</a:t>
          </a:r>
          <a:r>
            <a:rPr lang="de-DE" sz="1600" b="1" baseline="0">
              <a:solidFill>
                <a:schemeClr val="tx1"/>
              </a:solidFill>
            </a:rPr>
            <a:t> Inhaltsverzeichnis</a:t>
          </a:r>
          <a:endParaRPr lang="de-DE" sz="1600" b="1">
            <a:solidFill>
              <a:schemeClr val="tx1"/>
            </a:solidFill>
          </a:endParaRPr>
        </a:p>
      </xdr:txBody>
    </xdr:sp>
    <xdr:clientData/>
  </xdr:twoCellAnchor>
  <xdr:twoCellAnchor editAs="oneCell">
    <xdr:from>
      <xdr:col>1</xdr:col>
      <xdr:colOff>11206</xdr:colOff>
      <xdr:row>1</xdr:row>
      <xdr:rowOff>56031</xdr:rowOff>
    </xdr:from>
    <xdr:to>
      <xdr:col>1</xdr:col>
      <xdr:colOff>407206</xdr:colOff>
      <xdr:row>1</xdr:row>
      <xdr:rowOff>436518</xdr:rowOff>
    </xdr:to>
    <xdr:pic>
      <xdr:nvPicPr>
        <xdr:cNvPr id="13" name="Grafik 12">
          <a:hlinkClick xmlns:r="http://schemas.openxmlformats.org/officeDocument/2006/relationships" r:id="rId7"/>
          <a:extLst>
            <a:ext uri="{FF2B5EF4-FFF2-40B4-BE49-F238E27FC236}">
              <a16:creationId xmlns:a16="http://schemas.microsoft.com/office/drawing/2014/main" id="{00000000-0008-0000-1700-00000D000000}"/>
            </a:ext>
          </a:extLst>
        </xdr:cNvPr>
        <xdr:cNvPicPr>
          <a:picLocks noChangeAspect="1"/>
        </xdr:cNvPicPr>
      </xdr:nvPicPr>
      <xdr:blipFill>
        <a:blip xmlns:r="http://schemas.openxmlformats.org/officeDocument/2006/relationships" r:embed="rId8"/>
        <a:stretch>
          <a:fillRect/>
        </a:stretch>
      </xdr:blipFill>
      <xdr:spPr>
        <a:xfrm>
          <a:off x="179294" y="381002"/>
          <a:ext cx="396000" cy="380487"/>
        </a:xfrm>
        <a:prstGeom prst="rect">
          <a:avLst/>
        </a:prstGeom>
      </xdr:spPr>
    </xdr:pic>
    <xdr:clientData/>
  </xdr:twoCellAnchor>
  <mc:AlternateContent xmlns:mc="http://schemas.openxmlformats.org/markup-compatibility/2006">
    <mc:Choice xmlns:a14="http://schemas.microsoft.com/office/drawing/2010/main" Requires="a14">
      <xdr:twoCellAnchor>
        <xdr:from>
          <xdr:col>26</xdr:col>
          <xdr:colOff>28575</xdr:colOff>
          <xdr:row>4</xdr:row>
          <xdr:rowOff>28575</xdr:rowOff>
        </xdr:from>
        <xdr:to>
          <xdr:col>26</xdr:col>
          <xdr:colOff>266700</xdr:colOff>
          <xdr:row>5</xdr:row>
          <xdr:rowOff>28575</xdr:rowOff>
        </xdr:to>
        <xdr:sp macro="" textlink="">
          <xdr:nvSpPr>
            <xdr:cNvPr id="1788206" name="Check Box 302" hidden="1">
              <a:extLst>
                <a:ext uri="{63B3BB69-23CF-44E3-9099-C40C66FF867C}">
                  <a14:compatExt spid="_x0000_s1788206"/>
                </a:ext>
                <a:ext uri="{FF2B5EF4-FFF2-40B4-BE49-F238E27FC236}">
                  <a16:creationId xmlns:a16="http://schemas.microsoft.com/office/drawing/2014/main" id="{00000000-0008-0000-1700-00002E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xdr:colOff>
          <xdr:row>6</xdr:row>
          <xdr:rowOff>219075</xdr:rowOff>
        </xdr:from>
        <xdr:to>
          <xdr:col>26</xdr:col>
          <xdr:colOff>295275</xdr:colOff>
          <xdr:row>7</xdr:row>
          <xdr:rowOff>219075</xdr:rowOff>
        </xdr:to>
        <xdr:sp macro="" textlink="">
          <xdr:nvSpPr>
            <xdr:cNvPr id="1788207" name="Check Box 303" hidden="1">
              <a:extLst>
                <a:ext uri="{63B3BB69-23CF-44E3-9099-C40C66FF867C}">
                  <a14:compatExt spid="_x0000_s1788207"/>
                </a:ext>
                <a:ext uri="{FF2B5EF4-FFF2-40B4-BE49-F238E27FC236}">
                  <a16:creationId xmlns:a16="http://schemas.microsoft.com/office/drawing/2014/main" id="{00000000-0008-0000-1700-00002F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xdr:colOff>
          <xdr:row>5</xdr:row>
          <xdr:rowOff>219075</xdr:rowOff>
        </xdr:from>
        <xdr:to>
          <xdr:col>26</xdr:col>
          <xdr:colOff>266700</xdr:colOff>
          <xdr:row>6</xdr:row>
          <xdr:rowOff>219075</xdr:rowOff>
        </xdr:to>
        <xdr:sp macro="" textlink="">
          <xdr:nvSpPr>
            <xdr:cNvPr id="1788208" name="Check Box 304" hidden="1">
              <a:extLst>
                <a:ext uri="{63B3BB69-23CF-44E3-9099-C40C66FF867C}">
                  <a14:compatExt spid="_x0000_s1788208"/>
                </a:ext>
                <a:ext uri="{FF2B5EF4-FFF2-40B4-BE49-F238E27FC236}">
                  <a16:creationId xmlns:a16="http://schemas.microsoft.com/office/drawing/2014/main" id="{00000000-0008-0000-1700-000030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xdr:colOff>
          <xdr:row>7</xdr:row>
          <xdr:rowOff>219075</xdr:rowOff>
        </xdr:from>
        <xdr:to>
          <xdr:col>26</xdr:col>
          <xdr:colOff>295275</xdr:colOff>
          <xdr:row>9</xdr:row>
          <xdr:rowOff>0</xdr:rowOff>
        </xdr:to>
        <xdr:sp macro="" textlink="">
          <xdr:nvSpPr>
            <xdr:cNvPr id="1788209" name="Check Box 305" hidden="1">
              <a:extLst>
                <a:ext uri="{63B3BB69-23CF-44E3-9099-C40C66FF867C}">
                  <a14:compatExt spid="_x0000_s1788209"/>
                </a:ext>
                <a:ext uri="{FF2B5EF4-FFF2-40B4-BE49-F238E27FC236}">
                  <a16:creationId xmlns:a16="http://schemas.microsoft.com/office/drawing/2014/main" id="{00000000-0008-0000-1700-000031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xdr:colOff>
          <xdr:row>5</xdr:row>
          <xdr:rowOff>28575</xdr:rowOff>
        </xdr:from>
        <xdr:to>
          <xdr:col>26</xdr:col>
          <xdr:colOff>219075</xdr:colOff>
          <xdr:row>5</xdr:row>
          <xdr:rowOff>219075</xdr:rowOff>
        </xdr:to>
        <xdr:sp macro="" textlink="">
          <xdr:nvSpPr>
            <xdr:cNvPr id="1788210" name="Check Box 306" hidden="1">
              <a:extLst>
                <a:ext uri="{63B3BB69-23CF-44E3-9099-C40C66FF867C}">
                  <a14:compatExt spid="_x0000_s1788210"/>
                </a:ext>
                <a:ext uri="{FF2B5EF4-FFF2-40B4-BE49-F238E27FC236}">
                  <a16:creationId xmlns:a16="http://schemas.microsoft.com/office/drawing/2014/main" id="{00000000-0008-0000-1700-000032491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4972049</xdr:colOff>
      <xdr:row>1</xdr:row>
      <xdr:rowOff>9526</xdr:rowOff>
    </xdr:from>
    <xdr:to>
      <xdr:col>1</xdr:col>
      <xdr:colOff>5494002</xdr:colOff>
      <xdr:row>1</xdr:row>
      <xdr:rowOff>470244</xdr:rowOff>
    </xdr:to>
    <xdr:pic>
      <xdr:nvPicPr>
        <xdr:cNvPr id="2" name="Grafik 1">
          <a:extLst>
            <a:ext uri="{FF2B5EF4-FFF2-40B4-BE49-F238E27FC236}">
              <a16:creationId xmlns:a16="http://schemas.microsoft.com/office/drawing/2014/main" id="{59A8C8A2-019E-5580-6439-1F17048F4BA0}"/>
            </a:ext>
          </a:extLst>
        </xdr:cNvPr>
        <xdr:cNvPicPr>
          <a:picLocks noChangeAspect="1"/>
        </xdr:cNvPicPr>
      </xdr:nvPicPr>
      <xdr:blipFill>
        <a:blip xmlns:r="http://schemas.openxmlformats.org/officeDocument/2006/relationships" r:embed="rId9"/>
        <a:stretch>
          <a:fillRect/>
        </a:stretch>
      </xdr:blipFill>
      <xdr:spPr>
        <a:xfrm>
          <a:off x="5133974" y="333376"/>
          <a:ext cx="521953" cy="460718"/>
        </a:xfrm>
        <a:prstGeom prst="rect">
          <a:avLst/>
        </a:prstGeom>
      </xdr:spPr>
    </xdr:pic>
    <xdr:clientData/>
  </xdr:twoCellAnchor>
</xdr:wsDr>
</file>

<file path=xl/drawings/drawing8.xml><?xml version="1.0" encoding="utf-8"?>
<c:userShapes xmlns:c="http://schemas.openxmlformats.org/drawingml/2006/chart">
  <cdr:relSizeAnchor xmlns:cdr="http://schemas.openxmlformats.org/drawingml/2006/chartDrawing">
    <cdr:from>
      <cdr:x>0.00167</cdr:x>
      <cdr:y>0.15851</cdr:y>
    </cdr:from>
    <cdr:to>
      <cdr:x>0.11604</cdr:x>
      <cdr:y>0.22042</cdr:y>
    </cdr:to>
    <cdr:sp macro="" textlink="">
      <cdr:nvSpPr>
        <cdr:cNvPr id="2" name="Textfeld 1">
          <a:extLst xmlns:a="http://schemas.openxmlformats.org/drawingml/2006/main">
            <a:ext uri="{FF2B5EF4-FFF2-40B4-BE49-F238E27FC236}">
              <a16:creationId xmlns:a16="http://schemas.microsoft.com/office/drawing/2014/main" id="{D00D213D-7692-4D23-AD72-1B3CD51A186B}"/>
            </a:ext>
          </a:extLst>
        </cdr:cNvPr>
        <cdr:cNvSpPr txBox="1"/>
      </cdr:nvSpPr>
      <cdr:spPr>
        <a:xfrm xmlns:a="http://schemas.openxmlformats.org/drawingml/2006/main">
          <a:off x="11205" y="688600"/>
          <a:ext cx="766482" cy="26894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900"/>
            <a:t>Alter AusglBer.</a:t>
          </a:r>
        </a:p>
      </cdr:txBody>
    </cdr:sp>
  </cdr:relSizeAnchor>
</c:userShapes>
</file>

<file path=xl/drawings/drawing9.xml><?xml version="1.0" encoding="utf-8"?>
<xdr:wsDr xmlns:xdr="http://schemas.openxmlformats.org/drawingml/2006/spreadsheetDrawing" xmlns:a="http://schemas.openxmlformats.org/drawingml/2006/main">
  <xdr:twoCellAnchor>
    <xdr:from>
      <xdr:col>4</xdr:col>
      <xdr:colOff>0</xdr:colOff>
      <xdr:row>0</xdr:row>
      <xdr:rowOff>0</xdr:rowOff>
    </xdr:from>
    <xdr:to>
      <xdr:col>16384</xdr:col>
      <xdr:colOff>30583</xdr:colOff>
      <xdr:row>2</xdr:row>
      <xdr:rowOff>24848</xdr:rowOff>
    </xdr:to>
    <xdr:sp macro="" textlink="">
      <xdr:nvSpPr>
        <xdr:cNvPr id="4" name="Pfeil: gestreift nach rechts 3">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rot="16200000">
          <a:off x="8425166" y="-13858"/>
          <a:ext cx="215348" cy="243063"/>
        </a:xfrm>
        <a:prstGeom prst="stripedRightArrow">
          <a:avLst/>
        </a:prstGeom>
        <a:solidFill>
          <a:srgbClr val="BEE39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Zu%20bearbeiten/Bomn&#252;ter,%20Anette,%203052-20.xlsm" TargetMode="External"/><Relationship Id="rId1" Type="http://schemas.openxmlformats.org/officeDocument/2006/relationships/externalLinkPath" Target="/Zu%20bearbeiten/Bomn&#252;ter,%20Anette,%203052-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Hauss\Mandanten%20&amp;%20Akten\Excel\Versorgungsausgleich\W\Wessling-Benkhoff,%20Andrea,%203097-21.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Joern/Downloads/Kapitalwertkontrolle-01%20(2).xls" TargetMode="External"/><Relationship Id="rId1" Type="http://schemas.openxmlformats.org/officeDocument/2006/relationships/externalLinkPath" Target="/Users/Joern/Downloads/Kapitalwertkontrolle-01%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Kapitalwertkontrolle%202024%20f&#252;r%20die%20Kaffeerunde%20VA%2017-01-20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Templates\VA-Erfassung%20und%20Bewertung%20Vers-2-2.xlt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Plausibilit&#228;tspr&#252;fung\Kapitalwertkontrolle%204xBVerf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Hauss\Mandanten%20&amp;%20Akten\Excel\Versorgungsausgleich\W\Wiers.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Seminare/2024/Siegen/Kapitalwertkontrolle%202024.xltx" TargetMode="External"/><Relationship Id="rId1" Type="http://schemas.openxmlformats.org/officeDocument/2006/relationships/externalLinkPath" Target="/Seminare/2024/Siegen/Kapitalwertkontrolle%2020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sheetName val="Lebenserwartung_M"/>
      <sheetName val="1. Lebenserwartung"/>
      <sheetName val="2. Barwertfaktor"/>
      <sheetName val="Lebenserwartung_F"/>
      <sheetName val="3. Vorversterbensrisiko"/>
      <sheetName val="Sterbetafel"/>
      <sheetName val="4. Invaliditätszuschlag"/>
      <sheetName val="5. Abzinsung"/>
      <sheetName val="Vorblatt"/>
      <sheetName val="Erfassungsbogen"/>
      <sheetName val="Berechnungsblatt"/>
      <sheetName val="Zeitdifferenz"/>
      <sheetName val="Parameter"/>
      <sheetName val="G_Kohorte_M"/>
      <sheetName val="G_Kohorte_F"/>
      <sheetName val="Versorgungen"/>
      <sheetName val="Grafik"/>
      <sheetName val="Heubeck"/>
      <sheetName val="HR_IR_Anteil_M"/>
      <sheetName val="HR_IR_Anteil_W"/>
      <sheetName val="Zuschlagsfaktoren"/>
      <sheetName val="BilmoG-Zins"/>
      <sheetName val="Engbroks"/>
      <sheetName val="Werkzeuge"/>
      <sheetName val="§ 51 III"/>
      <sheetName val="Abänderung"/>
      <sheetName val="KEZ-Abänderung"/>
      <sheetName val="Daten zur Abänderung"/>
      <sheetName val="PLZ"/>
      <sheetName val="Tabelle1"/>
      <sheetName val="Tabelle2"/>
      <sheetName val="VBL-Kürzung"/>
      <sheetName val="sVA"/>
      <sheetName val="Prognose"/>
      <sheetName val="Tabelle4"/>
      <sheetName val="Tabelle3"/>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Lebenserwartung_M"/>
      <sheetName val="1. Lebenserwartung"/>
      <sheetName val="2. Barwertfaktor"/>
      <sheetName val="Lebenserwartung_F"/>
      <sheetName val="3. Vorversterbensrisiko"/>
      <sheetName val="Sterbetafel"/>
      <sheetName val="4. Invaliditätszuschlag"/>
      <sheetName val="5. Abzinsung"/>
      <sheetName val="Vorblatt"/>
      <sheetName val="Erfassungsbogen"/>
      <sheetName val="Berechnungsblatt"/>
      <sheetName val="Zeitdifferenz"/>
      <sheetName val="Parameter"/>
      <sheetName val="G_Kohorte_M"/>
      <sheetName val="G_Kohorte_F"/>
      <sheetName val="Versorgungen"/>
      <sheetName val="Grafik"/>
      <sheetName val="Heubeck"/>
      <sheetName val="HR_IR_Anteil_M"/>
      <sheetName val="HR_IR_Anteil_W"/>
      <sheetName val="Zuschlagsfaktoren"/>
      <sheetName val="BilmoG-Zins"/>
      <sheetName val="Engbroks"/>
      <sheetName val="Werkzeuge"/>
      <sheetName val="§ 51 III"/>
      <sheetName val="Abänderung"/>
      <sheetName val="KEZ-Abänderung"/>
      <sheetName val="Daten zur Abänderung"/>
      <sheetName val="PLZ"/>
      <sheetName val="Tabelle1"/>
      <sheetName val="Tabelle2"/>
      <sheetName val="VBL-Kürzung"/>
      <sheetName val="sVA"/>
      <sheetName val="Prognose"/>
      <sheetName val="Tabelle4"/>
      <sheetName val="Tabelle3"/>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benserwartung_M"/>
      <sheetName val="Lebenserwartung_F"/>
      <sheetName val="Sterbetafel"/>
      <sheetName val="G_Kohorte_M"/>
      <sheetName val="G_Kohorte_F"/>
      <sheetName val="G_Kohorte_N"/>
      <sheetName val="Lebenserwartung_N"/>
      <sheetName val="Programmbeschreibung"/>
      <sheetName val="Eingabemaske"/>
      <sheetName val="Tabelle1"/>
      <sheetName val="Perioden"/>
      <sheetName val="Dokumentation"/>
      <sheetName val="Berechnungstext I"/>
      <sheetName val="Rentenerwartung"/>
      <sheetName val="HRIR-Zuschläge"/>
      <sheetName val="HIRI-Zuschläge66"/>
      <sheetName val="HIRI-Zuschläge67"/>
      <sheetName val="BilMoG-7"/>
      <sheetName val="Renteneintrittstabelle"/>
      <sheetName val="Fallrechnung"/>
      <sheetName val="RentenwerteDRV"/>
      <sheetName val="Berechnungstext"/>
      <sheetName val="BilMoG10"/>
      <sheetName val="Ehezeitanteil"/>
      <sheetName val="BVV ARLEPoG-V"/>
      <sheetName val="Parameter &amp; Berechnungen"/>
      <sheetName val="Tabelle2"/>
      <sheetName val="HRIR64"/>
      <sheetName val="HRIR63"/>
      <sheetName val="HRIR62"/>
      <sheetName val="HRIR61"/>
      <sheetName val="HRIR60"/>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Ziff.5"/>
      <sheetName val="VPI &amp; Zins"/>
      <sheetName val="BilMoG-7"/>
      <sheetName val="BilMoG10"/>
      <sheetName val="Lebenserwartung_M"/>
      <sheetName val="Lebenserwartung_F"/>
      <sheetName val="Lebenserwartung_N"/>
      <sheetName val="G_Kohorte_M"/>
      <sheetName val="G_Kohorte_F"/>
      <sheetName val="G_Kohorte_N"/>
      <sheetName val="Inhalt"/>
      <sheetName val="Fallerfassung"/>
      <sheetName val="Einzel-Bewertung"/>
      <sheetName val="Links"/>
      <sheetName val="Berechnungstext"/>
      <sheetName val="Ehezeitanteil"/>
      <sheetName val="BVerfG 1 BvL 5-18"/>
      <sheetName val="Sterbetafel_P"/>
      <sheetName val="Adressen DRV"/>
      <sheetName val="Hilfstabelle für Grafik"/>
      <sheetName val="Experten-Diagrammdaten"/>
      <sheetName val="Expertendiagramm"/>
      <sheetName val="Berechnungen BVerfG"/>
      <sheetName val="Gewinn &amp; Verlust"/>
      <sheetName val="TO-Prüfung"/>
      <sheetName val="sVA § 20"/>
      <sheetName val="§§ 23, 24"/>
      <sheetName val="Verzinsung"/>
      <sheetName val="§ 33"/>
      <sheetName val="Renteneintritt"/>
      <sheetName val="Grundrentenrechner"/>
      <sheetName val="BarwertVO"/>
      <sheetName val="Abänderungsgründe"/>
      <sheetName val="Abänderungsampel"/>
      <sheetName val="Parameter"/>
      <sheetName val="Dies &amp; Das"/>
      <sheetName val="Tabelle1"/>
      <sheetName val="Unbesetzt"/>
      <sheetName val="KV&amp;PV"/>
      <sheetName val="BarwertVglDFGT"/>
      <sheetName val="HIRI-Zuschläge66"/>
      <sheetName val="HRIR-Zuschläge"/>
      <sheetName val="HIRI-Zuschläge67"/>
      <sheetName val="HRIR64"/>
      <sheetName val="HRIR63"/>
      <sheetName val="HRIR62"/>
      <sheetName val="HRIR61"/>
      <sheetName val="HRIR60"/>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Lebenserwartung_M"/>
      <sheetName val="1. Lebenserwartung"/>
      <sheetName val="2. Barwertfaktor"/>
      <sheetName val="Lebenserwartung_F"/>
      <sheetName val="3. Vorversterbensrisiko"/>
      <sheetName val="Sterbetafel"/>
      <sheetName val="4. Invaliditätszuschlag"/>
      <sheetName val="5. Abzinsung"/>
      <sheetName val="Erfassungsbogen"/>
      <sheetName val="Berechnungsblatt"/>
      <sheetName val="Zeitdifferenz"/>
      <sheetName val="Parameter"/>
      <sheetName val="G_Kohorte_M"/>
      <sheetName val="G_Kohorte_F"/>
      <sheetName val="Versorgungen"/>
      <sheetName val="Tabelle1"/>
      <sheetName val="Tabelle2"/>
      <sheetName val="Vorblatt"/>
      <sheetName val="Grafik"/>
      <sheetName val="Heubeck"/>
      <sheetName val="HR_IR_Anteil_M"/>
      <sheetName val="HR_IR_Anteil_W"/>
      <sheetName val="Zuschlagsfaktoren"/>
      <sheetName val="BilmoG-Zins"/>
      <sheetName val="Engbroks"/>
      <sheetName val="Werkzeuge"/>
      <sheetName val="§ 51 III"/>
      <sheetName val="Abänderung"/>
      <sheetName val="KEZ-Abänderung"/>
      <sheetName val="Daten zur Abänderung"/>
      <sheetName val="PLZ"/>
      <sheetName val="sVA"/>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benserwartung_M"/>
      <sheetName val="Lebenserwartung_F"/>
      <sheetName val="BilMoG-7"/>
      <sheetName val="BilMoG10"/>
      <sheetName val="Inhalt"/>
      <sheetName val="G_Kohorte_M"/>
      <sheetName val="G_Kohorte_F"/>
      <sheetName val="G_Kohorte_N"/>
      <sheetName val="Lebenserwartung_N"/>
      <sheetName val="Parameter"/>
      <sheetName val="Programmbeschreibung"/>
      <sheetName val="Rentenbewertung"/>
      <sheetName val="Einheitliche Bewertung"/>
      <sheetName val="Dynamik matters"/>
      <sheetName val="Tabelle BVerfG"/>
      <sheetName val="Berufsständische"/>
      <sheetName val="BerStdV-Versorgungsdynamik"/>
      <sheetName val="BerStd"/>
      <sheetName val="Fortbildung Dynamikuntersch."/>
      <sheetName val="Lebenserwartung_M_05"/>
      <sheetName val="G_Kohorte_M_05"/>
      <sheetName val="G_Kohorte_F_05"/>
      <sheetName val="G_Kohorte_N_05"/>
      <sheetName val="Lebenserwartung_F_05"/>
      <sheetName val="Lebenserwartung_N_05"/>
      <sheetName val="HRIR-Zuschläge66_05"/>
      <sheetName val="Kapita- und Rentenentwicklung"/>
      <sheetName val="BGH XII ZB 499-17"/>
      <sheetName val="Berechnungstext I"/>
      <sheetName val="Abänderungsprognose"/>
      <sheetName val="HIRI-Zuschläge66"/>
      <sheetName val="HIRI-Zuschläge67"/>
      <sheetName val="Renteneintritt"/>
      <sheetName val="Rententrend DRV"/>
      <sheetName val="RentenwerteDRV"/>
      <sheetName val="Abänderungsampel"/>
      <sheetName val="HRIR-Zuschläge_05"/>
      <sheetName val="HRIR-Zuschläge67_05"/>
      <sheetName val="HRIR-Zuschläge64_05"/>
      <sheetName val="HRIR-Zuschläge63_05"/>
      <sheetName val="HRIR-Zuschläge62_05"/>
      <sheetName val="HRIR-Zuschläge61_05"/>
      <sheetName val="HRIR-Zuschläge60_05"/>
      <sheetName val="Ehezeitanteil"/>
      <sheetName val="Zielversorgung"/>
      <sheetName val="BVV ARLEPoG-V"/>
      <sheetName val="BVVTabellen"/>
      <sheetName val="Dynamikvergleich 2 Versorgungen"/>
      <sheetName val="Dynamikausgleich"/>
      <sheetName val="Abänderung Berechnung"/>
      <sheetName val="Tabelle7"/>
      <sheetName val="Abänderung"/>
      <sheetName val="SterbetafelVVR"/>
      <sheetName val="Anlage 9a zu § 13 BewG"/>
      <sheetName val="Rentenbemessungsgrundlagen"/>
      <sheetName val="lebenslg. Nutzungsrecht BMF"/>
      <sheetName val="Wohnvorteil"/>
      <sheetName val="Tabelle3"/>
      <sheetName val="Tabelle2"/>
      <sheetName val="Verrentungstabelle"/>
      <sheetName val="VerbundeneLeben"/>
      <sheetName val="VPI"/>
      <sheetName val="Parameter &amp; Berechnungen"/>
      <sheetName val="Barwert befristeter Nutzung"/>
      <sheetName val="HRIR-Zuschläge"/>
      <sheetName val="HRIR64"/>
      <sheetName val="HRIR63"/>
      <sheetName val="HRIR62"/>
      <sheetName val="HRIR61"/>
      <sheetName val="HRIR60"/>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Lebenserwartung_M"/>
      <sheetName val="1. Lebenserwartung"/>
      <sheetName val="2. Barwertfaktor"/>
      <sheetName val="Lebenserwartung_F"/>
      <sheetName val="3. Vorversterbensrisiko"/>
      <sheetName val="Sterbetafel"/>
      <sheetName val="4. Invaliditätszuschlag"/>
      <sheetName val="5. Abzinsung"/>
      <sheetName val="Vorblatt"/>
      <sheetName val="Erfassungsbogen"/>
      <sheetName val="Berechnungsblatt"/>
      <sheetName val="Zeitdifferenz"/>
      <sheetName val="Parameter"/>
      <sheetName val="G_Kohorte_M"/>
      <sheetName val="G_Kohorte_F"/>
      <sheetName val="Versorgungen"/>
      <sheetName val="Grafik"/>
      <sheetName val="Heubeck"/>
      <sheetName val="HR_IR_Anteil_M"/>
      <sheetName val="HR_IR_Anteil_W"/>
      <sheetName val="Zuschlagsfaktoren"/>
      <sheetName val="BilmoG-Zins"/>
      <sheetName val="Engbroks"/>
      <sheetName val="Tabelle1"/>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 Ziff.5"/>
      <sheetName val="VPI &amp; Zins"/>
      <sheetName val="BilMoG-7"/>
      <sheetName val="BilMoG10"/>
      <sheetName val="Lebenserwartung_M"/>
      <sheetName val="Lebenserwartung_F"/>
      <sheetName val="Lebenserwartung_N"/>
      <sheetName val="G_Kohorte_M"/>
      <sheetName val="G_Kohorte_F"/>
      <sheetName val="G_Kohorte_N"/>
      <sheetName val="Inhalt"/>
      <sheetName val="Fallerfassung"/>
      <sheetName val="Einzel-Bewertung"/>
      <sheetName val="Links"/>
      <sheetName val="Berechnungstext"/>
      <sheetName val="Ehezeitanteil"/>
      <sheetName val="Sterbetafel_P"/>
      <sheetName val="Adressen DRV"/>
      <sheetName val="Hilfstabelle für Grafik"/>
      <sheetName val="Experten-Diagrammdaten"/>
      <sheetName val="Expertendiagramm"/>
      <sheetName val="Berechnungen BVerfG"/>
      <sheetName val="BVerfG 1 BvL 5-18"/>
      <sheetName val="Gewinn &amp; Verlust"/>
      <sheetName val="TO-Prüfung"/>
      <sheetName val="sVA § 20"/>
      <sheetName val="§§ 23, 24"/>
      <sheetName val="§ 22"/>
      <sheetName val="Verzinsung"/>
      <sheetName val="§ 33"/>
      <sheetName val="Renteneintritt"/>
      <sheetName val="Grundrentenrechner"/>
      <sheetName val="BarwertVO"/>
      <sheetName val="Abänderungsgründe"/>
      <sheetName val="Abänderungsampel"/>
      <sheetName val="Parameter"/>
      <sheetName val="Dies &amp; Das"/>
      <sheetName val="Zeichen"/>
      <sheetName val="Tabelle1"/>
      <sheetName val="Muster Schreiben"/>
      <sheetName val="Unbesetzt"/>
      <sheetName val="Formulare &amp; Muster"/>
      <sheetName val="KV&amp;PV"/>
      <sheetName val="BarwertVglDFGT"/>
      <sheetName val="HIRI-Zuschläge66"/>
      <sheetName val="HRIR-Zuschläge"/>
      <sheetName val="HIRI-Zuschläge67"/>
      <sheetName val="HRIR64"/>
      <sheetName val="HRIR63"/>
      <sheetName val="HRIR62"/>
      <sheetName val="HRIR61"/>
      <sheetName val="HRIR60"/>
      <sheetName val="Kapitalwertkontrolle 2024"/>
    </sheetNames>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2:54.361"/>
    </inkml:context>
    <inkml:brush xml:id="br0">
      <inkml:brushProperty name="width" value="0.05" units="cm"/>
      <inkml:brushProperty name="height" value="0.05" units="cm"/>
    </inkml:brush>
  </inkml:definitions>
  <inkml:trace contextRef="#ctx0" brushRef="#br0">54 79 2248 0 0,'-10'-10'9'0'0,"2"0"-1"0"0,-1-1 0 0 0,1 1 1 0 0,-7-15-1 0 0,11 16 18 0 0,4 9-40 0 0,0 0-1 0 0,0 0 1 0 0,0 0 0 0 0,0-1 0 0 0,0 1 0 0 0,0 0 0 0 0,0 0 0 0 0,0 0 0 0 0,0 0 0 0 0,0 0 0 0 0,0 0 0 0 0,0 0 0 0 0,0 0 0 0 0,0 0 0 0 0,0 0 0 0 0,0 0 0 0 0,0-1 0 0 0,0 1 0 0 0,0 0 0 0 0,0 0 0 0 0,0 0 0 0 0,0 0 0 0 0,0 0 0 0 0,0 0 0 0 0,0 0 0 0 0,0 0-1 0 0,0 0 1 0 0,0 0 0 0 0,0 0 0 0 0,1 0 0 0 0,-1-1 0 0 0,0 1 0 0 0,0 0 0 0 0,0 0 0 0 0,0 0 0 0 0,0 0 0 0 0,0 0 0 0 0,0 0 0 0 0,0 0 0 0 0,0 0 0 0 0,0 0 0 0 0,0 0 0 0 0,0 0 0 0 0,0 0 0 0 0,1 0 0 0 0,-1 0 0 0 0,0 0 0 0 0,0 0 0 0 0,0 0 0 0 0,0 0 0 0 0,0 0-1 0 0,0 0 1 0 0,0 0 0 0 0,0 0 0 0 0,0 0 0 0 0,0 0 0 0 0,0 0 0 0 0,1 0 0 0 0,-1 0 0 0 0,0 0 0 0 0,0 0 0 0 0,0 0 0 0 0,0 0 0 0 0,0 0 0 0 0,3 2-1165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2:55.758"/>
    </inkml:context>
    <inkml:brush xml:id="br0">
      <inkml:brushProperty name="width" value="0.035" units="cm"/>
      <inkml:brushProperty name="height" value="0.035" units="cm"/>
    </inkml:brush>
  </inkml:definitions>
  <inkml:trace contextRef="#ctx0" brushRef="#br0">1 5 328 0 0,'0'-3'1176'0'0,"1"2"-2352"0"0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3:02.140"/>
    </inkml:context>
    <inkml:brush xml:id="br0">
      <inkml:brushProperty name="width" value="0.035" units="cm"/>
      <inkml:brushProperty name="height" value="0.035" units="cm"/>
    </inkml:brush>
  </inkml:definitions>
  <inkml:trace contextRef="#ctx0" brushRef="#br0">97 21 7114 0 0,'-1'0'84'0'0,"-4"-4"315"0"0,0 1 0 0 0,0 1 0 0 0,-1-1 0 0 0,1 1 0 0 0,-1 0 1 0 0,-6-2-1 0 0,10 4-421 0 0,0 0-1 0 0,0 0 1 0 0,1 0 0 0 0,-1 0 0 0 0,0 0 0 0 0,0 1 0 0 0,0-1-1 0 0,0 1 1 0 0,1-1 0 0 0,-1 1 0 0 0,0-1 0 0 0,1 1-1 0 0,-1 0 1 0 0,0 0 0 0 0,1 0 0 0 0,-1 0 0 0 0,1 0-1 0 0,-1 0 1 0 0,1 0 0 0 0,0 1 0 0 0,-1-1 0 0 0,1 0 0 0 0,-1 3-1 0 0,0-2-179 0 0,1-1-1 0 0,0 1 1 0 0,0 0 0 0 0,0 0-1 0 0,0 0 1 0 0,0 0-1 0 0,1 0 1 0 0,-1 0-1 0 0,0 0 1 0 0,1 0-1 0 0,0 0 1 0 0,-1 0-1 0 0,1 0 1 0 0,0 1 0 0 0,0-1-1 0 0,1 2 1 0 0,-2 12-2415 0 0,0-10 312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3:03.276"/>
    </inkml:context>
    <inkml:brush xml:id="br0">
      <inkml:brushProperty name="width" value="0.035" units="cm"/>
      <inkml:brushProperty name="height" value="0.035" units="cm"/>
    </inkml:brush>
  </inkml:definitions>
  <inkml:trace contextRef="#ctx0" brushRef="#br0">66 9 10042 0 0,'-10'-3'1620'0'0,"7"2"-1595"0"0,-1 0-1 0 0,1 0 0 0 0,0 0 1 0 0,-1 0-1 0 0,1 1 0 0 0,0-1 1 0 0,-1 1-1 0 0,1 0 0 0 0,-1 0 0 0 0,1 0 1 0 0,0 1-1 0 0,-1-1 0 0 0,-5 2 1 0 0,9-2-49 0 0,0 0 1 0 0,0 0 0 0 0,-1 0 0 0 0,1 1 0 0 0,0-1 0 0 0,0 0 0 0 0,0 0-1 0 0,0 0 1 0 0,-1 0 0 0 0,1 0 0 0 0,0 0 0 0 0,0 1 0 0 0,0-1 0 0 0,0 0-1 0 0,0 0 1 0 0,0 0 0 0 0,0 0 0 0 0,-1 1 0 0 0,1-1 0 0 0,0 0 0 0 0,0 0-1 0 0,0 0 1 0 0,0 0 0 0 0,0 1 0 0 0,0-1 0 0 0,0 0 0 0 0,0 0 0 0 0,0 0-1 0 0,0 1 1 0 0,0-1 0 0 0,0 0 0 0 0,0 0 0 0 0,0 0 0 0 0,0 0 0 0 0,0 1-1 0 0,0-1 1 0 0,0 0 0 0 0,0 0 0 0 0,1 0 0 0 0,-1 1 0 0 0,0-1 0 0 0,9 9-956 0 0,11 2-1631 0 0,-17-10 2307 0 0,-1-1 0 0 0,0 1 1 0 0,0-1-1 0 0,1 0 1 0 0,-1 0-1 0 0,0 0 1 0 0,1 0-1 0 0,-1 0 1 0 0,0 0-1 0 0,1 0 0 0 0,-1-1 1 0 0,0 1-1 0 0,0-1 1 0 0,4-1-1 0 0,1-1-1656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3:04.910"/>
    </inkml:context>
    <inkml:brush xml:id="br0">
      <inkml:brushProperty name="width" value="0.035" units="cm"/>
      <inkml:brushProperty name="height" value="0.035" units="cm"/>
    </inkml:brush>
  </inkml:definitions>
  <inkml:trace contextRef="#ctx0" brushRef="#br0">44 14 6041 0 0,'-9'-4'2401'0'0,"-11"-4"-1395"0"0,20 8-1038 0 0,-1 0 0 0 0,1-1-1 0 0,0 1 1 0 0,-1 0 0 0 0,1 0 0 0 0,-1 0-1 0 0,1 0 1 0 0,-1 0 0 0 0,1 0 0 0 0,-1 0 0 0 0,1 0-1 0 0,-1 0 1 0 0,1 0 0 0 0,-1 0 0 0 0,1 0 0 0 0,-1 0-1 0 0,1 0 1 0 0,-1 0 0 0 0,1 0 0 0 0,-1 0 0 0 0,1 1-1 0 0,-1-1 1 0 0,1 0 0 0 0,-1 0 0 0 0,1 1 0 0 0,0-1-1 0 0,-1 0 1 0 0,1 1 0 0 0,-1-1 0 0 0,1 1-25 0 0,0-1 1 0 0,0 0-1 0 0,0 0 0 0 0,0 0 1 0 0,0 1-1 0 0,0-1 1 0 0,0 0-1 0 0,0 0 1 0 0,0 0-1 0 0,0 0 0 0 0,0 1 1 0 0,0-1-1 0 0,0 0 1 0 0,0 0-1 0 0,0 0 1 0 0,0 1-1 0 0,0-1 0 0 0,1 0 1 0 0,-1 0-1 0 0,0 0 1 0 0,0 0-1 0 0,0 0 0 0 0,0 1 1 0 0,0-1-1 0 0,0 0 1 0 0,1 0-1 0 0,-1 0 1 0 0,0 0-1 0 0,0 0 0 0 0,0 0 1 0 0,0 1-1 0 0,1-1 1 0 0,-1 0-1 0 0,0 0 0 0 0,0 0 1 0 0,0 0-1 0 0,0 0 1 0 0,1 0-1 0 0,-1 0 1 0 0,0 0-1 0 0,0 0 0 0 0,1 0 1 0 0,11 2-1192 0 0,-4 0-1120 0 0,-7 0 663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3:05.477"/>
    </inkml:context>
    <inkml:brush xml:id="br0">
      <inkml:brushProperty name="width" value="0.035" units="cm"/>
      <inkml:brushProperty name="height" value="0.035" units="cm"/>
    </inkml:brush>
  </inkml:definitions>
  <inkml:trace contextRef="#ctx0" brushRef="#br0">19 11 7658 0 0,'-19'-11'3143'0'0,"34"13"-4763"0"0,14 0-5092 0 0,-27-1 4947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06T20:43:22.406"/>
    </inkml:context>
    <inkml:brush xml:id="br0">
      <inkml:brushProperty name="width" value="0.035" units="cm"/>
      <inkml:brushProperty name="height" value="0.035" units="cm"/>
    </inkml:brush>
  </inkml:definitions>
  <inkml:trace contextRef="#ctx0" brushRef="#br0">42 39 2777 0 0,'-16'-24'404'0'0,"15"22"-400"0"0,0 1 0 0 0,0 0 1 0 0,0 0-1 0 0,-1 0 0 0 0,1 0 0 0 0,0 0 0 0 0,0 0 0 0 0,-1 0 0 0 0,1 1 0 0 0,0-1 1 0 0,-1 0-1 0 0,1 1 0 0 0,-1-1 0 0 0,1 1 0 0 0,-1-1 0 0 0,-1 1 0 0 0,3 0-26 0 0,0 0-1 0 0,0 1 1 0 0,-1-1 0 0 0,1 0-1 0 0,0 1 1 0 0,0-1-1 0 0,0 1 1 0 0,0-1-1 0 0,-1 1 1 0 0,1-1-1 0 0,0 0 1 0 0,0 1 0 0 0,0-1-1 0 0,0 1 1 0 0,0-1-1 0 0,0 1 1 0 0,0-1-1 0 0,0 1 1 0 0,1-1-1 0 0,-1 0 1 0 0,0 1-1 0 0,0-1 1 0 0,0 1 0 0 0,0-1-1 0 0,0 1 1 0 0,1-1-1 0 0,-1 1 1 0 0,6 13-566 0 0,-4-11-447 0 0</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24</v>
  </rv>
  <rv s="1">
    <v>0</v>
    <v>5</v>
  </rv>
</rvData>
</file>

<file path=xl/richData/rdrichvaluestructure.xml><?xml version="1.0" encoding="utf-8"?>
<rvStructures xmlns="http://schemas.microsoft.com/office/spreadsheetml/2017/richdata" count="2">
  <s t="_error">
    <k n="errorType" t="i"/>
    <k n="subType" t="i"/>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2" displayName="Tabelle2" ref="B17:F94" totalsRowShown="0" headerRowDxfId="432" dataDxfId="430" headerRowBorderDxfId="431" tableBorderDxfId="429" totalsRowBorderDxfId="428">
  <tableColumns count="5">
    <tableColumn id="1" xr3:uid="{00000000-0010-0000-0000-000001000000}" name="Alter" dataDxfId="427">
      <calculatedColumnFormula>IFERROR(IF(B17+1&lt;Endalter,B17+1,""),"")</calculatedColumnFormula>
    </tableColumn>
    <tableColumn id="2" xr3:uid="{00000000-0010-0000-0000-000002000000}" name="Spalte2" dataDxfId="426">
      <calculatedColumnFormula>IFERROR(IF(QuellVersrg,IF($B18&lt;INT(H$5),0,IF($B18=INT(H$2),H$12,IF($B18&gt;INT(H$2),H$12*(1+H$9)^(IF($B18-H$5&lt;=0,0,$B18-IF(H$5&lt;H$2,H$2,H$5))),0))),0),0)</calculatedColumnFormula>
    </tableColumn>
    <tableColumn id="4" xr3:uid="{00000000-0010-0000-0000-000004000000}" name="Spalte4" dataDxfId="425">
      <calculatedColumnFormula>IF($B18&lt;I$5,0,IF($B18=INT(I$5),I$12,IF($B18&gt;INT(I$5),I$12*(1+I$9)^(IF($B18-I$5&lt;=0,0,1)),0)))</calculatedColumnFormula>
    </tableColumn>
    <tableColumn id="6" xr3:uid="{00000000-0010-0000-0000-000006000000}" name="Spalte6" dataDxfId="424">
      <calculatedColumnFormula>IF(#REF!=0,0,IF(AND(#REF!&gt;0,$B18&gt;0),J$12*(1+J$9)^(#REF!-1),0))</calculatedColumnFormula>
    </tableColumn>
    <tableColumn id="8" xr3:uid="{00000000-0010-0000-0000-000008000000}" name="Spalte8" dataDxfId="423">
      <calculatedColumnFormula>IF(#REF!=0,0,IF(AND(#REF!&gt;0,$B18&gt;0),J$12*(1+J$9)^(#REF!-1),0))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sz="110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 dockstate="right" visibility="0" width="438" row="4">
    <wetp:webextensionref xmlns:r="http://schemas.openxmlformats.org/officeDocument/2006/relationships" r:id="rId2"/>
  </wetp:taskpane>
</wetp:taskpanes>
</file>

<file path=xl/webextensions/webextension1.xml><?xml version="1.0" encoding="utf-8"?>
<we:webextension xmlns:we="http://schemas.microsoft.com/office/webextensions/webextension/2010/11" id="{E8902938-05BD-4796-96EE-E25576EB228D}">
  <we:reference id="wa104380955" version="3.4.3.0" store="de-DE" storeType="OMEX"/>
  <we:alternateReferences>
    <we:reference id="WA104380955" version="3.4.3.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4DB3AA29-DAD4-4B33-8421-153B232E8A49}">
  <we:reference id="wa200006009" version="2.0.1.10" store="de-DE" storeType="OMEX"/>
  <we:alternateReferences>
    <we:reference id="wa200006009" version="2.0.1.10" store="wa200006009"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_xldudf_SAI_ASK</we:customFunctionIds>
        <we:customFunctionIds>_xldudf_SAI_PROMPTARRAY</we:customFunctionIds>
        <we:customFunctionIds>_xldudf_SAI_GENERATETABLE</we:customFunctionIds>
        <we:customFunctionIds>_xldudf_SAI_FILL</we:customFunctionIds>
        <we:customFunctionIds>_xldudf_SAI_SPLIT</we:customFunctionIds>
        <we:customFunctionIds>_xldudf_SAI_EXTRACT</we:customFunctionIds>
        <we:customFunctionIds>_xldudf_SAI_EXTRACTARRAY</we:customFunctionIds>
        <we:customFunctionIds>_xldudf_SAI_EDIT</we:customFunctionIds>
        <we:customFunctionIds>_xldudf_SAI_EDITARRAY</we:customFunctionIds>
        <we:customFunctionIds>_xldudf_SAI_FORMAT</we:customFunctionIds>
        <we:customFunctionIds>_xldudf_SAI_FORMATARRAY</we:customFunctionIds>
        <we:customFunctionIds>_xldudf_SAI_CLASSIFY</we:customFunctionIds>
        <we:customFunctionIds>_xldudf_SAI_CLASSIFYARRAY</we:customFunctionIds>
        <we:customFunctionIds>_xldudf_SAI_TAG</we:customFunctionIds>
        <we:customFunctionIds>_xldudf_SAI_TAGARRAY</we:customFunctionIds>
        <we:customFunctionIds>_xldudf_SAI_SUMMARIZE</we:customFunctionIds>
        <we:customFunctionIds>_xldudf_SAI_SUMMARIZEARRAY</we:customFunctionIds>
      </we:customFunctionIdList>
    </a:ext>
  </we:extLst>
</we:webextension>
</file>

<file path=xl/worksheets/_rels/sheet1.xml.rels><?xml version="1.0" encoding="UTF-8" standalone="yes"?>
<Relationships xmlns="http://schemas.openxmlformats.org/package/2006/relationships"><Relationship Id="rId13" Type="http://schemas.openxmlformats.org/officeDocument/2006/relationships/hyperlink" Target="file:///C:\Hau&#223;\AppData\Roaming\Hau&#223;\AppData\Roaming\Microsoft\Versorgungsordnungen\Nestle\Nestl&#233;%20Pensionskasse%20Tarif%20Vorsorgekonto%20Teilungsordnung001.pdf" TargetMode="External"/><Relationship Id="rId18" Type="http://schemas.openxmlformats.org/officeDocument/2006/relationships/hyperlink" Target="https://docplayer.org/7085059-Stand-november-2013-swiss-life-ag-teilungsordnung-zum-versorgungsausgleich-inhaltsverzeichnis-praeambel-1-anwendungsbereich.html" TargetMode="External"/><Relationship Id="rId26" Type="http://schemas.openxmlformats.org/officeDocument/2006/relationships/hyperlink" Target="https://docplayer.org/23644555-Teilungsordnung-der-unilever-deutschland-gruppe-stand.html" TargetMode="External"/><Relationship Id="rId39" Type="http://schemas.openxmlformats.org/officeDocument/2006/relationships/hyperlink" Target="http://www.hpv-versorgungsausgleich.de/index.php?id=4779" TargetMode="External"/><Relationship Id="rId21" Type="http://schemas.openxmlformats.org/officeDocument/2006/relationships/hyperlink" Target="https://docplayer.org/898437-Taetigkeitsplan-fuer-die-teilung-von-lebensversicherungen-auf-grundlage-des-gesetzes-zur-strukturreform-des-versorgungsausgleichs-teilungsordnung.html" TargetMode="External"/><Relationship Id="rId34" Type="http://schemas.openxmlformats.org/officeDocument/2006/relationships/hyperlink" Target="https://www.vgh.de/export/sites/vgh/_resources/downloads/pdf/privat_versicherungen/vorsorgeundvermoegen/Teilungsordnung_PH_01.05.2016.pdf" TargetMode="External"/><Relationship Id="rId42" Type="http://schemas.openxmlformats.org/officeDocument/2006/relationships/hyperlink" Target="http://www.hpv-versorgungsausgleich.de/index.php?id=4779" TargetMode="External"/><Relationship Id="rId47" Type="http://schemas.openxmlformats.org/officeDocument/2006/relationships/hyperlink" Target="http://www.hpv-versorgungsausgleich.de/index.php?id=4779" TargetMode="External"/><Relationship Id="rId50" Type="http://schemas.openxmlformats.org/officeDocument/2006/relationships/hyperlink" Target="http://www.hpv-versorgungsausgleich.de/index.php?id=4779" TargetMode="External"/><Relationship Id="rId55" Type="http://schemas.openxmlformats.org/officeDocument/2006/relationships/hyperlink" Target="http://www.hpv-versorgungsausgleich.de/index.php?id=4779" TargetMode="External"/><Relationship Id="rId63" Type="http://schemas.openxmlformats.org/officeDocument/2006/relationships/hyperlink" Target="https://www.deutscher-pensionsfonds.com/-/media/project/zwp/deutscher-pensionsfonds/docs/dpag-teilungsordnung-pensionsfonds-3-63_2021_11.pdf" TargetMode="External"/><Relationship Id="rId68" Type="http://schemas.openxmlformats.org/officeDocument/2006/relationships/printerSettings" Target="../printerSettings/printerSettings1.bin"/><Relationship Id="rId7" Type="http://schemas.openxmlformats.org/officeDocument/2006/relationships/hyperlink" Target="https://www.pb-versicherung.de/documents/Teilungsordnung%20PB%20Lebensversicherung%20Ja-1.pdf" TargetMode="External"/><Relationship Id="rId2" Type="http://schemas.openxmlformats.org/officeDocument/2006/relationships/hyperlink" Target="https://www.union-investment.de/Magnolia/Shared/Broschueren/a2f040e1f7e49c74c587b3f78cdd0856.0.0/Teilungsordnung_Januar_2021.pdf" TargetMode="External"/><Relationship Id="rId16" Type="http://schemas.openxmlformats.org/officeDocument/2006/relationships/hyperlink" Target="https://druckstuecke.volkswohl-bund.de/api/products/411/documents/Teilungsordnung_Direktversicherung_und_private_Altersversorgung_.pdf" TargetMode="External"/><Relationship Id="rId29" Type="http://schemas.openxmlformats.org/officeDocument/2006/relationships/hyperlink" Target="https://docplayer.org/6838556-Richtlinie-zum-versorgungsausgleich-gemaess-58a-abs-1-vaps-richtl-versausgl-der-versorgungsanstalt-der-deutschen-bundespost.html" TargetMode="External"/><Relationship Id="rId1" Type="http://schemas.openxmlformats.org/officeDocument/2006/relationships/hyperlink" Target="https://hpv-versorgungsausgleich.de/fileadmin/nd_hpv-versorgungsausgleich/download/gd/avb_f.pdf" TargetMode="External"/><Relationship Id="rId6" Type="http://schemas.openxmlformats.org/officeDocument/2006/relationships/hyperlink" Target="https://www.provinzial.de/export/sites/pvn/_resources/download/privat_vorsorge/teilungsordnung/Teilungsordnung_Nord.pdf" TargetMode="External"/><Relationship Id="rId11" Type="http://schemas.openxmlformats.org/officeDocument/2006/relationships/hyperlink" Target="file:///C:\Hau&#223;\AppData\Roaming\Hau%25C3%259F\Downloads\Satzung%202017.pdf" TargetMode="External"/><Relationship Id="rId24" Type="http://schemas.openxmlformats.org/officeDocument/2006/relationships/hyperlink" Target="https://docplayer.org/7825648-Ordnung-fuer-die-teilung-von-lebensversicherungen-aufgrund-des-gesetzes-ueber-den-versorgungsausgleich-teilungsordnung-in-der-fassung-vom-01-09.html" TargetMode="External"/><Relationship Id="rId32" Type="http://schemas.openxmlformats.org/officeDocument/2006/relationships/hyperlink" Target="https://www.neueleben.de/static/files/Service/Teilungsordnung_nl_20180801.pdf" TargetMode="External"/><Relationship Id="rId37" Type="http://schemas.openxmlformats.org/officeDocument/2006/relationships/hyperlink" Target="https://www.juris.de/r3/document/KORE231412019/format/xsl/part/L/anchor/rd_31?oi=W57bES679k&amp;sourceP=%7B%22source%22%3A%22SameDoc%22%7D" TargetMode="External"/><Relationship Id="rId40" Type="http://schemas.openxmlformats.org/officeDocument/2006/relationships/hyperlink" Target="http://www.hpv-versorgungsausgleich.de/index.php?id=4779" TargetMode="External"/><Relationship Id="rId45" Type="http://schemas.openxmlformats.org/officeDocument/2006/relationships/hyperlink" Target="http://www.hpv-versorgungsausgleich.de/index.php?id=4779" TargetMode="External"/><Relationship Id="rId53" Type="http://schemas.openxmlformats.org/officeDocument/2006/relationships/hyperlink" Target="http://www.hpv-versorgungsausgleich.de/index.php?id=4779" TargetMode="External"/><Relationship Id="rId58" Type="http://schemas.openxmlformats.org/officeDocument/2006/relationships/hyperlink" Target="https://www.pb-versicherung.de/documents/Teilungsordnung%20PB%20Lebensversicherung%20Ok.pdf" TargetMode="External"/><Relationship Id="rId66" Type="http://schemas.openxmlformats.org/officeDocument/2006/relationships/hyperlink" Target="https://www.yumpu.com/de/document/read/2556832/seite-1-von-4-teilungsordnung-der-dekabank-fur-" TargetMode="External"/><Relationship Id="rId5" Type="http://schemas.openxmlformats.org/officeDocument/2006/relationships/hyperlink" Target="https://www.lvm.de/cms/061637b8-3f2b-4571-93b4-3d4d4480acb4/081-teilungsordnung-lebensversicherung-rentenversicherung-l272.pdf" TargetMode="External"/><Relationship Id="rId15" Type="http://schemas.openxmlformats.org/officeDocument/2006/relationships/hyperlink" Target="file:///C:\Hau&#223;\AppData\Roaming\Hau&#223;\AppData\Roaming\Microsoft\Versorgungsordnungen\Nestle\Nestl&#233;%20Pensionskasse%20Tarif%20Baustein%20L%20Teilungsordnung001.pdf" TargetMode="External"/><Relationship Id="rId23" Type="http://schemas.openxmlformats.org/officeDocument/2006/relationships/hyperlink" Target="https://docplayer.org/898437-Taetigkeitsplan-fuer-die-teilung-von-lebensversicherungen-auf-grundlage-des-gesetzes-zur-strukturreform-des-versorgungsausgleichs-teilungsordnung.html" TargetMode="External"/><Relationship Id="rId28" Type="http://schemas.openxmlformats.org/officeDocument/2006/relationships/hyperlink" Target="https://docplayer.org/8153720-Hdi-pensionskasse-ag-pbpk-bestandssegment.html" TargetMode="External"/><Relationship Id="rId36" Type="http://schemas.openxmlformats.org/officeDocument/2006/relationships/hyperlink" Target="https://www.juris.de/r3/document/BJNR070010009BJNE001200000/format/xsl/part/S?oi=W57bES679k&amp;sourceP=%7B%22source%22%3A%22Link%22%7D" TargetMode="External"/><Relationship Id="rId49" Type="http://schemas.openxmlformats.org/officeDocument/2006/relationships/hyperlink" Target="http://www.hpv-versorgungsausgleich.de/index.php?id=4779" TargetMode="External"/><Relationship Id="rId57" Type="http://schemas.openxmlformats.org/officeDocument/2006/relationships/hyperlink" Target="file:///C:\Hau&#223;\AppData\Roaming\Hau%25C3%259F\Downloads\leben-u-rente_alle-produkte_angaben-provinzial-teilungsordnung_pr-lebensversicherung.pdf" TargetMode="External"/><Relationship Id="rId61" Type="http://schemas.openxmlformats.org/officeDocument/2006/relationships/hyperlink" Target="https://www.hdi.de/downloads/de/privatkunden/service/Telungsordnung_HLV_2020.pdf" TargetMode="External"/><Relationship Id="rId10" Type="http://schemas.openxmlformats.org/officeDocument/2006/relationships/hyperlink" Target="https://www.neueleben.de/static/files/Service/Teilungsordnung_nl_20180801.pdf" TargetMode="External"/><Relationship Id="rId19" Type="http://schemas.openxmlformats.org/officeDocument/2006/relationships/hyperlink" Target="https://docplayer.org/15092608-Besondere-versicherungsbedingungen-teilungsordnung.html" TargetMode="External"/><Relationship Id="rId31" Type="http://schemas.openxmlformats.org/officeDocument/2006/relationships/hyperlink" Target="https://www.allianz.de/content/dam/onemarketing/azde/azd/teilungsordnung/fvwlz012012.pdf" TargetMode="External"/><Relationship Id="rId44" Type="http://schemas.openxmlformats.org/officeDocument/2006/relationships/hyperlink" Target="http://www.hpv-versorgungsausgleich.de/index.php?id=4779" TargetMode="External"/><Relationship Id="rId52" Type="http://schemas.openxmlformats.org/officeDocument/2006/relationships/hyperlink" Target="http://www.hpv-versorgungsausgleich.de/index.php?id=4779" TargetMode="External"/><Relationship Id="rId60" Type="http://schemas.openxmlformats.org/officeDocument/2006/relationships/hyperlink" Target="file:///C:\Hau&#223;\AppData\Roaming\Hau%25C3%259F\Downloads\Teilungsordnung_HDI-Lebensversicherung_AG.pdf" TargetMode="External"/><Relationship Id="rId65" Type="http://schemas.openxmlformats.org/officeDocument/2006/relationships/hyperlink" Target="https://www.psvag.de/fileadmin/doc/220/rechtliche_grundlagen/teilungsordnung.pdf" TargetMode="External"/><Relationship Id="rId4" Type="http://schemas.openxmlformats.org/officeDocument/2006/relationships/hyperlink" Target="https://www.sparkassenversicherung.de/export/sites/svag/_resources/download_galerien/service/daten/72-337-0617.pdf" TargetMode="External"/><Relationship Id="rId9" Type="http://schemas.openxmlformats.org/officeDocument/2006/relationships/hyperlink" Target="https://www.allianz.de/content/dam/onemarketing/azde/azd/teilungsordnung/krklas122012.pdf" TargetMode="External"/><Relationship Id="rId14" Type="http://schemas.openxmlformats.org/officeDocument/2006/relationships/hyperlink" Target="file:///C:\Hau&#223;\AppData\Roaming\Hau&#223;\AppData\Roaming\Microsoft\Versorgungsordnungen\Nestle\Nestl&#233;%20Pensionskasse%20Tarif%20Vorsorgekonto%20Teilungsordnung001.pdf" TargetMode="External"/><Relationship Id="rId22" Type="http://schemas.openxmlformats.org/officeDocument/2006/relationships/hyperlink" Target="https://docplayer.org/898437-Taetigkeitsplan-fuer-die-teilung-von-lebensversicherungen-auf-grundlage-des-gesetzes-zur-strukturreform-des-versorgungsausgleichs-teilungsordnung.html" TargetMode="External"/><Relationship Id="rId27" Type="http://schemas.openxmlformats.org/officeDocument/2006/relationships/hyperlink" Target="https://docplayer.org/6126612-Ordnung-fuer-die-interne-und-externe-teilung-von-lebensversicherungsvertraegen-aufgrund-des-gesetzes-ueber-den-versorgungsausgleich.html" TargetMode="External"/><Relationship Id="rId30" Type="http://schemas.openxmlformats.org/officeDocument/2006/relationships/hyperlink" Target="https://docplayer.org/42705354-Allianz-lebensversicherungs-ag-vertragsgesellschaft-der-presse-versorgung.html" TargetMode="External"/><Relationship Id="rId35" Type="http://schemas.openxmlformats.org/officeDocument/2006/relationships/hyperlink" Target="https://www.dws.de/de-DE/AssetDownload/Index/?filename=Teilungsordnung%20DWS%20Investment%20GmbH%202022%2006.pdf&amp;assetGuid=52ca4b21-2d03-4c79-9442-da45c9531d53&amp;source=DWS" TargetMode="External"/><Relationship Id="rId43" Type="http://schemas.openxmlformats.org/officeDocument/2006/relationships/hyperlink" Target="http://www.hpv-versorgungsausgleich.de/index.php?id=4779" TargetMode="External"/><Relationship Id="rId48" Type="http://schemas.openxmlformats.org/officeDocument/2006/relationships/hyperlink" Target="http://www.hpv-versorgungsausgleich.de/index.php?id=4779" TargetMode="External"/><Relationship Id="rId56" Type="http://schemas.openxmlformats.org/officeDocument/2006/relationships/hyperlink" Target="http://www.hpv-versorgungsausgleich.de/index.php?id=4779" TargetMode="External"/><Relationship Id="rId64" Type="http://schemas.openxmlformats.org/officeDocument/2006/relationships/hyperlink" Target="https://www.vdva-unterstuetzungskasse.de/rmedia/media/vdva_unterstuetzungskasse/dokumente_3/vdva-teilungsordnung_to-bolz.pdf" TargetMode="External"/><Relationship Id="rId8" Type="http://schemas.openxmlformats.org/officeDocument/2006/relationships/hyperlink" Target="https://silo.tips/download/stand-swiss-life-ag-niederlassung-fr-deutschland-im-folgenden-swiss-life-ag-teil" TargetMode="External"/><Relationship Id="rId51" Type="http://schemas.openxmlformats.org/officeDocument/2006/relationships/hyperlink" Target="http://www.hpv-versorgungsausgleich.de/index.php?id=4779" TargetMode="External"/><Relationship Id="rId3" Type="http://schemas.openxmlformats.org/officeDocument/2006/relationships/hyperlink" Target="https://www.ruv.de/dam/privatkunden/downloads/teilungsordnungen/RVL_AG_TO_20200301.pdf" TargetMode="External"/><Relationship Id="rId12" Type="http://schemas.openxmlformats.org/officeDocument/2006/relationships/hyperlink" Target="file:///C:\Hau&#223;\AppData\Roaming\Hau%25C3%259F\Downloads\Satzung%202017.pdf" TargetMode="External"/><Relationship Id="rId17" Type="http://schemas.openxmlformats.org/officeDocument/2006/relationships/hyperlink" Target="https://docplayer.org/69783120-Ordnung-fuer-die-interne-und-externe-teilung-von-versorgungszusagen-aufgrund-des-versorgungsausgleichsgesetzes-teilungsordnung.html" TargetMode="External"/><Relationship Id="rId25" Type="http://schemas.openxmlformats.org/officeDocument/2006/relationships/hyperlink" Target="https://docplayer.org/30893347-Teilungsordnung-inhaltsverzeichnis-vorwort-1-anwendungsbereich-2-form-des-versorgungsausgleichs-3-bestimmung-des-ausgleichswertes.html" TargetMode="External"/><Relationship Id="rId33" Type="http://schemas.openxmlformats.org/officeDocument/2006/relationships/hyperlink" Target="https://www.psvag.de/fileadmin/doc/220/rechtliche_grundlagen/teilungsordnung.pdf" TargetMode="External"/><Relationship Id="rId38" Type="http://schemas.openxmlformats.org/officeDocument/2006/relationships/hyperlink" Target="https://druckstuecke.volkswohl-bund.de/api/products/412/documents/Teilungsordnung_Unterst%C3%BCtzungskassen_BOLZ_.pdf" TargetMode="External"/><Relationship Id="rId46" Type="http://schemas.openxmlformats.org/officeDocument/2006/relationships/hyperlink" Target="http://www.hpv-versorgungsausgleich.de/index.php?id=4779" TargetMode="External"/><Relationship Id="rId59" Type="http://schemas.openxmlformats.org/officeDocument/2006/relationships/hyperlink" Target="http://www.hpv-versorgungsausgleich.de/index.php?id=4779" TargetMode="External"/><Relationship Id="rId67" Type="http://schemas.openxmlformats.org/officeDocument/2006/relationships/hyperlink" Target="https://www.yumpu.com/de/document/read/2556832/seite-1-von-4-teilungsordnung-der-dekabank-fur-" TargetMode="External"/><Relationship Id="rId20" Type="http://schemas.openxmlformats.org/officeDocument/2006/relationships/hyperlink" Target="https://docplayer.org/23644504-Teilungsordnung-versorgungstraeger-zurich-deutscher-herold-ueberbetriebliche-unterstuetzungskasse-e-v-zdhuk-1-anwendungsbereich.html" TargetMode="External"/><Relationship Id="rId41" Type="http://schemas.openxmlformats.org/officeDocument/2006/relationships/hyperlink" Target="http://www.hpv-versorgungsausgleich.de/index.php?id=4779" TargetMode="External"/><Relationship Id="rId54" Type="http://schemas.openxmlformats.org/officeDocument/2006/relationships/hyperlink" Target="http://www.hpv-versorgungsausgleich.de/index.php?id=4779" TargetMode="External"/><Relationship Id="rId62" Type="http://schemas.openxmlformats.org/officeDocument/2006/relationships/hyperlink" Target="https://flgruppe.de/wp-content/uploads/2021/03/Teilungsordnung_Pro_bAV_Pensionskasse_AG_27.08.2018_.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kaffeerundeva.de/" TargetMode="External"/><Relationship Id="rId3" Type="http://schemas.openxmlformats.org/officeDocument/2006/relationships/hyperlink" Target="mailto:Hauss@Anwaelte-DU.de" TargetMode="External"/><Relationship Id="rId7" Type="http://schemas.openxmlformats.org/officeDocument/2006/relationships/hyperlink" Target="https://joernhauss.my.webex.com/joernhauss.my/j.php?MTID=mdb0e75d1b7d7350618e67f60656df76b" TargetMode="External"/><Relationship Id="rId2" Type="http://schemas.openxmlformats.org/officeDocument/2006/relationships/hyperlink" Target="mailto:Hauss@Anwaelte-DU.de" TargetMode="External"/><Relationship Id="rId1" Type="http://schemas.openxmlformats.org/officeDocument/2006/relationships/hyperlink" Target="mailto:Hauss@Anwaelte-DU.de?subject=Programm%20Kapitalwertkoltrolle" TargetMode="External"/><Relationship Id="rId6" Type="http://schemas.openxmlformats.org/officeDocument/2006/relationships/hyperlink" Target="https://joernhauss.my.webex.com/joernhauss.my/j.php?MTID=mf3ff619ab1a88908c807c53ab1bf5c63" TargetMode="External"/><Relationship Id="rId11" Type="http://schemas.openxmlformats.org/officeDocument/2006/relationships/drawing" Target="../drawings/drawing2.xml"/><Relationship Id="rId5" Type="http://schemas.openxmlformats.org/officeDocument/2006/relationships/hyperlink" Target="mailto:Hauss@Anwaelte-DU.de?subject=Programm%20Kapitalwertkoltrolle%20Anregung,%20Verbesserungsvorschlag%20&amp;%20Fehlermeldung" TargetMode="External"/><Relationship Id="rId10" Type="http://schemas.openxmlformats.org/officeDocument/2006/relationships/printerSettings" Target="../printerSettings/printerSettings5.bin"/><Relationship Id="rId4" Type="http://schemas.openxmlformats.org/officeDocument/2006/relationships/hyperlink" Target="http://www.anwaelte-du.de/" TargetMode="External"/><Relationship Id="rId9" Type="http://schemas.openxmlformats.org/officeDocument/2006/relationships/hyperlink" Target="https://www.kaffeerundeva.de/download/" TargetMode="Externa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7.bin"/><Relationship Id="rId13" Type="http://schemas.openxmlformats.org/officeDocument/2006/relationships/ctrlProp" Target="../ctrlProps/ctrlProp13.xml"/><Relationship Id="rId18" Type="http://schemas.openxmlformats.org/officeDocument/2006/relationships/ctrlProp" Target="../ctrlProps/ctrlProp18.xml"/><Relationship Id="rId3" Type="http://schemas.openxmlformats.org/officeDocument/2006/relationships/hyperlink" Target="mailto:Hauss@anwaelte-DU.de?subject=Kapitalwertkontrolle%20Rentenbewertung" TargetMode="External"/><Relationship Id="rId21" Type="http://schemas.openxmlformats.org/officeDocument/2006/relationships/ctrlProp" Target="../ctrlProps/ctrlProp21.xml"/><Relationship Id="rId7" Type="http://schemas.openxmlformats.org/officeDocument/2006/relationships/hyperlink" Target="https://juris.bundesgerichtshof.de/cgi-bin/rechtsprechung/document.py?Gericht=bgh&amp;Art=en&amp;sid=53c3a989ad9cee0d8b28cc75365b87c0&amp;nr=76197&amp;pos=0&amp;anz=1" TargetMode="Externa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hyperlink" Target="https://www.va-kasse.de/Online-Rechner/" TargetMode="Externa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hyperlink" Target="https://www.anwaelte-du.de/" TargetMode="External"/><Relationship Id="rId6" Type="http://schemas.openxmlformats.org/officeDocument/2006/relationships/hyperlink" Target="https://juris.bundesgerichtshof.de/cgi-bin/rechtsprechung/document.py?Gericht=bgh&amp;Art=en&amp;sid=112808a87d072f9363b1a5b84dc00e67&amp;nr=82918&amp;pos=0&amp;anz=1" TargetMode="Externa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hyperlink" Target="https://juris.bundesgerichtshof.de/cgi-bin/rechtsprechung/document.py?Gericht=bgh&amp;Art=en&amp;sid=71f83d96929445805a9bb9d022abe257&amp;nr=74127&amp;pos=0&amp;anz=1" TargetMode="Externa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vmlDrawing" Target="../drawings/vmlDrawing2.vml"/><Relationship Id="rId19" Type="http://schemas.openxmlformats.org/officeDocument/2006/relationships/ctrlProp" Target="../ctrlProps/ctrlProp19.xml"/><Relationship Id="rId4" Type="http://schemas.openxmlformats.org/officeDocument/2006/relationships/hyperlink" Target="https://www.gesetze-im-internet.de/sgb_6/__187.html" TargetMode="External"/><Relationship Id="rId9" Type="http://schemas.openxmlformats.org/officeDocument/2006/relationships/drawing" Target="../drawings/drawing5.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statis.de/DE/Themen/Wirtschaft/Preise/Verbraucherpreisindex/Publikationen/_publikationen-verbraucherpreisindex.html?nn=206104" TargetMode="External"/></Relationships>
</file>

<file path=xl/worksheets/_rels/sheet2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8" Type="http://schemas.openxmlformats.org/officeDocument/2006/relationships/drawing" Target="../drawings/drawing7.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hyperlink" Target="https://www.gesetze-im-internet.de/versausglg/__18.html" TargetMode="External"/><Relationship Id="rId21" Type="http://schemas.openxmlformats.org/officeDocument/2006/relationships/ctrlProp" Target="../ctrlProps/ctrlProp39.xml"/><Relationship Id="rId7" Type="http://schemas.openxmlformats.org/officeDocument/2006/relationships/printerSettings" Target="../printerSettings/printerSettings12.bin"/><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33" Type="http://schemas.openxmlformats.org/officeDocument/2006/relationships/ctrlProp" Target="../ctrlProps/ctrlProp51.xml"/><Relationship Id="rId2" Type="http://schemas.openxmlformats.org/officeDocument/2006/relationships/hyperlink" Target="mailto:Hauss@Anwaelte-DU.de?subject=Kapitalwertkontrolle%20Blatt%20BVerfG%20Ad&#228;quanzpr&#252;fung" TargetMode="External"/><Relationship Id="rId16" Type="http://schemas.openxmlformats.org/officeDocument/2006/relationships/ctrlProp" Target="../ctrlProps/ctrlProp34.xml"/><Relationship Id="rId20" Type="http://schemas.openxmlformats.org/officeDocument/2006/relationships/ctrlProp" Target="../ctrlProps/ctrlProp38.xml"/><Relationship Id="rId29" Type="http://schemas.openxmlformats.org/officeDocument/2006/relationships/ctrlProp" Target="../ctrlProps/ctrlProp47.xml"/><Relationship Id="rId1" Type="http://schemas.openxmlformats.org/officeDocument/2006/relationships/hyperlink" Target="https://alms.allianz.de/anonym/pages/start.xhtml?esales=VAUKAS" TargetMode="External"/><Relationship Id="rId6" Type="http://schemas.openxmlformats.org/officeDocument/2006/relationships/hyperlink" Target="https://www.bundesverfassungsgericht.de/SharedDocs/Entscheidungen/DE/2020/05/ls20200526_1bvl000518.html" TargetMode="External"/><Relationship Id="rId11" Type="http://schemas.openxmlformats.org/officeDocument/2006/relationships/ctrlProp" Target="../ctrlProps/ctrlProp29.xml"/><Relationship Id="rId24" Type="http://schemas.openxmlformats.org/officeDocument/2006/relationships/ctrlProp" Target="../ctrlProps/ctrlProp42.xml"/><Relationship Id="rId32" Type="http://schemas.openxmlformats.org/officeDocument/2006/relationships/ctrlProp" Target="../ctrlProps/ctrlProp50.xml"/><Relationship Id="rId5" Type="http://schemas.openxmlformats.org/officeDocument/2006/relationships/hyperlink" Target="https://juris.bundesgerichtshof.de/cgi-bin/rechtsprechung/document.py?Gericht=bgh&amp;Art=en&amp;sid=05616f0f60cc93000f0a3aeabac8af89&amp;nr=117991&amp;pos=0&amp;anz=1" TargetMode="External"/><Relationship Id="rId15" Type="http://schemas.openxmlformats.org/officeDocument/2006/relationships/ctrlProp" Target="../ctrlProps/ctrlProp33.xml"/><Relationship Id="rId23" Type="http://schemas.openxmlformats.org/officeDocument/2006/relationships/ctrlProp" Target="../ctrlProps/ctrlProp41.xml"/><Relationship Id="rId28" Type="http://schemas.openxmlformats.org/officeDocument/2006/relationships/ctrlProp" Target="../ctrlProps/ctrlProp46.xml"/><Relationship Id="rId10" Type="http://schemas.openxmlformats.org/officeDocument/2006/relationships/ctrlProp" Target="../ctrlProps/ctrlProp28.xml"/><Relationship Id="rId19" Type="http://schemas.openxmlformats.org/officeDocument/2006/relationships/ctrlProp" Target="../ctrlProps/ctrlProp37.xml"/><Relationship Id="rId31" Type="http://schemas.openxmlformats.org/officeDocument/2006/relationships/ctrlProp" Target="../ctrlProps/ctrlProp49.xml"/><Relationship Id="rId4" Type="http://schemas.openxmlformats.org/officeDocument/2006/relationships/hyperlink" Target="https://www.gesetze-im-internet.de/versausglg/__18.html" TargetMode="External"/><Relationship Id="rId9" Type="http://schemas.openxmlformats.org/officeDocument/2006/relationships/vmlDrawing" Target="../drawings/vmlDrawing4.v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 Id="rId30" Type="http://schemas.openxmlformats.org/officeDocument/2006/relationships/ctrlProp" Target="../ctrlProps/ctrlProp48.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3.bin"/><Relationship Id="rId1" Type="http://schemas.openxmlformats.org/officeDocument/2006/relationships/hyperlink" Target="mailto:Hauss@Anwaelte-DU.de?subject=Programm%20Kapitalwertkontrolle%20hier:%20Transfergewinne" TargetMode="Externa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drawing" Target="../drawings/drawing10.xml"/><Relationship Id="rId7" Type="http://schemas.openxmlformats.org/officeDocument/2006/relationships/ctrlProp" Target="../ctrlProps/ctrlProp54.xml"/><Relationship Id="rId2" Type="http://schemas.openxmlformats.org/officeDocument/2006/relationships/printerSettings" Target="../printerSettings/printerSettings14.bin"/><Relationship Id="rId1" Type="http://schemas.openxmlformats.org/officeDocument/2006/relationships/hyperlink" Target="mailto:Hauss@Anwaelte-du.de?subject=&#220;bersendung%20einer%20Teilungsordnung" TargetMode="External"/><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vmlDrawing" Target="../drawings/vmlDrawing5.vml"/></Relationships>
</file>

<file path=xl/worksheets/_rels/sheet27.xml.rels><?xml version="1.0" encoding="UTF-8" standalone="yes"?>
<Relationships xmlns="http://schemas.openxmlformats.org/package/2006/relationships"><Relationship Id="rId8" Type="http://schemas.openxmlformats.org/officeDocument/2006/relationships/drawing" Target="../drawings/drawing11.xml"/><Relationship Id="rId13" Type="http://schemas.openxmlformats.org/officeDocument/2006/relationships/ctrlProp" Target="../ctrlProps/ctrlProp59.xml"/><Relationship Id="rId18" Type="http://schemas.openxmlformats.org/officeDocument/2006/relationships/ctrlProp" Target="../ctrlProps/ctrlProp64.xml"/><Relationship Id="rId3" Type="http://schemas.openxmlformats.org/officeDocument/2006/relationships/hyperlink" Target="https://www.gesetze-im-internet.de/sgb_5/__226.html" TargetMode="External"/><Relationship Id="rId21" Type="http://schemas.openxmlformats.org/officeDocument/2006/relationships/ctrlProp" Target="../ctrlProps/ctrlProp67.xml"/><Relationship Id="rId7" Type="http://schemas.openxmlformats.org/officeDocument/2006/relationships/printerSettings" Target="../printerSettings/printerSettings15.bin"/><Relationship Id="rId12" Type="http://schemas.openxmlformats.org/officeDocument/2006/relationships/ctrlProp" Target="../ctrlProps/ctrlProp58.xml"/><Relationship Id="rId17" Type="http://schemas.openxmlformats.org/officeDocument/2006/relationships/ctrlProp" Target="../ctrlProps/ctrlProp63.xml"/><Relationship Id="rId2" Type="http://schemas.openxmlformats.org/officeDocument/2006/relationships/hyperlink" Target="https://www.bundesanzeiger.de/pub/de/amtliche-veroeffentlichung?8" TargetMode="External"/><Relationship Id="rId16" Type="http://schemas.openxmlformats.org/officeDocument/2006/relationships/ctrlProp" Target="../ctrlProps/ctrlProp62.xml"/><Relationship Id="rId20" Type="http://schemas.openxmlformats.org/officeDocument/2006/relationships/ctrlProp" Target="../ctrlProps/ctrlProp66.xml"/><Relationship Id="rId1" Type="http://schemas.openxmlformats.org/officeDocument/2006/relationships/hyperlink" Target="file:///C:\Daten%20J&#246;rn\Plausibilit&#228;tspr&#252;fung\Musterschrifts&#228;tze\Abtretungsvereinbarung%20gem%20&#167;%2021%20VersAusglG.dotx" TargetMode="External"/><Relationship Id="rId6" Type="http://schemas.openxmlformats.org/officeDocument/2006/relationships/hyperlink" Target="https://www.aok.de/fk/tools/weitere-inhalte/beitraege-und-rechengroessen-der-sozialversicherung/alle-zahlen-zum-download/?utm_source=copilot.com" TargetMode="External"/><Relationship Id="rId11" Type="http://schemas.openxmlformats.org/officeDocument/2006/relationships/ctrlProp" Target="../ctrlProps/ctrlProp57.xml"/><Relationship Id="rId5" Type="http://schemas.openxmlformats.org/officeDocument/2006/relationships/hyperlink" Target="https://www.gkv-spitzenverband.de/service/krankenkassenliste/krankenkassen.jsp?pageNo=4" TargetMode="External"/><Relationship Id="rId15" Type="http://schemas.openxmlformats.org/officeDocument/2006/relationships/ctrlProp" Target="../ctrlProps/ctrlProp61.xml"/><Relationship Id="rId10" Type="http://schemas.openxmlformats.org/officeDocument/2006/relationships/ctrlProp" Target="../ctrlProps/ctrlProp56.xml"/><Relationship Id="rId19" Type="http://schemas.openxmlformats.org/officeDocument/2006/relationships/ctrlProp" Target="../ctrlProps/ctrlProp65.xml"/><Relationship Id="rId4" Type="http://schemas.openxmlformats.org/officeDocument/2006/relationships/hyperlink" Target="https://www.gesetze-im-internet.de/sgb_11/__55.html" TargetMode="External"/><Relationship Id="rId9" Type="http://schemas.openxmlformats.org/officeDocument/2006/relationships/vmlDrawing" Target="../drawings/vmlDrawing6.vml"/><Relationship Id="rId14" Type="http://schemas.openxmlformats.org/officeDocument/2006/relationships/ctrlProp" Target="../ctrlProps/ctrlProp60.xml"/><Relationship Id="rId22" Type="http://schemas.openxmlformats.org/officeDocument/2006/relationships/ctrlProp" Target="../ctrlProps/ctrlProp68.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juris.de/r3/document/jzs-FamRB-2024-7-030-302" TargetMode="External"/><Relationship Id="rId1" Type="http://schemas.openxmlformats.org/officeDocument/2006/relationships/hyperlink" Target="https://www.juris.de/perma?d=jzs-FamRB-2024-1-025-37" TargetMode="External"/><Relationship Id="rId4" Type="http://schemas.openxmlformats.org/officeDocument/2006/relationships/drawing" Target="../drawings/drawing12.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hyperlink" Target="mailto:Hauss@Anwaelte-du.de?subject=Kapitalwertkontrolle%202024%20&#167;%2022%20VersAusglG" TargetMode="External"/><Relationship Id="rId5" Type="http://schemas.openxmlformats.org/officeDocument/2006/relationships/ctrlProp" Target="../ctrlProps/ctrlProp70.xml"/><Relationship Id="rId4" Type="http://schemas.openxmlformats.org/officeDocument/2006/relationships/ctrlProp" Target="../ctrlProps/ctrlProp6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bundesbank.de/dynamic/action/de/startseite/suche/747716/allgemeine-suche?query=Abzinsungszinss%C3%A4tze" TargetMode="External"/><Relationship Id="rId1" Type="http://schemas.openxmlformats.org/officeDocument/2006/relationships/hyperlink" Target="http://www.bundesbank.de/Navigation/DE/Statistiken/Geld_und_Kapitalmaerkte/Zinssaetze_und_Renditen/Abzinsungssaetze/Tabellen/tabellen.html" TargetMode="Externa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73.xml"/><Relationship Id="rId3" Type="http://schemas.openxmlformats.org/officeDocument/2006/relationships/printerSettings" Target="../printerSettings/printerSettings17.bin"/><Relationship Id="rId7" Type="http://schemas.openxmlformats.org/officeDocument/2006/relationships/ctrlProp" Target="../ctrlProps/ctrlProp72.xml"/><Relationship Id="rId2" Type="http://schemas.openxmlformats.org/officeDocument/2006/relationships/hyperlink" Target="https://www.anwaelte-du.de/media/files/nedden-boeger-2024.pdf" TargetMode="External"/><Relationship Id="rId1" Type="http://schemas.openxmlformats.org/officeDocument/2006/relationships/hyperlink" Target="https://www.gesetze-im-internet.de/versausglg/__33.html" TargetMode="External"/><Relationship Id="rId6" Type="http://schemas.openxmlformats.org/officeDocument/2006/relationships/ctrlProp" Target="../ctrlProps/ctrlProp71.xml"/><Relationship Id="rId5" Type="http://schemas.openxmlformats.org/officeDocument/2006/relationships/vmlDrawing" Target="../drawings/vmlDrawing8.vml"/><Relationship Id="rId10" Type="http://schemas.openxmlformats.org/officeDocument/2006/relationships/comments" Target="../comments1.xml"/><Relationship Id="rId4" Type="http://schemas.openxmlformats.org/officeDocument/2006/relationships/drawing" Target="../drawings/drawing14.xml"/><Relationship Id="rId9" Type="http://schemas.openxmlformats.org/officeDocument/2006/relationships/ctrlProp" Target="../ctrlProps/ctrlProp74.xml"/></Relationships>
</file>

<file path=xl/worksheets/_rels/sheet32.xml.rels><?xml version="1.0" encoding="UTF-8" standalone="yes"?>
<Relationships xmlns="http://schemas.openxmlformats.org/package/2006/relationships"><Relationship Id="rId8" Type="http://schemas.openxmlformats.org/officeDocument/2006/relationships/hyperlink" Target="https://www.gesetze-im-internet.de/sgb_6/__97a.html" TargetMode="External"/><Relationship Id="rId13" Type="http://schemas.openxmlformats.org/officeDocument/2006/relationships/ctrlProp" Target="../ctrlProps/ctrlProp76.xml"/><Relationship Id="rId3" Type="http://schemas.openxmlformats.org/officeDocument/2006/relationships/hyperlink" Target="https://www.juris.de/perma?d=KORE273832022" TargetMode="External"/><Relationship Id="rId7" Type="http://schemas.openxmlformats.org/officeDocument/2006/relationships/hyperlink" Target="https://www.gesetze-im-internet.de/sgb_6/__97a.html" TargetMode="External"/><Relationship Id="rId12" Type="http://schemas.openxmlformats.org/officeDocument/2006/relationships/ctrlProp" Target="../ctrlProps/ctrlProp75.xml"/><Relationship Id="rId2" Type="http://schemas.openxmlformats.org/officeDocument/2006/relationships/hyperlink" Target="https://www.gesetze-im-internet.de/sgb_6/__97a.html" TargetMode="External"/><Relationship Id="rId1" Type="http://schemas.openxmlformats.org/officeDocument/2006/relationships/hyperlink" Target="https://www.gesetze-im-internet.de/sgb_6/__235.html" TargetMode="External"/><Relationship Id="rId6" Type="http://schemas.openxmlformats.org/officeDocument/2006/relationships/hyperlink" Target="https://www.gesetze-im-internet.de/sgb_6/__97a.html" TargetMode="External"/><Relationship Id="rId11" Type="http://schemas.openxmlformats.org/officeDocument/2006/relationships/vmlDrawing" Target="../drawings/vmlDrawing9.vml"/><Relationship Id="rId5" Type="http://schemas.openxmlformats.org/officeDocument/2006/relationships/hyperlink" Target="https://www.gesetze-im-internet.de/sgb_6/__97a.html" TargetMode="External"/><Relationship Id="rId15" Type="http://schemas.openxmlformats.org/officeDocument/2006/relationships/ctrlProp" Target="../ctrlProps/ctrlProp78.xml"/><Relationship Id="rId10" Type="http://schemas.openxmlformats.org/officeDocument/2006/relationships/drawing" Target="../drawings/drawing15.xml"/><Relationship Id="rId4" Type="http://schemas.openxmlformats.org/officeDocument/2006/relationships/hyperlink" Target="https://www.gesetze-im-internet.de/sgb_6/__97a.html" TargetMode="External"/><Relationship Id="rId9" Type="http://schemas.openxmlformats.org/officeDocument/2006/relationships/printerSettings" Target="../printerSettings/printerSettings18.bin"/><Relationship Id="rId14" Type="http://schemas.openxmlformats.org/officeDocument/2006/relationships/ctrlProp" Target="../ctrlProps/ctrlProp77.xml"/></Relationships>
</file>

<file path=xl/worksheets/_rels/sheet35.xml.rels><?xml version="1.0" encoding="UTF-8" standalone="yes"?>
<Relationships xmlns="http://schemas.openxmlformats.org/package/2006/relationships"><Relationship Id="rId8" Type="http://schemas.openxmlformats.org/officeDocument/2006/relationships/hyperlink" Target="https://www.gesetze-im-internet.de/famfg/__225.html" TargetMode="External"/><Relationship Id="rId13" Type="http://schemas.openxmlformats.org/officeDocument/2006/relationships/vmlDrawing" Target="../drawings/vmlDrawing10.vml"/><Relationship Id="rId3" Type="http://schemas.openxmlformats.org/officeDocument/2006/relationships/hyperlink" Target="https://www.gesetze-im-internet.de/sgb_6/__76g.html" TargetMode="External"/><Relationship Id="rId7" Type="http://schemas.openxmlformats.org/officeDocument/2006/relationships/hyperlink" Target="https://www.gesetze-im-internet.de/bbg_2009/__51.html" TargetMode="External"/><Relationship Id="rId12" Type="http://schemas.openxmlformats.org/officeDocument/2006/relationships/drawing" Target="../drawings/drawing16.xml"/><Relationship Id="rId2" Type="http://schemas.openxmlformats.org/officeDocument/2006/relationships/hyperlink" Target="https://www.gesetze-im-internet.de/sgb_6/__235.html" TargetMode="External"/><Relationship Id="rId16" Type="http://schemas.openxmlformats.org/officeDocument/2006/relationships/ctrlProp" Target="../ctrlProps/ctrlProp81.xml"/><Relationship Id="rId1" Type="http://schemas.openxmlformats.org/officeDocument/2006/relationships/hyperlink" Target="https://www.gesetze-im-internet.de/beamtvg/__14.html" TargetMode="External"/><Relationship Id="rId6" Type="http://schemas.openxmlformats.org/officeDocument/2006/relationships/hyperlink" Target="https://www.gesetze-im-internet.de/beamtvg/__14.html" TargetMode="External"/><Relationship Id="rId11" Type="http://schemas.openxmlformats.org/officeDocument/2006/relationships/printerSettings" Target="../printerSettings/printerSettings19.bin"/><Relationship Id="rId5" Type="http://schemas.openxmlformats.org/officeDocument/2006/relationships/hyperlink" Target="https://www.gesetze-im-internet.de/sgb_6/__56.html" TargetMode="External"/><Relationship Id="rId15" Type="http://schemas.openxmlformats.org/officeDocument/2006/relationships/ctrlProp" Target="../ctrlProps/ctrlProp80.xml"/><Relationship Id="rId10" Type="http://schemas.openxmlformats.org/officeDocument/2006/relationships/hyperlink" Target="https://www.gesetze-im-internet.de/versausglg/__51.html" TargetMode="External"/><Relationship Id="rId4" Type="http://schemas.openxmlformats.org/officeDocument/2006/relationships/hyperlink" Target="https://www.gesetze-im-internet.de/sgb_6/__56.html" TargetMode="External"/><Relationship Id="rId9" Type="http://schemas.openxmlformats.org/officeDocument/2006/relationships/hyperlink" Target="https://www.gesetze-im-internet.de/famfg/__225.html" TargetMode="External"/><Relationship Id="rId14" Type="http://schemas.openxmlformats.org/officeDocument/2006/relationships/ctrlProp" Target="../ctrlProps/ctrlProp79.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84.xml"/><Relationship Id="rId3" Type="http://schemas.openxmlformats.org/officeDocument/2006/relationships/printerSettings" Target="../printerSettings/printerSettings20.bin"/><Relationship Id="rId7" Type="http://schemas.openxmlformats.org/officeDocument/2006/relationships/ctrlProp" Target="../ctrlProps/ctrlProp83.xml"/><Relationship Id="rId2" Type="http://schemas.openxmlformats.org/officeDocument/2006/relationships/hyperlink" Target="https://juris.bundesgerichtshof.de/cgi-bin/rechtsprechung/document.py?Gericht=bgh&amp;Art=en&amp;sid=d61a551998c0128c37e6ae16c0f2a616&amp;nr=57802&amp;pos=0&amp;anz=1" TargetMode="External"/><Relationship Id="rId1" Type="http://schemas.openxmlformats.org/officeDocument/2006/relationships/hyperlink" Target="https://www.gesetze-im-internet.de/sgb_6/__76.html" TargetMode="External"/><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vmlDrawing" Target="../drawings/vmlDrawing11.vml"/><Relationship Id="rId10" Type="http://schemas.openxmlformats.org/officeDocument/2006/relationships/ctrlProp" Target="../ctrlProps/ctrlProp86.xml"/><Relationship Id="rId4" Type="http://schemas.openxmlformats.org/officeDocument/2006/relationships/drawing" Target="../drawings/drawing17.xml"/><Relationship Id="rId9" Type="http://schemas.openxmlformats.org/officeDocument/2006/relationships/ctrlProp" Target="../ctrlProps/ctrlProp85.xml"/></Relationships>
</file>

<file path=xl/worksheets/_rels/sheet37.xml.rels><?xml version="1.0" encoding="UTF-8" standalone="yes"?>
<Relationships xmlns="http://schemas.openxmlformats.org/package/2006/relationships"><Relationship Id="rId3" Type="http://schemas.openxmlformats.org/officeDocument/2006/relationships/hyperlink" Target="https://www.gesetze-im-internet.de/sgb_6/anlage_1.html" TargetMode="External"/><Relationship Id="rId2" Type="http://schemas.openxmlformats.org/officeDocument/2006/relationships/hyperlink" Target="https://www.gesetze-im-internet.de/sgb_6/__159.html" TargetMode="External"/><Relationship Id="rId1" Type="http://schemas.openxmlformats.org/officeDocument/2006/relationships/hyperlink" Target="https://rvrecht.deutsche-rentenversicherung.de/SiteGlobals/Forms/Suche/DokumentSuche/dokumentSuche_Formular.html?nn=1506092&amp;pathNonRecursive=%2FLitInternet%2FSharedDocs%2FrvRecht+%2FLitInternet%2FSharedDocs%2FrvRecht_Ergaenzungen" TargetMode="External"/><Relationship Id="rId5" Type="http://schemas.openxmlformats.org/officeDocument/2006/relationships/drawing" Target="../drawings/drawing18.xml"/><Relationship Id="rId4"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8" Type="http://schemas.openxmlformats.org/officeDocument/2006/relationships/hyperlink" Target="https://www.destatis.de/DE/Themen/Gesellschaft-Umwelt/Bevoelkerung/Sterbefaelle-Lebenserwartung/Publikationen/Downloads-Sterbefaelle/periodensterbetafeln-bundeslaender-5126204207004.pdf?__blob=publicationFile" TargetMode="External"/><Relationship Id="rId13" Type="http://schemas.openxmlformats.org/officeDocument/2006/relationships/hyperlink" Target="https://de.wikipedia.org/wiki/H%C3%B6chstrechnungszins" TargetMode="External"/><Relationship Id="rId18" Type="http://schemas.openxmlformats.org/officeDocument/2006/relationships/hyperlink" Target="https://www.missoc.org/missoc-information/missoc-vergleichende-tabellen-datenbank/?lang=de" TargetMode="External"/><Relationship Id="rId26" Type="http://schemas.openxmlformats.org/officeDocument/2006/relationships/ctrlProp" Target="../ctrlProps/ctrlProp89.xml"/><Relationship Id="rId3" Type="http://schemas.openxmlformats.org/officeDocument/2006/relationships/hyperlink" Target="https://www.gesetze-im-internet.de/sgb_6/__315.html" TargetMode="External"/><Relationship Id="rId21" Type="http://schemas.openxmlformats.org/officeDocument/2006/relationships/hyperlink" Target="https://www.boerse-frankfurt.de/zertifikate/historische-daten/historische-quotes" TargetMode="External"/><Relationship Id="rId7"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 Id="rId12" Type="http://schemas.openxmlformats.org/officeDocument/2006/relationships/hyperlink" Target="https://rvrecht.deutsche-rentenversicherung.de/SiteGlobals/Forms/Suche/DokumentSuche/dokumentSuche_Formular.html?nn=1506092&amp;pathNonRecursive=%2FLitInternet%2FSharedDocs%2FrvRecht+%2FLitInternet%2FSharedDocs%2FrvRecht_Ergaenzungen" TargetMode="External"/><Relationship Id="rId17" Type="http://schemas.openxmlformats.org/officeDocument/2006/relationships/hyperlink" Target="https://www.gesetze-im-internet.de/sgb_6/__101.html" TargetMode="External"/><Relationship Id="rId25" Type="http://schemas.openxmlformats.org/officeDocument/2006/relationships/ctrlProp" Target="../ctrlProps/ctrlProp88.xml"/><Relationship Id="rId33" Type="http://schemas.openxmlformats.org/officeDocument/2006/relationships/ctrlProp" Target="../ctrlProps/ctrlProp96.xml"/><Relationship Id="rId2" Type="http://schemas.openxmlformats.org/officeDocument/2006/relationships/hyperlink" Target="https://www.gesetze-im-internet.de/sgb_5/__241.html" TargetMode="External"/><Relationship Id="rId16" Type="http://schemas.openxmlformats.org/officeDocument/2006/relationships/hyperlink" Target="https://www.gesetze-im-internet.de/sgb_6/__76.html" TargetMode="External"/><Relationship Id="rId20" Type="http://schemas.openxmlformats.org/officeDocument/2006/relationships/hyperlink" Target="https://www.gesetze-im-internet.de/sgb_6/index.html" TargetMode="External"/><Relationship Id="rId29" Type="http://schemas.openxmlformats.org/officeDocument/2006/relationships/ctrlProp" Target="../ctrlProps/ctrlProp92.xml"/><Relationship Id="rId1" Type="http://schemas.openxmlformats.org/officeDocument/2006/relationships/hyperlink" Target="https://dip21.bundestag.de/dip21/btd/19/249/1924925.pdf" TargetMode="External"/><Relationship Id="rId6" Type="http://schemas.openxmlformats.org/officeDocument/2006/relationships/hyperlink" Target="https://www.bundesfinanzministerium.de/Content/DE/Downloads/BMF_Schreiben/Steuerarten/Erbschaft_Schenkungsteuerrecht/2021-10-04-bewertung-einer-lebenslaenglichen-nutzung-oder-leistung-stichtage-ab-1-1-2022.pdf?__blob=publicationFile&amp;v=2" TargetMode="External"/><Relationship Id="rId11" Type="http://schemas.openxmlformats.org/officeDocument/2006/relationships/hyperlink" Target="https://www.famrb.de/" TargetMode="External"/><Relationship Id="rId24" Type="http://schemas.openxmlformats.org/officeDocument/2006/relationships/vmlDrawing" Target="../drawings/vmlDrawing12.vml"/><Relationship Id="rId32" Type="http://schemas.openxmlformats.org/officeDocument/2006/relationships/ctrlProp" Target="../ctrlProps/ctrlProp95.xml"/><Relationship Id="rId5" Type="http://schemas.openxmlformats.org/officeDocument/2006/relationships/hyperlink" Target="https://www.otto-schmidt.de/podcast/familienrecht" TargetMode="External"/><Relationship Id="rId15" Type="http://schemas.openxmlformats.org/officeDocument/2006/relationships/hyperlink" Target="https://www.gesetze-im-internet.de/sgb_6/__106.html" TargetMode="External"/><Relationship Id="rId23" Type="http://schemas.openxmlformats.org/officeDocument/2006/relationships/drawing" Target="../drawings/drawing19.xml"/><Relationship Id="rId28" Type="http://schemas.openxmlformats.org/officeDocument/2006/relationships/ctrlProp" Target="../ctrlProps/ctrlProp91.xml"/><Relationship Id="rId10" Type="http://schemas.openxmlformats.org/officeDocument/2006/relationships/hyperlink" Target="https://www.otto-schmidt.de/podcast/familienrecht" TargetMode="External"/><Relationship Id="rId19" Type="http://schemas.openxmlformats.org/officeDocument/2006/relationships/hyperlink" Target="https://www.ahv-iv.ch/Portals/0/adam/AHV-IV/WZuPffYb1UatWSmbYCJcYQ/Document/Monatliche%20Vollrenten,%20Skala%2044%2012.pdf" TargetMode="External"/><Relationship Id="rId31" Type="http://schemas.openxmlformats.org/officeDocument/2006/relationships/ctrlProp" Target="../ctrlProps/ctrlProp94.xml"/><Relationship Id="rId4" Type="http://schemas.openxmlformats.org/officeDocument/2006/relationships/hyperlink" Target="https://alms.allianz.de/anonym/pages/start.xhtml?esales=VAUKAS" TargetMode="External"/><Relationship Id="rId9" Type="http://schemas.openxmlformats.org/officeDocument/2006/relationships/hyperlink" Target="mailto:Hauss@anwaelte-du.de?subject=Versorgungsausgleich" TargetMode="External"/><Relationship Id="rId14" Type="http://schemas.openxmlformats.org/officeDocument/2006/relationships/hyperlink" Target="https://www.destatis.de/DE/Themen/Wirtschaft/Preise/Verbraucherpreisindex/Publikationen/_publikationen-verbraucherpreisindex.html?nn=206104" TargetMode="External"/><Relationship Id="rId22" Type="http://schemas.openxmlformats.org/officeDocument/2006/relationships/printerSettings" Target="../printerSettings/printerSettings22.bin"/><Relationship Id="rId27" Type="http://schemas.openxmlformats.org/officeDocument/2006/relationships/ctrlProp" Target="../ctrlProps/ctrlProp90.xml"/><Relationship Id="rId30" Type="http://schemas.openxmlformats.org/officeDocument/2006/relationships/ctrlProp" Target="../ctrlProps/ctrlProp93.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23.bin"/><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44.xml.rels><?xml version="1.0" encoding="UTF-8" standalone="yes"?>
<Relationships xmlns="http://schemas.openxmlformats.org/package/2006/relationships"><Relationship Id="rId3" Type="http://schemas.openxmlformats.org/officeDocument/2006/relationships/hyperlink" Target="file:///C:\Daten%20J&#246;rn\Plausibilit&#228;tspr&#252;fung\Musterschrifts&#228;tze\VA%20Schriftsatz%20zur%20Veranlassung%20von%20Ma&#223;gabeanordnungen%20bei%20interner%20Teilung.docx" TargetMode="External"/><Relationship Id="rId2" Type="http://schemas.openxmlformats.org/officeDocument/2006/relationships/hyperlink" Target="file:///C:\Daten%20J&#246;rn\Plausibilit&#228;tspr&#252;fung\Musterschrifts&#228;tze\VA%20Einholung%20der%20Zustimmung%20zur%20externen%20Teilung%20beim%20Zielversorgungstr&#228;ger.docx" TargetMode="External"/><Relationship Id="rId1" Type="http://schemas.openxmlformats.org/officeDocument/2006/relationships/hyperlink" Target="file:///C:\Daten%20J&#246;rn\Plausibilit&#228;tspr&#252;fung\Musterschrifts&#228;tze\VA%20Schriftsatz%20zur%20Anforderung%20vollst&#228;ndiger%20Information%20vom%20VT.docx"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 Id="rId1" Type="http://schemas.openxmlformats.org/officeDocument/2006/relationships/hyperlink" Target="https://www.destatis.de/SiteGlobals/Forms/Suche/Expertensuche_Formular.html?resourceId=2402&amp;input_=2408&amp;pageLocale=de&amp;templateQueryString=generationensterbetafeln&amp;submit.x=0&amp;submit.y=0"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34A7B-76C4-433E-AF43-FEB34A7D8107}">
  <sheetPr codeName="Tabelle6">
    <pageSetUpPr fitToPage="1"/>
  </sheetPr>
  <dimension ref="A1:XFA475"/>
  <sheetViews>
    <sheetView topLeftCell="B135" zoomScale="145" zoomScaleNormal="145" workbookViewId="0">
      <selection activeCell="I142" sqref="I142"/>
    </sheetView>
  </sheetViews>
  <sheetFormatPr baseColWidth="10" defaultColWidth="17.125" defaultRowHeight="15"/>
  <cols>
    <col min="1" max="1" width="33.125" style="585" customWidth="1"/>
    <col min="2" max="2" width="5.125" style="585" customWidth="1"/>
    <col min="3" max="3" width="29.875" style="610" customWidth="1"/>
    <col min="4" max="4" width="10.125" style="1117" customWidth="1"/>
    <col min="5" max="5" width="13.625" style="611" customWidth="1"/>
    <col min="6" max="6" width="5.625" style="369" customWidth="1"/>
    <col min="7" max="7" width="34.5" style="609" customWidth="1"/>
    <col min="8" max="8" width="0" hidden="1" customWidth="1"/>
    <col min="9" max="9" width="21" style="609" customWidth="1"/>
    <col min="10" max="10" width="15.625" style="750" hidden="1" customWidth="1"/>
    <col min="11" max="13" width="13.125" style="1113" customWidth="1"/>
    <col min="14" max="14" width="10.625" style="1113" customWidth="1"/>
    <col min="15" max="15" width="64" style="751" customWidth="1"/>
    <col min="16" max="16" width="11.125" style="391" customWidth="1"/>
    <col min="17" max="16384" width="17.125" style="391"/>
  </cols>
  <sheetData>
    <row r="1" spans="1:16381" ht="37.5" customHeight="1">
      <c r="C1" s="2391" t="s">
        <v>1038</v>
      </c>
      <c r="D1" s="2391"/>
      <c r="E1" s="2391"/>
      <c r="F1" s="2391"/>
      <c r="G1" s="2391"/>
      <c r="I1" s="1140"/>
      <c r="J1" s="1140"/>
      <c r="K1" s="1140"/>
      <c r="L1" s="1140"/>
      <c r="M1" s="1140"/>
      <c r="N1" s="1140"/>
      <c r="O1" s="1140"/>
    </row>
    <row r="2" spans="1:16381" ht="66.75" customHeight="1">
      <c r="A2" s="985"/>
      <c r="B2" s="985">
        <f>COUNT(B6:B353)</f>
        <v>341</v>
      </c>
      <c r="C2" s="2389" t="s">
        <v>1531</v>
      </c>
      <c r="D2" s="2390"/>
      <c r="E2" s="2390"/>
      <c r="F2" s="2390"/>
      <c r="G2" s="2390"/>
      <c r="I2" s="1139"/>
      <c r="J2" s="1139"/>
      <c r="K2" s="1368">
        <f>+K5/$B$2</f>
        <v>0.34017595307917886</v>
      </c>
      <c r="L2" s="1368">
        <f>+L5/$B$2</f>
        <v>0.61290322580645162</v>
      </c>
      <c r="M2" s="1368">
        <f>+M5/$B$2</f>
        <v>0.24926686217008798</v>
      </c>
      <c r="N2" s="1368">
        <f>+N5/$B$2</f>
        <v>0.48973607038123168</v>
      </c>
      <c r="O2" s="391" t="s">
        <v>804</v>
      </c>
    </row>
    <row r="3" spans="1:16381" ht="27" hidden="1" customHeight="1">
      <c r="C3" s="610" t="e">
        <f>TEXT(#REF!+F3,0)</f>
        <v>#REF!</v>
      </c>
      <c r="D3" s="1117" t="s">
        <v>750</v>
      </c>
      <c r="E3" s="611" t="s">
        <v>749</v>
      </c>
      <c r="F3" s="369">
        <f>COUNTIF(F7:F346,"Ja")</f>
        <v>113</v>
      </c>
      <c r="J3" s="920"/>
      <c r="K3" s="1113">
        <f>SUM(K6:K446)</f>
        <v>116</v>
      </c>
      <c r="L3" s="1113">
        <f>SUM(L6:L446)/2</f>
        <v>209</v>
      </c>
      <c r="M3" s="1113">
        <f>SUM(M6:M446)/2</f>
        <v>127.5</v>
      </c>
      <c r="N3" s="1113">
        <f>SUM(N6:N446)/4</f>
        <v>167</v>
      </c>
    </row>
    <row r="4" spans="1:16381" s="139" customFormat="1" ht="25.5" customHeight="1">
      <c r="A4" s="850" t="s">
        <v>754</v>
      </c>
      <c r="B4" s="850"/>
      <c r="C4" s="627" t="s">
        <v>642</v>
      </c>
      <c r="D4" s="1918" t="s">
        <v>60</v>
      </c>
      <c r="E4" s="627" t="s">
        <v>643</v>
      </c>
      <c r="F4" s="2393" t="s">
        <v>1151</v>
      </c>
      <c r="G4" s="1137" t="s">
        <v>644</v>
      </c>
      <c r="I4" s="1137" t="s">
        <v>1175</v>
      </c>
      <c r="J4" s="752" t="s">
        <v>647</v>
      </c>
      <c r="K4" s="1114" t="s">
        <v>1044</v>
      </c>
      <c r="L4" s="1114" t="s">
        <v>1045</v>
      </c>
      <c r="M4" s="1114" t="s">
        <v>1046</v>
      </c>
      <c r="N4" s="1114" t="s">
        <v>1047</v>
      </c>
      <c r="O4" s="1138" t="s">
        <v>652</v>
      </c>
      <c r="P4" s="139" t="s">
        <v>1112</v>
      </c>
    </row>
    <row r="5" spans="1:16381" s="585" customFormat="1" ht="25.5">
      <c r="A5" s="850" t="str">
        <f>+C5</f>
        <v>Bitte suchen Sie aus der Liste die Versicherung aus</v>
      </c>
      <c r="B5" s="850"/>
      <c r="C5" s="626" t="s">
        <v>1163</v>
      </c>
      <c r="D5" s="1918"/>
      <c r="E5" s="627"/>
      <c r="F5" s="2394"/>
      <c r="G5" s="628"/>
      <c r="I5" s="628"/>
      <c r="J5" s="752"/>
      <c r="K5" s="1114">
        <f>SUM(K6:K353)</f>
        <v>116</v>
      </c>
      <c r="L5" s="1114">
        <f>SUM(L6:L353)/2</f>
        <v>209</v>
      </c>
      <c r="M5" s="1114">
        <f>SUM(M6:M353)/3</f>
        <v>85</v>
      </c>
      <c r="N5" s="1114">
        <f>SUM(N6:N353)/4</f>
        <v>167</v>
      </c>
      <c r="O5" s="753"/>
      <c r="S5" s="585">
        <f>SUM(S7:S20)</f>
        <v>12</v>
      </c>
    </row>
    <row r="6" spans="1:16381" s="139" customFormat="1" ht="14.1" customHeight="1">
      <c r="A6" s="585" t="str">
        <f t="shared" ref="A6:A79" si="0">C6&amp;IF(D6=0,""," v. "&amp;TEXT(D6,"TT.MM.JJJ"))</f>
        <v>Accenture v. 01.01.2015</v>
      </c>
      <c r="B6" s="585">
        <f>ROW()</f>
        <v>6</v>
      </c>
      <c r="C6" s="610" t="s">
        <v>1169</v>
      </c>
      <c r="D6" s="1117">
        <v>42005</v>
      </c>
      <c r="E6" s="611" t="s">
        <v>195</v>
      </c>
      <c r="F6" s="612" t="str">
        <f t="shared" ref="F6:F27" si="1">IF(K6=1,"Ja","")</f>
        <v/>
      </c>
      <c r="G6" s="609" t="str">
        <f t="shared" ref="G6:G69" si="2">IF(SUM(K6:N6)=0,"","TO ermöglicht: "&amp;IF(K6&gt;0,"Tarifwechel; ","")&amp;IF(L6&gt;0,"doppelten Kostenabzug; ","")&amp;IF(M6&gt;0," Abweichungen vom gerichtl. festgelegten Ausgleichswert; ","")&amp;IF(N6&gt;0," Wertteilhabe (z.B. Verzinsung) zwischen EzE und RK geltend machen",""))</f>
        <v>TO ermöglicht: doppelten Kostenabzug;  Abweichungen vom gerichtl. festgelegten Ausgleichswert;  Wertteilhabe (z.B. Verzinsung) zwischen EzE und RK geltend machen</v>
      </c>
      <c r="I6" s="609"/>
      <c r="J6" s="750"/>
      <c r="K6" s="1115"/>
      <c r="L6" s="1115">
        <v>2</v>
      </c>
      <c r="M6" s="1115">
        <v>3</v>
      </c>
      <c r="N6" s="1115">
        <v>4</v>
      </c>
      <c r="O6" s="751"/>
      <c r="P6" s="139">
        <f t="shared" ref="P6:P18" si="3">SUM(K6:N6)</f>
        <v>9</v>
      </c>
      <c r="S6" s="2392" t="str">
        <f>_xlfn.CONCAT(A6:A427)</f>
        <v>Accenture v. 01.01.2015ACE European Group Limiteted v. 01.09.2009Adler Modemaerkte Versorgungswerk e.V. v. 01.01.2019Airbus v. 02.01.2024allfrisch Unterstuetzungskasse e.V v. 28.12.2017Allianz KBV Harmonisierung BPV v. 07.01.2010Allianz Klinik-Rente v. 01.12.2012Allianz Lebensversicherung AG (Klinik-Rente) v. 01.12.2012Allianz Lebensversicherung AG v. 01.12.2012Allianz Lebensversicherung AG v. 01.12.2018Allianz Lebensversicherung AG v. 01.12.2020Allianz Lebensversicherung AG v. 21.07.2021Allianz Lebensversicherungs AG v. 01.09.2009Allianz Lebensversicherungs-AG v. 01.07.2010Allianz LV v. 01.02.2010Allianz-Pensions-Management e.V. v. 21.12.2009Allianz Pensionskasse v. 01.12.2020Alte Leipziger Lebensversicherung auf Gegenseitigkeit v. 01.04.2010Alz Chemie v. 05.11.2011Ärzteversorgung Hessen (LÄK) v. Datum unbekanntAthora AG Pensionskasse &amp; Lebensversicherung v. 11.09.2019Athora Lebensversicherung AG v. 11.09.2019AXA Leben v. 01.06.2020AXA Leben v. 01.05.2020AXA Leben v. 01.08.2020AXA Überbetriebliche Unterstützungskasse e.V. v. 01.01.2018Baden-Badener Pensionskasse v. 30.11.2009Baloise Lebensversicherung AG Deutschland v. 01.10.2009BASF Pensionskasse VVaG v. 01.07.2019BASF SE v. 01.07.2019Bausparkasse Schwäbisch Hall v. 11.12.2018Bayerischer Rundfunk Tarifvertrag v. 01.12.2009Bayern-Versicherung LV AG v. 12.12.2020Bayern-Versicherung LV AG v. 22.10.2022BKK Mobil Oil v. 01.09.2009BKK VBU 2012 kongruent TO v. 01.11.2012BKK VBU 2012 partiell TO v. 01.11.2012BKK VBU kongruent v. 01.11.2012BKK VBU partiell v. 01.11.2012Bochumer Verband - Arbeitgeberfinanzierte Versorg. v. 01.09.2009Bochumer Verband - Entgeldumwandlung v. 01.09.2009Boehringer Ingelheim KG v. 01.07.2021Boge Elastmetall Unterstützungskasse e.V. v. 01.01.2018Bombardier_TransportationTO v. 01.09.2009BP Europa SE v. 01.09.2009BVV, Banken Versicherungs Verein v. 01.07.2016C &amp; A Services GmbH &amp; Co. OHG v. 01.02.2017Carl Zeiss AG v. 27.10.2016Continental COOP eG Gesamr Versorgungsrichtlinie v. 01.09.2009COOP Schleswig Holstein Rentenzuschusskasse v. 01.01.2019Cosmos Direkt v. 01.01.2010CSM Deutschland GmbH v. 01.07.2021DAG Stiftung Ruhegehaltskasse v. 10.12.2015Daimler Brand &amp; IP Management GmbH &amp; Co.KG v. 01.04.2021Daimler Truck AG v. 01.04.2021Daimler Vorsorge Kapital Teilungsordnung v. 01.04.2021DAK Hamburg  v. 01.01.2022DAK Hamburg  v. 10.07.2013Damovo Deutschland GmbH &amp; Co. KG v. 24.08.2009Debeka Lebensversicherungsverein a.G.  v. 01.08.2020Debeka Lebensversicherungsverein a.G. AltZertG-Verträge v. 01.01.2017Debeka ZVK VaG Tarif ZVD 7 v. 79-2021Decadia GmbH v. 16.09.2016Degussa Pensionskasse Marl Troisdorf v. 01.07.2016Degussa Pensionskasse Riester-Tarif v. 01.06.2016Degussa Pensionskasse v. 01.06.2016Degussa UK Leistungsplan RUK v. 01.07.2018Degussa UK Leistungsplan RUK vor 2018Deka-BonusRenteDeka-Pensions-Plan v. 16.07.2021Deka-ZukunftsPlanDeka-Zukunftsplan und BonusRente v. 01.01.2019Delta Lloyd LebensversicherungDelta Lloyd PensionskasseDeutsche Ärzteversicherung AG v. 01.05.2020Deutsche Bank v. 01.04.2016Deutsche Bank v. 01.07.2021Deutsche Fertighaus Holding UK DFH v. 01.09.2009Deutsche Flugsicherung v. 09.12.2016Deutsche See v. 01.09.2009Deutsche Telekom AG v. 01.07.2022Deutsche Telekom KBV bAV AT v. 19.03.2021Deutsche Telekom TV Kapitalkontenplan v. 01.02.2022Deutsche Welle Tarifvertrag v. 06.12.2009Deutscher Pensionsfonds AG v. 01.01.2013Deutscher Pensionsfonds AG v. 06.12.2020Deutschlandradio Tarifvertrag v. 10.12.2009DFS Deutsche Flugsicherung v. 09.12.2016Diamalt v. 01.07.2021DINEA_Gastronomie_GmbH v. 01.07.2012Diversey GmbH &amp; Co. OHG v. 01.01.2010DKB Deutsche Kredit Bank AGDWS Investment GmbH Basisrentenverträge AltZertG v. 01.11.2018DWS Investment v. 01.06.2022EDEKA Handelsgesellschaft Nordbayern-Sachsen-Thüringen mbH v. 01.09.2009EDEKA Nordbayern-Schsen-Thüringen GmbH v. 01.09.2009EDEKA Rhein-Ruhr R11 R12 v. 01.09.2018EDEKA Süd v. 01.09.2009EDEKA Südwest v. 01.09.2009EDEKA Zentrale Handel und Produktion GmbH v. 01.07.2016Edelweiss GmbH &amp; Co KG (EVO I und II) v. 01.07.2011Edelweiss GmbH &amp; Co KG (EVO) v. 22.12.2012Edelweiss GmbH &amp; Co KG (UVO) v. 01.09.2009EGU Ergo Gruppenunterstützungskasse e.V.  v. 12.01.2011EKN Betriebs AG &amp; Co. oHG: Direktzusagen v. 01.04.2017ERGO Unterstützungskasse v. 01.03.2010ERGO v. 16.01.2020ERGO v. 25.02.2020ERGO Pensionsfonds AG v. 18.08.2021ERGO Lebensversicherung AG v. 12.01.2012Ernest &amp; Young v. 12.04.2010Ernest &amp; Young v. 22.07.2016Essener Verband  v. 10.11.2009Essener Verband Leistungsordnung "A" v. 01.01.2012Esso Deutschland GmbH v. 09.02.2010E.ON AG  v. 20.08.2010Evonik v. 04.12.2009Evonik v. 15.05.2015ExxonMobil Central Europe Holding GmbH v. 09.02.2010ExxonMobil Gas Marketing Deuschland GmbH v. 09.02.2010ExxonMobil Pensions-Verwaltungsgesellschaft mbH v. 09.02.2010ExxonMobil Production Deutschland GmbH v. 09.02.2010EY Ernest &amp; Young GmbH v. 22.07.2016Familienfürsorge UK v. 01.01.2011Feuersozietät Berlin Brandenburg AG v. 01.09.2009FOVERUKA v. 13.12.2016Frankfurt Münchener Lebensversicherung AG v. 15.7.2017?Freies Versorgungswerk e.V. v. 01.02.2012Fresenius v. 01.03.2017GALERIA Logisitik GmbH v. 01.07.2012GALERIA Personalservice GmbH TO v. 01.07.2012Generali Lebensversicherung AG v. 01.12.2009Generali Pensionsfonds AG v. 07.07.2016Generali v. 01.07.2020Generali Lebensversicherungen v. 01.12.2023Generali Unterstützungskasse e.V. v. 01.08.2021Geno Pensionskasse VVaG, Karlsruhe v. 31.12.2020GlaxoSmithKline GmbH &amp; Co KG v. 01.09.2009Gothaer Lebensversicherung AG  v. 19.02.2010Gothaer Pensionskasse AG v. 10.01.2013Gothaer Pensionskasse AG v. 19.02.2010Hamburger Lebensversicherung AGHamburger Pensionskasse v. 01.08.2011Hamburger Pensionskasse v. 29.04.2021Hamburger Pensionsunterstützungskasse e.V. v. 01.01.2018Hamburger Pensionsunterstützungskasse e.V. v. 01.06.2010Hamburger Unterstützungskasse HUK Nr. 1 v. 01.09.2009Hamburger Unterstützungskasse HUK Nr. 2 v. 01.01.2018Hamburger Unterstützungskasse HUK v. 01.06.2015Hamburger Wasserwerke GmbH v. 01.09.2009Hannoversche Lebensversicherung AG v. 01.02.2022HanseMerkur Lebensversicherung AG v. 01.04.2017HDI Lebensversicherung AG v. 02.01.2020HDI Lebensversicherung AG v. 14.01.2013HDI Lebensversicherung AG v. ohne DatumHDI Pensionskasse v. 01.04.2015HDI Pensionskasse v. 14.01.2013Heidelberger Leben v. 01.01.2014Heidelberger Cement AG, Heidelberg v. 23.03.2013Helvetia schweizerische Lebensversicherungs-AG v. 01.04.2019Hewlett Packard GmbH Böblingen v. 18.12.2009Hoechst Pensionskasse v. 01.01.2022Homann Feinkost GmbH v. 01.09.2009HUK-Coburg v. 01.01.2015HypoVereinsbank HVB v. 05.10.2016HypoVereinsbank Unicredit Group v. 05.10.2016IBM v. 01.09.2009IGLO GmbH v. 01.09.2009Imperial Logistics v. 14.02.2022Ineos Phenol v. 25.09.2009InterRisk Lebensversicherungs AG Vienna Insurance Group v. 02.08.2012KfW Bankengruppe zu VO 2000KfW Bankengruppe betrieblichen Zusatzversorgung durch EntgeltumwandlungKKH - Teilungsregeln für den Versorgungsausgleich v. 26.05.2011Kölner Pensionskasse v. 01.01.2016Kordoba TO KAVP TMA FHL v. 14.12.2010LandesBank Berlin v. 22.03.2010Landesbank Berlin v. 17.09.2021Landesbank BW (Kapitalkontenplan 2005) TO  v. 02.05.2015Lebensversicherung von 1871 a.G. München v. 01.09.2009LPV Lebensversicherung AG PBV-Bestandssegment, Bestandssystem Köln v. 01.09.2023LPV Lebensversicherung AG PBV-Bestandssegment v. 01.09.2023Lufthansa Group TO  v. 28.06.2018Lufthansa Group Versorgungskasse Kabine e.V. v. 01.01.2012LVM Lebens- und Rentenversicherungen (privat) v. 01.10.2009LVM Lebensversicherungs-AG v. 01.07.2017LVM Pensionsfonds v. 01.09.2009LVM Pensionsplan V v. 01.01.2010LVM Unterstützungskasse v. 01.03.2010LVM Unterstützungskasse v. 01.09.2009LVM Versicherung (Direktversicherung) v. 01.10.2009LVM Versicherung v. 01.07.2017MAN (KBV BAV MEV) v. 01.09.2009MAN (KBV BAV MEV) v. 04.04.2011MAN (KBV BAV MEV) v. 15.03.2011Marktkauf Gruppen-Unterstützungskasse e.V. v. 01.01.2018Mecklenburgische LV AG v. 01.06.2013MEDA Pharma GmbH v. 02.11.2009Mercedes Benz AG v. 01.04.2021Metall-Rente v. 01.09.2009METRO Cash Carry_Deutschland v. 01.07.2012METRO_AG_ASKO v. 01.09.2009METRO_AG_EPP_FPP v. 01.07.2012Mitteldeutscher Rundfunk Tarifvertrag v. 02.12.2009Mobil Oil BKK v. 01.01.2019Münchener Rückversicherungs-Gesellschaft AG  v. 01.10.2021Nestlé PK Tarif Baustein L v. 22.09.2010Nestlé PK Tarif Vorsorgekonto v. 21.09.2010Netto Direktzusagen v. 05.01.2019Netto_Direktzusagen v. 01.05.2019Neue Bayerische Beamten Lebensversicherung AG v. 01.01.2013Neue Leben v. 01.08.2018Neue Leben v. 07.10.2012Norddeutscher Rundfunk Tarifvertrag v. 07.12.2009Nordostdeutsche Energiewirtschaft Unterstützungskasse v. 30.03.2020Nordsee GmbH v. 01.09.2009Nürnberger Lebensversicherung AG v. 01.01.2022Nürnberger Pensionskasse AG v. 01.01.2022Nürnberger Pensionskasse AG v. 01.05.2010Nürnberger überbetriebliche Versorgungskasse e.V. v. 01.01.2022Nürnberger überbetriebliche Versorgungskasse e.V. v. 06.12.2018Nürnberger überbetriebliche Versorgungskasse e.V. v. 18.12.2009ÖBAV Unterstützungskasse e.V.  v. 01.05.2018Opel Direktversicherung Hannoversche v. 01.01.2010Opel GmbH v. 16.08.2018Osram v. 30.04.2012PB Lebensversicherung AG v. 01.01.2017PB Lebensversicherung AG v. 01.03.2010PB Lebensversicherung AG v. 01.10.2019PB Lebensversicherung v. 01.03.2010PB Pensionsfonds AG v. 01.01.2010PB Pensionsfonds v. 01.04.2015Pensionskasse der Deutschen Wirtschaft v. 29.09.2016Pensionskasse des SchornsteinfegerhandwerksPensionsSicherungsVerein PSV v. 03.05.2017Philip Morris GmbH v. 30.10.1919Presse-Versorgung (Allianz) v. 01.12.2012Pro bAV Pensionskasse AG v. 27.08.2018probAV v. 06.08.2018Provinzial Düsseldorf v. 20.04.2021Provinzial Lebensversicherungen v. 03.05.2010Provinzial LV Hannover v. 01.05.2016Provinzial LV v. 01.01.2017Provinzial NordWest LV v. 01.01.2017Provinzial v. 01.01.2022Proxalto Lebensversicherung v. 01.07.2022Proxalto Lebensversicherung v. 05.04.2019PSVAG (Pensions Sicherungs Verein) v. 03.05.2017R+V ebensversicherung AGR+V ebensversicherung AG v. 01.03.2020Radio Bremen Tarifvertrag v. 03.12.2009Real Unterstützungskasse v. 01.01.2018real_Group_Holding_GmbH v. 01.07.2012real_SB_Warenhaus_GmbH v. 01.07.2012REWE Unterstützungskasse e.V. v. 01.01.2018REWE Unterstützungskasse e.V. v. 01.01.2018Rheinmetall KBV TO Rheinmetall Plus 1.0 v. 21.11.2022Rheinmetall KBV TO Rheinmetall Plus 2.0 v. 21.11.2022Roche Diagnostics GmbH v. 27.09.2011Rosenheimer Unterstützungskasse v. 01.05.2022Rundfunk Berlin-Brandenburg Tarifvertrag v. 08.12.2009Saarländischer Rundfunk Tarifvertrag v. 04.12.2009Schroff GmbH v. 13.09.2010Secunda Unterstützungskasse für den Mittelstand v. 01.01.2010SelbstHilfe PK Caritas v. 01.01.2014Sera-Zusage v. 01.07.2021Signal Iduna a.G. v. 01.05.2022Signal Iduna AG v. 01.05.2022Signal Iduna Pensionskass AG v. 01.05.2022Signal Iduna v. 01.01.2010Sparkassen Pensionskasse AG v. 01.05.2021Sparkassen Pensionskasse AG v. 11.04.2016Sparkassen-Versicherung private AV v. 01.06.2017Sparkassen-Versicherung private AV v. 01.05.2023Standard Life v. 30.06.2011Stuttgarter Lebensversicherung s.G.Südwestrundfunk Tarifvertrag v. 09.12.2009SutorBank v. 01.05.2022Swiss Life AG v. 01.11.2013Swiss Life AG v. 16.12.2014SwissLife Pensionskasse v. 23.09.2014SwissLife Unterstützungskasse v. 02.11.2010Targo Lebensversicherung AG v. 01.09.2013TestUlmer Spatz v. 01.07.2021UMU-Unterstützungskasse mittelständischer Unternehmen e.V. v. 01.12.2013Unilever v. 01.06.2016Union Investment Privatfonds GmbH v. 01.01.2021Unterstützungskasse der nordostdeutschen Energiewirtschaft e.V. v. 30.03.2020VdVA Unterstützungskasse v. 01.01.2022Vereinigte Postversicherung VVaG  v. 11.07.2022Vereinigte Postversicherung VVaG für Direktversicherungen v. 11.07.2022Versorgungsanstalt der Deutschen Bundespost v. 05.10.2010Versorgungsanstalt der KaminkehrergesellenVersorgungswerk der Wohnungswirtschaft (VDW) v. 01.01.2018Vertreterversorgungswerk der Allianz Beratungs- und Vertreibs AG v. 13.12.2010Victoria LV AG v. 16.01.2020Vodafone v. 01.04.2019VolkswohlBundVorwerk v. 04.07.1905VPV Allgemeine Versicherungs AG  v. 11.07.2022VPV Allgemeine Versicherungs AG für Direktversicherungen v. 11.07.2022VPV Lebensversicherungs AG  v. 11.07.2022VPV Lebensversicherungs AG für Direktversicherungen v. 11.07.2022VRK Lebensversicherung v. 01.01.2015VW  v. 01.12.2017Vorwerk &amp; Co.KG v. 31.08.2012WDR TO  v. 01.03.2022Westdeutscher Rundfunk Tarifvertrag v. 05.12.2009Württembergische Lebensversicherung AG v. 01.07.2020Wüstenrot &amp; Württembergische DC Pensionszusagen durch Gehaltsumwandlung v. ohne DatumWüstenrot &amp; Württembergische Pensionskasse v. ohne DatumWüstenrot &amp; Württembergische Pensionszusage LHB v. ohne DatumWWK v. 01.08.2014ZF Friedrichshafen ZF-Rente v. 02.11.2010ZF-MP Altersversorgung e.V. beitragsorientierte Versorgungezusage v. 01.06.2011Zurich  v. 01.02.2013Zurich Deutsche Herold Unterstützungskasse v. 19.05.2016Zurich Deutscher Herold v. 01.01.2015Zurich Deutscher Herold v. 19.05.2016Zweite real SB Warenhaus GmbH v. 01.07.2012</v>
      </c>
      <c r="T6" s="2392"/>
      <c r="U6" s="2392"/>
      <c r="V6" s="2392"/>
      <c r="W6" s="2392"/>
      <c r="X6" s="2392"/>
      <c r="Y6" s="2392"/>
      <c r="Z6" s="2392"/>
      <c r="AA6" s="2392"/>
      <c r="AB6" s="2392"/>
      <c r="AC6" s="2392"/>
      <c r="AD6" s="2392"/>
      <c r="AE6" s="2392"/>
      <c r="AF6" s="2392"/>
      <c r="AG6" s="2392"/>
      <c r="AH6" s="2392"/>
      <c r="AI6" s="2392"/>
      <c r="AJ6" s="2392"/>
    </row>
    <row r="7" spans="1:16381" s="585" customFormat="1">
      <c r="A7" s="585" t="str">
        <f t="shared" si="0"/>
        <v>ACE European Group Limiteted v. 01.09.2009</v>
      </c>
      <c r="B7" s="585">
        <f>ROW()</f>
        <v>7</v>
      </c>
      <c r="C7" s="610" t="s">
        <v>1339</v>
      </c>
      <c r="D7" s="1117">
        <v>40057</v>
      </c>
      <c r="E7" s="611" t="s">
        <v>1198</v>
      </c>
      <c r="F7" s="612" t="str">
        <f t="shared" si="1"/>
        <v/>
      </c>
      <c r="G7" s="609" t="str">
        <f t="shared" si="2"/>
        <v/>
      </c>
      <c r="I7" s="609"/>
      <c r="J7" s="750"/>
      <c r="K7" s="1115"/>
      <c r="L7" s="1115"/>
      <c r="M7" s="1115"/>
      <c r="N7" s="1115"/>
      <c r="O7" s="751"/>
      <c r="P7" s="139">
        <f t="shared" si="3"/>
        <v>0</v>
      </c>
      <c r="Q7" s="391"/>
      <c r="R7" s="391"/>
      <c r="S7" s="585">
        <f>IFERROR(SEARCH(MID(+Fallerfassung!D27,1,5),S$6),1)</f>
        <v>1</v>
      </c>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391"/>
      <c r="DG7" s="391"/>
      <c r="DH7" s="391"/>
      <c r="DI7" s="391"/>
      <c r="DJ7" s="391"/>
      <c r="DK7" s="391"/>
      <c r="DL7" s="391"/>
      <c r="DM7" s="391"/>
      <c r="DN7" s="391"/>
      <c r="DO7" s="391"/>
      <c r="DP7" s="391"/>
      <c r="DQ7" s="391"/>
      <c r="DR7" s="391"/>
      <c r="DS7" s="391"/>
      <c r="DT7" s="391"/>
      <c r="DU7" s="391"/>
      <c r="DV7" s="391"/>
      <c r="DW7" s="391"/>
      <c r="DX7" s="391"/>
      <c r="DY7" s="391"/>
      <c r="DZ7" s="391"/>
      <c r="EA7" s="391"/>
      <c r="EB7" s="391"/>
      <c r="EC7" s="391"/>
      <c r="ED7" s="391"/>
      <c r="EE7" s="391"/>
      <c r="EF7" s="391"/>
      <c r="EG7" s="391"/>
      <c r="EH7" s="391"/>
      <c r="EI7" s="391"/>
      <c r="EJ7" s="391"/>
      <c r="EK7" s="391"/>
      <c r="EL7" s="391"/>
      <c r="EM7" s="391"/>
      <c r="EN7" s="391"/>
      <c r="EO7" s="391"/>
      <c r="EP7" s="391"/>
      <c r="EQ7" s="391"/>
      <c r="ER7" s="391"/>
      <c r="ES7" s="391"/>
      <c r="ET7" s="391"/>
      <c r="EU7" s="391"/>
      <c r="EV7" s="391"/>
      <c r="EW7" s="391"/>
      <c r="EX7" s="391"/>
      <c r="EY7" s="391"/>
      <c r="EZ7" s="391"/>
      <c r="FA7" s="391"/>
      <c r="FB7" s="391"/>
      <c r="FC7" s="391"/>
      <c r="FD7" s="391"/>
      <c r="FE7" s="391"/>
      <c r="FF7" s="391"/>
      <c r="FG7" s="391"/>
      <c r="FH7" s="391"/>
      <c r="FI7" s="391"/>
      <c r="FJ7" s="391"/>
      <c r="FK7" s="391"/>
      <c r="FL7" s="391"/>
      <c r="FM7" s="391"/>
      <c r="FN7" s="391"/>
      <c r="FO7" s="391"/>
      <c r="FP7" s="391"/>
      <c r="FQ7" s="391"/>
      <c r="FR7" s="391"/>
      <c r="FS7" s="391"/>
      <c r="FT7" s="391"/>
      <c r="FU7" s="391"/>
      <c r="FV7" s="391"/>
      <c r="FW7" s="391"/>
      <c r="FX7" s="391"/>
      <c r="FY7" s="391"/>
      <c r="FZ7" s="391"/>
      <c r="GA7" s="391"/>
      <c r="GB7" s="391"/>
      <c r="GC7" s="391"/>
      <c r="GD7" s="391"/>
      <c r="GE7" s="391"/>
      <c r="GF7" s="391"/>
      <c r="GG7" s="391"/>
      <c r="GH7" s="391"/>
      <c r="GI7" s="391"/>
      <c r="GJ7" s="391"/>
      <c r="GK7" s="391"/>
      <c r="GL7" s="391"/>
      <c r="GM7" s="391"/>
      <c r="GN7" s="391"/>
      <c r="GO7" s="391"/>
      <c r="GP7" s="391"/>
      <c r="GQ7" s="391"/>
      <c r="GR7" s="391"/>
      <c r="GS7" s="391"/>
      <c r="GT7" s="391"/>
      <c r="GU7" s="391"/>
      <c r="GV7" s="391"/>
      <c r="GW7" s="391"/>
      <c r="GX7" s="391"/>
      <c r="GY7" s="391"/>
      <c r="GZ7" s="391"/>
      <c r="HA7" s="391"/>
      <c r="HB7" s="391"/>
      <c r="HC7" s="391"/>
      <c r="HD7" s="391"/>
      <c r="HE7" s="391"/>
      <c r="HF7" s="391"/>
      <c r="HG7" s="391"/>
      <c r="HH7" s="391"/>
      <c r="HI7" s="391"/>
      <c r="HJ7" s="391"/>
      <c r="HK7" s="391"/>
      <c r="HL7" s="391"/>
      <c r="HM7" s="391"/>
      <c r="HN7" s="391"/>
      <c r="HO7" s="391"/>
      <c r="HP7" s="391"/>
      <c r="HQ7" s="391"/>
      <c r="HR7" s="391"/>
      <c r="HS7" s="391"/>
      <c r="HT7" s="391"/>
      <c r="HU7" s="391"/>
      <c r="HV7" s="391"/>
      <c r="HW7" s="391"/>
      <c r="HX7" s="391"/>
      <c r="HY7" s="391"/>
      <c r="HZ7" s="391"/>
      <c r="IA7" s="391"/>
      <c r="IB7" s="391"/>
      <c r="IC7" s="391"/>
      <c r="ID7" s="391"/>
      <c r="IE7" s="391"/>
      <c r="IF7" s="391"/>
      <c r="IG7" s="391"/>
      <c r="IH7" s="391"/>
      <c r="II7" s="391"/>
      <c r="IJ7" s="391"/>
      <c r="IK7" s="391"/>
      <c r="IL7" s="391"/>
      <c r="IM7" s="391"/>
      <c r="IN7" s="391"/>
      <c r="IO7" s="391"/>
      <c r="IP7" s="391"/>
      <c r="IQ7" s="391"/>
      <c r="IR7" s="391"/>
      <c r="IS7" s="391"/>
      <c r="IT7" s="391"/>
      <c r="IU7" s="391"/>
      <c r="IV7" s="391"/>
      <c r="IW7" s="391"/>
      <c r="IX7" s="391"/>
      <c r="IY7" s="391"/>
      <c r="IZ7" s="391"/>
      <c r="JA7" s="391"/>
      <c r="JB7" s="391"/>
      <c r="JC7" s="391"/>
      <c r="JD7" s="391"/>
      <c r="JE7" s="391"/>
      <c r="JF7" s="391"/>
      <c r="JG7" s="391"/>
      <c r="JH7" s="391"/>
      <c r="JI7" s="391"/>
      <c r="JJ7" s="391"/>
      <c r="JK7" s="391"/>
      <c r="JL7" s="391"/>
      <c r="JM7" s="391"/>
      <c r="JN7" s="391"/>
      <c r="JO7" s="391"/>
      <c r="JP7" s="391"/>
      <c r="JQ7" s="391"/>
      <c r="JR7" s="391"/>
      <c r="JS7" s="391"/>
      <c r="JT7" s="391"/>
      <c r="JU7" s="391"/>
      <c r="JV7" s="391"/>
      <c r="JW7" s="391"/>
      <c r="JX7" s="391"/>
      <c r="JY7" s="391"/>
      <c r="JZ7" s="391"/>
      <c r="KA7" s="391"/>
      <c r="KB7" s="391"/>
      <c r="KC7" s="391"/>
      <c r="KD7" s="391"/>
      <c r="KE7" s="391"/>
      <c r="KF7" s="391"/>
      <c r="KG7" s="391"/>
      <c r="KH7" s="391"/>
      <c r="KI7" s="391"/>
      <c r="KJ7" s="391"/>
      <c r="KK7" s="391"/>
      <c r="KL7" s="391"/>
      <c r="KM7" s="391"/>
      <c r="KN7" s="391"/>
      <c r="KO7" s="391"/>
      <c r="KP7" s="391"/>
      <c r="KQ7" s="391"/>
      <c r="KR7" s="391"/>
      <c r="KS7" s="391"/>
      <c r="KT7" s="391"/>
      <c r="KU7" s="391"/>
      <c r="KV7" s="391"/>
      <c r="KW7" s="391"/>
      <c r="KX7" s="391"/>
      <c r="KY7" s="391"/>
      <c r="KZ7" s="391"/>
      <c r="LA7" s="391"/>
      <c r="LB7" s="391"/>
      <c r="LC7" s="391"/>
      <c r="LD7" s="391"/>
      <c r="LE7" s="391"/>
      <c r="LF7" s="391"/>
      <c r="LG7" s="391"/>
      <c r="LH7" s="391"/>
      <c r="LI7" s="391"/>
      <c r="LJ7" s="391"/>
      <c r="LK7" s="391"/>
      <c r="LL7" s="391"/>
      <c r="LM7" s="391"/>
      <c r="LN7" s="391"/>
      <c r="LO7" s="391"/>
      <c r="LP7" s="391"/>
      <c r="LQ7" s="391"/>
      <c r="LR7" s="391"/>
      <c r="LS7" s="391"/>
      <c r="LT7" s="391"/>
      <c r="LU7" s="391"/>
      <c r="LV7" s="391"/>
      <c r="LW7" s="391"/>
      <c r="LX7" s="391"/>
      <c r="LY7" s="391"/>
      <c r="LZ7" s="391"/>
      <c r="MA7" s="391"/>
      <c r="MB7" s="391"/>
      <c r="MC7" s="391"/>
      <c r="MD7" s="391"/>
      <c r="ME7" s="391"/>
      <c r="MF7" s="391"/>
      <c r="MG7" s="391"/>
      <c r="MH7" s="391"/>
      <c r="MI7" s="391"/>
      <c r="MJ7" s="391"/>
      <c r="MK7" s="391"/>
      <c r="ML7" s="391"/>
      <c r="MM7" s="391"/>
      <c r="MN7" s="391"/>
      <c r="MO7" s="391"/>
      <c r="MP7" s="391"/>
      <c r="MQ7" s="391"/>
      <c r="MR7" s="391"/>
      <c r="MS7" s="391"/>
      <c r="MT7" s="391"/>
      <c r="MU7" s="391"/>
      <c r="MV7" s="391"/>
      <c r="MW7" s="391"/>
      <c r="MX7" s="391"/>
      <c r="MY7" s="391"/>
      <c r="MZ7" s="391"/>
      <c r="NA7" s="391"/>
      <c r="NB7" s="391"/>
      <c r="NC7" s="391"/>
      <c r="ND7" s="391"/>
      <c r="NE7" s="391"/>
      <c r="NF7" s="391"/>
      <c r="NG7" s="391"/>
      <c r="NH7" s="391"/>
      <c r="NI7" s="391"/>
      <c r="NJ7" s="391"/>
      <c r="NK7" s="391"/>
      <c r="NL7" s="391"/>
      <c r="NM7" s="391"/>
      <c r="NN7" s="391"/>
      <c r="NO7" s="391"/>
      <c r="NP7" s="391"/>
      <c r="NQ7" s="391"/>
      <c r="NR7" s="391"/>
      <c r="NS7" s="391"/>
      <c r="NT7" s="391"/>
      <c r="NU7" s="391"/>
      <c r="NV7" s="391"/>
      <c r="NW7" s="391"/>
      <c r="NX7" s="391"/>
      <c r="NY7" s="391"/>
      <c r="NZ7" s="391"/>
      <c r="OA7" s="391"/>
      <c r="OB7" s="391"/>
      <c r="OC7" s="391"/>
      <c r="OD7" s="391"/>
      <c r="OE7" s="391"/>
      <c r="OF7" s="391"/>
      <c r="OG7" s="391"/>
      <c r="OH7" s="391"/>
      <c r="OI7" s="391"/>
      <c r="OJ7" s="391"/>
      <c r="OK7" s="391"/>
      <c r="OL7" s="391"/>
      <c r="OM7" s="391"/>
      <c r="ON7" s="391"/>
      <c r="OO7" s="391"/>
      <c r="OP7" s="391"/>
      <c r="OQ7" s="391"/>
      <c r="OR7" s="391"/>
      <c r="OS7" s="391"/>
      <c r="OT7" s="391"/>
      <c r="OU7" s="391"/>
      <c r="OV7" s="391"/>
      <c r="OW7" s="391"/>
      <c r="OX7" s="391"/>
      <c r="OY7" s="391"/>
      <c r="OZ7" s="391"/>
      <c r="PA7" s="391"/>
      <c r="PB7" s="391"/>
      <c r="PC7" s="391"/>
      <c r="PD7" s="391"/>
      <c r="PE7" s="391"/>
      <c r="PF7" s="391"/>
      <c r="PG7" s="391"/>
      <c r="PH7" s="391"/>
      <c r="PI7" s="391"/>
      <c r="PJ7" s="391"/>
      <c r="PK7" s="391"/>
      <c r="PL7" s="391"/>
      <c r="PM7" s="391"/>
      <c r="PN7" s="391"/>
      <c r="PO7" s="391"/>
      <c r="PP7" s="391"/>
      <c r="PQ7" s="391"/>
      <c r="PR7" s="391"/>
      <c r="PS7" s="391"/>
      <c r="PT7" s="391"/>
      <c r="PU7" s="391"/>
      <c r="PV7" s="391"/>
      <c r="PW7" s="391"/>
      <c r="PX7" s="391"/>
      <c r="PY7" s="391"/>
      <c r="PZ7" s="391"/>
      <c r="QA7" s="391"/>
      <c r="QB7" s="391"/>
      <c r="QC7" s="391"/>
      <c r="QD7" s="391"/>
      <c r="QE7" s="391"/>
      <c r="QF7" s="391"/>
      <c r="QG7" s="391"/>
      <c r="QH7" s="391"/>
      <c r="QI7" s="391"/>
      <c r="QJ7" s="391"/>
      <c r="QK7" s="391"/>
      <c r="QL7" s="391"/>
      <c r="QM7" s="391"/>
      <c r="QN7" s="391"/>
      <c r="QO7" s="391"/>
      <c r="QP7" s="391"/>
      <c r="QQ7" s="391"/>
      <c r="QR7" s="391"/>
      <c r="QS7" s="391"/>
      <c r="QT7" s="391"/>
      <c r="QU7" s="391"/>
      <c r="QV7" s="391"/>
      <c r="QW7" s="391"/>
      <c r="QX7" s="391"/>
      <c r="QY7" s="391"/>
      <c r="QZ7" s="391"/>
      <c r="RA7" s="391"/>
      <c r="RB7" s="391"/>
      <c r="RC7" s="391"/>
      <c r="RD7" s="391"/>
      <c r="RE7" s="391"/>
      <c r="RF7" s="391"/>
      <c r="RG7" s="391"/>
      <c r="RH7" s="391"/>
      <c r="RI7" s="391"/>
      <c r="RJ7" s="391"/>
      <c r="RK7" s="391"/>
      <c r="RL7" s="391"/>
      <c r="RM7" s="391"/>
      <c r="RN7" s="391"/>
      <c r="RO7" s="391"/>
      <c r="RP7" s="391"/>
      <c r="RQ7" s="391"/>
      <c r="RR7" s="391"/>
      <c r="RS7" s="391"/>
      <c r="RT7" s="391"/>
      <c r="RU7" s="391"/>
      <c r="RV7" s="391"/>
      <c r="RW7" s="391"/>
      <c r="RX7" s="391"/>
      <c r="RY7" s="391"/>
      <c r="RZ7" s="391"/>
      <c r="SA7" s="391"/>
      <c r="SB7" s="391"/>
      <c r="SC7" s="391"/>
      <c r="SD7" s="391"/>
      <c r="SE7" s="391"/>
      <c r="SF7" s="391"/>
      <c r="SG7" s="391"/>
      <c r="SH7" s="391"/>
      <c r="SI7" s="391"/>
      <c r="SJ7" s="391"/>
      <c r="SK7" s="391"/>
      <c r="SL7" s="391"/>
      <c r="SM7" s="391"/>
      <c r="SN7" s="391"/>
      <c r="SO7" s="391"/>
      <c r="SP7" s="391"/>
      <c r="SQ7" s="391"/>
      <c r="SR7" s="391"/>
      <c r="SS7" s="391"/>
      <c r="ST7" s="391"/>
      <c r="SU7" s="391"/>
      <c r="SV7" s="391"/>
      <c r="SW7" s="391"/>
      <c r="SX7" s="391"/>
      <c r="SY7" s="391"/>
      <c r="SZ7" s="391"/>
      <c r="TA7" s="391"/>
      <c r="TB7" s="391"/>
      <c r="TC7" s="391"/>
      <c r="TD7" s="391"/>
      <c r="TE7" s="391"/>
      <c r="TF7" s="391"/>
      <c r="TG7" s="391"/>
      <c r="TH7" s="391"/>
      <c r="TI7" s="391"/>
      <c r="TJ7" s="391"/>
      <c r="TK7" s="391"/>
      <c r="TL7" s="391"/>
      <c r="TM7" s="391"/>
      <c r="TN7" s="391"/>
      <c r="TO7" s="391"/>
      <c r="TP7" s="391"/>
      <c r="TQ7" s="391"/>
      <c r="TR7" s="391"/>
      <c r="TS7" s="391"/>
      <c r="TT7" s="391"/>
      <c r="TU7" s="391"/>
      <c r="TV7" s="391"/>
      <c r="TW7" s="391"/>
      <c r="TX7" s="391"/>
      <c r="TY7" s="391"/>
      <c r="TZ7" s="391"/>
      <c r="UA7" s="391"/>
      <c r="UB7" s="391"/>
      <c r="UC7" s="391"/>
      <c r="UD7" s="391"/>
      <c r="UE7" s="391"/>
      <c r="UF7" s="391"/>
      <c r="UG7" s="391"/>
      <c r="UH7" s="391"/>
      <c r="UI7" s="391"/>
      <c r="UJ7" s="391"/>
      <c r="UK7" s="391"/>
      <c r="UL7" s="391"/>
      <c r="UM7" s="391"/>
      <c r="UN7" s="391"/>
      <c r="UO7" s="391"/>
      <c r="UP7" s="391"/>
      <c r="UQ7" s="391"/>
      <c r="UR7" s="391"/>
      <c r="US7" s="391"/>
      <c r="UT7" s="391"/>
      <c r="UU7" s="391"/>
      <c r="UV7" s="391"/>
      <c r="UW7" s="391"/>
      <c r="UX7" s="391"/>
      <c r="UY7" s="391"/>
      <c r="UZ7" s="391"/>
      <c r="VA7" s="391"/>
      <c r="VB7" s="391"/>
      <c r="VC7" s="391"/>
      <c r="VD7" s="391"/>
      <c r="VE7" s="391"/>
      <c r="VF7" s="391"/>
      <c r="VG7" s="391"/>
      <c r="VH7" s="391"/>
      <c r="VI7" s="391"/>
      <c r="VJ7" s="391"/>
      <c r="VK7" s="391"/>
      <c r="VL7" s="391"/>
      <c r="VM7" s="391"/>
      <c r="VN7" s="391"/>
      <c r="VO7" s="391"/>
      <c r="VP7" s="391"/>
      <c r="VQ7" s="391"/>
      <c r="VR7" s="391"/>
      <c r="VS7" s="391"/>
      <c r="VT7" s="391"/>
      <c r="VU7" s="391"/>
      <c r="VV7" s="391"/>
      <c r="VW7" s="391"/>
      <c r="VX7" s="391"/>
      <c r="VY7" s="391"/>
      <c r="VZ7" s="391"/>
      <c r="WA7" s="391"/>
      <c r="WB7" s="391"/>
      <c r="WC7" s="391"/>
      <c r="WD7" s="391"/>
      <c r="WE7" s="391"/>
      <c r="WF7" s="391"/>
      <c r="WG7" s="391"/>
      <c r="WH7" s="391"/>
      <c r="WI7" s="391"/>
      <c r="WJ7" s="391"/>
      <c r="WK7" s="391"/>
      <c r="WL7" s="391"/>
      <c r="WM7" s="391"/>
      <c r="WN7" s="391"/>
      <c r="WO7" s="391"/>
      <c r="WP7" s="391"/>
      <c r="WQ7" s="391"/>
      <c r="WR7" s="391"/>
      <c r="WS7" s="391"/>
      <c r="WT7" s="391"/>
      <c r="WU7" s="391"/>
      <c r="WV7" s="391"/>
      <c r="WW7" s="391"/>
      <c r="WX7" s="391"/>
      <c r="WY7" s="391"/>
      <c r="WZ7" s="391"/>
      <c r="XA7" s="391"/>
      <c r="XB7" s="391"/>
      <c r="XC7" s="391"/>
      <c r="XD7" s="391"/>
      <c r="XE7" s="391"/>
      <c r="XF7" s="391"/>
      <c r="XG7" s="391"/>
      <c r="XH7" s="391"/>
      <c r="XI7" s="391"/>
      <c r="XJ7" s="391"/>
      <c r="XK7" s="391"/>
      <c r="XL7" s="391"/>
      <c r="XM7" s="391"/>
      <c r="XN7" s="391"/>
      <c r="XO7" s="391"/>
      <c r="XP7" s="391"/>
      <c r="XQ7" s="391"/>
      <c r="XR7" s="391"/>
      <c r="XS7" s="391"/>
      <c r="XT7" s="391"/>
      <c r="XU7" s="391"/>
      <c r="XV7" s="391"/>
      <c r="XW7" s="391"/>
      <c r="XX7" s="391"/>
      <c r="XY7" s="391"/>
      <c r="XZ7" s="391"/>
      <c r="YA7" s="391"/>
      <c r="YB7" s="391"/>
      <c r="YC7" s="391"/>
      <c r="YD7" s="391"/>
      <c r="YE7" s="391"/>
      <c r="YF7" s="391"/>
      <c r="YG7" s="391"/>
      <c r="YH7" s="391"/>
      <c r="YI7" s="391"/>
      <c r="YJ7" s="391"/>
      <c r="YK7" s="391"/>
      <c r="YL7" s="391"/>
      <c r="YM7" s="391"/>
      <c r="YN7" s="391"/>
      <c r="YO7" s="391"/>
      <c r="YP7" s="391"/>
      <c r="YQ7" s="391"/>
      <c r="YR7" s="391"/>
      <c r="YS7" s="391"/>
      <c r="YT7" s="391"/>
      <c r="YU7" s="391"/>
      <c r="YV7" s="391"/>
      <c r="YW7" s="391"/>
      <c r="YX7" s="391"/>
      <c r="YY7" s="391"/>
      <c r="YZ7" s="391"/>
      <c r="ZA7" s="391"/>
      <c r="ZB7" s="391"/>
      <c r="ZC7" s="391"/>
      <c r="ZD7" s="391"/>
      <c r="ZE7" s="391"/>
      <c r="ZF7" s="391"/>
      <c r="ZG7" s="391"/>
      <c r="ZH7" s="391"/>
      <c r="ZI7" s="391"/>
      <c r="ZJ7" s="391"/>
      <c r="ZK7" s="391"/>
      <c r="ZL7" s="391"/>
      <c r="ZM7" s="391"/>
      <c r="ZN7" s="391"/>
      <c r="ZO7" s="391"/>
      <c r="ZP7" s="391"/>
      <c r="ZQ7" s="391"/>
      <c r="ZR7" s="391"/>
      <c r="ZS7" s="391"/>
      <c r="ZT7" s="391"/>
      <c r="ZU7" s="391"/>
      <c r="ZV7" s="391"/>
      <c r="ZW7" s="391"/>
      <c r="ZX7" s="391"/>
      <c r="ZY7" s="391"/>
      <c r="ZZ7" s="391"/>
      <c r="AAA7" s="391"/>
      <c r="AAB7" s="391"/>
      <c r="AAC7" s="391"/>
      <c r="AAD7" s="391"/>
      <c r="AAE7" s="391"/>
      <c r="AAF7" s="391"/>
      <c r="AAG7" s="391"/>
      <c r="AAH7" s="391"/>
      <c r="AAI7" s="391"/>
      <c r="AAJ7" s="391"/>
      <c r="AAK7" s="391"/>
      <c r="AAL7" s="391"/>
      <c r="AAM7" s="391"/>
      <c r="AAN7" s="391"/>
      <c r="AAO7" s="391"/>
      <c r="AAP7" s="391"/>
      <c r="AAQ7" s="391"/>
      <c r="AAR7" s="391"/>
      <c r="AAS7" s="391"/>
      <c r="AAT7" s="391"/>
      <c r="AAU7" s="391"/>
      <c r="AAV7" s="391"/>
      <c r="AAW7" s="391"/>
      <c r="AAX7" s="391"/>
      <c r="AAY7" s="391"/>
      <c r="AAZ7" s="391"/>
      <c r="ABA7" s="391"/>
      <c r="ABB7" s="391"/>
      <c r="ABC7" s="391"/>
      <c r="ABD7" s="391"/>
      <c r="ABE7" s="391"/>
      <c r="ABF7" s="391"/>
      <c r="ABG7" s="391"/>
      <c r="ABH7" s="391"/>
      <c r="ABI7" s="391"/>
      <c r="ABJ7" s="391"/>
      <c r="ABK7" s="391"/>
      <c r="ABL7" s="391"/>
      <c r="ABM7" s="391"/>
      <c r="ABN7" s="391"/>
      <c r="ABO7" s="391"/>
      <c r="ABP7" s="391"/>
      <c r="ABQ7" s="391"/>
      <c r="ABR7" s="391"/>
      <c r="ABS7" s="391"/>
      <c r="ABT7" s="391"/>
      <c r="ABU7" s="391"/>
      <c r="ABV7" s="391"/>
      <c r="ABW7" s="391"/>
      <c r="ABX7" s="391"/>
      <c r="ABY7" s="391"/>
      <c r="ABZ7" s="391"/>
      <c r="ACA7" s="391"/>
      <c r="ACB7" s="391"/>
      <c r="ACC7" s="391"/>
      <c r="ACD7" s="391"/>
      <c r="ACE7" s="391"/>
      <c r="ACF7" s="391"/>
      <c r="ACG7" s="391"/>
      <c r="ACH7" s="391"/>
      <c r="ACI7" s="391"/>
      <c r="ACJ7" s="391"/>
      <c r="ACK7" s="391"/>
      <c r="ACL7" s="391"/>
      <c r="ACM7" s="391"/>
      <c r="ACN7" s="391"/>
      <c r="ACO7" s="391"/>
      <c r="ACP7" s="391"/>
      <c r="ACQ7" s="391"/>
      <c r="ACR7" s="391"/>
      <c r="ACS7" s="391"/>
      <c r="ACT7" s="391"/>
      <c r="ACU7" s="391"/>
      <c r="ACV7" s="391"/>
      <c r="ACW7" s="391"/>
      <c r="ACX7" s="391"/>
      <c r="ACY7" s="391"/>
      <c r="ACZ7" s="391"/>
      <c r="ADA7" s="391"/>
      <c r="ADB7" s="391"/>
      <c r="ADC7" s="391"/>
      <c r="ADD7" s="391"/>
      <c r="ADE7" s="391"/>
      <c r="ADF7" s="391"/>
      <c r="ADG7" s="391"/>
      <c r="ADH7" s="391"/>
      <c r="ADI7" s="391"/>
      <c r="ADJ7" s="391"/>
      <c r="ADK7" s="391"/>
      <c r="ADL7" s="391"/>
      <c r="ADM7" s="391"/>
      <c r="ADN7" s="391"/>
      <c r="ADO7" s="391"/>
      <c r="ADP7" s="391"/>
      <c r="ADQ7" s="391"/>
      <c r="ADR7" s="391"/>
      <c r="ADS7" s="391"/>
      <c r="ADT7" s="391"/>
      <c r="ADU7" s="391"/>
      <c r="ADV7" s="391"/>
      <c r="ADW7" s="391"/>
      <c r="ADX7" s="391"/>
      <c r="ADY7" s="391"/>
      <c r="ADZ7" s="391"/>
      <c r="AEA7" s="391"/>
      <c r="AEB7" s="391"/>
      <c r="AEC7" s="391"/>
      <c r="AED7" s="391"/>
      <c r="AEE7" s="391"/>
      <c r="AEF7" s="391"/>
      <c r="AEG7" s="391"/>
      <c r="AEH7" s="391"/>
      <c r="AEI7" s="391"/>
      <c r="AEJ7" s="391"/>
      <c r="AEK7" s="391"/>
      <c r="AEL7" s="391"/>
      <c r="AEM7" s="391"/>
      <c r="AEN7" s="391"/>
      <c r="AEO7" s="391"/>
      <c r="AEP7" s="391"/>
      <c r="AEQ7" s="391"/>
      <c r="AER7" s="391"/>
      <c r="AES7" s="391"/>
      <c r="AET7" s="391"/>
      <c r="AEU7" s="391"/>
      <c r="AEV7" s="391"/>
      <c r="AEW7" s="391"/>
      <c r="AEX7" s="391"/>
      <c r="AEY7" s="391"/>
      <c r="AEZ7" s="391"/>
      <c r="AFA7" s="391"/>
      <c r="AFB7" s="391"/>
      <c r="AFC7" s="391"/>
      <c r="AFD7" s="391"/>
      <c r="AFE7" s="391"/>
      <c r="AFF7" s="391"/>
      <c r="AFG7" s="391"/>
      <c r="AFH7" s="391"/>
      <c r="AFI7" s="391"/>
      <c r="AFJ7" s="391"/>
      <c r="AFK7" s="391"/>
      <c r="AFL7" s="391"/>
      <c r="AFM7" s="391"/>
      <c r="AFN7" s="391"/>
      <c r="AFO7" s="391"/>
      <c r="AFP7" s="391"/>
      <c r="AFQ7" s="391"/>
      <c r="AFR7" s="391"/>
      <c r="AFS7" s="391"/>
      <c r="AFT7" s="391"/>
      <c r="AFU7" s="391"/>
      <c r="AFV7" s="391"/>
      <c r="AFW7" s="391"/>
      <c r="AFX7" s="391"/>
      <c r="AFY7" s="391"/>
      <c r="AFZ7" s="391"/>
      <c r="AGA7" s="391"/>
      <c r="AGB7" s="391"/>
      <c r="AGC7" s="391"/>
      <c r="AGD7" s="391"/>
      <c r="AGE7" s="391"/>
      <c r="AGF7" s="391"/>
      <c r="AGG7" s="391"/>
      <c r="AGH7" s="391"/>
      <c r="AGI7" s="391"/>
      <c r="AGJ7" s="391"/>
      <c r="AGK7" s="391"/>
      <c r="AGL7" s="391"/>
      <c r="AGM7" s="391"/>
      <c r="AGN7" s="391"/>
      <c r="AGO7" s="391"/>
      <c r="AGP7" s="391"/>
      <c r="AGQ7" s="391"/>
      <c r="AGR7" s="391"/>
      <c r="AGS7" s="391"/>
      <c r="AGT7" s="391"/>
      <c r="AGU7" s="391"/>
      <c r="AGV7" s="391"/>
      <c r="AGW7" s="391"/>
      <c r="AGX7" s="391"/>
      <c r="AGY7" s="391"/>
      <c r="AGZ7" s="391"/>
      <c r="AHA7" s="391"/>
      <c r="AHB7" s="391"/>
      <c r="AHC7" s="391"/>
      <c r="AHD7" s="391"/>
      <c r="AHE7" s="391"/>
      <c r="AHF7" s="391"/>
      <c r="AHG7" s="391"/>
      <c r="AHH7" s="391"/>
      <c r="AHI7" s="391"/>
      <c r="AHJ7" s="391"/>
      <c r="AHK7" s="391"/>
      <c r="AHL7" s="391"/>
      <c r="AHM7" s="391"/>
      <c r="AHN7" s="391"/>
      <c r="AHO7" s="391"/>
      <c r="AHP7" s="391"/>
      <c r="AHQ7" s="391"/>
      <c r="AHR7" s="391"/>
      <c r="AHS7" s="391"/>
      <c r="AHT7" s="391"/>
      <c r="AHU7" s="391"/>
      <c r="AHV7" s="391"/>
      <c r="AHW7" s="391"/>
      <c r="AHX7" s="391"/>
      <c r="AHY7" s="391"/>
      <c r="AHZ7" s="391"/>
      <c r="AIA7" s="391"/>
      <c r="AIB7" s="391"/>
      <c r="AIC7" s="391"/>
      <c r="AID7" s="391"/>
      <c r="AIE7" s="391"/>
      <c r="AIF7" s="391"/>
      <c r="AIG7" s="391"/>
      <c r="AIH7" s="391"/>
      <c r="AII7" s="391"/>
      <c r="AIJ7" s="391"/>
      <c r="AIK7" s="391"/>
      <c r="AIL7" s="391"/>
      <c r="AIM7" s="391"/>
      <c r="AIN7" s="391"/>
      <c r="AIO7" s="391"/>
      <c r="AIP7" s="391"/>
      <c r="AIQ7" s="391"/>
      <c r="AIR7" s="391"/>
      <c r="AIS7" s="391"/>
      <c r="AIT7" s="391"/>
      <c r="AIU7" s="391"/>
      <c r="AIV7" s="391"/>
      <c r="AIW7" s="391"/>
      <c r="AIX7" s="391"/>
      <c r="AIY7" s="391"/>
      <c r="AIZ7" s="391"/>
      <c r="AJA7" s="391"/>
      <c r="AJB7" s="391"/>
      <c r="AJC7" s="391"/>
      <c r="AJD7" s="391"/>
      <c r="AJE7" s="391"/>
      <c r="AJF7" s="391"/>
      <c r="AJG7" s="391"/>
      <c r="AJH7" s="391"/>
      <c r="AJI7" s="391"/>
      <c r="AJJ7" s="391"/>
      <c r="AJK7" s="391"/>
      <c r="AJL7" s="391"/>
      <c r="AJM7" s="391"/>
      <c r="AJN7" s="391"/>
      <c r="AJO7" s="391"/>
      <c r="AJP7" s="391"/>
      <c r="AJQ7" s="391"/>
      <c r="AJR7" s="391"/>
      <c r="AJS7" s="391"/>
      <c r="AJT7" s="391"/>
      <c r="AJU7" s="391"/>
      <c r="AJV7" s="391"/>
      <c r="AJW7" s="391"/>
      <c r="AJX7" s="391"/>
      <c r="AJY7" s="391"/>
      <c r="AJZ7" s="391"/>
      <c r="AKA7" s="391"/>
      <c r="AKB7" s="391"/>
      <c r="AKC7" s="391"/>
      <c r="AKD7" s="391"/>
      <c r="AKE7" s="391"/>
      <c r="AKF7" s="391"/>
      <c r="AKG7" s="391"/>
      <c r="AKH7" s="391"/>
      <c r="AKI7" s="391"/>
      <c r="AKJ7" s="391"/>
      <c r="AKK7" s="391"/>
      <c r="AKL7" s="391"/>
      <c r="AKM7" s="391"/>
      <c r="AKN7" s="391"/>
      <c r="AKO7" s="391"/>
      <c r="AKP7" s="391"/>
      <c r="AKQ7" s="391"/>
      <c r="AKR7" s="391"/>
      <c r="AKS7" s="391"/>
      <c r="AKT7" s="391"/>
      <c r="AKU7" s="391"/>
      <c r="AKV7" s="391"/>
      <c r="AKW7" s="391"/>
      <c r="AKX7" s="391"/>
      <c r="AKY7" s="391"/>
      <c r="AKZ7" s="391"/>
      <c r="ALA7" s="391"/>
      <c r="ALB7" s="391"/>
      <c r="ALC7" s="391"/>
      <c r="ALD7" s="391"/>
      <c r="ALE7" s="391"/>
      <c r="ALF7" s="391"/>
      <c r="ALG7" s="391"/>
      <c r="ALH7" s="391"/>
      <c r="ALI7" s="391"/>
      <c r="ALJ7" s="391"/>
      <c r="ALK7" s="391"/>
      <c r="ALL7" s="391"/>
      <c r="ALM7" s="391"/>
      <c r="ALN7" s="391"/>
      <c r="ALO7" s="391"/>
      <c r="ALP7" s="391"/>
      <c r="ALQ7" s="391"/>
      <c r="ALR7" s="391"/>
      <c r="ALS7" s="391"/>
      <c r="ALT7" s="391"/>
      <c r="ALU7" s="391"/>
      <c r="ALV7" s="391"/>
      <c r="ALW7" s="391"/>
      <c r="ALX7" s="391"/>
      <c r="ALY7" s="391"/>
      <c r="ALZ7" s="391"/>
      <c r="AMA7" s="391"/>
      <c r="AMB7" s="391"/>
      <c r="AMC7" s="391"/>
      <c r="AMD7" s="391"/>
      <c r="AME7" s="391"/>
      <c r="AMF7" s="391"/>
      <c r="AMG7" s="391"/>
      <c r="AMH7" s="391"/>
      <c r="AMI7" s="391"/>
      <c r="AMJ7" s="391"/>
      <c r="AMK7" s="391"/>
      <c r="AML7" s="391"/>
      <c r="AMM7" s="391"/>
      <c r="AMN7" s="391"/>
      <c r="AMO7" s="391"/>
      <c r="AMP7" s="391"/>
      <c r="AMQ7" s="391"/>
      <c r="AMR7" s="391"/>
      <c r="AMS7" s="391"/>
      <c r="AMT7" s="391"/>
      <c r="AMU7" s="391"/>
      <c r="AMV7" s="391"/>
      <c r="AMW7" s="391"/>
      <c r="AMX7" s="391"/>
      <c r="AMY7" s="391"/>
      <c r="AMZ7" s="391"/>
      <c r="ANA7" s="391"/>
      <c r="ANB7" s="391"/>
      <c r="ANC7" s="391"/>
      <c r="AND7" s="391"/>
      <c r="ANE7" s="391"/>
      <c r="ANF7" s="391"/>
      <c r="ANG7" s="391"/>
      <c r="ANH7" s="391"/>
      <c r="ANI7" s="391"/>
      <c r="ANJ7" s="391"/>
      <c r="ANK7" s="391"/>
      <c r="ANL7" s="391"/>
      <c r="ANM7" s="391"/>
      <c r="ANN7" s="391"/>
      <c r="ANO7" s="391"/>
      <c r="ANP7" s="391"/>
      <c r="ANQ7" s="391"/>
      <c r="ANR7" s="391"/>
      <c r="ANS7" s="391"/>
      <c r="ANT7" s="391"/>
      <c r="ANU7" s="391"/>
      <c r="ANV7" s="391"/>
      <c r="ANW7" s="391"/>
      <c r="ANX7" s="391"/>
      <c r="ANY7" s="391"/>
      <c r="ANZ7" s="391"/>
      <c r="AOA7" s="391"/>
      <c r="AOB7" s="391"/>
      <c r="AOC7" s="391"/>
      <c r="AOD7" s="391"/>
      <c r="AOE7" s="391"/>
      <c r="AOF7" s="391"/>
      <c r="AOG7" s="391"/>
      <c r="AOH7" s="391"/>
      <c r="AOI7" s="391"/>
      <c r="AOJ7" s="391"/>
      <c r="AOK7" s="391"/>
      <c r="AOL7" s="391"/>
      <c r="AOM7" s="391"/>
      <c r="AON7" s="391"/>
      <c r="AOO7" s="391"/>
      <c r="AOP7" s="391"/>
      <c r="AOQ7" s="391"/>
      <c r="AOR7" s="391"/>
      <c r="AOS7" s="391"/>
      <c r="AOT7" s="391"/>
      <c r="AOU7" s="391"/>
      <c r="AOV7" s="391"/>
      <c r="AOW7" s="391"/>
      <c r="AOX7" s="391"/>
      <c r="AOY7" s="391"/>
      <c r="AOZ7" s="391"/>
      <c r="APA7" s="391"/>
      <c r="APB7" s="391"/>
      <c r="APC7" s="391"/>
      <c r="APD7" s="391"/>
      <c r="APE7" s="391"/>
      <c r="APF7" s="391"/>
      <c r="APG7" s="391"/>
      <c r="APH7" s="391"/>
      <c r="API7" s="391"/>
      <c r="APJ7" s="391"/>
      <c r="APK7" s="391"/>
      <c r="APL7" s="391"/>
      <c r="APM7" s="391"/>
      <c r="APN7" s="391"/>
      <c r="APO7" s="391"/>
      <c r="APP7" s="391"/>
      <c r="APQ7" s="391"/>
      <c r="APR7" s="391"/>
      <c r="APS7" s="391"/>
      <c r="APT7" s="391"/>
      <c r="APU7" s="391"/>
      <c r="APV7" s="391"/>
      <c r="APW7" s="391"/>
      <c r="APX7" s="391"/>
      <c r="APY7" s="391"/>
      <c r="APZ7" s="391"/>
      <c r="AQA7" s="391"/>
      <c r="AQB7" s="391"/>
      <c r="AQC7" s="391"/>
      <c r="AQD7" s="391"/>
      <c r="AQE7" s="391"/>
      <c r="AQF7" s="391"/>
      <c r="AQG7" s="391"/>
      <c r="AQH7" s="391"/>
      <c r="AQI7" s="391"/>
      <c r="AQJ7" s="391"/>
      <c r="AQK7" s="391"/>
      <c r="AQL7" s="391"/>
      <c r="AQM7" s="391"/>
      <c r="AQN7" s="391"/>
      <c r="AQO7" s="391"/>
      <c r="AQP7" s="391"/>
      <c r="AQQ7" s="391"/>
      <c r="AQR7" s="391"/>
      <c r="AQS7" s="391"/>
      <c r="AQT7" s="391"/>
      <c r="AQU7" s="391"/>
      <c r="AQV7" s="391"/>
      <c r="AQW7" s="391"/>
      <c r="AQX7" s="391"/>
      <c r="AQY7" s="391"/>
      <c r="AQZ7" s="391"/>
      <c r="ARA7" s="391"/>
      <c r="ARB7" s="391"/>
      <c r="ARC7" s="391"/>
      <c r="ARD7" s="391"/>
      <c r="ARE7" s="391"/>
      <c r="ARF7" s="391"/>
      <c r="ARG7" s="391"/>
      <c r="ARH7" s="391"/>
      <c r="ARI7" s="391"/>
      <c r="ARJ7" s="391"/>
      <c r="ARK7" s="391"/>
      <c r="ARL7" s="391"/>
      <c r="ARM7" s="391"/>
      <c r="ARN7" s="391"/>
      <c r="ARO7" s="391"/>
      <c r="ARP7" s="391"/>
      <c r="ARQ7" s="391"/>
      <c r="ARR7" s="391"/>
      <c r="ARS7" s="391"/>
      <c r="ART7" s="391"/>
      <c r="ARU7" s="391"/>
      <c r="ARV7" s="391"/>
      <c r="ARW7" s="391"/>
      <c r="ARX7" s="391"/>
      <c r="ARY7" s="391"/>
      <c r="ARZ7" s="391"/>
      <c r="ASA7" s="391"/>
      <c r="ASB7" s="391"/>
      <c r="ASC7" s="391"/>
      <c r="ASD7" s="391"/>
      <c r="ASE7" s="391"/>
      <c r="ASF7" s="391"/>
      <c r="ASG7" s="391"/>
      <c r="ASH7" s="391"/>
      <c r="ASI7" s="391"/>
      <c r="ASJ7" s="391"/>
      <c r="ASK7" s="391"/>
      <c r="ASL7" s="391"/>
      <c r="ASM7" s="391"/>
      <c r="ASN7" s="391"/>
      <c r="ASO7" s="391"/>
      <c r="ASP7" s="391"/>
      <c r="ASQ7" s="391"/>
      <c r="ASR7" s="391"/>
      <c r="ASS7" s="391"/>
      <c r="AST7" s="391"/>
      <c r="ASU7" s="391"/>
      <c r="ASV7" s="391"/>
      <c r="ASW7" s="391"/>
      <c r="ASX7" s="391"/>
      <c r="ASY7" s="391"/>
      <c r="ASZ7" s="391"/>
      <c r="ATA7" s="391"/>
      <c r="ATB7" s="391"/>
      <c r="ATC7" s="391"/>
      <c r="ATD7" s="391"/>
      <c r="ATE7" s="391"/>
      <c r="ATF7" s="391"/>
      <c r="ATG7" s="391"/>
      <c r="ATH7" s="391"/>
      <c r="ATI7" s="391"/>
      <c r="ATJ7" s="391"/>
      <c r="ATK7" s="391"/>
      <c r="ATL7" s="391"/>
      <c r="ATM7" s="391"/>
      <c r="ATN7" s="391"/>
      <c r="ATO7" s="391"/>
      <c r="ATP7" s="391"/>
      <c r="ATQ7" s="391"/>
      <c r="ATR7" s="391"/>
      <c r="ATS7" s="391"/>
      <c r="ATT7" s="391"/>
      <c r="ATU7" s="391"/>
      <c r="ATV7" s="391"/>
      <c r="ATW7" s="391"/>
      <c r="ATX7" s="391"/>
      <c r="ATY7" s="391"/>
      <c r="ATZ7" s="391"/>
      <c r="AUA7" s="391"/>
      <c r="AUB7" s="391"/>
      <c r="AUC7" s="391"/>
      <c r="AUD7" s="391"/>
      <c r="AUE7" s="391"/>
      <c r="AUF7" s="391"/>
      <c r="AUG7" s="391"/>
      <c r="AUH7" s="391"/>
      <c r="AUI7" s="391"/>
      <c r="AUJ7" s="391"/>
      <c r="AUK7" s="391"/>
      <c r="AUL7" s="391"/>
      <c r="AUM7" s="391"/>
      <c r="AUN7" s="391"/>
      <c r="AUO7" s="391"/>
      <c r="AUP7" s="391"/>
      <c r="AUQ7" s="391"/>
      <c r="AUR7" s="391"/>
      <c r="AUS7" s="391"/>
      <c r="AUT7" s="391"/>
      <c r="AUU7" s="391"/>
      <c r="AUV7" s="391"/>
      <c r="AUW7" s="391"/>
      <c r="AUX7" s="391"/>
      <c r="AUY7" s="391"/>
      <c r="AUZ7" s="391"/>
      <c r="AVA7" s="391"/>
      <c r="AVB7" s="391"/>
      <c r="AVC7" s="391"/>
      <c r="AVD7" s="391"/>
      <c r="AVE7" s="391"/>
      <c r="AVF7" s="391"/>
      <c r="AVG7" s="391"/>
      <c r="AVH7" s="391"/>
      <c r="AVI7" s="391"/>
      <c r="AVJ7" s="391"/>
      <c r="AVK7" s="391"/>
      <c r="AVL7" s="391"/>
      <c r="AVM7" s="391"/>
      <c r="AVN7" s="391"/>
      <c r="AVO7" s="391"/>
      <c r="AVP7" s="391"/>
      <c r="AVQ7" s="391"/>
      <c r="AVR7" s="391"/>
      <c r="AVS7" s="391"/>
      <c r="AVT7" s="391"/>
      <c r="AVU7" s="391"/>
      <c r="AVV7" s="391"/>
      <c r="AVW7" s="391"/>
      <c r="AVX7" s="391"/>
      <c r="AVY7" s="391"/>
      <c r="AVZ7" s="391"/>
      <c r="AWA7" s="391"/>
      <c r="AWB7" s="391"/>
      <c r="AWC7" s="391"/>
      <c r="AWD7" s="391"/>
      <c r="AWE7" s="391"/>
      <c r="AWF7" s="391"/>
      <c r="AWG7" s="391"/>
      <c r="AWH7" s="391"/>
      <c r="AWI7" s="391"/>
      <c r="AWJ7" s="391"/>
      <c r="AWK7" s="391"/>
      <c r="AWL7" s="391"/>
      <c r="AWM7" s="391"/>
      <c r="AWN7" s="391"/>
      <c r="AWO7" s="391"/>
      <c r="AWP7" s="391"/>
      <c r="AWQ7" s="391"/>
      <c r="AWR7" s="391"/>
      <c r="AWS7" s="391"/>
      <c r="AWT7" s="391"/>
      <c r="AWU7" s="391"/>
      <c r="AWV7" s="391"/>
      <c r="AWW7" s="391"/>
      <c r="AWX7" s="391"/>
      <c r="AWY7" s="391"/>
      <c r="AWZ7" s="391"/>
      <c r="AXA7" s="391"/>
      <c r="AXB7" s="391"/>
      <c r="AXC7" s="391"/>
      <c r="AXD7" s="391"/>
      <c r="AXE7" s="391"/>
      <c r="AXF7" s="391"/>
      <c r="AXG7" s="391"/>
      <c r="AXH7" s="391"/>
      <c r="AXI7" s="391"/>
      <c r="AXJ7" s="391"/>
      <c r="AXK7" s="391"/>
      <c r="AXL7" s="391"/>
      <c r="AXM7" s="391"/>
      <c r="AXN7" s="391"/>
      <c r="AXO7" s="391"/>
      <c r="AXP7" s="391"/>
      <c r="AXQ7" s="391"/>
      <c r="AXR7" s="391"/>
      <c r="AXS7" s="391"/>
      <c r="AXT7" s="391"/>
      <c r="AXU7" s="391"/>
      <c r="AXV7" s="391"/>
      <c r="AXW7" s="391"/>
      <c r="AXX7" s="391"/>
      <c r="AXY7" s="391"/>
      <c r="AXZ7" s="391"/>
      <c r="AYA7" s="391"/>
      <c r="AYB7" s="391"/>
      <c r="AYC7" s="391"/>
      <c r="AYD7" s="391"/>
      <c r="AYE7" s="391"/>
      <c r="AYF7" s="391"/>
      <c r="AYG7" s="391"/>
      <c r="AYH7" s="391"/>
      <c r="AYI7" s="391"/>
      <c r="AYJ7" s="391"/>
      <c r="AYK7" s="391"/>
      <c r="AYL7" s="391"/>
      <c r="AYM7" s="391"/>
      <c r="AYN7" s="391"/>
      <c r="AYO7" s="391"/>
      <c r="AYP7" s="391"/>
      <c r="AYQ7" s="391"/>
      <c r="AYR7" s="391"/>
      <c r="AYS7" s="391"/>
      <c r="AYT7" s="391"/>
      <c r="AYU7" s="391"/>
      <c r="AYV7" s="391"/>
      <c r="AYW7" s="391"/>
      <c r="AYX7" s="391"/>
      <c r="AYY7" s="391"/>
      <c r="AYZ7" s="391"/>
      <c r="AZA7" s="391"/>
      <c r="AZB7" s="391"/>
      <c r="AZC7" s="391"/>
      <c r="AZD7" s="391"/>
      <c r="AZE7" s="391"/>
      <c r="AZF7" s="391"/>
      <c r="AZG7" s="391"/>
      <c r="AZH7" s="391"/>
      <c r="AZI7" s="391"/>
      <c r="AZJ7" s="391"/>
      <c r="AZK7" s="391"/>
      <c r="AZL7" s="391"/>
      <c r="AZM7" s="391"/>
      <c r="AZN7" s="391"/>
      <c r="AZO7" s="391"/>
      <c r="AZP7" s="391"/>
      <c r="AZQ7" s="391"/>
      <c r="AZR7" s="391"/>
      <c r="AZS7" s="391"/>
      <c r="AZT7" s="391"/>
      <c r="AZU7" s="391"/>
      <c r="AZV7" s="391"/>
      <c r="AZW7" s="391"/>
      <c r="AZX7" s="391"/>
      <c r="AZY7" s="391"/>
      <c r="AZZ7" s="391"/>
      <c r="BAA7" s="391"/>
      <c r="BAB7" s="391"/>
      <c r="BAC7" s="391"/>
      <c r="BAD7" s="391"/>
      <c r="BAE7" s="391"/>
      <c r="BAF7" s="391"/>
      <c r="BAG7" s="391"/>
      <c r="BAH7" s="391"/>
      <c r="BAI7" s="391"/>
      <c r="BAJ7" s="391"/>
      <c r="BAK7" s="391"/>
      <c r="BAL7" s="391"/>
      <c r="BAM7" s="391"/>
      <c r="BAN7" s="391"/>
      <c r="BAO7" s="391"/>
      <c r="BAP7" s="391"/>
      <c r="BAQ7" s="391"/>
      <c r="BAR7" s="391"/>
      <c r="BAS7" s="391"/>
      <c r="BAT7" s="391"/>
      <c r="BAU7" s="391"/>
      <c r="BAV7" s="391"/>
      <c r="BAW7" s="391"/>
      <c r="BAX7" s="391"/>
      <c r="BAY7" s="391"/>
      <c r="BAZ7" s="391"/>
      <c r="BBA7" s="391"/>
      <c r="BBB7" s="391"/>
      <c r="BBC7" s="391"/>
      <c r="BBD7" s="391"/>
      <c r="BBE7" s="391"/>
      <c r="BBF7" s="391"/>
      <c r="BBG7" s="391"/>
      <c r="BBH7" s="391"/>
      <c r="BBI7" s="391"/>
      <c r="BBJ7" s="391"/>
      <c r="BBK7" s="391"/>
      <c r="BBL7" s="391"/>
      <c r="BBM7" s="391"/>
      <c r="BBN7" s="391"/>
      <c r="BBO7" s="391"/>
      <c r="BBP7" s="391"/>
      <c r="BBQ7" s="391"/>
      <c r="BBR7" s="391"/>
      <c r="BBS7" s="391"/>
      <c r="BBT7" s="391"/>
      <c r="BBU7" s="391"/>
      <c r="BBV7" s="391"/>
      <c r="BBW7" s="391"/>
      <c r="BBX7" s="391"/>
      <c r="BBY7" s="391"/>
      <c r="BBZ7" s="391"/>
      <c r="BCA7" s="391"/>
      <c r="BCB7" s="391"/>
      <c r="BCC7" s="391"/>
      <c r="BCD7" s="391"/>
      <c r="BCE7" s="391"/>
      <c r="BCF7" s="391"/>
      <c r="BCG7" s="391"/>
      <c r="BCH7" s="391"/>
      <c r="BCI7" s="391"/>
      <c r="BCJ7" s="391"/>
      <c r="BCK7" s="391"/>
      <c r="BCL7" s="391"/>
      <c r="BCM7" s="391"/>
      <c r="BCN7" s="391"/>
      <c r="BCO7" s="391"/>
      <c r="BCP7" s="391"/>
      <c r="BCQ7" s="391"/>
      <c r="BCR7" s="391"/>
      <c r="BCS7" s="391"/>
      <c r="BCT7" s="391"/>
      <c r="BCU7" s="391"/>
      <c r="BCV7" s="391"/>
      <c r="BCW7" s="391"/>
      <c r="BCX7" s="391"/>
      <c r="BCY7" s="391"/>
      <c r="BCZ7" s="391"/>
      <c r="BDA7" s="391"/>
      <c r="BDB7" s="391"/>
      <c r="BDC7" s="391"/>
      <c r="BDD7" s="391"/>
      <c r="BDE7" s="391"/>
      <c r="BDF7" s="391"/>
      <c r="BDG7" s="391"/>
      <c r="BDH7" s="391"/>
      <c r="BDI7" s="391"/>
      <c r="BDJ7" s="391"/>
      <c r="BDK7" s="391"/>
      <c r="BDL7" s="391"/>
      <c r="BDM7" s="391"/>
      <c r="BDN7" s="391"/>
      <c r="BDO7" s="391"/>
      <c r="BDP7" s="391"/>
      <c r="BDQ7" s="391"/>
      <c r="BDR7" s="391"/>
      <c r="BDS7" s="391"/>
      <c r="BDT7" s="391"/>
      <c r="BDU7" s="391"/>
      <c r="BDV7" s="391"/>
      <c r="BDW7" s="391"/>
      <c r="BDX7" s="391"/>
      <c r="BDY7" s="391"/>
      <c r="BDZ7" s="391"/>
      <c r="BEA7" s="391"/>
      <c r="BEB7" s="391"/>
      <c r="BEC7" s="391"/>
      <c r="BED7" s="391"/>
      <c r="BEE7" s="391"/>
      <c r="BEF7" s="391"/>
      <c r="BEG7" s="391"/>
      <c r="BEH7" s="391"/>
      <c r="BEI7" s="391"/>
      <c r="BEJ7" s="391"/>
      <c r="BEK7" s="391"/>
      <c r="BEL7" s="391"/>
      <c r="BEM7" s="391"/>
      <c r="BEN7" s="391"/>
      <c r="BEO7" s="391"/>
      <c r="BEP7" s="391"/>
      <c r="BEQ7" s="391"/>
      <c r="BER7" s="391"/>
      <c r="BES7" s="391"/>
      <c r="BET7" s="391"/>
      <c r="BEU7" s="391"/>
      <c r="BEV7" s="391"/>
      <c r="BEW7" s="391"/>
      <c r="BEX7" s="391"/>
      <c r="BEY7" s="391"/>
      <c r="BEZ7" s="391"/>
      <c r="BFA7" s="391"/>
      <c r="BFB7" s="391"/>
      <c r="BFC7" s="391"/>
      <c r="BFD7" s="391"/>
      <c r="BFE7" s="391"/>
      <c r="BFF7" s="391"/>
      <c r="BFG7" s="391"/>
      <c r="BFH7" s="391"/>
      <c r="BFI7" s="391"/>
      <c r="BFJ7" s="391"/>
      <c r="BFK7" s="391"/>
      <c r="BFL7" s="391"/>
      <c r="BFM7" s="391"/>
      <c r="BFN7" s="391"/>
      <c r="BFO7" s="391"/>
      <c r="BFP7" s="391"/>
      <c r="BFQ7" s="391"/>
      <c r="BFR7" s="391"/>
      <c r="BFS7" s="391"/>
      <c r="BFT7" s="391"/>
      <c r="BFU7" s="391"/>
      <c r="BFV7" s="391"/>
      <c r="BFW7" s="391"/>
      <c r="BFX7" s="391"/>
      <c r="BFY7" s="391"/>
      <c r="BFZ7" s="391"/>
      <c r="BGA7" s="391"/>
      <c r="BGB7" s="391"/>
      <c r="BGC7" s="391"/>
      <c r="BGD7" s="391"/>
      <c r="BGE7" s="391"/>
      <c r="BGF7" s="391"/>
      <c r="BGG7" s="391"/>
      <c r="BGH7" s="391"/>
      <c r="BGI7" s="391"/>
      <c r="BGJ7" s="391"/>
      <c r="BGK7" s="391"/>
      <c r="BGL7" s="391"/>
      <c r="BGM7" s="391"/>
      <c r="BGN7" s="391"/>
      <c r="BGO7" s="391"/>
      <c r="BGP7" s="391"/>
      <c r="BGQ7" s="391"/>
      <c r="BGR7" s="391"/>
      <c r="BGS7" s="391"/>
      <c r="BGT7" s="391"/>
      <c r="BGU7" s="391"/>
      <c r="BGV7" s="391"/>
      <c r="BGW7" s="391"/>
      <c r="BGX7" s="391"/>
      <c r="BGY7" s="391"/>
      <c r="BGZ7" s="391"/>
      <c r="BHA7" s="391"/>
      <c r="BHB7" s="391"/>
      <c r="BHC7" s="391"/>
      <c r="BHD7" s="391"/>
      <c r="BHE7" s="391"/>
      <c r="BHF7" s="391"/>
      <c r="BHG7" s="391"/>
      <c r="BHH7" s="391"/>
      <c r="BHI7" s="391"/>
      <c r="BHJ7" s="391"/>
      <c r="BHK7" s="391"/>
      <c r="BHL7" s="391"/>
      <c r="BHM7" s="391"/>
      <c r="BHN7" s="391"/>
      <c r="BHO7" s="391"/>
      <c r="BHP7" s="391"/>
      <c r="BHQ7" s="391"/>
      <c r="BHR7" s="391"/>
      <c r="BHS7" s="391"/>
      <c r="BHT7" s="391"/>
      <c r="BHU7" s="391"/>
      <c r="BHV7" s="391"/>
      <c r="BHW7" s="391"/>
      <c r="BHX7" s="391"/>
      <c r="BHY7" s="391"/>
      <c r="BHZ7" s="391"/>
      <c r="BIA7" s="391"/>
      <c r="BIB7" s="391"/>
      <c r="BIC7" s="391"/>
      <c r="BID7" s="391"/>
      <c r="BIE7" s="391"/>
      <c r="BIF7" s="391"/>
      <c r="BIG7" s="391"/>
      <c r="BIH7" s="391"/>
      <c r="BII7" s="391"/>
      <c r="BIJ7" s="391"/>
      <c r="BIK7" s="391"/>
      <c r="BIL7" s="391"/>
      <c r="BIM7" s="391"/>
      <c r="BIN7" s="391"/>
      <c r="BIO7" s="391"/>
      <c r="BIP7" s="391"/>
      <c r="BIQ7" s="391"/>
      <c r="BIR7" s="391"/>
      <c r="BIS7" s="391"/>
      <c r="BIT7" s="391"/>
      <c r="BIU7" s="391"/>
      <c r="BIV7" s="391"/>
      <c r="BIW7" s="391"/>
      <c r="BIX7" s="391"/>
      <c r="BIY7" s="391"/>
      <c r="BIZ7" s="391"/>
      <c r="BJA7" s="391"/>
      <c r="BJB7" s="391"/>
      <c r="BJC7" s="391"/>
      <c r="BJD7" s="391"/>
      <c r="BJE7" s="391"/>
      <c r="BJF7" s="391"/>
      <c r="BJG7" s="391"/>
      <c r="BJH7" s="391"/>
      <c r="BJI7" s="391"/>
      <c r="BJJ7" s="391"/>
      <c r="BJK7" s="391"/>
      <c r="BJL7" s="391"/>
      <c r="BJM7" s="391"/>
      <c r="BJN7" s="391"/>
      <c r="BJO7" s="391"/>
      <c r="BJP7" s="391"/>
      <c r="BJQ7" s="391"/>
      <c r="BJR7" s="391"/>
      <c r="BJS7" s="391"/>
      <c r="BJT7" s="391"/>
      <c r="BJU7" s="391"/>
      <c r="BJV7" s="391"/>
      <c r="BJW7" s="391"/>
      <c r="BJX7" s="391"/>
      <c r="BJY7" s="391"/>
      <c r="BJZ7" s="391"/>
      <c r="BKA7" s="391"/>
      <c r="BKB7" s="391"/>
      <c r="BKC7" s="391"/>
      <c r="BKD7" s="391"/>
      <c r="BKE7" s="391"/>
      <c r="BKF7" s="391"/>
      <c r="BKG7" s="391"/>
      <c r="BKH7" s="391"/>
      <c r="BKI7" s="391"/>
      <c r="BKJ7" s="391"/>
      <c r="BKK7" s="391"/>
      <c r="BKL7" s="391"/>
      <c r="BKM7" s="391"/>
      <c r="BKN7" s="391"/>
      <c r="BKO7" s="391"/>
      <c r="BKP7" s="391"/>
      <c r="BKQ7" s="391"/>
      <c r="BKR7" s="391"/>
      <c r="BKS7" s="391"/>
      <c r="BKT7" s="391"/>
      <c r="BKU7" s="391"/>
      <c r="BKV7" s="391"/>
      <c r="BKW7" s="391"/>
      <c r="BKX7" s="391"/>
      <c r="BKY7" s="391"/>
      <c r="BKZ7" s="391"/>
      <c r="BLA7" s="391"/>
      <c r="BLB7" s="391"/>
      <c r="BLC7" s="391"/>
      <c r="BLD7" s="391"/>
      <c r="BLE7" s="391"/>
      <c r="BLF7" s="391"/>
      <c r="BLG7" s="391"/>
      <c r="BLH7" s="391"/>
      <c r="BLI7" s="391"/>
      <c r="BLJ7" s="391"/>
      <c r="BLK7" s="391"/>
      <c r="BLL7" s="391"/>
      <c r="BLM7" s="391"/>
      <c r="BLN7" s="391"/>
      <c r="BLO7" s="391"/>
      <c r="BLP7" s="391"/>
      <c r="BLQ7" s="391"/>
      <c r="BLR7" s="391"/>
      <c r="BLS7" s="391"/>
      <c r="BLT7" s="391"/>
      <c r="BLU7" s="391"/>
      <c r="BLV7" s="391"/>
      <c r="BLW7" s="391"/>
      <c r="BLX7" s="391"/>
      <c r="BLY7" s="391"/>
      <c r="BLZ7" s="391"/>
      <c r="BMA7" s="391"/>
      <c r="BMB7" s="391"/>
      <c r="BMC7" s="391"/>
      <c r="BMD7" s="391"/>
      <c r="BME7" s="391"/>
      <c r="BMF7" s="391"/>
      <c r="BMG7" s="391"/>
      <c r="BMH7" s="391"/>
      <c r="BMI7" s="391"/>
      <c r="BMJ7" s="391"/>
      <c r="BMK7" s="391"/>
      <c r="BML7" s="391"/>
      <c r="BMM7" s="391"/>
      <c r="BMN7" s="391"/>
      <c r="BMO7" s="391"/>
      <c r="BMP7" s="391"/>
      <c r="BMQ7" s="391"/>
      <c r="BMR7" s="391"/>
      <c r="BMS7" s="391"/>
      <c r="BMT7" s="391"/>
      <c r="BMU7" s="391"/>
      <c r="BMV7" s="391"/>
      <c r="BMW7" s="391"/>
      <c r="BMX7" s="391"/>
      <c r="BMY7" s="391"/>
      <c r="BMZ7" s="391"/>
      <c r="BNA7" s="391"/>
      <c r="BNB7" s="391"/>
      <c r="BNC7" s="391"/>
      <c r="BND7" s="391"/>
      <c r="BNE7" s="391"/>
      <c r="BNF7" s="391"/>
      <c r="BNG7" s="391"/>
      <c r="BNH7" s="391"/>
      <c r="BNI7" s="391"/>
      <c r="BNJ7" s="391"/>
      <c r="BNK7" s="391"/>
      <c r="BNL7" s="391"/>
      <c r="BNM7" s="391"/>
      <c r="BNN7" s="391"/>
      <c r="BNO7" s="391"/>
      <c r="BNP7" s="391"/>
      <c r="BNQ7" s="391"/>
      <c r="BNR7" s="391"/>
      <c r="BNS7" s="391"/>
      <c r="BNT7" s="391"/>
      <c r="BNU7" s="391"/>
      <c r="BNV7" s="391"/>
      <c r="BNW7" s="391"/>
      <c r="BNX7" s="391"/>
      <c r="BNY7" s="391"/>
      <c r="BNZ7" s="391"/>
      <c r="BOA7" s="391"/>
      <c r="BOB7" s="391"/>
      <c r="BOC7" s="391"/>
      <c r="BOD7" s="391"/>
      <c r="BOE7" s="391"/>
      <c r="BOF7" s="391"/>
      <c r="BOG7" s="391"/>
      <c r="BOH7" s="391"/>
      <c r="BOI7" s="391"/>
      <c r="BOJ7" s="391"/>
      <c r="BOK7" s="391"/>
      <c r="BOL7" s="391"/>
      <c r="BOM7" s="391"/>
      <c r="BON7" s="391"/>
      <c r="BOO7" s="391"/>
      <c r="BOP7" s="391"/>
      <c r="BOQ7" s="391"/>
      <c r="BOR7" s="391"/>
      <c r="BOS7" s="391"/>
      <c r="BOT7" s="391"/>
      <c r="BOU7" s="391"/>
      <c r="BOV7" s="391"/>
      <c r="BOW7" s="391"/>
      <c r="BOX7" s="391"/>
      <c r="BOY7" s="391"/>
      <c r="BOZ7" s="391"/>
      <c r="BPA7" s="391"/>
      <c r="BPB7" s="391"/>
      <c r="BPC7" s="391"/>
      <c r="BPD7" s="391"/>
      <c r="BPE7" s="391"/>
      <c r="BPF7" s="391"/>
      <c r="BPG7" s="391"/>
      <c r="BPH7" s="391"/>
      <c r="BPI7" s="391"/>
      <c r="BPJ7" s="391"/>
      <c r="BPK7" s="391"/>
      <c r="BPL7" s="391"/>
      <c r="BPM7" s="391"/>
      <c r="BPN7" s="391"/>
      <c r="BPO7" s="391"/>
      <c r="BPP7" s="391"/>
      <c r="BPQ7" s="391"/>
      <c r="BPR7" s="391"/>
      <c r="BPS7" s="391"/>
      <c r="BPT7" s="391"/>
      <c r="BPU7" s="391"/>
      <c r="BPV7" s="391"/>
      <c r="BPW7" s="391"/>
      <c r="BPX7" s="391"/>
      <c r="BPY7" s="391"/>
      <c r="BPZ7" s="391"/>
      <c r="BQA7" s="391"/>
      <c r="BQB7" s="391"/>
      <c r="BQC7" s="391"/>
      <c r="BQD7" s="391"/>
      <c r="BQE7" s="391"/>
      <c r="BQF7" s="391"/>
      <c r="BQG7" s="391"/>
      <c r="BQH7" s="391"/>
      <c r="BQI7" s="391"/>
      <c r="BQJ7" s="391"/>
      <c r="BQK7" s="391"/>
      <c r="BQL7" s="391"/>
      <c r="BQM7" s="391"/>
      <c r="BQN7" s="391"/>
      <c r="BQO7" s="391"/>
      <c r="BQP7" s="391"/>
      <c r="BQQ7" s="391"/>
      <c r="BQR7" s="391"/>
      <c r="BQS7" s="391"/>
      <c r="BQT7" s="391"/>
      <c r="BQU7" s="391"/>
      <c r="BQV7" s="391"/>
      <c r="BQW7" s="391"/>
      <c r="BQX7" s="391"/>
      <c r="BQY7" s="391"/>
      <c r="BQZ7" s="391"/>
      <c r="BRA7" s="391"/>
      <c r="BRB7" s="391"/>
      <c r="BRC7" s="391"/>
      <c r="BRD7" s="391"/>
      <c r="BRE7" s="391"/>
      <c r="BRF7" s="391"/>
      <c r="BRG7" s="391"/>
      <c r="BRH7" s="391"/>
      <c r="BRI7" s="391"/>
      <c r="BRJ7" s="391"/>
      <c r="BRK7" s="391"/>
      <c r="BRL7" s="391"/>
      <c r="BRM7" s="391"/>
      <c r="BRN7" s="391"/>
      <c r="BRO7" s="391"/>
      <c r="BRP7" s="391"/>
      <c r="BRQ7" s="391"/>
      <c r="BRR7" s="391"/>
      <c r="BRS7" s="391"/>
      <c r="BRT7" s="391"/>
      <c r="BRU7" s="391"/>
      <c r="BRV7" s="391"/>
      <c r="BRW7" s="391"/>
      <c r="BRX7" s="391"/>
      <c r="BRY7" s="391"/>
      <c r="BRZ7" s="391"/>
      <c r="BSA7" s="391"/>
      <c r="BSB7" s="391"/>
      <c r="BSC7" s="391"/>
      <c r="BSD7" s="391"/>
      <c r="BSE7" s="391"/>
      <c r="BSF7" s="391"/>
      <c r="BSG7" s="391"/>
      <c r="BSH7" s="391"/>
      <c r="BSI7" s="391"/>
      <c r="BSJ7" s="391"/>
      <c r="BSK7" s="391"/>
      <c r="BSL7" s="391"/>
      <c r="BSM7" s="391"/>
      <c r="BSN7" s="391"/>
      <c r="BSO7" s="391"/>
      <c r="BSP7" s="391"/>
      <c r="BSQ7" s="391"/>
      <c r="BSR7" s="391"/>
      <c r="BSS7" s="391"/>
      <c r="BST7" s="391"/>
      <c r="BSU7" s="391"/>
      <c r="BSV7" s="391"/>
      <c r="BSW7" s="391"/>
      <c r="BSX7" s="391"/>
      <c r="BSY7" s="391"/>
      <c r="BSZ7" s="391"/>
      <c r="BTA7" s="391"/>
      <c r="BTB7" s="391"/>
      <c r="BTC7" s="391"/>
      <c r="BTD7" s="391"/>
      <c r="BTE7" s="391"/>
      <c r="BTF7" s="391"/>
      <c r="BTG7" s="391"/>
      <c r="BTH7" s="391"/>
      <c r="BTI7" s="391"/>
      <c r="BTJ7" s="391"/>
      <c r="BTK7" s="391"/>
      <c r="BTL7" s="391"/>
      <c r="BTM7" s="391"/>
      <c r="BTN7" s="391"/>
      <c r="BTO7" s="391"/>
      <c r="BTP7" s="391"/>
      <c r="BTQ7" s="391"/>
      <c r="BTR7" s="391"/>
      <c r="BTS7" s="391"/>
      <c r="BTT7" s="391"/>
      <c r="BTU7" s="391"/>
      <c r="BTV7" s="391"/>
      <c r="BTW7" s="391"/>
      <c r="BTX7" s="391"/>
      <c r="BTY7" s="391"/>
      <c r="BTZ7" s="391"/>
      <c r="BUA7" s="391"/>
      <c r="BUB7" s="391"/>
      <c r="BUC7" s="391"/>
      <c r="BUD7" s="391"/>
      <c r="BUE7" s="391"/>
      <c r="BUF7" s="391"/>
      <c r="BUG7" s="391"/>
      <c r="BUH7" s="391"/>
      <c r="BUI7" s="391"/>
      <c r="BUJ7" s="391"/>
      <c r="BUK7" s="391"/>
      <c r="BUL7" s="391"/>
      <c r="BUM7" s="391"/>
      <c r="BUN7" s="391"/>
      <c r="BUO7" s="391"/>
      <c r="BUP7" s="391"/>
      <c r="BUQ7" s="391"/>
      <c r="BUR7" s="391"/>
      <c r="BUS7" s="391"/>
      <c r="BUT7" s="391"/>
      <c r="BUU7" s="391"/>
      <c r="BUV7" s="391"/>
      <c r="BUW7" s="391"/>
      <c r="BUX7" s="391"/>
      <c r="BUY7" s="391"/>
      <c r="BUZ7" s="391"/>
      <c r="BVA7" s="391"/>
      <c r="BVB7" s="391"/>
      <c r="BVC7" s="391"/>
      <c r="BVD7" s="391"/>
      <c r="BVE7" s="391"/>
      <c r="BVF7" s="391"/>
      <c r="BVG7" s="391"/>
      <c r="BVH7" s="391"/>
      <c r="BVI7" s="391"/>
      <c r="BVJ7" s="391"/>
      <c r="BVK7" s="391"/>
      <c r="BVL7" s="391"/>
      <c r="BVM7" s="391"/>
      <c r="BVN7" s="391"/>
      <c r="BVO7" s="391"/>
      <c r="BVP7" s="391"/>
      <c r="BVQ7" s="391"/>
      <c r="BVR7" s="391"/>
      <c r="BVS7" s="391"/>
      <c r="BVT7" s="391"/>
      <c r="BVU7" s="391"/>
      <c r="BVV7" s="391"/>
      <c r="BVW7" s="391"/>
      <c r="BVX7" s="391"/>
      <c r="BVY7" s="391"/>
      <c r="BVZ7" s="391"/>
      <c r="BWA7" s="391"/>
      <c r="BWB7" s="391"/>
      <c r="BWC7" s="391"/>
      <c r="BWD7" s="391"/>
      <c r="BWE7" s="391"/>
      <c r="BWF7" s="391"/>
      <c r="BWG7" s="391"/>
      <c r="BWH7" s="391"/>
      <c r="BWI7" s="391"/>
      <c r="BWJ7" s="391"/>
      <c r="BWK7" s="391"/>
      <c r="BWL7" s="391"/>
      <c r="BWM7" s="391"/>
      <c r="BWN7" s="391"/>
      <c r="BWO7" s="391"/>
      <c r="BWP7" s="391"/>
      <c r="BWQ7" s="391"/>
      <c r="BWR7" s="391"/>
      <c r="BWS7" s="391"/>
      <c r="BWT7" s="391"/>
      <c r="BWU7" s="391"/>
      <c r="BWV7" s="391"/>
      <c r="BWW7" s="391"/>
      <c r="BWX7" s="391"/>
      <c r="BWY7" s="391"/>
      <c r="BWZ7" s="391"/>
      <c r="BXA7" s="391"/>
      <c r="BXB7" s="391"/>
      <c r="BXC7" s="391"/>
      <c r="BXD7" s="391"/>
      <c r="BXE7" s="391"/>
      <c r="BXF7" s="391"/>
      <c r="BXG7" s="391"/>
      <c r="BXH7" s="391"/>
      <c r="BXI7" s="391"/>
      <c r="BXJ7" s="391"/>
      <c r="BXK7" s="391"/>
      <c r="BXL7" s="391"/>
      <c r="BXM7" s="391"/>
      <c r="BXN7" s="391"/>
      <c r="BXO7" s="391"/>
      <c r="BXP7" s="391"/>
      <c r="BXQ7" s="391"/>
      <c r="BXR7" s="391"/>
      <c r="BXS7" s="391"/>
      <c r="BXT7" s="391"/>
      <c r="BXU7" s="391"/>
      <c r="BXV7" s="391"/>
      <c r="BXW7" s="391"/>
      <c r="BXX7" s="391"/>
      <c r="BXY7" s="391"/>
      <c r="BXZ7" s="391"/>
      <c r="BYA7" s="391"/>
      <c r="BYB7" s="391"/>
      <c r="BYC7" s="391"/>
      <c r="BYD7" s="391"/>
      <c r="BYE7" s="391"/>
      <c r="BYF7" s="391"/>
      <c r="BYG7" s="391"/>
      <c r="BYH7" s="391"/>
      <c r="BYI7" s="391"/>
      <c r="BYJ7" s="391"/>
      <c r="BYK7" s="391"/>
      <c r="BYL7" s="391"/>
      <c r="BYM7" s="391"/>
      <c r="BYN7" s="391"/>
      <c r="BYO7" s="391"/>
      <c r="BYP7" s="391"/>
      <c r="BYQ7" s="391"/>
      <c r="BYR7" s="391"/>
      <c r="BYS7" s="391"/>
      <c r="BYT7" s="391"/>
      <c r="BYU7" s="391"/>
      <c r="BYV7" s="391"/>
      <c r="BYW7" s="391"/>
      <c r="BYX7" s="391"/>
      <c r="BYY7" s="391"/>
      <c r="BYZ7" s="391"/>
      <c r="BZA7" s="391"/>
      <c r="BZB7" s="391"/>
      <c r="BZC7" s="391"/>
      <c r="BZD7" s="391"/>
      <c r="BZE7" s="391"/>
      <c r="BZF7" s="391"/>
      <c r="BZG7" s="391"/>
      <c r="BZH7" s="391"/>
      <c r="BZI7" s="391"/>
      <c r="BZJ7" s="391"/>
      <c r="BZK7" s="391"/>
      <c r="BZL7" s="391"/>
      <c r="BZM7" s="391"/>
      <c r="BZN7" s="391"/>
      <c r="BZO7" s="391"/>
      <c r="BZP7" s="391"/>
      <c r="BZQ7" s="391"/>
      <c r="BZR7" s="391"/>
      <c r="BZS7" s="391"/>
      <c r="BZT7" s="391"/>
      <c r="BZU7" s="391"/>
      <c r="BZV7" s="391"/>
      <c r="BZW7" s="391"/>
      <c r="BZX7" s="391"/>
      <c r="BZY7" s="391"/>
      <c r="BZZ7" s="391"/>
      <c r="CAA7" s="391"/>
      <c r="CAB7" s="391"/>
      <c r="CAC7" s="391"/>
      <c r="CAD7" s="391"/>
      <c r="CAE7" s="391"/>
      <c r="CAF7" s="391"/>
      <c r="CAG7" s="391"/>
      <c r="CAH7" s="391"/>
      <c r="CAI7" s="391"/>
      <c r="CAJ7" s="391"/>
      <c r="CAK7" s="391"/>
      <c r="CAL7" s="391"/>
      <c r="CAM7" s="391"/>
      <c r="CAN7" s="391"/>
      <c r="CAO7" s="391"/>
      <c r="CAP7" s="391"/>
      <c r="CAQ7" s="391"/>
      <c r="CAR7" s="391"/>
      <c r="CAS7" s="391"/>
      <c r="CAT7" s="391"/>
      <c r="CAU7" s="391"/>
      <c r="CAV7" s="391"/>
      <c r="CAW7" s="391"/>
      <c r="CAX7" s="391"/>
      <c r="CAY7" s="391"/>
      <c r="CAZ7" s="391"/>
      <c r="CBA7" s="391"/>
      <c r="CBB7" s="391"/>
      <c r="CBC7" s="391"/>
      <c r="CBD7" s="391"/>
      <c r="CBE7" s="391"/>
      <c r="CBF7" s="391"/>
      <c r="CBG7" s="391"/>
      <c r="CBH7" s="391"/>
      <c r="CBI7" s="391"/>
      <c r="CBJ7" s="391"/>
      <c r="CBK7" s="391"/>
      <c r="CBL7" s="391"/>
      <c r="CBM7" s="391"/>
      <c r="CBN7" s="391"/>
      <c r="CBO7" s="391"/>
      <c r="CBP7" s="391"/>
      <c r="CBQ7" s="391"/>
      <c r="CBR7" s="391"/>
      <c r="CBS7" s="391"/>
      <c r="CBT7" s="391"/>
      <c r="CBU7" s="391"/>
      <c r="CBV7" s="391"/>
      <c r="CBW7" s="391"/>
      <c r="CBX7" s="391"/>
      <c r="CBY7" s="391"/>
      <c r="CBZ7" s="391"/>
      <c r="CCA7" s="391"/>
      <c r="CCB7" s="391"/>
      <c r="CCC7" s="391"/>
      <c r="CCD7" s="391"/>
      <c r="CCE7" s="391"/>
      <c r="CCF7" s="391"/>
      <c r="CCG7" s="391"/>
      <c r="CCH7" s="391"/>
      <c r="CCI7" s="391"/>
      <c r="CCJ7" s="391"/>
      <c r="CCK7" s="391"/>
      <c r="CCL7" s="391"/>
      <c r="CCM7" s="391"/>
      <c r="CCN7" s="391"/>
      <c r="CCO7" s="391"/>
      <c r="CCP7" s="391"/>
      <c r="CCQ7" s="391"/>
      <c r="CCR7" s="391"/>
      <c r="CCS7" s="391"/>
      <c r="CCT7" s="391"/>
      <c r="CCU7" s="391"/>
      <c r="CCV7" s="391"/>
      <c r="CCW7" s="391"/>
      <c r="CCX7" s="391"/>
      <c r="CCY7" s="391"/>
      <c r="CCZ7" s="391"/>
      <c r="CDA7" s="391"/>
      <c r="CDB7" s="391"/>
      <c r="CDC7" s="391"/>
      <c r="CDD7" s="391"/>
      <c r="CDE7" s="391"/>
      <c r="CDF7" s="391"/>
      <c r="CDG7" s="391"/>
      <c r="CDH7" s="391"/>
      <c r="CDI7" s="391"/>
      <c r="CDJ7" s="391"/>
      <c r="CDK7" s="391"/>
      <c r="CDL7" s="391"/>
      <c r="CDM7" s="391"/>
      <c r="CDN7" s="391"/>
      <c r="CDO7" s="391"/>
      <c r="CDP7" s="391"/>
      <c r="CDQ7" s="391"/>
      <c r="CDR7" s="391"/>
      <c r="CDS7" s="391"/>
      <c r="CDT7" s="391"/>
      <c r="CDU7" s="391"/>
      <c r="CDV7" s="391"/>
      <c r="CDW7" s="391"/>
      <c r="CDX7" s="391"/>
      <c r="CDY7" s="391"/>
      <c r="CDZ7" s="391"/>
      <c r="CEA7" s="391"/>
      <c r="CEB7" s="391"/>
      <c r="CEC7" s="391"/>
      <c r="CED7" s="391"/>
      <c r="CEE7" s="391"/>
      <c r="CEF7" s="391"/>
      <c r="CEG7" s="391"/>
      <c r="CEH7" s="391"/>
      <c r="CEI7" s="391"/>
      <c r="CEJ7" s="391"/>
      <c r="CEK7" s="391"/>
      <c r="CEL7" s="391"/>
      <c r="CEM7" s="391"/>
      <c r="CEN7" s="391"/>
      <c r="CEO7" s="391"/>
      <c r="CEP7" s="391"/>
      <c r="CEQ7" s="391"/>
      <c r="CER7" s="391"/>
      <c r="CES7" s="391"/>
      <c r="CET7" s="391"/>
      <c r="CEU7" s="391"/>
      <c r="CEV7" s="391"/>
      <c r="CEW7" s="391"/>
      <c r="CEX7" s="391"/>
      <c r="CEY7" s="391"/>
      <c r="CEZ7" s="391"/>
      <c r="CFA7" s="391"/>
      <c r="CFB7" s="391"/>
      <c r="CFC7" s="391"/>
      <c r="CFD7" s="391"/>
      <c r="CFE7" s="391"/>
      <c r="CFF7" s="391"/>
      <c r="CFG7" s="391"/>
      <c r="CFH7" s="391"/>
      <c r="CFI7" s="391"/>
      <c r="CFJ7" s="391"/>
      <c r="CFK7" s="391"/>
      <c r="CFL7" s="391"/>
      <c r="CFM7" s="391"/>
      <c r="CFN7" s="391"/>
      <c r="CFO7" s="391"/>
      <c r="CFP7" s="391"/>
      <c r="CFQ7" s="391"/>
      <c r="CFR7" s="391"/>
      <c r="CFS7" s="391"/>
      <c r="CFT7" s="391"/>
      <c r="CFU7" s="391"/>
      <c r="CFV7" s="391"/>
      <c r="CFW7" s="391"/>
      <c r="CFX7" s="391"/>
      <c r="CFY7" s="391"/>
      <c r="CFZ7" s="391"/>
      <c r="CGA7" s="391"/>
      <c r="CGB7" s="391"/>
      <c r="CGC7" s="391"/>
      <c r="CGD7" s="391"/>
      <c r="CGE7" s="391"/>
      <c r="CGF7" s="391"/>
      <c r="CGG7" s="391"/>
      <c r="CGH7" s="391"/>
      <c r="CGI7" s="391"/>
      <c r="CGJ7" s="391"/>
      <c r="CGK7" s="391"/>
      <c r="CGL7" s="391"/>
      <c r="CGM7" s="391"/>
      <c r="CGN7" s="391"/>
      <c r="CGO7" s="391"/>
      <c r="CGP7" s="391"/>
      <c r="CGQ7" s="391"/>
      <c r="CGR7" s="391"/>
      <c r="CGS7" s="391"/>
      <c r="CGT7" s="391"/>
      <c r="CGU7" s="391"/>
      <c r="CGV7" s="391"/>
      <c r="CGW7" s="391"/>
      <c r="CGX7" s="391"/>
      <c r="CGY7" s="391"/>
      <c r="CGZ7" s="391"/>
      <c r="CHA7" s="391"/>
      <c r="CHB7" s="391"/>
      <c r="CHC7" s="391"/>
      <c r="CHD7" s="391"/>
      <c r="CHE7" s="391"/>
      <c r="CHF7" s="391"/>
      <c r="CHG7" s="391"/>
      <c r="CHH7" s="391"/>
      <c r="CHI7" s="391"/>
      <c r="CHJ7" s="391"/>
      <c r="CHK7" s="391"/>
      <c r="CHL7" s="391"/>
      <c r="CHM7" s="391"/>
      <c r="CHN7" s="391"/>
      <c r="CHO7" s="391"/>
      <c r="CHP7" s="391"/>
      <c r="CHQ7" s="391"/>
      <c r="CHR7" s="391"/>
      <c r="CHS7" s="391"/>
      <c r="CHT7" s="391"/>
      <c r="CHU7" s="391"/>
      <c r="CHV7" s="391"/>
      <c r="CHW7" s="391"/>
      <c r="CHX7" s="391"/>
      <c r="CHY7" s="391"/>
      <c r="CHZ7" s="391"/>
      <c r="CIA7" s="391"/>
      <c r="CIB7" s="391"/>
      <c r="CIC7" s="391"/>
      <c r="CID7" s="391"/>
      <c r="CIE7" s="391"/>
      <c r="CIF7" s="391"/>
      <c r="CIG7" s="391"/>
      <c r="CIH7" s="391"/>
      <c r="CII7" s="391"/>
      <c r="CIJ7" s="391"/>
      <c r="CIK7" s="391"/>
      <c r="CIL7" s="391"/>
      <c r="CIM7" s="391"/>
      <c r="CIN7" s="391"/>
      <c r="CIO7" s="391"/>
      <c r="CIP7" s="391"/>
      <c r="CIQ7" s="391"/>
      <c r="CIR7" s="391"/>
      <c r="CIS7" s="391"/>
      <c r="CIT7" s="391"/>
      <c r="CIU7" s="391"/>
      <c r="CIV7" s="391"/>
      <c r="CIW7" s="391"/>
      <c r="CIX7" s="391"/>
      <c r="CIY7" s="391"/>
      <c r="CIZ7" s="391"/>
      <c r="CJA7" s="391"/>
      <c r="CJB7" s="391"/>
      <c r="CJC7" s="391"/>
      <c r="CJD7" s="391"/>
      <c r="CJE7" s="391"/>
      <c r="CJF7" s="391"/>
      <c r="CJG7" s="391"/>
      <c r="CJH7" s="391"/>
      <c r="CJI7" s="391"/>
      <c r="CJJ7" s="391"/>
      <c r="CJK7" s="391"/>
      <c r="CJL7" s="391"/>
      <c r="CJM7" s="391"/>
      <c r="CJN7" s="391"/>
      <c r="CJO7" s="391"/>
      <c r="CJP7" s="391"/>
      <c r="CJQ7" s="391"/>
      <c r="CJR7" s="391"/>
      <c r="CJS7" s="391"/>
      <c r="CJT7" s="391"/>
      <c r="CJU7" s="391"/>
      <c r="CJV7" s="391"/>
      <c r="CJW7" s="391"/>
      <c r="CJX7" s="391"/>
      <c r="CJY7" s="391"/>
      <c r="CJZ7" s="391"/>
      <c r="CKA7" s="391"/>
      <c r="CKB7" s="391"/>
      <c r="CKC7" s="391"/>
      <c r="CKD7" s="391"/>
      <c r="CKE7" s="391"/>
      <c r="CKF7" s="391"/>
      <c r="CKG7" s="391"/>
      <c r="CKH7" s="391"/>
      <c r="CKI7" s="391"/>
      <c r="CKJ7" s="391"/>
      <c r="CKK7" s="391"/>
      <c r="CKL7" s="391"/>
      <c r="CKM7" s="391"/>
      <c r="CKN7" s="391"/>
      <c r="CKO7" s="391"/>
      <c r="CKP7" s="391"/>
      <c r="CKQ7" s="391"/>
      <c r="CKR7" s="391"/>
      <c r="CKS7" s="391"/>
      <c r="CKT7" s="391"/>
      <c r="CKU7" s="391"/>
      <c r="CKV7" s="391"/>
      <c r="CKW7" s="391"/>
      <c r="CKX7" s="391"/>
      <c r="CKY7" s="391"/>
      <c r="CKZ7" s="391"/>
      <c r="CLA7" s="391"/>
      <c r="CLB7" s="391"/>
      <c r="CLC7" s="391"/>
      <c r="CLD7" s="391"/>
      <c r="CLE7" s="391"/>
      <c r="CLF7" s="391"/>
      <c r="CLG7" s="391"/>
      <c r="CLH7" s="391"/>
      <c r="CLI7" s="391"/>
      <c r="CLJ7" s="391"/>
      <c r="CLK7" s="391"/>
      <c r="CLL7" s="391"/>
      <c r="CLM7" s="391"/>
      <c r="CLN7" s="391"/>
      <c r="CLO7" s="391"/>
      <c r="CLP7" s="391"/>
      <c r="CLQ7" s="391"/>
      <c r="CLR7" s="391"/>
      <c r="CLS7" s="391"/>
      <c r="CLT7" s="391"/>
      <c r="CLU7" s="391"/>
      <c r="CLV7" s="391"/>
      <c r="CLW7" s="391"/>
      <c r="CLX7" s="391"/>
      <c r="CLY7" s="391"/>
      <c r="CLZ7" s="391"/>
      <c r="CMA7" s="391"/>
      <c r="CMB7" s="391"/>
      <c r="CMC7" s="391"/>
      <c r="CMD7" s="391"/>
      <c r="CME7" s="391"/>
      <c r="CMF7" s="391"/>
      <c r="CMG7" s="391"/>
      <c r="CMH7" s="391"/>
      <c r="CMI7" s="391"/>
      <c r="CMJ7" s="391"/>
      <c r="CMK7" s="391"/>
      <c r="CML7" s="391"/>
      <c r="CMM7" s="391"/>
      <c r="CMN7" s="391"/>
      <c r="CMO7" s="391"/>
      <c r="CMP7" s="391"/>
      <c r="CMQ7" s="391"/>
      <c r="CMR7" s="391"/>
      <c r="CMS7" s="391"/>
      <c r="CMT7" s="391"/>
      <c r="CMU7" s="391"/>
      <c r="CMV7" s="391"/>
      <c r="CMW7" s="391"/>
      <c r="CMX7" s="391"/>
      <c r="CMY7" s="391"/>
      <c r="CMZ7" s="391"/>
      <c r="CNA7" s="391"/>
      <c r="CNB7" s="391"/>
      <c r="CNC7" s="391"/>
      <c r="CND7" s="391"/>
      <c r="CNE7" s="391"/>
      <c r="CNF7" s="391"/>
      <c r="CNG7" s="391"/>
      <c r="CNH7" s="391"/>
      <c r="CNI7" s="391"/>
      <c r="CNJ7" s="391"/>
      <c r="CNK7" s="391"/>
      <c r="CNL7" s="391"/>
      <c r="CNM7" s="391"/>
      <c r="CNN7" s="391"/>
      <c r="CNO7" s="391"/>
      <c r="CNP7" s="391"/>
      <c r="CNQ7" s="391"/>
      <c r="CNR7" s="391"/>
      <c r="CNS7" s="391"/>
      <c r="CNT7" s="391"/>
      <c r="CNU7" s="391"/>
      <c r="CNV7" s="391"/>
      <c r="CNW7" s="391"/>
      <c r="CNX7" s="391"/>
      <c r="CNY7" s="391"/>
      <c r="CNZ7" s="391"/>
      <c r="COA7" s="391"/>
      <c r="COB7" s="391"/>
      <c r="COC7" s="391"/>
      <c r="COD7" s="391"/>
      <c r="COE7" s="391"/>
      <c r="COF7" s="391"/>
      <c r="COG7" s="391"/>
      <c r="COH7" s="391"/>
      <c r="COI7" s="391"/>
      <c r="COJ7" s="391"/>
      <c r="COK7" s="391"/>
      <c r="COL7" s="391"/>
      <c r="COM7" s="391"/>
      <c r="CON7" s="391"/>
      <c r="COO7" s="391"/>
      <c r="COP7" s="391"/>
      <c r="COQ7" s="391"/>
      <c r="COR7" s="391"/>
      <c r="COS7" s="391"/>
      <c r="COT7" s="391"/>
      <c r="COU7" s="391"/>
      <c r="COV7" s="391"/>
      <c r="COW7" s="391"/>
      <c r="COX7" s="391"/>
      <c r="COY7" s="391"/>
      <c r="COZ7" s="391"/>
      <c r="CPA7" s="391"/>
      <c r="CPB7" s="391"/>
      <c r="CPC7" s="391"/>
      <c r="CPD7" s="391"/>
      <c r="CPE7" s="391"/>
      <c r="CPF7" s="391"/>
      <c r="CPG7" s="391"/>
      <c r="CPH7" s="391"/>
      <c r="CPI7" s="391"/>
      <c r="CPJ7" s="391"/>
      <c r="CPK7" s="391"/>
      <c r="CPL7" s="391"/>
      <c r="CPM7" s="391"/>
      <c r="CPN7" s="391"/>
      <c r="CPO7" s="391"/>
      <c r="CPP7" s="391"/>
      <c r="CPQ7" s="391"/>
      <c r="CPR7" s="391"/>
      <c r="CPS7" s="391"/>
      <c r="CPT7" s="391"/>
      <c r="CPU7" s="391"/>
      <c r="CPV7" s="391"/>
      <c r="CPW7" s="391"/>
      <c r="CPX7" s="391"/>
      <c r="CPY7" s="391"/>
      <c r="CPZ7" s="391"/>
      <c r="CQA7" s="391"/>
      <c r="CQB7" s="391"/>
      <c r="CQC7" s="391"/>
      <c r="CQD7" s="391"/>
      <c r="CQE7" s="391"/>
      <c r="CQF7" s="391"/>
      <c r="CQG7" s="391"/>
      <c r="CQH7" s="391"/>
      <c r="CQI7" s="391"/>
      <c r="CQJ7" s="391"/>
      <c r="CQK7" s="391"/>
      <c r="CQL7" s="391"/>
      <c r="CQM7" s="391"/>
      <c r="CQN7" s="391"/>
      <c r="CQO7" s="391"/>
      <c r="CQP7" s="391"/>
      <c r="CQQ7" s="391"/>
      <c r="CQR7" s="391"/>
      <c r="CQS7" s="391"/>
      <c r="CQT7" s="391"/>
      <c r="CQU7" s="391"/>
      <c r="CQV7" s="391"/>
      <c r="CQW7" s="391"/>
      <c r="CQX7" s="391"/>
      <c r="CQY7" s="391"/>
      <c r="CQZ7" s="391"/>
      <c r="CRA7" s="391"/>
      <c r="CRB7" s="391"/>
      <c r="CRC7" s="391"/>
      <c r="CRD7" s="391"/>
      <c r="CRE7" s="391"/>
      <c r="CRF7" s="391"/>
      <c r="CRG7" s="391"/>
      <c r="CRH7" s="391"/>
      <c r="CRI7" s="391"/>
      <c r="CRJ7" s="391"/>
      <c r="CRK7" s="391"/>
      <c r="CRL7" s="391"/>
      <c r="CRM7" s="391"/>
      <c r="CRN7" s="391"/>
      <c r="CRO7" s="391"/>
      <c r="CRP7" s="391"/>
      <c r="CRQ7" s="391"/>
      <c r="CRR7" s="391"/>
      <c r="CRS7" s="391"/>
      <c r="CRT7" s="391"/>
      <c r="CRU7" s="391"/>
      <c r="CRV7" s="391"/>
      <c r="CRW7" s="391"/>
      <c r="CRX7" s="391"/>
      <c r="CRY7" s="391"/>
      <c r="CRZ7" s="391"/>
      <c r="CSA7" s="391"/>
      <c r="CSB7" s="391"/>
      <c r="CSC7" s="391"/>
      <c r="CSD7" s="391"/>
      <c r="CSE7" s="391"/>
      <c r="CSF7" s="391"/>
      <c r="CSG7" s="391"/>
      <c r="CSH7" s="391"/>
      <c r="CSI7" s="391"/>
      <c r="CSJ7" s="391"/>
      <c r="CSK7" s="391"/>
      <c r="CSL7" s="391"/>
      <c r="CSM7" s="391"/>
      <c r="CSN7" s="391"/>
      <c r="CSO7" s="391"/>
      <c r="CSP7" s="391"/>
      <c r="CSQ7" s="391"/>
      <c r="CSR7" s="391"/>
      <c r="CSS7" s="391"/>
      <c r="CST7" s="391"/>
      <c r="CSU7" s="391"/>
      <c r="CSV7" s="391"/>
      <c r="CSW7" s="391"/>
      <c r="CSX7" s="391"/>
      <c r="CSY7" s="391"/>
      <c r="CSZ7" s="391"/>
      <c r="CTA7" s="391"/>
      <c r="CTB7" s="391"/>
      <c r="CTC7" s="391"/>
      <c r="CTD7" s="391"/>
      <c r="CTE7" s="391"/>
      <c r="CTF7" s="391"/>
      <c r="CTG7" s="391"/>
      <c r="CTH7" s="391"/>
      <c r="CTI7" s="391"/>
      <c r="CTJ7" s="391"/>
      <c r="CTK7" s="391"/>
      <c r="CTL7" s="391"/>
      <c r="CTM7" s="391"/>
      <c r="CTN7" s="391"/>
      <c r="CTO7" s="391"/>
      <c r="CTP7" s="391"/>
      <c r="CTQ7" s="391"/>
      <c r="CTR7" s="391"/>
      <c r="CTS7" s="391"/>
      <c r="CTT7" s="391"/>
      <c r="CTU7" s="391"/>
      <c r="CTV7" s="391"/>
      <c r="CTW7" s="391"/>
      <c r="CTX7" s="391"/>
      <c r="CTY7" s="391"/>
      <c r="CTZ7" s="391"/>
      <c r="CUA7" s="391"/>
      <c r="CUB7" s="391"/>
      <c r="CUC7" s="391"/>
      <c r="CUD7" s="391"/>
      <c r="CUE7" s="391"/>
      <c r="CUF7" s="391"/>
      <c r="CUG7" s="391"/>
      <c r="CUH7" s="391"/>
      <c r="CUI7" s="391"/>
      <c r="CUJ7" s="391"/>
      <c r="CUK7" s="391"/>
      <c r="CUL7" s="391"/>
      <c r="CUM7" s="391"/>
      <c r="CUN7" s="391"/>
      <c r="CUO7" s="391"/>
      <c r="CUP7" s="391"/>
      <c r="CUQ7" s="391"/>
      <c r="CUR7" s="391"/>
      <c r="CUS7" s="391"/>
      <c r="CUT7" s="391"/>
      <c r="CUU7" s="391"/>
      <c r="CUV7" s="391"/>
      <c r="CUW7" s="391"/>
      <c r="CUX7" s="391"/>
      <c r="CUY7" s="391"/>
      <c r="CUZ7" s="391"/>
      <c r="CVA7" s="391"/>
      <c r="CVB7" s="391"/>
      <c r="CVC7" s="391"/>
      <c r="CVD7" s="391"/>
      <c r="CVE7" s="391"/>
      <c r="CVF7" s="391"/>
      <c r="CVG7" s="391"/>
      <c r="CVH7" s="391"/>
      <c r="CVI7" s="391"/>
      <c r="CVJ7" s="391"/>
      <c r="CVK7" s="391"/>
      <c r="CVL7" s="391"/>
      <c r="CVM7" s="391"/>
      <c r="CVN7" s="391"/>
      <c r="CVO7" s="391"/>
      <c r="CVP7" s="391"/>
      <c r="CVQ7" s="391"/>
      <c r="CVR7" s="391"/>
      <c r="CVS7" s="391"/>
      <c r="CVT7" s="391"/>
      <c r="CVU7" s="391"/>
      <c r="CVV7" s="391"/>
      <c r="CVW7" s="391"/>
      <c r="CVX7" s="391"/>
      <c r="CVY7" s="391"/>
      <c r="CVZ7" s="391"/>
      <c r="CWA7" s="391"/>
      <c r="CWB7" s="391"/>
      <c r="CWC7" s="391"/>
      <c r="CWD7" s="391"/>
      <c r="CWE7" s="391"/>
      <c r="CWF7" s="391"/>
      <c r="CWG7" s="391"/>
      <c r="CWH7" s="391"/>
      <c r="CWI7" s="391"/>
      <c r="CWJ7" s="391"/>
      <c r="CWK7" s="391"/>
      <c r="CWL7" s="391"/>
      <c r="CWM7" s="391"/>
      <c r="CWN7" s="391"/>
      <c r="CWO7" s="391"/>
      <c r="CWP7" s="391"/>
      <c r="CWQ7" s="391"/>
      <c r="CWR7" s="391"/>
      <c r="CWS7" s="391"/>
      <c r="CWT7" s="391"/>
      <c r="CWU7" s="391"/>
      <c r="CWV7" s="391"/>
      <c r="CWW7" s="391"/>
      <c r="CWX7" s="391"/>
      <c r="CWY7" s="391"/>
      <c r="CWZ7" s="391"/>
      <c r="CXA7" s="391"/>
      <c r="CXB7" s="391"/>
      <c r="CXC7" s="391"/>
      <c r="CXD7" s="391"/>
      <c r="CXE7" s="391"/>
      <c r="CXF7" s="391"/>
      <c r="CXG7" s="391"/>
      <c r="CXH7" s="391"/>
      <c r="CXI7" s="391"/>
      <c r="CXJ7" s="391"/>
      <c r="CXK7" s="391"/>
      <c r="CXL7" s="391"/>
      <c r="CXM7" s="391"/>
      <c r="CXN7" s="391"/>
      <c r="CXO7" s="391"/>
      <c r="CXP7" s="391"/>
      <c r="CXQ7" s="391"/>
      <c r="CXR7" s="391"/>
      <c r="CXS7" s="391"/>
      <c r="CXT7" s="391"/>
      <c r="CXU7" s="391"/>
      <c r="CXV7" s="391"/>
      <c r="CXW7" s="391"/>
      <c r="CXX7" s="391"/>
      <c r="CXY7" s="391"/>
      <c r="CXZ7" s="391"/>
      <c r="CYA7" s="391"/>
      <c r="CYB7" s="391"/>
      <c r="CYC7" s="391"/>
      <c r="CYD7" s="391"/>
      <c r="CYE7" s="391"/>
      <c r="CYF7" s="391"/>
      <c r="CYG7" s="391"/>
      <c r="CYH7" s="391"/>
      <c r="CYI7" s="391"/>
      <c r="CYJ7" s="391"/>
      <c r="CYK7" s="391"/>
      <c r="CYL7" s="391"/>
      <c r="CYM7" s="391"/>
      <c r="CYN7" s="391"/>
      <c r="CYO7" s="391"/>
      <c r="CYP7" s="391"/>
      <c r="CYQ7" s="391"/>
      <c r="CYR7" s="391"/>
      <c r="CYS7" s="391"/>
      <c r="CYT7" s="391"/>
      <c r="CYU7" s="391"/>
      <c r="CYV7" s="391"/>
      <c r="CYW7" s="391"/>
      <c r="CYX7" s="391"/>
      <c r="CYY7" s="391"/>
      <c r="CYZ7" s="391"/>
      <c r="CZA7" s="391"/>
      <c r="CZB7" s="391"/>
      <c r="CZC7" s="391"/>
      <c r="CZD7" s="391"/>
      <c r="CZE7" s="391"/>
      <c r="CZF7" s="391"/>
      <c r="CZG7" s="391"/>
      <c r="CZH7" s="391"/>
      <c r="CZI7" s="391"/>
      <c r="CZJ7" s="391"/>
      <c r="CZK7" s="391"/>
      <c r="CZL7" s="391"/>
      <c r="CZM7" s="391"/>
      <c r="CZN7" s="391"/>
      <c r="CZO7" s="391"/>
      <c r="CZP7" s="391"/>
      <c r="CZQ7" s="391"/>
      <c r="CZR7" s="391"/>
      <c r="CZS7" s="391"/>
      <c r="CZT7" s="391"/>
      <c r="CZU7" s="391"/>
      <c r="CZV7" s="391"/>
      <c r="CZW7" s="391"/>
      <c r="CZX7" s="391"/>
      <c r="CZY7" s="391"/>
      <c r="CZZ7" s="391"/>
      <c r="DAA7" s="391"/>
      <c r="DAB7" s="391"/>
      <c r="DAC7" s="391"/>
      <c r="DAD7" s="391"/>
      <c r="DAE7" s="391"/>
      <c r="DAF7" s="391"/>
      <c r="DAG7" s="391"/>
      <c r="DAH7" s="391"/>
      <c r="DAI7" s="391"/>
      <c r="DAJ7" s="391"/>
      <c r="DAK7" s="391"/>
      <c r="DAL7" s="391"/>
      <c r="DAM7" s="391"/>
      <c r="DAN7" s="391"/>
      <c r="DAO7" s="391"/>
      <c r="DAP7" s="391"/>
      <c r="DAQ7" s="391"/>
      <c r="DAR7" s="391"/>
      <c r="DAS7" s="391"/>
      <c r="DAT7" s="391"/>
      <c r="DAU7" s="391"/>
      <c r="DAV7" s="391"/>
      <c r="DAW7" s="391"/>
      <c r="DAX7" s="391"/>
      <c r="DAY7" s="391"/>
      <c r="DAZ7" s="391"/>
      <c r="DBA7" s="391"/>
      <c r="DBB7" s="391"/>
      <c r="DBC7" s="391"/>
      <c r="DBD7" s="391"/>
      <c r="DBE7" s="391"/>
      <c r="DBF7" s="391"/>
      <c r="DBG7" s="391"/>
      <c r="DBH7" s="391"/>
      <c r="DBI7" s="391"/>
      <c r="DBJ7" s="391"/>
      <c r="DBK7" s="391"/>
      <c r="DBL7" s="391"/>
      <c r="DBM7" s="391"/>
      <c r="DBN7" s="391"/>
      <c r="DBO7" s="391"/>
      <c r="DBP7" s="391"/>
      <c r="DBQ7" s="391"/>
      <c r="DBR7" s="391"/>
      <c r="DBS7" s="391"/>
      <c r="DBT7" s="391"/>
      <c r="DBU7" s="391"/>
      <c r="DBV7" s="391"/>
      <c r="DBW7" s="391"/>
      <c r="DBX7" s="391"/>
      <c r="DBY7" s="391"/>
      <c r="DBZ7" s="391"/>
      <c r="DCA7" s="391"/>
      <c r="DCB7" s="391"/>
      <c r="DCC7" s="391"/>
      <c r="DCD7" s="391"/>
      <c r="DCE7" s="391"/>
      <c r="DCF7" s="391"/>
      <c r="DCG7" s="391"/>
      <c r="DCH7" s="391"/>
      <c r="DCI7" s="391"/>
      <c r="DCJ7" s="391"/>
      <c r="DCK7" s="391"/>
      <c r="DCL7" s="391"/>
      <c r="DCM7" s="391"/>
      <c r="DCN7" s="391"/>
      <c r="DCO7" s="391"/>
      <c r="DCP7" s="391"/>
      <c r="DCQ7" s="391"/>
      <c r="DCR7" s="391"/>
      <c r="DCS7" s="391"/>
      <c r="DCT7" s="391"/>
      <c r="DCU7" s="391"/>
      <c r="DCV7" s="391"/>
      <c r="DCW7" s="391"/>
      <c r="DCX7" s="391"/>
      <c r="DCY7" s="391"/>
      <c r="DCZ7" s="391"/>
      <c r="DDA7" s="391"/>
      <c r="DDB7" s="391"/>
      <c r="DDC7" s="391"/>
      <c r="DDD7" s="391"/>
      <c r="DDE7" s="391"/>
      <c r="DDF7" s="391"/>
      <c r="DDG7" s="391"/>
      <c r="DDH7" s="391"/>
      <c r="DDI7" s="391"/>
      <c r="DDJ7" s="391"/>
      <c r="DDK7" s="391"/>
      <c r="DDL7" s="391"/>
      <c r="DDM7" s="391"/>
      <c r="DDN7" s="391"/>
      <c r="DDO7" s="391"/>
      <c r="DDP7" s="391"/>
      <c r="DDQ7" s="391"/>
      <c r="DDR7" s="391"/>
      <c r="DDS7" s="391"/>
      <c r="DDT7" s="391"/>
      <c r="DDU7" s="391"/>
      <c r="DDV7" s="391"/>
      <c r="DDW7" s="391"/>
      <c r="DDX7" s="391"/>
      <c r="DDY7" s="391"/>
      <c r="DDZ7" s="391"/>
      <c r="DEA7" s="391"/>
      <c r="DEB7" s="391"/>
      <c r="DEC7" s="391"/>
      <c r="DED7" s="391"/>
      <c r="DEE7" s="391"/>
      <c r="DEF7" s="391"/>
      <c r="DEG7" s="391"/>
      <c r="DEH7" s="391"/>
      <c r="DEI7" s="391"/>
      <c r="DEJ7" s="391"/>
      <c r="DEK7" s="391"/>
      <c r="DEL7" s="391"/>
      <c r="DEM7" s="391"/>
      <c r="DEN7" s="391"/>
      <c r="DEO7" s="391"/>
      <c r="DEP7" s="391"/>
      <c r="DEQ7" s="391"/>
      <c r="DER7" s="391"/>
      <c r="DES7" s="391"/>
      <c r="DET7" s="391"/>
      <c r="DEU7" s="391"/>
      <c r="DEV7" s="391"/>
      <c r="DEW7" s="391"/>
      <c r="DEX7" s="391"/>
      <c r="DEY7" s="391"/>
      <c r="DEZ7" s="391"/>
      <c r="DFA7" s="391"/>
      <c r="DFB7" s="391"/>
      <c r="DFC7" s="391"/>
      <c r="DFD7" s="391"/>
      <c r="DFE7" s="391"/>
      <c r="DFF7" s="391"/>
      <c r="DFG7" s="391"/>
      <c r="DFH7" s="391"/>
      <c r="DFI7" s="391"/>
      <c r="DFJ7" s="391"/>
      <c r="DFK7" s="391"/>
      <c r="DFL7" s="391"/>
      <c r="DFM7" s="391"/>
      <c r="DFN7" s="391"/>
      <c r="DFO7" s="391"/>
      <c r="DFP7" s="391"/>
      <c r="DFQ7" s="391"/>
      <c r="DFR7" s="391"/>
      <c r="DFS7" s="391"/>
      <c r="DFT7" s="391"/>
      <c r="DFU7" s="391"/>
      <c r="DFV7" s="391"/>
      <c r="DFW7" s="391"/>
      <c r="DFX7" s="391"/>
      <c r="DFY7" s="391"/>
      <c r="DFZ7" s="391"/>
      <c r="DGA7" s="391"/>
      <c r="DGB7" s="391"/>
      <c r="DGC7" s="391"/>
      <c r="DGD7" s="391"/>
      <c r="DGE7" s="391"/>
      <c r="DGF7" s="391"/>
      <c r="DGG7" s="391"/>
      <c r="DGH7" s="391"/>
      <c r="DGI7" s="391"/>
      <c r="DGJ7" s="391"/>
      <c r="DGK7" s="391"/>
      <c r="DGL7" s="391"/>
      <c r="DGM7" s="391"/>
      <c r="DGN7" s="391"/>
      <c r="DGO7" s="391"/>
      <c r="DGP7" s="391"/>
      <c r="DGQ7" s="391"/>
      <c r="DGR7" s="391"/>
      <c r="DGS7" s="391"/>
      <c r="DGT7" s="391"/>
      <c r="DGU7" s="391"/>
      <c r="DGV7" s="391"/>
      <c r="DGW7" s="391"/>
      <c r="DGX7" s="391"/>
      <c r="DGY7" s="391"/>
      <c r="DGZ7" s="391"/>
      <c r="DHA7" s="391"/>
      <c r="DHB7" s="391"/>
      <c r="DHC7" s="391"/>
      <c r="DHD7" s="391"/>
      <c r="DHE7" s="391"/>
      <c r="DHF7" s="391"/>
      <c r="DHG7" s="391"/>
      <c r="DHH7" s="391"/>
      <c r="DHI7" s="391"/>
      <c r="DHJ7" s="391"/>
      <c r="DHK7" s="391"/>
      <c r="DHL7" s="391"/>
      <c r="DHM7" s="391"/>
      <c r="DHN7" s="391"/>
      <c r="DHO7" s="391"/>
      <c r="DHP7" s="391"/>
      <c r="DHQ7" s="391"/>
      <c r="DHR7" s="391"/>
      <c r="DHS7" s="391"/>
      <c r="DHT7" s="391"/>
      <c r="DHU7" s="391"/>
      <c r="DHV7" s="391"/>
      <c r="DHW7" s="391"/>
      <c r="DHX7" s="391"/>
      <c r="DHY7" s="391"/>
      <c r="DHZ7" s="391"/>
      <c r="DIA7" s="391"/>
      <c r="DIB7" s="391"/>
      <c r="DIC7" s="391"/>
      <c r="DID7" s="391"/>
      <c r="DIE7" s="391"/>
      <c r="DIF7" s="391"/>
      <c r="DIG7" s="391"/>
      <c r="DIH7" s="391"/>
      <c r="DII7" s="391"/>
      <c r="DIJ7" s="391"/>
      <c r="DIK7" s="391"/>
      <c r="DIL7" s="391"/>
      <c r="DIM7" s="391"/>
      <c r="DIN7" s="391"/>
      <c r="DIO7" s="391"/>
      <c r="DIP7" s="391"/>
      <c r="DIQ7" s="391"/>
      <c r="DIR7" s="391"/>
      <c r="DIS7" s="391"/>
      <c r="DIT7" s="391"/>
      <c r="DIU7" s="391"/>
      <c r="DIV7" s="391"/>
      <c r="DIW7" s="391"/>
      <c r="DIX7" s="391"/>
      <c r="DIY7" s="391"/>
      <c r="DIZ7" s="391"/>
      <c r="DJA7" s="391"/>
      <c r="DJB7" s="391"/>
      <c r="DJC7" s="391"/>
      <c r="DJD7" s="391"/>
      <c r="DJE7" s="391"/>
      <c r="DJF7" s="391"/>
      <c r="DJG7" s="391"/>
      <c r="DJH7" s="391"/>
      <c r="DJI7" s="391"/>
      <c r="DJJ7" s="391"/>
      <c r="DJK7" s="391"/>
      <c r="DJL7" s="391"/>
      <c r="DJM7" s="391"/>
      <c r="DJN7" s="391"/>
      <c r="DJO7" s="391"/>
      <c r="DJP7" s="391"/>
      <c r="DJQ7" s="391"/>
      <c r="DJR7" s="391"/>
      <c r="DJS7" s="391"/>
      <c r="DJT7" s="391"/>
      <c r="DJU7" s="391"/>
      <c r="DJV7" s="391"/>
      <c r="DJW7" s="391"/>
      <c r="DJX7" s="391"/>
      <c r="DJY7" s="391"/>
      <c r="DJZ7" s="391"/>
      <c r="DKA7" s="391"/>
      <c r="DKB7" s="391"/>
      <c r="DKC7" s="391"/>
      <c r="DKD7" s="391"/>
      <c r="DKE7" s="391"/>
      <c r="DKF7" s="391"/>
      <c r="DKG7" s="391"/>
      <c r="DKH7" s="391"/>
      <c r="DKI7" s="391"/>
      <c r="DKJ7" s="391"/>
      <c r="DKK7" s="391"/>
      <c r="DKL7" s="391"/>
      <c r="DKM7" s="391"/>
      <c r="DKN7" s="391"/>
      <c r="DKO7" s="391"/>
      <c r="DKP7" s="391"/>
      <c r="DKQ7" s="391"/>
      <c r="DKR7" s="391"/>
      <c r="DKS7" s="391"/>
      <c r="DKT7" s="391"/>
      <c r="DKU7" s="391"/>
      <c r="DKV7" s="391"/>
      <c r="DKW7" s="391"/>
      <c r="DKX7" s="391"/>
      <c r="DKY7" s="391"/>
      <c r="DKZ7" s="391"/>
      <c r="DLA7" s="391"/>
      <c r="DLB7" s="391"/>
      <c r="DLC7" s="391"/>
      <c r="DLD7" s="391"/>
      <c r="DLE7" s="391"/>
      <c r="DLF7" s="391"/>
      <c r="DLG7" s="391"/>
      <c r="DLH7" s="391"/>
      <c r="DLI7" s="391"/>
      <c r="DLJ7" s="391"/>
      <c r="DLK7" s="391"/>
      <c r="DLL7" s="391"/>
      <c r="DLM7" s="391"/>
      <c r="DLN7" s="391"/>
      <c r="DLO7" s="391"/>
      <c r="DLP7" s="391"/>
      <c r="DLQ7" s="391"/>
      <c r="DLR7" s="391"/>
      <c r="DLS7" s="391"/>
      <c r="DLT7" s="391"/>
      <c r="DLU7" s="391"/>
      <c r="DLV7" s="391"/>
      <c r="DLW7" s="391"/>
      <c r="DLX7" s="391"/>
      <c r="DLY7" s="391"/>
      <c r="DLZ7" s="391"/>
      <c r="DMA7" s="391"/>
      <c r="DMB7" s="391"/>
      <c r="DMC7" s="391"/>
      <c r="DMD7" s="391"/>
      <c r="DME7" s="391"/>
      <c r="DMF7" s="391"/>
      <c r="DMG7" s="391"/>
      <c r="DMH7" s="391"/>
      <c r="DMI7" s="391"/>
      <c r="DMJ7" s="391"/>
      <c r="DMK7" s="391"/>
      <c r="DML7" s="391"/>
      <c r="DMM7" s="391"/>
      <c r="DMN7" s="391"/>
      <c r="DMO7" s="391"/>
      <c r="DMP7" s="391"/>
      <c r="DMQ7" s="391"/>
      <c r="DMR7" s="391"/>
      <c r="DMS7" s="391"/>
      <c r="DMT7" s="391"/>
      <c r="DMU7" s="391"/>
      <c r="DMV7" s="391"/>
      <c r="DMW7" s="391"/>
      <c r="DMX7" s="391"/>
      <c r="DMY7" s="391"/>
      <c r="DMZ7" s="391"/>
      <c r="DNA7" s="391"/>
      <c r="DNB7" s="391"/>
      <c r="DNC7" s="391"/>
      <c r="DND7" s="391"/>
      <c r="DNE7" s="391"/>
      <c r="DNF7" s="391"/>
      <c r="DNG7" s="391"/>
      <c r="DNH7" s="391"/>
      <c r="DNI7" s="391"/>
      <c r="DNJ7" s="391"/>
      <c r="DNK7" s="391"/>
      <c r="DNL7" s="391"/>
      <c r="DNM7" s="391"/>
      <c r="DNN7" s="391"/>
      <c r="DNO7" s="391"/>
      <c r="DNP7" s="391"/>
      <c r="DNQ7" s="391"/>
      <c r="DNR7" s="391"/>
      <c r="DNS7" s="391"/>
      <c r="DNT7" s="391"/>
      <c r="DNU7" s="391"/>
      <c r="DNV7" s="391"/>
      <c r="DNW7" s="391"/>
      <c r="DNX7" s="391"/>
      <c r="DNY7" s="391"/>
      <c r="DNZ7" s="391"/>
      <c r="DOA7" s="391"/>
      <c r="DOB7" s="391"/>
      <c r="DOC7" s="391"/>
      <c r="DOD7" s="391"/>
      <c r="DOE7" s="391"/>
      <c r="DOF7" s="391"/>
      <c r="DOG7" s="391"/>
      <c r="DOH7" s="391"/>
      <c r="DOI7" s="391"/>
      <c r="DOJ7" s="391"/>
      <c r="DOK7" s="391"/>
      <c r="DOL7" s="391"/>
      <c r="DOM7" s="391"/>
      <c r="DON7" s="391"/>
      <c r="DOO7" s="391"/>
      <c r="DOP7" s="391"/>
      <c r="DOQ7" s="391"/>
      <c r="DOR7" s="391"/>
      <c r="DOS7" s="391"/>
      <c r="DOT7" s="391"/>
      <c r="DOU7" s="391"/>
      <c r="DOV7" s="391"/>
      <c r="DOW7" s="391"/>
      <c r="DOX7" s="391"/>
      <c r="DOY7" s="391"/>
      <c r="DOZ7" s="391"/>
      <c r="DPA7" s="391"/>
      <c r="DPB7" s="391"/>
      <c r="DPC7" s="391"/>
      <c r="DPD7" s="391"/>
      <c r="DPE7" s="391"/>
      <c r="DPF7" s="391"/>
      <c r="DPG7" s="391"/>
      <c r="DPH7" s="391"/>
      <c r="DPI7" s="391"/>
      <c r="DPJ7" s="391"/>
      <c r="DPK7" s="391"/>
      <c r="DPL7" s="391"/>
      <c r="DPM7" s="391"/>
      <c r="DPN7" s="391"/>
      <c r="DPO7" s="391"/>
      <c r="DPP7" s="391"/>
      <c r="DPQ7" s="391"/>
      <c r="DPR7" s="391"/>
      <c r="DPS7" s="391"/>
      <c r="DPT7" s="391"/>
      <c r="DPU7" s="391"/>
      <c r="DPV7" s="391"/>
      <c r="DPW7" s="391"/>
      <c r="DPX7" s="391"/>
      <c r="DPY7" s="391"/>
      <c r="DPZ7" s="391"/>
      <c r="DQA7" s="391"/>
      <c r="DQB7" s="391"/>
      <c r="DQC7" s="391"/>
      <c r="DQD7" s="391"/>
      <c r="DQE7" s="391"/>
      <c r="DQF7" s="391"/>
      <c r="DQG7" s="391"/>
      <c r="DQH7" s="391"/>
      <c r="DQI7" s="391"/>
      <c r="DQJ7" s="391"/>
      <c r="DQK7" s="391"/>
      <c r="DQL7" s="391"/>
      <c r="DQM7" s="391"/>
      <c r="DQN7" s="391"/>
      <c r="DQO7" s="391"/>
      <c r="DQP7" s="391"/>
      <c r="DQQ7" s="391"/>
      <c r="DQR7" s="391"/>
      <c r="DQS7" s="391"/>
      <c r="DQT7" s="391"/>
      <c r="DQU7" s="391"/>
      <c r="DQV7" s="391"/>
      <c r="DQW7" s="391"/>
      <c r="DQX7" s="391"/>
      <c r="DQY7" s="391"/>
      <c r="DQZ7" s="391"/>
      <c r="DRA7" s="391"/>
      <c r="DRB7" s="391"/>
      <c r="DRC7" s="391"/>
      <c r="DRD7" s="391"/>
      <c r="DRE7" s="391"/>
      <c r="DRF7" s="391"/>
      <c r="DRG7" s="391"/>
      <c r="DRH7" s="391"/>
      <c r="DRI7" s="391"/>
      <c r="DRJ7" s="391"/>
      <c r="DRK7" s="391"/>
      <c r="DRL7" s="391"/>
      <c r="DRM7" s="391"/>
      <c r="DRN7" s="391"/>
      <c r="DRO7" s="391"/>
      <c r="DRP7" s="391"/>
      <c r="DRQ7" s="391"/>
      <c r="DRR7" s="391"/>
      <c r="DRS7" s="391"/>
      <c r="DRT7" s="391"/>
      <c r="DRU7" s="391"/>
      <c r="DRV7" s="391"/>
      <c r="DRW7" s="391"/>
      <c r="DRX7" s="391"/>
      <c r="DRY7" s="391"/>
      <c r="DRZ7" s="391"/>
      <c r="DSA7" s="391"/>
      <c r="DSB7" s="391"/>
      <c r="DSC7" s="391"/>
      <c r="DSD7" s="391"/>
      <c r="DSE7" s="391"/>
      <c r="DSF7" s="391"/>
      <c r="DSG7" s="391"/>
      <c r="DSH7" s="391"/>
      <c r="DSI7" s="391"/>
      <c r="DSJ7" s="391"/>
      <c r="DSK7" s="391"/>
      <c r="DSL7" s="391"/>
      <c r="DSM7" s="391"/>
      <c r="DSN7" s="391"/>
      <c r="DSO7" s="391"/>
      <c r="DSP7" s="391"/>
      <c r="DSQ7" s="391"/>
      <c r="DSR7" s="391"/>
      <c r="DSS7" s="391"/>
      <c r="DST7" s="391"/>
      <c r="DSU7" s="391"/>
      <c r="DSV7" s="391"/>
      <c r="DSW7" s="391"/>
      <c r="DSX7" s="391"/>
      <c r="DSY7" s="391"/>
      <c r="DSZ7" s="391"/>
      <c r="DTA7" s="391"/>
      <c r="DTB7" s="391"/>
      <c r="DTC7" s="391"/>
      <c r="DTD7" s="391"/>
      <c r="DTE7" s="391"/>
      <c r="DTF7" s="391"/>
      <c r="DTG7" s="391"/>
      <c r="DTH7" s="391"/>
      <c r="DTI7" s="391"/>
      <c r="DTJ7" s="391"/>
      <c r="DTK7" s="391"/>
      <c r="DTL7" s="391"/>
      <c r="DTM7" s="391"/>
      <c r="DTN7" s="391"/>
      <c r="DTO7" s="391"/>
      <c r="DTP7" s="391"/>
      <c r="DTQ7" s="391"/>
      <c r="DTR7" s="391"/>
      <c r="DTS7" s="391"/>
      <c r="DTT7" s="391"/>
      <c r="DTU7" s="391"/>
      <c r="DTV7" s="391"/>
      <c r="DTW7" s="391"/>
      <c r="DTX7" s="391"/>
      <c r="DTY7" s="391"/>
      <c r="DTZ7" s="391"/>
      <c r="DUA7" s="391"/>
      <c r="DUB7" s="391"/>
      <c r="DUC7" s="391"/>
      <c r="DUD7" s="391"/>
      <c r="DUE7" s="391"/>
      <c r="DUF7" s="391"/>
      <c r="DUG7" s="391"/>
      <c r="DUH7" s="391"/>
      <c r="DUI7" s="391"/>
      <c r="DUJ7" s="391"/>
      <c r="DUK7" s="391"/>
      <c r="DUL7" s="391"/>
      <c r="DUM7" s="391"/>
      <c r="DUN7" s="391"/>
      <c r="DUO7" s="391"/>
      <c r="DUP7" s="391"/>
      <c r="DUQ7" s="391"/>
      <c r="DUR7" s="391"/>
      <c r="DUS7" s="391"/>
      <c r="DUT7" s="391"/>
      <c r="DUU7" s="391"/>
      <c r="DUV7" s="391"/>
      <c r="DUW7" s="391"/>
      <c r="DUX7" s="391"/>
      <c r="DUY7" s="391"/>
      <c r="DUZ7" s="391"/>
      <c r="DVA7" s="391"/>
      <c r="DVB7" s="391"/>
      <c r="DVC7" s="391"/>
      <c r="DVD7" s="391"/>
      <c r="DVE7" s="391"/>
      <c r="DVF7" s="391"/>
      <c r="DVG7" s="391"/>
      <c r="DVH7" s="391"/>
      <c r="DVI7" s="391"/>
      <c r="DVJ7" s="391"/>
      <c r="DVK7" s="391"/>
      <c r="DVL7" s="391"/>
      <c r="DVM7" s="391"/>
      <c r="DVN7" s="391"/>
      <c r="DVO7" s="391"/>
      <c r="DVP7" s="391"/>
      <c r="DVQ7" s="391"/>
      <c r="DVR7" s="391"/>
      <c r="DVS7" s="391"/>
      <c r="DVT7" s="391"/>
      <c r="DVU7" s="391"/>
      <c r="DVV7" s="391"/>
      <c r="DVW7" s="391"/>
      <c r="DVX7" s="391"/>
      <c r="DVY7" s="391"/>
      <c r="DVZ7" s="391"/>
      <c r="DWA7" s="391"/>
      <c r="DWB7" s="391"/>
      <c r="DWC7" s="391"/>
      <c r="DWD7" s="391"/>
      <c r="DWE7" s="391"/>
      <c r="DWF7" s="391"/>
      <c r="DWG7" s="391"/>
      <c r="DWH7" s="391"/>
      <c r="DWI7" s="391"/>
      <c r="DWJ7" s="391"/>
      <c r="DWK7" s="391"/>
      <c r="DWL7" s="391"/>
      <c r="DWM7" s="391"/>
      <c r="DWN7" s="391"/>
      <c r="DWO7" s="391"/>
      <c r="DWP7" s="391"/>
      <c r="DWQ7" s="391"/>
      <c r="DWR7" s="391"/>
      <c r="DWS7" s="391"/>
      <c r="DWT7" s="391"/>
      <c r="DWU7" s="391"/>
      <c r="DWV7" s="391"/>
      <c r="DWW7" s="391"/>
      <c r="DWX7" s="391"/>
      <c r="DWY7" s="391"/>
      <c r="DWZ7" s="391"/>
      <c r="DXA7" s="391"/>
      <c r="DXB7" s="391"/>
      <c r="DXC7" s="391"/>
      <c r="DXD7" s="391"/>
      <c r="DXE7" s="391"/>
      <c r="DXF7" s="391"/>
      <c r="DXG7" s="391"/>
      <c r="DXH7" s="391"/>
      <c r="DXI7" s="391"/>
      <c r="DXJ7" s="391"/>
      <c r="DXK7" s="391"/>
      <c r="DXL7" s="391"/>
      <c r="DXM7" s="391"/>
      <c r="DXN7" s="391"/>
      <c r="DXO7" s="391"/>
      <c r="DXP7" s="391"/>
      <c r="DXQ7" s="391"/>
      <c r="DXR7" s="391"/>
      <c r="DXS7" s="391"/>
      <c r="DXT7" s="391"/>
      <c r="DXU7" s="391"/>
      <c r="DXV7" s="391"/>
      <c r="DXW7" s="391"/>
      <c r="DXX7" s="391"/>
      <c r="DXY7" s="391"/>
      <c r="DXZ7" s="391"/>
      <c r="DYA7" s="391"/>
      <c r="DYB7" s="391"/>
      <c r="DYC7" s="391"/>
      <c r="DYD7" s="391"/>
      <c r="DYE7" s="391"/>
      <c r="DYF7" s="391"/>
      <c r="DYG7" s="391"/>
      <c r="DYH7" s="391"/>
      <c r="DYI7" s="391"/>
      <c r="DYJ7" s="391"/>
      <c r="DYK7" s="391"/>
      <c r="DYL7" s="391"/>
      <c r="DYM7" s="391"/>
      <c r="DYN7" s="391"/>
      <c r="DYO7" s="391"/>
      <c r="DYP7" s="391"/>
      <c r="DYQ7" s="391"/>
      <c r="DYR7" s="391"/>
      <c r="DYS7" s="391"/>
      <c r="DYT7" s="391"/>
      <c r="DYU7" s="391"/>
      <c r="DYV7" s="391"/>
      <c r="DYW7" s="391"/>
      <c r="DYX7" s="391"/>
      <c r="DYY7" s="391"/>
      <c r="DYZ7" s="391"/>
      <c r="DZA7" s="391"/>
      <c r="DZB7" s="391"/>
      <c r="DZC7" s="391"/>
      <c r="DZD7" s="391"/>
      <c r="DZE7" s="391"/>
      <c r="DZF7" s="391"/>
      <c r="DZG7" s="391"/>
      <c r="DZH7" s="391"/>
      <c r="DZI7" s="391"/>
      <c r="DZJ7" s="391"/>
      <c r="DZK7" s="391"/>
      <c r="DZL7" s="391"/>
      <c r="DZM7" s="391"/>
      <c r="DZN7" s="391"/>
      <c r="DZO7" s="391"/>
      <c r="DZP7" s="391"/>
      <c r="DZQ7" s="391"/>
      <c r="DZR7" s="391"/>
      <c r="DZS7" s="391"/>
      <c r="DZT7" s="391"/>
      <c r="DZU7" s="391"/>
      <c r="DZV7" s="391"/>
      <c r="DZW7" s="391"/>
      <c r="DZX7" s="391"/>
      <c r="DZY7" s="391"/>
      <c r="DZZ7" s="391"/>
      <c r="EAA7" s="391"/>
      <c r="EAB7" s="391"/>
      <c r="EAC7" s="391"/>
      <c r="EAD7" s="391"/>
      <c r="EAE7" s="391"/>
      <c r="EAF7" s="391"/>
      <c r="EAG7" s="391"/>
      <c r="EAH7" s="391"/>
      <c r="EAI7" s="391"/>
      <c r="EAJ7" s="391"/>
      <c r="EAK7" s="391"/>
      <c r="EAL7" s="391"/>
      <c r="EAM7" s="391"/>
      <c r="EAN7" s="391"/>
      <c r="EAO7" s="391"/>
      <c r="EAP7" s="391"/>
      <c r="EAQ7" s="391"/>
      <c r="EAR7" s="391"/>
      <c r="EAS7" s="391"/>
      <c r="EAT7" s="391"/>
      <c r="EAU7" s="391"/>
      <c r="EAV7" s="391"/>
      <c r="EAW7" s="391"/>
      <c r="EAX7" s="391"/>
      <c r="EAY7" s="391"/>
      <c r="EAZ7" s="391"/>
      <c r="EBA7" s="391"/>
      <c r="EBB7" s="391"/>
      <c r="EBC7" s="391"/>
      <c r="EBD7" s="391"/>
      <c r="EBE7" s="391"/>
      <c r="EBF7" s="391"/>
      <c r="EBG7" s="391"/>
      <c r="EBH7" s="391"/>
      <c r="EBI7" s="391"/>
      <c r="EBJ7" s="391"/>
      <c r="EBK7" s="391"/>
      <c r="EBL7" s="391"/>
      <c r="EBM7" s="391"/>
      <c r="EBN7" s="391"/>
      <c r="EBO7" s="391"/>
      <c r="EBP7" s="391"/>
      <c r="EBQ7" s="391"/>
      <c r="EBR7" s="391"/>
      <c r="EBS7" s="391"/>
      <c r="EBT7" s="391"/>
      <c r="EBU7" s="391"/>
      <c r="EBV7" s="391"/>
      <c r="EBW7" s="391"/>
      <c r="EBX7" s="391"/>
      <c r="EBY7" s="391"/>
      <c r="EBZ7" s="391"/>
      <c r="ECA7" s="391"/>
      <c r="ECB7" s="391"/>
      <c r="ECC7" s="391"/>
      <c r="ECD7" s="391"/>
      <c r="ECE7" s="391"/>
      <c r="ECF7" s="391"/>
      <c r="ECG7" s="391"/>
      <c r="ECH7" s="391"/>
      <c r="ECI7" s="391"/>
      <c r="ECJ7" s="391"/>
      <c r="ECK7" s="391"/>
      <c r="ECL7" s="391"/>
      <c r="ECM7" s="391"/>
      <c r="ECN7" s="391"/>
      <c r="ECO7" s="391"/>
      <c r="ECP7" s="391"/>
      <c r="ECQ7" s="391"/>
      <c r="ECR7" s="391"/>
      <c r="ECS7" s="391"/>
      <c r="ECT7" s="391"/>
      <c r="ECU7" s="391"/>
      <c r="ECV7" s="391"/>
      <c r="ECW7" s="391"/>
      <c r="ECX7" s="391"/>
      <c r="ECY7" s="391"/>
      <c r="ECZ7" s="391"/>
      <c r="EDA7" s="391"/>
      <c r="EDB7" s="391"/>
      <c r="EDC7" s="391"/>
      <c r="EDD7" s="391"/>
      <c r="EDE7" s="391"/>
      <c r="EDF7" s="391"/>
      <c r="EDG7" s="391"/>
      <c r="EDH7" s="391"/>
      <c r="EDI7" s="391"/>
      <c r="EDJ7" s="391"/>
      <c r="EDK7" s="391"/>
      <c r="EDL7" s="391"/>
      <c r="EDM7" s="391"/>
      <c r="EDN7" s="391"/>
      <c r="EDO7" s="391"/>
      <c r="EDP7" s="391"/>
      <c r="EDQ7" s="391"/>
      <c r="EDR7" s="391"/>
      <c r="EDS7" s="391"/>
      <c r="EDT7" s="391"/>
      <c r="EDU7" s="391"/>
      <c r="EDV7" s="391"/>
      <c r="EDW7" s="391"/>
      <c r="EDX7" s="391"/>
      <c r="EDY7" s="391"/>
      <c r="EDZ7" s="391"/>
      <c r="EEA7" s="391"/>
      <c r="EEB7" s="391"/>
      <c r="EEC7" s="391"/>
      <c r="EED7" s="391"/>
      <c r="EEE7" s="391"/>
      <c r="EEF7" s="391"/>
      <c r="EEG7" s="391"/>
      <c r="EEH7" s="391"/>
      <c r="EEI7" s="391"/>
      <c r="EEJ7" s="391"/>
      <c r="EEK7" s="391"/>
      <c r="EEL7" s="391"/>
      <c r="EEM7" s="391"/>
      <c r="EEN7" s="391"/>
      <c r="EEO7" s="391"/>
      <c r="EEP7" s="391"/>
      <c r="EEQ7" s="391"/>
      <c r="EER7" s="391"/>
      <c r="EES7" s="391"/>
      <c r="EET7" s="391"/>
      <c r="EEU7" s="391"/>
      <c r="EEV7" s="391"/>
      <c r="EEW7" s="391"/>
      <c r="EEX7" s="391"/>
      <c r="EEY7" s="391"/>
      <c r="EEZ7" s="391"/>
      <c r="EFA7" s="391"/>
      <c r="EFB7" s="391"/>
      <c r="EFC7" s="391"/>
      <c r="EFD7" s="391"/>
      <c r="EFE7" s="391"/>
      <c r="EFF7" s="391"/>
      <c r="EFG7" s="391"/>
      <c r="EFH7" s="391"/>
      <c r="EFI7" s="391"/>
      <c r="EFJ7" s="391"/>
      <c r="EFK7" s="391"/>
      <c r="EFL7" s="391"/>
      <c r="EFM7" s="391"/>
      <c r="EFN7" s="391"/>
      <c r="EFO7" s="391"/>
      <c r="EFP7" s="391"/>
      <c r="EFQ7" s="391"/>
      <c r="EFR7" s="391"/>
      <c r="EFS7" s="391"/>
      <c r="EFT7" s="391"/>
      <c r="EFU7" s="391"/>
      <c r="EFV7" s="391"/>
      <c r="EFW7" s="391"/>
      <c r="EFX7" s="391"/>
      <c r="EFY7" s="391"/>
      <c r="EFZ7" s="391"/>
      <c r="EGA7" s="391"/>
      <c r="EGB7" s="391"/>
      <c r="EGC7" s="391"/>
      <c r="EGD7" s="391"/>
      <c r="EGE7" s="391"/>
      <c r="EGF7" s="391"/>
      <c r="EGG7" s="391"/>
      <c r="EGH7" s="391"/>
      <c r="EGI7" s="391"/>
      <c r="EGJ7" s="391"/>
      <c r="EGK7" s="391"/>
      <c r="EGL7" s="391"/>
      <c r="EGM7" s="391"/>
      <c r="EGN7" s="391"/>
      <c r="EGO7" s="391"/>
      <c r="EGP7" s="391"/>
      <c r="EGQ7" s="391"/>
      <c r="EGR7" s="391"/>
      <c r="EGS7" s="391"/>
      <c r="EGT7" s="391"/>
      <c r="EGU7" s="391"/>
      <c r="EGV7" s="391"/>
      <c r="EGW7" s="391"/>
      <c r="EGX7" s="391"/>
      <c r="EGY7" s="391"/>
      <c r="EGZ7" s="391"/>
      <c r="EHA7" s="391"/>
      <c r="EHB7" s="391"/>
      <c r="EHC7" s="391"/>
      <c r="EHD7" s="391"/>
      <c r="EHE7" s="391"/>
      <c r="EHF7" s="391"/>
      <c r="EHG7" s="391"/>
      <c r="EHH7" s="391"/>
      <c r="EHI7" s="391"/>
      <c r="EHJ7" s="391"/>
      <c r="EHK7" s="391"/>
      <c r="EHL7" s="391"/>
      <c r="EHM7" s="391"/>
      <c r="EHN7" s="391"/>
      <c r="EHO7" s="391"/>
      <c r="EHP7" s="391"/>
      <c r="EHQ7" s="391"/>
      <c r="EHR7" s="391"/>
      <c r="EHS7" s="391"/>
      <c r="EHT7" s="391"/>
      <c r="EHU7" s="391"/>
      <c r="EHV7" s="391"/>
      <c r="EHW7" s="391"/>
      <c r="EHX7" s="391"/>
      <c r="EHY7" s="391"/>
      <c r="EHZ7" s="391"/>
      <c r="EIA7" s="391"/>
      <c r="EIB7" s="391"/>
      <c r="EIC7" s="391"/>
      <c r="EID7" s="391"/>
      <c r="EIE7" s="391"/>
      <c r="EIF7" s="391"/>
      <c r="EIG7" s="391"/>
      <c r="EIH7" s="391"/>
      <c r="EII7" s="391"/>
      <c r="EIJ7" s="391"/>
      <c r="EIK7" s="391"/>
      <c r="EIL7" s="391"/>
      <c r="EIM7" s="391"/>
      <c r="EIN7" s="391"/>
      <c r="EIO7" s="391"/>
      <c r="EIP7" s="391"/>
      <c r="EIQ7" s="391"/>
      <c r="EIR7" s="391"/>
      <c r="EIS7" s="391"/>
      <c r="EIT7" s="391"/>
      <c r="EIU7" s="391"/>
      <c r="EIV7" s="391"/>
      <c r="EIW7" s="391"/>
      <c r="EIX7" s="391"/>
      <c r="EIY7" s="391"/>
      <c r="EIZ7" s="391"/>
      <c r="EJA7" s="391"/>
      <c r="EJB7" s="391"/>
      <c r="EJC7" s="391"/>
      <c r="EJD7" s="391"/>
      <c r="EJE7" s="391"/>
      <c r="EJF7" s="391"/>
      <c r="EJG7" s="391"/>
      <c r="EJH7" s="391"/>
      <c r="EJI7" s="391"/>
      <c r="EJJ7" s="391"/>
      <c r="EJK7" s="391"/>
      <c r="EJL7" s="391"/>
      <c r="EJM7" s="391"/>
      <c r="EJN7" s="391"/>
      <c r="EJO7" s="391"/>
      <c r="EJP7" s="391"/>
      <c r="EJQ7" s="391"/>
      <c r="EJR7" s="391"/>
      <c r="EJS7" s="391"/>
      <c r="EJT7" s="391"/>
      <c r="EJU7" s="391"/>
      <c r="EJV7" s="391"/>
      <c r="EJW7" s="391"/>
      <c r="EJX7" s="391"/>
      <c r="EJY7" s="391"/>
      <c r="EJZ7" s="391"/>
      <c r="EKA7" s="391"/>
      <c r="EKB7" s="391"/>
      <c r="EKC7" s="391"/>
      <c r="EKD7" s="391"/>
      <c r="EKE7" s="391"/>
      <c r="EKF7" s="391"/>
      <c r="EKG7" s="391"/>
      <c r="EKH7" s="391"/>
      <c r="EKI7" s="391"/>
      <c r="EKJ7" s="391"/>
      <c r="EKK7" s="391"/>
      <c r="EKL7" s="391"/>
      <c r="EKM7" s="391"/>
      <c r="EKN7" s="391"/>
      <c r="EKO7" s="391"/>
      <c r="EKP7" s="391"/>
      <c r="EKQ7" s="391"/>
      <c r="EKR7" s="391"/>
      <c r="EKS7" s="391"/>
      <c r="EKT7" s="391"/>
      <c r="EKU7" s="391"/>
      <c r="EKV7" s="391"/>
      <c r="EKW7" s="391"/>
      <c r="EKX7" s="391"/>
      <c r="EKY7" s="391"/>
      <c r="EKZ7" s="391"/>
      <c r="ELA7" s="391"/>
      <c r="ELB7" s="391"/>
      <c r="ELC7" s="391"/>
      <c r="ELD7" s="391"/>
      <c r="ELE7" s="391"/>
      <c r="ELF7" s="391"/>
      <c r="ELG7" s="391"/>
      <c r="ELH7" s="391"/>
      <c r="ELI7" s="391"/>
      <c r="ELJ7" s="391"/>
      <c r="ELK7" s="391"/>
      <c r="ELL7" s="391"/>
      <c r="ELM7" s="391"/>
      <c r="ELN7" s="391"/>
      <c r="ELO7" s="391"/>
      <c r="ELP7" s="391"/>
      <c r="ELQ7" s="391"/>
      <c r="ELR7" s="391"/>
      <c r="ELS7" s="391"/>
      <c r="ELT7" s="391"/>
      <c r="ELU7" s="391"/>
      <c r="ELV7" s="391"/>
      <c r="ELW7" s="391"/>
      <c r="ELX7" s="391"/>
      <c r="ELY7" s="391"/>
      <c r="ELZ7" s="391"/>
      <c r="EMA7" s="391"/>
      <c r="EMB7" s="391"/>
      <c r="EMC7" s="391"/>
      <c r="EMD7" s="391"/>
      <c r="EME7" s="391"/>
      <c r="EMF7" s="391"/>
      <c r="EMG7" s="391"/>
      <c r="EMH7" s="391"/>
      <c r="EMI7" s="391"/>
      <c r="EMJ7" s="391"/>
      <c r="EMK7" s="391"/>
      <c r="EML7" s="391"/>
      <c r="EMM7" s="391"/>
      <c r="EMN7" s="391"/>
      <c r="EMO7" s="391"/>
      <c r="EMP7" s="391"/>
      <c r="EMQ7" s="391"/>
      <c r="EMR7" s="391"/>
      <c r="EMS7" s="391"/>
      <c r="EMT7" s="391"/>
      <c r="EMU7" s="391"/>
      <c r="EMV7" s="391"/>
      <c r="EMW7" s="391"/>
      <c r="EMX7" s="391"/>
      <c r="EMY7" s="391"/>
      <c r="EMZ7" s="391"/>
      <c r="ENA7" s="391"/>
      <c r="ENB7" s="391"/>
      <c r="ENC7" s="391"/>
      <c r="END7" s="391"/>
      <c r="ENE7" s="391"/>
      <c r="ENF7" s="391"/>
      <c r="ENG7" s="391"/>
      <c r="ENH7" s="391"/>
      <c r="ENI7" s="391"/>
      <c r="ENJ7" s="391"/>
      <c r="ENK7" s="391"/>
      <c r="ENL7" s="391"/>
      <c r="ENM7" s="391"/>
      <c r="ENN7" s="391"/>
      <c r="ENO7" s="391"/>
      <c r="ENP7" s="391"/>
      <c r="ENQ7" s="391"/>
      <c r="ENR7" s="391"/>
      <c r="ENS7" s="391"/>
      <c r="ENT7" s="391"/>
      <c r="ENU7" s="391"/>
      <c r="ENV7" s="391"/>
      <c r="ENW7" s="391"/>
      <c r="ENX7" s="391"/>
      <c r="ENY7" s="391"/>
      <c r="ENZ7" s="391"/>
      <c r="EOA7" s="391"/>
      <c r="EOB7" s="391"/>
      <c r="EOC7" s="391"/>
      <c r="EOD7" s="391"/>
      <c r="EOE7" s="391"/>
      <c r="EOF7" s="391"/>
      <c r="EOG7" s="391"/>
      <c r="EOH7" s="391"/>
      <c r="EOI7" s="391"/>
      <c r="EOJ7" s="391"/>
      <c r="EOK7" s="391"/>
      <c r="EOL7" s="391"/>
      <c r="EOM7" s="391"/>
      <c r="EON7" s="391"/>
      <c r="EOO7" s="391"/>
      <c r="EOP7" s="391"/>
      <c r="EOQ7" s="391"/>
      <c r="EOR7" s="391"/>
      <c r="EOS7" s="391"/>
      <c r="EOT7" s="391"/>
      <c r="EOU7" s="391"/>
      <c r="EOV7" s="391"/>
      <c r="EOW7" s="391"/>
      <c r="EOX7" s="391"/>
      <c r="EOY7" s="391"/>
      <c r="EOZ7" s="391"/>
      <c r="EPA7" s="391"/>
      <c r="EPB7" s="391"/>
      <c r="EPC7" s="391"/>
      <c r="EPD7" s="391"/>
      <c r="EPE7" s="391"/>
      <c r="EPF7" s="391"/>
      <c r="EPG7" s="391"/>
      <c r="EPH7" s="391"/>
      <c r="EPI7" s="391"/>
      <c r="EPJ7" s="391"/>
      <c r="EPK7" s="391"/>
      <c r="EPL7" s="391"/>
      <c r="EPM7" s="391"/>
      <c r="EPN7" s="391"/>
      <c r="EPO7" s="391"/>
      <c r="EPP7" s="391"/>
      <c r="EPQ7" s="391"/>
      <c r="EPR7" s="391"/>
      <c r="EPS7" s="391"/>
      <c r="EPT7" s="391"/>
      <c r="EPU7" s="391"/>
      <c r="EPV7" s="391"/>
      <c r="EPW7" s="391"/>
      <c r="EPX7" s="391"/>
      <c r="EPY7" s="391"/>
      <c r="EPZ7" s="391"/>
      <c r="EQA7" s="391"/>
      <c r="EQB7" s="391"/>
      <c r="EQC7" s="391"/>
      <c r="EQD7" s="391"/>
      <c r="EQE7" s="391"/>
      <c r="EQF7" s="391"/>
      <c r="EQG7" s="391"/>
      <c r="EQH7" s="391"/>
      <c r="EQI7" s="391"/>
      <c r="EQJ7" s="391"/>
      <c r="EQK7" s="391"/>
      <c r="EQL7" s="391"/>
      <c r="EQM7" s="391"/>
      <c r="EQN7" s="391"/>
      <c r="EQO7" s="391"/>
      <c r="EQP7" s="391"/>
      <c r="EQQ7" s="391"/>
      <c r="EQR7" s="391"/>
      <c r="EQS7" s="391"/>
      <c r="EQT7" s="391"/>
      <c r="EQU7" s="391"/>
      <c r="EQV7" s="391"/>
      <c r="EQW7" s="391"/>
      <c r="EQX7" s="391"/>
      <c r="EQY7" s="391"/>
      <c r="EQZ7" s="391"/>
      <c r="ERA7" s="391"/>
      <c r="ERB7" s="391"/>
      <c r="ERC7" s="391"/>
      <c r="ERD7" s="391"/>
      <c r="ERE7" s="391"/>
      <c r="ERF7" s="391"/>
      <c r="ERG7" s="391"/>
      <c r="ERH7" s="391"/>
      <c r="ERI7" s="391"/>
      <c r="ERJ7" s="391"/>
      <c r="ERK7" s="391"/>
      <c r="ERL7" s="391"/>
      <c r="ERM7" s="391"/>
      <c r="ERN7" s="391"/>
      <c r="ERO7" s="391"/>
      <c r="ERP7" s="391"/>
      <c r="ERQ7" s="391"/>
      <c r="ERR7" s="391"/>
      <c r="ERS7" s="391"/>
      <c r="ERT7" s="391"/>
      <c r="ERU7" s="391"/>
      <c r="ERV7" s="391"/>
      <c r="ERW7" s="391"/>
      <c r="ERX7" s="391"/>
      <c r="ERY7" s="391"/>
      <c r="ERZ7" s="391"/>
      <c r="ESA7" s="391"/>
      <c r="ESB7" s="391"/>
      <c r="ESC7" s="391"/>
      <c r="ESD7" s="391"/>
      <c r="ESE7" s="391"/>
      <c r="ESF7" s="391"/>
      <c r="ESG7" s="391"/>
      <c r="ESH7" s="391"/>
      <c r="ESI7" s="391"/>
      <c r="ESJ7" s="391"/>
      <c r="ESK7" s="391"/>
      <c r="ESL7" s="391"/>
      <c r="ESM7" s="391"/>
      <c r="ESN7" s="391"/>
      <c r="ESO7" s="391"/>
      <c r="ESP7" s="391"/>
      <c r="ESQ7" s="391"/>
      <c r="ESR7" s="391"/>
      <c r="ESS7" s="391"/>
      <c r="EST7" s="391"/>
      <c r="ESU7" s="391"/>
      <c r="ESV7" s="391"/>
      <c r="ESW7" s="391"/>
      <c r="ESX7" s="391"/>
      <c r="ESY7" s="391"/>
      <c r="ESZ7" s="391"/>
      <c r="ETA7" s="391"/>
      <c r="ETB7" s="391"/>
      <c r="ETC7" s="391"/>
      <c r="ETD7" s="391"/>
      <c r="ETE7" s="391"/>
      <c r="ETF7" s="391"/>
      <c r="ETG7" s="391"/>
      <c r="ETH7" s="391"/>
      <c r="ETI7" s="391"/>
      <c r="ETJ7" s="391"/>
      <c r="ETK7" s="391"/>
      <c r="ETL7" s="391"/>
      <c r="ETM7" s="391"/>
      <c r="ETN7" s="391"/>
      <c r="ETO7" s="391"/>
      <c r="ETP7" s="391"/>
      <c r="ETQ7" s="391"/>
      <c r="ETR7" s="391"/>
      <c r="ETS7" s="391"/>
      <c r="ETT7" s="391"/>
      <c r="ETU7" s="391"/>
      <c r="ETV7" s="391"/>
      <c r="ETW7" s="391"/>
      <c r="ETX7" s="391"/>
      <c r="ETY7" s="391"/>
      <c r="ETZ7" s="391"/>
      <c r="EUA7" s="391"/>
      <c r="EUB7" s="391"/>
      <c r="EUC7" s="391"/>
      <c r="EUD7" s="391"/>
      <c r="EUE7" s="391"/>
      <c r="EUF7" s="391"/>
      <c r="EUG7" s="391"/>
      <c r="EUH7" s="391"/>
      <c r="EUI7" s="391"/>
      <c r="EUJ7" s="391"/>
      <c r="EUK7" s="391"/>
      <c r="EUL7" s="391"/>
      <c r="EUM7" s="391"/>
      <c r="EUN7" s="391"/>
      <c r="EUO7" s="391"/>
      <c r="EUP7" s="391"/>
      <c r="EUQ7" s="391"/>
      <c r="EUR7" s="391"/>
      <c r="EUS7" s="391"/>
      <c r="EUT7" s="391"/>
      <c r="EUU7" s="391"/>
      <c r="EUV7" s="391"/>
      <c r="EUW7" s="391"/>
      <c r="EUX7" s="391"/>
      <c r="EUY7" s="391"/>
      <c r="EUZ7" s="391"/>
      <c r="EVA7" s="391"/>
      <c r="EVB7" s="391"/>
      <c r="EVC7" s="391"/>
      <c r="EVD7" s="391"/>
      <c r="EVE7" s="391"/>
      <c r="EVF7" s="391"/>
      <c r="EVG7" s="391"/>
      <c r="EVH7" s="391"/>
      <c r="EVI7" s="391"/>
      <c r="EVJ7" s="391"/>
      <c r="EVK7" s="391"/>
      <c r="EVL7" s="391"/>
      <c r="EVM7" s="391"/>
      <c r="EVN7" s="391"/>
      <c r="EVO7" s="391"/>
      <c r="EVP7" s="391"/>
      <c r="EVQ7" s="391"/>
      <c r="EVR7" s="391"/>
      <c r="EVS7" s="391"/>
      <c r="EVT7" s="391"/>
      <c r="EVU7" s="391"/>
      <c r="EVV7" s="391"/>
      <c r="EVW7" s="391"/>
      <c r="EVX7" s="391"/>
      <c r="EVY7" s="391"/>
      <c r="EVZ7" s="391"/>
      <c r="EWA7" s="391"/>
      <c r="EWB7" s="391"/>
      <c r="EWC7" s="391"/>
      <c r="EWD7" s="391"/>
      <c r="EWE7" s="391"/>
      <c r="EWF7" s="391"/>
      <c r="EWG7" s="391"/>
      <c r="EWH7" s="391"/>
      <c r="EWI7" s="391"/>
      <c r="EWJ7" s="391"/>
      <c r="EWK7" s="391"/>
      <c r="EWL7" s="391"/>
      <c r="EWM7" s="391"/>
      <c r="EWN7" s="391"/>
      <c r="EWO7" s="391"/>
      <c r="EWP7" s="391"/>
      <c r="EWQ7" s="391"/>
      <c r="EWR7" s="391"/>
      <c r="EWS7" s="391"/>
      <c r="EWT7" s="391"/>
      <c r="EWU7" s="391"/>
      <c r="EWV7" s="391"/>
      <c r="EWW7" s="391"/>
      <c r="EWX7" s="391"/>
      <c r="EWY7" s="391"/>
      <c r="EWZ7" s="391"/>
      <c r="EXA7" s="391"/>
      <c r="EXB7" s="391"/>
      <c r="EXC7" s="391"/>
      <c r="EXD7" s="391"/>
      <c r="EXE7" s="391"/>
      <c r="EXF7" s="391"/>
      <c r="EXG7" s="391"/>
      <c r="EXH7" s="391"/>
      <c r="EXI7" s="391"/>
      <c r="EXJ7" s="391"/>
      <c r="EXK7" s="391"/>
      <c r="EXL7" s="391"/>
      <c r="EXM7" s="391"/>
      <c r="EXN7" s="391"/>
      <c r="EXO7" s="391"/>
      <c r="EXP7" s="391"/>
      <c r="EXQ7" s="391"/>
      <c r="EXR7" s="391"/>
      <c r="EXS7" s="391"/>
      <c r="EXT7" s="391"/>
      <c r="EXU7" s="391"/>
      <c r="EXV7" s="391"/>
      <c r="EXW7" s="391"/>
      <c r="EXX7" s="391"/>
      <c r="EXY7" s="391"/>
      <c r="EXZ7" s="391"/>
      <c r="EYA7" s="391"/>
      <c r="EYB7" s="391"/>
      <c r="EYC7" s="391"/>
      <c r="EYD7" s="391"/>
      <c r="EYE7" s="391"/>
      <c r="EYF7" s="391"/>
      <c r="EYG7" s="391"/>
      <c r="EYH7" s="391"/>
      <c r="EYI7" s="391"/>
      <c r="EYJ7" s="391"/>
      <c r="EYK7" s="391"/>
      <c r="EYL7" s="391"/>
      <c r="EYM7" s="391"/>
      <c r="EYN7" s="391"/>
      <c r="EYO7" s="391"/>
      <c r="EYP7" s="391"/>
      <c r="EYQ7" s="391"/>
      <c r="EYR7" s="391"/>
      <c r="EYS7" s="391"/>
      <c r="EYT7" s="391"/>
      <c r="EYU7" s="391"/>
      <c r="EYV7" s="391"/>
      <c r="EYW7" s="391"/>
      <c r="EYX7" s="391"/>
      <c r="EYY7" s="391"/>
      <c r="EYZ7" s="391"/>
      <c r="EZA7" s="391"/>
      <c r="EZB7" s="391"/>
      <c r="EZC7" s="391"/>
      <c r="EZD7" s="391"/>
      <c r="EZE7" s="391"/>
      <c r="EZF7" s="391"/>
      <c r="EZG7" s="391"/>
      <c r="EZH7" s="391"/>
      <c r="EZI7" s="391"/>
      <c r="EZJ7" s="391"/>
      <c r="EZK7" s="391"/>
      <c r="EZL7" s="391"/>
      <c r="EZM7" s="391"/>
      <c r="EZN7" s="391"/>
      <c r="EZO7" s="391"/>
      <c r="EZP7" s="391"/>
      <c r="EZQ7" s="391"/>
      <c r="EZR7" s="391"/>
      <c r="EZS7" s="391"/>
      <c r="EZT7" s="391"/>
      <c r="EZU7" s="391"/>
      <c r="EZV7" s="391"/>
      <c r="EZW7" s="391"/>
      <c r="EZX7" s="391"/>
      <c r="EZY7" s="391"/>
      <c r="EZZ7" s="391"/>
      <c r="FAA7" s="391"/>
      <c r="FAB7" s="391"/>
      <c r="FAC7" s="391"/>
      <c r="FAD7" s="391"/>
      <c r="FAE7" s="391"/>
      <c r="FAF7" s="391"/>
      <c r="FAG7" s="391"/>
      <c r="FAH7" s="391"/>
      <c r="FAI7" s="391"/>
      <c r="FAJ7" s="391"/>
      <c r="FAK7" s="391"/>
      <c r="FAL7" s="391"/>
      <c r="FAM7" s="391"/>
      <c r="FAN7" s="391"/>
      <c r="FAO7" s="391"/>
      <c r="FAP7" s="391"/>
      <c r="FAQ7" s="391"/>
      <c r="FAR7" s="391"/>
      <c r="FAS7" s="391"/>
      <c r="FAT7" s="391"/>
      <c r="FAU7" s="391"/>
      <c r="FAV7" s="391"/>
      <c r="FAW7" s="391"/>
      <c r="FAX7" s="391"/>
      <c r="FAY7" s="391"/>
      <c r="FAZ7" s="391"/>
      <c r="FBA7" s="391"/>
      <c r="FBB7" s="391"/>
      <c r="FBC7" s="391"/>
      <c r="FBD7" s="391"/>
      <c r="FBE7" s="391"/>
      <c r="FBF7" s="391"/>
      <c r="FBG7" s="391"/>
      <c r="FBH7" s="391"/>
      <c r="FBI7" s="391"/>
      <c r="FBJ7" s="391"/>
      <c r="FBK7" s="391"/>
      <c r="FBL7" s="391"/>
      <c r="FBM7" s="391"/>
      <c r="FBN7" s="391"/>
      <c r="FBO7" s="391"/>
      <c r="FBP7" s="391"/>
      <c r="FBQ7" s="391"/>
      <c r="FBR7" s="391"/>
      <c r="FBS7" s="391"/>
      <c r="FBT7" s="391"/>
      <c r="FBU7" s="391"/>
      <c r="FBV7" s="391"/>
      <c r="FBW7" s="391"/>
      <c r="FBX7" s="391"/>
      <c r="FBY7" s="391"/>
      <c r="FBZ7" s="391"/>
      <c r="FCA7" s="391"/>
      <c r="FCB7" s="391"/>
      <c r="FCC7" s="391"/>
      <c r="FCD7" s="391"/>
      <c r="FCE7" s="391"/>
      <c r="FCF7" s="391"/>
      <c r="FCG7" s="391"/>
      <c r="FCH7" s="391"/>
      <c r="FCI7" s="391"/>
      <c r="FCJ7" s="391"/>
      <c r="FCK7" s="391"/>
      <c r="FCL7" s="391"/>
      <c r="FCM7" s="391"/>
      <c r="FCN7" s="391"/>
      <c r="FCO7" s="391"/>
      <c r="FCP7" s="391"/>
      <c r="FCQ7" s="391"/>
      <c r="FCR7" s="391"/>
      <c r="FCS7" s="391"/>
      <c r="FCT7" s="391"/>
      <c r="FCU7" s="391"/>
      <c r="FCV7" s="391"/>
      <c r="FCW7" s="391"/>
      <c r="FCX7" s="391"/>
      <c r="FCY7" s="391"/>
      <c r="FCZ7" s="391"/>
      <c r="FDA7" s="391"/>
      <c r="FDB7" s="391"/>
      <c r="FDC7" s="391"/>
      <c r="FDD7" s="391"/>
      <c r="FDE7" s="391"/>
      <c r="FDF7" s="391"/>
      <c r="FDG7" s="391"/>
      <c r="FDH7" s="391"/>
      <c r="FDI7" s="391"/>
      <c r="FDJ7" s="391"/>
      <c r="FDK7" s="391"/>
      <c r="FDL7" s="391"/>
      <c r="FDM7" s="391"/>
      <c r="FDN7" s="391"/>
      <c r="FDO7" s="391"/>
      <c r="FDP7" s="391"/>
      <c r="FDQ7" s="391"/>
      <c r="FDR7" s="391"/>
      <c r="FDS7" s="391"/>
      <c r="FDT7" s="391"/>
      <c r="FDU7" s="391"/>
      <c r="FDV7" s="391"/>
      <c r="FDW7" s="391"/>
      <c r="FDX7" s="391"/>
      <c r="FDY7" s="391"/>
      <c r="FDZ7" s="391"/>
      <c r="FEA7" s="391"/>
      <c r="FEB7" s="391"/>
      <c r="FEC7" s="391"/>
      <c r="FED7" s="391"/>
      <c r="FEE7" s="391"/>
      <c r="FEF7" s="391"/>
      <c r="FEG7" s="391"/>
      <c r="FEH7" s="391"/>
      <c r="FEI7" s="391"/>
      <c r="FEJ7" s="391"/>
      <c r="FEK7" s="391"/>
      <c r="FEL7" s="391"/>
      <c r="FEM7" s="391"/>
      <c r="FEN7" s="391"/>
      <c r="FEO7" s="391"/>
      <c r="FEP7" s="391"/>
      <c r="FEQ7" s="391"/>
      <c r="FER7" s="391"/>
      <c r="FES7" s="391"/>
      <c r="FET7" s="391"/>
      <c r="FEU7" s="391"/>
      <c r="FEV7" s="391"/>
      <c r="FEW7" s="391"/>
      <c r="FEX7" s="391"/>
      <c r="FEY7" s="391"/>
      <c r="FEZ7" s="391"/>
      <c r="FFA7" s="391"/>
      <c r="FFB7" s="391"/>
      <c r="FFC7" s="391"/>
      <c r="FFD7" s="391"/>
      <c r="FFE7" s="391"/>
      <c r="FFF7" s="391"/>
      <c r="FFG7" s="391"/>
      <c r="FFH7" s="391"/>
      <c r="FFI7" s="391"/>
      <c r="FFJ7" s="391"/>
      <c r="FFK7" s="391"/>
      <c r="FFL7" s="391"/>
      <c r="FFM7" s="391"/>
      <c r="FFN7" s="391"/>
      <c r="FFO7" s="391"/>
      <c r="FFP7" s="391"/>
      <c r="FFQ7" s="391"/>
      <c r="FFR7" s="391"/>
      <c r="FFS7" s="391"/>
      <c r="FFT7" s="391"/>
      <c r="FFU7" s="391"/>
      <c r="FFV7" s="391"/>
      <c r="FFW7" s="391"/>
      <c r="FFX7" s="391"/>
      <c r="FFY7" s="391"/>
      <c r="FFZ7" s="391"/>
      <c r="FGA7" s="391"/>
      <c r="FGB7" s="391"/>
      <c r="FGC7" s="391"/>
      <c r="FGD7" s="391"/>
      <c r="FGE7" s="391"/>
      <c r="FGF7" s="391"/>
      <c r="FGG7" s="391"/>
      <c r="FGH7" s="391"/>
      <c r="FGI7" s="391"/>
      <c r="FGJ7" s="391"/>
      <c r="FGK7" s="391"/>
      <c r="FGL7" s="391"/>
      <c r="FGM7" s="391"/>
      <c r="FGN7" s="391"/>
      <c r="FGO7" s="391"/>
      <c r="FGP7" s="391"/>
      <c r="FGQ7" s="391"/>
      <c r="FGR7" s="391"/>
      <c r="FGS7" s="391"/>
      <c r="FGT7" s="391"/>
      <c r="FGU7" s="391"/>
      <c r="FGV7" s="391"/>
      <c r="FGW7" s="391"/>
      <c r="FGX7" s="391"/>
      <c r="FGY7" s="391"/>
      <c r="FGZ7" s="391"/>
      <c r="FHA7" s="391"/>
      <c r="FHB7" s="391"/>
      <c r="FHC7" s="391"/>
      <c r="FHD7" s="391"/>
      <c r="FHE7" s="391"/>
      <c r="FHF7" s="391"/>
      <c r="FHG7" s="391"/>
      <c r="FHH7" s="391"/>
      <c r="FHI7" s="391"/>
      <c r="FHJ7" s="391"/>
      <c r="FHK7" s="391"/>
      <c r="FHL7" s="391"/>
      <c r="FHM7" s="391"/>
      <c r="FHN7" s="391"/>
      <c r="FHO7" s="391"/>
      <c r="FHP7" s="391"/>
      <c r="FHQ7" s="391"/>
      <c r="FHR7" s="391"/>
      <c r="FHS7" s="391"/>
      <c r="FHT7" s="391"/>
      <c r="FHU7" s="391"/>
      <c r="FHV7" s="391"/>
      <c r="FHW7" s="391"/>
      <c r="FHX7" s="391"/>
      <c r="FHY7" s="391"/>
      <c r="FHZ7" s="391"/>
      <c r="FIA7" s="391"/>
      <c r="FIB7" s="391"/>
      <c r="FIC7" s="391"/>
      <c r="FID7" s="391"/>
      <c r="FIE7" s="391"/>
      <c r="FIF7" s="391"/>
      <c r="FIG7" s="391"/>
      <c r="FIH7" s="391"/>
      <c r="FII7" s="391"/>
      <c r="FIJ7" s="391"/>
      <c r="FIK7" s="391"/>
      <c r="FIL7" s="391"/>
      <c r="FIM7" s="391"/>
      <c r="FIN7" s="391"/>
      <c r="FIO7" s="391"/>
      <c r="FIP7" s="391"/>
      <c r="FIQ7" s="391"/>
      <c r="FIR7" s="391"/>
      <c r="FIS7" s="391"/>
      <c r="FIT7" s="391"/>
      <c r="FIU7" s="391"/>
      <c r="FIV7" s="391"/>
      <c r="FIW7" s="391"/>
      <c r="FIX7" s="391"/>
      <c r="FIY7" s="391"/>
      <c r="FIZ7" s="391"/>
      <c r="FJA7" s="391"/>
      <c r="FJB7" s="391"/>
      <c r="FJC7" s="391"/>
      <c r="FJD7" s="391"/>
      <c r="FJE7" s="391"/>
      <c r="FJF7" s="391"/>
      <c r="FJG7" s="391"/>
      <c r="FJH7" s="391"/>
      <c r="FJI7" s="391"/>
      <c r="FJJ7" s="391"/>
      <c r="FJK7" s="391"/>
      <c r="FJL7" s="391"/>
      <c r="FJM7" s="391"/>
      <c r="FJN7" s="391"/>
      <c r="FJO7" s="391"/>
      <c r="FJP7" s="391"/>
      <c r="FJQ7" s="391"/>
      <c r="FJR7" s="391"/>
      <c r="FJS7" s="391"/>
      <c r="FJT7" s="391"/>
      <c r="FJU7" s="391"/>
      <c r="FJV7" s="391"/>
      <c r="FJW7" s="391"/>
      <c r="FJX7" s="391"/>
      <c r="FJY7" s="391"/>
      <c r="FJZ7" s="391"/>
      <c r="FKA7" s="391"/>
      <c r="FKB7" s="391"/>
      <c r="FKC7" s="391"/>
      <c r="FKD7" s="391"/>
      <c r="FKE7" s="391"/>
      <c r="FKF7" s="391"/>
      <c r="FKG7" s="391"/>
      <c r="FKH7" s="391"/>
      <c r="FKI7" s="391"/>
      <c r="FKJ7" s="391"/>
      <c r="FKK7" s="391"/>
      <c r="FKL7" s="391"/>
      <c r="FKM7" s="391"/>
      <c r="FKN7" s="391"/>
      <c r="FKO7" s="391"/>
      <c r="FKP7" s="391"/>
      <c r="FKQ7" s="391"/>
      <c r="FKR7" s="391"/>
      <c r="FKS7" s="391"/>
      <c r="FKT7" s="391"/>
      <c r="FKU7" s="391"/>
      <c r="FKV7" s="391"/>
      <c r="FKW7" s="391"/>
      <c r="FKX7" s="391"/>
      <c r="FKY7" s="391"/>
      <c r="FKZ7" s="391"/>
      <c r="FLA7" s="391"/>
      <c r="FLB7" s="391"/>
      <c r="FLC7" s="391"/>
      <c r="FLD7" s="391"/>
      <c r="FLE7" s="391"/>
      <c r="FLF7" s="391"/>
      <c r="FLG7" s="391"/>
      <c r="FLH7" s="391"/>
      <c r="FLI7" s="391"/>
      <c r="FLJ7" s="391"/>
      <c r="FLK7" s="391"/>
      <c r="FLL7" s="391"/>
      <c r="FLM7" s="391"/>
      <c r="FLN7" s="391"/>
      <c r="FLO7" s="391"/>
      <c r="FLP7" s="391"/>
      <c r="FLQ7" s="391"/>
      <c r="FLR7" s="391"/>
      <c r="FLS7" s="391"/>
      <c r="FLT7" s="391"/>
      <c r="FLU7" s="391"/>
      <c r="FLV7" s="391"/>
      <c r="FLW7" s="391"/>
      <c r="FLX7" s="391"/>
      <c r="FLY7" s="391"/>
      <c r="FLZ7" s="391"/>
      <c r="FMA7" s="391"/>
      <c r="FMB7" s="391"/>
      <c r="FMC7" s="391"/>
      <c r="FMD7" s="391"/>
      <c r="FME7" s="391"/>
      <c r="FMF7" s="391"/>
      <c r="FMG7" s="391"/>
      <c r="FMH7" s="391"/>
      <c r="FMI7" s="391"/>
      <c r="FMJ7" s="391"/>
      <c r="FMK7" s="391"/>
      <c r="FML7" s="391"/>
      <c r="FMM7" s="391"/>
      <c r="FMN7" s="391"/>
      <c r="FMO7" s="391"/>
      <c r="FMP7" s="391"/>
      <c r="FMQ7" s="391"/>
      <c r="FMR7" s="391"/>
      <c r="FMS7" s="391"/>
      <c r="FMT7" s="391"/>
      <c r="FMU7" s="391"/>
      <c r="FMV7" s="391"/>
      <c r="FMW7" s="391"/>
      <c r="FMX7" s="391"/>
      <c r="FMY7" s="391"/>
      <c r="FMZ7" s="391"/>
      <c r="FNA7" s="391"/>
      <c r="FNB7" s="391"/>
      <c r="FNC7" s="391"/>
      <c r="FND7" s="391"/>
      <c r="FNE7" s="391"/>
      <c r="FNF7" s="391"/>
      <c r="FNG7" s="391"/>
      <c r="FNH7" s="391"/>
      <c r="FNI7" s="391"/>
      <c r="FNJ7" s="391"/>
      <c r="FNK7" s="391"/>
      <c r="FNL7" s="391"/>
      <c r="FNM7" s="391"/>
      <c r="FNN7" s="391"/>
      <c r="FNO7" s="391"/>
      <c r="FNP7" s="391"/>
      <c r="FNQ7" s="391"/>
      <c r="FNR7" s="391"/>
      <c r="FNS7" s="391"/>
      <c r="FNT7" s="391"/>
      <c r="FNU7" s="391"/>
      <c r="FNV7" s="391"/>
      <c r="FNW7" s="391"/>
      <c r="FNX7" s="391"/>
      <c r="FNY7" s="391"/>
      <c r="FNZ7" s="391"/>
      <c r="FOA7" s="391"/>
      <c r="FOB7" s="391"/>
      <c r="FOC7" s="391"/>
      <c r="FOD7" s="391"/>
      <c r="FOE7" s="391"/>
      <c r="FOF7" s="391"/>
      <c r="FOG7" s="391"/>
      <c r="FOH7" s="391"/>
      <c r="FOI7" s="391"/>
      <c r="FOJ7" s="391"/>
      <c r="FOK7" s="391"/>
      <c r="FOL7" s="391"/>
      <c r="FOM7" s="391"/>
      <c r="FON7" s="391"/>
      <c r="FOO7" s="391"/>
      <c r="FOP7" s="391"/>
      <c r="FOQ7" s="391"/>
      <c r="FOR7" s="391"/>
      <c r="FOS7" s="391"/>
      <c r="FOT7" s="391"/>
      <c r="FOU7" s="391"/>
      <c r="FOV7" s="391"/>
      <c r="FOW7" s="391"/>
      <c r="FOX7" s="391"/>
      <c r="FOY7" s="391"/>
      <c r="FOZ7" s="391"/>
      <c r="FPA7" s="391"/>
      <c r="FPB7" s="391"/>
      <c r="FPC7" s="391"/>
      <c r="FPD7" s="391"/>
      <c r="FPE7" s="391"/>
      <c r="FPF7" s="391"/>
      <c r="FPG7" s="391"/>
      <c r="FPH7" s="391"/>
      <c r="FPI7" s="391"/>
      <c r="FPJ7" s="391"/>
      <c r="FPK7" s="391"/>
      <c r="FPL7" s="391"/>
      <c r="FPM7" s="391"/>
      <c r="FPN7" s="391"/>
      <c r="FPO7" s="391"/>
      <c r="FPP7" s="391"/>
      <c r="FPQ7" s="391"/>
      <c r="FPR7" s="391"/>
      <c r="FPS7" s="391"/>
      <c r="FPT7" s="391"/>
      <c r="FPU7" s="391"/>
      <c r="FPV7" s="391"/>
      <c r="FPW7" s="391"/>
      <c r="FPX7" s="391"/>
      <c r="FPY7" s="391"/>
      <c r="FPZ7" s="391"/>
      <c r="FQA7" s="391"/>
      <c r="FQB7" s="391"/>
      <c r="FQC7" s="391"/>
      <c r="FQD7" s="391"/>
      <c r="FQE7" s="391"/>
      <c r="FQF7" s="391"/>
      <c r="FQG7" s="391"/>
      <c r="FQH7" s="391"/>
      <c r="FQI7" s="391"/>
      <c r="FQJ7" s="391"/>
      <c r="FQK7" s="391"/>
      <c r="FQL7" s="391"/>
      <c r="FQM7" s="391"/>
      <c r="FQN7" s="391"/>
      <c r="FQO7" s="391"/>
      <c r="FQP7" s="391"/>
      <c r="FQQ7" s="391"/>
      <c r="FQR7" s="391"/>
      <c r="FQS7" s="391"/>
      <c r="FQT7" s="391"/>
      <c r="FQU7" s="391"/>
      <c r="FQV7" s="391"/>
      <c r="FQW7" s="391"/>
      <c r="FQX7" s="391"/>
      <c r="FQY7" s="391"/>
      <c r="FQZ7" s="391"/>
      <c r="FRA7" s="391"/>
      <c r="FRB7" s="391"/>
      <c r="FRC7" s="391"/>
      <c r="FRD7" s="391"/>
      <c r="FRE7" s="391"/>
      <c r="FRF7" s="391"/>
      <c r="FRG7" s="391"/>
      <c r="FRH7" s="391"/>
      <c r="FRI7" s="391"/>
      <c r="FRJ7" s="391"/>
      <c r="FRK7" s="391"/>
      <c r="FRL7" s="391"/>
      <c r="FRM7" s="391"/>
      <c r="FRN7" s="391"/>
      <c r="FRO7" s="391"/>
      <c r="FRP7" s="391"/>
      <c r="FRQ7" s="391"/>
      <c r="FRR7" s="391"/>
      <c r="FRS7" s="391"/>
      <c r="FRT7" s="391"/>
      <c r="FRU7" s="391"/>
      <c r="FRV7" s="391"/>
      <c r="FRW7" s="391"/>
      <c r="FRX7" s="391"/>
      <c r="FRY7" s="391"/>
      <c r="FRZ7" s="391"/>
      <c r="FSA7" s="391"/>
      <c r="FSB7" s="391"/>
      <c r="FSC7" s="391"/>
      <c r="FSD7" s="391"/>
      <c r="FSE7" s="391"/>
      <c r="FSF7" s="391"/>
      <c r="FSG7" s="391"/>
      <c r="FSH7" s="391"/>
      <c r="FSI7" s="391"/>
      <c r="FSJ7" s="391"/>
      <c r="FSK7" s="391"/>
      <c r="FSL7" s="391"/>
      <c r="FSM7" s="391"/>
      <c r="FSN7" s="391"/>
      <c r="FSO7" s="391"/>
      <c r="FSP7" s="391"/>
      <c r="FSQ7" s="391"/>
      <c r="FSR7" s="391"/>
      <c r="FSS7" s="391"/>
      <c r="FST7" s="391"/>
      <c r="FSU7" s="391"/>
      <c r="FSV7" s="391"/>
      <c r="FSW7" s="391"/>
      <c r="FSX7" s="391"/>
      <c r="FSY7" s="391"/>
      <c r="FSZ7" s="391"/>
      <c r="FTA7" s="391"/>
      <c r="FTB7" s="391"/>
      <c r="FTC7" s="391"/>
      <c r="FTD7" s="391"/>
      <c r="FTE7" s="391"/>
      <c r="FTF7" s="391"/>
      <c r="FTG7" s="391"/>
      <c r="FTH7" s="391"/>
      <c r="FTI7" s="391"/>
      <c r="FTJ7" s="391"/>
      <c r="FTK7" s="391"/>
      <c r="FTL7" s="391"/>
      <c r="FTM7" s="391"/>
      <c r="FTN7" s="391"/>
      <c r="FTO7" s="391"/>
      <c r="FTP7" s="391"/>
      <c r="FTQ7" s="391"/>
      <c r="FTR7" s="391"/>
      <c r="FTS7" s="391"/>
      <c r="FTT7" s="391"/>
      <c r="FTU7" s="391"/>
      <c r="FTV7" s="391"/>
      <c r="FTW7" s="391"/>
      <c r="FTX7" s="391"/>
      <c r="FTY7" s="391"/>
      <c r="FTZ7" s="391"/>
      <c r="FUA7" s="391"/>
      <c r="FUB7" s="391"/>
      <c r="FUC7" s="391"/>
      <c r="FUD7" s="391"/>
      <c r="FUE7" s="391"/>
      <c r="FUF7" s="391"/>
      <c r="FUG7" s="391"/>
      <c r="FUH7" s="391"/>
      <c r="FUI7" s="391"/>
      <c r="FUJ7" s="391"/>
      <c r="FUK7" s="391"/>
      <c r="FUL7" s="391"/>
      <c r="FUM7" s="391"/>
      <c r="FUN7" s="391"/>
      <c r="FUO7" s="391"/>
      <c r="FUP7" s="391"/>
      <c r="FUQ7" s="391"/>
      <c r="FUR7" s="391"/>
      <c r="FUS7" s="391"/>
      <c r="FUT7" s="391"/>
      <c r="FUU7" s="391"/>
      <c r="FUV7" s="391"/>
      <c r="FUW7" s="391"/>
      <c r="FUX7" s="391"/>
      <c r="FUY7" s="391"/>
      <c r="FUZ7" s="391"/>
      <c r="FVA7" s="391"/>
      <c r="FVB7" s="391"/>
      <c r="FVC7" s="391"/>
      <c r="FVD7" s="391"/>
      <c r="FVE7" s="391"/>
      <c r="FVF7" s="391"/>
      <c r="FVG7" s="391"/>
      <c r="FVH7" s="391"/>
      <c r="FVI7" s="391"/>
      <c r="FVJ7" s="391"/>
      <c r="FVK7" s="391"/>
      <c r="FVL7" s="391"/>
      <c r="FVM7" s="391"/>
      <c r="FVN7" s="391"/>
      <c r="FVO7" s="391"/>
      <c r="FVP7" s="391"/>
      <c r="FVQ7" s="391"/>
      <c r="FVR7" s="391"/>
      <c r="FVS7" s="391"/>
      <c r="FVT7" s="391"/>
      <c r="FVU7" s="391"/>
      <c r="FVV7" s="391"/>
      <c r="FVW7" s="391"/>
      <c r="FVX7" s="391"/>
      <c r="FVY7" s="391"/>
      <c r="FVZ7" s="391"/>
      <c r="FWA7" s="391"/>
      <c r="FWB7" s="391"/>
      <c r="FWC7" s="391"/>
      <c r="FWD7" s="391"/>
      <c r="FWE7" s="391"/>
      <c r="FWF7" s="391"/>
      <c r="FWG7" s="391"/>
      <c r="FWH7" s="391"/>
      <c r="FWI7" s="391"/>
      <c r="FWJ7" s="391"/>
      <c r="FWK7" s="391"/>
      <c r="FWL7" s="391"/>
      <c r="FWM7" s="391"/>
      <c r="FWN7" s="391"/>
      <c r="FWO7" s="391"/>
      <c r="FWP7" s="391"/>
      <c r="FWQ7" s="391"/>
      <c r="FWR7" s="391"/>
      <c r="FWS7" s="391"/>
      <c r="FWT7" s="391"/>
      <c r="FWU7" s="391"/>
      <c r="FWV7" s="391"/>
      <c r="FWW7" s="391"/>
      <c r="FWX7" s="391"/>
      <c r="FWY7" s="391"/>
      <c r="FWZ7" s="391"/>
      <c r="FXA7" s="391"/>
      <c r="FXB7" s="391"/>
      <c r="FXC7" s="391"/>
      <c r="FXD7" s="391"/>
      <c r="FXE7" s="391"/>
      <c r="FXF7" s="391"/>
      <c r="FXG7" s="391"/>
      <c r="FXH7" s="391"/>
      <c r="FXI7" s="391"/>
      <c r="FXJ7" s="391"/>
      <c r="FXK7" s="391"/>
      <c r="FXL7" s="391"/>
      <c r="FXM7" s="391"/>
      <c r="FXN7" s="391"/>
      <c r="FXO7" s="391"/>
      <c r="FXP7" s="391"/>
      <c r="FXQ7" s="391"/>
      <c r="FXR7" s="391"/>
      <c r="FXS7" s="391"/>
      <c r="FXT7" s="391"/>
      <c r="FXU7" s="391"/>
      <c r="FXV7" s="391"/>
      <c r="FXW7" s="391"/>
      <c r="FXX7" s="391"/>
      <c r="FXY7" s="391"/>
      <c r="FXZ7" s="391"/>
      <c r="FYA7" s="391"/>
      <c r="FYB7" s="391"/>
      <c r="FYC7" s="391"/>
      <c r="FYD7" s="391"/>
      <c r="FYE7" s="391"/>
      <c r="FYF7" s="391"/>
      <c r="FYG7" s="391"/>
      <c r="FYH7" s="391"/>
      <c r="FYI7" s="391"/>
      <c r="FYJ7" s="391"/>
      <c r="FYK7" s="391"/>
      <c r="FYL7" s="391"/>
      <c r="FYM7" s="391"/>
      <c r="FYN7" s="391"/>
      <c r="FYO7" s="391"/>
      <c r="FYP7" s="391"/>
      <c r="FYQ7" s="391"/>
      <c r="FYR7" s="391"/>
      <c r="FYS7" s="391"/>
      <c r="FYT7" s="391"/>
      <c r="FYU7" s="391"/>
      <c r="FYV7" s="391"/>
      <c r="FYW7" s="391"/>
      <c r="FYX7" s="391"/>
      <c r="FYY7" s="391"/>
      <c r="FYZ7" s="391"/>
      <c r="FZA7" s="391"/>
      <c r="FZB7" s="391"/>
      <c r="FZC7" s="391"/>
      <c r="FZD7" s="391"/>
      <c r="FZE7" s="391"/>
      <c r="FZF7" s="391"/>
      <c r="FZG7" s="391"/>
      <c r="FZH7" s="391"/>
      <c r="FZI7" s="391"/>
      <c r="FZJ7" s="391"/>
      <c r="FZK7" s="391"/>
      <c r="FZL7" s="391"/>
      <c r="FZM7" s="391"/>
      <c r="FZN7" s="391"/>
      <c r="FZO7" s="391"/>
      <c r="FZP7" s="391"/>
      <c r="FZQ7" s="391"/>
      <c r="FZR7" s="391"/>
      <c r="FZS7" s="391"/>
      <c r="FZT7" s="391"/>
      <c r="FZU7" s="391"/>
      <c r="FZV7" s="391"/>
      <c r="FZW7" s="391"/>
      <c r="FZX7" s="391"/>
      <c r="FZY7" s="391"/>
      <c r="FZZ7" s="391"/>
      <c r="GAA7" s="391"/>
      <c r="GAB7" s="391"/>
      <c r="GAC7" s="391"/>
      <c r="GAD7" s="391"/>
      <c r="GAE7" s="391"/>
      <c r="GAF7" s="391"/>
      <c r="GAG7" s="391"/>
      <c r="GAH7" s="391"/>
      <c r="GAI7" s="391"/>
      <c r="GAJ7" s="391"/>
      <c r="GAK7" s="391"/>
      <c r="GAL7" s="391"/>
      <c r="GAM7" s="391"/>
      <c r="GAN7" s="391"/>
      <c r="GAO7" s="391"/>
      <c r="GAP7" s="391"/>
      <c r="GAQ7" s="391"/>
      <c r="GAR7" s="391"/>
      <c r="GAS7" s="391"/>
      <c r="GAT7" s="391"/>
      <c r="GAU7" s="391"/>
      <c r="GAV7" s="391"/>
      <c r="GAW7" s="391"/>
      <c r="GAX7" s="391"/>
      <c r="GAY7" s="391"/>
      <c r="GAZ7" s="391"/>
      <c r="GBA7" s="391"/>
      <c r="GBB7" s="391"/>
      <c r="GBC7" s="391"/>
      <c r="GBD7" s="391"/>
      <c r="GBE7" s="391"/>
      <c r="GBF7" s="391"/>
      <c r="GBG7" s="391"/>
      <c r="GBH7" s="391"/>
      <c r="GBI7" s="391"/>
      <c r="GBJ7" s="391"/>
      <c r="GBK7" s="391"/>
      <c r="GBL7" s="391"/>
      <c r="GBM7" s="391"/>
      <c r="GBN7" s="391"/>
      <c r="GBO7" s="391"/>
      <c r="GBP7" s="391"/>
      <c r="GBQ7" s="391"/>
      <c r="GBR7" s="391"/>
      <c r="GBS7" s="391"/>
      <c r="GBT7" s="391"/>
      <c r="GBU7" s="391"/>
      <c r="GBV7" s="391"/>
      <c r="GBW7" s="391"/>
      <c r="GBX7" s="391"/>
      <c r="GBY7" s="391"/>
      <c r="GBZ7" s="391"/>
      <c r="GCA7" s="391"/>
      <c r="GCB7" s="391"/>
      <c r="GCC7" s="391"/>
      <c r="GCD7" s="391"/>
      <c r="GCE7" s="391"/>
      <c r="GCF7" s="391"/>
      <c r="GCG7" s="391"/>
      <c r="GCH7" s="391"/>
      <c r="GCI7" s="391"/>
      <c r="GCJ7" s="391"/>
      <c r="GCK7" s="391"/>
      <c r="GCL7" s="391"/>
      <c r="GCM7" s="391"/>
      <c r="GCN7" s="391"/>
      <c r="GCO7" s="391"/>
      <c r="GCP7" s="391"/>
      <c r="GCQ7" s="391"/>
      <c r="GCR7" s="391"/>
      <c r="GCS7" s="391"/>
      <c r="GCT7" s="391"/>
      <c r="GCU7" s="391"/>
      <c r="GCV7" s="391"/>
      <c r="GCW7" s="391"/>
      <c r="GCX7" s="391"/>
      <c r="GCY7" s="391"/>
      <c r="GCZ7" s="391"/>
      <c r="GDA7" s="391"/>
      <c r="GDB7" s="391"/>
      <c r="GDC7" s="391"/>
      <c r="GDD7" s="391"/>
      <c r="GDE7" s="391"/>
      <c r="GDF7" s="391"/>
      <c r="GDG7" s="391"/>
      <c r="GDH7" s="391"/>
      <c r="GDI7" s="391"/>
      <c r="GDJ7" s="391"/>
      <c r="GDK7" s="391"/>
      <c r="GDL7" s="391"/>
      <c r="GDM7" s="391"/>
      <c r="GDN7" s="391"/>
      <c r="GDO7" s="391"/>
      <c r="GDP7" s="391"/>
      <c r="GDQ7" s="391"/>
      <c r="GDR7" s="391"/>
      <c r="GDS7" s="391"/>
      <c r="GDT7" s="391"/>
      <c r="GDU7" s="391"/>
      <c r="GDV7" s="391"/>
      <c r="GDW7" s="391"/>
      <c r="GDX7" s="391"/>
      <c r="GDY7" s="391"/>
      <c r="GDZ7" s="391"/>
      <c r="GEA7" s="391"/>
      <c r="GEB7" s="391"/>
      <c r="GEC7" s="391"/>
      <c r="GED7" s="391"/>
      <c r="GEE7" s="391"/>
      <c r="GEF7" s="391"/>
      <c r="GEG7" s="391"/>
      <c r="GEH7" s="391"/>
      <c r="GEI7" s="391"/>
      <c r="GEJ7" s="391"/>
      <c r="GEK7" s="391"/>
      <c r="GEL7" s="391"/>
      <c r="GEM7" s="391"/>
      <c r="GEN7" s="391"/>
      <c r="GEO7" s="391"/>
      <c r="GEP7" s="391"/>
      <c r="GEQ7" s="391"/>
      <c r="GER7" s="391"/>
      <c r="GES7" s="391"/>
      <c r="GET7" s="391"/>
      <c r="GEU7" s="391"/>
      <c r="GEV7" s="391"/>
      <c r="GEW7" s="391"/>
      <c r="GEX7" s="391"/>
      <c r="GEY7" s="391"/>
      <c r="GEZ7" s="391"/>
      <c r="GFA7" s="391"/>
      <c r="GFB7" s="391"/>
      <c r="GFC7" s="391"/>
      <c r="GFD7" s="391"/>
      <c r="GFE7" s="391"/>
      <c r="GFF7" s="391"/>
      <c r="GFG7" s="391"/>
      <c r="GFH7" s="391"/>
      <c r="GFI7" s="391"/>
      <c r="GFJ7" s="391"/>
      <c r="GFK7" s="391"/>
      <c r="GFL7" s="391"/>
      <c r="GFM7" s="391"/>
      <c r="GFN7" s="391"/>
      <c r="GFO7" s="391"/>
      <c r="GFP7" s="391"/>
      <c r="GFQ7" s="391"/>
      <c r="GFR7" s="391"/>
      <c r="GFS7" s="391"/>
      <c r="GFT7" s="391"/>
      <c r="GFU7" s="391"/>
      <c r="GFV7" s="391"/>
      <c r="GFW7" s="391"/>
      <c r="GFX7" s="391"/>
      <c r="GFY7" s="391"/>
      <c r="GFZ7" s="391"/>
      <c r="GGA7" s="391"/>
      <c r="GGB7" s="391"/>
      <c r="GGC7" s="391"/>
      <c r="GGD7" s="391"/>
      <c r="GGE7" s="391"/>
      <c r="GGF7" s="391"/>
      <c r="GGG7" s="391"/>
      <c r="GGH7" s="391"/>
      <c r="GGI7" s="391"/>
      <c r="GGJ7" s="391"/>
      <c r="GGK7" s="391"/>
      <c r="GGL7" s="391"/>
      <c r="GGM7" s="391"/>
      <c r="GGN7" s="391"/>
      <c r="GGO7" s="391"/>
      <c r="GGP7" s="391"/>
      <c r="GGQ7" s="391"/>
      <c r="GGR7" s="391"/>
      <c r="GGS7" s="391"/>
      <c r="GGT7" s="391"/>
      <c r="GGU7" s="391"/>
      <c r="GGV7" s="391"/>
      <c r="GGW7" s="391"/>
      <c r="GGX7" s="391"/>
      <c r="GGY7" s="391"/>
      <c r="GGZ7" s="391"/>
      <c r="GHA7" s="391"/>
      <c r="GHB7" s="391"/>
      <c r="GHC7" s="391"/>
      <c r="GHD7" s="391"/>
      <c r="GHE7" s="391"/>
      <c r="GHF7" s="391"/>
      <c r="GHG7" s="391"/>
      <c r="GHH7" s="391"/>
      <c r="GHI7" s="391"/>
      <c r="GHJ7" s="391"/>
      <c r="GHK7" s="391"/>
      <c r="GHL7" s="391"/>
      <c r="GHM7" s="391"/>
      <c r="GHN7" s="391"/>
      <c r="GHO7" s="391"/>
      <c r="GHP7" s="391"/>
      <c r="GHQ7" s="391"/>
      <c r="GHR7" s="391"/>
      <c r="GHS7" s="391"/>
      <c r="GHT7" s="391"/>
      <c r="GHU7" s="391"/>
      <c r="GHV7" s="391"/>
      <c r="GHW7" s="391"/>
      <c r="GHX7" s="391"/>
      <c r="GHY7" s="391"/>
      <c r="GHZ7" s="391"/>
      <c r="GIA7" s="391"/>
      <c r="GIB7" s="391"/>
      <c r="GIC7" s="391"/>
      <c r="GID7" s="391"/>
      <c r="GIE7" s="391"/>
      <c r="GIF7" s="391"/>
      <c r="GIG7" s="391"/>
      <c r="GIH7" s="391"/>
      <c r="GII7" s="391"/>
      <c r="GIJ7" s="391"/>
      <c r="GIK7" s="391"/>
      <c r="GIL7" s="391"/>
      <c r="GIM7" s="391"/>
      <c r="GIN7" s="391"/>
      <c r="GIO7" s="391"/>
      <c r="GIP7" s="391"/>
      <c r="GIQ7" s="391"/>
      <c r="GIR7" s="391"/>
      <c r="GIS7" s="391"/>
      <c r="GIT7" s="391"/>
      <c r="GIU7" s="391"/>
      <c r="GIV7" s="391"/>
      <c r="GIW7" s="391"/>
      <c r="GIX7" s="391"/>
      <c r="GIY7" s="391"/>
      <c r="GIZ7" s="391"/>
      <c r="GJA7" s="391"/>
      <c r="GJB7" s="391"/>
      <c r="GJC7" s="391"/>
      <c r="GJD7" s="391"/>
      <c r="GJE7" s="391"/>
      <c r="GJF7" s="391"/>
      <c r="GJG7" s="391"/>
      <c r="GJH7" s="391"/>
      <c r="GJI7" s="391"/>
      <c r="GJJ7" s="391"/>
      <c r="GJK7" s="391"/>
      <c r="GJL7" s="391"/>
      <c r="GJM7" s="391"/>
      <c r="GJN7" s="391"/>
      <c r="GJO7" s="391"/>
      <c r="GJP7" s="391"/>
      <c r="GJQ7" s="391"/>
      <c r="GJR7" s="391"/>
      <c r="GJS7" s="391"/>
      <c r="GJT7" s="391"/>
      <c r="GJU7" s="391"/>
      <c r="GJV7" s="391"/>
      <c r="GJW7" s="391"/>
      <c r="GJX7" s="391"/>
      <c r="GJY7" s="391"/>
      <c r="GJZ7" s="391"/>
      <c r="GKA7" s="391"/>
      <c r="GKB7" s="391"/>
      <c r="GKC7" s="391"/>
      <c r="GKD7" s="391"/>
      <c r="GKE7" s="391"/>
      <c r="GKF7" s="391"/>
      <c r="GKG7" s="391"/>
      <c r="GKH7" s="391"/>
      <c r="GKI7" s="391"/>
      <c r="GKJ7" s="391"/>
      <c r="GKK7" s="391"/>
      <c r="GKL7" s="391"/>
      <c r="GKM7" s="391"/>
      <c r="GKN7" s="391"/>
      <c r="GKO7" s="391"/>
      <c r="GKP7" s="391"/>
      <c r="GKQ7" s="391"/>
      <c r="GKR7" s="391"/>
      <c r="GKS7" s="391"/>
      <c r="GKT7" s="391"/>
      <c r="GKU7" s="391"/>
      <c r="GKV7" s="391"/>
      <c r="GKW7" s="391"/>
      <c r="GKX7" s="391"/>
      <c r="GKY7" s="391"/>
      <c r="GKZ7" s="391"/>
      <c r="GLA7" s="391"/>
      <c r="GLB7" s="391"/>
      <c r="GLC7" s="391"/>
      <c r="GLD7" s="391"/>
      <c r="GLE7" s="391"/>
      <c r="GLF7" s="391"/>
      <c r="GLG7" s="391"/>
      <c r="GLH7" s="391"/>
      <c r="GLI7" s="391"/>
      <c r="GLJ7" s="391"/>
      <c r="GLK7" s="391"/>
      <c r="GLL7" s="391"/>
      <c r="GLM7" s="391"/>
      <c r="GLN7" s="391"/>
      <c r="GLO7" s="391"/>
      <c r="GLP7" s="391"/>
      <c r="GLQ7" s="391"/>
      <c r="GLR7" s="391"/>
      <c r="GLS7" s="391"/>
      <c r="GLT7" s="391"/>
      <c r="GLU7" s="391"/>
      <c r="GLV7" s="391"/>
      <c r="GLW7" s="391"/>
      <c r="GLX7" s="391"/>
      <c r="GLY7" s="391"/>
      <c r="GLZ7" s="391"/>
      <c r="GMA7" s="391"/>
      <c r="GMB7" s="391"/>
      <c r="GMC7" s="391"/>
      <c r="GMD7" s="391"/>
      <c r="GME7" s="391"/>
      <c r="GMF7" s="391"/>
      <c r="GMG7" s="391"/>
      <c r="GMH7" s="391"/>
      <c r="GMI7" s="391"/>
      <c r="GMJ7" s="391"/>
      <c r="GMK7" s="391"/>
      <c r="GML7" s="391"/>
      <c r="GMM7" s="391"/>
      <c r="GMN7" s="391"/>
      <c r="GMO7" s="391"/>
      <c r="GMP7" s="391"/>
      <c r="GMQ7" s="391"/>
      <c r="GMR7" s="391"/>
      <c r="GMS7" s="391"/>
      <c r="GMT7" s="391"/>
      <c r="GMU7" s="391"/>
      <c r="GMV7" s="391"/>
      <c r="GMW7" s="391"/>
      <c r="GMX7" s="391"/>
      <c r="GMY7" s="391"/>
      <c r="GMZ7" s="391"/>
      <c r="GNA7" s="391"/>
      <c r="GNB7" s="391"/>
      <c r="GNC7" s="391"/>
      <c r="GND7" s="391"/>
      <c r="GNE7" s="391"/>
      <c r="GNF7" s="391"/>
      <c r="GNG7" s="391"/>
      <c r="GNH7" s="391"/>
      <c r="GNI7" s="391"/>
      <c r="GNJ7" s="391"/>
      <c r="GNK7" s="391"/>
      <c r="GNL7" s="391"/>
      <c r="GNM7" s="391"/>
      <c r="GNN7" s="391"/>
      <c r="GNO7" s="391"/>
      <c r="GNP7" s="391"/>
      <c r="GNQ7" s="391"/>
      <c r="GNR7" s="391"/>
      <c r="GNS7" s="391"/>
      <c r="GNT7" s="391"/>
      <c r="GNU7" s="391"/>
      <c r="GNV7" s="391"/>
      <c r="GNW7" s="391"/>
      <c r="GNX7" s="391"/>
      <c r="GNY7" s="391"/>
      <c r="GNZ7" s="391"/>
      <c r="GOA7" s="391"/>
      <c r="GOB7" s="391"/>
      <c r="GOC7" s="391"/>
      <c r="GOD7" s="391"/>
      <c r="GOE7" s="391"/>
      <c r="GOF7" s="391"/>
      <c r="GOG7" s="391"/>
      <c r="GOH7" s="391"/>
      <c r="GOI7" s="391"/>
      <c r="GOJ7" s="391"/>
      <c r="GOK7" s="391"/>
      <c r="GOL7" s="391"/>
      <c r="GOM7" s="391"/>
      <c r="GON7" s="391"/>
      <c r="GOO7" s="391"/>
      <c r="GOP7" s="391"/>
      <c r="GOQ7" s="391"/>
      <c r="GOR7" s="391"/>
      <c r="GOS7" s="391"/>
      <c r="GOT7" s="391"/>
      <c r="GOU7" s="391"/>
      <c r="GOV7" s="391"/>
      <c r="GOW7" s="391"/>
      <c r="GOX7" s="391"/>
      <c r="GOY7" s="391"/>
      <c r="GOZ7" s="391"/>
      <c r="GPA7" s="391"/>
      <c r="GPB7" s="391"/>
      <c r="GPC7" s="391"/>
      <c r="GPD7" s="391"/>
      <c r="GPE7" s="391"/>
      <c r="GPF7" s="391"/>
      <c r="GPG7" s="391"/>
      <c r="GPH7" s="391"/>
      <c r="GPI7" s="391"/>
      <c r="GPJ7" s="391"/>
      <c r="GPK7" s="391"/>
      <c r="GPL7" s="391"/>
      <c r="GPM7" s="391"/>
      <c r="GPN7" s="391"/>
      <c r="GPO7" s="391"/>
      <c r="GPP7" s="391"/>
      <c r="GPQ7" s="391"/>
      <c r="GPR7" s="391"/>
      <c r="GPS7" s="391"/>
      <c r="GPT7" s="391"/>
      <c r="GPU7" s="391"/>
      <c r="GPV7" s="391"/>
      <c r="GPW7" s="391"/>
      <c r="GPX7" s="391"/>
      <c r="GPY7" s="391"/>
      <c r="GPZ7" s="391"/>
      <c r="GQA7" s="391"/>
      <c r="GQB7" s="391"/>
      <c r="GQC7" s="391"/>
      <c r="GQD7" s="391"/>
      <c r="GQE7" s="391"/>
      <c r="GQF7" s="391"/>
      <c r="GQG7" s="391"/>
      <c r="GQH7" s="391"/>
      <c r="GQI7" s="391"/>
      <c r="GQJ7" s="391"/>
      <c r="GQK7" s="391"/>
      <c r="GQL7" s="391"/>
      <c r="GQM7" s="391"/>
      <c r="GQN7" s="391"/>
      <c r="GQO7" s="391"/>
      <c r="GQP7" s="391"/>
      <c r="GQQ7" s="391"/>
      <c r="GQR7" s="391"/>
      <c r="GQS7" s="391"/>
      <c r="GQT7" s="391"/>
      <c r="GQU7" s="391"/>
      <c r="GQV7" s="391"/>
      <c r="GQW7" s="391"/>
      <c r="GQX7" s="391"/>
      <c r="GQY7" s="391"/>
      <c r="GQZ7" s="391"/>
      <c r="GRA7" s="391"/>
      <c r="GRB7" s="391"/>
      <c r="GRC7" s="391"/>
      <c r="GRD7" s="391"/>
      <c r="GRE7" s="391"/>
      <c r="GRF7" s="391"/>
      <c r="GRG7" s="391"/>
      <c r="GRH7" s="391"/>
      <c r="GRI7" s="391"/>
      <c r="GRJ7" s="391"/>
      <c r="GRK7" s="391"/>
      <c r="GRL7" s="391"/>
      <c r="GRM7" s="391"/>
      <c r="GRN7" s="391"/>
      <c r="GRO7" s="391"/>
      <c r="GRP7" s="391"/>
      <c r="GRQ7" s="391"/>
      <c r="GRR7" s="391"/>
      <c r="GRS7" s="391"/>
      <c r="GRT7" s="391"/>
      <c r="GRU7" s="391"/>
      <c r="GRV7" s="391"/>
      <c r="GRW7" s="391"/>
      <c r="GRX7" s="391"/>
      <c r="GRY7" s="391"/>
      <c r="GRZ7" s="391"/>
      <c r="GSA7" s="391"/>
      <c r="GSB7" s="391"/>
      <c r="GSC7" s="391"/>
      <c r="GSD7" s="391"/>
      <c r="GSE7" s="391"/>
      <c r="GSF7" s="391"/>
      <c r="GSG7" s="391"/>
      <c r="GSH7" s="391"/>
      <c r="GSI7" s="391"/>
      <c r="GSJ7" s="391"/>
      <c r="GSK7" s="391"/>
      <c r="GSL7" s="391"/>
      <c r="GSM7" s="391"/>
      <c r="GSN7" s="391"/>
      <c r="GSO7" s="391"/>
      <c r="GSP7" s="391"/>
      <c r="GSQ7" s="391"/>
      <c r="GSR7" s="391"/>
      <c r="GSS7" s="391"/>
      <c r="GST7" s="391"/>
      <c r="GSU7" s="391"/>
      <c r="GSV7" s="391"/>
      <c r="GSW7" s="391"/>
      <c r="GSX7" s="391"/>
      <c r="GSY7" s="391"/>
      <c r="GSZ7" s="391"/>
      <c r="GTA7" s="391"/>
      <c r="GTB7" s="391"/>
      <c r="GTC7" s="391"/>
      <c r="GTD7" s="391"/>
      <c r="GTE7" s="391"/>
      <c r="GTF7" s="391"/>
      <c r="GTG7" s="391"/>
      <c r="GTH7" s="391"/>
      <c r="GTI7" s="391"/>
      <c r="GTJ7" s="391"/>
      <c r="GTK7" s="391"/>
      <c r="GTL7" s="391"/>
      <c r="GTM7" s="391"/>
      <c r="GTN7" s="391"/>
      <c r="GTO7" s="391"/>
      <c r="GTP7" s="391"/>
      <c r="GTQ7" s="391"/>
      <c r="GTR7" s="391"/>
      <c r="GTS7" s="391"/>
      <c r="GTT7" s="391"/>
      <c r="GTU7" s="391"/>
      <c r="GTV7" s="391"/>
      <c r="GTW7" s="391"/>
      <c r="GTX7" s="391"/>
      <c r="GTY7" s="391"/>
      <c r="GTZ7" s="391"/>
      <c r="GUA7" s="391"/>
      <c r="GUB7" s="391"/>
      <c r="GUC7" s="391"/>
      <c r="GUD7" s="391"/>
      <c r="GUE7" s="391"/>
      <c r="GUF7" s="391"/>
      <c r="GUG7" s="391"/>
      <c r="GUH7" s="391"/>
      <c r="GUI7" s="391"/>
      <c r="GUJ7" s="391"/>
      <c r="GUK7" s="391"/>
      <c r="GUL7" s="391"/>
      <c r="GUM7" s="391"/>
      <c r="GUN7" s="391"/>
      <c r="GUO7" s="391"/>
      <c r="GUP7" s="391"/>
      <c r="GUQ7" s="391"/>
      <c r="GUR7" s="391"/>
      <c r="GUS7" s="391"/>
      <c r="GUT7" s="391"/>
      <c r="GUU7" s="391"/>
      <c r="GUV7" s="391"/>
      <c r="GUW7" s="391"/>
      <c r="GUX7" s="391"/>
      <c r="GUY7" s="391"/>
      <c r="GUZ7" s="391"/>
      <c r="GVA7" s="391"/>
      <c r="GVB7" s="391"/>
      <c r="GVC7" s="391"/>
      <c r="GVD7" s="391"/>
      <c r="GVE7" s="391"/>
      <c r="GVF7" s="391"/>
      <c r="GVG7" s="391"/>
      <c r="GVH7" s="391"/>
      <c r="GVI7" s="391"/>
      <c r="GVJ7" s="391"/>
      <c r="GVK7" s="391"/>
      <c r="GVL7" s="391"/>
      <c r="GVM7" s="391"/>
      <c r="GVN7" s="391"/>
      <c r="GVO7" s="391"/>
      <c r="GVP7" s="391"/>
      <c r="GVQ7" s="391"/>
      <c r="GVR7" s="391"/>
      <c r="GVS7" s="391"/>
      <c r="GVT7" s="391"/>
      <c r="GVU7" s="391"/>
      <c r="GVV7" s="391"/>
      <c r="GVW7" s="391"/>
      <c r="GVX7" s="391"/>
      <c r="GVY7" s="391"/>
      <c r="GVZ7" s="391"/>
      <c r="GWA7" s="391"/>
      <c r="GWB7" s="391"/>
      <c r="GWC7" s="391"/>
      <c r="GWD7" s="391"/>
      <c r="GWE7" s="391"/>
      <c r="GWF7" s="391"/>
      <c r="GWG7" s="391"/>
      <c r="GWH7" s="391"/>
      <c r="GWI7" s="391"/>
      <c r="GWJ7" s="391"/>
      <c r="GWK7" s="391"/>
      <c r="GWL7" s="391"/>
      <c r="GWM7" s="391"/>
      <c r="GWN7" s="391"/>
      <c r="GWO7" s="391"/>
      <c r="GWP7" s="391"/>
      <c r="GWQ7" s="391"/>
      <c r="GWR7" s="391"/>
      <c r="GWS7" s="391"/>
      <c r="GWT7" s="391"/>
      <c r="GWU7" s="391"/>
      <c r="GWV7" s="391"/>
      <c r="GWW7" s="391"/>
      <c r="GWX7" s="391"/>
      <c r="GWY7" s="391"/>
      <c r="GWZ7" s="391"/>
      <c r="GXA7" s="391"/>
      <c r="GXB7" s="391"/>
      <c r="GXC7" s="391"/>
      <c r="GXD7" s="391"/>
      <c r="GXE7" s="391"/>
      <c r="GXF7" s="391"/>
      <c r="GXG7" s="391"/>
      <c r="GXH7" s="391"/>
      <c r="GXI7" s="391"/>
      <c r="GXJ7" s="391"/>
      <c r="GXK7" s="391"/>
      <c r="GXL7" s="391"/>
      <c r="GXM7" s="391"/>
      <c r="GXN7" s="391"/>
      <c r="GXO7" s="391"/>
      <c r="GXP7" s="391"/>
      <c r="GXQ7" s="391"/>
      <c r="GXR7" s="391"/>
      <c r="GXS7" s="391"/>
      <c r="GXT7" s="391"/>
      <c r="GXU7" s="391"/>
      <c r="GXV7" s="391"/>
      <c r="GXW7" s="391"/>
      <c r="GXX7" s="391"/>
      <c r="GXY7" s="391"/>
      <c r="GXZ7" s="391"/>
      <c r="GYA7" s="391"/>
      <c r="GYB7" s="391"/>
      <c r="GYC7" s="391"/>
      <c r="GYD7" s="391"/>
      <c r="GYE7" s="391"/>
      <c r="GYF7" s="391"/>
      <c r="GYG7" s="391"/>
      <c r="GYH7" s="391"/>
      <c r="GYI7" s="391"/>
      <c r="GYJ7" s="391"/>
      <c r="GYK7" s="391"/>
      <c r="GYL7" s="391"/>
      <c r="GYM7" s="391"/>
      <c r="GYN7" s="391"/>
      <c r="GYO7" s="391"/>
      <c r="GYP7" s="391"/>
      <c r="GYQ7" s="391"/>
      <c r="GYR7" s="391"/>
      <c r="GYS7" s="391"/>
      <c r="GYT7" s="391"/>
      <c r="GYU7" s="391"/>
      <c r="GYV7" s="391"/>
      <c r="GYW7" s="391"/>
      <c r="GYX7" s="391"/>
      <c r="GYY7" s="391"/>
      <c r="GYZ7" s="391"/>
      <c r="GZA7" s="391"/>
      <c r="GZB7" s="391"/>
      <c r="GZC7" s="391"/>
      <c r="GZD7" s="391"/>
      <c r="GZE7" s="391"/>
      <c r="GZF7" s="391"/>
      <c r="GZG7" s="391"/>
      <c r="GZH7" s="391"/>
      <c r="GZI7" s="391"/>
      <c r="GZJ7" s="391"/>
      <c r="GZK7" s="391"/>
      <c r="GZL7" s="391"/>
      <c r="GZM7" s="391"/>
      <c r="GZN7" s="391"/>
      <c r="GZO7" s="391"/>
      <c r="GZP7" s="391"/>
      <c r="GZQ7" s="391"/>
      <c r="GZR7" s="391"/>
      <c r="GZS7" s="391"/>
      <c r="GZT7" s="391"/>
      <c r="GZU7" s="391"/>
      <c r="GZV7" s="391"/>
      <c r="GZW7" s="391"/>
      <c r="GZX7" s="391"/>
      <c r="GZY7" s="391"/>
      <c r="GZZ7" s="391"/>
      <c r="HAA7" s="391"/>
      <c r="HAB7" s="391"/>
      <c r="HAC7" s="391"/>
      <c r="HAD7" s="391"/>
      <c r="HAE7" s="391"/>
      <c r="HAF7" s="391"/>
      <c r="HAG7" s="391"/>
      <c r="HAH7" s="391"/>
      <c r="HAI7" s="391"/>
      <c r="HAJ7" s="391"/>
      <c r="HAK7" s="391"/>
      <c r="HAL7" s="391"/>
      <c r="HAM7" s="391"/>
      <c r="HAN7" s="391"/>
      <c r="HAO7" s="391"/>
      <c r="HAP7" s="391"/>
      <c r="HAQ7" s="391"/>
      <c r="HAR7" s="391"/>
      <c r="HAS7" s="391"/>
      <c r="HAT7" s="391"/>
      <c r="HAU7" s="391"/>
      <c r="HAV7" s="391"/>
      <c r="HAW7" s="391"/>
      <c r="HAX7" s="391"/>
      <c r="HAY7" s="391"/>
      <c r="HAZ7" s="391"/>
      <c r="HBA7" s="391"/>
      <c r="HBB7" s="391"/>
      <c r="HBC7" s="391"/>
      <c r="HBD7" s="391"/>
      <c r="HBE7" s="391"/>
      <c r="HBF7" s="391"/>
      <c r="HBG7" s="391"/>
      <c r="HBH7" s="391"/>
      <c r="HBI7" s="391"/>
      <c r="HBJ7" s="391"/>
      <c r="HBK7" s="391"/>
      <c r="HBL7" s="391"/>
      <c r="HBM7" s="391"/>
      <c r="HBN7" s="391"/>
      <c r="HBO7" s="391"/>
      <c r="HBP7" s="391"/>
      <c r="HBQ7" s="391"/>
      <c r="HBR7" s="391"/>
      <c r="HBS7" s="391"/>
      <c r="HBT7" s="391"/>
      <c r="HBU7" s="391"/>
      <c r="HBV7" s="391"/>
      <c r="HBW7" s="391"/>
      <c r="HBX7" s="391"/>
      <c r="HBY7" s="391"/>
      <c r="HBZ7" s="391"/>
      <c r="HCA7" s="391"/>
      <c r="HCB7" s="391"/>
      <c r="HCC7" s="391"/>
      <c r="HCD7" s="391"/>
      <c r="HCE7" s="391"/>
      <c r="HCF7" s="391"/>
      <c r="HCG7" s="391"/>
      <c r="HCH7" s="391"/>
      <c r="HCI7" s="391"/>
      <c r="HCJ7" s="391"/>
      <c r="HCK7" s="391"/>
      <c r="HCL7" s="391"/>
      <c r="HCM7" s="391"/>
      <c r="HCN7" s="391"/>
      <c r="HCO7" s="391"/>
      <c r="HCP7" s="391"/>
      <c r="HCQ7" s="391"/>
      <c r="HCR7" s="391"/>
      <c r="HCS7" s="391"/>
      <c r="HCT7" s="391"/>
      <c r="HCU7" s="391"/>
      <c r="HCV7" s="391"/>
      <c r="HCW7" s="391"/>
      <c r="HCX7" s="391"/>
      <c r="HCY7" s="391"/>
      <c r="HCZ7" s="391"/>
      <c r="HDA7" s="391"/>
      <c r="HDB7" s="391"/>
      <c r="HDC7" s="391"/>
      <c r="HDD7" s="391"/>
      <c r="HDE7" s="391"/>
      <c r="HDF7" s="391"/>
      <c r="HDG7" s="391"/>
      <c r="HDH7" s="391"/>
      <c r="HDI7" s="391"/>
      <c r="HDJ7" s="391"/>
      <c r="HDK7" s="391"/>
      <c r="HDL7" s="391"/>
      <c r="HDM7" s="391"/>
      <c r="HDN7" s="391"/>
      <c r="HDO7" s="391"/>
      <c r="HDP7" s="391"/>
      <c r="HDQ7" s="391"/>
      <c r="HDR7" s="391"/>
      <c r="HDS7" s="391"/>
      <c r="HDT7" s="391"/>
      <c r="HDU7" s="391"/>
      <c r="HDV7" s="391"/>
      <c r="HDW7" s="391"/>
      <c r="HDX7" s="391"/>
      <c r="HDY7" s="391"/>
      <c r="HDZ7" s="391"/>
      <c r="HEA7" s="391"/>
      <c r="HEB7" s="391"/>
      <c r="HEC7" s="391"/>
      <c r="HED7" s="391"/>
      <c r="HEE7" s="391"/>
      <c r="HEF7" s="391"/>
      <c r="HEG7" s="391"/>
      <c r="HEH7" s="391"/>
      <c r="HEI7" s="391"/>
      <c r="HEJ7" s="391"/>
      <c r="HEK7" s="391"/>
      <c r="HEL7" s="391"/>
      <c r="HEM7" s="391"/>
      <c r="HEN7" s="391"/>
      <c r="HEO7" s="391"/>
      <c r="HEP7" s="391"/>
      <c r="HEQ7" s="391"/>
      <c r="HER7" s="391"/>
      <c r="HES7" s="391"/>
      <c r="HET7" s="391"/>
      <c r="HEU7" s="391"/>
      <c r="HEV7" s="391"/>
      <c r="HEW7" s="391"/>
      <c r="HEX7" s="391"/>
      <c r="HEY7" s="391"/>
      <c r="HEZ7" s="391"/>
      <c r="HFA7" s="391"/>
      <c r="HFB7" s="391"/>
      <c r="HFC7" s="391"/>
      <c r="HFD7" s="391"/>
      <c r="HFE7" s="391"/>
      <c r="HFF7" s="391"/>
      <c r="HFG7" s="391"/>
      <c r="HFH7" s="391"/>
      <c r="HFI7" s="391"/>
      <c r="HFJ7" s="391"/>
      <c r="HFK7" s="391"/>
      <c r="HFL7" s="391"/>
      <c r="HFM7" s="391"/>
      <c r="HFN7" s="391"/>
      <c r="HFO7" s="391"/>
      <c r="HFP7" s="391"/>
      <c r="HFQ7" s="391"/>
      <c r="HFR7" s="391"/>
      <c r="HFS7" s="391"/>
      <c r="HFT7" s="391"/>
      <c r="HFU7" s="391"/>
      <c r="HFV7" s="391"/>
      <c r="HFW7" s="391"/>
      <c r="HFX7" s="391"/>
      <c r="HFY7" s="391"/>
      <c r="HFZ7" s="391"/>
      <c r="HGA7" s="391"/>
      <c r="HGB7" s="391"/>
      <c r="HGC7" s="391"/>
      <c r="HGD7" s="391"/>
      <c r="HGE7" s="391"/>
      <c r="HGF7" s="391"/>
      <c r="HGG7" s="391"/>
      <c r="HGH7" s="391"/>
      <c r="HGI7" s="391"/>
      <c r="HGJ7" s="391"/>
      <c r="HGK7" s="391"/>
      <c r="HGL7" s="391"/>
      <c r="HGM7" s="391"/>
      <c r="HGN7" s="391"/>
      <c r="HGO7" s="391"/>
      <c r="HGP7" s="391"/>
      <c r="HGQ7" s="391"/>
      <c r="HGR7" s="391"/>
      <c r="HGS7" s="391"/>
      <c r="HGT7" s="391"/>
      <c r="HGU7" s="391"/>
      <c r="HGV7" s="391"/>
      <c r="HGW7" s="391"/>
      <c r="HGX7" s="391"/>
      <c r="HGY7" s="391"/>
      <c r="HGZ7" s="391"/>
      <c r="HHA7" s="391"/>
      <c r="HHB7" s="391"/>
      <c r="HHC7" s="391"/>
      <c r="HHD7" s="391"/>
      <c r="HHE7" s="391"/>
      <c r="HHF7" s="391"/>
      <c r="HHG7" s="391"/>
      <c r="HHH7" s="391"/>
      <c r="HHI7" s="391"/>
      <c r="HHJ7" s="391"/>
      <c r="HHK7" s="391"/>
      <c r="HHL7" s="391"/>
      <c r="HHM7" s="391"/>
      <c r="HHN7" s="391"/>
      <c r="HHO7" s="391"/>
      <c r="HHP7" s="391"/>
      <c r="HHQ7" s="391"/>
      <c r="HHR7" s="391"/>
      <c r="HHS7" s="391"/>
      <c r="HHT7" s="391"/>
      <c r="HHU7" s="391"/>
      <c r="HHV7" s="391"/>
      <c r="HHW7" s="391"/>
      <c r="HHX7" s="391"/>
      <c r="HHY7" s="391"/>
      <c r="HHZ7" s="391"/>
      <c r="HIA7" s="391"/>
      <c r="HIB7" s="391"/>
      <c r="HIC7" s="391"/>
      <c r="HID7" s="391"/>
      <c r="HIE7" s="391"/>
      <c r="HIF7" s="391"/>
      <c r="HIG7" s="391"/>
      <c r="HIH7" s="391"/>
      <c r="HII7" s="391"/>
      <c r="HIJ7" s="391"/>
      <c r="HIK7" s="391"/>
      <c r="HIL7" s="391"/>
      <c r="HIM7" s="391"/>
      <c r="HIN7" s="391"/>
      <c r="HIO7" s="391"/>
      <c r="HIP7" s="391"/>
      <c r="HIQ7" s="391"/>
      <c r="HIR7" s="391"/>
      <c r="HIS7" s="391"/>
      <c r="HIT7" s="391"/>
      <c r="HIU7" s="391"/>
      <c r="HIV7" s="391"/>
      <c r="HIW7" s="391"/>
      <c r="HIX7" s="391"/>
      <c r="HIY7" s="391"/>
      <c r="HIZ7" s="391"/>
      <c r="HJA7" s="391"/>
      <c r="HJB7" s="391"/>
      <c r="HJC7" s="391"/>
      <c r="HJD7" s="391"/>
      <c r="HJE7" s="391"/>
      <c r="HJF7" s="391"/>
      <c r="HJG7" s="391"/>
      <c r="HJH7" s="391"/>
      <c r="HJI7" s="391"/>
      <c r="HJJ7" s="391"/>
      <c r="HJK7" s="391"/>
      <c r="HJL7" s="391"/>
      <c r="HJM7" s="391"/>
      <c r="HJN7" s="391"/>
      <c r="HJO7" s="391"/>
      <c r="HJP7" s="391"/>
      <c r="HJQ7" s="391"/>
      <c r="HJR7" s="391"/>
      <c r="HJS7" s="391"/>
      <c r="HJT7" s="391"/>
      <c r="HJU7" s="391"/>
      <c r="HJV7" s="391"/>
      <c r="HJW7" s="391"/>
      <c r="HJX7" s="391"/>
      <c r="HJY7" s="391"/>
      <c r="HJZ7" s="391"/>
      <c r="HKA7" s="391"/>
      <c r="HKB7" s="391"/>
      <c r="HKC7" s="391"/>
      <c r="HKD7" s="391"/>
      <c r="HKE7" s="391"/>
      <c r="HKF7" s="391"/>
      <c r="HKG7" s="391"/>
      <c r="HKH7" s="391"/>
      <c r="HKI7" s="391"/>
      <c r="HKJ7" s="391"/>
      <c r="HKK7" s="391"/>
      <c r="HKL7" s="391"/>
      <c r="HKM7" s="391"/>
      <c r="HKN7" s="391"/>
      <c r="HKO7" s="391"/>
      <c r="HKP7" s="391"/>
      <c r="HKQ7" s="391"/>
      <c r="HKR7" s="391"/>
      <c r="HKS7" s="391"/>
      <c r="HKT7" s="391"/>
      <c r="HKU7" s="391"/>
      <c r="HKV7" s="391"/>
      <c r="HKW7" s="391"/>
      <c r="HKX7" s="391"/>
      <c r="HKY7" s="391"/>
      <c r="HKZ7" s="391"/>
      <c r="HLA7" s="391"/>
      <c r="HLB7" s="391"/>
      <c r="HLC7" s="391"/>
      <c r="HLD7" s="391"/>
      <c r="HLE7" s="391"/>
      <c r="HLF7" s="391"/>
      <c r="HLG7" s="391"/>
      <c r="HLH7" s="391"/>
      <c r="HLI7" s="391"/>
      <c r="HLJ7" s="391"/>
      <c r="HLK7" s="391"/>
      <c r="HLL7" s="391"/>
      <c r="HLM7" s="391"/>
      <c r="HLN7" s="391"/>
      <c r="HLO7" s="391"/>
      <c r="HLP7" s="391"/>
      <c r="HLQ7" s="391"/>
      <c r="HLR7" s="391"/>
      <c r="HLS7" s="391"/>
      <c r="HLT7" s="391"/>
      <c r="HLU7" s="391"/>
      <c r="HLV7" s="391"/>
      <c r="HLW7" s="391"/>
      <c r="HLX7" s="391"/>
      <c r="HLY7" s="391"/>
      <c r="HLZ7" s="391"/>
      <c r="HMA7" s="391"/>
      <c r="HMB7" s="391"/>
      <c r="HMC7" s="391"/>
      <c r="HMD7" s="391"/>
      <c r="HME7" s="391"/>
      <c r="HMF7" s="391"/>
      <c r="HMG7" s="391"/>
      <c r="HMH7" s="391"/>
      <c r="HMI7" s="391"/>
      <c r="HMJ7" s="391"/>
      <c r="HMK7" s="391"/>
      <c r="HML7" s="391"/>
      <c r="HMM7" s="391"/>
      <c r="HMN7" s="391"/>
      <c r="HMO7" s="391"/>
      <c r="HMP7" s="391"/>
      <c r="HMQ7" s="391"/>
      <c r="HMR7" s="391"/>
      <c r="HMS7" s="391"/>
      <c r="HMT7" s="391"/>
      <c r="HMU7" s="391"/>
      <c r="HMV7" s="391"/>
      <c r="HMW7" s="391"/>
      <c r="HMX7" s="391"/>
      <c r="HMY7" s="391"/>
      <c r="HMZ7" s="391"/>
      <c r="HNA7" s="391"/>
      <c r="HNB7" s="391"/>
      <c r="HNC7" s="391"/>
      <c r="HND7" s="391"/>
      <c r="HNE7" s="391"/>
      <c r="HNF7" s="391"/>
      <c r="HNG7" s="391"/>
      <c r="HNH7" s="391"/>
      <c r="HNI7" s="391"/>
      <c r="HNJ7" s="391"/>
      <c r="HNK7" s="391"/>
      <c r="HNL7" s="391"/>
      <c r="HNM7" s="391"/>
      <c r="HNN7" s="391"/>
      <c r="HNO7" s="391"/>
      <c r="HNP7" s="391"/>
      <c r="HNQ7" s="391"/>
      <c r="HNR7" s="391"/>
      <c r="HNS7" s="391"/>
      <c r="HNT7" s="391"/>
      <c r="HNU7" s="391"/>
      <c r="HNV7" s="391"/>
      <c r="HNW7" s="391"/>
      <c r="HNX7" s="391"/>
      <c r="HNY7" s="391"/>
      <c r="HNZ7" s="391"/>
      <c r="HOA7" s="391"/>
      <c r="HOB7" s="391"/>
      <c r="HOC7" s="391"/>
      <c r="HOD7" s="391"/>
      <c r="HOE7" s="391"/>
      <c r="HOF7" s="391"/>
      <c r="HOG7" s="391"/>
      <c r="HOH7" s="391"/>
      <c r="HOI7" s="391"/>
      <c r="HOJ7" s="391"/>
      <c r="HOK7" s="391"/>
      <c r="HOL7" s="391"/>
      <c r="HOM7" s="391"/>
      <c r="HON7" s="391"/>
      <c r="HOO7" s="391"/>
      <c r="HOP7" s="391"/>
      <c r="HOQ7" s="391"/>
      <c r="HOR7" s="391"/>
      <c r="HOS7" s="391"/>
      <c r="HOT7" s="391"/>
      <c r="HOU7" s="391"/>
      <c r="HOV7" s="391"/>
      <c r="HOW7" s="391"/>
      <c r="HOX7" s="391"/>
      <c r="HOY7" s="391"/>
      <c r="HOZ7" s="391"/>
      <c r="HPA7" s="391"/>
      <c r="HPB7" s="391"/>
      <c r="HPC7" s="391"/>
      <c r="HPD7" s="391"/>
      <c r="HPE7" s="391"/>
      <c r="HPF7" s="391"/>
      <c r="HPG7" s="391"/>
      <c r="HPH7" s="391"/>
      <c r="HPI7" s="391"/>
      <c r="HPJ7" s="391"/>
      <c r="HPK7" s="391"/>
      <c r="HPL7" s="391"/>
      <c r="HPM7" s="391"/>
      <c r="HPN7" s="391"/>
      <c r="HPO7" s="391"/>
      <c r="HPP7" s="391"/>
      <c r="HPQ7" s="391"/>
      <c r="HPR7" s="391"/>
      <c r="HPS7" s="391"/>
      <c r="HPT7" s="391"/>
      <c r="HPU7" s="391"/>
      <c r="HPV7" s="391"/>
      <c r="HPW7" s="391"/>
      <c r="HPX7" s="391"/>
      <c r="HPY7" s="391"/>
      <c r="HPZ7" s="391"/>
      <c r="HQA7" s="391"/>
      <c r="HQB7" s="391"/>
      <c r="HQC7" s="391"/>
      <c r="HQD7" s="391"/>
      <c r="HQE7" s="391"/>
      <c r="HQF7" s="391"/>
      <c r="HQG7" s="391"/>
      <c r="HQH7" s="391"/>
      <c r="HQI7" s="391"/>
      <c r="HQJ7" s="391"/>
      <c r="HQK7" s="391"/>
      <c r="HQL7" s="391"/>
      <c r="HQM7" s="391"/>
      <c r="HQN7" s="391"/>
      <c r="HQO7" s="391"/>
      <c r="HQP7" s="391"/>
      <c r="HQQ7" s="391"/>
      <c r="HQR7" s="391"/>
      <c r="HQS7" s="391"/>
      <c r="HQT7" s="391"/>
      <c r="HQU7" s="391"/>
      <c r="HQV7" s="391"/>
      <c r="HQW7" s="391"/>
      <c r="HQX7" s="391"/>
      <c r="HQY7" s="391"/>
      <c r="HQZ7" s="391"/>
      <c r="HRA7" s="391"/>
      <c r="HRB7" s="391"/>
      <c r="HRC7" s="391"/>
      <c r="HRD7" s="391"/>
      <c r="HRE7" s="391"/>
      <c r="HRF7" s="391"/>
      <c r="HRG7" s="391"/>
      <c r="HRH7" s="391"/>
      <c r="HRI7" s="391"/>
      <c r="HRJ7" s="391"/>
      <c r="HRK7" s="391"/>
      <c r="HRL7" s="391"/>
      <c r="HRM7" s="391"/>
      <c r="HRN7" s="391"/>
      <c r="HRO7" s="391"/>
      <c r="HRP7" s="391"/>
      <c r="HRQ7" s="391"/>
      <c r="HRR7" s="391"/>
      <c r="HRS7" s="391"/>
      <c r="HRT7" s="391"/>
      <c r="HRU7" s="391"/>
      <c r="HRV7" s="391"/>
      <c r="HRW7" s="391"/>
      <c r="HRX7" s="391"/>
      <c r="HRY7" s="391"/>
      <c r="HRZ7" s="391"/>
      <c r="HSA7" s="391"/>
      <c r="HSB7" s="391"/>
      <c r="HSC7" s="391"/>
      <c r="HSD7" s="391"/>
      <c r="HSE7" s="391"/>
      <c r="HSF7" s="391"/>
      <c r="HSG7" s="391"/>
      <c r="HSH7" s="391"/>
      <c r="HSI7" s="391"/>
      <c r="HSJ7" s="391"/>
      <c r="HSK7" s="391"/>
      <c r="HSL7" s="391"/>
      <c r="HSM7" s="391"/>
      <c r="HSN7" s="391"/>
      <c r="HSO7" s="391"/>
      <c r="HSP7" s="391"/>
      <c r="HSQ7" s="391"/>
      <c r="HSR7" s="391"/>
      <c r="HSS7" s="391"/>
      <c r="HST7" s="391"/>
      <c r="HSU7" s="391"/>
      <c r="HSV7" s="391"/>
      <c r="HSW7" s="391"/>
      <c r="HSX7" s="391"/>
      <c r="HSY7" s="391"/>
      <c r="HSZ7" s="391"/>
      <c r="HTA7" s="391"/>
      <c r="HTB7" s="391"/>
      <c r="HTC7" s="391"/>
      <c r="HTD7" s="391"/>
      <c r="HTE7" s="391"/>
      <c r="HTF7" s="391"/>
      <c r="HTG7" s="391"/>
      <c r="HTH7" s="391"/>
      <c r="HTI7" s="391"/>
      <c r="HTJ7" s="391"/>
      <c r="HTK7" s="391"/>
      <c r="HTL7" s="391"/>
      <c r="HTM7" s="391"/>
      <c r="HTN7" s="391"/>
      <c r="HTO7" s="391"/>
      <c r="HTP7" s="391"/>
      <c r="HTQ7" s="391"/>
      <c r="HTR7" s="391"/>
      <c r="HTS7" s="391"/>
      <c r="HTT7" s="391"/>
      <c r="HTU7" s="391"/>
      <c r="HTV7" s="391"/>
      <c r="HTW7" s="391"/>
      <c r="HTX7" s="391"/>
      <c r="HTY7" s="391"/>
      <c r="HTZ7" s="391"/>
      <c r="HUA7" s="391"/>
      <c r="HUB7" s="391"/>
      <c r="HUC7" s="391"/>
      <c r="HUD7" s="391"/>
      <c r="HUE7" s="391"/>
      <c r="HUF7" s="391"/>
      <c r="HUG7" s="391"/>
      <c r="HUH7" s="391"/>
      <c r="HUI7" s="391"/>
      <c r="HUJ7" s="391"/>
      <c r="HUK7" s="391"/>
      <c r="HUL7" s="391"/>
      <c r="HUM7" s="391"/>
      <c r="HUN7" s="391"/>
      <c r="HUO7" s="391"/>
      <c r="HUP7" s="391"/>
      <c r="HUQ7" s="391"/>
      <c r="HUR7" s="391"/>
      <c r="HUS7" s="391"/>
      <c r="HUT7" s="391"/>
      <c r="HUU7" s="391"/>
      <c r="HUV7" s="391"/>
      <c r="HUW7" s="391"/>
      <c r="HUX7" s="391"/>
      <c r="HUY7" s="391"/>
      <c r="HUZ7" s="391"/>
      <c r="HVA7" s="391"/>
      <c r="HVB7" s="391"/>
      <c r="HVC7" s="391"/>
      <c r="HVD7" s="391"/>
      <c r="HVE7" s="391"/>
      <c r="HVF7" s="391"/>
      <c r="HVG7" s="391"/>
      <c r="HVH7" s="391"/>
      <c r="HVI7" s="391"/>
      <c r="HVJ7" s="391"/>
      <c r="HVK7" s="391"/>
      <c r="HVL7" s="391"/>
      <c r="HVM7" s="391"/>
      <c r="HVN7" s="391"/>
      <c r="HVO7" s="391"/>
      <c r="HVP7" s="391"/>
      <c r="HVQ7" s="391"/>
      <c r="HVR7" s="391"/>
      <c r="HVS7" s="391"/>
      <c r="HVT7" s="391"/>
      <c r="HVU7" s="391"/>
      <c r="HVV7" s="391"/>
      <c r="HVW7" s="391"/>
      <c r="HVX7" s="391"/>
      <c r="HVY7" s="391"/>
      <c r="HVZ7" s="391"/>
      <c r="HWA7" s="391"/>
      <c r="HWB7" s="391"/>
      <c r="HWC7" s="391"/>
      <c r="HWD7" s="391"/>
      <c r="HWE7" s="391"/>
      <c r="HWF7" s="391"/>
      <c r="HWG7" s="391"/>
      <c r="HWH7" s="391"/>
      <c r="HWI7" s="391"/>
      <c r="HWJ7" s="391"/>
      <c r="HWK7" s="391"/>
      <c r="HWL7" s="391"/>
      <c r="HWM7" s="391"/>
      <c r="HWN7" s="391"/>
      <c r="HWO7" s="391"/>
      <c r="HWP7" s="391"/>
      <c r="HWQ7" s="391"/>
      <c r="HWR7" s="391"/>
      <c r="HWS7" s="391"/>
      <c r="HWT7" s="391"/>
      <c r="HWU7" s="391"/>
      <c r="HWV7" s="391"/>
      <c r="HWW7" s="391"/>
      <c r="HWX7" s="391"/>
      <c r="HWY7" s="391"/>
      <c r="HWZ7" s="391"/>
      <c r="HXA7" s="391"/>
      <c r="HXB7" s="391"/>
      <c r="HXC7" s="391"/>
      <c r="HXD7" s="391"/>
      <c r="HXE7" s="391"/>
      <c r="HXF7" s="391"/>
      <c r="HXG7" s="391"/>
      <c r="HXH7" s="391"/>
      <c r="HXI7" s="391"/>
      <c r="HXJ7" s="391"/>
      <c r="HXK7" s="391"/>
      <c r="HXL7" s="391"/>
      <c r="HXM7" s="391"/>
      <c r="HXN7" s="391"/>
      <c r="HXO7" s="391"/>
      <c r="HXP7" s="391"/>
      <c r="HXQ7" s="391"/>
      <c r="HXR7" s="391"/>
      <c r="HXS7" s="391"/>
      <c r="HXT7" s="391"/>
      <c r="HXU7" s="391"/>
      <c r="HXV7" s="391"/>
      <c r="HXW7" s="391"/>
      <c r="HXX7" s="391"/>
      <c r="HXY7" s="391"/>
      <c r="HXZ7" s="391"/>
      <c r="HYA7" s="391"/>
      <c r="HYB7" s="391"/>
      <c r="HYC7" s="391"/>
      <c r="HYD7" s="391"/>
      <c r="HYE7" s="391"/>
      <c r="HYF7" s="391"/>
      <c r="HYG7" s="391"/>
      <c r="HYH7" s="391"/>
      <c r="HYI7" s="391"/>
      <c r="HYJ7" s="391"/>
      <c r="HYK7" s="391"/>
      <c r="HYL7" s="391"/>
      <c r="HYM7" s="391"/>
      <c r="HYN7" s="391"/>
      <c r="HYO7" s="391"/>
      <c r="HYP7" s="391"/>
      <c r="HYQ7" s="391"/>
      <c r="HYR7" s="391"/>
      <c r="HYS7" s="391"/>
      <c r="HYT7" s="391"/>
      <c r="HYU7" s="391"/>
      <c r="HYV7" s="391"/>
      <c r="HYW7" s="391"/>
      <c r="HYX7" s="391"/>
      <c r="HYY7" s="391"/>
      <c r="HYZ7" s="391"/>
      <c r="HZA7" s="391"/>
      <c r="HZB7" s="391"/>
      <c r="HZC7" s="391"/>
      <c r="HZD7" s="391"/>
      <c r="HZE7" s="391"/>
      <c r="HZF7" s="391"/>
      <c r="HZG7" s="391"/>
      <c r="HZH7" s="391"/>
      <c r="HZI7" s="391"/>
      <c r="HZJ7" s="391"/>
      <c r="HZK7" s="391"/>
      <c r="HZL7" s="391"/>
      <c r="HZM7" s="391"/>
      <c r="HZN7" s="391"/>
      <c r="HZO7" s="391"/>
      <c r="HZP7" s="391"/>
      <c r="HZQ7" s="391"/>
      <c r="HZR7" s="391"/>
      <c r="HZS7" s="391"/>
      <c r="HZT7" s="391"/>
      <c r="HZU7" s="391"/>
      <c r="HZV7" s="391"/>
      <c r="HZW7" s="391"/>
      <c r="HZX7" s="391"/>
      <c r="HZY7" s="391"/>
      <c r="HZZ7" s="391"/>
      <c r="IAA7" s="391"/>
      <c r="IAB7" s="391"/>
      <c r="IAC7" s="391"/>
      <c r="IAD7" s="391"/>
      <c r="IAE7" s="391"/>
      <c r="IAF7" s="391"/>
      <c r="IAG7" s="391"/>
      <c r="IAH7" s="391"/>
      <c r="IAI7" s="391"/>
      <c r="IAJ7" s="391"/>
      <c r="IAK7" s="391"/>
      <c r="IAL7" s="391"/>
      <c r="IAM7" s="391"/>
      <c r="IAN7" s="391"/>
      <c r="IAO7" s="391"/>
      <c r="IAP7" s="391"/>
      <c r="IAQ7" s="391"/>
      <c r="IAR7" s="391"/>
      <c r="IAS7" s="391"/>
      <c r="IAT7" s="391"/>
      <c r="IAU7" s="391"/>
      <c r="IAV7" s="391"/>
      <c r="IAW7" s="391"/>
      <c r="IAX7" s="391"/>
      <c r="IAY7" s="391"/>
      <c r="IAZ7" s="391"/>
      <c r="IBA7" s="391"/>
      <c r="IBB7" s="391"/>
      <c r="IBC7" s="391"/>
      <c r="IBD7" s="391"/>
      <c r="IBE7" s="391"/>
      <c r="IBF7" s="391"/>
      <c r="IBG7" s="391"/>
      <c r="IBH7" s="391"/>
      <c r="IBI7" s="391"/>
      <c r="IBJ7" s="391"/>
      <c r="IBK7" s="391"/>
      <c r="IBL7" s="391"/>
      <c r="IBM7" s="391"/>
      <c r="IBN7" s="391"/>
      <c r="IBO7" s="391"/>
      <c r="IBP7" s="391"/>
      <c r="IBQ7" s="391"/>
      <c r="IBR7" s="391"/>
      <c r="IBS7" s="391"/>
      <c r="IBT7" s="391"/>
      <c r="IBU7" s="391"/>
      <c r="IBV7" s="391"/>
      <c r="IBW7" s="391"/>
      <c r="IBX7" s="391"/>
      <c r="IBY7" s="391"/>
      <c r="IBZ7" s="391"/>
      <c r="ICA7" s="391"/>
      <c r="ICB7" s="391"/>
      <c r="ICC7" s="391"/>
      <c r="ICD7" s="391"/>
      <c r="ICE7" s="391"/>
      <c r="ICF7" s="391"/>
      <c r="ICG7" s="391"/>
      <c r="ICH7" s="391"/>
      <c r="ICI7" s="391"/>
      <c r="ICJ7" s="391"/>
      <c r="ICK7" s="391"/>
      <c r="ICL7" s="391"/>
      <c r="ICM7" s="391"/>
      <c r="ICN7" s="391"/>
      <c r="ICO7" s="391"/>
      <c r="ICP7" s="391"/>
      <c r="ICQ7" s="391"/>
      <c r="ICR7" s="391"/>
      <c r="ICS7" s="391"/>
      <c r="ICT7" s="391"/>
      <c r="ICU7" s="391"/>
      <c r="ICV7" s="391"/>
      <c r="ICW7" s="391"/>
      <c r="ICX7" s="391"/>
      <c r="ICY7" s="391"/>
      <c r="ICZ7" s="391"/>
      <c r="IDA7" s="391"/>
      <c r="IDB7" s="391"/>
      <c r="IDC7" s="391"/>
      <c r="IDD7" s="391"/>
      <c r="IDE7" s="391"/>
      <c r="IDF7" s="391"/>
      <c r="IDG7" s="391"/>
      <c r="IDH7" s="391"/>
      <c r="IDI7" s="391"/>
      <c r="IDJ7" s="391"/>
      <c r="IDK7" s="391"/>
      <c r="IDL7" s="391"/>
      <c r="IDM7" s="391"/>
      <c r="IDN7" s="391"/>
      <c r="IDO7" s="391"/>
      <c r="IDP7" s="391"/>
      <c r="IDQ7" s="391"/>
      <c r="IDR7" s="391"/>
      <c r="IDS7" s="391"/>
      <c r="IDT7" s="391"/>
      <c r="IDU7" s="391"/>
      <c r="IDV7" s="391"/>
      <c r="IDW7" s="391"/>
      <c r="IDX7" s="391"/>
      <c r="IDY7" s="391"/>
      <c r="IDZ7" s="391"/>
      <c r="IEA7" s="391"/>
      <c r="IEB7" s="391"/>
      <c r="IEC7" s="391"/>
      <c r="IED7" s="391"/>
      <c r="IEE7" s="391"/>
      <c r="IEF7" s="391"/>
      <c r="IEG7" s="391"/>
      <c r="IEH7" s="391"/>
      <c r="IEI7" s="391"/>
      <c r="IEJ7" s="391"/>
      <c r="IEK7" s="391"/>
      <c r="IEL7" s="391"/>
      <c r="IEM7" s="391"/>
      <c r="IEN7" s="391"/>
      <c r="IEO7" s="391"/>
      <c r="IEP7" s="391"/>
      <c r="IEQ7" s="391"/>
      <c r="IER7" s="391"/>
      <c r="IES7" s="391"/>
      <c r="IET7" s="391"/>
      <c r="IEU7" s="391"/>
      <c r="IEV7" s="391"/>
      <c r="IEW7" s="391"/>
      <c r="IEX7" s="391"/>
      <c r="IEY7" s="391"/>
      <c r="IEZ7" s="391"/>
      <c r="IFA7" s="391"/>
      <c r="IFB7" s="391"/>
      <c r="IFC7" s="391"/>
      <c r="IFD7" s="391"/>
      <c r="IFE7" s="391"/>
      <c r="IFF7" s="391"/>
      <c r="IFG7" s="391"/>
      <c r="IFH7" s="391"/>
      <c r="IFI7" s="391"/>
      <c r="IFJ7" s="391"/>
      <c r="IFK7" s="391"/>
      <c r="IFL7" s="391"/>
      <c r="IFM7" s="391"/>
      <c r="IFN7" s="391"/>
      <c r="IFO7" s="391"/>
      <c r="IFP7" s="391"/>
      <c r="IFQ7" s="391"/>
      <c r="IFR7" s="391"/>
      <c r="IFS7" s="391"/>
      <c r="IFT7" s="391"/>
      <c r="IFU7" s="391"/>
      <c r="IFV7" s="391"/>
      <c r="IFW7" s="391"/>
      <c r="IFX7" s="391"/>
      <c r="IFY7" s="391"/>
      <c r="IFZ7" s="391"/>
      <c r="IGA7" s="391"/>
      <c r="IGB7" s="391"/>
      <c r="IGC7" s="391"/>
      <c r="IGD7" s="391"/>
      <c r="IGE7" s="391"/>
      <c r="IGF7" s="391"/>
      <c r="IGG7" s="391"/>
      <c r="IGH7" s="391"/>
      <c r="IGI7" s="391"/>
      <c r="IGJ7" s="391"/>
      <c r="IGK7" s="391"/>
      <c r="IGL7" s="391"/>
      <c r="IGM7" s="391"/>
      <c r="IGN7" s="391"/>
      <c r="IGO7" s="391"/>
      <c r="IGP7" s="391"/>
      <c r="IGQ7" s="391"/>
      <c r="IGR7" s="391"/>
      <c r="IGS7" s="391"/>
      <c r="IGT7" s="391"/>
      <c r="IGU7" s="391"/>
      <c r="IGV7" s="391"/>
      <c r="IGW7" s="391"/>
      <c r="IGX7" s="391"/>
      <c r="IGY7" s="391"/>
      <c r="IGZ7" s="391"/>
      <c r="IHA7" s="391"/>
      <c r="IHB7" s="391"/>
      <c r="IHC7" s="391"/>
      <c r="IHD7" s="391"/>
      <c r="IHE7" s="391"/>
      <c r="IHF7" s="391"/>
      <c r="IHG7" s="391"/>
      <c r="IHH7" s="391"/>
      <c r="IHI7" s="391"/>
      <c r="IHJ7" s="391"/>
      <c r="IHK7" s="391"/>
      <c r="IHL7" s="391"/>
      <c r="IHM7" s="391"/>
      <c r="IHN7" s="391"/>
      <c r="IHO7" s="391"/>
      <c r="IHP7" s="391"/>
      <c r="IHQ7" s="391"/>
      <c r="IHR7" s="391"/>
      <c r="IHS7" s="391"/>
      <c r="IHT7" s="391"/>
      <c r="IHU7" s="391"/>
      <c r="IHV7" s="391"/>
      <c r="IHW7" s="391"/>
      <c r="IHX7" s="391"/>
      <c r="IHY7" s="391"/>
      <c r="IHZ7" s="391"/>
      <c r="IIA7" s="391"/>
      <c r="IIB7" s="391"/>
      <c r="IIC7" s="391"/>
      <c r="IID7" s="391"/>
      <c r="IIE7" s="391"/>
      <c r="IIF7" s="391"/>
      <c r="IIG7" s="391"/>
      <c r="IIH7" s="391"/>
      <c r="III7" s="391"/>
      <c r="IIJ7" s="391"/>
      <c r="IIK7" s="391"/>
      <c r="IIL7" s="391"/>
      <c r="IIM7" s="391"/>
      <c r="IIN7" s="391"/>
      <c r="IIO7" s="391"/>
      <c r="IIP7" s="391"/>
      <c r="IIQ7" s="391"/>
      <c r="IIR7" s="391"/>
      <c r="IIS7" s="391"/>
      <c r="IIT7" s="391"/>
      <c r="IIU7" s="391"/>
      <c r="IIV7" s="391"/>
      <c r="IIW7" s="391"/>
      <c r="IIX7" s="391"/>
      <c r="IIY7" s="391"/>
      <c r="IIZ7" s="391"/>
      <c r="IJA7" s="391"/>
      <c r="IJB7" s="391"/>
      <c r="IJC7" s="391"/>
      <c r="IJD7" s="391"/>
      <c r="IJE7" s="391"/>
      <c r="IJF7" s="391"/>
      <c r="IJG7" s="391"/>
      <c r="IJH7" s="391"/>
      <c r="IJI7" s="391"/>
      <c r="IJJ7" s="391"/>
      <c r="IJK7" s="391"/>
      <c r="IJL7" s="391"/>
      <c r="IJM7" s="391"/>
      <c r="IJN7" s="391"/>
      <c r="IJO7" s="391"/>
      <c r="IJP7" s="391"/>
      <c r="IJQ7" s="391"/>
      <c r="IJR7" s="391"/>
      <c r="IJS7" s="391"/>
      <c r="IJT7" s="391"/>
      <c r="IJU7" s="391"/>
      <c r="IJV7" s="391"/>
      <c r="IJW7" s="391"/>
      <c r="IJX7" s="391"/>
      <c r="IJY7" s="391"/>
      <c r="IJZ7" s="391"/>
      <c r="IKA7" s="391"/>
      <c r="IKB7" s="391"/>
      <c r="IKC7" s="391"/>
      <c r="IKD7" s="391"/>
      <c r="IKE7" s="391"/>
      <c r="IKF7" s="391"/>
      <c r="IKG7" s="391"/>
      <c r="IKH7" s="391"/>
      <c r="IKI7" s="391"/>
      <c r="IKJ7" s="391"/>
      <c r="IKK7" s="391"/>
      <c r="IKL7" s="391"/>
      <c r="IKM7" s="391"/>
      <c r="IKN7" s="391"/>
      <c r="IKO7" s="391"/>
      <c r="IKP7" s="391"/>
      <c r="IKQ7" s="391"/>
      <c r="IKR7" s="391"/>
      <c r="IKS7" s="391"/>
      <c r="IKT7" s="391"/>
      <c r="IKU7" s="391"/>
      <c r="IKV7" s="391"/>
      <c r="IKW7" s="391"/>
      <c r="IKX7" s="391"/>
      <c r="IKY7" s="391"/>
      <c r="IKZ7" s="391"/>
      <c r="ILA7" s="391"/>
      <c r="ILB7" s="391"/>
      <c r="ILC7" s="391"/>
      <c r="ILD7" s="391"/>
      <c r="ILE7" s="391"/>
      <c r="ILF7" s="391"/>
      <c r="ILG7" s="391"/>
      <c r="ILH7" s="391"/>
      <c r="ILI7" s="391"/>
      <c r="ILJ7" s="391"/>
      <c r="ILK7" s="391"/>
      <c r="ILL7" s="391"/>
      <c r="ILM7" s="391"/>
      <c r="ILN7" s="391"/>
      <c r="ILO7" s="391"/>
      <c r="ILP7" s="391"/>
      <c r="ILQ7" s="391"/>
      <c r="ILR7" s="391"/>
      <c r="ILS7" s="391"/>
      <c r="ILT7" s="391"/>
      <c r="ILU7" s="391"/>
      <c r="ILV7" s="391"/>
      <c r="ILW7" s="391"/>
      <c r="ILX7" s="391"/>
      <c r="ILY7" s="391"/>
      <c r="ILZ7" s="391"/>
      <c r="IMA7" s="391"/>
      <c r="IMB7" s="391"/>
      <c r="IMC7" s="391"/>
      <c r="IMD7" s="391"/>
      <c r="IME7" s="391"/>
      <c r="IMF7" s="391"/>
      <c r="IMG7" s="391"/>
      <c r="IMH7" s="391"/>
      <c r="IMI7" s="391"/>
      <c r="IMJ7" s="391"/>
      <c r="IMK7" s="391"/>
      <c r="IML7" s="391"/>
      <c r="IMM7" s="391"/>
      <c r="IMN7" s="391"/>
      <c r="IMO7" s="391"/>
      <c r="IMP7" s="391"/>
      <c r="IMQ7" s="391"/>
      <c r="IMR7" s="391"/>
      <c r="IMS7" s="391"/>
      <c r="IMT7" s="391"/>
      <c r="IMU7" s="391"/>
      <c r="IMV7" s="391"/>
      <c r="IMW7" s="391"/>
      <c r="IMX7" s="391"/>
      <c r="IMY7" s="391"/>
      <c r="IMZ7" s="391"/>
      <c r="INA7" s="391"/>
      <c r="INB7" s="391"/>
      <c r="INC7" s="391"/>
      <c r="IND7" s="391"/>
      <c r="INE7" s="391"/>
      <c r="INF7" s="391"/>
      <c r="ING7" s="391"/>
      <c r="INH7" s="391"/>
      <c r="INI7" s="391"/>
      <c r="INJ7" s="391"/>
      <c r="INK7" s="391"/>
      <c r="INL7" s="391"/>
      <c r="INM7" s="391"/>
      <c r="INN7" s="391"/>
      <c r="INO7" s="391"/>
      <c r="INP7" s="391"/>
      <c r="INQ7" s="391"/>
      <c r="INR7" s="391"/>
      <c r="INS7" s="391"/>
      <c r="INT7" s="391"/>
      <c r="INU7" s="391"/>
      <c r="INV7" s="391"/>
      <c r="INW7" s="391"/>
      <c r="INX7" s="391"/>
      <c r="INY7" s="391"/>
      <c r="INZ7" s="391"/>
      <c r="IOA7" s="391"/>
      <c r="IOB7" s="391"/>
      <c r="IOC7" s="391"/>
      <c r="IOD7" s="391"/>
      <c r="IOE7" s="391"/>
      <c r="IOF7" s="391"/>
      <c r="IOG7" s="391"/>
      <c r="IOH7" s="391"/>
      <c r="IOI7" s="391"/>
      <c r="IOJ7" s="391"/>
      <c r="IOK7" s="391"/>
      <c r="IOL7" s="391"/>
      <c r="IOM7" s="391"/>
      <c r="ION7" s="391"/>
      <c r="IOO7" s="391"/>
      <c r="IOP7" s="391"/>
      <c r="IOQ7" s="391"/>
      <c r="IOR7" s="391"/>
      <c r="IOS7" s="391"/>
      <c r="IOT7" s="391"/>
      <c r="IOU7" s="391"/>
      <c r="IOV7" s="391"/>
      <c r="IOW7" s="391"/>
      <c r="IOX7" s="391"/>
      <c r="IOY7" s="391"/>
      <c r="IOZ7" s="391"/>
      <c r="IPA7" s="391"/>
      <c r="IPB7" s="391"/>
      <c r="IPC7" s="391"/>
      <c r="IPD7" s="391"/>
      <c r="IPE7" s="391"/>
      <c r="IPF7" s="391"/>
      <c r="IPG7" s="391"/>
      <c r="IPH7" s="391"/>
      <c r="IPI7" s="391"/>
      <c r="IPJ7" s="391"/>
      <c r="IPK7" s="391"/>
      <c r="IPL7" s="391"/>
      <c r="IPM7" s="391"/>
      <c r="IPN7" s="391"/>
      <c r="IPO7" s="391"/>
      <c r="IPP7" s="391"/>
      <c r="IPQ7" s="391"/>
      <c r="IPR7" s="391"/>
      <c r="IPS7" s="391"/>
      <c r="IPT7" s="391"/>
      <c r="IPU7" s="391"/>
      <c r="IPV7" s="391"/>
      <c r="IPW7" s="391"/>
      <c r="IPX7" s="391"/>
      <c r="IPY7" s="391"/>
      <c r="IPZ7" s="391"/>
      <c r="IQA7" s="391"/>
      <c r="IQB7" s="391"/>
      <c r="IQC7" s="391"/>
      <c r="IQD7" s="391"/>
      <c r="IQE7" s="391"/>
      <c r="IQF7" s="391"/>
      <c r="IQG7" s="391"/>
      <c r="IQH7" s="391"/>
      <c r="IQI7" s="391"/>
      <c r="IQJ7" s="391"/>
      <c r="IQK7" s="391"/>
      <c r="IQL7" s="391"/>
      <c r="IQM7" s="391"/>
      <c r="IQN7" s="391"/>
      <c r="IQO7" s="391"/>
      <c r="IQP7" s="391"/>
      <c r="IQQ7" s="391"/>
      <c r="IQR7" s="391"/>
      <c r="IQS7" s="391"/>
      <c r="IQT7" s="391"/>
      <c r="IQU7" s="391"/>
      <c r="IQV7" s="391"/>
      <c r="IQW7" s="391"/>
      <c r="IQX7" s="391"/>
      <c r="IQY7" s="391"/>
      <c r="IQZ7" s="391"/>
      <c r="IRA7" s="391"/>
      <c r="IRB7" s="391"/>
      <c r="IRC7" s="391"/>
      <c r="IRD7" s="391"/>
      <c r="IRE7" s="391"/>
      <c r="IRF7" s="391"/>
      <c r="IRG7" s="391"/>
      <c r="IRH7" s="391"/>
      <c r="IRI7" s="391"/>
      <c r="IRJ7" s="391"/>
      <c r="IRK7" s="391"/>
      <c r="IRL7" s="391"/>
      <c r="IRM7" s="391"/>
      <c r="IRN7" s="391"/>
      <c r="IRO7" s="391"/>
      <c r="IRP7" s="391"/>
      <c r="IRQ7" s="391"/>
      <c r="IRR7" s="391"/>
      <c r="IRS7" s="391"/>
      <c r="IRT7" s="391"/>
      <c r="IRU7" s="391"/>
      <c r="IRV7" s="391"/>
      <c r="IRW7" s="391"/>
      <c r="IRX7" s="391"/>
      <c r="IRY7" s="391"/>
      <c r="IRZ7" s="391"/>
      <c r="ISA7" s="391"/>
      <c r="ISB7" s="391"/>
      <c r="ISC7" s="391"/>
      <c r="ISD7" s="391"/>
      <c r="ISE7" s="391"/>
      <c r="ISF7" s="391"/>
      <c r="ISG7" s="391"/>
      <c r="ISH7" s="391"/>
      <c r="ISI7" s="391"/>
      <c r="ISJ7" s="391"/>
      <c r="ISK7" s="391"/>
      <c r="ISL7" s="391"/>
      <c r="ISM7" s="391"/>
      <c r="ISN7" s="391"/>
      <c r="ISO7" s="391"/>
      <c r="ISP7" s="391"/>
      <c r="ISQ7" s="391"/>
      <c r="ISR7" s="391"/>
      <c r="ISS7" s="391"/>
      <c r="IST7" s="391"/>
      <c r="ISU7" s="391"/>
      <c r="ISV7" s="391"/>
      <c r="ISW7" s="391"/>
      <c r="ISX7" s="391"/>
      <c r="ISY7" s="391"/>
      <c r="ISZ7" s="391"/>
      <c r="ITA7" s="391"/>
      <c r="ITB7" s="391"/>
      <c r="ITC7" s="391"/>
      <c r="ITD7" s="391"/>
      <c r="ITE7" s="391"/>
      <c r="ITF7" s="391"/>
      <c r="ITG7" s="391"/>
      <c r="ITH7" s="391"/>
      <c r="ITI7" s="391"/>
      <c r="ITJ7" s="391"/>
      <c r="ITK7" s="391"/>
      <c r="ITL7" s="391"/>
      <c r="ITM7" s="391"/>
      <c r="ITN7" s="391"/>
      <c r="ITO7" s="391"/>
      <c r="ITP7" s="391"/>
      <c r="ITQ7" s="391"/>
      <c r="ITR7" s="391"/>
      <c r="ITS7" s="391"/>
      <c r="ITT7" s="391"/>
      <c r="ITU7" s="391"/>
      <c r="ITV7" s="391"/>
      <c r="ITW7" s="391"/>
      <c r="ITX7" s="391"/>
      <c r="ITY7" s="391"/>
      <c r="ITZ7" s="391"/>
      <c r="IUA7" s="391"/>
      <c r="IUB7" s="391"/>
      <c r="IUC7" s="391"/>
      <c r="IUD7" s="391"/>
      <c r="IUE7" s="391"/>
      <c r="IUF7" s="391"/>
      <c r="IUG7" s="391"/>
      <c r="IUH7" s="391"/>
      <c r="IUI7" s="391"/>
      <c r="IUJ7" s="391"/>
      <c r="IUK7" s="391"/>
      <c r="IUL7" s="391"/>
      <c r="IUM7" s="391"/>
      <c r="IUN7" s="391"/>
      <c r="IUO7" s="391"/>
      <c r="IUP7" s="391"/>
      <c r="IUQ7" s="391"/>
      <c r="IUR7" s="391"/>
      <c r="IUS7" s="391"/>
      <c r="IUT7" s="391"/>
      <c r="IUU7" s="391"/>
      <c r="IUV7" s="391"/>
      <c r="IUW7" s="391"/>
      <c r="IUX7" s="391"/>
      <c r="IUY7" s="391"/>
      <c r="IUZ7" s="391"/>
      <c r="IVA7" s="391"/>
      <c r="IVB7" s="391"/>
      <c r="IVC7" s="391"/>
      <c r="IVD7" s="391"/>
      <c r="IVE7" s="391"/>
      <c r="IVF7" s="391"/>
      <c r="IVG7" s="391"/>
      <c r="IVH7" s="391"/>
      <c r="IVI7" s="391"/>
      <c r="IVJ7" s="391"/>
      <c r="IVK7" s="391"/>
      <c r="IVL7" s="391"/>
      <c r="IVM7" s="391"/>
      <c r="IVN7" s="391"/>
      <c r="IVO7" s="391"/>
      <c r="IVP7" s="391"/>
      <c r="IVQ7" s="391"/>
      <c r="IVR7" s="391"/>
      <c r="IVS7" s="391"/>
      <c r="IVT7" s="391"/>
      <c r="IVU7" s="391"/>
      <c r="IVV7" s="391"/>
      <c r="IVW7" s="391"/>
      <c r="IVX7" s="391"/>
      <c r="IVY7" s="391"/>
      <c r="IVZ7" s="391"/>
      <c r="IWA7" s="391"/>
      <c r="IWB7" s="391"/>
      <c r="IWC7" s="391"/>
      <c r="IWD7" s="391"/>
      <c r="IWE7" s="391"/>
      <c r="IWF7" s="391"/>
      <c r="IWG7" s="391"/>
      <c r="IWH7" s="391"/>
      <c r="IWI7" s="391"/>
      <c r="IWJ7" s="391"/>
      <c r="IWK7" s="391"/>
      <c r="IWL7" s="391"/>
      <c r="IWM7" s="391"/>
      <c r="IWN7" s="391"/>
      <c r="IWO7" s="391"/>
      <c r="IWP7" s="391"/>
      <c r="IWQ7" s="391"/>
      <c r="IWR7" s="391"/>
      <c r="IWS7" s="391"/>
      <c r="IWT7" s="391"/>
      <c r="IWU7" s="391"/>
      <c r="IWV7" s="391"/>
      <c r="IWW7" s="391"/>
      <c r="IWX7" s="391"/>
      <c r="IWY7" s="391"/>
      <c r="IWZ7" s="391"/>
      <c r="IXA7" s="391"/>
      <c r="IXB7" s="391"/>
      <c r="IXC7" s="391"/>
      <c r="IXD7" s="391"/>
      <c r="IXE7" s="391"/>
      <c r="IXF7" s="391"/>
      <c r="IXG7" s="391"/>
      <c r="IXH7" s="391"/>
      <c r="IXI7" s="391"/>
      <c r="IXJ7" s="391"/>
      <c r="IXK7" s="391"/>
      <c r="IXL7" s="391"/>
      <c r="IXM7" s="391"/>
      <c r="IXN7" s="391"/>
      <c r="IXO7" s="391"/>
      <c r="IXP7" s="391"/>
      <c r="IXQ7" s="391"/>
      <c r="IXR7" s="391"/>
      <c r="IXS7" s="391"/>
      <c r="IXT7" s="391"/>
      <c r="IXU7" s="391"/>
      <c r="IXV7" s="391"/>
      <c r="IXW7" s="391"/>
      <c r="IXX7" s="391"/>
      <c r="IXY7" s="391"/>
      <c r="IXZ7" s="391"/>
      <c r="IYA7" s="391"/>
      <c r="IYB7" s="391"/>
      <c r="IYC7" s="391"/>
      <c r="IYD7" s="391"/>
      <c r="IYE7" s="391"/>
      <c r="IYF7" s="391"/>
      <c r="IYG7" s="391"/>
      <c r="IYH7" s="391"/>
      <c r="IYI7" s="391"/>
      <c r="IYJ7" s="391"/>
      <c r="IYK7" s="391"/>
      <c r="IYL7" s="391"/>
      <c r="IYM7" s="391"/>
      <c r="IYN7" s="391"/>
      <c r="IYO7" s="391"/>
      <c r="IYP7" s="391"/>
      <c r="IYQ7" s="391"/>
      <c r="IYR7" s="391"/>
      <c r="IYS7" s="391"/>
      <c r="IYT7" s="391"/>
      <c r="IYU7" s="391"/>
      <c r="IYV7" s="391"/>
      <c r="IYW7" s="391"/>
      <c r="IYX7" s="391"/>
      <c r="IYY7" s="391"/>
      <c r="IYZ7" s="391"/>
      <c r="IZA7" s="391"/>
      <c r="IZB7" s="391"/>
      <c r="IZC7" s="391"/>
      <c r="IZD7" s="391"/>
      <c r="IZE7" s="391"/>
      <c r="IZF7" s="391"/>
      <c r="IZG7" s="391"/>
      <c r="IZH7" s="391"/>
      <c r="IZI7" s="391"/>
      <c r="IZJ7" s="391"/>
      <c r="IZK7" s="391"/>
      <c r="IZL7" s="391"/>
      <c r="IZM7" s="391"/>
      <c r="IZN7" s="391"/>
      <c r="IZO7" s="391"/>
      <c r="IZP7" s="391"/>
      <c r="IZQ7" s="391"/>
      <c r="IZR7" s="391"/>
      <c r="IZS7" s="391"/>
      <c r="IZT7" s="391"/>
      <c r="IZU7" s="391"/>
      <c r="IZV7" s="391"/>
      <c r="IZW7" s="391"/>
      <c r="IZX7" s="391"/>
      <c r="IZY7" s="391"/>
      <c r="IZZ7" s="391"/>
      <c r="JAA7" s="391"/>
      <c r="JAB7" s="391"/>
      <c r="JAC7" s="391"/>
      <c r="JAD7" s="391"/>
      <c r="JAE7" s="391"/>
      <c r="JAF7" s="391"/>
      <c r="JAG7" s="391"/>
      <c r="JAH7" s="391"/>
      <c r="JAI7" s="391"/>
      <c r="JAJ7" s="391"/>
      <c r="JAK7" s="391"/>
      <c r="JAL7" s="391"/>
      <c r="JAM7" s="391"/>
      <c r="JAN7" s="391"/>
      <c r="JAO7" s="391"/>
      <c r="JAP7" s="391"/>
      <c r="JAQ7" s="391"/>
      <c r="JAR7" s="391"/>
      <c r="JAS7" s="391"/>
      <c r="JAT7" s="391"/>
      <c r="JAU7" s="391"/>
      <c r="JAV7" s="391"/>
      <c r="JAW7" s="391"/>
      <c r="JAX7" s="391"/>
      <c r="JAY7" s="391"/>
      <c r="JAZ7" s="391"/>
      <c r="JBA7" s="391"/>
      <c r="JBB7" s="391"/>
      <c r="JBC7" s="391"/>
      <c r="JBD7" s="391"/>
      <c r="JBE7" s="391"/>
      <c r="JBF7" s="391"/>
      <c r="JBG7" s="391"/>
      <c r="JBH7" s="391"/>
      <c r="JBI7" s="391"/>
      <c r="JBJ7" s="391"/>
      <c r="JBK7" s="391"/>
      <c r="JBL7" s="391"/>
      <c r="JBM7" s="391"/>
      <c r="JBN7" s="391"/>
      <c r="JBO7" s="391"/>
      <c r="JBP7" s="391"/>
      <c r="JBQ7" s="391"/>
      <c r="JBR7" s="391"/>
      <c r="JBS7" s="391"/>
      <c r="JBT7" s="391"/>
      <c r="JBU7" s="391"/>
      <c r="JBV7" s="391"/>
      <c r="JBW7" s="391"/>
      <c r="JBX7" s="391"/>
      <c r="JBY7" s="391"/>
      <c r="JBZ7" s="391"/>
      <c r="JCA7" s="391"/>
      <c r="JCB7" s="391"/>
      <c r="JCC7" s="391"/>
      <c r="JCD7" s="391"/>
      <c r="JCE7" s="391"/>
      <c r="JCF7" s="391"/>
      <c r="JCG7" s="391"/>
      <c r="JCH7" s="391"/>
      <c r="JCI7" s="391"/>
      <c r="JCJ7" s="391"/>
      <c r="JCK7" s="391"/>
      <c r="JCL7" s="391"/>
      <c r="JCM7" s="391"/>
      <c r="JCN7" s="391"/>
      <c r="JCO7" s="391"/>
      <c r="JCP7" s="391"/>
      <c r="JCQ7" s="391"/>
      <c r="JCR7" s="391"/>
      <c r="JCS7" s="391"/>
      <c r="JCT7" s="391"/>
      <c r="JCU7" s="391"/>
      <c r="JCV7" s="391"/>
      <c r="JCW7" s="391"/>
      <c r="JCX7" s="391"/>
      <c r="JCY7" s="391"/>
      <c r="JCZ7" s="391"/>
      <c r="JDA7" s="391"/>
      <c r="JDB7" s="391"/>
      <c r="JDC7" s="391"/>
      <c r="JDD7" s="391"/>
      <c r="JDE7" s="391"/>
      <c r="JDF7" s="391"/>
      <c r="JDG7" s="391"/>
      <c r="JDH7" s="391"/>
      <c r="JDI7" s="391"/>
      <c r="JDJ7" s="391"/>
      <c r="JDK7" s="391"/>
      <c r="JDL7" s="391"/>
      <c r="JDM7" s="391"/>
      <c r="JDN7" s="391"/>
      <c r="JDO7" s="391"/>
      <c r="JDP7" s="391"/>
      <c r="JDQ7" s="391"/>
      <c r="JDR7" s="391"/>
      <c r="JDS7" s="391"/>
      <c r="JDT7" s="391"/>
      <c r="JDU7" s="391"/>
      <c r="JDV7" s="391"/>
      <c r="JDW7" s="391"/>
      <c r="JDX7" s="391"/>
      <c r="JDY7" s="391"/>
      <c r="JDZ7" s="391"/>
      <c r="JEA7" s="391"/>
      <c r="JEB7" s="391"/>
      <c r="JEC7" s="391"/>
      <c r="JED7" s="391"/>
      <c r="JEE7" s="391"/>
      <c r="JEF7" s="391"/>
      <c r="JEG7" s="391"/>
      <c r="JEH7" s="391"/>
      <c r="JEI7" s="391"/>
      <c r="JEJ7" s="391"/>
      <c r="JEK7" s="391"/>
      <c r="JEL7" s="391"/>
      <c r="JEM7" s="391"/>
      <c r="JEN7" s="391"/>
      <c r="JEO7" s="391"/>
      <c r="JEP7" s="391"/>
      <c r="JEQ7" s="391"/>
      <c r="JER7" s="391"/>
      <c r="JES7" s="391"/>
      <c r="JET7" s="391"/>
      <c r="JEU7" s="391"/>
      <c r="JEV7" s="391"/>
      <c r="JEW7" s="391"/>
      <c r="JEX7" s="391"/>
      <c r="JEY7" s="391"/>
      <c r="JEZ7" s="391"/>
      <c r="JFA7" s="391"/>
      <c r="JFB7" s="391"/>
      <c r="JFC7" s="391"/>
      <c r="JFD7" s="391"/>
      <c r="JFE7" s="391"/>
      <c r="JFF7" s="391"/>
      <c r="JFG7" s="391"/>
      <c r="JFH7" s="391"/>
      <c r="JFI7" s="391"/>
      <c r="JFJ7" s="391"/>
      <c r="JFK7" s="391"/>
      <c r="JFL7" s="391"/>
      <c r="JFM7" s="391"/>
      <c r="JFN7" s="391"/>
      <c r="JFO7" s="391"/>
      <c r="JFP7" s="391"/>
      <c r="JFQ7" s="391"/>
      <c r="JFR7" s="391"/>
      <c r="JFS7" s="391"/>
      <c r="JFT7" s="391"/>
      <c r="JFU7" s="391"/>
      <c r="JFV7" s="391"/>
      <c r="JFW7" s="391"/>
      <c r="JFX7" s="391"/>
      <c r="JFY7" s="391"/>
      <c r="JFZ7" s="391"/>
      <c r="JGA7" s="391"/>
      <c r="JGB7" s="391"/>
      <c r="JGC7" s="391"/>
      <c r="JGD7" s="391"/>
      <c r="JGE7" s="391"/>
      <c r="JGF7" s="391"/>
      <c r="JGG7" s="391"/>
      <c r="JGH7" s="391"/>
      <c r="JGI7" s="391"/>
      <c r="JGJ7" s="391"/>
      <c r="JGK7" s="391"/>
      <c r="JGL7" s="391"/>
      <c r="JGM7" s="391"/>
      <c r="JGN7" s="391"/>
      <c r="JGO7" s="391"/>
      <c r="JGP7" s="391"/>
      <c r="JGQ7" s="391"/>
      <c r="JGR7" s="391"/>
      <c r="JGS7" s="391"/>
      <c r="JGT7" s="391"/>
      <c r="JGU7" s="391"/>
      <c r="JGV7" s="391"/>
      <c r="JGW7" s="391"/>
      <c r="JGX7" s="391"/>
      <c r="JGY7" s="391"/>
      <c r="JGZ7" s="391"/>
      <c r="JHA7" s="391"/>
      <c r="JHB7" s="391"/>
      <c r="JHC7" s="391"/>
      <c r="JHD7" s="391"/>
      <c r="JHE7" s="391"/>
      <c r="JHF7" s="391"/>
      <c r="JHG7" s="391"/>
      <c r="JHH7" s="391"/>
      <c r="JHI7" s="391"/>
      <c r="JHJ7" s="391"/>
      <c r="JHK7" s="391"/>
      <c r="JHL7" s="391"/>
      <c r="JHM7" s="391"/>
      <c r="JHN7" s="391"/>
      <c r="JHO7" s="391"/>
      <c r="JHP7" s="391"/>
      <c r="JHQ7" s="391"/>
      <c r="JHR7" s="391"/>
      <c r="JHS7" s="391"/>
      <c r="JHT7" s="391"/>
      <c r="JHU7" s="391"/>
      <c r="JHV7" s="391"/>
      <c r="JHW7" s="391"/>
      <c r="JHX7" s="391"/>
      <c r="JHY7" s="391"/>
      <c r="JHZ7" s="391"/>
      <c r="JIA7" s="391"/>
      <c r="JIB7" s="391"/>
      <c r="JIC7" s="391"/>
      <c r="JID7" s="391"/>
      <c r="JIE7" s="391"/>
      <c r="JIF7" s="391"/>
      <c r="JIG7" s="391"/>
      <c r="JIH7" s="391"/>
      <c r="JII7" s="391"/>
      <c r="JIJ7" s="391"/>
      <c r="JIK7" s="391"/>
      <c r="JIL7" s="391"/>
      <c r="JIM7" s="391"/>
      <c r="JIN7" s="391"/>
      <c r="JIO7" s="391"/>
      <c r="JIP7" s="391"/>
      <c r="JIQ7" s="391"/>
      <c r="JIR7" s="391"/>
      <c r="JIS7" s="391"/>
      <c r="JIT7" s="391"/>
      <c r="JIU7" s="391"/>
      <c r="JIV7" s="391"/>
      <c r="JIW7" s="391"/>
      <c r="JIX7" s="391"/>
      <c r="JIY7" s="391"/>
      <c r="JIZ7" s="391"/>
      <c r="JJA7" s="391"/>
      <c r="JJB7" s="391"/>
      <c r="JJC7" s="391"/>
      <c r="JJD7" s="391"/>
      <c r="JJE7" s="391"/>
      <c r="JJF7" s="391"/>
      <c r="JJG7" s="391"/>
      <c r="JJH7" s="391"/>
      <c r="JJI7" s="391"/>
      <c r="JJJ7" s="391"/>
      <c r="JJK7" s="391"/>
      <c r="JJL7" s="391"/>
      <c r="JJM7" s="391"/>
      <c r="JJN7" s="391"/>
      <c r="JJO7" s="391"/>
      <c r="JJP7" s="391"/>
      <c r="JJQ7" s="391"/>
      <c r="JJR7" s="391"/>
      <c r="JJS7" s="391"/>
      <c r="JJT7" s="391"/>
      <c r="JJU7" s="391"/>
      <c r="JJV7" s="391"/>
      <c r="JJW7" s="391"/>
      <c r="JJX7" s="391"/>
      <c r="JJY7" s="391"/>
      <c r="JJZ7" s="391"/>
      <c r="JKA7" s="391"/>
      <c r="JKB7" s="391"/>
      <c r="JKC7" s="391"/>
      <c r="JKD7" s="391"/>
      <c r="JKE7" s="391"/>
      <c r="JKF7" s="391"/>
      <c r="JKG7" s="391"/>
      <c r="JKH7" s="391"/>
      <c r="JKI7" s="391"/>
      <c r="JKJ7" s="391"/>
      <c r="JKK7" s="391"/>
      <c r="JKL7" s="391"/>
      <c r="JKM7" s="391"/>
      <c r="JKN7" s="391"/>
      <c r="JKO7" s="391"/>
      <c r="JKP7" s="391"/>
      <c r="JKQ7" s="391"/>
      <c r="JKR7" s="391"/>
      <c r="JKS7" s="391"/>
      <c r="JKT7" s="391"/>
      <c r="JKU7" s="391"/>
      <c r="JKV7" s="391"/>
      <c r="JKW7" s="391"/>
      <c r="JKX7" s="391"/>
      <c r="JKY7" s="391"/>
      <c r="JKZ7" s="391"/>
      <c r="JLA7" s="391"/>
      <c r="JLB7" s="391"/>
      <c r="JLC7" s="391"/>
      <c r="JLD7" s="391"/>
      <c r="JLE7" s="391"/>
      <c r="JLF7" s="391"/>
      <c r="JLG7" s="391"/>
      <c r="JLH7" s="391"/>
      <c r="JLI7" s="391"/>
      <c r="JLJ7" s="391"/>
      <c r="JLK7" s="391"/>
      <c r="JLL7" s="391"/>
      <c r="JLM7" s="391"/>
      <c r="JLN7" s="391"/>
      <c r="JLO7" s="391"/>
      <c r="JLP7" s="391"/>
      <c r="JLQ7" s="391"/>
      <c r="JLR7" s="391"/>
      <c r="JLS7" s="391"/>
      <c r="JLT7" s="391"/>
      <c r="JLU7" s="391"/>
      <c r="JLV7" s="391"/>
      <c r="JLW7" s="391"/>
      <c r="JLX7" s="391"/>
      <c r="JLY7" s="391"/>
      <c r="JLZ7" s="391"/>
      <c r="JMA7" s="391"/>
      <c r="JMB7" s="391"/>
      <c r="JMC7" s="391"/>
      <c r="JMD7" s="391"/>
      <c r="JME7" s="391"/>
      <c r="JMF7" s="391"/>
      <c r="JMG7" s="391"/>
      <c r="JMH7" s="391"/>
      <c r="JMI7" s="391"/>
      <c r="JMJ7" s="391"/>
      <c r="JMK7" s="391"/>
      <c r="JML7" s="391"/>
      <c r="JMM7" s="391"/>
      <c r="JMN7" s="391"/>
      <c r="JMO7" s="391"/>
      <c r="JMP7" s="391"/>
      <c r="JMQ7" s="391"/>
      <c r="JMR7" s="391"/>
      <c r="JMS7" s="391"/>
      <c r="JMT7" s="391"/>
      <c r="JMU7" s="391"/>
      <c r="JMV7" s="391"/>
      <c r="JMW7" s="391"/>
      <c r="JMX7" s="391"/>
      <c r="JMY7" s="391"/>
      <c r="JMZ7" s="391"/>
      <c r="JNA7" s="391"/>
      <c r="JNB7" s="391"/>
      <c r="JNC7" s="391"/>
      <c r="JND7" s="391"/>
      <c r="JNE7" s="391"/>
      <c r="JNF7" s="391"/>
      <c r="JNG7" s="391"/>
      <c r="JNH7" s="391"/>
      <c r="JNI7" s="391"/>
      <c r="JNJ7" s="391"/>
      <c r="JNK7" s="391"/>
      <c r="JNL7" s="391"/>
      <c r="JNM7" s="391"/>
      <c r="JNN7" s="391"/>
      <c r="JNO7" s="391"/>
      <c r="JNP7" s="391"/>
      <c r="JNQ7" s="391"/>
      <c r="JNR7" s="391"/>
      <c r="JNS7" s="391"/>
      <c r="JNT7" s="391"/>
      <c r="JNU7" s="391"/>
      <c r="JNV7" s="391"/>
      <c r="JNW7" s="391"/>
      <c r="JNX7" s="391"/>
      <c r="JNY7" s="391"/>
      <c r="JNZ7" s="391"/>
      <c r="JOA7" s="391"/>
      <c r="JOB7" s="391"/>
      <c r="JOC7" s="391"/>
      <c r="JOD7" s="391"/>
      <c r="JOE7" s="391"/>
      <c r="JOF7" s="391"/>
      <c r="JOG7" s="391"/>
      <c r="JOH7" s="391"/>
      <c r="JOI7" s="391"/>
      <c r="JOJ7" s="391"/>
      <c r="JOK7" s="391"/>
      <c r="JOL7" s="391"/>
      <c r="JOM7" s="391"/>
      <c r="JON7" s="391"/>
      <c r="JOO7" s="391"/>
      <c r="JOP7" s="391"/>
      <c r="JOQ7" s="391"/>
      <c r="JOR7" s="391"/>
      <c r="JOS7" s="391"/>
      <c r="JOT7" s="391"/>
      <c r="JOU7" s="391"/>
      <c r="JOV7" s="391"/>
      <c r="JOW7" s="391"/>
      <c r="JOX7" s="391"/>
      <c r="JOY7" s="391"/>
      <c r="JOZ7" s="391"/>
      <c r="JPA7" s="391"/>
      <c r="JPB7" s="391"/>
      <c r="JPC7" s="391"/>
      <c r="JPD7" s="391"/>
      <c r="JPE7" s="391"/>
      <c r="JPF7" s="391"/>
      <c r="JPG7" s="391"/>
      <c r="JPH7" s="391"/>
      <c r="JPI7" s="391"/>
      <c r="JPJ7" s="391"/>
      <c r="JPK7" s="391"/>
      <c r="JPL7" s="391"/>
      <c r="JPM7" s="391"/>
      <c r="JPN7" s="391"/>
      <c r="JPO7" s="391"/>
      <c r="JPP7" s="391"/>
      <c r="JPQ7" s="391"/>
      <c r="JPR7" s="391"/>
      <c r="JPS7" s="391"/>
      <c r="JPT7" s="391"/>
      <c r="JPU7" s="391"/>
      <c r="JPV7" s="391"/>
      <c r="JPW7" s="391"/>
      <c r="JPX7" s="391"/>
      <c r="JPY7" s="391"/>
      <c r="JPZ7" s="391"/>
      <c r="JQA7" s="391"/>
      <c r="JQB7" s="391"/>
      <c r="JQC7" s="391"/>
      <c r="JQD7" s="391"/>
      <c r="JQE7" s="391"/>
      <c r="JQF7" s="391"/>
      <c r="JQG7" s="391"/>
      <c r="JQH7" s="391"/>
      <c r="JQI7" s="391"/>
      <c r="JQJ7" s="391"/>
      <c r="JQK7" s="391"/>
      <c r="JQL7" s="391"/>
      <c r="JQM7" s="391"/>
      <c r="JQN7" s="391"/>
      <c r="JQO7" s="391"/>
      <c r="JQP7" s="391"/>
      <c r="JQQ7" s="391"/>
      <c r="JQR7" s="391"/>
      <c r="JQS7" s="391"/>
      <c r="JQT7" s="391"/>
      <c r="JQU7" s="391"/>
      <c r="JQV7" s="391"/>
      <c r="JQW7" s="391"/>
      <c r="JQX7" s="391"/>
      <c r="JQY7" s="391"/>
      <c r="JQZ7" s="391"/>
      <c r="JRA7" s="391"/>
      <c r="JRB7" s="391"/>
      <c r="JRC7" s="391"/>
      <c r="JRD7" s="391"/>
      <c r="JRE7" s="391"/>
      <c r="JRF7" s="391"/>
      <c r="JRG7" s="391"/>
      <c r="JRH7" s="391"/>
      <c r="JRI7" s="391"/>
      <c r="JRJ7" s="391"/>
      <c r="JRK7" s="391"/>
      <c r="JRL7" s="391"/>
      <c r="JRM7" s="391"/>
      <c r="JRN7" s="391"/>
      <c r="JRO7" s="391"/>
      <c r="JRP7" s="391"/>
      <c r="JRQ7" s="391"/>
      <c r="JRR7" s="391"/>
      <c r="JRS7" s="391"/>
      <c r="JRT7" s="391"/>
      <c r="JRU7" s="391"/>
      <c r="JRV7" s="391"/>
      <c r="JRW7" s="391"/>
      <c r="JRX7" s="391"/>
      <c r="JRY7" s="391"/>
      <c r="JRZ7" s="391"/>
      <c r="JSA7" s="391"/>
      <c r="JSB7" s="391"/>
      <c r="JSC7" s="391"/>
      <c r="JSD7" s="391"/>
      <c r="JSE7" s="391"/>
      <c r="JSF7" s="391"/>
      <c r="JSG7" s="391"/>
      <c r="JSH7" s="391"/>
      <c r="JSI7" s="391"/>
      <c r="JSJ7" s="391"/>
      <c r="JSK7" s="391"/>
      <c r="JSL7" s="391"/>
      <c r="JSM7" s="391"/>
      <c r="JSN7" s="391"/>
      <c r="JSO7" s="391"/>
      <c r="JSP7" s="391"/>
      <c r="JSQ7" s="391"/>
      <c r="JSR7" s="391"/>
      <c r="JSS7" s="391"/>
      <c r="JST7" s="391"/>
      <c r="JSU7" s="391"/>
      <c r="JSV7" s="391"/>
      <c r="JSW7" s="391"/>
      <c r="JSX7" s="391"/>
      <c r="JSY7" s="391"/>
      <c r="JSZ7" s="391"/>
      <c r="JTA7" s="391"/>
      <c r="JTB7" s="391"/>
      <c r="JTC7" s="391"/>
      <c r="JTD7" s="391"/>
      <c r="JTE7" s="391"/>
      <c r="JTF7" s="391"/>
      <c r="JTG7" s="391"/>
      <c r="JTH7" s="391"/>
      <c r="JTI7" s="391"/>
      <c r="JTJ7" s="391"/>
      <c r="JTK7" s="391"/>
      <c r="JTL7" s="391"/>
      <c r="JTM7" s="391"/>
      <c r="JTN7" s="391"/>
      <c r="JTO7" s="391"/>
      <c r="JTP7" s="391"/>
      <c r="JTQ7" s="391"/>
      <c r="JTR7" s="391"/>
      <c r="JTS7" s="391"/>
      <c r="JTT7" s="391"/>
      <c r="JTU7" s="391"/>
      <c r="JTV7" s="391"/>
      <c r="JTW7" s="391"/>
      <c r="JTX7" s="391"/>
      <c r="JTY7" s="391"/>
      <c r="JTZ7" s="391"/>
      <c r="JUA7" s="391"/>
      <c r="JUB7" s="391"/>
      <c r="JUC7" s="391"/>
      <c r="JUD7" s="391"/>
      <c r="JUE7" s="391"/>
      <c r="JUF7" s="391"/>
      <c r="JUG7" s="391"/>
      <c r="JUH7" s="391"/>
      <c r="JUI7" s="391"/>
      <c r="JUJ7" s="391"/>
      <c r="JUK7" s="391"/>
      <c r="JUL7" s="391"/>
      <c r="JUM7" s="391"/>
      <c r="JUN7" s="391"/>
      <c r="JUO7" s="391"/>
      <c r="JUP7" s="391"/>
      <c r="JUQ7" s="391"/>
      <c r="JUR7" s="391"/>
      <c r="JUS7" s="391"/>
      <c r="JUT7" s="391"/>
      <c r="JUU7" s="391"/>
      <c r="JUV7" s="391"/>
      <c r="JUW7" s="391"/>
      <c r="JUX7" s="391"/>
      <c r="JUY7" s="391"/>
      <c r="JUZ7" s="391"/>
      <c r="JVA7" s="391"/>
      <c r="JVB7" s="391"/>
      <c r="JVC7" s="391"/>
      <c r="JVD7" s="391"/>
      <c r="JVE7" s="391"/>
      <c r="JVF7" s="391"/>
      <c r="JVG7" s="391"/>
      <c r="JVH7" s="391"/>
      <c r="JVI7" s="391"/>
      <c r="JVJ7" s="391"/>
      <c r="JVK7" s="391"/>
      <c r="JVL7" s="391"/>
      <c r="JVM7" s="391"/>
      <c r="JVN7" s="391"/>
      <c r="JVO7" s="391"/>
      <c r="JVP7" s="391"/>
      <c r="JVQ7" s="391"/>
      <c r="JVR7" s="391"/>
      <c r="JVS7" s="391"/>
      <c r="JVT7" s="391"/>
      <c r="JVU7" s="391"/>
      <c r="JVV7" s="391"/>
      <c r="JVW7" s="391"/>
      <c r="JVX7" s="391"/>
      <c r="JVY7" s="391"/>
      <c r="JVZ7" s="391"/>
      <c r="JWA7" s="391"/>
      <c r="JWB7" s="391"/>
      <c r="JWC7" s="391"/>
      <c r="JWD7" s="391"/>
      <c r="JWE7" s="391"/>
      <c r="JWF7" s="391"/>
      <c r="JWG7" s="391"/>
      <c r="JWH7" s="391"/>
      <c r="JWI7" s="391"/>
      <c r="JWJ7" s="391"/>
      <c r="JWK7" s="391"/>
      <c r="JWL7" s="391"/>
      <c r="JWM7" s="391"/>
      <c r="JWN7" s="391"/>
      <c r="JWO7" s="391"/>
      <c r="JWP7" s="391"/>
      <c r="JWQ7" s="391"/>
      <c r="JWR7" s="391"/>
      <c r="JWS7" s="391"/>
      <c r="JWT7" s="391"/>
      <c r="JWU7" s="391"/>
      <c r="JWV7" s="391"/>
      <c r="JWW7" s="391"/>
      <c r="JWX7" s="391"/>
      <c r="JWY7" s="391"/>
      <c r="JWZ7" s="391"/>
      <c r="JXA7" s="391"/>
      <c r="JXB7" s="391"/>
      <c r="JXC7" s="391"/>
      <c r="JXD7" s="391"/>
      <c r="JXE7" s="391"/>
      <c r="JXF7" s="391"/>
      <c r="JXG7" s="391"/>
      <c r="JXH7" s="391"/>
      <c r="JXI7" s="391"/>
      <c r="JXJ7" s="391"/>
      <c r="JXK7" s="391"/>
      <c r="JXL7" s="391"/>
      <c r="JXM7" s="391"/>
      <c r="JXN7" s="391"/>
      <c r="JXO7" s="391"/>
      <c r="JXP7" s="391"/>
      <c r="JXQ7" s="391"/>
      <c r="JXR7" s="391"/>
      <c r="JXS7" s="391"/>
      <c r="JXT7" s="391"/>
      <c r="JXU7" s="391"/>
      <c r="JXV7" s="391"/>
      <c r="JXW7" s="391"/>
      <c r="JXX7" s="391"/>
      <c r="JXY7" s="391"/>
      <c r="JXZ7" s="391"/>
      <c r="JYA7" s="391"/>
      <c r="JYB7" s="391"/>
      <c r="JYC7" s="391"/>
      <c r="JYD7" s="391"/>
      <c r="JYE7" s="391"/>
      <c r="JYF7" s="391"/>
      <c r="JYG7" s="391"/>
      <c r="JYH7" s="391"/>
      <c r="JYI7" s="391"/>
      <c r="JYJ7" s="391"/>
      <c r="JYK7" s="391"/>
      <c r="JYL7" s="391"/>
      <c r="JYM7" s="391"/>
      <c r="JYN7" s="391"/>
      <c r="JYO7" s="391"/>
      <c r="JYP7" s="391"/>
      <c r="JYQ7" s="391"/>
      <c r="JYR7" s="391"/>
      <c r="JYS7" s="391"/>
      <c r="JYT7" s="391"/>
      <c r="JYU7" s="391"/>
      <c r="JYV7" s="391"/>
      <c r="JYW7" s="391"/>
      <c r="JYX7" s="391"/>
      <c r="JYY7" s="391"/>
      <c r="JYZ7" s="391"/>
      <c r="JZA7" s="391"/>
      <c r="JZB7" s="391"/>
      <c r="JZC7" s="391"/>
      <c r="JZD7" s="391"/>
      <c r="JZE7" s="391"/>
      <c r="JZF7" s="391"/>
      <c r="JZG7" s="391"/>
      <c r="JZH7" s="391"/>
      <c r="JZI7" s="391"/>
      <c r="JZJ7" s="391"/>
      <c r="JZK7" s="391"/>
      <c r="JZL7" s="391"/>
      <c r="JZM7" s="391"/>
      <c r="JZN7" s="391"/>
      <c r="JZO7" s="391"/>
      <c r="JZP7" s="391"/>
      <c r="JZQ7" s="391"/>
      <c r="JZR7" s="391"/>
      <c r="JZS7" s="391"/>
      <c r="JZT7" s="391"/>
      <c r="JZU7" s="391"/>
      <c r="JZV7" s="391"/>
      <c r="JZW7" s="391"/>
      <c r="JZX7" s="391"/>
      <c r="JZY7" s="391"/>
      <c r="JZZ7" s="391"/>
      <c r="KAA7" s="391"/>
      <c r="KAB7" s="391"/>
      <c r="KAC7" s="391"/>
      <c r="KAD7" s="391"/>
      <c r="KAE7" s="391"/>
      <c r="KAF7" s="391"/>
      <c r="KAG7" s="391"/>
      <c r="KAH7" s="391"/>
      <c r="KAI7" s="391"/>
      <c r="KAJ7" s="391"/>
      <c r="KAK7" s="391"/>
      <c r="KAL7" s="391"/>
      <c r="KAM7" s="391"/>
      <c r="KAN7" s="391"/>
      <c r="KAO7" s="391"/>
      <c r="KAP7" s="391"/>
      <c r="KAQ7" s="391"/>
      <c r="KAR7" s="391"/>
      <c r="KAS7" s="391"/>
      <c r="KAT7" s="391"/>
      <c r="KAU7" s="391"/>
      <c r="KAV7" s="391"/>
      <c r="KAW7" s="391"/>
      <c r="KAX7" s="391"/>
      <c r="KAY7" s="391"/>
      <c r="KAZ7" s="391"/>
      <c r="KBA7" s="391"/>
      <c r="KBB7" s="391"/>
      <c r="KBC7" s="391"/>
      <c r="KBD7" s="391"/>
      <c r="KBE7" s="391"/>
      <c r="KBF7" s="391"/>
      <c r="KBG7" s="391"/>
      <c r="KBH7" s="391"/>
      <c r="KBI7" s="391"/>
      <c r="KBJ7" s="391"/>
      <c r="KBK7" s="391"/>
      <c r="KBL7" s="391"/>
      <c r="KBM7" s="391"/>
      <c r="KBN7" s="391"/>
      <c r="KBO7" s="391"/>
      <c r="KBP7" s="391"/>
      <c r="KBQ7" s="391"/>
      <c r="KBR7" s="391"/>
      <c r="KBS7" s="391"/>
      <c r="KBT7" s="391"/>
      <c r="KBU7" s="391"/>
      <c r="KBV7" s="391"/>
      <c r="KBW7" s="391"/>
      <c r="KBX7" s="391"/>
      <c r="KBY7" s="391"/>
      <c r="KBZ7" s="391"/>
      <c r="KCA7" s="391"/>
      <c r="KCB7" s="391"/>
      <c r="KCC7" s="391"/>
      <c r="KCD7" s="391"/>
      <c r="KCE7" s="391"/>
      <c r="KCF7" s="391"/>
      <c r="KCG7" s="391"/>
      <c r="KCH7" s="391"/>
      <c r="KCI7" s="391"/>
      <c r="KCJ7" s="391"/>
      <c r="KCK7" s="391"/>
      <c r="KCL7" s="391"/>
      <c r="KCM7" s="391"/>
      <c r="KCN7" s="391"/>
      <c r="KCO7" s="391"/>
      <c r="KCP7" s="391"/>
      <c r="KCQ7" s="391"/>
      <c r="KCR7" s="391"/>
      <c r="KCS7" s="391"/>
      <c r="KCT7" s="391"/>
      <c r="KCU7" s="391"/>
      <c r="KCV7" s="391"/>
      <c r="KCW7" s="391"/>
      <c r="KCX7" s="391"/>
      <c r="KCY7" s="391"/>
      <c r="KCZ7" s="391"/>
      <c r="KDA7" s="391"/>
      <c r="KDB7" s="391"/>
      <c r="KDC7" s="391"/>
      <c r="KDD7" s="391"/>
      <c r="KDE7" s="391"/>
      <c r="KDF7" s="391"/>
      <c r="KDG7" s="391"/>
      <c r="KDH7" s="391"/>
      <c r="KDI7" s="391"/>
      <c r="KDJ7" s="391"/>
      <c r="KDK7" s="391"/>
      <c r="KDL7" s="391"/>
      <c r="KDM7" s="391"/>
      <c r="KDN7" s="391"/>
      <c r="KDO7" s="391"/>
      <c r="KDP7" s="391"/>
      <c r="KDQ7" s="391"/>
      <c r="KDR7" s="391"/>
      <c r="KDS7" s="391"/>
      <c r="KDT7" s="391"/>
      <c r="KDU7" s="391"/>
      <c r="KDV7" s="391"/>
      <c r="KDW7" s="391"/>
      <c r="KDX7" s="391"/>
      <c r="KDY7" s="391"/>
      <c r="KDZ7" s="391"/>
      <c r="KEA7" s="391"/>
      <c r="KEB7" s="391"/>
      <c r="KEC7" s="391"/>
      <c r="KED7" s="391"/>
      <c r="KEE7" s="391"/>
      <c r="KEF7" s="391"/>
      <c r="KEG7" s="391"/>
      <c r="KEH7" s="391"/>
      <c r="KEI7" s="391"/>
      <c r="KEJ7" s="391"/>
      <c r="KEK7" s="391"/>
      <c r="KEL7" s="391"/>
      <c r="KEM7" s="391"/>
      <c r="KEN7" s="391"/>
      <c r="KEO7" s="391"/>
      <c r="KEP7" s="391"/>
      <c r="KEQ7" s="391"/>
      <c r="KER7" s="391"/>
      <c r="KES7" s="391"/>
      <c r="KET7" s="391"/>
      <c r="KEU7" s="391"/>
      <c r="KEV7" s="391"/>
      <c r="KEW7" s="391"/>
      <c r="KEX7" s="391"/>
      <c r="KEY7" s="391"/>
      <c r="KEZ7" s="391"/>
      <c r="KFA7" s="391"/>
      <c r="KFB7" s="391"/>
      <c r="KFC7" s="391"/>
      <c r="KFD7" s="391"/>
      <c r="KFE7" s="391"/>
      <c r="KFF7" s="391"/>
      <c r="KFG7" s="391"/>
      <c r="KFH7" s="391"/>
      <c r="KFI7" s="391"/>
      <c r="KFJ7" s="391"/>
      <c r="KFK7" s="391"/>
      <c r="KFL7" s="391"/>
      <c r="KFM7" s="391"/>
      <c r="KFN7" s="391"/>
      <c r="KFO7" s="391"/>
      <c r="KFP7" s="391"/>
      <c r="KFQ7" s="391"/>
      <c r="KFR7" s="391"/>
      <c r="KFS7" s="391"/>
      <c r="KFT7" s="391"/>
      <c r="KFU7" s="391"/>
      <c r="KFV7" s="391"/>
      <c r="KFW7" s="391"/>
      <c r="KFX7" s="391"/>
      <c r="KFY7" s="391"/>
      <c r="KFZ7" s="391"/>
      <c r="KGA7" s="391"/>
      <c r="KGB7" s="391"/>
      <c r="KGC7" s="391"/>
      <c r="KGD7" s="391"/>
      <c r="KGE7" s="391"/>
      <c r="KGF7" s="391"/>
      <c r="KGG7" s="391"/>
      <c r="KGH7" s="391"/>
      <c r="KGI7" s="391"/>
      <c r="KGJ7" s="391"/>
      <c r="KGK7" s="391"/>
      <c r="KGL7" s="391"/>
      <c r="KGM7" s="391"/>
      <c r="KGN7" s="391"/>
      <c r="KGO7" s="391"/>
      <c r="KGP7" s="391"/>
      <c r="KGQ7" s="391"/>
      <c r="KGR7" s="391"/>
      <c r="KGS7" s="391"/>
      <c r="KGT7" s="391"/>
      <c r="KGU7" s="391"/>
      <c r="KGV7" s="391"/>
      <c r="KGW7" s="391"/>
      <c r="KGX7" s="391"/>
      <c r="KGY7" s="391"/>
      <c r="KGZ7" s="391"/>
      <c r="KHA7" s="391"/>
      <c r="KHB7" s="391"/>
      <c r="KHC7" s="391"/>
      <c r="KHD7" s="391"/>
      <c r="KHE7" s="391"/>
      <c r="KHF7" s="391"/>
      <c r="KHG7" s="391"/>
      <c r="KHH7" s="391"/>
      <c r="KHI7" s="391"/>
      <c r="KHJ7" s="391"/>
      <c r="KHK7" s="391"/>
      <c r="KHL7" s="391"/>
      <c r="KHM7" s="391"/>
      <c r="KHN7" s="391"/>
      <c r="KHO7" s="391"/>
      <c r="KHP7" s="391"/>
      <c r="KHQ7" s="391"/>
      <c r="KHR7" s="391"/>
      <c r="KHS7" s="391"/>
      <c r="KHT7" s="391"/>
      <c r="KHU7" s="391"/>
      <c r="KHV7" s="391"/>
      <c r="KHW7" s="391"/>
      <c r="KHX7" s="391"/>
      <c r="KHY7" s="391"/>
      <c r="KHZ7" s="391"/>
      <c r="KIA7" s="391"/>
      <c r="KIB7" s="391"/>
      <c r="KIC7" s="391"/>
      <c r="KID7" s="391"/>
      <c r="KIE7" s="391"/>
      <c r="KIF7" s="391"/>
      <c r="KIG7" s="391"/>
      <c r="KIH7" s="391"/>
      <c r="KII7" s="391"/>
      <c r="KIJ7" s="391"/>
      <c r="KIK7" s="391"/>
      <c r="KIL7" s="391"/>
      <c r="KIM7" s="391"/>
      <c r="KIN7" s="391"/>
      <c r="KIO7" s="391"/>
      <c r="KIP7" s="391"/>
      <c r="KIQ7" s="391"/>
      <c r="KIR7" s="391"/>
      <c r="KIS7" s="391"/>
      <c r="KIT7" s="391"/>
      <c r="KIU7" s="391"/>
      <c r="KIV7" s="391"/>
      <c r="KIW7" s="391"/>
      <c r="KIX7" s="391"/>
      <c r="KIY7" s="391"/>
      <c r="KIZ7" s="391"/>
      <c r="KJA7" s="391"/>
      <c r="KJB7" s="391"/>
      <c r="KJC7" s="391"/>
      <c r="KJD7" s="391"/>
      <c r="KJE7" s="391"/>
      <c r="KJF7" s="391"/>
      <c r="KJG7" s="391"/>
      <c r="KJH7" s="391"/>
      <c r="KJI7" s="391"/>
      <c r="KJJ7" s="391"/>
      <c r="KJK7" s="391"/>
      <c r="KJL7" s="391"/>
      <c r="KJM7" s="391"/>
      <c r="KJN7" s="391"/>
      <c r="KJO7" s="391"/>
      <c r="KJP7" s="391"/>
      <c r="KJQ7" s="391"/>
      <c r="KJR7" s="391"/>
      <c r="KJS7" s="391"/>
      <c r="KJT7" s="391"/>
      <c r="KJU7" s="391"/>
      <c r="KJV7" s="391"/>
      <c r="KJW7" s="391"/>
      <c r="KJX7" s="391"/>
      <c r="KJY7" s="391"/>
      <c r="KJZ7" s="391"/>
      <c r="KKA7" s="391"/>
      <c r="KKB7" s="391"/>
      <c r="KKC7" s="391"/>
      <c r="KKD7" s="391"/>
      <c r="KKE7" s="391"/>
      <c r="KKF7" s="391"/>
      <c r="KKG7" s="391"/>
      <c r="KKH7" s="391"/>
      <c r="KKI7" s="391"/>
      <c r="KKJ7" s="391"/>
      <c r="KKK7" s="391"/>
      <c r="KKL7" s="391"/>
      <c r="KKM7" s="391"/>
      <c r="KKN7" s="391"/>
      <c r="KKO7" s="391"/>
      <c r="KKP7" s="391"/>
      <c r="KKQ7" s="391"/>
      <c r="KKR7" s="391"/>
      <c r="KKS7" s="391"/>
      <c r="KKT7" s="391"/>
      <c r="KKU7" s="391"/>
      <c r="KKV7" s="391"/>
      <c r="KKW7" s="391"/>
      <c r="KKX7" s="391"/>
      <c r="KKY7" s="391"/>
      <c r="KKZ7" s="391"/>
      <c r="KLA7" s="391"/>
      <c r="KLB7" s="391"/>
      <c r="KLC7" s="391"/>
      <c r="KLD7" s="391"/>
      <c r="KLE7" s="391"/>
      <c r="KLF7" s="391"/>
      <c r="KLG7" s="391"/>
      <c r="KLH7" s="391"/>
      <c r="KLI7" s="391"/>
      <c r="KLJ7" s="391"/>
      <c r="KLK7" s="391"/>
      <c r="KLL7" s="391"/>
      <c r="KLM7" s="391"/>
      <c r="KLN7" s="391"/>
      <c r="KLO7" s="391"/>
      <c r="KLP7" s="391"/>
      <c r="KLQ7" s="391"/>
      <c r="KLR7" s="391"/>
      <c r="KLS7" s="391"/>
      <c r="KLT7" s="391"/>
      <c r="KLU7" s="391"/>
      <c r="KLV7" s="391"/>
      <c r="KLW7" s="391"/>
      <c r="KLX7" s="391"/>
      <c r="KLY7" s="391"/>
      <c r="KLZ7" s="391"/>
      <c r="KMA7" s="391"/>
      <c r="KMB7" s="391"/>
      <c r="KMC7" s="391"/>
      <c r="KMD7" s="391"/>
      <c r="KME7" s="391"/>
      <c r="KMF7" s="391"/>
      <c r="KMG7" s="391"/>
      <c r="KMH7" s="391"/>
      <c r="KMI7" s="391"/>
      <c r="KMJ7" s="391"/>
      <c r="KMK7" s="391"/>
      <c r="KML7" s="391"/>
      <c r="KMM7" s="391"/>
      <c r="KMN7" s="391"/>
      <c r="KMO7" s="391"/>
      <c r="KMP7" s="391"/>
      <c r="KMQ7" s="391"/>
      <c r="KMR7" s="391"/>
      <c r="KMS7" s="391"/>
      <c r="KMT7" s="391"/>
      <c r="KMU7" s="391"/>
      <c r="KMV7" s="391"/>
      <c r="KMW7" s="391"/>
      <c r="KMX7" s="391"/>
      <c r="KMY7" s="391"/>
      <c r="KMZ7" s="391"/>
      <c r="KNA7" s="391"/>
      <c r="KNB7" s="391"/>
      <c r="KNC7" s="391"/>
      <c r="KND7" s="391"/>
      <c r="KNE7" s="391"/>
      <c r="KNF7" s="391"/>
      <c r="KNG7" s="391"/>
      <c r="KNH7" s="391"/>
      <c r="KNI7" s="391"/>
      <c r="KNJ7" s="391"/>
      <c r="KNK7" s="391"/>
      <c r="KNL7" s="391"/>
      <c r="KNM7" s="391"/>
      <c r="KNN7" s="391"/>
      <c r="KNO7" s="391"/>
      <c r="KNP7" s="391"/>
      <c r="KNQ7" s="391"/>
      <c r="KNR7" s="391"/>
      <c r="KNS7" s="391"/>
      <c r="KNT7" s="391"/>
      <c r="KNU7" s="391"/>
      <c r="KNV7" s="391"/>
      <c r="KNW7" s="391"/>
      <c r="KNX7" s="391"/>
      <c r="KNY7" s="391"/>
      <c r="KNZ7" s="391"/>
      <c r="KOA7" s="391"/>
      <c r="KOB7" s="391"/>
      <c r="KOC7" s="391"/>
      <c r="KOD7" s="391"/>
      <c r="KOE7" s="391"/>
      <c r="KOF7" s="391"/>
      <c r="KOG7" s="391"/>
      <c r="KOH7" s="391"/>
      <c r="KOI7" s="391"/>
      <c r="KOJ7" s="391"/>
      <c r="KOK7" s="391"/>
      <c r="KOL7" s="391"/>
      <c r="KOM7" s="391"/>
      <c r="KON7" s="391"/>
      <c r="KOO7" s="391"/>
      <c r="KOP7" s="391"/>
      <c r="KOQ7" s="391"/>
      <c r="KOR7" s="391"/>
      <c r="KOS7" s="391"/>
      <c r="KOT7" s="391"/>
      <c r="KOU7" s="391"/>
      <c r="KOV7" s="391"/>
      <c r="KOW7" s="391"/>
      <c r="KOX7" s="391"/>
      <c r="KOY7" s="391"/>
      <c r="KOZ7" s="391"/>
      <c r="KPA7" s="391"/>
      <c r="KPB7" s="391"/>
      <c r="KPC7" s="391"/>
      <c r="KPD7" s="391"/>
      <c r="KPE7" s="391"/>
      <c r="KPF7" s="391"/>
      <c r="KPG7" s="391"/>
      <c r="KPH7" s="391"/>
      <c r="KPI7" s="391"/>
      <c r="KPJ7" s="391"/>
      <c r="KPK7" s="391"/>
      <c r="KPL7" s="391"/>
      <c r="KPM7" s="391"/>
      <c r="KPN7" s="391"/>
      <c r="KPO7" s="391"/>
      <c r="KPP7" s="391"/>
      <c r="KPQ7" s="391"/>
      <c r="KPR7" s="391"/>
      <c r="KPS7" s="391"/>
      <c r="KPT7" s="391"/>
      <c r="KPU7" s="391"/>
      <c r="KPV7" s="391"/>
      <c r="KPW7" s="391"/>
      <c r="KPX7" s="391"/>
      <c r="KPY7" s="391"/>
      <c r="KPZ7" s="391"/>
      <c r="KQA7" s="391"/>
      <c r="KQB7" s="391"/>
      <c r="KQC7" s="391"/>
      <c r="KQD7" s="391"/>
      <c r="KQE7" s="391"/>
      <c r="KQF7" s="391"/>
      <c r="KQG7" s="391"/>
      <c r="KQH7" s="391"/>
      <c r="KQI7" s="391"/>
      <c r="KQJ7" s="391"/>
      <c r="KQK7" s="391"/>
      <c r="KQL7" s="391"/>
      <c r="KQM7" s="391"/>
      <c r="KQN7" s="391"/>
      <c r="KQO7" s="391"/>
      <c r="KQP7" s="391"/>
      <c r="KQQ7" s="391"/>
      <c r="KQR7" s="391"/>
      <c r="KQS7" s="391"/>
      <c r="KQT7" s="391"/>
      <c r="KQU7" s="391"/>
      <c r="KQV7" s="391"/>
      <c r="KQW7" s="391"/>
      <c r="KQX7" s="391"/>
      <c r="KQY7" s="391"/>
      <c r="KQZ7" s="391"/>
      <c r="KRA7" s="391"/>
      <c r="KRB7" s="391"/>
      <c r="KRC7" s="391"/>
      <c r="KRD7" s="391"/>
      <c r="KRE7" s="391"/>
      <c r="KRF7" s="391"/>
      <c r="KRG7" s="391"/>
      <c r="KRH7" s="391"/>
      <c r="KRI7" s="391"/>
      <c r="KRJ7" s="391"/>
      <c r="KRK7" s="391"/>
      <c r="KRL7" s="391"/>
      <c r="KRM7" s="391"/>
      <c r="KRN7" s="391"/>
      <c r="KRO7" s="391"/>
      <c r="KRP7" s="391"/>
      <c r="KRQ7" s="391"/>
      <c r="KRR7" s="391"/>
      <c r="KRS7" s="391"/>
      <c r="KRT7" s="391"/>
      <c r="KRU7" s="391"/>
      <c r="KRV7" s="391"/>
      <c r="KRW7" s="391"/>
      <c r="KRX7" s="391"/>
      <c r="KRY7" s="391"/>
      <c r="KRZ7" s="391"/>
      <c r="KSA7" s="391"/>
      <c r="KSB7" s="391"/>
      <c r="KSC7" s="391"/>
      <c r="KSD7" s="391"/>
      <c r="KSE7" s="391"/>
      <c r="KSF7" s="391"/>
      <c r="KSG7" s="391"/>
      <c r="KSH7" s="391"/>
      <c r="KSI7" s="391"/>
      <c r="KSJ7" s="391"/>
      <c r="KSK7" s="391"/>
      <c r="KSL7" s="391"/>
      <c r="KSM7" s="391"/>
      <c r="KSN7" s="391"/>
      <c r="KSO7" s="391"/>
      <c r="KSP7" s="391"/>
      <c r="KSQ7" s="391"/>
      <c r="KSR7" s="391"/>
      <c r="KSS7" s="391"/>
      <c r="KST7" s="391"/>
      <c r="KSU7" s="391"/>
      <c r="KSV7" s="391"/>
      <c r="KSW7" s="391"/>
      <c r="KSX7" s="391"/>
      <c r="KSY7" s="391"/>
      <c r="KSZ7" s="391"/>
      <c r="KTA7" s="391"/>
      <c r="KTB7" s="391"/>
      <c r="KTC7" s="391"/>
      <c r="KTD7" s="391"/>
      <c r="KTE7" s="391"/>
      <c r="KTF7" s="391"/>
      <c r="KTG7" s="391"/>
      <c r="KTH7" s="391"/>
      <c r="KTI7" s="391"/>
      <c r="KTJ7" s="391"/>
      <c r="KTK7" s="391"/>
      <c r="KTL7" s="391"/>
      <c r="KTM7" s="391"/>
      <c r="KTN7" s="391"/>
      <c r="KTO7" s="391"/>
      <c r="KTP7" s="391"/>
      <c r="KTQ7" s="391"/>
      <c r="KTR7" s="391"/>
      <c r="KTS7" s="391"/>
      <c r="KTT7" s="391"/>
      <c r="KTU7" s="391"/>
      <c r="KTV7" s="391"/>
      <c r="KTW7" s="391"/>
      <c r="KTX7" s="391"/>
      <c r="KTY7" s="391"/>
      <c r="KTZ7" s="391"/>
      <c r="KUA7" s="391"/>
      <c r="KUB7" s="391"/>
      <c r="KUC7" s="391"/>
      <c r="KUD7" s="391"/>
      <c r="KUE7" s="391"/>
      <c r="KUF7" s="391"/>
      <c r="KUG7" s="391"/>
      <c r="KUH7" s="391"/>
      <c r="KUI7" s="391"/>
      <c r="KUJ7" s="391"/>
      <c r="KUK7" s="391"/>
      <c r="KUL7" s="391"/>
      <c r="KUM7" s="391"/>
      <c r="KUN7" s="391"/>
      <c r="KUO7" s="391"/>
      <c r="KUP7" s="391"/>
      <c r="KUQ7" s="391"/>
      <c r="KUR7" s="391"/>
      <c r="KUS7" s="391"/>
      <c r="KUT7" s="391"/>
      <c r="KUU7" s="391"/>
      <c r="KUV7" s="391"/>
      <c r="KUW7" s="391"/>
      <c r="KUX7" s="391"/>
      <c r="KUY7" s="391"/>
      <c r="KUZ7" s="391"/>
      <c r="KVA7" s="391"/>
      <c r="KVB7" s="391"/>
      <c r="KVC7" s="391"/>
      <c r="KVD7" s="391"/>
      <c r="KVE7" s="391"/>
      <c r="KVF7" s="391"/>
      <c r="KVG7" s="391"/>
      <c r="KVH7" s="391"/>
      <c r="KVI7" s="391"/>
      <c r="KVJ7" s="391"/>
      <c r="KVK7" s="391"/>
      <c r="KVL7" s="391"/>
      <c r="KVM7" s="391"/>
      <c r="KVN7" s="391"/>
      <c r="KVO7" s="391"/>
      <c r="KVP7" s="391"/>
      <c r="KVQ7" s="391"/>
      <c r="KVR7" s="391"/>
      <c r="KVS7" s="391"/>
      <c r="KVT7" s="391"/>
      <c r="KVU7" s="391"/>
      <c r="KVV7" s="391"/>
      <c r="KVW7" s="391"/>
      <c r="KVX7" s="391"/>
      <c r="KVY7" s="391"/>
      <c r="KVZ7" s="391"/>
      <c r="KWA7" s="391"/>
      <c r="KWB7" s="391"/>
      <c r="KWC7" s="391"/>
      <c r="KWD7" s="391"/>
      <c r="KWE7" s="391"/>
      <c r="KWF7" s="391"/>
      <c r="KWG7" s="391"/>
      <c r="KWH7" s="391"/>
      <c r="KWI7" s="391"/>
      <c r="KWJ7" s="391"/>
      <c r="KWK7" s="391"/>
      <c r="KWL7" s="391"/>
      <c r="KWM7" s="391"/>
      <c r="KWN7" s="391"/>
      <c r="KWO7" s="391"/>
      <c r="KWP7" s="391"/>
      <c r="KWQ7" s="391"/>
      <c r="KWR7" s="391"/>
      <c r="KWS7" s="391"/>
      <c r="KWT7" s="391"/>
      <c r="KWU7" s="391"/>
      <c r="KWV7" s="391"/>
      <c r="KWW7" s="391"/>
      <c r="KWX7" s="391"/>
      <c r="KWY7" s="391"/>
      <c r="KWZ7" s="391"/>
      <c r="KXA7" s="391"/>
      <c r="KXB7" s="391"/>
      <c r="KXC7" s="391"/>
      <c r="KXD7" s="391"/>
      <c r="KXE7" s="391"/>
      <c r="KXF7" s="391"/>
      <c r="KXG7" s="391"/>
      <c r="KXH7" s="391"/>
      <c r="KXI7" s="391"/>
      <c r="KXJ7" s="391"/>
      <c r="KXK7" s="391"/>
      <c r="KXL7" s="391"/>
      <c r="KXM7" s="391"/>
      <c r="KXN7" s="391"/>
      <c r="KXO7" s="391"/>
      <c r="KXP7" s="391"/>
      <c r="KXQ7" s="391"/>
      <c r="KXR7" s="391"/>
      <c r="KXS7" s="391"/>
      <c r="KXT7" s="391"/>
      <c r="KXU7" s="391"/>
      <c r="KXV7" s="391"/>
      <c r="KXW7" s="391"/>
      <c r="KXX7" s="391"/>
      <c r="KXY7" s="391"/>
      <c r="KXZ7" s="391"/>
      <c r="KYA7" s="391"/>
      <c r="KYB7" s="391"/>
      <c r="KYC7" s="391"/>
      <c r="KYD7" s="391"/>
      <c r="KYE7" s="391"/>
      <c r="KYF7" s="391"/>
      <c r="KYG7" s="391"/>
      <c r="KYH7" s="391"/>
      <c r="KYI7" s="391"/>
      <c r="KYJ7" s="391"/>
      <c r="KYK7" s="391"/>
      <c r="KYL7" s="391"/>
      <c r="KYM7" s="391"/>
      <c r="KYN7" s="391"/>
      <c r="KYO7" s="391"/>
      <c r="KYP7" s="391"/>
      <c r="KYQ7" s="391"/>
      <c r="KYR7" s="391"/>
      <c r="KYS7" s="391"/>
      <c r="KYT7" s="391"/>
      <c r="KYU7" s="391"/>
      <c r="KYV7" s="391"/>
      <c r="KYW7" s="391"/>
      <c r="KYX7" s="391"/>
      <c r="KYY7" s="391"/>
      <c r="KYZ7" s="391"/>
      <c r="KZA7" s="391"/>
      <c r="KZB7" s="391"/>
      <c r="KZC7" s="391"/>
      <c r="KZD7" s="391"/>
      <c r="KZE7" s="391"/>
      <c r="KZF7" s="391"/>
      <c r="KZG7" s="391"/>
      <c r="KZH7" s="391"/>
      <c r="KZI7" s="391"/>
      <c r="KZJ7" s="391"/>
      <c r="KZK7" s="391"/>
      <c r="KZL7" s="391"/>
      <c r="KZM7" s="391"/>
      <c r="KZN7" s="391"/>
      <c r="KZO7" s="391"/>
      <c r="KZP7" s="391"/>
      <c r="KZQ7" s="391"/>
      <c r="KZR7" s="391"/>
      <c r="KZS7" s="391"/>
      <c r="KZT7" s="391"/>
      <c r="KZU7" s="391"/>
      <c r="KZV7" s="391"/>
      <c r="KZW7" s="391"/>
      <c r="KZX7" s="391"/>
      <c r="KZY7" s="391"/>
      <c r="KZZ7" s="391"/>
      <c r="LAA7" s="391"/>
      <c r="LAB7" s="391"/>
      <c r="LAC7" s="391"/>
      <c r="LAD7" s="391"/>
      <c r="LAE7" s="391"/>
      <c r="LAF7" s="391"/>
      <c r="LAG7" s="391"/>
      <c r="LAH7" s="391"/>
      <c r="LAI7" s="391"/>
      <c r="LAJ7" s="391"/>
      <c r="LAK7" s="391"/>
      <c r="LAL7" s="391"/>
      <c r="LAM7" s="391"/>
      <c r="LAN7" s="391"/>
      <c r="LAO7" s="391"/>
      <c r="LAP7" s="391"/>
      <c r="LAQ7" s="391"/>
      <c r="LAR7" s="391"/>
      <c r="LAS7" s="391"/>
      <c r="LAT7" s="391"/>
      <c r="LAU7" s="391"/>
      <c r="LAV7" s="391"/>
      <c r="LAW7" s="391"/>
      <c r="LAX7" s="391"/>
      <c r="LAY7" s="391"/>
      <c r="LAZ7" s="391"/>
      <c r="LBA7" s="391"/>
      <c r="LBB7" s="391"/>
      <c r="LBC7" s="391"/>
      <c r="LBD7" s="391"/>
      <c r="LBE7" s="391"/>
      <c r="LBF7" s="391"/>
      <c r="LBG7" s="391"/>
      <c r="LBH7" s="391"/>
      <c r="LBI7" s="391"/>
      <c r="LBJ7" s="391"/>
      <c r="LBK7" s="391"/>
      <c r="LBL7" s="391"/>
      <c r="LBM7" s="391"/>
      <c r="LBN7" s="391"/>
      <c r="LBO7" s="391"/>
      <c r="LBP7" s="391"/>
      <c r="LBQ7" s="391"/>
      <c r="LBR7" s="391"/>
      <c r="LBS7" s="391"/>
      <c r="LBT7" s="391"/>
      <c r="LBU7" s="391"/>
      <c r="LBV7" s="391"/>
      <c r="LBW7" s="391"/>
      <c r="LBX7" s="391"/>
      <c r="LBY7" s="391"/>
      <c r="LBZ7" s="391"/>
      <c r="LCA7" s="391"/>
      <c r="LCB7" s="391"/>
      <c r="LCC7" s="391"/>
      <c r="LCD7" s="391"/>
      <c r="LCE7" s="391"/>
      <c r="LCF7" s="391"/>
      <c r="LCG7" s="391"/>
      <c r="LCH7" s="391"/>
      <c r="LCI7" s="391"/>
      <c r="LCJ7" s="391"/>
      <c r="LCK7" s="391"/>
      <c r="LCL7" s="391"/>
      <c r="LCM7" s="391"/>
      <c r="LCN7" s="391"/>
      <c r="LCO7" s="391"/>
      <c r="LCP7" s="391"/>
      <c r="LCQ7" s="391"/>
      <c r="LCR7" s="391"/>
      <c r="LCS7" s="391"/>
      <c r="LCT7" s="391"/>
      <c r="LCU7" s="391"/>
      <c r="LCV7" s="391"/>
      <c r="LCW7" s="391"/>
      <c r="LCX7" s="391"/>
      <c r="LCY7" s="391"/>
      <c r="LCZ7" s="391"/>
      <c r="LDA7" s="391"/>
      <c r="LDB7" s="391"/>
      <c r="LDC7" s="391"/>
      <c r="LDD7" s="391"/>
      <c r="LDE7" s="391"/>
      <c r="LDF7" s="391"/>
      <c r="LDG7" s="391"/>
      <c r="LDH7" s="391"/>
      <c r="LDI7" s="391"/>
      <c r="LDJ7" s="391"/>
      <c r="LDK7" s="391"/>
      <c r="LDL7" s="391"/>
      <c r="LDM7" s="391"/>
      <c r="LDN7" s="391"/>
      <c r="LDO7" s="391"/>
      <c r="LDP7" s="391"/>
      <c r="LDQ7" s="391"/>
      <c r="LDR7" s="391"/>
      <c r="LDS7" s="391"/>
      <c r="LDT7" s="391"/>
      <c r="LDU7" s="391"/>
      <c r="LDV7" s="391"/>
      <c r="LDW7" s="391"/>
      <c r="LDX7" s="391"/>
      <c r="LDY7" s="391"/>
      <c r="LDZ7" s="391"/>
      <c r="LEA7" s="391"/>
      <c r="LEB7" s="391"/>
      <c r="LEC7" s="391"/>
      <c r="LED7" s="391"/>
      <c r="LEE7" s="391"/>
      <c r="LEF7" s="391"/>
      <c r="LEG7" s="391"/>
      <c r="LEH7" s="391"/>
      <c r="LEI7" s="391"/>
      <c r="LEJ7" s="391"/>
      <c r="LEK7" s="391"/>
      <c r="LEL7" s="391"/>
      <c r="LEM7" s="391"/>
      <c r="LEN7" s="391"/>
      <c r="LEO7" s="391"/>
      <c r="LEP7" s="391"/>
      <c r="LEQ7" s="391"/>
      <c r="LER7" s="391"/>
      <c r="LES7" s="391"/>
      <c r="LET7" s="391"/>
      <c r="LEU7" s="391"/>
      <c r="LEV7" s="391"/>
      <c r="LEW7" s="391"/>
      <c r="LEX7" s="391"/>
      <c r="LEY7" s="391"/>
      <c r="LEZ7" s="391"/>
      <c r="LFA7" s="391"/>
      <c r="LFB7" s="391"/>
      <c r="LFC7" s="391"/>
      <c r="LFD7" s="391"/>
      <c r="LFE7" s="391"/>
      <c r="LFF7" s="391"/>
      <c r="LFG7" s="391"/>
      <c r="LFH7" s="391"/>
      <c r="LFI7" s="391"/>
      <c r="LFJ7" s="391"/>
      <c r="LFK7" s="391"/>
      <c r="LFL7" s="391"/>
      <c r="LFM7" s="391"/>
      <c r="LFN7" s="391"/>
      <c r="LFO7" s="391"/>
      <c r="LFP7" s="391"/>
      <c r="LFQ7" s="391"/>
      <c r="LFR7" s="391"/>
      <c r="LFS7" s="391"/>
      <c r="LFT7" s="391"/>
      <c r="LFU7" s="391"/>
      <c r="LFV7" s="391"/>
      <c r="LFW7" s="391"/>
      <c r="LFX7" s="391"/>
      <c r="LFY7" s="391"/>
      <c r="LFZ7" s="391"/>
      <c r="LGA7" s="391"/>
      <c r="LGB7" s="391"/>
      <c r="LGC7" s="391"/>
      <c r="LGD7" s="391"/>
      <c r="LGE7" s="391"/>
      <c r="LGF7" s="391"/>
      <c r="LGG7" s="391"/>
      <c r="LGH7" s="391"/>
      <c r="LGI7" s="391"/>
      <c r="LGJ7" s="391"/>
      <c r="LGK7" s="391"/>
      <c r="LGL7" s="391"/>
      <c r="LGM7" s="391"/>
      <c r="LGN7" s="391"/>
      <c r="LGO7" s="391"/>
      <c r="LGP7" s="391"/>
      <c r="LGQ7" s="391"/>
      <c r="LGR7" s="391"/>
      <c r="LGS7" s="391"/>
      <c r="LGT7" s="391"/>
      <c r="LGU7" s="391"/>
      <c r="LGV7" s="391"/>
      <c r="LGW7" s="391"/>
      <c r="LGX7" s="391"/>
      <c r="LGY7" s="391"/>
      <c r="LGZ7" s="391"/>
      <c r="LHA7" s="391"/>
      <c r="LHB7" s="391"/>
      <c r="LHC7" s="391"/>
      <c r="LHD7" s="391"/>
      <c r="LHE7" s="391"/>
      <c r="LHF7" s="391"/>
      <c r="LHG7" s="391"/>
      <c r="LHH7" s="391"/>
      <c r="LHI7" s="391"/>
      <c r="LHJ7" s="391"/>
      <c r="LHK7" s="391"/>
      <c r="LHL7" s="391"/>
      <c r="LHM7" s="391"/>
      <c r="LHN7" s="391"/>
      <c r="LHO7" s="391"/>
      <c r="LHP7" s="391"/>
      <c r="LHQ7" s="391"/>
      <c r="LHR7" s="391"/>
      <c r="LHS7" s="391"/>
      <c r="LHT7" s="391"/>
      <c r="LHU7" s="391"/>
      <c r="LHV7" s="391"/>
      <c r="LHW7" s="391"/>
      <c r="LHX7" s="391"/>
      <c r="LHY7" s="391"/>
      <c r="LHZ7" s="391"/>
      <c r="LIA7" s="391"/>
      <c r="LIB7" s="391"/>
      <c r="LIC7" s="391"/>
      <c r="LID7" s="391"/>
      <c r="LIE7" s="391"/>
      <c r="LIF7" s="391"/>
      <c r="LIG7" s="391"/>
      <c r="LIH7" s="391"/>
      <c r="LII7" s="391"/>
      <c r="LIJ7" s="391"/>
      <c r="LIK7" s="391"/>
      <c r="LIL7" s="391"/>
      <c r="LIM7" s="391"/>
      <c r="LIN7" s="391"/>
      <c r="LIO7" s="391"/>
      <c r="LIP7" s="391"/>
      <c r="LIQ7" s="391"/>
      <c r="LIR7" s="391"/>
      <c r="LIS7" s="391"/>
      <c r="LIT7" s="391"/>
      <c r="LIU7" s="391"/>
      <c r="LIV7" s="391"/>
      <c r="LIW7" s="391"/>
      <c r="LIX7" s="391"/>
      <c r="LIY7" s="391"/>
      <c r="LIZ7" s="391"/>
      <c r="LJA7" s="391"/>
      <c r="LJB7" s="391"/>
      <c r="LJC7" s="391"/>
      <c r="LJD7" s="391"/>
      <c r="LJE7" s="391"/>
      <c r="LJF7" s="391"/>
      <c r="LJG7" s="391"/>
      <c r="LJH7" s="391"/>
      <c r="LJI7" s="391"/>
      <c r="LJJ7" s="391"/>
      <c r="LJK7" s="391"/>
      <c r="LJL7" s="391"/>
      <c r="LJM7" s="391"/>
      <c r="LJN7" s="391"/>
      <c r="LJO7" s="391"/>
      <c r="LJP7" s="391"/>
      <c r="LJQ7" s="391"/>
      <c r="LJR7" s="391"/>
      <c r="LJS7" s="391"/>
      <c r="LJT7" s="391"/>
      <c r="LJU7" s="391"/>
      <c r="LJV7" s="391"/>
      <c r="LJW7" s="391"/>
      <c r="LJX7" s="391"/>
      <c r="LJY7" s="391"/>
      <c r="LJZ7" s="391"/>
      <c r="LKA7" s="391"/>
      <c r="LKB7" s="391"/>
      <c r="LKC7" s="391"/>
      <c r="LKD7" s="391"/>
      <c r="LKE7" s="391"/>
      <c r="LKF7" s="391"/>
      <c r="LKG7" s="391"/>
      <c r="LKH7" s="391"/>
      <c r="LKI7" s="391"/>
      <c r="LKJ7" s="391"/>
      <c r="LKK7" s="391"/>
      <c r="LKL7" s="391"/>
      <c r="LKM7" s="391"/>
      <c r="LKN7" s="391"/>
      <c r="LKO7" s="391"/>
      <c r="LKP7" s="391"/>
      <c r="LKQ7" s="391"/>
      <c r="LKR7" s="391"/>
      <c r="LKS7" s="391"/>
      <c r="LKT7" s="391"/>
      <c r="LKU7" s="391"/>
      <c r="LKV7" s="391"/>
      <c r="LKW7" s="391"/>
      <c r="LKX7" s="391"/>
      <c r="LKY7" s="391"/>
      <c r="LKZ7" s="391"/>
      <c r="LLA7" s="391"/>
      <c r="LLB7" s="391"/>
      <c r="LLC7" s="391"/>
      <c r="LLD7" s="391"/>
      <c r="LLE7" s="391"/>
      <c r="LLF7" s="391"/>
      <c r="LLG7" s="391"/>
      <c r="LLH7" s="391"/>
      <c r="LLI7" s="391"/>
      <c r="LLJ7" s="391"/>
      <c r="LLK7" s="391"/>
      <c r="LLL7" s="391"/>
      <c r="LLM7" s="391"/>
      <c r="LLN7" s="391"/>
      <c r="LLO7" s="391"/>
      <c r="LLP7" s="391"/>
      <c r="LLQ7" s="391"/>
      <c r="LLR7" s="391"/>
      <c r="LLS7" s="391"/>
      <c r="LLT7" s="391"/>
      <c r="LLU7" s="391"/>
      <c r="LLV7" s="391"/>
      <c r="LLW7" s="391"/>
      <c r="LLX7" s="391"/>
      <c r="LLY7" s="391"/>
      <c r="LLZ7" s="391"/>
      <c r="LMA7" s="391"/>
      <c r="LMB7" s="391"/>
      <c r="LMC7" s="391"/>
      <c r="LMD7" s="391"/>
      <c r="LME7" s="391"/>
      <c r="LMF7" s="391"/>
      <c r="LMG7" s="391"/>
      <c r="LMH7" s="391"/>
      <c r="LMI7" s="391"/>
      <c r="LMJ7" s="391"/>
      <c r="LMK7" s="391"/>
      <c r="LML7" s="391"/>
      <c r="LMM7" s="391"/>
      <c r="LMN7" s="391"/>
      <c r="LMO7" s="391"/>
      <c r="LMP7" s="391"/>
      <c r="LMQ7" s="391"/>
      <c r="LMR7" s="391"/>
      <c r="LMS7" s="391"/>
      <c r="LMT7" s="391"/>
      <c r="LMU7" s="391"/>
      <c r="LMV7" s="391"/>
      <c r="LMW7" s="391"/>
      <c r="LMX7" s="391"/>
      <c r="LMY7" s="391"/>
      <c r="LMZ7" s="391"/>
      <c r="LNA7" s="391"/>
      <c r="LNB7" s="391"/>
      <c r="LNC7" s="391"/>
      <c r="LND7" s="391"/>
      <c r="LNE7" s="391"/>
      <c r="LNF7" s="391"/>
      <c r="LNG7" s="391"/>
      <c r="LNH7" s="391"/>
      <c r="LNI7" s="391"/>
      <c r="LNJ7" s="391"/>
      <c r="LNK7" s="391"/>
      <c r="LNL7" s="391"/>
      <c r="LNM7" s="391"/>
      <c r="LNN7" s="391"/>
      <c r="LNO7" s="391"/>
      <c r="LNP7" s="391"/>
      <c r="LNQ7" s="391"/>
      <c r="LNR7" s="391"/>
      <c r="LNS7" s="391"/>
      <c r="LNT7" s="391"/>
      <c r="LNU7" s="391"/>
      <c r="LNV7" s="391"/>
      <c r="LNW7" s="391"/>
      <c r="LNX7" s="391"/>
      <c r="LNY7" s="391"/>
      <c r="LNZ7" s="391"/>
      <c r="LOA7" s="391"/>
      <c r="LOB7" s="391"/>
      <c r="LOC7" s="391"/>
      <c r="LOD7" s="391"/>
      <c r="LOE7" s="391"/>
      <c r="LOF7" s="391"/>
      <c r="LOG7" s="391"/>
      <c r="LOH7" s="391"/>
      <c r="LOI7" s="391"/>
      <c r="LOJ7" s="391"/>
      <c r="LOK7" s="391"/>
      <c r="LOL7" s="391"/>
      <c r="LOM7" s="391"/>
      <c r="LON7" s="391"/>
      <c r="LOO7" s="391"/>
      <c r="LOP7" s="391"/>
      <c r="LOQ7" s="391"/>
      <c r="LOR7" s="391"/>
      <c r="LOS7" s="391"/>
      <c r="LOT7" s="391"/>
      <c r="LOU7" s="391"/>
      <c r="LOV7" s="391"/>
      <c r="LOW7" s="391"/>
      <c r="LOX7" s="391"/>
      <c r="LOY7" s="391"/>
      <c r="LOZ7" s="391"/>
      <c r="LPA7" s="391"/>
      <c r="LPB7" s="391"/>
      <c r="LPC7" s="391"/>
      <c r="LPD7" s="391"/>
      <c r="LPE7" s="391"/>
      <c r="LPF7" s="391"/>
      <c r="LPG7" s="391"/>
      <c r="LPH7" s="391"/>
      <c r="LPI7" s="391"/>
      <c r="LPJ7" s="391"/>
      <c r="LPK7" s="391"/>
      <c r="LPL7" s="391"/>
      <c r="LPM7" s="391"/>
      <c r="LPN7" s="391"/>
      <c r="LPO7" s="391"/>
      <c r="LPP7" s="391"/>
      <c r="LPQ7" s="391"/>
      <c r="LPR7" s="391"/>
      <c r="LPS7" s="391"/>
      <c r="LPT7" s="391"/>
      <c r="LPU7" s="391"/>
      <c r="LPV7" s="391"/>
      <c r="LPW7" s="391"/>
      <c r="LPX7" s="391"/>
      <c r="LPY7" s="391"/>
      <c r="LPZ7" s="391"/>
      <c r="LQA7" s="391"/>
      <c r="LQB7" s="391"/>
      <c r="LQC7" s="391"/>
      <c r="LQD7" s="391"/>
      <c r="LQE7" s="391"/>
      <c r="LQF7" s="391"/>
      <c r="LQG7" s="391"/>
      <c r="LQH7" s="391"/>
      <c r="LQI7" s="391"/>
      <c r="LQJ7" s="391"/>
      <c r="LQK7" s="391"/>
      <c r="LQL7" s="391"/>
      <c r="LQM7" s="391"/>
      <c r="LQN7" s="391"/>
      <c r="LQO7" s="391"/>
      <c r="LQP7" s="391"/>
      <c r="LQQ7" s="391"/>
      <c r="LQR7" s="391"/>
      <c r="LQS7" s="391"/>
      <c r="LQT7" s="391"/>
      <c r="LQU7" s="391"/>
      <c r="LQV7" s="391"/>
      <c r="LQW7" s="391"/>
      <c r="LQX7" s="391"/>
      <c r="LQY7" s="391"/>
      <c r="LQZ7" s="391"/>
      <c r="LRA7" s="391"/>
      <c r="LRB7" s="391"/>
      <c r="LRC7" s="391"/>
      <c r="LRD7" s="391"/>
      <c r="LRE7" s="391"/>
      <c r="LRF7" s="391"/>
      <c r="LRG7" s="391"/>
      <c r="LRH7" s="391"/>
      <c r="LRI7" s="391"/>
      <c r="LRJ7" s="391"/>
      <c r="LRK7" s="391"/>
      <c r="LRL7" s="391"/>
      <c r="LRM7" s="391"/>
      <c r="LRN7" s="391"/>
      <c r="LRO7" s="391"/>
      <c r="LRP7" s="391"/>
      <c r="LRQ7" s="391"/>
      <c r="LRR7" s="391"/>
      <c r="LRS7" s="391"/>
      <c r="LRT7" s="391"/>
      <c r="LRU7" s="391"/>
      <c r="LRV7" s="391"/>
      <c r="LRW7" s="391"/>
      <c r="LRX7" s="391"/>
      <c r="LRY7" s="391"/>
      <c r="LRZ7" s="391"/>
      <c r="LSA7" s="391"/>
      <c r="LSB7" s="391"/>
      <c r="LSC7" s="391"/>
      <c r="LSD7" s="391"/>
      <c r="LSE7" s="391"/>
      <c r="LSF7" s="391"/>
      <c r="LSG7" s="391"/>
      <c r="LSH7" s="391"/>
      <c r="LSI7" s="391"/>
      <c r="LSJ7" s="391"/>
      <c r="LSK7" s="391"/>
      <c r="LSL7" s="391"/>
      <c r="LSM7" s="391"/>
      <c r="LSN7" s="391"/>
      <c r="LSO7" s="391"/>
      <c r="LSP7" s="391"/>
      <c r="LSQ7" s="391"/>
      <c r="LSR7" s="391"/>
      <c r="LSS7" s="391"/>
      <c r="LST7" s="391"/>
      <c r="LSU7" s="391"/>
      <c r="LSV7" s="391"/>
      <c r="LSW7" s="391"/>
      <c r="LSX7" s="391"/>
      <c r="LSY7" s="391"/>
      <c r="LSZ7" s="391"/>
      <c r="LTA7" s="391"/>
      <c r="LTB7" s="391"/>
      <c r="LTC7" s="391"/>
      <c r="LTD7" s="391"/>
      <c r="LTE7" s="391"/>
      <c r="LTF7" s="391"/>
      <c r="LTG7" s="391"/>
      <c r="LTH7" s="391"/>
      <c r="LTI7" s="391"/>
      <c r="LTJ7" s="391"/>
      <c r="LTK7" s="391"/>
      <c r="LTL7" s="391"/>
      <c r="LTM7" s="391"/>
      <c r="LTN7" s="391"/>
      <c r="LTO7" s="391"/>
      <c r="LTP7" s="391"/>
      <c r="LTQ7" s="391"/>
      <c r="LTR7" s="391"/>
      <c r="LTS7" s="391"/>
      <c r="LTT7" s="391"/>
      <c r="LTU7" s="391"/>
      <c r="LTV7" s="391"/>
      <c r="LTW7" s="391"/>
      <c r="LTX7" s="391"/>
      <c r="LTY7" s="391"/>
      <c r="LTZ7" s="391"/>
      <c r="LUA7" s="391"/>
      <c r="LUB7" s="391"/>
      <c r="LUC7" s="391"/>
      <c r="LUD7" s="391"/>
      <c r="LUE7" s="391"/>
      <c r="LUF7" s="391"/>
      <c r="LUG7" s="391"/>
      <c r="LUH7" s="391"/>
      <c r="LUI7" s="391"/>
      <c r="LUJ7" s="391"/>
      <c r="LUK7" s="391"/>
      <c r="LUL7" s="391"/>
      <c r="LUM7" s="391"/>
      <c r="LUN7" s="391"/>
      <c r="LUO7" s="391"/>
      <c r="LUP7" s="391"/>
      <c r="LUQ7" s="391"/>
      <c r="LUR7" s="391"/>
      <c r="LUS7" s="391"/>
      <c r="LUT7" s="391"/>
      <c r="LUU7" s="391"/>
      <c r="LUV7" s="391"/>
      <c r="LUW7" s="391"/>
      <c r="LUX7" s="391"/>
      <c r="LUY7" s="391"/>
      <c r="LUZ7" s="391"/>
      <c r="LVA7" s="391"/>
      <c r="LVB7" s="391"/>
      <c r="LVC7" s="391"/>
      <c r="LVD7" s="391"/>
      <c r="LVE7" s="391"/>
      <c r="LVF7" s="391"/>
      <c r="LVG7" s="391"/>
      <c r="LVH7" s="391"/>
      <c r="LVI7" s="391"/>
      <c r="LVJ7" s="391"/>
      <c r="LVK7" s="391"/>
      <c r="LVL7" s="391"/>
      <c r="LVM7" s="391"/>
      <c r="LVN7" s="391"/>
      <c r="LVO7" s="391"/>
      <c r="LVP7" s="391"/>
      <c r="LVQ7" s="391"/>
      <c r="LVR7" s="391"/>
      <c r="LVS7" s="391"/>
      <c r="LVT7" s="391"/>
      <c r="LVU7" s="391"/>
      <c r="LVV7" s="391"/>
      <c r="LVW7" s="391"/>
      <c r="LVX7" s="391"/>
      <c r="LVY7" s="391"/>
      <c r="LVZ7" s="391"/>
      <c r="LWA7" s="391"/>
      <c r="LWB7" s="391"/>
      <c r="LWC7" s="391"/>
      <c r="LWD7" s="391"/>
      <c r="LWE7" s="391"/>
      <c r="LWF7" s="391"/>
      <c r="LWG7" s="391"/>
      <c r="LWH7" s="391"/>
      <c r="LWI7" s="391"/>
      <c r="LWJ7" s="391"/>
      <c r="LWK7" s="391"/>
      <c r="LWL7" s="391"/>
      <c r="LWM7" s="391"/>
      <c r="LWN7" s="391"/>
      <c r="LWO7" s="391"/>
      <c r="LWP7" s="391"/>
      <c r="LWQ7" s="391"/>
      <c r="LWR7" s="391"/>
      <c r="LWS7" s="391"/>
      <c r="LWT7" s="391"/>
      <c r="LWU7" s="391"/>
      <c r="LWV7" s="391"/>
      <c r="LWW7" s="391"/>
      <c r="LWX7" s="391"/>
      <c r="LWY7" s="391"/>
      <c r="LWZ7" s="391"/>
      <c r="LXA7" s="391"/>
      <c r="LXB7" s="391"/>
      <c r="LXC7" s="391"/>
      <c r="LXD7" s="391"/>
      <c r="LXE7" s="391"/>
      <c r="LXF7" s="391"/>
      <c r="LXG7" s="391"/>
      <c r="LXH7" s="391"/>
      <c r="LXI7" s="391"/>
      <c r="LXJ7" s="391"/>
      <c r="LXK7" s="391"/>
      <c r="LXL7" s="391"/>
      <c r="LXM7" s="391"/>
      <c r="LXN7" s="391"/>
      <c r="LXO7" s="391"/>
      <c r="LXP7" s="391"/>
      <c r="LXQ7" s="391"/>
      <c r="LXR7" s="391"/>
      <c r="LXS7" s="391"/>
      <c r="LXT7" s="391"/>
      <c r="LXU7" s="391"/>
      <c r="LXV7" s="391"/>
      <c r="LXW7" s="391"/>
      <c r="LXX7" s="391"/>
      <c r="LXY7" s="391"/>
      <c r="LXZ7" s="391"/>
      <c r="LYA7" s="391"/>
      <c r="LYB7" s="391"/>
      <c r="LYC7" s="391"/>
      <c r="LYD7" s="391"/>
      <c r="LYE7" s="391"/>
      <c r="LYF7" s="391"/>
      <c r="LYG7" s="391"/>
      <c r="LYH7" s="391"/>
      <c r="LYI7" s="391"/>
      <c r="LYJ7" s="391"/>
      <c r="LYK7" s="391"/>
      <c r="LYL7" s="391"/>
      <c r="LYM7" s="391"/>
      <c r="LYN7" s="391"/>
      <c r="LYO7" s="391"/>
      <c r="LYP7" s="391"/>
      <c r="LYQ7" s="391"/>
      <c r="LYR7" s="391"/>
      <c r="LYS7" s="391"/>
      <c r="LYT7" s="391"/>
      <c r="LYU7" s="391"/>
      <c r="LYV7" s="391"/>
      <c r="LYW7" s="391"/>
      <c r="LYX7" s="391"/>
      <c r="LYY7" s="391"/>
      <c r="LYZ7" s="391"/>
      <c r="LZA7" s="391"/>
      <c r="LZB7" s="391"/>
      <c r="LZC7" s="391"/>
      <c r="LZD7" s="391"/>
      <c r="LZE7" s="391"/>
      <c r="LZF7" s="391"/>
      <c r="LZG7" s="391"/>
      <c r="LZH7" s="391"/>
      <c r="LZI7" s="391"/>
      <c r="LZJ7" s="391"/>
      <c r="LZK7" s="391"/>
      <c r="LZL7" s="391"/>
      <c r="LZM7" s="391"/>
      <c r="LZN7" s="391"/>
      <c r="LZO7" s="391"/>
      <c r="LZP7" s="391"/>
      <c r="LZQ7" s="391"/>
      <c r="LZR7" s="391"/>
      <c r="LZS7" s="391"/>
      <c r="LZT7" s="391"/>
      <c r="LZU7" s="391"/>
      <c r="LZV7" s="391"/>
      <c r="LZW7" s="391"/>
      <c r="LZX7" s="391"/>
      <c r="LZY7" s="391"/>
      <c r="LZZ7" s="391"/>
      <c r="MAA7" s="391"/>
      <c r="MAB7" s="391"/>
      <c r="MAC7" s="391"/>
      <c r="MAD7" s="391"/>
      <c r="MAE7" s="391"/>
      <c r="MAF7" s="391"/>
      <c r="MAG7" s="391"/>
      <c r="MAH7" s="391"/>
      <c r="MAI7" s="391"/>
      <c r="MAJ7" s="391"/>
      <c r="MAK7" s="391"/>
      <c r="MAL7" s="391"/>
      <c r="MAM7" s="391"/>
      <c r="MAN7" s="391"/>
      <c r="MAO7" s="391"/>
      <c r="MAP7" s="391"/>
      <c r="MAQ7" s="391"/>
      <c r="MAR7" s="391"/>
      <c r="MAS7" s="391"/>
      <c r="MAT7" s="391"/>
      <c r="MAU7" s="391"/>
      <c r="MAV7" s="391"/>
      <c r="MAW7" s="391"/>
      <c r="MAX7" s="391"/>
      <c r="MAY7" s="391"/>
      <c r="MAZ7" s="391"/>
      <c r="MBA7" s="391"/>
      <c r="MBB7" s="391"/>
      <c r="MBC7" s="391"/>
      <c r="MBD7" s="391"/>
      <c r="MBE7" s="391"/>
      <c r="MBF7" s="391"/>
      <c r="MBG7" s="391"/>
      <c r="MBH7" s="391"/>
      <c r="MBI7" s="391"/>
      <c r="MBJ7" s="391"/>
      <c r="MBK7" s="391"/>
      <c r="MBL7" s="391"/>
      <c r="MBM7" s="391"/>
      <c r="MBN7" s="391"/>
      <c r="MBO7" s="391"/>
      <c r="MBP7" s="391"/>
      <c r="MBQ7" s="391"/>
      <c r="MBR7" s="391"/>
      <c r="MBS7" s="391"/>
      <c r="MBT7" s="391"/>
      <c r="MBU7" s="391"/>
      <c r="MBV7" s="391"/>
      <c r="MBW7" s="391"/>
      <c r="MBX7" s="391"/>
      <c r="MBY7" s="391"/>
      <c r="MBZ7" s="391"/>
      <c r="MCA7" s="391"/>
      <c r="MCB7" s="391"/>
      <c r="MCC7" s="391"/>
      <c r="MCD7" s="391"/>
      <c r="MCE7" s="391"/>
      <c r="MCF7" s="391"/>
      <c r="MCG7" s="391"/>
      <c r="MCH7" s="391"/>
      <c r="MCI7" s="391"/>
      <c r="MCJ7" s="391"/>
      <c r="MCK7" s="391"/>
      <c r="MCL7" s="391"/>
      <c r="MCM7" s="391"/>
      <c r="MCN7" s="391"/>
      <c r="MCO7" s="391"/>
      <c r="MCP7" s="391"/>
      <c r="MCQ7" s="391"/>
      <c r="MCR7" s="391"/>
      <c r="MCS7" s="391"/>
      <c r="MCT7" s="391"/>
      <c r="MCU7" s="391"/>
      <c r="MCV7" s="391"/>
      <c r="MCW7" s="391"/>
      <c r="MCX7" s="391"/>
      <c r="MCY7" s="391"/>
      <c r="MCZ7" s="391"/>
      <c r="MDA7" s="391"/>
      <c r="MDB7" s="391"/>
      <c r="MDC7" s="391"/>
      <c r="MDD7" s="391"/>
      <c r="MDE7" s="391"/>
      <c r="MDF7" s="391"/>
      <c r="MDG7" s="391"/>
      <c r="MDH7" s="391"/>
      <c r="MDI7" s="391"/>
      <c r="MDJ7" s="391"/>
      <c r="MDK7" s="391"/>
      <c r="MDL7" s="391"/>
      <c r="MDM7" s="391"/>
      <c r="MDN7" s="391"/>
      <c r="MDO7" s="391"/>
      <c r="MDP7" s="391"/>
      <c r="MDQ7" s="391"/>
      <c r="MDR7" s="391"/>
      <c r="MDS7" s="391"/>
      <c r="MDT7" s="391"/>
      <c r="MDU7" s="391"/>
      <c r="MDV7" s="391"/>
      <c r="MDW7" s="391"/>
      <c r="MDX7" s="391"/>
      <c r="MDY7" s="391"/>
      <c r="MDZ7" s="391"/>
      <c r="MEA7" s="391"/>
      <c r="MEB7" s="391"/>
      <c r="MEC7" s="391"/>
      <c r="MED7" s="391"/>
      <c r="MEE7" s="391"/>
      <c r="MEF7" s="391"/>
      <c r="MEG7" s="391"/>
      <c r="MEH7" s="391"/>
      <c r="MEI7" s="391"/>
      <c r="MEJ7" s="391"/>
      <c r="MEK7" s="391"/>
      <c r="MEL7" s="391"/>
      <c r="MEM7" s="391"/>
      <c r="MEN7" s="391"/>
      <c r="MEO7" s="391"/>
      <c r="MEP7" s="391"/>
      <c r="MEQ7" s="391"/>
      <c r="MER7" s="391"/>
      <c r="MES7" s="391"/>
      <c r="MET7" s="391"/>
      <c r="MEU7" s="391"/>
      <c r="MEV7" s="391"/>
      <c r="MEW7" s="391"/>
      <c r="MEX7" s="391"/>
      <c r="MEY7" s="391"/>
      <c r="MEZ7" s="391"/>
      <c r="MFA7" s="391"/>
      <c r="MFB7" s="391"/>
      <c r="MFC7" s="391"/>
      <c r="MFD7" s="391"/>
      <c r="MFE7" s="391"/>
      <c r="MFF7" s="391"/>
      <c r="MFG7" s="391"/>
      <c r="MFH7" s="391"/>
      <c r="MFI7" s="391"/>
      <c r="MFJ7" s="391"/>
      <c r="MFK7" s="391"/>
      <c r="MFL7" s="391"/>
      <c r="MFM7" s="391"/>
      <c r="MFN7" s="391"/>
      <c r="MFO7" s="391"/>
      <c r="MFP7" s="391"/>
      <c r="MFQ7" s="391"/>
      <c r="MFR7" s="391"/>
      <c r="MFS7" s="391"/>
      <c r="MFT7" s="391"/>
      <c r="MFU7" s="391"/>
      <c r="MFV7" s="391"/>
      <c r="MFW7" s="391"/>
      <c r="MFX7" s="391"/>
      <c r="MFY7" s="391"/>
      <c r="MFZ7" s="391"/>
      <c r="MGA7" s="391"/>
      <c r="MGB7" s="391"/>
      <c r="MGC7" s="391"/>
      <c r="MGD7" s="391"/>
      <c r="MGE7" s="391"/>
      <c r="MGF7" s="391"/>
      <c r="MGG7" s="391"/>
      <c r="MGH7" s="391"/>
      <c r="MGI7" s="391"/>
      <c r="MGJ7" s="391"/>
      <c r="MGK7" s="391"/>
      <c r="MGL7" s="391"/>
      <c r="MGM7" s="391"/>
      <c r="MGN7" s="391"/>
      <c r="MGO7" s="391"/>
      <c r="MGP7" s="391"/>
      <c r="MGQ7" s="391"/>
      <c r="MGR7" s="391"/>
      <c r="MGS7" s="391"/>
      <c r="MGT7" s="391"/>
      <c r="MGU7" s="391"/>
      <c r="MGV7" s="391"/>
      <c r="MGW7" s="391"/>
      <c r="MGX7" s="391"/>
      <c r="MGY7" s="391"/>
      <c r="MGZ7" s="391"/>
      <c r="MHA7" s="391"/>
      <c r="MHB7" s="391"/>
      <c r="MHC7" s="391"/>
      <c r="MHD7" s="391"/>
      <c r="MHE7" s="391"/>
      <c r="MHF7" s="391"/>
      <c r="MHG7" s="391"/>
      <c r="MHH7" s="391"/>
      <c r="MHI7" s="391"/>
      <c r="MHJ7" s="391"/>
      <c r="MHK7" s="391"/>
      <c r="MHL7" s="391"/>
      <c r="MHM7" s="391"/>
      <c r="MHN7" s="391"/>
      <c r="MHO7" s="391"/>
      <c r="MHP7" s="391"/>
      <c r="MHQ7" s="391"/>
      <c r="MHR7" s="391"/>
      <c r="MHS7" s="391"/>
      <c r="MHT7" s="391"/>
      <c r="MHU7" s="391"/>
      <c r="MHV7" s="391"/>
      <c r="MHW7" s="391"/>
      <c r="MHX7" s="391"/>
      <c r="MHY7" s="391"/>
      <c r="MHZ7" s="391"/>
      <c r="MIA7" s="391"/>
      <c r="MIB7" s="391"/>
      <c r="MIC7" s="391"/>
      <c r="MID7" s="391"/>
      <c r="MIE7" s="391"/>
      <c r="MIF7" s="391"/>
      <c r="MIG7" s="391"/>
      <c r="MIH7" s="391"/>
      <c r="MII7" s="391"/>
      <c r="MIJ7" s="391"/>
      <c r="MIK7" s="391"/>
      <c r="MIL7" s="391"/>
      <c r="MIM7" s="391"/>
      <c r="MIN7" s="391"/>
      <c r="MIO7" s="391"/>
      <c r="MIP7" s="391"/>
      <c r="MIQ7" s="391"/>
      <c r="MIR7" s="391"/>
      <c r="MIS7" s="391"/>
      <c r="MIT7" s="391"/>
      <c r="MIU7" s="391"/>
      <c r="MIV7" s="391"/>
      <c r="MIW7" s="391"/>
      <c r="MIX7" s="391"/>
      <c r="MIY7" s="391"/>
      <c r="MIZ7" s="391"/>
      <c r="MJA7" s="391"/>
      <c r="MJB7" s="391"/>
      <c r="MJC7" s="391"/>
      <c r="MJD7" s="391"/>
      <c r="MJE7" s="391"/>
      <c r="MJF7" s="391"/>
      <c r="MJG7" s="391"/>
      <c r="MJH7" s="391"/>
      <c r="MJI7" s="391"/>
      <c r="MJJ7" s="391"/>
      <c r="MJK7" s="391"/>
      <c r="MJL7" s="391"/>
      <c r="MJM7" s="391"/>
      <c r="MJN7" s="391"/>
      <c r="MJO7" s="391"/>
      <c r="MJP7" s="391"/>
      <c r="MJQ7" s="391"/>
      <c r="MJR7" s="391"/>
      <c r="MJS7" s="391"/>
      <c r="MJT7" s="391"/>
      <c r="MJU7" s="391"/>
      <c r="MJV7" s="391"/>
      <c r="MJW7" s="391"/>
      <c r="MJX7" s="391"/>
      <c r="MJY7" s="391"/>
      <c r="MJZ7" s="391"/>
      <c r="MKA7" s="391"/>
      <c r="MKB7" s="391"/>
      <c r="MKC7" s="391"/>
      <c r="MKD7" s="391"/>
      <c r="MKE7" s="391"/>
      <c r="MKF7" s="391"/>
      <c r="MKG7" s="391"/>
      <c r="MKH7" s="391"/>
      <c r="MKI7" s="391"/>
      <c r="MKJ7" s="391"/>
      <c r="MKK7" s="391"/>
      <c r="MKL7" s="391"/>
      <c r="MKM7" s="391"/>
      <c r="MKN7" s="391"/>
      <c r="MKO7" s="391"/>
      <c r="MKP7" s="391"/>
      <c r="MKQ7" s="391"/>
      <c r="MKR7" s="391"/>
      <c r="MKS7" s="391"/>
      <c r="MKT7" s="391"/>
      <c r="MKU7" s="391"/>
      <c r="MKV7" s="391"/>
      <c r="MKW7" s="391"/>
      <c r="MKX7" s="391"/>
      <c r="MKY7" s="391"/>
      <c r="MKZ7" s="391"/>
      <c r="MLA7" s="391"/>
      <c r="MLB7" s="391"/>
      <c r="MLC7" s="391"/>
      <c r="MLD7" s="391"/>
      <c r="MLE7" s="391"/>
      <c r="MLF7" s="391"/>
      <c r="MLG7" s="391"/>
      <c r="MLH7" s="391"/>
      <c r="MLI7" s="391"/>
      <c r="MLJ7" s="391"/>
      <c r="MLK7" s="391"/>
      <c r="MLL7" s="391"/>
      <c r="MLM7" s="391"/>
      <c r="MLN7" s="391"/>
      <c r="MLO7" s="391"/>
      <c r="MLP7" s="391"/>
      <c r="MLQ7" s="391"/>
      <c r="MLR7" s="391"/>
      <c r="MLS7" s="391"/>
      <c r="MLT7" s="391"/>
      <c r="MLU7" s="391"/>
      <c r="MLV7" s="391"/>
      <c r="MLW7" s="391"/>
      <c r="MLX7" s="391"/>
      <c r="MLY7" s="391"/>
      <c r="MLZ7" s="391"/>
      <c r="MMA7" s="391"/>
      <c r="MMB7" s="391"/>
      <c r="MMC7" s="391"/>
      <c r="MMD7" s="391"/>
      <c r="MME7" s="391"/>
      <c r="MMF7" s="391"/>
      <c r="MMG7" s="391"/>
      <c r="MMH7" s="391"/>
      <c r="MMI7" s="391"/>
      <c r="MMJ7" s="391"/>
      <c r="MMK7" s="391"/>
      <c r="MML7" s="391"/>
      <c r="MMM7" s="391"/>
      <c r="MMN7" s="391"/>
      <c r="MMO7" s="391"/>
      <c r="MMP7" s="391"/>
      <c r="MMQ7" s="391"/>
      <c r="MMR7" s="391"/>
      <c r="MMS7" s="391"/>
      <c r="MMT7" s="391"/>
      <c r="MMU7" s="391"/>
      <c r="MMV7" s="391"/>
      <c r="MMW7" s="391"/>
      <c r="MMX7" s="391"/>
      <c r="MMY7" s="391"/>
      <c r="MMZ7" s="391"/>
      <c r="MNA7" s="391"/>
      <c r="MNB7" s="391"/>
      <c r="MNC7" s="391"/>
      <c r="MND7" s="391"/>
      <c r="MNE7" s="391"/>
      <c r="MNF7" s="391"/>
      <c r="MNG7" s="391"/>
      <c r="MNH7" s="391"/>
      <c r="MNI7" s="391"/>
      <c r="MNJ7" s="391"/>
      <c r="MNK7" s="391"/>
      <c r="MNL7" s="391"/>
      <c r="MNM7" s="391"/>
      <c r="MNN7" s="391"/>
      <c r="MNO7" s="391"/>
      <c r="MNP7" s="391"/>
      <c r="MNQ7" s="391"/>
      <c r="MNR7" s="391"/>
      <c r="MNS7" s="391"/>
      <c r="MNT7" s="391"/>
      <c r="MNU7" s="391"/>
      <c r="MNV7" s="391"/>
      <c r="MNW7" s="391"/>
      <c r="MNX7" s="391"/>
      <c r="MNY7" s="391"/>
      <c r="MNZ7" s="391"/>
      <c r="MOA7" s="391"/>
      <c r="MOB7" s="391"/>
      <c r="MOC7" s="391"/>
      <c r="MOD7" s="391"/>
      <c r="MOE7" s="391"/>
      <c r="MOF7" s="391"/>
      <c r="MOG7" s="391"/>
      <c r="MOH7" s="391"/>
      <c r="MOI7" s="391"/>
      <c r="MOJ7" s="391"/>
      <c r="MOK7" s="391"/>
      <c r="MOL7" s="391"/>
      <c r="MOM7" s="391"/>
      <c r="MON7" s="391"/>
      <c r="MOO7" s="391"/>
      <c r="MOP7" s="391"/>
      <c r="MOQ7" s="391"/>
      <c r="MOR7" s="391"/>
      <c r="MOS7" s="391"/>
      <c r="MOT7" s="391"/>
      <c r="MOU7" s="391"/>
      <c r="MOV7" s="391"/>
      <c r="MOW7" s="391"/>
      <c r="MOX7" s="391"/>
      <c r="MOY7" s="391"/>
      <c r="MOZ7" s="391"/>
      <c r="MPA7" s="391"/>
      <c r="MPB7" s="391"/>
      <c r="MPC7" s="391"/>
      <c r="MPD7" s="391"/>
      <c r="MPE7" s="391"/>
      <c r="MPF7" s="391"/>
      <c r="MPG7" s="391"/>
      <c r="MPH7" s="391"/>
      <c r="MPI7" s="391"/>
      <c r="MPJ7" s="391"/>
      <c r="MPK7" s="391"/>
      <c r="MPL7" s="391"/>
      <c r="MPM7" s="391"/>
      <c r="MPN7" s="391"/>
      <c r="MPO7" s="391"/>
      <c r="MPP7" s="391"/>
      <c r="MPQ7" s="391"/>
      <c r="MPR7" s="391"/>
      <c r="MPS7" s="391"/>
      <c r="MPT7" s="391"/>
      <c r="MPU7" s="391"/>
      <c r="MPV7" s="391"/>
      <c r="MPW7" s="391"/>
      <c r="MPX7" s="391"/>
      <c r="MPY7" s="391"/>
      <c r="MPZ7" s="391"/>
      <c r="MQA7" s="391"/>
      <c r="MQB7" s="391"/>
      <c r="MQC7" s="391"/>
      <c r="MQD7" s="391"/>
      <c r="MQE7" s="391"/>
      <c r="MQF7" s="391"/>
      <c r="MQG7" s="391"/>
      <c r="MQH7" s="391"/>
      <c r="MQI7" s="391"/>
      <c r="MQJ7" s="391"/>
      <c r="MQK7" s="391"/>
      <c r="MQL7" s="391"/>
      <c r="MQM7" s="391"/>
      <c r="MQN7" s="391"/>
      <c r="MQO7" s="391"/>
      <c r="MQP7" s="391"/>
      <c r="MQQ7" s="391"/>
      <c r="MQR7" s="391"/>
      <c r="MQS7" s="391"/>
      <c r="MQT7" s="391"/>
      <c r="MQU7" s="391"/>
      <c r="MQV7" s="391"/>
      <c r="MQW7" s="391"/>
      <c r="MQX7" s="391"/>
      <c r="MQY7" s="391"/>
      <c r="MQZ7" s="391"/>
      <c r="MRA7" s="391"/>
      <c r="MRB7" s="391"/>
      <c r="MRC7" s="391"/>
      <c r="MRD7" s="391"/>
      <c r="MRE7" s="391"/>
      <c r="MRF7" s="391"/>
      <c r="MRG7" s="391"/>
      <c r="MRH7" s="391"/>
      <c r="MRI7" s="391"/>
      <c r="MRJ7" s="391"/>
      <c r="MRK7" s="391"/>
      <c r="MRL7" s="391"/>
      <c r="MRM7" s="391"/>
      <c r="MRN7" s="391"/>
      <c r="MRO7" s="391"/>
      <c r="MRP7" s="391"/>
      <c r="MRQ7" s="391"/>
      <c r="MRR7" s="391"/>
      <c r="MRS7" s="391"/>
      <c r="MRT7" s="391"/>
      <c r="MRU7" s="391"/>
      <c r="MRV7" s="391"/>
      <c r="MRW7" s="391"/>
      <c r="MRX7" s="391"/>
      <c r="MRY7" s="391"/>
      <c r="MRZ7" s="391"/>
      <c r="MSA7" s="391"/>
      <c r="MSB7" s="391"/>
      <c r="MSC7" s="391"/>
      <c r="MSD7" s="391"/>
      <c r="MSE7" s="391"/>
      <c r="MSF7" s="391"/>
      <c r="MSG7" s="391"/>
      <c r="MSH7" s="391"/>
      <c r="MSI7" s="391"/>
      <c r="MSJ7" s="391"/>
      <c r="MSK7" s="391"/>
      <c r="MSL7" s="391"/>
      <c r="MSM7" s="391"/>
      <c r="MSN7" s="391"/>
      <c r="MSO7" s="391"/>
      <c r="MSP7" s="391"/>
      <c r="MSQ7" s="391"/>
      <c r="MSR7" s="391"/>
      <c r="MSS7" s="391"/>
      <c r="MST7" s="391"/>
      <c r="MSU7" s="391"/>
      <c r="MSV7" s="391"/>
      <c r="MSW7" s="391"/>
      <c r="MSX7" s="391"/>
      <c r="MSY7" s="391"/>
      <c r="MSZ7" s="391"/>
      <c r="MTA7" s="391"/>
      <c r="MTB7" s="391"/>
      <c r="MTC7" s="391"/>
      <c r="MTD7" s="391"/>
      <c r="MTE7" s="391"/>
      <c r="MTF7" s="391"/>
      <c r="MTG7" s="391"/>
      <c r="MTH7" s="391"/>
      <c r="MTI7" s="391"/>
      <c r="MTJ7" s="391"/>
      <c r="MTK7" s="391"/>
      <c r="MTL7" s="391"/>
      <c r="MTM7" s="391"/>
      <c r="MTN7" s="391"/>
      <c r="MTO7" s="391"/>
      <c r="MTP7" s="391"/>
      <c r="MTQ7" s="391"/>
      <c r="MTR7" s="391"/>
      <c r="MTS7" s="391"/>
      <c r="MTT7" s="391"/>
      <c r="MTU7" s="391"/>
      <c r="MTV7" s="391"/>
      <c r="MTW7" s="391"/>
      <c r="MTX7" s="391"/>
      <c r="MTY7" s="391"/>
      <c r="MTZ7" s="391"/>
      <c r="MUA7" s="391"/>
      <c r="MUB7" s="391"/>
      <c r="MUC7" s="391"/>
      <c r="MUD7" s="391"/>
      <c r="MUE7" s="391"/>
      <c r="MUF7" s="391"/>
      <c r="MUG7" s="391"/>
      <c r="MUH7" s="391"/>
      <c r="MUI7" s="391"/>
      <c r="MUJ7" s="391"/>
      <c r="MUK7" s="391"/>
      <c r="MUL7" s="391"/>
      <c r="MUM7" s="391"/>
      <c r="MUN7" s="391"/>
      <c r="MUO7" s="391"/>
      <c r="MUP7" s="391"/>
      <c r="MUQ7" s="391"/>
      <c r="MUR7" s="391"/>
      <c r="MUS7" s="391"/>
      <c r="MUT7" s="391"/>
      <c r="MUU7" s="391"/>
      <c r="MUV7" s="391"/>
      <c r="MUW7" s="391"/>
      <c r="MUX7" s="391"/>
      <c r="MUY7" s="391"/>
      <c r="MUZ7" s="391"/>
      <c r="MVA7" s="391"/>
      <c r="MVB7" s="391"/>
      <c r="MVC7" s="391"/>
      <c r="MVD7" s="391"/>
      <c r="MVE7" s="391"/>
      <c r="MVF7" s="391"/>
      <c r="MVG7" s="391"/>
      <c r="MVH7" s="391"/>
      <c r="MVI7" s="391"/>
      <c r="MVJ7" s="391"/>
      <c r="MVK7" s="391"/>
      <c r="MVL7" s="391"/>
      <c r="MVM7" s="391"/>
      <c r="MVN7" s="391"/>
      <c r="MVO7" s="391"/>
      <c r="MVP7" s="391"/>
      <c r="MVQ7" s="391"/>
      <c r="MVR7" s="391"/>
      <c r="MVS7" s="391"/>
      <c r="MVT7" s="391"/>
      <c r="MVU7" s="391"/>
      <c r="MVV7" s="391"/>
      <c r="MVW7" s="391"/>
      <c r="MVX7" s="391"/>
      <c r="MVY7" s="391"/>
      <c r="MVZ7" s="391"/>
      <c r="MWA7" s="391"/>
      <c r="MWB7" s="391"/>
      <c r="MWC7" s="391"/>
      <c r="MWD7" s="391"/>
      <c r="MWE7" s="391"/>
      <c r="MWF7" s="391"/>
      <c r="MWG7" s="391"/>
      <c r="MWH7" s="391"/>
      <c r="MWI7" s="391"/>
      <c r="MWJ7" s="391"/>
      <c r="MWK7" s="391"/>
      <c r="MWL7" s="391"/>
      <c r="MWM7" s="391"/>
      <c r="MWN7" s="391"/>
      <c r="MWO7" s="391"/>
      <c r="MWP7" s="391"/>
      <c r="MWQ7" s="391"/>
      <c r="MWR7" s="391"/>
      <c r="MWS7" s="391"/>
      <c r="MWT7" s="391"/>
      <c r="MWU7" s="391"/>
      <c r="MWV7" s="391"/>
      <c r="MWW7" s="391"/>
      <c r="MWX7" s="391"/>
      <c r="MWY7" s="391"/>
      <c r="MWZ7" s="391"/>
      <c r="MXA7" s="391"/>
      <c r="MXB7" s="391"/>
      <c r="MXC7" s="391"/>
      <c r="MXD7" s="391"/>
      <c r="MXE7" s="391"/>
      <c r="MXF7" s="391"/>
      <c r="MXG7" s="391"/>
      <c r="MXH7" s="391"/>
      <c r="MXI7" s="391"/>
      <c r="MXJ7" s="391"/>
      <c r="MXK7" s="391"/>
      <c r="MXL7" s="391"/>
      <c r="MXM7" s="391"/>
      <c r="MXN7" s="391"/>
      <c r="MXO7" s="391"/>
      <c r="MXP7" s="391"/>
      <c r="MXQ7" s="391"/>
      <c r="MXR7" s="391"/>
      <c r="MXS7" s="391"/>
      <c r="MXT7" s="391"/>
      <c r="MXU7" s="391"/>
      <c r="MXV7" s="391"/>
      <c r="MXW7" s="391"/>
      <c r="MXX7" s="391"/>
      <c r="MXY7" s="391"/>
      <c r="MXZ7" s="391"/>
      <c r="MYA7" s="391"/>
      <c r="MYB7" s="391"/>
      <c r="MYC7" s="391"/>
      <c r="MYD7" s="391"/>
      <c r="MYE7" s="391"/>
      <c r="MYF7" s="391"/>
      <c r="MYG7" s="391"/>
      <c r="MYH7" s="391"/>
      <c r="MYI7" s="391"/>
      <c r="MYJ7" s="391"/>
      <c r="MYK7" s="391"/>
      <c r="MYL7" s="391"/>
      <c r="MYM7" s="391"/>
      <c r="MYN7" s="391"/>
      <c r="MYO7" s="391"/>
      <c r="MYP7" s="391"/>
      <c r="MYQ7" s="391"/>
      <c r="MYR7" s="391"/>
      <c r="MYS7" s="391"/>
      <c r="MYT7" s="391"/>
      <c r="MYU7" s="391"/>
      <c r="MYV7" s="391"/>
      <c r="MYW7" s="391"/>
      <c r="MYX7" s="391"/>
      <c r="MYY7" s="391"/>
      <c r="MYZ7" s="391"/>
      <c r="MZA7" s="391"/>
      <c r="MZB7" s="391"/>
      <c r="MZC7" s="391"/>
      <c r="MZD7" s="391"/>
      <c r="MZE7" s="391"/>
      <c r="MZF7" s="391"/>
      <c r="MZG7" s="391"/>
      <c r="MZH7" s="391"/>
      <c r="MZI7" s="391"/>
      <c r="MZJ7" s="391"/>
      <c r="MZK7" s="391"/>
      <c r="MZL7" s="391"/>
      <c r="MZM7" s="391"/>
      <c r="MZN7" s="391"/>
      <c r="MZO7" s="391"/>
      <c r="MZP7" s="391"/>
      <c r="MZQ7" s="391"/>
      <c r="MZR7" s="391"/>
      <c r="MZS7" s="391"/>
      <c r="MZT7" s="391"/>
      <c r="MZU7" s="391"/>
      <c r="MZV7" s="391"/>
      <c r="MZW7" s="391"/>
      <c r="MZX7" s="391"/>
      <c r="MZY7" s="391"/>
      <c r="MZZ7" s="391"/>
      <c r="NAA7" s="391"/>
      <c r="NAB7" s="391"/>
      <c r="NAC7" s="391"/>
      <c r="NAD7" s="391"/>
      <c r="NAE7" s="391"/>
      <c r="NAF7" s="391"/>
      <c r="NAG7" s="391"/>
      <c r="NAH7" s="391"/>
      <c r="NAI7" s="391"/>
      <c r="NAJ7" s="391"/>
      <c r="NAK7" s="391"/>
      <c r="NAL7" s="391"/>
      <c r="NAM7" s="391"/>
      <c r="NAN7" s="391"/>
      <c r="NAO7" s="391"/>
      <c r="NAP7" s="391"/>
      <c r="NAQ7" s="391"/>
      <c r="NAR7" s="391"/>
      <c r="NAS7" s="391"/>
      <c r="NAT7" s="391"/>
      <c r="NAU7" s="391"/>
      <c r="NAV7" s="391"/>
      <c r="NAW7" s="391"/>
      <c r="NAX7" s="391"/>
      <c r="NAY7" s="391"/>
      <c r="NAZ7" s="391"/>
      <c r="NBA7" s="391"/>
      <c r="NBB7" s="391"/>
      <c r="NBC7" s="391"/>
      <c r="NBD7" s="391"/>
      <c r="NBE7" s="391"/>
      <c r="NBF7" s="391"/>
      <c r="NBG7" s="391"/>
      <c r="NBH7" s="391"/>
      <c r="NBI7" s="391"/>
      <c r="NBJ7" s="391"/>
      <c r="NBK7" s="391"/>
      <c r="NBL7" s="391"/>
      <c r="NBM7" s="391"/>
      <c r="NBN7" s="391"/>
      <c r="NBO7" s="391"/>
      <c r="NBP7" s="391"/>
      <c r="NBQ7" s="391"/>
      <c r="NBR7" s="391"/>
      <c r="NBS7" s="391"/>
      <c r="NBT7" s="391"/>
      <c r="NBU7" s="391"/>
      <c r="NBV7" s="391"/>
      <c r="NBW7" s="391"/>
      <c r="NBX7" s="391"/>
      <c r="NBY7" s="391"/>
      <c r="NBZ7" s="391"/>
      <c r="NCA7" s="391"/>
      <c r="NCB7" s="391"/>
      <c r="NCC7" s="391"/>
      <c r="NCD7" s="391"/>
      <c r="NCE7" s="391"/>
      <c r="NCF7" s="391"/>
      <c r="NCG7" s="391"/>
      <c r="NCH7" s="391"/>
      <c r="NCI7" s="391"/>
      <c r="NCJ7" s="391"/>
      <c r="NCK7" s="391"/>
      <c r="NCL7" s="391"/>
      <c r="NCM7" s="391"/>
      <c r="NCN7" s="391"/>
      <c r="NCO7" s="391"/>
      <c r="NCP7" s="391"/>
      <c r="NCQ7" s="391"/>
      <c r="NCR7" s="391"/>
      <c r="NCS7" s="391"/>
      <c r="NCT7" s="391"/>
      <c r="NCU7" s="391"/>
      <c r="NCV7" s="391"/>
      <c r="NCW7" s="391"/>
      <c r="NCX7" s="391"/>
      <c r="NCY7" s="391"/>
      <c r="NCZ7" s="391"/>
      <c r="NDA7" s="391"/>
      <c r="NDB7" s="391"/>
      <c r="NDC7" s="391"/>
      <c r="NDD7" s="391"/>
      <c r="NDE7" s="391"/>
      <c r="NDF7" s="391"/>
      <c r="NDG7" s="391"/>
      <c r="NDH7" s="391"/>
      <c r="NDI7" s="391"/>
      <c r="NDJ7" s="391"/>
      <c r="NDK7" s="391"/>
      <c r="NDL7" s="391"/>
      <c r="NDM7" s="391"/>
      <c r="NDN7" s="391"/>
      <c r="NDO7" s="391"/>
      <c r="NDP7" s="391"/>
      <c r="NDQ7" s="391"/>
      <c r="NDR7" s="391"/>
      <c r="NDS7" s="391"/>
      <c r="NDT7" s="391"/>
      <c r="NDU7" s="391"/>
      <c r="NDV7" s="391"/>
      <c r="NDW7" s="391"/>
      <c r="NDX7" s="391"/>
      <c r="NDY7" s="391"/>
      <c r="NDZ7" s="391"/>
      <c r="NEA7" s="391"/>
      <c r="NEB7" s="391"/>
      <c r="NEC7" s="391"/>
      <c r="NED7" s="391"/>
      <c r="NEE7" s="391"/>
      <c r="NEF7" s="391"/>
      <c r="NEG7" s="391"/>
      <c r="NEH7" s="391"/>
      <c r="NEI7" s="391"/>
      <c r="NEJ7" s="391"/>
      <c r="NEK7" s="391"/>
      <c r="NEL7" s="391"/>
      <c r="NEM7" s="391"/>
      <c r="NEN7" s="391"/>
      <c r="NEO7" s="391"/>
      <c r="NEP7" s="391"/>
      <c r="NEQ7" s="391"/>
      <c r="NER7" s="391"/>
      <c r="NES7" s="391"/>
      <c r="NET7" s="391"/>
      <c r="NEU7" s="391"/>
      <c r="NEV7" s="391"/>
      <c r="NEW7" s="391"/>
      <c r="NEX7" s="391"/>
      <c r="NEY7" s="391"/>
      <c r="NEZ7" s="391"/>
      <c r="NFA7" s="391"/>
      <c r="NFB7" s="391"/>
      <c r="NFC7" s="391"/>
      <c r="NFD7" s="391"/>
      <c r="NFE7" s="391"/>
      <c r="NFF7" s="391"/>
      <c r="NFG7" s="391"/>
      <c r="NFH7" s="391"/>
      <c r="NFI7" s="391"/>
      <c r="NFJ7" s="391"/>
      <c r="NFK7" s="391"/>
      <c r="NFL7" s="391"/>
      <c r="NFM7" s="391"/>
      <c r="NFN7" s="391"/>
      <c r="NFO7" s="391"/>
      <c r="NFP7" s="391"/>
      <c r="NFQ7" s="391"/>
      <c r="NFR7" s="391"/>
      <c r="NFS7" s="391"/>
      <c r="NFT7" s="391"/>
      <c r="NFU7" s="391"/>
      <c r="NFV7" s="391"/>
      <c r="NFW7" s="391"/>
      <c r="NFX7" s="391"/>
      <c r="NFY7" s="391"/>
      <c r="NFZ7" s="391"/>
      <c r="NGA7" s="391"/>
      <c r="NGB7" s="391"/>
      <c r="NGC7" s="391"/>
      <c r="NGD7" s="391"/>
      <c r="NGE7" s="391"/>
      <c r="NGF7" s="391"/>
      <c r="NGG7" s="391"/>
      <c r="NGH7" s="391"/>
      <c r="NGI7" s="391"/>
      <c r="NGJ7" s="391"/>
      <c r="NGK7" s="391"/>
      <c r="NGL7" s="391"/>
      <c r="NGM7" s="391"/>
      <c r="NGN7" s="391"/>
      <c r="NGO7" s="391"/>
      <c r="NGP7" s="391"/>
      <c r="NGQ7" s="391"/>
      <c r="NGR7" s="391"/>
      <c r="NGS7" s="391"/>
      <c r="NGT7" s="391"/>
      <c r="NGU7" s="391"/>
      <c r="NGV7" s="391"/>
      <c r="NGW7" s="391"/>
      <c r="NGX7" s="391"/>
      <c r="NGY7" s="391"/>
      <c r="NGZ7" s="391"/>
      <c r="NHA7" s="391"/>
      <c r="NHB7" s="391"/>
      <c r="NHC7" s="391"/>
      <c r="NHD7" s="391"/>
      <c r="NHE7" s="391"/>
      <c r="NHF7" s="391"/>
      <c r="NHG7" s="391"/>
      <c r="NHH7" s="391"/>
      <c r="NHI7" s="391"/>
      <c r="NHJ7" s="391"/>
      <c r="NHK7" s="391"/>
      <c r="NHL7" s="391"/>
      <c r="NHM7" s="391"/>
      <c r="NHN7" s="391"/>
      <c r="NHO7" s="391"/>
      <c r="NHP7" s="391"/>
      <c r="NHQ7" s="391"/>
      <c r="NHR7" s="391"/>
      <c r="NHS7" s="391"/>
      <c r="NHT7" s="391"/>
      <c r="NHU7" s="391"/>
      <c r="NHV7" s="391"/>
      <c r="NHW7" s="391"/>
      <c r="NHX7" s="391"/>
      <c r="NHY7" s="391"/>
      <c r="NHZ7" s="391"/>
      <c r="NIA7" s="391"/>
      <c r="NIB7" s="391"/>
      <c r="NIC7" s="391"/>
      <c r="NID7" s="391"/>
      <c r="NIE7" s="391"/>
      <c r="NIF7" s="391"/>
      <c r="NIG7" s="391"/>
      <c r="NIH7" s="391"/>
      <c r="NII7" s="391"/>
      <c r="NIJ7" s="391"/>
      <c r="NIK7" s="391"/>
      <c r="NIL7" s="391"/>
      <c r="NIM7" s="391"/>
      <c r="NIN7" s="391"/>
      <c r="NIO7" s="391"/>
      <c r="NIP7" s="391"/>
      <c r="NIQ7" s="391"/>
      <c r="NIR7" s="391"/>
      <c r="NIS7" s="391"/>
      <c r="NIT7" s="391"/>
      <c r="NIU7" s="391"/>
      <c r="NIV7" s="391"/>
      <c r="NIW7" s="391"/>
      <c r="NIX7" s="391"/>
      <c r="NIY7" s="391"/>
      <c r="NIZ7" s="391"/>
      <c r="NJA7" s="391"/>
      <c r="NJB7" s="391"/>
      <c r="NJC7" s="391"/>
      <c r="NJD7" s="391"/>
      <c r="NJE7" s="391"/>
      <c r="NJF7" s="391"/>
      <c r="NJG7" s="391"/>
      <c r="NJH7" s="391"/>
      <c r="NJI7" s="391"/>
      <c r="NJJ7" s="391"/>
      <c r="NJK7" s="391"/>
      <c r="NJL7" s="391"/>
      <c r="NJM7" s="391"/>
      <c r="NJN7" s="391"/>
      <c r="NJO7" s="391"/>
      <c r="NJP7" s="391"/>
      <c r="NJQ7" s="391"/>
      <c r="NJR7" s="391"/>
      <c r="NJS7" s="391"/>
      <c r="NJT7" s="391"/>
      <c r="NJU7" s="391"/>
      <c r="NJV7" s="391"/>
      <c r="NJW7" s="391"/>
      <c r="NJX7" s="391"/>
      <c r="NJY7" s="391"/>
      <c r="NJZ7" s="391"/>
      <c r="NKA7" s="391"/>
      <c r="NKB7" s="391"/>
      <c r="NKC7" s="391"/>
      <c r="NKD7" s="391"/>
      <c r="NKE7" s="391"/>
      <c r="NKF7" s="391"/>
      <c r="NKG7" s="391"/>
      <c r="NKH7" s="391"/>
      <c r="NKI7" s="391"/>
      <c r="NKJ7" s="391"/>
      <c r="NKK7" s="391"/>
      <c r="NKL7" s="391"/>
      <c r="NKM7" s="391"/>
      <c r="NKN7" s="391"/>
      <c r="NKO7" s="391"/>
      <c r="NKP7" s="391"/>
      <c r="NKQ7" s="391"/>
      <c r="NKR7" s="391"/>
      <c r="NKS7" s="391"/>
      <c r="NKT7" s="391"/>
      <c r="NKU7" s="391"/>
      <c r="NKV7" s="391"/>
      <c r="NKW7" s="391"/>
      <c r="NKX7" s="391"/>
      <c r="NKY7" s="391"/>
      <c r="NKZ7" s="391"/>
      <c r="NLA7" s="391"/>
      <c r="NLB7" s="391"/>
      <c r="NLC7" s="391"/>
      <c r="NLD7" s="391"/>
      <c r="NLE7" s="391"/>
      <c r="NLF7" s="391"/>
      <c r="NLG7" s="391"/>
      <c r="NLH7" s="391"/>
      <c r="NLI7" s="391"/>
      <c r="NLJ7" s="391"/>
      <c r="NLK7" s="391"/>
      <c r="NLL7" s="391"/>
      <c r="NLM7" s="391"/>
      <c r="NLN7" s="391"/>
      <c r="NLO7" s="391"/>
      <c r="NLP7" s="391"/>
      <c r="NLQ7" s="391"/>
      <c r="NLR7" s="391"/>
      <c r="NLS7" s="391"/>
      <c r="NLT7" s="391"/>
      <c r="NLU7" s="391"/>
      <c r="NLV7" s="391"/>
      <c r="NLW7" s="391"/>
      <c r="NLX7" s="391"/>
      <c r="NLY7" s="391"/>
      <c r="NLZ7" s="391"/>
      <c r="NMA7" s="391"/>
      <c r="NMB7" s="391"/>
      <c r="NMC7" s="391"/>
      <c r="NMD7" s="391"/>
      <c r="NME7" s="391"/>
      <c r="NMF7" s="391"/>
      <c r="NMG7" s="391"/>
      <c r="NMH7" s="391"/>
      <c r="NMI7" s="391"/>
      <c r="NMJ7" s="391"/>
      <c r="NMK7" s="391"/>
      <c r="NML7" s="391"/>
      <c r="NMM7" s="391"/>
      <c r="NMN7" s="391"/>
      <c r="NMO7" s="391"/>
      <c r="NMP7" s="391"/>
      <c r="NMQ7" s="391"/>
      <c r="NMR7" s="391"/>
      <c r="NMS7" s="391"/>
      <c r="NMT7" s="391"/>
      <c r="NMU7" s="391"/>
      <c r="NMV7" s="391"/>
      <c r="NMW7" s="391"/>
      <c r="NMX7" s="391"/>
      <c r="NMY7" s="391"/>
      <c r="NMZ7" s="391"/>
      <c r="NNA7" s="391"/>
      <c r="NNB7" s="391"/>
      <c r="NNC7" s="391"/>
      <c r="NND7" s="391"/>
      <c r="NNE7" s="391"/>
      <c r="NNF7" s="391"/>
      <c r="NNG7" s="391"/>
      <c r="NNH7" s="391"/>
      <c r="NNI7" s="391"/>
      <c r="NNJ7" s="391"/>
      <c r="NNK7" s="391"/>
      <c r="NNL7" s="391"/>
      <c r="NNM7" s="391"/>
      <c r="NNN7" s="391"/>
      <c r="NNO7" s="391"/>
      <c r="NNP7" s="391"/>
      <c r="NNQ7" s="391"/>
      <c r="NNR7" s="391"/>
      <c r="NNS7" s="391"/>
      <c r="NNT7" s="391"/>
      <c r="NNU7" s="391"/>
      <c r="NNV7" s="391"/>
      <c r="NNW7" s="391"/>
      <c r="NNX7" s="391"/>
      <c r="NNY7" s="391"/>
      <c r="NNZ7" s="391"/>
      <c r="NOA7" s="391"/>
      <c r="NOB7" s="391"/>
      <c r="NOC7" s="391"/>
      <c r="NOD7" s="391"/>
      <c r="NOE7" s="391"/>
      <c r="NOF7" s="391"/>
      <c r="NOG7" s="391"/>
      <c r="NOH7" s="391"/>
      <c r="NOI7" s="391"/>
      <c r="NOJ7" s="391"/>
      <c r="NOK7" s="391"/>
      <c r="NOL7" s="391"/>
      <c r="NOM7" s="391"/>
      <c r="NON7" s="391"/>
      <c r="NOO7" s="391"/>
      <c r="NOP7" s="391"/>
      <c r="NOQ7" s="391"/>
      <c r="NOR7" s="391"/>
      <c r="NOS7" s="391"/>
      <c r="NOT7" s="391"/>
      <c r="NOU7" s="391"/>
      <c r="NOV7" s="391"/>
      <c r="NOW7" s="391"/>
      <c r="NOX7" s="391"/>
      <c r="NOY7" s="391"/>
      <c r="NOZ7" s="391"/>
      <c r="NPA7" s="391"/>
      <c r="NPB7" s="391"/>
      <c r="NPC7" s="391"/>
      <c r="NPD7" s="391"/>
      <c r="NPE7" s="391"/>
      <c r="NPF7" s="391"/>
      <c r="NPG7" s="391"/>
      <c r="NPH7" s="391"/>
      <c r="NPI7" s="391"/>
      <c r="NPJ7" s="391"/>
      <c r="NPK7" s="391"/>
      <c r="NPL7" s="391"/>
      <c r="NPM7" s="391"/>
      <c r="NPN7" s="391"/>
      <c r="NPO7" s="391"/>
      <c r="NPP7" s="391"/>
      <c r="NPQ7" s="391"/>
      <c r="NPR7" s="391"/>
      <c r="NPS7" s="391"/>
      <c r="NPT7" s="391"/>
      <c r="NPU7" s="391"/>
      <c r="NPV7" s="391"/>
      <c r="NPW7" s="391"/>
      <c r="NPX7" s="391"/>
      <c r="NPY7" s="391"/>
      <c r="NPZ7" s="391"/>
      <c r="NQA7" s="391"/>
      <c r="NQB7" s="391"/>
      <c r="NQC7" s="391"/>
      <c r="NQD7" s="391"/>
      <c r="NQE7" s="391"/>
      <c r="NQF7" s="391"/>
      <c r="NQG7" s="391"/>
      <c r="NQH7" s="391"/>
      <c r="NQI7" s="391"/>
      <c r="NQJ7" s="391"/>
      <c r="NQK7" s="391"/>
      <c r="NQL7" s="391"/>
      <c r="NQM7" s="391"/>
      <c r="NQN7" s="391"/>
      <c r="NQO7" s="391"/>
      <c r="NQP7" s="391"/>
      <c r="NQQ7" s="391"/>
      <c r="NQR7" s="391"/>
      <c r="NQS7" s="391"/>
      <c r="NQT7" s="391"/>
      <c r="NQU7" s="391"/>
      <c r="NQV7" s="391"/>
      <c r="NQW7" s="391"/>
      <c r="NQX7" s="391"/>
      <c r="NQY7" s="391"/>
      <c r="NQZ7" s="391"/>
      <c r="NRA7" s="391"/>
      <c r="NRB7" s="391"/>
      <c r="NRC7" s="391"/>
      <c r="NRD7" s="391"/>
      <c r="NRE7" s="391"/>
      <c r="NRF7" s="391"/>
      <c r="NRG7" s="391"/>
      <c r="NRH7" s="391"/>
      <c r="NRI7" s="391"/>
      <c r="NRJ7" s="391"/>
      <c r="NRK7" s="391"/>
      <c r="NRL7" s="391"/>
      <c r="NRM7" s="391"/>
      <c r="NRN7" s="391"/>
      <c r="NRO7" s="391"/>
      <c r="NRP7" s="391"/>
      <c r="NRQ7" s="391"/>
      <c r="NRR7" s="391"/>
      <c r="NRS7" s="391"/>
      <c r="NRT7" s="391"/>
      <c r="NRU7" s="391"/>
      <c r="NRV7" s="391"/>
      <c r="NRW7" s="391"/>
      <c r="NRX7" s="391"/>
      <c r="NRY7" s="391"/>
      <c r="NRZ7" s="391"/>
      <c r="NSA7" s="391"/>
      <c r="NSB7" s="391"/>
      <c r="NSC7" s="391"/>
      <c r="NSD7" s="391"/>
      <c r="NSE7" s="391"/>
      <c r="NSF7" s="391"/>
      <c r="NSG7" s="391"/>
      <c r="NSH7" s="391"/>
      <c r="NSI7" s="391"/>
      <c r="NSJ7" s="391"/>
      <c r="NSK7" s="391"/>
      <c r="NSL7" s="391"/>
      <c r="NSM7" s="391"/>
      <c r="NSN7" s="391"/>
      <c r="NSO7" s="391"/>
      <c r="NSP7" s="391"/>
      <c r="NSQ7" s="391"/>
      <c r="NSR7" s="391"/>
      <c r="NSS7" s="391"/>
      <c r="NST7" s="391"/>
      <c r="NSU7" s="391"/>
      <c r="NSV7" s="391"/>
      <c r="NSW7" s="391"/>
      <c r="NSX7" s="391"/>
      <c r="NSY7" s="391"/>
      <c r="NSZ7" s="391"/>
      <c r="NTA7" s="391"/>
      <c r="NTB7" s="391"/>
      <c r="NTC7" s="391"/>
      <c r="NTD7" s="391"/>
      <c r="NTE7" s="391"/>
      <c r="NTF7" s="391"/>
      <c r="NTG7" s="391"/>
      <c r="NTH7" s="391"/>
      <c r="NTI7" s="391"/>
      <c r="NTJ7" s="391"/>
      <c r="NTK7" s="391"/>
      <c r="NTL7" s="391"/>
      <c r="NTM7" s="391"/>
      <c r="NTN7" s="391"/>
      <c r="NTO7" s="391"/>
      <c r="NTP7" s="391"/>
      <c r="NTQ7" s="391"/>
      <c r="NTR7" s="391"/>
      <c r="NTS7" s="391"/>
      <c r="NTT7" s="391"/>
      <c r="NTU7" s="391"/>
      <c r="NTV7" s="391"/>
      <c r="NTW7" s="391"/>
      <c r="NTX7" s="391"/>
      <c r="NTY7" s="391"/>
      <c r="NTZ7" s="391"/>
      <c r="NUA7" s="391"/>
      <c r="NUB7" s="391"/>
      <c r="NUC7" s="391"/>
      <c r="NUD7" s="391"/>
      <c r="NUE7" s="391"/>
      <c r="NUF7" s="391"/>
      <c r="NUG7" s="391"/>
      <c r="NUH7" s="391"/>
      <c r="NUI7" s="391"/>
      <c r="NUJ7" s="391"/>
      <c r="NUK7" s="391"/>
      <c r="NUL7" s="391"/>
      <c r="NUM7" s="391"/>
      <c r="NUN7" s="391"/>
      <c r="NUO7" s="391"/>
      <c r="NUP7" s="391"/>
      <c r="NUQ7" s="391"/>
      <c r="NUR7" s="391"/>
      <c r="NUS7" s="391"/>
      <c r="NUT7" s="391"/>
      <c r="NUU7" s="391"/>
      <c r="NUV7" s="391"/>
      <c r="NUW7" s="391"/>
      <c r="NUX7" s="391"/>
      <c r="NUY7" s="391"/>
      <c r="NUZ7" s="391"/>
      <c r="NVA7" s="391"/>
      <c r="NVB7" s="391"/>
      <c r="NVC7" s="391"/>
      <c r="NVD7" s="391"/>
      <c r="NVE7" s="391"/>
      <c r="NVF7" s="391"/>
      <c r="NVG7" s="391"/>
      <c r="NVH7" s="391"/>
      <c r="NVI7" s="391"/>
      <c r="NVJ7" s="391"/>
      <c r="NVK7" s="391"/>
      <c r="NVL7" s="391"/>
      <c r="NVM7" s="391"/>
      <c r="NVN7" s="391"/>
      <c r="NVO7" s="391"/>
      <c r="NVP7" s="391"/>
      <c r="NVQ7" s="391"/>
      <c r="NVR7" s="391"/>
      <c r="NVS7" s="391"/>
      <c r="NVT7" s="391"/>
      <c r="NVU7" s="391"/>
      <c r="NVV7" s="391"/>
      <c r="NVW7" s="391"/>
      <c r="NVX7" s="391"/>
      <c r="NVY7" s="391"/>
      <c r="NVZ7" s="391"/>
      <c r="NWA7" s="391"/>
      <c r="NWB7" s="391"/>
      <c r="NWC7" s="391"/>
      <c r="NWD7" s="391"/>
      <c r="NWE7" s="391"/>
      <c r="NWF7" s="391"/>
      <c r="NWG7" s="391"/>
      <c r="NWH7" s="391"/>
      <c r="NWI7" s="391"/>
      <c r="NWJ7" s="391"/>
      <c r="NWK7" s="391"/>
      <c r="NWL7" s="391"/>
      <c r="NWM7" s="391"/>
      <c r="NWN7" s="391"/>
      <c r="NWO7" s="391"/>
      <c r="NWP7" s="391"/>
      <c r="NWQ7" s="391"/>
      <c r="NWR7" s="391"/>
      <c r="NWS7" s="391"/>
      <c r="NWT7" s="391"/>
      <c r="NWU7" s="391"/>
      <c r="NWV7" s="391"/>
      <c r="NWW7" s="391"/>
      <c r="NWX7" s="391"/>
      <c r="NWY7" s="391"/>
      <c r="NWZ7" s="391"/>
      <c r="NXA7" s="391"/>
      <c r="NXB7" s="391"/>
      <c r="NXC7" s="391"/>
      <c r="NXD7" s="391"/>
      <c r="NXE7" s="391"/>
      <c r="NXF7" s="391"/>
      <c r="NXG7" s="391"/>
      <c r="NXH7" s="391"/>
      <c r="NXI7" s="391"/>
      <c r="NXJ7" s="391"/>
      <c r="NXK7" s="391"/>
      <c r="NXL7" s="391"/>
      <c r="NXM7" s="391"/>
      <c r="NXN7" s="391"/>
      <c r="NXO7" s="391"/>
      <c r="NXP7" s="391"/>
      <c r="NXQ7" s="391"/>
      <c r="NXR7" s="391"/>
      <c r="NXS7" s="391"/>
      <c r="NXT7" s="391"/>
      <c r="NXU7" s="391"/>
      <c r="NXV7" s="391"/>
      <c r="NXW7" s="391"/>
      <c r="NXX7" s="391"/>
      <c r="NXY7" s="391"/>
      <c r="NXZ7" s="391"/>
      <c r="NYA7" s="391"/>
      <c r="NYB7" s="391"/>
      <c r="NYC7" s="391"/>
      <c r="NYD7" s="391"/>
      <c r="NYE7" s="391"/>
      <c r="NYF7" s="391"/>
      <c r="NYG7" s="391"/>
      <c r="NYH7" s="391"/>
      <c r="NYI7" s="391"/>
      <c r="NYJ7" s="391"/>
      <c r="NYK7" s="391"/>
      <c r="NYL7" s="391"/>
      <c r="NYM7" s="391"/>
      <c r="NYN7" s="391"/>
      <c r="NYO7" s="391"/>
      <c r="NYP7" s="391"/>
      <c r="NYQ7" s="391"/>
      <c r="NYR7" s="391"/>
      <c r="NYS7" s="391"/>
      <c r="NYT7" s="391"/>
      <c r="NYU7" s="391"/>
      <c r="NYV7" s="391"/>
      <c r="NYW7" s="391"/>
      <c r="NYX7" s="391"/>
      <c r="NYY7" s="391"/>
      <c r="NYZ7" s="391"/>
      <c r="NZA7" s="391"/>
      <c r="NZB7" s="391"/>
      <c r="NZC7" s="391"/>
      <c r="NZD7" s="391"/>
      <c r="NZE7" s="391"/>
      <c r="NZF7" s="391"/>
      <c r="NZG7" s="391"/>
      <c r="NZH7" s="391"/>
      <c r="NZI7" s="391"/>
      <c r="NZJ7" s="391"/>
      <c r="NZK7" s="391"/>
      <c r="NZL7" s="391"/>
      <c r="NZM7" s="391"/>
      <c r="NZN7" s="391"/>
      <c r="NZO7" s="391"/>
      <c r="NZP7" s="391"/>
      <c r="NZQ7" s="391"/>
      <c r="NZR7" s="391"/>
      <c r="NZS7" s="391"/>
      <c r="NZT7" s="391"/>
      <c r="NZU7" s="391"/>
      <c r="NZV7" s="391"/>
      <c r="NZW7" s="391"/>
      <c r="NZX7" s="391"/>
      <c r="NZY7" s="391"/>
      <c r="NZZ7" s="391"/>
      <c r="OAA7" s="391"/>
      <c r="OAB7" s="391"/>
      <c r="OAC7" s="391"/>
      <c r="OAD7" s="391"/>
      <c r="OAE7" s="391"/>
      <c r="OAF7" s="391"/>
      <c r="OAG7" s="391"/>
      <c r="OAH7" s="391"/>
      <c r="OAI7" s="391"/>
      <c r="OAJ7" s="391"/>
      <c r="OAK7" s="391"/>
      <c r="OAL7" s="391"/>
      <c r="OAM7" s="391"/>
      <c r="OAN7" s="391"/>
      <c r="OAO7" s="391"/>
      <c r="OAP7" s="391"/>
      <c r="OAQ7" s="391"/>
      <c r="OAR7" s="391"/>
      <c r="OAS7" s="391"/>
      <c r="OAT7" s="391"/>
      <c r="OAU7" s="391"/>
      <c r="OAV7" s="391"/>
      <c r="OAW7" s="391"/>
      <c r="OAX7" s="391"/>
      <c r="OAY7" s="391"/>
      <c r="OAZ7" s="391"/>
      <c r="OBA7" s="391"/>
      <c r="OBB7" s="391"/>
      <c r="OBC7" s="391"/>
      <c r="OBD7" s="391"/>
      <c r="OBE7" s="391"/>
      <c r="OBF7" s="391"/>
      <c r="OBG7" s="391"/>
      <c r="OBH7" s="391"/>
      <c r="OBI7" s="391"/>
      <c r="OBJ7" s="391"/>
      <c r="OBK7" s="391"/>
      <c r="OBL7" s="391"/>
      <c r="OBM7" s="391"/>
      <c r="OBN7" s="391"/>
      <c r="OBO7" s="391"/>
      <c r="OBP7" s="391"/>
      <c r="OBQ7" s="391"/>
      <c r="OBR7" s="391"/>
      <c r="OBS7" s="391"/>
      <c r="OBT7" s="391"/>
      <c r="OBU7" s="391"/>
      <c r="OBV7" s="391"/>
      <c r="OBW7" s="391"/>
      <c r="OBX7" s="391"/>
      <c r="OBY7" s="391"/>
      <c r="OBZ7" s="391"/>
      <c r="OCA7" s="391"/>
      <c r="OCB7" s="391"/>
      <c r="OCC7" s="391"/>
      <c r="OCD7" s="391"/>
      <c r="OCE7" s="391"/>
      <c r="OCF7" s="391"/>
      <c r="OCG7" s="391"/>
      <c r="OCH7" s="391"/>
      <c r="OCI7" s="391"/>
      <c r="OCJ7" s="391"/>
      <c r="OCK7" s="391"/>
      <c r="OCL7" s="391"/>
      <c r="OCM7" s="391"/>
      <c r="OCN7" s="391"/>
      <c r="OCO7" s="391"/>
      <c r="OCP7" s="391"/>
      <c r="OCQ7" s="391"/>
      <c r="OCR7" s="391"/>
      <c r="OCS7" s="391"/>
      <c r="OCT7" s="391"/>
      <c r="OCU7" s="391"/>
      <c r="OCV7" s="391"/>
      <c r="OCW7" s="391"/>
      <c r="OCX7" s="391"/>
      <c r="OCY7" s="391"/>
      <c r="OCZ7" s="391"/>
      <c r="ODA7" s="391"/>
      <c r="ODB7" s="391"/>
      <c r="ODC7" s="391"/>
      <c r="ODD7" s="391"/>
      <c r="ODE7" s="391"/>
      <c r="ODF7" s="391"/>
      <c r="ODG7" s="391"/>
      <c r="ODH7" s="391"/>
      <c r="ODI7" s="391"/>
      <c r="ODJ7" s="391"/>
      <c r="ODK7" s="391"/>
      <c r="ODL7" s="391"/>
      <c r="ODM7" s="391"/>
      <c r="ODN7" s="391"/>
      <c r="ODO7" s="391"/>
      <c r="ODP7" s="391"/>
      <c r="ODQ7" s="391"/>
      <c r="ODR7" s="391"/>
      <c r="ODS7" s="391"/>
      <c r="ODT7" s="391"/>
      <c r="ODU7" s="391"/>
      <c r="ODV7" s="391"/>
      <c r="ODW7" s="391"/>
      <c r="ODX7" s="391"/>
      <c r="ODY7" s="391"/>
      <c r="ODZ7" s="391"/>
      <c r="OEA7" s="391"/>
      <c r="OEB7" s="391"/>
      <c r="OEC7" s="391"/>
      <c r="OED7" s="391"/>
      <c r="OEE7" s="391"/>
      <c r="OEF7" s="391"/>
      <c r="OEG7" s="391"/>
      <c r="OEH7" s="391"/>
      <c r="OEI7" s="391"/>
      <c r="OEJ7" s="391"/>
      <c r="OEK7" s="391"/>
      <c r="OEL7" s="391"/>
      <c r="OEM7" s="391"/>
      <c r="OEN7" s="391"/>
      <c r="OEO7" s="391"/>
      <c r="OEP7" s="391"/>
      <c r="OEQ7" s="391"/>
      <c r="OER7" s="391"/>
      <c r="OES7" s="391"/>
      <c r="OET7" s="391"/>
      <c r="OEU7" s="391"/>
      <c r="OEV7" s="391"/>
      <c r="OEW7" s="391"/>
      <c r="OEX7" s="391"/>
      <c r="OEY7" s="391"/>
      <c r="OEZ7" s="391"/>
      <c r="OFA7" s="391"/>
      <c r="OFB7" s="391"/>
      <c r="OFC7" s="391"/>
      <c r="OFD7" s="391"/>
      <c r="OFE7" s="391"/>
      <c r="OFF7" s="391"/>
      <c r="OFG7" s="391"/>
      <c r="OFH7" s="391"/>
      <c r="OFI7" s="391"/>
      <c r="OFJ7" s="391"/>
      <c r="OFK7" s="391"/>
      <c r="OFL7" s="391"/>
      <c r="OFM7" s="391"/>
      <c r="OFN7" s="391"/>
      <c r="OFO7" s="391"/>
      <c r="OFP7" s="391"/>
      <c r="OFQ7" s="391"/>
      <c r="OFR7" s="391"/>
      <c r="OFS7" s="391"/>
      <c r="OFT7" s="391"/>
      <c r="OFU7" s="391"/>
      <c r="OFV7" s="391"/>
      <c r="OFW7" s="391"/>
      <c r="OFX7" s="391"/>
      <c r="OFY7" s="391"/>
      <c r="OFZ7" s="391"/>
      <c r="OGA7" s="391"/>
      <c r="OGB7" s="391"/>
      <c r="OGC7" s="391"/>
      <c r="OGD7" s="391"/>
      <c r="OGE7" s="391"/>
      <c r="OGF7" s="391"/>
      <c r="OGG7" s="391"/>
      <c r="OGH7" s="391"/>
      <c r="OGI7" s="391"/>
      <c r="OGJ7" s="391"/>
      <c r="OGK7" s="391"/>
      <c r="OGL7" s="391"/>
      <c r="OGM7" s="391"/>
      <c r="OGN7" s="391"/>
      <c r="OGO7" s="391"/>
      <c r="OGP7" s="391"/>
      <c r="OGQ7" s="391"/>
      <c r="OGR7" s="391"/>
      <c r="OGS7" s="391"/>
      <c r="OGT7" s="391"/>
      <c r="OGU7" s="391"/>
      <c r="OGV7" s="391"/>
      <c r="OGW7" s="391"/>
      <c r="OGX7" s="391"/>
      <c r="OGY7" s="391"/>
      <c r="OGZ7" s="391"/>
      <c r="OHA7" s="391"/>
      <c r="OHB7" s="391"/>
      <c r="OHC7" s="391"/>
      <c r="OHD7" s="391"/>
      <c r="OHE7" s="391"/>
      <c r="OHF7" s="391"/>
      <c r="OHG7" s="391"/>
      <c r="OHH7" s="391"/>
      <c r="OHI7" s="391"/>
      <c r="OHJ7" s="391"/>
      <c r="OHK7" s="391"/>
      <c r="OHL7" s="391"/>
      <c r="OHM7" s="391"/>
      <c r="OHN7" s="391"/>
      <c r="OHO7" s="391"/>
      <c r="OHP7" s="391"/>
      <c r="OHQ7" s="391"/>
      <c r="OHR7" s="391"/>
      <c r="OHS7" s="391"/>
      <c r="OHT7" s="391"/>
      <c r="OHU7" s="391"/>
      <c r="OHV7" s="391"/>
      <c r="OHW7" s="391"/>
      <c r="OHX7" s="391"/>
      <c r="OHY7" s="391"/>
      <c r="OHZ7" s="391"/>
      <c r="OIA7" s="391"/>
      <c r="OIB7" s="391"/>
      <c r="OIC7" s="391"/>
      <c r="OID7" s="391"/>
      <c r="OIE7" s="391"/>
      <c r="OIF7" s="391"/>
      <c r="OIG7" s="391"/>
      <c r="OIH7" s="391"/>
      <c r="OII7" s="391"/>
      <c r="OIJ7" s="391"/>
      <c r="OIK7" s="391"/>
      <c r="OIL7" s="391"/>
      <c r="OIM7" s="391"/>
      <c r="OIN7" s="391"/>
      <c r="OIO7" s="391"/>
      <c r="OIP7" s="391"/>
      <c r="OIQ7" s="391"/>
      <c r="OIR7" s="391"/>
      <c r="OIS7" s="391"/>
      <c r="OIT7" s="391"/>
      <c r="OIU7" s="391"/>
      <c r="OIV7" s="391"/>
      <c r="OIW7" s="391"/>
      <c r="OIX7" s="391"/>
      <c r="OIY7" s="391"/>
      <c r="OIZ7" s="391"/>
      <c r="OJA7" s="391"/>
      <c r="OJB7" s="391"/>
      <c r="OJC7" s="391"/>
      <c r="OJD7" s="391"/>
      <c r="OJE7" s="391"/>
      <c r="OJF7" s="391"/>
      <c r="OJG7" s="391"/>
      <c r="OJH7" s="391"/>
      <c r="OJI7" s="391"/>
      <c r="OJJ7" s="391"/>
      <c r="OJK7" s="391"/>
      <c r="OJL7" s="391"/>
      <c r="OJM7" s="391"/>
      <c r="OJN7" s="391"/>
      <c r="OJO7" s="391"/>
      <c r="OJP7" s="391"/>
      <c r="OJQ7" s="391"/>
      <c r="OJR7" s="391"/>
      <c r="OJS7" s="391"/>
      <c r="OJT7" s="391"/>
      <c r="OJU7" s="391"/>
      <c r="OJV7" s="391"/>
      <c r="OJW7" s="391"/>
      <c r="OJX7" s="391"/>
      <c r="OJY7" s="391"/>
      <c r="OJZ7" s="391"/>
      <c r="OKA7" s="391"/>
      <c r="OKB7" s="391"/>
      <c r="OKC7" s="391"/>
      <c r="OKD7" s="391"/>
      <c r="OKE7" s="391"/>
      <c r="OKF7" s="391"/>
      <c r="OKG7" s="391"/>
      <c r="OKH7" s="391"/>
      <c r="OKI7" s="391"/>
      <c r="OKJ7" s="391"/>
      <c r="OKK7" s="391"/>
      <c r="OKL7" s="391"/>
      <c r="OKM7" s="391"/>
      <c r="OKN7" s="391"/>
      <c r="OKO7" s="391"/>
      <c r="OKP7" s="391"/>
      <c r="OKQ7" s="391"/>
      <c r="OKR7" s="391"/>
      <c r="OKS7" s="391"/>
      <c r="OKT7" s="391"/>
      <c r="OKU7" s="391"/>
      <c r="OKV7" s="391"/>
      <c r="OKW7" s="391"/>
      <c r="OKX7" s="391"/>
      <c r="OKY7" s="391"/>
      <c r="OKZ7" s="391"/>
      <c r="OLA7" s="391"/>
      <c r="OLB7" s="391"/>
      <c r="OLC7" s="391"/>
      <c r="OLD7" s="391"/>
      <c r="OLE7" s="391"/>
      <c r="OLF7" s="391"/>
      <c r="OLG7" s="391"/>
      <c r="OLH7" s="391"/>
      <c r="OLI7" s="391"/>
      <c r="OLJ7" s="391"/>
      <c r="OLK7" s="391"/>
      <c r="OLL7" s="391"/>
      <c r="OLM7" s="391"/>
      <c r="OLN7" s="391"/>
      <c r="OLO7" s="391"/>
      <c r="OLP7" s="391"/>
      <c r="OLQ7" s="391"/>
      <c r="OLR7" s="391"/>
      <c r="OLS7" s="391"/>
      <c r="OLT7" s="391"/>
      <c r="OLU7" s="391"/>
      <c r="OLV7" s="391"/>
      <c r="OLW7" s="391"/>
      <c r="OLX7" s="391"/>
      <c r="OLY7" s="391"/>
      <c r="OLZ7" s="391"/>
      <c r="OMA7" s="391"/>
      <c r="OMB7" s="391"/>
      <c r="OMC7" s="391"/>
      <c r="OMD7" s="391"/>
      <c r="OME7" s="391"/>
      <c r="OMF7" s="391"/>
      <c r="OMG7" s="391"/>
      <c r="OMH7" s="391"/>
      <c r="OMI7" s="391"/>
      <c r="OMJ7" s="391"/>
      <c r="OMK7" s="391"/>
      <c r="OML7" s="391"/>
      <c r="OMM7" s="391"/>
      <c r="OMN7" s="391"/>
      <c r="OMO7" s="391"/>
      <c r="OMP7" s="391"/>
      <c r="OMQ7" s="391"/>
      <c r="OMR7" s="391"/>
      <c r="OMS7" s="391"/>
      <c r="OMT7" s="391"/>
      <c r="OMU7" s="391"/>
      <c r="OMV7" s="391"/>
      <c r="OMW7" s="391"/>
      <c r="OMX7" s="391"/>
      <c r="OMY7" s="391"/>
      <c r="OMZ7" s="391"/>
      <c r="ONA7" s="391"/>
      <c r="ONB7" s="391"/>
      <c r="ONC7" s="391"/>
      <c r="OND7" s="391"/>
      <c r="ONE7" s="391"/>
      <c r="ONF7" s="391"/>
      <c r="ONG7" s="391"/>
      <c r="ONH7" s="391"/>
      <c r="ONI7" s="391"/>
      <c r="ONJ7" s="391"/>
      <c r="ONK7" s="391"/>
      <c r="ONL7" s="391"/>
      <c r="ONM7" s="391"/>
      <c r="ONN7" s="391"/>
      <c r="ONO7" s="391"/>
      <c r="ONP7" s="391"/>
      <c r="ONQ7" s="391"/>
      <c r="ONR7" s="391"/>
      <c r="ONS7" s="391"/>
      <c r="ONT7" s="391"/>
      <c r="ONU7" s="391"/>
      <c r="ONV7" s="391"/>
      <c r="ONW7" s="391"/>
      <c r="ONX7" s="391"/>
      <c r="ONY7" s="391"/>
      <c r="ONZ7" s="391"/>
      <c r="OOA7" s="391"/>
      <c r="OOB7" s="391"/>
      <c r="OOC7" s="391"/>
      <c r="OOD7" s="391"/>
      <c r="OOE7" s="391"/>
      <c r="OOF7" s="391"/>
      <c r="OOG7" s="391"/>
      <c r="OOH7" s="391"/>
      <c r="OOI7" s="391"/>
      <c r="OOJ7" s="391"/>
      <c r="OOK7" s="391"/>
      <c r="OOL7" s="391"/>
      <c r="OOM7" s="391"/>
      <c r="OON7" s="391"/>
      <c r="OOO7" s="391"/>
      <c r="OOP7" s="391"/>
      <c r="OOQ7" s="391"/>
      <c r="OOR7" s="391"/>
      <c r="OOS7" s="391"/>
      <c r="OOT7" s="391"/>
      <c r="OOU7" s="391"/>
      <c r="OOV7" s="391"/>
      <c r="OOW7" s="391"/>
      <c r="OOX7" s="391"/>
      <c r="OOY7" s="391"/>
      <c r="OOZ7" s="391"/>
      <c r="OPA7" s="391"/>
      <c r="OPB7" s="391"/>
      <c r="OPC7" s="391"/>
      <c r="OPD7" s="391"/>
      <c r="OPE7" s="391"/>
      <c r="OPF7" s="391"/>
      <c r="OPG7" s="391"/>
      <c r="OPH7" s="391"/>
      <c r="OPI7" s="391"/>
      <c r="OPJ7" s="391"/>
      <c r="OPK7" s="391"/>
      <c r="OPL7" s="391"/>
      <c r="OPM7" s="391"/>
      <c r="OPN7" s="391"/>
      <c r="OPO7" s="391"/>
      <c r="OPP7" s="391"/>
      <c r="OPQ7" s="391"/>
      <c r="OPR7" s="391"/>
      <c r="OPS7" s="391"/>
      <c r="OPT7" s="391"/>
      <c r="OPU7" s="391"/>
      <c r="OPV7" s="391"/>
      <c r="OPW7" s="391"/>
      <c r="OPX7" s="391"/>
      <c r="OPY7" s="391"/>
      <c r="OPZ7" s="391"/>
      <c r="OQA7" s="391"/>
      <c r="OQB7" s="391"/>
      <c r="OQC7" s="391"/>
      <c r="OQD7" s="391"/>
      <c r="OQE7" s="391"/>
      <c r="OQF7" s="391"/>
      <c r="OQG7" s="391"/>
      <c r="OQH7" s="391"/>
      <c r="OQI7" s="391"/>
      <c r="OQJ7" s="391"/>
      <c r="OQK7" s="391"/>
      <c r="OQL7" s="391"/>
      <c r="OQM7" s="391"/>
      <c r="OQN7" s="391"/>
      <c r="OQO7" s="391"/>
      <c r="OQP7" s="391"/>
      <c r="OQQ7" s="391"/>
      <c r="OQR7" s="391"/>
      <c r="OQS7" s="391"/>
      <c r="OQT7" s="391"/>
      <c r="OQU7" s="391"/>
      <c r="OQV7" s="391"/>
      <c r="OQW7" s="391"/>
      <c r="OQX7" s="391"/>
      <c r="OQY7" s="391"/>
      <c r="OQZ7" s="391"/>
      <c r="ORA7" s="391"/>
      <c r="ORB7" s="391"/>
      <c r="ORC7" s="391"/>
      <c r="ORD7" s="391"/>
      <c r="ORE7" s="391"/>
      <c r="ORF7" s="391"/>
      <c r="ORG7" s="391"/>
      <c r="ORH7" s="391"/>
      <c r="ORI7" s="391"/>
      <c r="ORJ7" s="391"/>
      <c r="ORK7" s="391"/>
      <c r="ORL7" s="391"/>
      <c r="ORM7" s="391"/>
      <c r="ORN7" s="391"/>
      <c r="ORO7" s="391"/>
      <c r="ORP7" s="391"/>
      <c r="ORQ7" s="391"/>
      <c r="ORR7" s="391"/>
      <c r="ORS7" s="391"/>
      <c r="ORT7" s="391"/>
      <c r="ORU7" s="391"/>
      <c r="ORV7" s="391"/>
      <c r="ORW7" s="391"/>
      <c r="ORX7" s="391"/>
      <c r="ORY7" s="391"/>
      <c r="ORZ7" s="391"/>
      <c r="OSA7" s="391"/>
      <c r="OSB7" s="391"/>
      <c r="OSC7" s="391"/>
      <c r="OSD7" s="391"/>
      <c r="OSE7" s="391"/>
      <c r="OSF7" s="391"/>
      <c r="OSG7" s="391"/>
      <c r="OSH7" s="391"/>
      <c r="OSI7" s="391"/>
      <c r="OSJ7" s="391"/>
      <c r="OSK7" s="391"/>
      <c r="OSL7" s="391"/>
      <c r="OSM7" s="391"/>
      <c r="OSN7" s="391"/>
      <c r="OSO7" s="391"/>
      <c r="OSP7" s="391"/>
      <c r="OSQ7" s="391"/>
      <c r="OSR7" s="391"/>
      <c r="OSS7" s="391"/>
      <c r="OST7" s="391"/>
      <c r="OSU7" s="391"/>
      <c r="OSV7" s="391"/>
      <c r="OSW7" s="391"/>
      <c r="OSX7" s="391"/>
      <c r="OSY7" s="391"/>
      <c r="OSZ7" s="391"/>
      <c r="OTA7" s="391"/>
      <c r="OTB7" s="391"/>
      <c r="OTC7" s="391"/>
      <c r="OTD7" s="391"/>
      <c r="OTE7" s="391"/>
      <c r="OTF7" s="391"/>
      <c r="OTG7" s="391"/>
      <c r="OTH7" s="391"/>
      <c r="OTI7" s="391"/>
      <c r="OTJ7" s="391"/>
      <c r="OTK7" s="391"/>
      <c r="OTL7" s="391"/>
      <c r="OTM7" s="391"/>
      <c r="OTN7" s="391"/>
      <c r="OTO7" s="391"/>
      <c r="OTP7" s="391"/>
      <c r="OTQ7" s="391"/>
      <c r="OTR7" s="391"/>
      <c r="OTS7" s="391"/>
      <c r="OTT7" s="391"/>
      <c r="OTU7" s="391"/>
      <c r="OTV7" s="391"/>
      <c r="OTW7" s="391"/>
      <c r="OTX7" s="391"/>
      <c r="OTY7" s="391"/>
      <c r="OTZ7" s="391"/>
      <c r="OUA7" s="391"/>
      <c r="OUB7" s="391"/>
      <c r="OUC7" s="391"/>
      <c r="OUD7" s="391"/>
      <c r="OUE7" s="391"/>
      <c r="OUF7" s="391"/>
      <c r="OUG7" s="391"/>
      <c r="OUH7" s="391"/>
      <c r="OUI7" s="391"/>
      <c r="OUJ7" s="391"/>
      <c r="OUK7" s="391"/>
      <c r="OUL7" s="391"/>
      <c r="OUM7" s="391"/>
      <c r="OUN7" s="391"/>
      <c r="OUO7" s="391"/>
      <c r="OUP7" s="391"/>
      <c r="OUQ7" s="391"/>
      <c r="OUR7" s="391"/>
      <c r="OUS7" s="391"/>
      <c r="OUT7" s="391"/>
      <c r="OUU7" s="391"/>
      <c r="OUV7" s="391"/>
      <c r="OUW7" s="391"/>
      <c r="OUX7" s="391"/>
      <c r="OUY7" s="391"/>
      <c r="OUZ7" s="391"/>
      <c r="OVA7" s="391"/>
      <c r="OVB7" s="391"/>
      <c r="OVC7" s="391"/>
      <c r="OVD7" s="391"/>
      <c r="OVE7" s="391"/>
      <c r="OVF7" s="391"/>
      <c r="OVG7" s="391"/>
      <c r="OVH7" s="391"/>
      <c r="OVI7" s="391"/>
      <c r="OVJ7" s="391"/>
      <c r="OVK7" s="391"/>
      <c r="OVL7" s="391"/>
      <c r="OVM7" s="391"/>
      <c r="OVN7" s="391"/>
      <c r="OVO7" s="391"/>
      <c r="OVP7" s="391"/>
      <c r="OVQ7" s="391"/>
      <c r="OVR7" s="391"/>
      <c r="OVS7" s="391"/>
      <c r="OVT7" s="391"/>
      <c r="OVU7" s="391"/>
      <c r="OVV7" s="391"/>
      <c r="OVW7" s="391"/>
      <c r="OVX7" s="391"/>
      <c r="OVY7" s="391"/>
      <c r="OVZ7" s="391"/>
      <c r="OWA7" s="391"/>
      <c r="OWB7" s="391"/>
      <c r="OWC7" s="391"/>
      <c r="OWD7" s="391"/>
      <c r="OWE7" s="391"/>
      <c r="OWF7" s="391"/>
      <c r="OWG7" s="391"/>
      <c r="OWH7" s="391"/>
      <c r="OWI7" s="391"/>
      <c r="OWJ7" s="391"/>
      <c r="OWK7" s="391"/>
      <c r="OWL7" s="391"/>
      <c r="OWM7" s="391"/>
      <c r="OWN7" s="391"/>
      <c r="OWO7" s="391"/>
      <c r="OWP7" s="391"/>
      <c r="OWQ7" s="391"/>
      <c r="OWR7" s="391"/>
      <c r="OWS7" s="391"/>
      <c r="OWT7" s="391"/>
      <c r="OWU7" s="391"/>
      <c r="OWV7" s="391"/>
      <c r="OWW7" s="391"/>
      <c r="OWX7" s="391"/>
      <c r="OWY7" s="391"/>
      <c r="OWZ7" s="391"/>
      <c r="OXA7" s="391"/>
      <c r="OXB7" s="391"/>
      <c r="OXC7" s="391"/>
      <c r="OXD7" s="391"/>
      <c r="OXE7" s="391"/>
      <c r="OXF7" s="391"/>
      <c r="OXG7" s="391"/>
      <c r="OXH7" s="391"/>
      <c r="OXI7" s="391"/>
      <c r="OXJ7" s="391"/>
      <c r="OXK7" s="391"/>
      <c r="OXL7" s="391"/>
      <c r="OXM7" s="391"/>
      <c r="OXN7" s="391"/>
      <c r="OXO7" s="391"/>
      <c r="OXP7" s="391"/>
      <c r="OXQ7" s="391"/>
      <c r="OXR7" s="391"/>
      <c r="OXS7" s="391"/>
      <c r="OXT7" s="391"/>
      <c r="OXU7" s="391"/>
      <c r="OXV7" s="391"/>
      <c r="OXW7" s="391"/>
      <c r="OXX7" s="391"/>
      <c r="OXY7" s="391"/>
      <c r="OXZ7" s="391"/>
      <c r="OYA7" s="391"/>
      <c r="OYB7" s="391"/>
      <c r="OYC7" s="391"/>
      <c r="OYD7" s="391"/>
      <c r="OYE7" s="391"/>
      <c r="OYF7" s="391"/>
      <c r="OYG7" s="391"/>
      <c r="OYH7" s="391"/>
      <c r="OYI7" s="391"/>
      <c r="OYJ7" s="391"/>
      <c r="OYK7" s="391"/>
      <c r="OYL7" s="391"/>
      <c r="OYM7" s="391"/>
      <c r="OYN7" s="391"/>
      <c r="OYO7" s="391"/>
      <c r="OYP7" s="391"/>
      <c r="OYQ7" s="391"/>
      <c r="OYR7" s="391"/>
      <c r="OYS7" s="391"/>
      <c r="OYT7" s="391"/>
      <c r="OYU7" s="391"/>
      <c r="OYV7" s="391"/>
      <c r="OYW7" s="391"/>
      <c r="OYX7" s="391"/>
      <c r="OYY7" s="391"/>
      <c r="OYZ7" s="391"/>
      <c r="OZA7" s="391"/>
      <c r="OZB7" s="391"/>
      <c r="OZC7" s="391"/>
      <c r="OZD7" s="391"/>
      <c r="OZE7" s="391"/>
      <c r="OZF7" s="391"/>
      <c r="OZG7" s="391"/>
      <c r="OZH7" s="391"/>
      <c r="OZI7" s="391"/>
      <c r="OZJ7" s="391"/>
      <c r="OZK7" s="391"/>
      <c r="OZL7" s="391"/>
      <c r="OZM7" s="391"/>
      <c r="OZN7" s="391"/>
      <c r="OZO7" s="391"/>
      <c r="OZP7" s="391"/>
      <c r="OZQ7" s="391"/>
      <c r="OZR7" s="391"/>
      <c r="OZS7" s="391"/>
      <c r="OZT7" s="391"/>
      <c r="OZU7" s="391"/>
      <c r="OZV7" s="391"/>
      <c r="OZW7" s="391"/>
      <c r="OZX7" s="391"/>
      <c r="OZY7" s="391"/>
      <c r="OZZ7" s="391"/>
      <c r="PAA7" s="391"/>
      <c r="PAB7" s="391"/>
      <c r="PAC7" s="391"/>
      <c r="PAD7" s="391"/>
      <c r="PAE7" s="391"/>
      <c r="PAF7" s="391"/>
      <c r="PAG7" s="391"/>
      <c r="PAH7" s="391"/>
      <c r="PAI7" s="391"/>
      <c r="PAJ7" s="391"/>
      <c r="PAK7" s="391"/>
      <c r="PAL7" s="391"/>
      <c r="PAM7" s="391"/>
      <c r="PAN7" s="391"/>
      <c r="PAO7" s="391"/>
      <c r="PAP7" s="391"/>
      <c r="PAQ7" s="391"/>
      <c r="PAR7" s="391"/>
      <c r="PAS7" s="391"/>
      <c r="PAT7" s="391"/>
      <c r="PAU7" s="391"/>
      <c r="PAV7" s="391"/>
      <c r="PAW7" s="391"/>
      <c r="PAX7" s="391"/>
      <c r="PAY7" s="391"/>
      <c r="PAZ7" s="391"/>
      <c r="PBA7" s="391"/>
      <c r="PBB7" s="391"/>
      <c r="PBC7" s="391"/>
      <c r="PBD7" s="391"/>
      <c r="PBE7" s="391"/>
      <c r="PBF7" s="391"/>
      <c r="PBG7" s="391"/>
      <c r="PBH7" s="391"/>
      <c r="PBI7" s="391"/>
      <c r="PBJ7" s="391"/>
      <c r="PBK7" s="391"/>
      <c r="PBL7" s="391"/>
      <c r="PBM7" s="391"/>
      <c r="PBN7" s="391"/>
      <c r="PBO7" s="391"/>
      <c r="PBP7" s="391"/>
      <c r="PBQ7" s="391"/>
      <c r="PBR7" s="391"/>
      <c r="PBS7" s="391"/>
      <c r="PBT7" s="391"/>
      <c r="PBU7" s="391"/>
      <c r="PBV7" s="391"/>
      <c r="PBW7" s="391"/>
      <c r="PBX7" s="391"/>
      <c r="PBY7" s="391"/>
      <c r="PBZ7" s="391"/>
      <c r="PCA7" s="391"/>
      <c r="PCB7" s="391"/>
      <c r="PCC7" s="391"/>
      <c r="PCD7" s="391"/>
      <c r="PCE7" s="391"/>
      <c r="PCF7" s="391"/>
      <c r="PCG7" s="391"/>
      <c r="PCH7" s="391"/>
      <c r="PCI7" s="391"/>
      <c r="PCJ7" s="391"/>
      <c r="PCK7" s="391"/>
      <c r="PCL7" s="391"/>
      <c r="PCM7" s="391"/>
      <c r="PCN7" s="391"/>
      <c r="PCO7" s="391"/>
      <c r="PCP7" s="391"/>
      <c r="PCQ7" s="391"/>
      <c r="PCR7" s="391"/>
      <c r="PCS7" s="391"/>
      <c r="PCT7" s="391"/>
      <c r="PCU7" s="391"/>
      <c r="PCV7" s="391"/>
      <c r="PCW7" s="391"/>
      <c r="PCX7" s="391"/>
      <c r="PCY7" s="391"/>
      <c r="PCZ7" s="391"/>
      <c r="PDA7" s="391"/>
      <c r="PDB7" s="391"/>
      <c r="PDC7" s="391"/>
      <c r="PDD7" s="391"/>
      <c r="PDE7" s="391"/>
      <c r="PDF7" s="391"/>
      <c r="PDG7" s="391"/>
      <c r="PDH7" s="391"/>
      <c r="PDI7" s="391"/>
      <c r="PDJ7" s="391"/>
      <c r="PDK7" s="391"/>
      <c r="PDL7" s="391"/>
      <c r="PDM7" s="391"/>
      <c r="PDN7" s="391"/>
      <c r="PDO7" s="391"/>
      <c r="PDP7" s="391"/>
      <c r="PDQ7" s="391"/>
      <c r="PDR7" s="391"/>
      <c r="PDS7" s="391"/>
      <c r="PDT7" s="391"/>
      <c r="PDU7" s="391"/>
      <c r="PDV7" s="391"/>
      <c r="PDW7" s="391"/>
      <c r="PDX7" s="391"/>
      <c r="PDY7" s="391"/>
      <c r="PDZ7" s="391"/>
      <c r="PEA7" s="391"/>
      <c r="PEB7" s="391"/>
      <c r="PEC7" s="391"/>
      <c r="PED7" s="391"/>
      <c r="PEE7" s="391"/>
      <c r="PEF7" s="391"/>
      <c r="PEG7" s="391"/>
      <c r="PEH7" s="391"/>
      <c r="PEI7" s="391"/>
      <c r="PEJ7" s="391"/>
      <c r="PEK7" s="391"/>
      <c r="PEL7" s="391"/>
      <c r="PEM7" s="391"/>
      <c r="PEN7" s="391"/>
      <c r="PEO7" s="391"/>
      <c r="PEP7" s="391"/>
      <c r="PEQ7" s="391"/>
      <c r="PER7" s="391"/>
      <c r="PES7" s="391"/>
      <c r="PET7" s="391"/>
      <c r="PEU7" s="391"/>
      <c r="PEV7" s="391"/>
      <c r="PEW7" s="391"/>
      <c r="PEX7" s="391"/>
      <c r="PEY7" s="391"/>
      <c r="PEZ7" s="391"/>
      <c r="PFA7" s="391"/>
      <c r="PFB7" s="391"/>
      <c r="PFC7" s="391"/>
      <c r="PFD7" s="391"/>
      <c r="PFE7" s="391"/>
      <c r="PFF7" s="391"/>
      <c r="PFG7" s="391"/>
      <c r="PFH7" s="391"/>
      <c r="PFI7" s="391"/>
      <c r="PFJ7" s="391"/>
      <c r="PFK7" s="391"/>
      <c r="PFL7" s="391"/>
      <c r="PFM7" s="391"/>
      <c r="PFN7" s="391"/>
      <c r="PFO7" s="391"/>
      <c r="PFP7" s="391"/>
      <c r="PFQ7" s="391"/>
      <c r="PFR7" s="391"/>
      <c r="PFS7" s="391"/>
      <c r="PFT7" s="391"/>
      <c r="PFU7" s="391"/>
      <c r="PFV7" s="391"/>
      <c r="PFW7" s="391"/>
      <c r="PFX7" s="391"/>
      <c r="PFY7" s="391"/>
      <c r="PFZ7" s="391"/>
      <c r="PGA7" s="391"/>
      <c r="PGB7" s="391"/>
      <c r="PGC7" s="391"/>
      <c r="PGD7" s="391"/>
      <c r="PGE7" s="391"/>
      <c r="PGF7" s="391"/>
      <c r="PGG7" s="391"/>
      <c r="PGH7" s="391"/>
      <c r="PGI7" s="391"/>
      <c r="PGJ7" s="391"/>
      <c r="PGK7" s="391"/>
      <c r="PGL7" s="391"/>
      <c r="PGM7" s="391"/>
      <c r="PGN7" s="391"/>
      <c r="PGO7" s="391"/>
      <c r="PGP7" s="391"/>
      <c r="PGQ7" s="391"/>
      <c r="PGR7" s="391"/>
      <c r="PGS7" s="391"/>
      <c r="PGT7" s="391"/>
      <c r="PGU7" s="391"/>
      <c r="PGV7" s="391"/>
      <c r="PGW7" s="391"/>
      <c r="PGX7" s="391"/>
      <c r="PGY7" s="391"/>
      <c r="PGZ7" s="391"/>
      <c r="PHA7" s="391"/>
      <c r="PHB7" s="391"/>
      <c r="PHC7" s="391"/>
      <c r="PHD7" s="391"/>
      <c r="PHE7" s="391"/>
      <c r="PHF7" s="391"/>
      <c r="PHG7" s="391"/>
      <c r="PHH7" s="391"/>
      <c r="PHI7" s="391"/>
      <c r="PHJ7" s="391"/>
      <c r="PHK7" s="391"/>
      <c r="PHL7" s="391"/>
      <c r="PHM7" s="391"/>
      <c r="PHN7" s="391"/>
      <c r="PHO7" s="391"/>
      <c r="PHP7" s="391"/>
      <c r="PHQ7" s="391"/>
      <c r="PHR7" s="391"/>
      <c r="PHS7" s="391"/>
      <c r="PHT7" s="391"/>
      <c r="PHU7" s="391"/>
      <c r="PHV7" s="391"/>
      <c r="PHW7" s="391"/>
      <c r="PHX7" s="391"/>
      <c r="PHY7" s="391"/>
      <c r="PHZ7" s="391"/>
      <c r="PIA7" s="391"/>
      <c r="PIB7" s="391"/>
      <c r="PIC7" s="391"/>
      <c r="PID7" s="391"/>
      <c r="PIE7" s="391"/>
      <c r="PIF7" s="391"/>
      <c r="PIG7" s="391"/>
      <c r="PIH7" s="391"/>
      <c r="PII7" s="391"/>
      <c r="PIJ7" s="391"/>
      <c r="PIK7" s="391"/>
      <c r="PIL7" s="391"/>
      <c r="PIM7" s="391"/>
      <c r="PIN7" s="391"/>
      <c r="PIO7" s="391"/>
      <c r="PIP7" s="391"/>
      <c r="PIQ7" s="391"/>
      <c r="PIR7" s="391"/>
      <c r="PIS7" s="391"/>
      <c r="PIT7" s="391"/>
      <c r="PIU7" s="391"/>
      <c r="PIV7" s="391"/>
      <c r="PIW7" s="391"/>
      <c r="PIX7" s="391"/>
      <c r="PIY7" s="391"/>
      <c r="PIZ7" s="391"/>
      <c r="PJA7" s="391"/>
      <c r="PJB7" s="391"/>
      <c r="PJC7" s="391"/>
      <c r="PJD7" s="391"/>
      <c r="PJE7" s="391"/>
      <c r="PJF7" s="391"/>
      <c r="PJG7" s="391"/>
      <c r="PJH7" s="391"/>
      <c r="PJI7" s="391"/>
      <c r="PJJ7" s="391"/>
      <c r="PJK7" s="391"/>
      <c r="PJL7" s="391"/>
      <c r="PJM7" s="391"/>
      <c r="PJN7" s="391"/>
      <c r="PJO7" s="391"/>
      <c r="PJP7" s="391"/>
      <c r="PJQ7" s="391"/>
      <c r="PJR7" s="391"/>
      <c r="PJS7" s="391"/>
      <c r="PJT7" s="391"/>
      <c r="PJU7" s="391"/>
      <c r="PJV7" s="391"/>
      <c r="PJW7" s="391"/>
      <c r="PJX7" s="391"/>
      <c r="PJY7" s="391"/>
      <c r="PJZ7" s="391"/>
      <c r="PKA7" s="391"/>
      <c r="PKB7" s="391"/>
      <c r="PKC7" s="391"/>
      <c r="PKD7" s="391"/>
      <c r="PKE7" s="391"/>
      <c r="PKF7" s="391"/>
      <c r="PKG7" s="391"/>
      <c r="PKH7" s="391"/>
      <c r="PKI7" s="391"/>
      <c r="PKJ7" s="391"/>
      <c r="PKK7" s="391"/>
      <c r="PKL7" s="391"/>
      <c r="PKM7" s="391"/>
      <c r="PKN7" s="391"/>
      <c r="PKO7" s="391"/>
      <c r="PKP7" s="391"/>
      <c r="PKQ7" s="391"/>
      <c r="PKR7" s="391"/>
      <c r="PKS7" s="391"/>
      <c r="PKT7" s="391"/>
      <c r="PKU7" s="391"/>
      <c r="PKV7" s="391"/>
      <c r="PKW7" s="391"/>
      <c r="PKX7" s="391"/>
      <c r="PKY7" s="391"/>
      <c r="PKZ7" s="391"/>
      <c r="PLA7" s="391"/>
      <c r="PLB7" s="391"/>
      <c r="PLC7" s="391"/>
      <c r="PLD7" s="391"/>
      <c r="PLE7" s="391"/>
      <c r="PLF7" s="391"/>
      <c r="PLG7" s="391"/>
      <c r="PLH7" s="391"/>
      <c r="PLI7" s="391"/>
      <c r="PLJ7" s="391"/>
      <c r="PLK7" s="391"/>
      <c r="PLL7" s="391"/>
      <c r="PLM7" s="391"/>
      <c r="PLN7" s="391"/>
      <c r="PLO7" s="391"/>
      <c r="PLP7" s="391"/>
      <c r="PLQ7" s="391"/>
      <c r="PLR7" s="391"/>
      <c r="PLS7" s="391"/>
      <c r="PLT7" s="391"/>
      <c r="PLU7" s="391"/>
      <c r="PLV7" s="391"/>
      <c r="PLW7" s="391"/>
      <c r="PLX7" s="391"/>
      <c r="PLY7" s="391"/>
      <c r="PLZ7" s="391"/>
      <c r="PMA7" s="391"/>
      <c r="PMB7" s="391"/>
      <c r="PMC7" s="391"/>
      <c r="PMD7" s="391"/>
      <c r="PME7" s="391"/>
      <c r="PMF7" s="391"/>
      <c r="PMG7" s="391"/>
      <c r="PMH7" s="391"/>
      <c r="PMI7" s="391"/>
      <c r="PMJ7" s="391"/>
      <c r="PMK7" s="391"/>
      <c r="PML7" s="391"/>
      <c r="PMM7" s="391"/>
      <c r="PMN7" s="391"/>
      <c r="PMO7" s="391"/>
      <c r="PMP7" s="391"/>
      <c r="PMQ7" s="391"/>
      <c r="PMR7" s="391"/>
      <c r="PMS7" s="391"/>
      <c r="PMT7" s="391"/>
      <c r="PMU7" s="391"/>
      <c r="PMV7" s="391"/>
      <c r="PMW7" s="391"/>
      <c r="PMX7" s="391"/>
      <c r="PMY7" s="391"/>
      <c r="PMZ7" s="391"/>
      <c r="PNA7" s="391"/>
      <c r="PNB7" s="391"/>
      <c r="PNC7" s="391"/>
      <c r="PND7" s="391"/>
      <c r="PNE7" s="391"/>
      <c r="PNF7" s="391"/>
      <c r="PNG7" s="391"/>
      <c r="PNH7" s="391"/>
      <c r="PNI7" s="391"/>
      <c r="PNJ7" s="391"/>
      <c r="PNK7" s="391"/>
      <c r="PNL7" s="391"/>
      <c r="PNM7" s="391"/>
      <c r="PNN7" s="391"/>
      <c r="PNO7" s="391"/>
      <c r="PNP7" s="391"/>
      <c r="PNQ7" s="391"/>
      <c r="PNR7" s="391"/>
      <c r="PNS7" s="391"/>
      <c r="PNT7" s="391"/>
      <c r="PNU7" s="391"/>
      <c r="PNV7" s="391"/>
      <c r="PNW7" s="391"/>
      <c r="PNX7" s="391"/>
      <c r="PNY7" s="391"/>
      <c r="PNZ7" s="391"/>
      <c r="POA7" s="391"/>
      <c r="POB7" s="391"/>
      <c r="POC7" s="391"/>
      <c r="POD7" s="391"/>
      <c r="POE7" s="391"/>
      <c r="POF7" s="391"/>
      <c r="POG7" s="391"/>
      <c r="POH7" s="391"/>
      <c r="POI7" s="391"/>
      <c r="POJ7" s="391"/>
      <c r="POK7" s="391"/>
      <c r="POL7" s="391"/>
      <c r="POM7" s="391"/>
      <c r="PON7" s="391"/>
      <c r="POO7" s="391"/>
      <c r="POP7" s="391"/>
      <c r="POQ7" s="391"/>
      <c r="POR7" s="391"/>
      <c r="POS7" s="391"/>
      <c r="POT7" s="391"/>
      <c r="POU7" s="391"/>
      <c r="POV7" s="391"/>
      <c r="POW7" s="391"/>
      <c r="POX7" s="391"/>
      <c r="POY7" s="391"/>
      <c r="POZ7" s="391"/>
      <c r="PPA7" s="391"/>
      <c r="PPB7" s="391"/>
      <c r="PPC7" s="391"/>
      <c r="PPD7" s="391"/>
      <c r="PPE7" s="391"/>
      <c r="PPF7" s="391"/>
      <c r="PPG7" s="391"/>
      <c r="PPH7" s="391"/>
      <c r="PPI7" s="391"/>
      <c r="PPJ7" s="391"/>
      <c r="PPK7" s="391"/>
      <c r="PPL7" s="391"/>
      <c r="PPM7" s="391"/>
      <c r="PPN7" s="391"/>
      <c r="PPO7" s="391"/>
      <c r="PPP7" s="391"/>
      <c r="PPQ7" s="391"/>
      <c r="PPR7" s="391"/>
      <c r="PPS7" s="391"/>
      <c r="PPT7" s="391"/>
      <c r="PPU7" s="391"/>
      <c r="PPV7" s="391"/>
      <c r="PPW7" s="391"/>
      <c r="PPX7" s="391"/>
      <c r="PPY7" s="391"/>
      <c r="PPZ7" s="391"/>
      <c r="PQA7" s="391"/>
      <c r="PQB7" s="391"/>
      <c r="PQC7" s="391"/>
      <c r="PQD7" s="391"/>
      <c r="PQE7" s="391"/>
      <c r="PQF7" s="391"/>
      <c r="PQG7" s="391"/>
      <c r="PQH7" s="391"/>
      <c r="PQI7" s="391"/>
      <c r="PQJ7" s="391"/>
      <c r="PQK7" s="391"/>
      <c r="PQL7" s="391"/>
      <c r="PQM7" s="391"/>
      <c r="PQN7" s="391"/>
      <c r="PQO7" s="391"/>
      <c r="PQP7" s="391"/>
      <c r="PQQ7" s="391"/>
      <c r="PQR7" s="391"/>
      <c r="PQS7" s="391"/>
      <c r="PQT7" s="391"/>
      <c r="PQU7" s="391"/>
      <c r="PQV7" s="391"/>
      <c r="PQW7" s="391"/>
      <c r="PQX7" s="391"/>
      <c r="PQY7" s="391"/>
      <c r="PQZ7" s="391"/>
      <c r="PRA7" s="391"/>
      <c r="PRB7" s="391"/>
      <c r="PRC7" s="391"/>
      <c r="PRD7" s="391"/>
      <c r="PRE7" s="391"/>
      <c r="PRF7" s="391"/>
      <c r="PRG7" s="391"/>
      <c r="PRH7" s="391"/>
      <c r="PRI7" s="391"/>
      <c r="PRJ7" s="391"/>
      <c r="PRK7" s="391"/>
      <c r="PRL7" s="391"/>
      <c r="PRM7" s="391"/>
      <c r="PRN7" s="391"/>
      <c r="PRO7" s="391"/>
      <c r="PRP7" s="391"/>
      <c r="PRQ7" s="391"/>
      <c r="PRR7" s="391"/>
      <c r="PRS7" s="391"/>
      <c r="PRT7" s="391"/>
      <c r="PRU7" s="391"/>
      <c r="PRV7" s="391"/>
      <c r="PRW7" s="391"/>
      <c r="PRX7" s="391"/>
      <c r="PRY7" s="391"/>
      <c r="PRZ7" s="391"/>
      <c r="PSA7" s="391"/>
      <c r="PSB7" s="391"/>
      <c r="PSC7" s="391"/>
      <c r="PSD7" s="391"/>
      <c r="PSE7" s="391"/>
      <c r="PSF7" s="391"/>
      <c r="PSG7" s="391"/>
      <c r="PSH7" s="391"/>
      <c r="PSI7" s="391"/>
      <c r="PSJ7" s="391"/>
      <c r="PSK7" s="391"/>
      <c r="PSL7" s="391"/>
      <c r="PSM7" s="391"/>
      <c r="PSN7" s="391"/>
      <c r="PSO7" s="391"/>
      <c r="PSP7" s="391"/>
      <c r="PSQ7" s="391"/>
      <c r="PSR7" s="391"/>
      <c r="PSS7" s="391"/>
      <c r="PST7" s="391"/>
      <c r="PSU7" s="391"/>
      <c r="PSV7" s="391"/>
      <c r="PSW7" s="391"/>
      <c r="PSX7" s="391"/>
      <c r="PSY7" s="391"/>
      <c r="PSZ7" s="391"/>
      <c r="PTA7" s="391"/>
      <c r="PTB7" s="391"/>
      <c r="PTC7" s="391"/>
      <c r="PTD7" s="391"/>
      <c r="PTE7" s="391"/>
      <c r="PTF7" s="391"/>
      <c r="PTG7" s="391"/>
      <c r="PTH7" s="391"/>
      <c r="PTI7" s="391"/>
      <c r="PTJ7" s="391"/>
      <c r="PTK7" s="391"/>
      <c r="PTL7" s="391"/>
      <c r="PTM7" s="391"/>
      <c r="PTN7" s="391"/>
      <c r="PTO7" s="391"/>
      <c r="PTP7" s="391"/>
      <c r="PTQ7" s="391"/>
      <c r="PTR7" s="391"/>
      <c r="PTS7" s="391"/>
      <c r="PTT7" s="391"/>
      <c r="PTU7" s="391"/>
      <c r="PTV7" s="391"/>
      <c r="PTW7" s="391"/>
      <c r="PTX7" s="391"/>
      <c r="PTY7" s="391"/>
      <c r="PTZ7" s="391"/>
      <c r="PUA7" s="391"/>
      <c r="PUB7" s="391"/>
      <c r="PUC7" s="391"/>
      <c r="PUD7" s="391"/>
      <c r="PUE7" s="391"/>
      <c r="PUF7" s="391"/>
      <c r="PUG7" s="391"/>
      <c r="PUH7" s="391"/>
      <c r="PUI7" s="391"/>
      <c r="PUJ7" s="391"/>
      <c r="PUK7" s="391"/>
      <c r="PUL7" s="391"/>
      <c r="PUM7" s="391"/>
      <c r="PUN7" s="391"/>
      <c r="PUO7" s="391"/>
      <c r="PUP7" s="391"/>
      <c r="PUQ7" s="391"/>
      <c r="PUR7" s="391"/>
      <c r="PUS7" s="391"/>
      <c r="PUT7" s="391"/>
      <c r="PUU7" s="391"/>
      <c r="PUV7" s="391"/>
      <c r="PUW7" s="391"/>
      <c r="PUX7" s="391"/>
      <c r="PUY7" s="391"/>
      <c r="PUZ7" s="391"/>
      <c r="PVA7" s="391"/>
      <c r="PVB7" s="391"/>
      <c r="PVC7" s="391"/>
      <c r="PVD7" s="391"/>
      <c r="PVE7" s="391"/>
      <c r="PVF7" s="391"/>
      <c r="PVG7" s="391"/>
      <c r="PVH7" s="391"/>
      <c r="PVI7" s="391"/>
      <c r="PVJ7" s="391"/>
      <c r="PVK7" s="391"/>
      <c r="PVL7" s="391"/>
      <c r="PVM7" s="391"/>
      <c r="PVN7" s="391"/>
      <c r="PVO7" s="391"/>
      <c r="PVP7" s="391"/>
      <c r="PVQ7" s="391"/>
      <c r="PVR7" s="391"/>
      <c r="PVS7" s="391"/>
      <c r="PVT7" s="391"/>
      <c r="PVU7" s="391"/>
      <c r="PVV7" s="391"/>
      <c r="PVW7" s="391"/>
      <c r="PVX7" s="391"/>
      <c r="PVY7" s="391"/>
      <c r="PVZ7" s="391"/>
      <c r="PWA7" s="391"/>
      <c r="PWB7" s="391"/>
      <c r="PWC7" s="391"/>
      <c r="PWD7" s="391"/>
      <c r="PWE7" s="391"/>
      <c r="PWF7" s="391"/>
      <c r="PWG7" s="391"/>
      <c r="PWH7" s="391"/>
      <c r="PWI7" s="391"/>
      <c r="PWJ7" s="391"/>
      <c r="PWK7" s="391"/>
      <c r="PWL7" s="391"/>
      <c r="PWM7" s="391"/>
      <c r="PWN7" s="391"/>
      <c r="PWO7" s="391"/>
      <c r="PWP7" s="391"/>
      <c r="PWQ7" s="391"/>
      <c r="PWR7" s="391"/>
      <c r="PWS7" s="391"/>
      <c r="PWT7" s="391"/>
      <c r="PWU7" s="391"/>
      <c r="PWV7" s="391"/>
      <c r="PWW7" s="391"/>
      <c r="PWX7" s="391"/>
      <c r="PWY7" s="391"/>
      <c r="PWZ7" s="391"/>
      <c r="PXA7" s="391"/>
      <c r="PXB7" s="391"/>
      <c r="PXC7" s="391"/>
      <c r="PXD7" s="391"/>
      <c r="PXE7" s="391"/>
      <c r="PXF7" s="391"/>
      <c r="PXG7" s="391"/>
      <c r="PXH7" s="391"/>
      <c r="PXI7" s="391"/>
      <c r="PXJ7" s="391"/>
      <c r="PXK7" s="391"/>
      <c r="PXL7" s="391"/>
      <c r="PXM7" s="391"/>
      <c r="PXN7" s="391"/>
      <c r="PXO7" s="391"/>
      <c r="PXP7" s="391"/>
      <c r="PXQ7" s="391"/>
      <c r="PXR7" s="391"/>
      <c r="PXS7" s="391"/>
      <c r="PXT7" s="391"/>
      <c r="PXU7" s="391"/>
      <c r="PXV7" s="391"/>
      <c r="PXW7" s="391"/>
      <c r="PXX7" s="391"/>
      <c r="PXY7" s="391"/>
      <c r="PXZ7" s="391"/>
      <c r="PYA7" s="391"/>
      <c r="PYB7" s="391"/>
      <c r="PYC7" s="391"/>
      <c r="PYD7" s="391"/>
      <c r="PYE7" s="391"/>
      <c r="PYF7" s="391"/>
      <c r="PYG7" s="391"/>
      <c r="PYH7" s="391"/>
      <c r="PYI7" s="391"/>
      <c r="PYJ7" s="391"/>
      <c r="PYK7" s="391"/>
      <c r="PYL7" s="391"/>
      <c r="PYM7" s="391"/>
      <c r="PYN7" s="391"/>
      <c r="PYO7" s="391"/>
      <c r="PYP7" s="391"/>
      <c r="PYQ7" s="391"/>
      <c r="PYR7" s="391"/>
      <c r="PYS7" s="391"/>
      <c r="PYT7" s="391"/>
      <c r="PYU7" s="391"/>
      <c r="PYV7" s="391"/>
      <c r="PYW7" s="391"/>
      <c r="PYX7" s="391"/>
      <c r="PYY7" s="391"/>
      <c r="PYZ7" s="391"/>
      <c r="PZA7" s="391"/>
      <c r="PZB7" s="391"/>
      <c r="PZC7" s="391"/>
      <c r="PZD7" s="391"/>
      <c r="PZE7" s="391"/>
      <c r="PZF7" s="391"/>
      <c r="PZG7" s="391"/>
      <c r="PZH7" s="391"/>
      <c r="PZI7" s="391"/>
      <c r="PZJ7" s="391"/>
      <c r="PZK7" s="391"/>
      <c r="PZL7" s="391"/>
      <c r="PZM7" s="391"/>
      <c r="PZN7" s="391"/>
      <c r="PZO7" s="391"/>
      <c r="PZP7" s="391"/>
      <c r="PZQ7" s="391"/>
      <c r="PZR7" s="391"/>
      <c r="PZS7" s="391"/>
      <c r="PZT7" s="391"/>
      <c r="PZU7" s="391"/>
      <c r="PZV7" s="391"/>
      <c r="PZW7" s="391"/>
      <c r="PZX7" s="391"/>
      <c r="PZY7" s="391"/>
      <c r="PZZ7" s="391"/>
      <c r="QAA7" s="391"/>
      <c r="QAB7" s="391"/>
      <c r="QAC7" s="391"/>
      <c r="QAD7" s="391"/>
      <c r="QAE7" s="391"/>
      <c r="QAF7" s="391"/>
      <c r="QAG7" s="391"/>
      <c r="QAH7" s="391"/>
      <c r="QAI7" s="391"/>
      <c r="QAJ7" s="391"/>
      <c r="QAK7" s="391"/>
      <c r="QAL7" s="391"/>
      <c r="QAM7" s="391"/>
      <c r="QAN7" s="391"/>
      <c r="QAO7" s="391"/>
      <c r="QAP7" s="391"/>
      <c r="QAQ7" s="391"/>
      <c r="QAR7" s="391"/>
      <c r="QAS7" s="391"/>
      <c r="QAT7" s="391"/>
      <c r="QAU7" s="391"/>
      <c r="QAV7" s="391"/>
      <c r="QAW7" s="391"/>
      <c r="QAX7" s="391"/>
      <c r="QAY7" s="391"/>
      <c r="QAZ7" s="391"/>
      <c r="QBA7" s="391"/>
      <c r="QBB7" s="391"/>
      <c r="QBC7" s="391"/>
      <c r="QBD7" s="391"/>
      <c r="QBE7" s="391"/>
      <c r="QBF7" s="391"/>
      <c r="QBG7" s="391"/>
      <c r="QBH7" s="391"/>
      <c r="QBI7" s="391"/>
      <c r="QBJ7" s="391"/>
      <c r="QBK7" s="391"/>
      <c r="QBL7" s="391"/>
      <c r="QBM7" s="391"/>
      <c r="QBN7" s="391"/>
      <c r="QBO7" s="391"/>
      <c r="QBP7" s="391"/>
      <c r="QBQ7" s="391"/>
      <c r="QBR7" s="391"/>
      <c r="QBS7" s="391"/>
      <c r="QBT7" s="391"/>
      <c r="QBU7" s="391"/>
      <c r="QBV7" s="391"/>
      <c r="QBW7" s="391"/>
      <c r="QBX7" s="391"/>
      <c r="QBY7" s="391"/>
      <c r="QBZ7" s="391"/>
      <c r="QCA7" s="391"/>
      <c r="QCB7" s="391"/>
      <c r="QCC7" s="391"/>
      <c r="QCD7" s="391"/>
      <c r="QCE7" s="391"/>
      <c r="QCF7" s="391"/>
      <c r="QCG7" s="391"/>
      <c r="QCH7" s="391"/>
      <c r="QCI7" s="391"/>
      <c r="QCJ7" s="391"/>
      <c r="QCK7" s="391"/>
      <c r="QCL7" s="391"/>
      <c r="QCM7" s="391"/>
      <c r="QCN7" s="391"/>
      <c r="QCO7" s="391"/>
      <c r="QCP7" s="391"/>
      <c r="QCQ7" s="391"/>
      <c r="QCR7" s="391"/>
      <c r="QCS7" s="391"/>
      <c r="QCT7" s="391"/>
      <c r="QCU7" s="391"/>
      <c r="QCV7" s="391"/>
      <c r="QCW7" s="391"/>
      <c r="QCX7" s="391"/>
      <c r="QCY7" s="391"/>
      <c r="QCZ7" s="391"/>
      <c r="QDA7" s="391"/>
      <c r="QDB7" s="391"/>
      <c r="QDC7" s="391"/>
      <c r="QDD7" s="391"/>
      <c r="QDE7" s="391"/>
      <c r="QDF7" s="391"/>
      <c r="QDG7" s="391"/>
      <c r="QDH7" s="391"/>
      <c r="QDI7" s="391"/>
      <c r="QDJ7" s="391"/>
      <c r="QDK7" s="391"/>
      <c r="QDL7" s="391"/>
      <c r="QDM7" s="391"/>
      <c r="QDN7" s="391"/>
      <c r="QDO7" s="391"/>
      <c r="QDP7" s="391"/>
      <c r="QDQ7" s="391"/>
      <c r="QDR7" s="391"/>
      <c r="QDS7" s="391"/>
      <c r="QDT7" s="391"/>
      <c r="QDU7" s="391"/>
      <c r="QDV7" s="391"/>
      <c r="QDW7" s="391"/>
      <c r="QDX7" s="391"/>
      <c r="QDY7" s="391"/>
      <c r="QDZ7" s="391"/>
      <c r="QEA7" s="391"/>
      <c r="QEB7" s="391"/>
      <c r="QEC7" s="391"/>
      <c r="QED7" s="391"/>
      <c r="QEE7" s="391"/>
      <c r="QEF7" s="391"/>
      <c r="QEG7" s="391"/>
      <c r="QEH7" s="391"/>
      <c r="QEI7" s="391"/>
      <c r="QEJ7" s="391"/>
      <c r="QEK7" s="391"/>
      <c r="QEL7" s="391"/>
      <c r="QEM7" s="391"/>
      <c r="QEN7" s="391"/>
      <c r="QEO7" s="391"/>
      <c r="QEP7" s="391"/>
      <c r="QEQ7" s="391"/>
      <c r="QER7" s="391"/>
      <c r="QES7" s="391"/>
      <c r="QET7" s="391"/>
      <c r="QEU7" s="391"/>
      <c r="QEV7" s="391"/>
      <c r="QEW7" s="391"/>
      <c r="QEX7" s="391"/>
      <c r="QEY7" s="391"/>
      <c r="QEZ7" s="391"/>
      <c r="QFA7" s="391"/>
      <c r="QFB7" s="391"/>
      <c r="QFC7" s="391"/>
      <c r="QFD7" s="391"/>
      <c r="QFE7" s="391"/>
      <c r="QFF7" s="391"/>
      <c r="QFG7" s="391"/>
      <c r="QFH7" s="391"/>
      <c r="QFI7" s="391"/>
      <c r="QFJ7" s="391"/>
      <c r="QFK7" s="391"/>
      <c r="QFL7" s="391"/>
      <c r="QFM7" s="391"/>
      <c r="QFN7" s="391"/>
      <c r="QFO7" s="391"/>
      <c r="QFP7" s="391"/>
      <c r="QFQ7" s="391"/>
      <c r="QFR7" s="391"/>
      <c r="QFS7" s="391"/>
      <c r="QFT7" s="391"/>
      <c r="QFU7" s="391"/>
      <c r="QFV7" s="391"/>
      <c r="QFW7" s="391"/>
      <c r="QFX7" s="391"/>
      <c r="QFY7" s="391"/>
      <c r="QFZ7" s="391"/>
      <c r="QGA7" s="391"/>
      <c r="QGB7" s="391"/>
      <c r="QGC7" s="391"/>
      <c r="QGD7" s="391"/>
      <c r="QGE7" s="391"/>
      <c r="QGF7" s="391"/>
      <c r="QGG7" s="391"/>
      <c r="QGH7" s="391"/>
      <c r="QGI7" s="391"/>
      <c r="QGJ7" s="391"/>
      <c r="QGK7" s="391"/>
      <c r="QGL7" s="391"/>
      <c r="QGM7" s="391"/>
      <c r="QGN7" s="391"/>
      <c r="QGO7" s="391"/>
      <c r="QGP7" s="391"/>
      <c r="QGQ7" s="391"/>
      <c r="QGR7" s="391"/>
      <c r="QGS7" s="391"/>
      <c r="QGT7" s="391"/>
      <c r="QGU7" s="391"/>
      <c r="QGV7" s="391"/>
      <c r="QGW7" s="391"/>
      <c r="QGX7" s="391"/>
      <c r="QGY7" s="391"/>
      <c r="QGZ7" s="391"/>
      <c r="QHA7" s="391"/>
      <c r="QHB7" s="391"/>
      <c r="QHC7" s="391"/>
      <c r="QHD7" s="391"/>
      <c r="QHE7" s="391"/>
      <c r="QHF7" s="391"/>
      <c r="QHG7" s="391"/>
      <c r="QHH7" s="391"/>
      <c r="QHI7" s="391"/>
      <c r="QHJ7" s="391"/>
      <c r="QHK7" s="391"/>
      <c r="QHL7" s="391"/>
      <c r="QHM7" s="391"/>
      <c r="QHN7" s="391"/>
      <c r="QHO7" s="391"/>
      <c r="QHP7" s="391"/>
      <c r="QHQ7" s="391"/>
      <c r="QHR7" s="391"/>
      <c r="QHS7" s="391"/>
      <c r="QHT7" s="391"/>
      <c r="QHU7" s="391"/>
      <c r="QHV7" s="391"/>
      <c r="QHW7" s="391"/>
      <c r="QHX7" s="391"/>
      <c r="QHY7" s="391"/>
      <c r="QHZ7" s="391"/>
      <c r="QIA7" s="391"/>
      <c r="QIB7" s="391"/>
      <c r="QIC7" s="391"/>
      <c r="QID7" s="391"/>
      <c r="QIE7" s="391"/>
      <c r="QIF7" s="391"/>
      <c r="QIG7" s="391"/>
      <c r="QIH7" s="391"/>
      <c r="QII7" s="391"/>
      <c r="QIJ7" s="391"/>
      <c r="QIK7" s="391"/>
      <c r="QIL7" s="391"/>
      <c r="QIM7" s="391"/>
      <c r="QIN7" s="391"/>
      <c r="QIO7" s="391"/>
      <c r="QIP7" s="391"/>
      <c r="QIQ7" s="391"/>
      <c r="QIR7" s="391"/>
      <c r="QIS7" s="391"/>
      <c r="QIT7" s="391"/>
      <c r="QIU7" s="391"/>
      <c r="QIV7" s="391"/>
      <c r="QIW7" s="391"/>
      <c r="QIX7" s="391"/>
      <c r="QIY7" s="391"/>
      <c r="QIZ7" s="391"/>
      <c r="QJA7" s="391"/>
      <c r="QJB7" s="391"/>
      <c r="QJC7" s="391"/>
      <c r="QJD7" s="391"/>
      <c r="QJE7" s="391"/>
      <c r="QJF7" s="391"/>
      <c r="QJG7" s="391"/>
      <c r="QJH7" s="391"/>
      <c r="QJI7" s="391"/>
      <c r="QJJ7" s="391"/>
      <c r="QJK7" s="391"/>
      <c r="QJL7" s="391"/>
      <c r="QJM7" s="391"/>
      <c r="QJN7" s="391"/>
      <c r="QJO7" s="391"/>
      <c r="QJP7" s="391"/>
      <c r="QJQ7" s="391"/>
      <c r="QJR7" s="391"/>
      <c r="QJS7" s="391"/>
      <c r="QJT7" s="391"/>
      <c r="QJU7" s="391"/>
      <c r="QJV7" s="391"/>
      <c r="QJW7" s="391"/>
      <c r="QJX7" s="391"/>
      <c r="QJY7" s="391"/>
      <c r="QJZ7" s="391"/>
      <c r="QKA7" s="391"/>
      <c r="QKB7" s="391"/>
      <c r="QKC7" s="391"/>
      <c r="QKD7" s="391"/>
      <c r="QKE7" s="391"/>
      <c r="QKF7" s="391"/>
      <c r="QKG7" s="391"/>
      <c r="QKH7" s="391"/>
      <c r="QKI7" s="391"/>
      <c r="QKJ7" s="391"/>
      <c r="QKK7" s="391"/>
      <c r="QKL7" s="391"/>
      <c r="QKM7" s="391"/>
      <c r="QKN7" s="391"/>
      <c r="QKO7" s="391"/>
      <c r="QKP7" s="391"/>
      <c r="QKQ7" s="391"/>
      <c r="QKR7" s="391"/>
      <c r="QKS7" s="391"/>
      <c r="QKT7" s="391"/>
      <c r="QKU7" s="391"/>
      <c r="QKV7" s="391"/>
      <c r="QKW7" s="391"/>
      <c r="QKX7" s="391"/>
      <c r="QKY7" s="391"/>
      <c r="QKZ7" s="391"/>
      <c r="QLA7" s="391"/>
      <c r="QLB7" s="391"/>
      <c r="QLC7" s="391"/>
      <c r="QLD7" s="391"/>
      <c r="QLE7" s="391"/>
      <c r="QLF7" s="391"/>
      <c r="QLG7" s="391"/>
      <c r="QLH7" s="391"/>
      <c r="QLI7" s="391"/>
      <c r="QLJ7" s="391"/>
      <c r="QLK7" s="391"/>
      <c r="QLL7" s="391"/>
      <c r="QLM7" s="391"/>
      <c r="QLN7" s="391"/>
      <c r="QLO7" s="391"/>
      <c r="QLP7" s="391"/>
      <c r="QLQ7" s="391"/>
      <c r="QLR7" s="391"/>
      <c r="QLS7" s="391"/>
      <c r="QLT7" s="391"/>
      <c r="QLU7" s="391"/>
      <c r="QLV7" s="391"/>
      <c r="QLW7" s="391"/>
      <c r="QLX7" s="391"/>
      <c r="QLY7" s="391"/>
      <c r="QLZ7" s="391"/>
      <c r="QMA7" s="391"/>
      <c r="QMB7" s="391"/>
      <c r="QMC7" s="391"/>
      <c r="QMD7" s="391"/>
      <c r="QME7" s="391"/>
      <c r="QMF7" s="391"/>
      <c r="QMG7" s="391"/>
      <c r="QMH7" s="391"/>
      <c r="QMI7" s="391"/>
      <c r="QMJ7" s="391"/>
      <c r="QMK7" s="391"/>
      <c r="QML7" s="391"/>
      <c r="QMM7" s="391"/>
      <c r="QMN7" s="391"/>
      <c r="QMO7" s="391"/>
      <c r="QMP7" s="391"/>
      <c r="QMQ7" s="391"/>
      <c r="QMR7" s="391"/>
      <c r="QMS7" s="391"/>
      <c r="QMT7" s="391"/>
      <c r="QMU7" s="391"/>
      <c r="QMV7" s="391"/>
      <c r="QMW7" s="391"/>
      <c r="QMX7" s="391"/>
      <c r="QMY7" s="391"/>
      <c r="QMZ7" s="391"/>
      <c r="QNA7" s="391"/>
      <c r="QNB7" s="391"/>
      <c r="QNC7" s="391"/>
      <c r="QND7" s="391"/>
      <c r="QNE7" s="391"/>
      <c r="QNF7" s="391"/>
      <c r="QNG7" s="391"/>
      <c r="QNH7" s="391"/>
      <c r="QNI7" s="391"/>
      <c r="QNJ7" s="391"/>
      <c r="QNK7" s="391"/>
      <c r="QNL7" s="391"/>
      <c r="QNM7" s="391"/>
      <c r="QNN7" s="391"/>
      <c r="QNO7" s="391"/>
      <c r="QNP7" s="391"/>
      <c r="QNQ7" s="391"/>
      <c r="QNR7" s="391"/>
      <c r="QNS7" s="391"/>
      <c r="QNT7" s="391"/>
      <c r="QNU7" s="391"/>
      <c r="QNV7" s="391"/>
      <c r="QNW7" s="391"/>
      <c r="QNX7" s="391"/>
      <c r="QNY7" s="391"/>
      <c r="QNZ7" s="391"/>
      <c r="QOA7" s="391"/>
      <c r="QOB7" s="391"/>
      <c r="QOC7" s="391"/>
      <c r="QOD7" s="391"/>
      <c r="QOE7" s="391"/>
      <c r="QOF7" s="391"/>
      <c r="QOG7" s="391"/>
      <c r="QOH7" s="391"/>
      <c r="QOI7" s="391"/>
      <c r="QOJ7" s="391"/>
      <c r="QOK7" s="391"/>
      <c r="QOL7" s="391"/>
      <c r="QOM7" s="391"/>
      <c r="QON7" s="391"/>
      <c r="QOO7" s="391"/>
      <c r="QOP7" s="391"/>
      <c r="QOQ7" s="391"/>
      <c r="QOR7" s="391"/>
      <c r="QOS7" s="391"/>
      <c r="QOT7" s="391"/>
      <c r="QOU7" s="391"/>
      <c r="QOV7" s="391"/>
      <c r="QOW7" s="391"/>
      <c r="QOX7" s="391"/>
      <c r="QOY7" s="391"/>
      <c r="QOZ7" s="391"/>
      <c r="QPA7" s="391"/>
      <c r="QPB7" s="391"/>
      <c r="QPC7" s="391"/>
      <c r="QPD7" s="391"/>
      <c r="QPE7" s="391"/>
      <c r="QPF7" s="391"/>
      <c r="QPG7" s="391"/>
      <c r="QPH7" s="391"/>
      <c r="QPI7" s="391"/>
      <c r="QPJ7" s="391"/>
      <c r="QPK7" s="391"/>
      <c r="QPL7" s="391"/>
      <c r="QPM7" s="391"/>
      <c r="QPN7" s="391"/>
      <c r="QPO7" s="391"/>
      <c r="QPP7" s="391"/>
      <c r="QPQ7" s="391"/>
      <c r="QPR7" s="391"/>
      <c r="QPS7" s="391"/>
      <c r="QPT7" s="391"/>
      <c r="QPU7" s="391"/>
      <c r="QPV7" s="391"/>
      <c r="QPW7" s="391"/>
      <c r="QPX7" s="391"/>
      <c r="QPY7" s="391"/>
      <c r="QPZ7" s="391"/>
      <c r="QQA7" s="391"/>
      <c r="QQB7" s="391"/>
      <c r="QQC7" s="391"/>
      <c r="QQD7" s="391"/>
      <c r="QQE7" s="391"/>
      <c r="QQF7" s="391"/>
      <c r="QQG7" s="391"/>
      <c r="QQH7" s="391"/>
      <c r="QQI7" s="391"/>
      <c r="QQJ7" s="391"/>
      <c r="QQK7" s="391"/>
      <c r="QQL7" s="391"/>
      <c r="QQM7" s="391"/>
      <c r="QQN7" s="391"/>
      <c r="QQO7" s="391"/>
      <c r="QQP7" s="391"/>
      <c r="QQQ7" s="391"/>
      <c r="QQR7" s="391"/>
      <c r="QQS7" s="391"/>
      <c r="QQT7" s="391"/>
      <c r="QQU7" s="391"/>
      <c r="QQV7" s="391"/>
      <c r="QQW7" s="391"/>
      <c r="QQX7" s="391"/>
      <c r="QQY7" s="391"/>
      <c r="QQZ7" s="391"/>
      <c r="QRA7" s="391"/>
      <c r="QRB7" s="391"/>
      <c r="QRC7" s="391"/>
      <c r="QRD7" s="391"/>
      <c r="QRE7" s="391"/>
      <c r="QRF7" s="391"/>
      <c r="QRG7" s="391"/>
      <c r="QRH7" s="391"/>
      <c r="QRI7" s="391"/>
      <c r="QRJ7" s="391"/>
      <c r="QRK7" s="391"/>
      <c r="QRL7" s="391"/>
      <c r="QRM7" s="391"/>
      <c r="QRN7" s="391"/>
      <c r="QRO7" s="391"/>
      <c r="QRP7" s="391"/>
      <c r="QRQ7" s="391"/>
      <c r="QRR7" s="391"/>
      <c r="QRS7" s="391"/>
      <c r="QRT7" s="391"/>
      <c r="QRU7" s="391"/>
      <c r="QRV7" s="391"/>
      <c r="QRW7" s="391"/>
      <c r="QRX7" s="391"/>
      <c r="QRY7" s="391"/>
      <c r="QRZ7" s="391"/>
      <c r="QSA7" s="391"/>
      <c r="QSB7" s="391"/>
      <c r="QSC7" s="391"/>
      <c r="QSD7" s="391"/>
      <c r="QSE7" s="391"/>
      <c r="QSF7" s="391"/>
      <c r="QSG7" s="391"/>
      <c r="QSH7" s="391"/>
      <c r="QSI7" s="391"/>
      <c r="QSJ7" s="391"/>
      <c r="QSK7" s="391"/>
      <c r="QSL7" s="391"/>
      <c r="QSM7" s="391"/>
      <c r="QSN7" s="391"/>
      <c r="QSO7" s="391"/>
      <c r="QSP7" s="391"/>
      <c r="QSQ7" s="391"/>
      <c r="QSR7" s="391"/>
      <c r="QSS7" s="391"/>
      <c r="QST7" s="391"/>
      <c r="QSU7" s="391"/>
      <c r="QSV7" s="391"/>
      <c r="QSW7" s="391"/>
      <c r="QSX7" s="391"/>
      <c r="QSY7" s="391"/>
      <c r="QSZ7" s="391"/>
      <c r="QTA7" s="391"/>
      <c r="QTB7" s="391"/>
      <c r="QTC7" s="391"/>
      <c r="QTD7" s="391"/>
      <c r="QTE7" s="391"/>
      <c r="QTF7" s="391"/>
      <c r="QTG7" s="391"/>
      <c r="QTH7" s="391"/>
      <c r="QTI7" s="391"/>
      <c r="QTJ7" s="391"/>
      <c r="QTK7" s="391"/>
      <c r="QTL7" s="391"/>
      <c r="QTM7" s="391"/>
      <c r="QTN7" s="391"/>
      <c r="QTO7" s="391"/>
      <c r="QTP7" s="391"/>
      <c r="QTQ7" s="391"/>
      <c r="QTR7" s="391"/>
      <c r="QTS7" s="391"/>
      <c r="QTT7" s="391"/>
      <c r="QTU7" s="391"/>
      <c r="QTV7" s="391"/>
      <c r="QTW7" s="391"/>
      <c r="QTX7" s="391"/>
      <c r="QTY7" s="391"/>
      <c r="QTZ7" s="391"/>
      <c r="QUA7" s="391"/>
      <c r="QUB7" s="391"/>
      <c r="QUC7" s="391"/>
      <c r="QUD7" s="391"/>
      <c r="QUE7" s="391"/>
      <c r="QUF7" s="391"/>
      <c r="QUG7" s="391"/>
      <c r="QUH7" s="391"/>
      <c r="QUI7" s="391"/>
      <c r="QUJ7" s="391"/>
      <c r="QUK7" s="391"/>
      <c r="QUL7" s="391"/>
      <c r="QUM7" s="391"/>
      <c r="QUN7" s="391"/>
      <c r="QUO7" s="391"/>
      <c r="QUP7" s="391"/>
      <c r="QUQ7" s="391"/>
      <c r="QUR7" s="391"/>
      <c r="QUS7" s="391"/>
      <c r="QUT7" s="391"/>
      <c r="QUU7" s="391"/>
      <c r="QUV7" s="391"/>
      <c r="QUW7" s="391"/>
      <c r="QUX7" s="391"/>
      <c r="QUY7" s="391"/>
      <c r="QUZ7" s="391"/>
      <c r="QVA7" s="391"/>
      <c r="QVB7" s="391"/>
      <c r="QVC7" s="391"/>
      <c r="QVD7" s="391"/>
      <c r="QVE7" s="391"/>
      <c r="QVF7" s="391"/>
      <c r="QVG7" s="391"/>
      <c r="QVH7" s="391"/>
      <c r="QVI7" s="391"/>
      <c r="QVJ7" s="391"/>
      <c r="QVK7" s="391"/>
      <c r="QVL7" s="391"/>
      <c r="QVM7" s="391"/>
      <c r="QVN7" s="391"/>
      <c r="QVO7" s="391"/>
      <c r="QVP7" s="391"/>
      <c r="QVQ7" s="391"/>
      <c r="QVR7" s="391"/>
      <c r="QVS7" s="391"/>
      <c r="QVT7" s="391"/>
      <c r="QVU7" s="391"/>
      <c r="QVV7" s="391"/>
      <c r="QVW7" s="391"/>
      <c r="QVX7" s="391"/>
      <c r="QVY7" s="391"/>
      <c r="QVZ7" s="391"/>
      <c r="QWA7" s="391"/>
      <c r="QWB7" s="391"/>
      <c r="QWC7" s="391"/>
      <c r="QWD7" s="391"/>
      <c r="QWE7" s="391"/>
      <c r="QWF7" s="391"/>
      <c r="QWG7" s="391"/>
      <c r="QWH7" s="391"/>
      <c r="QWI7" s="391"/>
      <c r="QWJ7" s="391"/>
      <c r="QWK7" s="391"/>
      <c r="QWL7" s="391"/>
      <c r="QWM7" s="391"/>
      <c r="QWN7" s="391"/>
      <c r="QWO7" s="391"/>
      <c r="QWP7" s="391"/>
      <c r="QWQ7" s="391"/>
      <c r="QWR7" s="391"/>
      <c r="QWS7" s="391"/>
      <c r="QWT7" s="391"/>
      <c r="QWU7" s="391"/>
      <c r="QWV7" s="391"/>
      <c r="QWW7" s="391"/>
      <c r="QWX7" s="391"/>
      <c r="QWY7" s="391"/>
      <c r="QWZ7" s="391"/>
      <c r="QXA7" s="391"/>
      <c r="QXB7" s="391"/>
      <c r="QXC7" s="391"/>
      <c r="QXD7" s="391"/>
      <c r="QXE7" s="391"/>
      <c r="QXF7" s="391"/>
      <c r="QXG7" s="391"/>
      <c r="QXH7" s="391"/>
      <c r="QXI7" s="391"/>
      <c r="QXJ7" s="391"/>
      <c r="QXK7" s="391"/>
      <c r="QXL7" s="391"/>
      <c r="QXM7" s="391"/>
      <c r="QXN7" s="391"/>
      <c r="QXO7" s="391"/>
      <c r="QXP7" s="391"/>
      <c r="QXQ7" s="391"/>
      <c r="QXR7" s="391"/>
      <c r="QXS7" s="391"/>
      <c r="QXT7" s="391"/>
      <c r="QXU7" s="391"/>
      <c r="QXV7" s="391"/>
      <c r="QXW7" s="391"/>
      <c r="QXX7" s="391"/>
      <c r="QXY7" s="391"/>
      <c r="QXZ7" s="391"/>
      <c r="QYA7" s="391"/>
      <c r="QYB7" s="391"/>
      <c r="QYC7" s="391"/>
      <c r="QYD7" s="391"/>
      <c r="QYE7" s="391"/>
      <c r="QYF7" s="391"/>
      <c r="QYG7" s="391"/>
      <c r="QYH7" s="391"/>
      <c r="QYI7" s="391"/>
      <c r="QYJ7" s="391"/>
      <c r="QYK7" s="391"/>
      <c r="QYL7" s="391"/>
      <c r="QYM7" s="391"/>
      <c r="QYN7" s="391"/>
      <c r="QYO7" s="391"/>
      <c r="QYP7" s="391"/>
      <c r="QYQ7" s="391"/>
      <c r="QYR7" s="391"/>
      <c r="QYS7" s="391"/>
      <c r="QYT7" s="391"/>
      <c r="QYU7" s="391"/>
      <c r="QYV7" s="391"/>
      <c r="QYW7" s="391"/>
      <c r="QYX7" s="391"/>
      <c r="QYY7" s="391"/>
      <c r="QYZ7" s="391"/>
      <c r="QZA7" s="391"/>
      <c r="QZB7" s="391"/>
      <c r="QZC7" s="391"/>
      <c r="QZD7" s="391"/>
      <c r="QZE7" s="391"/>
      <c r="QZF7" s="391"/>
      <c r="QZG7" s="391"/>
      <c r="QZH7" s="391"/>
      <c r="QZI7" s="391"/>
      <c r="QZJ7" s="391"/>
      <c r="QZK7" s="391"/>
      <c r="QZL7" s="391"/>
      <c r="QZM7" s="391"/>
      <c r="QZN7" s="391"/>
      <c r="QZO7" s="391"/>
      <c r="QZP7" s="391"/>
      <c r="QZQ7" s="391"/>
      <c r="QZR7" s="391"/>
      <c r="QZS7" s="391"/>
      <c r="QZT7" s="391"/>
      <c r="QZU7" s="391"/>
      <c r="QZV7" s="391"/>
      <c r="QZW7" s="391"/>
      <c r="QZX7" s="391"/>
      <c r="QZY7" s="391"/>
      <c r="QZZ7" s="391"/>
      <c r="RAA7" s="391"/>
      <c r="RAB7" s="391"/>
      <c r="RAC7" s="391"/>
      <c r="RAD7" s="391"/>
      <c r="RAE7" s="391"/>
      <c r="RAF7" s="391"/>
      <c r="RAG7" s="391"/>
      <c r="RAH7" s="391"/>
      <c r="RAI7" s="391"/>
      <c r="RAJ7" s="391"/>
      <c r="RAK7" s="391"/>
      <c r="RAL7" s="391"/>
      <c r="RAM7" s="391"/>
      <c r="RAN7" s="391"/>
      <c r="RAO7" s="391"/>
      <c r="RAP7" s="391"/>
      <c r="RAQ7" s="391"/>
      <c r="RAR7" s="391"/>
      <c r="RAS7" s="391"/>
      <c r="RAT7" s="391"/>
      <c r="RAU7" s="391"/>
      <c r="RAV7" s="391"/>
      <c r="RAW7" s="391"/>
      <c r="RAX7" s="391"/>
      <c r="RAY7" s="391"/>
      <c r="RAZ7" s="391"/>
      <c r="RBA7" s="391"/>
      <c r="RBB7" s="391"/>
      <c r="RBC7" s="391"/>
      <c r="RBD7" s="391"/>
      <c r="RBE7" s="391"/>
      <c r="RBF7" s="391"/>
      <c r="RBG7" s="391"/>
      <c r="RBH7" s="391"/>
      <c r="RBI7" s="391"/>
      <c r="RBJ7" s="391"/>
      <c r="RBK7" s="391"/>
      <c r="RBL7" s="391"/>
      <c r="RBM7" s="391"/>
      <c r="RBN7" s="391"/>
      <c r="RBO7" s="391"/>
      <c r="RBP7" s="391"/>
      <c r="RBQ7" s="391"/>
      <c r="RBR7" s="391"/>
      <c r="RBS7" s="391"/>
      <c r="RBT7" s="391"/>
      <c r="RBU7" s="391"/>
      <c r="RBV7" s="391"/>
      <c r="RBW7" s="391"/>
      <c r="RBX7" s="391"/>
      <c r="RBY7" s="391"/>
      <c r="RBZ7" s="391"/>
      <c r="RCA7" s="391"/>
      <c r="RCB7" s="391"/>
      <c r="RCC7" s="391"/>
      <c r="RCD7" s="391"/>
      <c r="RCE7" s="391"/>
      <c r="RCF7" s="391"/>
      <c r="RCG7" s="391"/>
      <c r="RCH7" s="391"/>
      <c r="RCI7" s="391"/>
      <c r="RCJ7" s="391"/>
      <c r="RCK7" s="391"/>
      <c r="RCL7" s="391"/>
      <c r="RCM7" s="391"/>
      <c r="RCN7" s="391"/>
      <c r="RCO7" s="391"/>
      <c r="RCP7" s="391"/>
      <c r="RCQ7" s="391"/>
      <c r="RCR7" s="391"/>
      <c r="RCS7" s="391"/>
      <c r="RCT7" s="391"/>
      <c r="RCU7" s="391"/>
      <c r="RCV7" s="391"/>
      <c r="RCW7" s="391"/>
      <c r="RCX7" s="391"/>
      <c r="RCY7" s="391"/>
      <c r="RCZ7" s="391"/>
      <c r="RDA7" s="391"/>
      <c r="RDB7" s="391"/>
      <c r="RDC7" s="391"/>
      <c r="RDD7" s="391"/>
      <c r="RDE7" s="391"/>
      <c r="RDF7" s="391"/>
      <c r="RDG7" s="391"/>
      <c r="RDH7" s="391"/>
      <c r="RDI7" s="391"/>
      <c r="RDJ7" s="391"/>
      <c r="RDK7" s="391"/>
      <c r="RDL7" s="391"/>
      <c r="RDM7" s="391"/>
      <c r="RDN7" s="391"/>
      <c r="RDO7" s="391"/>
      <c r="RDP7" s="391"/>
      <c r="RDQ7" s="391"/>
      <c r="RDR7" s="391"/>
      <c r="RDS7" s="391"/>
      <c r="RDT7" s="391"/>
      <c r="RDU7" s="391"/>
      <c r="RDV7" s="391"/>
      <c r="RDW7" s="391"/>
      <c r="RDX7" s="391"/>
      <c r="RDY7" s="391"/>
      <c r="RDZ7" s="391"/>
      <c r="REA7" s="391"/>
      <c r="REB7" s="391"/>
      <c r="REC7" s="391"/>
      <c r="RED7" s="391"/>
      <c r="REE7" s="391"/>
      <c r="REF7" s="391"/>
      <c r="REG7" s="391"/>
      <c r="REH7" s="391"/>
      <c r="REI7" s="391"/>
      <c r="REJ7" s="391"/>
      <c r="REK7" s="391"/>
      <c r="REL7" s="391"/>
      <c r="REM7" s="391"/>
      <c r="REN7" s="391"/>
      <c r="REO7" s="391"/>
      <c r="REP7" s="391"/>
      <c r="REQ7" s="391"/>
      <c r="RER7" s="391"/>
      <c r="RES7" s="391"/>
      <c r="RET7" s="391"/>
      <c r="REU7" s="391"/>
      <c r="REV7" s="391"/>
      <c r="REW7" s="391"/>
      <c r="REX7" s="391"/>
      <c r="REY7" s="391"/>
      <c r="REZ7" s="391"/>
      <c r="RFA7" s="391"/>
      <c r="RFB7" s="391"/>
      <c r="RFC7" s="391"/>
      <c r="RFD7" s="391"/>
      <c r="RFE7" s="391"/>
      <c r="RFF7" s="391"/>
      <c r="RFG7" s="391"/>
      <c r="RFH7" s="391"/>
      <c r="RFI7" s="391"/>
      <c r="RFJ7" s="391"/>
      <c r="RFK7" s="391"/>
      <c r="RFL7" s="391"/>
      <c r="RFM7" s="391"/>
      <c r="RFN7" s="391"/>
      <c r="RFO7" s="391"/>
      <c r="RFP7" s="391"/>
      <c r="RFQ7" s="391"/>
      <c r="RFR7" s="391"/>
      <c r="RFS7" s="391"/>
      <c r="RFT7" s="391"/>
      <c r="RFU7" s="391"/>
      <c r="RFV7" s="391"/>
      <c r="RFW7" s="391"/>
      <c r="RFX7" s="391"/>
      <c r="RFY7" s="391"/>
      <c r="RFZ7" s="391"/>
      <c r="RGA7" s="391"/>
      <c r="RGB7" s="391"/>
      <c r="RGC7" s="391"/>
      <c r="RGD7" s="391"/>
      <c r="RGE7" s="391"/>
      <c r="RGF7" s="391"/>
      <c r="RGG7" s="391"/>
      <c r="RGH7" s="391"/>
      <c r="RGI7" s="391"/>
      <c r="RGJ7" s="391"/>
      <c r="RGK7" s="391"/>
      <c r="RGL7" s="391"/>
      <c r="RGM7" s="391"/>
      <c r="RGN7" s="391"/>
      <c r="RGO7" s="391"/>
      <c r="RGP7" s="391"/>
      <c r="RGQ7" s="391"/>
      <c r="RGR7" s="391"/>
      <c r="RGS7" s="391"/>
      <c r="RGT7" s="391"/>
      <c r="RGU7" s="391"/>
      <c r="RGV7" s="391"/>
      <c r="RGW7" s="391"/>
      <c r="RGX7" s="391"/>
      <c r="RGY7" s="391"/>
      <c r="RGZ7" s="391"/>
      <c r="RHA7" s="391"/>
      <c r="RHB7" s="391"/>
      <c r="RHC7" s="391"/>
      <c r="RHD7" s="391"/>
      <c r="RHE7" s="391"/>
      <c r="RHF7" s="391"/>
      <c r="RHG7" s="391"/>
      <c r="RHH7" s="391"/>
      <c r="RHI7" s="391"/>
      <c r="RHJ7" s="391"/>
      <c r="RHK7" s="391"/>
      <c r="RHL7" s="391"/>
      <c r="RHM7" s="391"/>
      <c r="RHN7" s="391"/>
      <c r="RHO7" s="391"/>
      <c r="RHP7" s="391"/>
      <c r="RHQ7" s="391"/>
      <c r="RHR7" s="391"/>
      <c r="RHS7" s="391"/>
      <c r="RHT7" s="391"/>
      <c r="RHU7" s="391"/>
      <c r="RHV7" s="391"/>
      <c r="RHW7" s="391"/>
      <c r="RHX7" s="391"/>
      <c r="RHY7" s="391"/>
      <c r="RHZ7" s="391"/>
      <c r="RIA7" s="391"/>
      <c r="RIB7" s="391"/>
      <c r="RIC7" s="391"/>
      <c r="RID7" s="391"/>
      <c r="RIE7" s="391"/>
      <c r="RIF7" s="391"/>
      <c r="RIG7" s="391"/>
      <c r="RIH7" s="391"/>
      <c r="RII7" s="391"/>
      <c r="RIJ7" s="391"/>
      <c r="RIK7" s="391"/>
      <c r="RIL7" s="391"/>
      <c r="RIM7" s="391"/>
      <c r="RIN7" s="391"/>
      <c r="RIO7" s="391"/>
      <c r="RIP7" s="391"/>
      <c r="RIQ7" s="391"/>
      <c r="RIR7" s="391"/>
      <c r="RIS7" s="391"/>
      <c r="RIT7" s="391"/>
      <c r="RIU7" s="391"/>
      <c r="RIV7" s="391"/>
      <c r="RIW7" s="391"/>
      <c r="RIX7" s="391"/>
      <c r="RIY7" s="391"/>
      <c r="RIZ7" s="391"/>
      <c r="RJA7" s="391"/>
      <c r="RJB7" s="391"/>
      <c r="RJC7" s="391"/>
      <c r="RJD7" s="391"/>
      <c r="RJE7" s="391"/>
      <c r="RJF7" s="391"/>
      <c r="RJG7" s="391"/>
      <c r="RJH7" s="391"/>
      <c r="RJI7" s="391"/>
      <c r="RJJ7" s="391"/>
      <c r="RJK7" s="391"/>
      <c r="RJL7" s="391"/>
      <c r="RJM7" s="391"/>
      <c r="RJN7" s="391"/>
      <c r="RJO7" s="391"/>
      <c r="RJP7" s="391"/>
      <c r="RJQ7" s="391"/>
      <c r="RJR7" s="391"/>
      <c r="RJS7" s="391"/>
      <c r="RJT7" s="391"/>
      <c r="RJU7" s="391"/>
      <c r="RJV7" s="391"/>
      <c r="RJW7" s="391"/>
      <c r="RJX7" s="391"/>
      <c r="RJY7" s="391"/>
      <c r="RJZ7" s="391"/>
      <c r="RKA7" s="391"/>
      <c r="RKB7" s="391"/>
      <c r="RKC7" s="391"/>
      <c r="RKD7" s="391"/>
      <c r="RKE7" s="391"/>
      <c r="RKF7" s="391"/>
      <c r="RKG7" s="391"/>
      <c r="RKH7" s="391"/>
      <c r="RKI7" s="391"/>
      <c r="RKJ7" s="391"/>
      <c r="RKK7" s="391"/>
      <c r="RKL7" s="391"/>
      <c r="RKM7" s="391"/>
      <c r="RKN7" s="391"/>
      <c r="RKO7" s="391"/>
      <c r="RKP7" s="391"/>
      <c r="RKQ7" s="391"/>
      <c r="RKR7" s="391"/>
      <c r="RKS7" s="391"/>
      <c r="RKT7" s="391"/>
      <c r="RKU7" s="391"/>
      <c r="RKV7" s="391"/>
      <c r="RKW7" s="391"/>
      <c r="RKX7" s="391"/>
      <c r="RKY7" s="391"/>
      <c r="RKZ7" s="391"/>
      <c r="RLA7" s="391"/>
      <c r="RLB7" s="391"/>
      <c r="RLC7" s="391"/>
      <c r="RLD7" s="391"/>
      <c r="RLE7" s="391"/>
      <c r="RLF7" s="391"/>
      <c r="RLG7" s="391"/>
      <c r="RLH7" s="391"/>
      <c r="RLI7" s="391"/>
      <c r="RLJ7" s="391"/>
      <c r="RLK7" s="391"/>
      <c r="RLL7" s="391"/>
      <c r="RLM7" s="391"/>
      <c r="RLN7" s="391"/>
      <c r="RLO7" s="391"/>
      <c r="RLP7" s="391"/>
      <c r="RLQ7" s="391"/>
      <c r="RLR7" s="391"/>
      <c r="RLS7" s="391"/>
      <c r="RLT7" s="391"/>
      <c r="RLU7" s="391"/>
      <c r="RLV7" s="391"/>
      <c r="RLW7" s="391"/>
      <c r="RLX7" s="391"/>
      <c r="RLY7" s="391"/>
      <c r="RLZ7" s="391"/>
      <c r="RMA7" s="391"/>
      <c r="RMB7" s="391"/>
      <c r="RMC7" s="391"/>
      <c r="RMD7" s="391"/>
      <c r="RME7" s="391"/>
      <c r="RMF7" s="391"/>
      <c r="RMG7" s="391"/>
      <c r="RMH7" s="391"/>
      <c r="RMI7" s="391"/>
      <c r="RMJ7" s="391"/>
      <c r="RMK7" s="391"/>
      <c r="RML7" s="391"/>
      <c r="RMM7" s="391"/>
      <c r="RMN7" s="391"/>
      <c r="RMO7" s="391"/>
      <c r="RMP7" s="391"/>
      <c r="RMQ7" s="391"/>
      <c r="RMR7" s="391"/>
      <c r="RMS7" s="391"/>
      <c r="RMT7" s="391"/>
      <c r="RMU7" s="391"/>
      <c r="RMV7" s="391"/>
      <c r="RMW7" s="391"/>
      <c r="RMX7" s="391"/>
      <c r="RMY7" s="391"/>
      <c r="RMZ7" s="391"/>
      <c r="RNA7" s="391"/>
      <c r="RNB7" s="391"/>
      <c r="RNC7" s="391"/>
      <c r="RND7" s="391"/>
      <c r="RNE7" s="391"/>
      <c r="RNF7" s="391"/>
      <c r="RNG7" s="391"/>
      <c r="RNH7" s="391"/>
      <c r="RNI7" s="391"/>
      <c r="RNJ7" s="391"/>
      <c r="RNK7" s="391"/>
      <c r="RNL7" s="391"/>
      <c r="RNM7" s="391"/>
      <c r="RNN7" s="391"/>
      <c r="RNO7" s="391"/>
      <c r="RNP7" s="391"/>
      <c r="RNQ7" s="391"/>
      <c r="RNR7" s="391"/>
      <c r="RNS7" s="391"/>
      <c r="RNT7" s="391"/>
      <c r="RNU7" s="391"/>
      <c r="RNV7" s="391"/>
      <c r="RNW7" s="391"/>
      <c r="RNX7" s="391"/>
      <c r="RNY7" s="391"/>
      <c r="RNZ7" s="391"/>
      <c r="ROA7" s="391"/>
      <c r="ROB7" s="391"/>
      <c r="ROC7" s="391"/>
      <c r="ROD7" s="391"/>
      <c r="ROE7" s="391"/>
      <c r="ROF7" s="391"/>
      <c r="ROG7" s="391"/>
      <c r="ROH7" s="391"/>
      <c r="ROI7" s="391"/>
      <c r="ROJ7" s="391"/>
      <c r="ROK7" s="391"/>
      <c r="ROL7" s="391"/>
      <c r="ROM7" s="391"/>
      <c r="RON7" s="391"/>
      <c r="ROO7" s="391"/>
      <c r="ROP7" s="391"/>
      <c r="ROQ7" s="391"/>
      <c r="ROR7" s="391"/>
      <c r="ROS7" s="391"/>
      <c r="ROT7" s="391"/>
      <c r="ROU7" s="391"/>
      <c r="ROV7" s="391"/>
      <c r="ROW7" s="391"/>
      <c r="ROX7" s="391"/>
      <c r="ROY7" s="391"/>
      <c r="ROZ7" s="391"/>
      <c r="RPA7" s="391"/>
      <c r="RPB7" s="391"/>
      <c r="RPC7" s="391"/>
      <c r="RPD7" s="391"/>
      <c r="RPE7" s="391"/>
      <c r="RPF7" s="391"/>
      <c r="RPG7" s="391"/>
      <c r="RPH7" s="391"/>
      <c r="RPI7" s="391"/>
      <c r="RPJ7" s="391"/>
      <c r="RPK7" s="391"/>
      <c r="RPL7" s="391"/>
      <c r="RPM7" s="391"/>
      <c r="RPN7" s="391"/>
      <c r="RPO7" s="391"/>
      <c r="RPP7" s="391"/>
      <c r="RPQ7" s="391"/>
      <c r="RPR7" s="391"/>
      <c r="RPS7" s="391"/>
      <c r="RPT7" s="391"/>
      <c r="RPU7" s="391"/>
      <c r="RPV7" s="391"/>
      <c r="RPW7" s="391"/>
      <c r="RPX7" s="391"/>
      <c r="RPY7" s="391"/>
      <c r="RPZ7" s="391"/>
      <c r="RQA7" s="391"/>
      <c r="RQB7" s="391"/>
      <c r="RQC7" s="391"/>
      <c r="RQD7" s="391"/>
      <c r="RQE7" s="391"/>
      <c r="RQF7" s="391"/>
      <c r="RQG7" s="391"/>
      <c r="RQH7" s="391"/>
      <c r="RQI7" s="391"/>
      <c r="RQJ7" s="391"/>
      <c r="RQK7" s="391"/>
      <c r="RQL7" s="391"/>
      <c r="RQM7" s="391"/>
      <c r="RQN7" s="391"/>
      <c r="RQO7" s="391"/>
      <c r="RQP7" s="391"/>
      <c r="RQQ7" s="391"/>
      <c r="RQR7" s="391"/>
      <c r="RQS7" s="391"/>
      <c r="RQT7" s="391"/>
      <c r="RQU7" s="391"/>
      <c r="RQV7" s="391"/>
      <c r="RQW7" s="391"/>
      <c r="RQX7" s="391"/>
      <c r="RQY7" s="391"/>
      <c r="RQZ7" s="391"/>
      <c r="RRA7" s="391"/>
      <c r="RRB7" s="391"/>
      <c r="RRC7" s="391"/>
      <c r="RRD7" s="391"/>
      <c r="RRE7" s="391"/>
      <c r="RRF7" s="391"/>
      <c r="RRG7" s="391"/>
      <c r="RRH7" s="391"/>
      <c r="RRI7" s="391"/>
      <c r="RRJ7" s="391"/>
      <c r="RRK7" s="391"/>
      <c r="RRL7" s="391"/>
      <c r="RRM7" s="391"/>
      <c r="RRN7" s="391"/>
      <c r="RRO7" s="391"/>
      <c r="RRP7" s="391"/>
      <c r="RRQ7" s="391"/>
      <c r="RRR7" s="391"/>
      <c r="RRS7" s="391"/>
      <c r="RRT7" s="391"/>
      <c r="RRU7" s="391"/>
      <c r="RRV7" s="391"/>
      <c r="RRW7" s="391"/>
      <c r="RRX7" s="391"/>
      <c r="RRY7" s="391"/>
      <c r="RRZ7" s="391"/>
      <c r="RSA7" s="391"/>
      <c r="RSB7" s="391"/>
      <c r="RSC7" s="391"/>
      <c r="RSD7" s="391"/>
      <c r="RSE7" s="391"/>
      <c r="RSF7" s="391"/>
      <c r="RSG7" s="391"/>
      <c r="RSH7" s="391"/>
      <c r="RSI7" s="391"/>
      <c r="RSJ7" s="391"/>
      <c r="RSK7" s="391"/>
      <c r="RSL7" s="391"/>
      <c r="RSM7" s="391"/>
      <c r="RSN7" s="391"/>
      <c r="RSO7" s="391"/>
      <c r="RSP7" s="391"/>
      <c r="RSQ7" s="391"/>
      <c r="RSR7" s="391"/>
      <c r="RSS7" s="391"/>
      <c r="RST7" s="391"/>
      <c r="RSU7" s="391"/>
      <c r="RSV7" s="391"/>
      <c r="RSW7" s="391"/>
      <c r="RSX7" s="391"/>
      <c r="RSY7" s="391"/>
      <c r="RSZ7" s="391"/>
      <c r="RTA7" s="391"/>
      <c r="RTB7" s="391"/>
      <c r="RTC7" s="391"/>
      <c r="RTD7" s="391"/>
      <c r="RTE7" s="391"/>
      <c r="RTF7" s="391"/>
      <c r="RTG7" s="391"/>
      <c r="RTH7" s="391"/>
      <c r="RTI7" s="391"/>
      <c r="RTJ7" s="391"/>
      <c r="RTK7" s="391"/>
      <c r="RTL7" s="391"/>
      <c r="RTM7" s="391"/>
      <c r="RTN7" s="391"/>
      <c r="RTO7" s="391"/>
      <c r="RTP7" s="391"/>
      <c r="RTQ7" s="391"/>
      <c r="RTR7" s="391"/>
      <c r="RTS7" s="391"/>
      <c r="RTT7" s="391"/>
      <c r="RTU7" s="391"/>
      <c r="RTV7" s="391"/>
      <c r="RTW7" s="391"/>
      <c r="RTX7" s="391"/>
      <c r="RTY7" s="391"/>
      <c r="RTZ7" s="391"/>
      <c r="RUA7" s="391"/>
      <c r="RUB7" s="391"/>
      <c r="RUC7" s="391"/>
      <c r="RUD7" s="391"/>
      <c r="RUE7" s="391"/>
      <c r="RUF7" s="391"/>
      <c r="RUG7" s="391"/>
      <c r="RUH7" s="391"/>
      <c r="RUI7" s="391"/>
      <c r="RUJ7" s="391"/>
      <c r="RUK7" s="391"/>
      <c r="RUL7" s="391"/>
      <c r="RUM7" s="391"/>
      <c r="RUN7" s="391"/>
      <c r="RUO7" s="391"/>
      <c r="RUP7" s="391"/>
      <c r="RUQ7" s="391"/>
      <c r="RUR7" s="391"/>
      <c r="RUS7" s="391"/>
      <c r="RUT7" s="391"/>
      <c r="RUU7" s="391"/>
      <c r="RUV7" s="391"/>
      <c r="RUW7" s="391"/>
      <c r="RUX7" s="391"/>
      <c r="RUY7" s="391"/>
      <c r="RUZ7" s="391"/>
      <c r="RVA7" s="391"/>
      <c r="RVB7" s="391"/>
      <c r="RVC7" s="391"/>
      <c r="RVD7" s="391"/>
      <c r="RVE7" s="391"/>
      <c r="RVF7" s="391"/>
      <c r="RVG7" s="391"/>
      <c r="RVH7" s="391"/>
      <c r="RVI7" s="391"/>
      <c r="RVJ7" s="391"/>
      <c r="RVK7" s="391"/>
      <c r="RVL7" s="391"/>
      <c r="RVM7" s="391"/>
      <c r="RVN7" s="391"/>
      <c r="RVO7" s="391"/>
      <c r="RVP7" s="391"/>
      <c r="RVQ7" s="391"/>
      <c r="RVR7" s="391"/>
      <c r="RVS7" s="391"/>
      <c r="RVT7" s="391"/>
      <c r="RVU7" s="391"/>
      <c r="RVV7" s="391"/>
      <c r="RVW7" s="391"/>
      <c r="RVX7" s="391"/>
      <c r="RVY7" s="391"/>
      <c r="RVZ7" s="391"/>
      <c r="RWA7" s="391"/>
      <c r="RWB7" s="391"/>
      <c r="RWC7" s="391"/>
      <c r="RWD7" s="391"/>
      <c r="RWE7" s="391"/>
      <c r="RWF7" s="391"/>
      <c r="RWG7" s="391"/>
      <c r="RWH7" s="391"/>
      <c r="RWI7" s="391"/>
      <c r="RWJ7" s="391"/>
      <c r="RWK7" s="391"/>
      <c r="RWL7" s="391"/>
      <c r="RWM7" s="391"/>
      <c r="RWN7" s="391"/>
      <c r="RWO7" s="391"/>
      <c r="RWP7" s="391"/>
      <c r="RWQ7" s="391"/>
      <c r="RWR7" s="391"/>
      <c r="RWS7" s="391"/>
      <c r="RWT7" s="391"/>
      <c r="RWU7" s="391"/>
      <c r="RWV7" s="391"/>
      <c r="RWW7" s="391"/>
      <c r="RWX7" s="391"/>
      <c r="RWY7" s="391"/>
      <c r="RWZ7" s="391"/>
      <c r="RXA7" s="391"/>
      <c r="RXB7" s="391"/>
      <c r="RXC7" s="391"/>
      <c r="RXD7" s="391"/>
      <c r="RXE7" s="391"/>
      <c r="RXF7" s="391"/>
      <c r="RXG7" s="391"/>
      <c r="RXH7" s="391"/>
      <c r="RXI7" s="391"/>
      <c r="RXJ7" s="391"/>
      <c r="RXK7" s="391"/>
      <c r="RXL7" s="391"/>
      <c r="RXM7" s="391"/>
      <c r="RXN7" s="391"/>
      <c r="RXO7" s="391"/>
      <c r="RXP7" s="391"/>
      <c r="RXQ7" s="391"/>
      <c r="RXR7" s="391"/>
      <c r="RXS7" s="391"/>
      <c r="RXT7" s="391"/>
      <c r="RXU7" s="391"/>
      <c r="RXV7" s="391"/>
      <c r="RXW7" s="391"/>
      <c r="RXX7" s="391"/>
      <c r="RXY7" s="391"/>
      <c r="RXZ7" s="391"/>
      <c r="RYA7" s="391"/>
      <c r="RYB7" s="391"/>
      <c r="RYC7" s="391"/>
      <c r="RYD7" s="391"/>
      <c r="RYE7" s="391"/>
      <c r="RYF7" s="391"/>
      <c r="RYG7" s="391"/>
      <c r="RYH7" s="391"/>
      <c r="RYI7" s="391"/>
      <c r="RYJ7" s="391"/>
      <c r="RYK7" s="391"/>
      <c r="RYL7" s="391"/>
      <c r="RYM7" s="391"/>
      <c r="RYN7" s="391"/>
      <c r="RYO7" s="391"/>
      <c r="RYP7" s="391"/>
      <c r="RYQ7" s="391"/>
      <c r="RYR7" s="391"/>
      <c r="RYS7" s="391"/>
      <c r="RYT7" s="391"/>
      <c r="RYU7" s="391"/>
      <c r="RYV7" s="391"/>
      <c r="RYW7" s="391"/>
      <c r="RYX7" s="391"/>
      <c r="RYY7" s="391"/>
      <c r="RYZ7" s="391"/>
      <c r="RZA7" s="391"/>
      <c r="RZB7" s="391"/>
      <c r="RZC7" s="391"/>
      <c r="RZD7" s="391"/>
      <c r="RZE7" s="391"/>
      <c r="RZF7" s="391"/>
      <c r="RZG7" s="391"/>
      <c r="RZH7" s="391"/>
      <c r="RZI7" s="391"/>
      <c r="RZJ7" s="391"/>
      <c r="RZK7" s="391"/>
      <c r="RZL7" s="391"/>
      <c r="RZM7" s="391"/>
      <c r="RZN7" s="391"/>
      <c r="RZO7" s="391"/>
      <c r="RZP7" s="391"/>
      <c r="RZQ7" s="391"/>
      <c r="RZR7" s="391"/>
      <c r="RZS7" s="391"/>
      <c r="RZT7" s="391"/>
      <c r="RZU7" s="391"/>
      <c r="RZV7" s="391"/>
      <c r="RZW7" s="391"/>
      <c r="RZX7" s="391"/>
      <c r="RZY7" s="391"/>
      <c r="RZZ7" s="391"/>
      <c r="SAA7" s="391"/>
      <c r="SAB7" s="391"/>
      <c r="SAC7" s="391"/>
      <c r="SAD7" s="391"/>
      <c r="SAE7" s="391"/>
      <c r="SAF7" s="391"/>
      <c r="SAG7" s="391"/>
      <c r="SAH7" s="391"/>
      <c r="SAI7" s="391"/>
      <c r="SAJ7" s="391"/>
      <c r="SAK7" s="391"/>
      <c r="SAL7" s="391"/>
      <c r="SAM7" s="391"/>
      <c r="SAN7" s="391"/>
      <c r="SAO7" s="391"/>
      <c r="SAP7" s="391"/>
      <c r="SAQ7" s="391"/>
      <c r="SAR7" s="391"/>
      <c r="SAS7" s="391"/>
      <c r="SAT7" s="391"/>
      <c r="SAU7" s="391"/>
      <c r="SAV7" s="391"/>
      <c r="SAW7" s="391"/>
      <c r="SAX7" s="391"/>
      <c r="SAY7" s="391"/>
      <c r="SAZ7" s="391"/>
      <c r="SBA7" s="391"/>
      <c r="SBB7" s="391"/>
      <c r="SBC7" s="391"/>
      <c r="SBD7" s="391"/>
      <c r="SBE7" s="391"/>
      <c r="SBF7" s="391"/>
      <c r="SBG7" s="391"/>
      <c r="SBH7" s="391"/>
      <c r="SBI7" s="391"/>
      <c r="SBJ7" s="391"/>
      <c r="SBK7" s="391"/>
      <c r="SBL7" s="391"/>
      <c r="SBM7" s="391"/>
      <c r="SBN7" s="391"/>
      <c r="SBO7" s="391"/>
      <c r="SBP7" s="391"/>
      <c r="SBQ7" s="391"/>
      <c r="SBR7" s="391"/>
      <c r="SBS7" s="391"/>
      <c r="SBT7" s="391"/>
      <c r="SBU7" s="391"/>
      <c r="SBV7" s="391"/>
      <c r="SBW7" s="391"/>
      <c r="SBX7" s="391"/>
      <c r="SBY7" s="391"/>
      <c r="SBZ7" s="391"/>
      <c r="SCA7" s="391"/>
      <c r="SCB7" s="391"/>
      <c r="SCC7" s="391"/>
      <c r="SCD7" s="391"/>
      <c r="SCE7" s="391"/>
      <c r="SCF7" s="391"/>
      <c r="SCG7" s="391"/>
      <c r="SCH7" s="391"/>
      <c r="SCI7" s="391"/>
      <c r="SCJ7" s="391"/>
      <c r="SCK7" s="391"/>
      <c r="SCL7" s="391"/>
      <c r="SCM7" s="391"/>
      <c r="SCN7" s="391"/>
      <c r="SCO7" s="391"/>
      <c r="SCP7" s="391"/>
      <c r="SCQ7" s="391"/>
      <c r="SCR7" s="391"/>
      <c r="SCS7" s="391"/>
      <c r="SCT7" s="391"/>
      <c r="SCU7" s="391"/>
      <c r="SCV7" s="391"/>
      <c r="SCW7" s="391"/>
      <c r="SCX7" s="391"/>
      <c r="SCY7" s="391"/>
      <c r="SCZ7" s="391"/>
      <c r="SDA7" s="391"/>
      <c r="SDB7" s="391"/>
      <c r="SDC7" s="391"/>
      <c r="SDD7" s="391"/>
      <c r="SDE7" s="391"/>
      <c r="SDF7" s="391"/>
      <c r="SDG7" s="391"/>
      <c r="SDH7" s="391"/>
      <c r="SDI7" s="391"/>
      <c r="SDJ7" s="391"/>
      <c r="SDK7" s="391"/>
      <c r="SDL7" s="391"/>
      <c r="SDM7" s="391"/>
      <c r="SDN7" s="391"/>
      <c r="SDO7" s="391"/>
      <c r="SDP7" s="391"/>
      <c r="SDQ7" s="391"/>
      <c r="SDR7" s="391"/>
      <c r="SDS7" s="391"/>
      <c r="SDT7" s="391"/>
      <c r="SDU7" s="391"/>
      <c r="SDV7" s="391"/>
      <c r="SDW7" s="391"/>
      <c r="SDX7" s="391"/>
      <c r="SDY7" s="391"/>
      <c r="SDZ7" s="391"/>
      <c r="SEA7" s="391"/>
      <c r="SEB7" s="391"/>
      <c r="SEC7" s="391"/>
      <c r="SED7" s="391"/>
      <c r="SEE7" s="391"/>
      <c r="SEF7" s="391"/>
      <c r="SEG7" s="391"/>
      <c r="SEH7" s="391"/>
      <c r="SEI7" s="391"/>
      <c r="SEJ7" s="391"/>
      <c r="SEK7" s="391"/>
      <c r="SEL7" s="391"/>
      <c r="SEM7" s="391"/>
      <c r="SEN7" s="391"/>
      <c r="SEO7" s="391"/>
      <c r="SEP7" s="391"/>
      <c r="SEQ7" s="391"/>
      <c r="SER7" s="391"/>
      <c r="SES7" s="391"/>
      <c r="SET7" s="391"/>
      <c r="SEU7" s="391"/>
      <c r="SEV7" s="391"/>
      <c r="SEW7" s="391"/>
      <c r="SEX7" s="391"/>
      <c r="SEY7" s="391"/>
      <c r="SEZ7" s="391"/>
      <c r="SFA7" s="391"/>
      <c r="SFB7" s="391"/>
      <c r="SFC7" s="391"/>
      <c r="SFD7" s="391"/>
      <c r="SFE7" s="391"/>
      <c r="SFF7" s="391"/>
      <c r="SFG7" s="391"/>
      <c r="SFH7" s="391"/>
      <c r="SFI7" s="391"/>
      <c r="SFJ7" s="391"/>
      <c r="SFK7" s="391"/>
      <c r="SFL7" s="391"/>
      <c r="SFM7" s="391"/>
      <c r="SFN7" s="391"/>
      <c r="SFO7" s="391"/>
      <c r="SFP7" s="391"/>
      <c r="SFQ7" s="391"/>
      <c r="SFR7" s="391"/>
      <c r="SFS7" s="391"/>
      <c r="SFT7" s="391"/>
      <c r="SFU7" s="391"/>
      <c r="SFV7" s="391"/>
      <c r="SFW7" s="391"/>
      <c r="SFX7" s="391"/>
      <c r="SFY7" s="391"/>
      <c r="SFZ7" s="391"/>
      <c r="SGA7" s="391"/>
      <c r="SGB7" s="391"/>
      <c r="SGC7" s="391"/>
      <c r="SGD7" s="391"/>
      <c r="SGE7" s="391"/>
      <c r="SGF7" s="391"/>
      <c r="SGG7" s="391"/>
      <c r="SGH7" s="391"/>
      <c r="SGI7" s="391"/>
      <c r="SGJ7" s="391"/>
      <c r="SGK7" s="391"/>
      <c r="SGL7" s="391"/>
      <c r="SGM7" s="391"/>
      <c r="SGN7" s="391"/>
      <c r="SGO7" s="391"/>
      <c r="SGP7" s="391"/>
      <c r="SGQ7" s="391"/>
      <c r="SGR7" s="391"/>
      <c r="SGS7" s="391"/>
      <c r="SGT7" s="391"/>
      <c r="SGU7" s="391"/>
      <c r="SGV7" s="391"/>
      <c r="SGW7" s="391"/>
      <c r="SGX7" s="391"/>
      <c r="SGY7" s="391"/>
      <c r="SGZ7" s="391"/>
      <c r="SHA7" s="391"/>
      <c r="SHB7" s="391"/>
      <c r="SHC7" s="391"/>
      <c r="SHD7" s="391"/>
      <c r="SHE7" s="391"/>
      <c r="SHF7" s="391"/>
      <c r="SHG7" s="391"/>
      <c r="SHH7" s="391"/>
      <c r="SHI7" s="391"/>
      <c r="SHJ7" s="391"/>
      <c r="SHK7" s="391"/>
      <c r="SHL7" s="391"/>
      <c r="SHM7" s="391"/>
      <c r="SHN7" s="391"/>
      <c r="SHO7" s="391"/>
      <c r="SHP7" s="391"/>
      <c r="SHQ7" s="391"/>
      <c r="SHR7" s="391"/>
      <c r="SHS7" s="391"/>
      <c r="SHT7" s="391"/>
      <c r="SHU7" s="391"/>
      <c r="SHV7" s="391"/>
      <c r="SHW7" s="391"/>
      <c r="SHX7" s="391"/>
      <c r="SHY7" s="391"/>
      <c r="SHZ7" s="391"/>
      <c r="SIA7" s="391"/>
      <c r="SIB7" s="391"/>
      <c r="SIC7" s="391"/>
      <c r="SID7" s="391"/>
      <c r="SIE7" s="391"/>
      <c r="SIF7" s="391"/>
      <c r="SIG7" s="391"/>
      <c r="SIH7" s="391"/>
      <c r="SII7" s="391"/>
      <c r="SIJ7" s="391"/>
      <c r="SIK7" s="391"/>
      <c r="SIL7" s="391"/>
      <c r="SIM7" s="391"/>
      <c r="SIN7" s="391"/>
      <c r="SIO7" s="391"/>
      <c r="SIP7" s="391"/>
      <c r="SIQ7" s="391"/>
      <c r="SIR7" s="391"/>
      <c r="SIS7" s="391"/>
      <c r="SIT7" s="391"/>
      <c r="SIU7" s="391"/>
      <c r="SIV7" s="391"/>
      <c r="SIW7" s="391"/>
      <c r="SIX7" s="391"/>
      <c r="SIY7" s="391"/>
      <c r="SIZ7" s="391"/>
      <c r="SJA7" s="391"/>
      <c r="SJB7" s="391"/>
      <c r="SJC7" s="391"/>
      <c r="SJD7" s="391"/>
      <c r="SJE7" s="391"/>
      <c r="SJF7" s="391"/>
      <c r="SJG7" s="391"/>
      <c r="SJH7" s="391"/>
      <c r="SJI7" s="391"/>
      <c r="SJJ7" s="391"/>
      <c r="SJK7" s="391"/>
      <c r="SJL7" s="391"/>
      <c r="SJM7" s="391"/>
      <c r="SJN7" s="391"/>
      <c r="SJO7" s="391"/>
      <c r="SJP7" s="391"/>
      <c r="SJQ7" s="391"/>
      <c r="SJR7" s="391"/>
      <c r="SJS7" s="391"/>
      <c r="SJT7" s="391"/>
      <c r="SJU7" s="391"/>
      <c r="SJV7" s="391"/>
      <c r="SJW7" s="391"/>
      <c r="SJX7" s="391"/>
      <c r="SJY7" s="391"/>
      <c r="SJZ7" s="391"/>
      <c r="SKA7" s="391"/>
      <c r="SKB7" s="391"/>
      <c r="SKC7" s="391"/>
      <c r="SKD7" s="391"/>
      <c r="SKE7" s="391"/>
      <c r="SKF7" s="391"/>
      <c r="SKG7" s="391"/>
      <c r="SKH7" s="391"/>
      <c r="SKI7" s="391"/>
      <c r="SKJ7" s="391"/>
      <c r="SKK7" s="391"/>
      <c r="SKL7" s="391"/>
      <c r="SKM7" s="391"/>
      <c r="SKN7" s="391"/>
      <c r="SKO7" s="391"/>
      <c r="SKP7" s="391"/>
      <c r="SKQ7" s="391"/>
      <c r="SKR7" s="391"/>
      <c r="SKS7" s="391"/>
      <c r="SKT7" s="391"/>
      <c r="SKU7" s="391"/>
      <c r="SKV7" s="391"/>
      <c r="SKW7" s="391"/>
      <c r="SKX7" s="391"/>
      <c r="SKY7" s="391"/>
      <c r="SKZ7" s="391"/>
      <c r="SLA7" s="391"/>
      <c r="SLB7" s="391"/>
      <c r="SLC7" s="391"/>
      <c r="SLD7" s="391"/>
      <c r="SLE7" s="391"/>
      <c r="SLF7" s="391"/>
      <c r="SLG7" s="391"/>
      <c r="SLH7" s="391"/>
      <c r="SLI7" s="391"/>
      <c r="SLJ7" s="391"/>
      <c r="SLK7" s="391"/>
      <c r="SLL7" s="391"/>
      <c r="SLM7" s="391"/>
      <c r="SLN7" s="391"/>
      <c r="SLO7" s="391"/>
      <c r="SLP7" s="391"/>
      <c r="SLQ7" s="391"/>
      <c r="SLR7" s="391"/>
      <c r="SLS7" s="391"/>
      <c r="SLT7" s="391"/>
      <c r="SLU7" s="391"/>
      <c r="SLV7" s="391"/>
      <c r="SLW7" s="391"/>
      <c r="SLX7" s="391"/>
      <c r="SLY7" s="391"/>
      <c r="SLZ7" s="391"/>
      <c r="SMA7" s="391"/>
      <c r="SMB7" s="391"/>
      <c r="SMC7" s="391"/>
      <c r="SMD7" s="391"/>
      <c r="SME7" s="391"/>
      <c r="SMF7" s="391"/>
      <c r="SMG7" s="391"/>
      <c r="SMH7" s="391"/>
      <c r="SMI7" s="391"/>
      <c r="SMJ7" s="391"/>
      <c r="SMK7" s="391"/>
      <c r="SML7" s="391"/>
      <c r="SMM7" s="391"/>
      <c r="SMN7" s="391"/>
      <c r="SMO7" s="391"/>
      <c r="SMP7" s="391"/>
      <c r="SMQ7" s="391"/>
      <c r="SMR7" s="391"/>
      <c r="SMS7" s="391"/>
      <c r="SMT7" s="391"/>
      <c r="SMU7" s="391"/>
      <c r="SMV7" s="391"/>
      <c r="SMW7" s="391"/>
      <c r="SMX7" s="391"/>
      <c r="SMY7" s="391"/>
      <c r="SMZ7" s="391"/>
      <c r="SNA7" s="391"/>
      <c r="SNB7" s="391"/>
      <c r="SNC7" s="391"/>
      <c r="SND7" s="391"/>
      <c r="SNE7" s="391"/>
      <c r="SNF7" s="391"/>
      <c r="SNG7" s="391"/>
      <c r="SNH7" s="391"/>
      <c r="SNI7" s="391"/>
      <c r="SNJ7" s="391"/>
      <c r="SNK7" s="391"/>
      <c r="SNL7" s="391"/>
      <c r="SNM7" s="391"/>
      <c r="SNN7" s="391"/>
      <c r="SNO7" s="391"/>
      <c r="SNP7" s="391"/>
      <c r="SNQ7" s="391"/>
      <c r="SNR7" s="391"/>
      <c r="SNS7" s="391"/>
      <c r="SNT7" s="391"/>
      <c r="SNU7" s="391"/>
      <c r="SNV7" s="391"/>
      <c r="SNW7" s="391"/>
      <c r="SNX7" s="391"/>
      <c r="SNY7" s="391"/>
      <c r="SNZ7" s="391"/>
      <c r="SOA7" s="391"/>
      <c r="SOB7" s="391"/>
      <c r="SOC7" s="391"/>
      <c r="SOD7" s="391"/>
      <c r="SOE7" s="391"/>
      <c r="SOF7" s="391"/>
      <c r="SOG7" s="391"/>
      <c r="SOH7" s="391"/>
      <c r="SOI7" s="391"/>
      <c r="SOJ7" s="391"/>
      <c r="SOK7" s="391"/>
      <c r="SOL7" s="391"/>
      <c r="SOM7" s="391"/>
      <c r="SON7" s="391"/>
      <c r="SOO7" s="391"/>
      <c r="SOP7" s="391"/>
      <c r="SOQ7" s="391"/>
      <c r="SOR7" s="391"/>
      <c r="SOS7" s="391"/>
      <c r="SOT7" s="391"/>
      <c r="SOU7" s="391"/>
      <c r="SOV7" s="391"/>
      <c r="SOW7" s="391"/>
      <c r="SOX7" s="391"/>
      <c r="SOY7" s="391"/>
      <c r="SOZ7" s="391"/>
      <c r="SPA7" s="391"/>
      <c r="SPB7" s="391"/>
      <c r="SPC7" s="391"/>
      <c r="SPD7" s="391"/>
      <c r="SPE7" s="391"/>
      <c r="SPF7" s="391"/>
      <c r="SPG7" s="391"/>
      <c r="SPH7" s="391"/>
      <c r="SPI7" s="391"/>
      <c r="SPJ7" s="391"/>
      <c r="SPK7" s="391"/>
      <c r="SPL7" s="391"/>
      <c r="SPM7" s="391"/>
      <c r="SPN7" s="391"/>
      <c r="SPO7" s="391"/>
      <c r="SPP7" s="391"/>
      <c r="SPQ7" s="391"/>
      <c r="SPR7" s="391"/>
      <c r="SPS7" s="391"/>
      <c r="SPT7" s="391"/>
      <c r="SPU7" s="391"/>
      <c r="SPV7" s="391"/>
      <c r="SPW7" s="391"/>
      <c r="SPX7" s="391"/>
      <c r="SPY7" s="391"/>
      <c r="SPZ7" s="391"/>
      <c r="SQA7" s="391"/>
      <c r="SQB7" s="391"/>
      <c r="SQC7" s="391"/>
      <c r="SQD7" s="391"/>
      <c r="SQE7" s="391"/>
      <c r="SQF7" s="391"/>
      <c r="SQG7" s="391"/>
      <c r="SQH7" s="391"/>
      <c r="SQI7" s="391"/>
      <c r="SQJ7" s="391"/>
      <c r="SQK7" s="391"/>
      <c r="SQL7" s="391"/>
      <c r="SQM7" s="391"/>
      <c r="SQN7" s="391"/>
      <c r="SQO7" s="391"/>
      <c r="SQP7" s="391"/>
      <c r="SQQ7" s="391"/>
      <c r="SQR7" s="391"/>
      <c r="SQS7" s="391"/>
      <c r="SQT7" s="391"/>
      <c r="SQU7" s="391"/>
      <c r="SQV7" s="391"/>
      <c r="SQW7" s="391"/>
      <c r="SQX7" s="391"/>
      <c r="SQY7" s="391"/>
      <c r="SQZ7" s="391"/>
      <c r="SRA7" s="391"/>
      <c r="SRB7" s="391"/>
      <c r="SRC7" s="391"/>
      <c r="SRD7" s="391"/>
      <c r="SRE7" s="391"/>
      <c r="SRF7" s="391"/>
      <c r="SRG7" s="391"/>
      <c r="SRH7" s="391"/>
      <c r="SRI7" s="391"/>
      <c r="SRJ7" s="391"/>
      <c r="SRK7" s="391"/>
      <c r="SRL7" s="391"/>
      <c r="SRM7" s="391"/>
      <c r="SRN7" s="391"/>
      <c r="SRO7" s="391"/>
      <c r="SRP7" s="391"/>
      <c r="SRQ7" s="391"/>
      <c r="SRR7" s="391"/>
      <c r="SRS7" s="391"/>
      <c r="SRT7" s="391"/>
      <c r="SRU7" s="391"/>
      <c r="SRV7" s="391"/>
      <c r="SRW7" s="391"/>
      <c r="SRX7" s="391"/>
      <c r="SRY7" s="391"/>
      <c r="SRZ7" s="391"/>
      <c r="SSA7" s="391"/>
      <c r="SSB7" s="391"/>
      <c r="SSC7" s="391"/>
      <c r="SSD7" s="391"/>
      <c r="SSE7" s="391"/>
      <c r="SSF7" s="391"/>
      <c r="SSG7" s="391"/>
      <c r="SSH7" s="391"/>
      <c r="SSI7" s="391"/>
      <c r="SSJ7" s="391"/>
      <c r="SSK7" s="391"/>
      <c r="SSL7" s="391"/>
      <c r="SSM7" s="391"/>
      <c r="SSN7" s="391"/>
      <c r="SSO7" s="391"/>
      <c r="SSP7" s="391"/>
      <c r="SSQ7" s="391"/>
      <c r="SSR7" s="391"/>
      <c r="SSS7" s="391"/>
      <c r="SST7" s="391"/>
      <c r="SSU7" s="391"/>
      <c r="SSV7" s="391"/>
      <c r="SSW7" s="391"/>
      <c r="SSX7" s="391"/>
      <c r="SSY7" s="391"/>
      <c r="SSZ7" s="391"/>
      <c r="STA7" s="391"/>
      <c r="STB7" s="391"/>
      <c r="STC7" s="391"/>
      <c r="STD7" s="391"/>
      <c r="STE7" s="391"/>
      <c r="STF7" s="391"/>
      <c r="STG7" s="391"/>
      <c r="STH7" s="391"/>
      <c r="STI7" s="391"/>
      <c r="STJ7" s="391"/>
      <c r="STK7" s="391"/>
      <c r="STL7" s="391"/>
      <c r="STM7" s="391"/>
      <c r="STN7" s="391"/>
      <c r="STO7" s="391"/>
      <c r="STP7" s="391"/>
      <c r="STQ7" s="391"/>
      <c r="STR7" s="391"/>
      <c r="STS7" s="391"/>
      <c r="STT7" s="391"/>
      <c r="STU7" s="391"/>
      <c r="STV7" s="391"/>
      <c r="STW7" s="391"/>
      <c r="STX7" s="391"/>
      <c r="STY7" s="391"/>
      <c r="STZ7" s="391"/>
      <c r="SUA7" s="391"/>
      <c r="SUB7" s="391"/>
      <c r="SUC7" s="391"/>
      <c r="SUD7" s="391"/>
      <c r="SUE7" s="391"/>
      <c r="SUF7" s="391"/>
      <c r="SUG7" s="391"/>
      <c r="SUH7" s="391"/>
      <c r="SUI7" s="391"/>
      <c r="SUJ7" s="391"/>
      <c r="SUK7" s="391"/>
      <c r="SUL7" s="391"/>
      <c r="SUM7" s="391"/>
      <c r="SUN7" s="391"/>
      <c r="SUO7" s="391"/>
      <c r="SUP7" s="391"/>
      <c r="SUQ7" s="391"/>
      <c r="SUR7" s="391"/>
      <c r="SUS7" s="391"/>
      <c r="SUT7" s="391"/>
      <c r="SUU7" s="391"/>
      <c r="SUV7" s="391"/>
      <c r="SUW7" s="391"/>
      <c r="SUX7" s="391"/>
      <c r="SUY7" s="391"/>
      <c r="SUZ7" s="391"/>
      <c r="SVA7" s="391"/>
      <c r="SVB7" s="391"/>
      <c r="SVC7" s="391"/>
      <c r="SVD7" s="391"/>
      <c r="SVE7" s="391"/>
      <c r="SVF7" s="391"/>
      <c r="SVG7" s="391"/>
      <c r="SVH7" s="391"/>
      <c r="SVI7" s="391"/>
      <c r="SVJ7" s="391"/>
      <c r="SVK7" s="391"/>
      <c r="SVL7" s="391"/>
      <c r="SVM7" s="391"/>
      <c r="SVN7" s="391"/>
      <c r="SVO7" s="391"/>
      <c r="SVP7" s="391"/>
      <c r="SVQ7" s="391"/>
      <c r="SVR7" s="391"/>
      <c r="SVS7" s="391"/>
      <c r="SVT7" s="391"/>
      <c r="SVU7" s="391"/>
      <c r="SVV7" s="391"/>
      <c r="SVW7" s="391"/>
      <c r="SVX7" s="391"/>
      <c r="SVY7" s="391"/>
      <c r="SVZ7" s="391"/>
      <c r="SWA7" s="391"/>
      <c r="SWB7" s="391"/>
      <c r="SWC7" s="391"/>
      <c r="SWD7" s="391"/>
      <c r="SWE7" s="391"/>
      <c r="SWF7" s="391"/>
      <c r="SWG7" s="391"/>
      <c r="SWH7" s="391"/>
      <c r="SWI7" s="391"/>
      <c r="SWJ7" s="391"/>
      <c r="SWK7" s="391"/>
      <c r="SWL7" s="391"/>
      <c r="SWM7" s="391"/>
      <c r="SWN7" s="391"/>
      <c r="SWO7" s="391"/>
      <c r="SWP7" s="391"/>
      <c r="SWQ7" s="391"/>
      <c r="SWR7" s="391"/>
      <c r="SWS7" s="391"/>
      <c r="SWT7" s="391"/>
      <c r="SWU7" s="391"/>
      <c r="SWV7" s="391"/>
      <c r="SWW7" s="391"/>
      <c r="SWX7" s="391"/>
      <c r="SWY7" s="391"/>
      <c r="SWZ7" s="391"/>
      <c r="SXA7" s="391"/>
      <c r="SXB7" s="391"/>
      <c r="SXC7" s="391"/>
      <c r="SXD7" s="391"/>
      <c r="SXE7" s="391"/>
      <c r="SXF7" s="391"/>
      <c r="SXG7" s="391"/>
      <c r="SXH7" s="391"/>
      <c r="SXI7" s="391"/>
      <c r="SXJ7" s="391"/>
      <c r="SXK7" s="391"/>
      <c r="SXL7" s="391"/>
      <c r="SXM7" s="391"/>
      <c r="SXN7" s="391"/>
      <c r="SXO7" s="391"/>
      <c r="SXP7" s="391"/>
      <c r="SXQ7" s="391"/>
      <c r="SXR7" s="391"/>
      <c r="SXS7" s="391"/>
      <c r="SXT7" s="391"/>
      <c r="SXU7" s="391"/>
      <c r="SXV7" s="391"/>
      <c r="SXW7" s="391"/>
      <c r="SXX7" s="391"/>
      <c r="SXY7" s="391"/>
      <c r="SXZ7" s="391"/>
      <c r="SYA7" s="391"/>
      <c r="SYB7" s="391"/>
      <c r="SYC7" s="391"/>
      <c r="SYD7" s="391"/>
      <c r="SYE7" s="391"/>
      <c r="SYF7" s="391"/>
      <c r="SYG7" s="391"/>
      <c r="SYH7" s="391"/>
      <c r="SYI7" s="391"/>
      <c r="SYJ7" s="391"/>
      <c r="SYK7" s="391"/>
      <c r="SYL7" s="391"/>
      <c r="SYM7" s="391"/>
      <c r="SYN7" s="391"/>
      <c r="SYO7" s="391"/>
      <c r="SYP7" s="391"/>
      <c r="SYQ7" s="391"/>
      <c r="SYR7" s="391"/>
      <c r="SYS7" s="391"/>
      <c r="SYT7" s="391"/>
      <c r="SYU7" s="391"/>
      <c r="SYV7" s="391"/>
      <c r="SYW7" s="391"/>
      <c r="SYX7" s="391"/>
      <c r="SYY7" s="391"/>
      <c r="SYZ7" s="391"/>
      <c r="SZA7" s="391"/>
      <c r="SZB7" s="391"/>
      <c r="SZC7" s="391"/>
      <c r="SZD7" s="391"/>
      <c r="SZE7" s="391"/>
      <c r="SZF7" s="391"/>
      <c r="SZG7" s="391"/>
      <c r="SZH7" s="391"/>
      <c r="SZI7" s="391"/>
      <c r="SZJ7" s="391"/>
      <c r="SZK7" s="391"/>
      <c r="SZL7" s="391"/>
      <c r="SZM7" s="391"/>
      <c r="SZN7" s="391"/>
      <c r="SZO7" s="391"/>
      <c r="SZP7" s="391"/>
      <c r="SZQ7" s="391"/>
      <c r="SZR7" s="391"/>
      <c r="SZS7" s="391"/>
      <c r="SZT7" s="391"/>
      <c r="SZU7" s="391"/>
      <c r="SZV7" s="391"/>
      <c r="SZW7" s="391"/>
      <c r="SZX7" s="391"/>
      <c r="SZY7" s="391"/>
      <c r="SZZ7" s="391"/>
      <c r="TAA7" s="391"/>
      <c r="TAB7" s="391"/>
      <c r="TAC7" s="391"/>
      <c r="TAD7" s="391"/>
      <c r="TAE7" s="391"/>
      <c r="TAF7" s="391"/>
      <c r="TAG7" s="391"/>
      <c r="TAH7" s="391"/>
      <c r="TAI7" s="391"/>
      <c r="TAJ7" s="391"/>
      <c r="TAK7" s="391"/>
      <c r="TAL7" s="391"/>
      <c r="TAM7" s="391"/>
      <c r="TAN7" s="391"/>
      <c r="TAO7" s="391"/>
      <c r="TAP7" s="391"/>
      <c r="TAQ7" s="391"/>
      <c r="TAR7" s="391"/>
      <c r="TAS7" s="391"/>
      <c r="TAT7" s="391"/>
      <c r="TAU7" s="391"/>
      <c r="TAV7" s="391"/>
      <c r="TAW7" s="391"/>
      <c r="TAX7" s="391"/>
      <c r="TAY7" s="391"/>
      <c r="TAZ7" s="391"/>
      <c r="TBA7" s="391"/>
      <c r="TBB7" s="391"/>
      <c r="TBC7" s="391"/>
      <c r="TBD7" s="391"/>
      <c r="TBE7" s="391"/>
      <c r="TBF7" s="391"/>
      <c r="TBG7" s="391"/>
      <c r="TBH7" s="391"/>
      <c r="TBI7" s="391"/>
      <c r="TBJ7" s="391"/>
      <c r="TBK7" s="391"/>
      <c r="TBL7" s="391"/>
      <c r="TBM7" s="391"/>
      <c r="TBN7" s="391"/>
      <c r="TBO7" s="391"/>
      <c r="TBP7" s="391"/>
      <c r="TBQ7" s="391"/>
      <c r="TBR7" s="391"/>
      <c r="TBS7" s="391"/>
      <c r="TBT7" s="391"/>
      <c r="TBU7" s="391"/>
      <c r="TBV7" s="391"/>
      <c r="TBW7" s="391"/>
      <c r="TBX7" s="391"/>
      <c r="TBY7" s="391"/>
      <c r="TBZ7" s="391"/>
      <c r="TCA7" s="391"/>
      <c r="TCB7" s="391"/>
      <c r="TCC7" s="391"/>
      <c r="TCD7" s="391"/>
      <c r="TCE7" s="391"/>
      <c r="TCF7" s="391"/>
      <c r="TCG7" s="391"/>
      <c r="TCH7" s="391"/>
      <c r="TCI7" s="391"/>
      <c r="TCJ7" s="391"/>
      <c r="TCK7" s="391"/>
      <c r="TCL7" s="391"/>
      <c r="TCM7" s="391"/>
      <c r="TCN7" s="391"/>
      <c r="TCO7" s="391"/>
      <c r="TCP7" s="391"/>
      <c r="TCQ7" s="391"/>
      <c r="TCR7" s="391"/>
      <c r="TCS7" s="391"/>
      <c r="TCT7" s="391"/>
      <c r="TCU7" s="391"/>
      <c r="TCV7" s="391"/>
      <c r="TCW7" s="391"/>
      <c r="TCX7" s="391"/>
      <c r="TCY7" s="391"/>
      <c r="TCZ7" s="391"/>
      <c r="TDA7" s="391"/>
      <c r="TDB7" s="391"/>
      <c r="TDC7" s="391"/>
      <c r="TDD7" s="391"/>
      <c r="TDE7" s="391"/>
      <c r="TDF7" s="391"/>
      <c r="TDG7" s="391"/>
      <c r="TDH7" s="391"/>
      <c r="TDI7" s="391"/>
      <c r="TDJ7" s="391"/>
      <c r="TDK7" s="391"/>
      <c r="TDL7" s="391"/>
      <c r="TDM7" s="391"/>
      <c r="TDN7" s="391"/>
      <c r="TDO7" s="391"/>
      <c r="TDP7" s="391"/>
      <c r="TDQ7" s="391"/>
      <c r="TDR7" s="391"/>
      <c r="TDS7" s="391"/>
      <c r="TDT7" s="391"/>
      <c r="TDU7" s="391"/>
      <c r="TDV7" s="391"/>
      <c r="TDW7" s="391"/>
      <c r="TDX7" s="391"/>
      <c r="TDY7" s="391"/>
      <c r="TDZ7" s="391"/>
      <c r="TEA7" s="391"/>
      <c r="TEB7" s="391"/>
      <c r="TEC7" s="391"/>
      <c r="TED7" s="391"/>
      <c r="TEE7" s="391"/>
      <c r="TEF7" s="391"/>
      <c r="TEG7" s="391"/>
      <c r="TEH7" s="391"/>
      <c r="TEI7" s="391"/>
      <c r="TEJ7" s="391"/>
      <c r="TEK7" s="391"/>
      <c r="TEL7" s="391"/>
      <c r="TEM7" s="391"/>
      <c r="TEN7" s="391"/>
      <c r="TEO7" s="391"/>
      <c r="TEP7" s="391"/>
      <c r="TEQ7" s="391"/>
      <c r="TER7" s="391"/>
      <c r="TES7" s="391"/>
      <c r="TET7" s="391"/>
      <c r="TEU7" s="391"/>
      <c r="TEV7" s="391"/>
      <c r="TEW7" s="391"/>
      <c r="TEX7" s="391"/>
      <c r="TEY7" s="391"/>
      <c r="TEZ7" s="391"/>
      <c r="TFA7" s="391"/>
      <c r="TFB7" s="391"/>
      <c r="TFC7" s="391"/>
      <c r="TFD7" s="391"/>
      <c r="TFE7" s="391"/>
      <c r="TFF7" s="391"/>
      <c r="TFG7" s="391"/>
      <c r="TFH7" s="391"/>
      <c r="TFI7" s="391"/>
      <c r="TFJ7" s="391"/>
      <c r="TFK7" s="391"/>
      <c r="TFL7" s="391"/>
      <c r="TFM7" s="391"/>
      <c r="TFN7" s="391"/>
      <c r="TFO7" s="391"/>
      <c r="TFP7" s="391"/>
      <c r="TFQ7" s="391"/>
      <c r="TFR7" s="391"/>
      <c r="TFS7" s="391"/>
      <c r="TFT7" s="391"/>
      <c r="TFU7" s="391"/>
      <c r="TFV7" s="391"/>
      <c r="TFW7" s="391"/>
      <c r="TFX7" s="391"/>
      <c r="TFY7" s="391"/>
      <c r="TFZ7" s="391"/>
      <c r="TGA7" s="391"/>
      <c r="TGB7" s="391"/>
      <c r="TGC7" s="391"/>
      <c r="TGD7" s="391"/>
      <c r="TGE7" s="391"/>
      <c r="TGF7" s="391"/>
      <c r="TGG7" s="391"/>
      <c r="TGH7" s="391"/>
      <c r="TGI7" s="391"/>
      <c r="TGJ7" s="391"/>
      <c r="TGK7" s="391"/>
      <c r="TGL7" s="391"/>
      <c r="TGM7" s="391"/>
      <c r="TGN7" s="391"/>
      <c r="TGO7" s="391"/>
      <c r="TGP7" s="391"/>
      <c r="TGQ7" s="391"/>
      <c r="TGR7" s="391"/>
      <c r="TGS7" s="391"/>
      <c r="TGT7" s="391"/>
      <c r="TGU7" s="391"/>
      <c r="TGV7" s="391"/>
      <c r="TGW7" s="391"/>
      <c r="TGX7" s="391"/>
      <c r="TGY7" s="391"/>
      <c r="TGZ7" s="391"/>
      <c r="THA7" s="391"/>
      <c r="THB7" s="391"/>
      <c r="THC7" s="391"/>
      <c r="THD7" s="391"/>
      <c r="THE7" s="391"/>
      <c r="THF7" s="391"/>
      <c r="THG7" s="391"/>
      <c r="THH7" s="391"/>
      <c r="THI7" s="391"/>
      <c r="THJ7" s="391"/>
      <c r="THK7" s="391"/>
      <c r="THL7" s="391"/>
      <c r="THM7" s="391"/>
      <c r="THN7" s="391"/>
      <c r="THO7" s="391"/>
      <c r="THP7" s="391"/>
      <c r="THQ7" s="391"/>
      <c r="THR7" s="391"/>
      <c r="THS7" s="391"/>
      <c r="THT7" s="391"/>
      <c r="THU7" s="391"/>
      <c r="THV7" s="391"/>
      <c r="THW7" s="391"/>
      <c r="THX7" s="391"/>
      <c r="THY7" s="391"/>
      <c r="THZ7" s="391"/>
      <c r="TIA7" s="391"/>
      <c r="TIB7" s="391"/>
      <c r="TIC7" s="391"/>
      <c r="TID7" s="391"/>
      <c r="TIE7" s="391"/>
      <c r="TIF7" s="391"/>
      <c r="TIG7" s="391"/>
      <c r="TIH7" s="391"/>
      <c r="TII7" s="391"/>
      <c r="TIJ7" s="391"/>
      <c r="TIK7" s="391"/>
      <c r="TIL7" s="391"/>
      <c r="TIM7" s="391"/>
      <c r="TIN7" s="391"/>
      <c r="TIO7" s="391"/>
      <c r="TIP7" s="391"/>
      <c r="TIQ7" s="391"/>
      <c r="TIR7" s="391"/>
      <c r="TIS7" s="391"/>
      <c r="TIT7" s="391"/>
      <c r="TIU7" s="391"/>
      <c r="TIV7" s="391"/>
      <c r="TIW7" s="391"/>
      <c r="TIX7" s="391"/>
      <c r="TIY7" s="391"/>
      <c r="TIZ7" s="391"/>
      <c r="TJA7" s="391"/>
      <c r="TJB7" s="391"/>
      <c r="TJC7" s="391"/>
      <c r="TJD7" s="391"/>
      <c r="TJE7" s="391"/>
      <c r="TJF7" s="391"/>
      <c r="TJG7" s="391"/>
      <c r="TJH7" s="391"/>
      <c r="TJI7" s="391"/>
      <c r="TJJ7" s="391"/>
      <c r="TJK7" s="391"/>
      <c r="TJL7" s="391"/>
      <c r="TJM7" s="391"/>
      <c r="TJN7" s="391"/>
      <c r="TJO7" s="391"/>
      <c r="TJP7" s="391"/>
      <c r="TJQ7" s="391"/>
      <c r="TJR7" s="391"/>
      <c r="TJS7" s="391"/>
      <c r="TJT7" s="391"/>
      <c r="TJU7" s="391"/>
      <c r="TJV7" s="391"/>
      <c r="TJW7" s="391"/>
      <c r="TJX7" s="391"/>
      <c r="TJY7" s="391"/>
      <c r="TJZ7" s="391"/>
      <c r="TKA7" s="391"/>
      <c r="TKB7" s="391"/>
      <c r="TKC7" s="391"/>
      <c r="TKD7" s="391"/>
      <c r="TKE7" s="391"/>
      <c r="TKF7" s="391"/>
      <c r="TKG7" s="391"/>
      <c r="TKH7" s="391"/>
      <c r="TKI7" s="391"/>
      <c r="TKJ7" s="391"/>
      <c r="TKK7" s="391"/>
      <c r="TKL7" s="391"/>
      <c r="TKM7" s="391"/>
      <c r="TKN7" s="391"/>
      <c r="TKO7" s="391"/>
      <c r="TKP7" s="391"/>
      <c r="TKQ7" s="391"/>
      <c r="TKR7" s="391"/>
      <c r="TKS7" s="391"/>
      <c r="TKT7" s="391"/>
      <c r="TKU7" s="391"/>
      <c r="TKV7" s="391"/>
      <c r="TKW7" s="391"/>
      <c r="TKX7" s="391"/>
      <c r="TKY7" s="391"/>
      <c r="TKZ7" s="391"/>
      <c r="TLA7" s="391"/>
      <c r="TLB7" s="391"/>
      <c r="TLC7" s="391"/>
      <c r="TLD7" s="391"/>
      <c r="TLE7" s="391"/>
      <c r="TLF7" s="391"/>
      <c r="TLG7" s="391"/>
      <c r="TLH7" s="391"/>
      <c r="TLI7" s="391"/>
      <c r="TLJ7" s="391"/>
      <c r="TLK7" s="391"/>
      <c r="TLL7" s="391"/>
      <c r="TLM7" s="391"/>
      <c r="TLN7" s="391"/>
      <c r="TLO7" s="391"/>
      <c r="TLP7" s="391"/>
      <c r="TLQ7" s="391"/>
      <c r="TLR7" s="391"/>
      <c r="TLS7" s="391"/>
      <c r="TLT7" s="391"/>
      <c r="TLU7" s="391"/>
      <c r="TLV7" s="391"/>
      <c r="TLW7" s="391"/>
      <c r="TLX7" s="391"/>
      <c r="TLY7" s="391"/>
      <c r="TLZ7" s="391"/>
      <c r="TMA7" s="391"/>
      <c r="TMB7" s="391"/>
      <c r="TMC7" s="391"/>
      <c r="TMD7" s="391"/>
      <c r="TME7" s="391"/>
      <c r="TMF7" s="391"/>
      <c r="TMG7" s="391"/>
      <c r="TMH7" s="391"/>
      <c r="TMI7" s="391"/>
      <c r="TMJ7" s="391"/>
      <c r="TMK7" s="391"/>
      <c r="TML7" s="391"/>
      <c r="TMM7" s="391"/>
      <c r="TMN7" s="391"/>
      <c r="TMO7" s="391"/>
      <c r="TMP7" s="391"/>
      <c r="TMQ7" s="391"/>
      <c r="TMR7" s="391"/>
      <c r="TMS7" s="391"/>
      <c r="TMT7" s="391"/>
      <c r="TMU7" s="391"/>
      <c r="TMV7" s="391"/>
      <c r="TMW7" s="391"/>
      <c r="TMX7" s="391"/>
      <c r="TMY7" s="391"/>
      <c r="TMZ7" s="391"/>
      <c r="TNA7" s="391"/>
      <c r="TNB7" s="391"/>
      <c r="TNC7" s="391"/>
      <c r="TND7" s="391"/>
      <c r="TNE7" s="391"/>
      <c r="TNF7" s="391"/>
      <c r="TNG7" s="391"/>
      <c r="TNH7" s="391"/>
      <c r="TNI7" s="391"/>
      <c r="TNJ7" s="391"/>
      <c r="TNK7" s="391"/>
      <c r="TNL7" s="391"/>
      <c r="TNM7" s="391"/>
      <c r="TNN7" s="391"/>
      <c r="TNO7" s="391"/>
      <c r="TNP7" s="391"/>
      <c r="TNQ7" s="391"/>
      <c r="TNR7" s="391"/>
      <c r="TNS7" s="391"/>
      <c r="TNT7" s="391"/>
      <c r="TNU7" s="391"/>
      <c r="TNV7" s="391"/>
      <c r="TNW7" s="391"/>
      <c r="TNX7" s="391"/>
      <c r="TNY7" s="391"/>
      <c r="TNZ7" s="391"/>
      <c r="TOA7" s="391"/>
      <c r="TOB7" s="391"/>
      <c r="TOC7" s="391"/>
      <c r="TOD7" s="391"/>
      <c r="TOE7" s="391"/>
      <c r="TOF7" s="391"/>
      <c r="TOG7" s="391"/>
      <c r="TOH7" s="391"/>
      <c r="TOI7" s="391"/>
      <c r="TOJ7" s="391"/>
      <c r="TOK7" s="391"/>
      <c r="TOL7" s="391"/>
      <c r="TOM7" s="391"/>
      <c r="TON7" s="391"/>
      <c r="TOO7" s="391"/>
      <c r="TOP7" s="391"/>
      <c r="TOQ7" s="391"/>
      <c r="TOR7" s="391"/>
      <c r="TOS7" s="391"/>
      <c r="TOT7" s="391"/>
      <c r="TOU7" s="391"/>
      <c r="TOV7" s="391"/>
      <c r="TOW7" s="391"/>
      <c r="TOX7" s="391"/>
      <c r="TOY7" s="391"/>
      <c r="TOZ7" s="391"/>
      <c r="TPA7" s="391"/>
      <c r="TPB7" s="391"/>
      <c r="TPC7" s="391"/>
      <c r="TPD7" s="391"/>
      <c r="TPE7" s="391"/>
      <c r="TPF7" s="391"/>
      <c r="TPG7" s="391"/>
      <c r="TPH7" s="391"/>
      <c r="TPI7" s="391"/>
      <c r="TPJ7" s="391"/>
      <c r="TPK7" s="391"/>
      <c r="TPL7" s="391"/>
      <c r="TPM7" s="391"/>
      <c r="TPN7" s="391"/>
      <c r="TPO7" s="391"/>
      <c r="TPP7" s="391"/>
      <c r="TPQ7" s="391"/>
      <c r="TPR7" s="391"/>
      <c r="TPS7" s="391"/>
      <c r="TPT7" s="391"/>
      <c r="TPU7" s="391"/>
      <c r="TPV7" s="391"/>
      <c r="TPW7" s="391"/>
      <c r="TPX7" s="391"/>
      <c r="TPY7" s="391"/>
      <c r="TPZ7" s="391"/>
      <c r="TQA7" s="391"/>
      <c r="TQB7" s="391"/>
      <c r="TQC7" s="391"/>
      <c r="TQD7" s="391"/>
      <c r="TQE7" s="391"/>
      <c r="TQF7" s="391"/>
      <c r="TQG7" s="391"/>
      <c r="TQH7" s="391"/>
      <c r="TQI7" s="391"/>
      <c r="TQJ7" s="391"/>
      <c r="TQK7" s="391"/>
      <c r="TQL7" s="391"/>
      <c r="TQM7" s="391"/>
      <c r="TQN7" s="391"/>
      <c r="TQO7" s="391"/>
      <c r="TQP7" s="391"/>
      <c r="TQQ7" s="391"/>
      <c r="TQR7" s="391"/>
      <c r="TQS7" s="391"/>
      <c r="TQT7" s="391"/>
      <c r="TQU7" s="391"/>
      <c r="TQV7" s="391"/>
      <c r="TQW7" s="391"/>
      <c r="TQX7" s="391"/>
      <c r="TQY7" s="391"/>
      <c r="TQZ7" s="391"/>
      <c r="TRA7" s="391"/>
      <c r="TRB7" s="391"/>
      <c r="TRC7" s="391"/>
      <c r="TRD7" s="391"/>
      <c r="TRE7" s="391"/>
      <c r="TRF7" s="391"/>
      <c r="TRG7" s="391"/>
      <c r="TRH7" s="391"/>
      <c r="TRI7" s="391"/>
      <c r="TRJ7" s="391"/>
      <c r="TRK7" s="391"/>
      <c r="TRL7" s="391"/>
      <c r="TRM7" s="391"/>
      <c r="TRN7" s="391"/>
      <c r="TRO7" s="391"/>
      <c r="TRP7" s="391"/>
      <c r="TRQ7" s="391"/>
      <c r="TRR7" s="391"/>
      <c r="TRS7" s="391"/>
      <c r="TRT7" s="391"/>
      <c r="TRU7" s="391"/>
      <c r="TRV7" s="391"/>
      <c r="TRW7" s="391"/>
      <c r="TRX7" s="391"/>
      <c r="TRY7" s="391"/>
      <c r="TRZ7" s="391"/>
      <c r="TSA7" s="391"/>
      <c r="TSB7" s="391"/>
      <c r="TSC7" s="391"/>
      <c r="TSD7" s="391"/>
      <c r="TSE7" s="391"/>
      <c r="TSF7" s="391"/>
      <c r="TSG7" s="391"/>
      <c r="TSH7" s="391"/>
      <c r="TSI7" s="391"/>
      <c r="TSJ7" s="391"/>
      <c r="TSK7" s="391"/>
      <c r="TSL7" s="391"/>
      <c r="TSM7" s="391"/>
      <c r="TSN7" s="391"/>
      <c r="TSO7" s="391"/>
      <c r="TSP7" s="391"/>
      <c r="TSQ7" s="391"/>
      <c r="TSR7" s="391"/>
      <c r="TSS7" s="391"/>
      <c r="TST7" s="391"/>
      <c r="TSU7" s="391"/>
      <c r="TSV7" s="391"/>
      <c r="TSW7" s="391"/>
      <c r="TSX7" s="391"/>
      <c r="TSY7" s="391"/>
      <c r="TSZ7" s="391"/>
      <c r="TTA7" s="391"/>
      <c r="TTB7" s="391"/>
      <c r="TTC7" s="391"/>
      <c r="TTD7" s="391"/>
      <c r="TTE7" s="391"/>
      <c r="TTF7" s="391"/>
      <c r="TTG7" s="391"/>
      <c r="TTH7" s="391"/>
      <c r="TTI7" s="391"/>
      <c r="TTJ7" s="391"/>
      <c r="TTK7" s="391"/>
      <c r="TTL7" s="391"/>
      <c r="TTM7" s="391"/>
      <c r="TTN7" s="391"/>
      <c r="TTO7" s="391"/>
      <c r="TTP7" s="391"/>
      <c r="TTQ7" s="391"/>
      <c r="TTR7" s="391"/>
      <c r="TTS7" s="391"/>
      <c r="TTT7" s="391"/>
      <c r="TTU7" s="391"/>
      <c r="TTV7" s="391"/>
      <c r="TTW7" s="391"/>
      <c r="TTX7" s="391"/>
      <c r="TTY7" s="391"/>
      <c r="TTZ7" s="391"/>
      <c r="TUA7" s="391"/>
      <c r="TUB7" s="391"/>
      <c r="TUC7" s="391"/>
      <c r="TUD7" s="391"/>
      <c r="TUE7" s="391"/>
      <c r="TUF7" s="391"/>
      <c r="TUG7" s="391"/>
      <c r="TUH7" s="391"/>
      <c r="TUI7" s="391"/>
      <c r="TUJ7" s="391"/>
      <c r="TUK7" s="391"/>
      <c r="TUL7" s="391"/>
      <c r="TUM7" s="391"/>
      <c r="TUN7" s="391"/>
      <c r="TUO7" s="391"/>
      <c r="TUP7" s="391"/>
      <c r="TUQ7" s="391"/>
      <c r="TUR7" s="391"/>
      <c r="TUS7" s="391"/>
      <c r="TUT7" s="391"/>
      <c r="TUU7" s="391"/>
      <c r="TUV7" s="391"/>
      <c r="TUW7" s="391"/>
      <c r="TUX7" s="391"/>
      <c r="TUY7" s="391"/>
      <c r="TUZ7" s="391"/>
      <c r="TVA7" s="391"/>
      <c r="TVB7" s="391"/>
      <c r="TVC7" s="391"/>
      <c r="TVD7" s="391"/>
      <c r="TVE7" s="391"/>
      <c r="TVF7" s="391"/>
      <c r="TVG7" s="391"/>
      <c r="TVH7" s="391"/>
      <c r="TVI7" s="391"/>
      <c r="TVJ7" s="391"/>
      <c r="TVK7" s="391"/>
      <c r="TVL7" s="391"/>
      <c r="TVM7" s="391"/>
      <c r="TVN7" s="391"/>
      <c r="TVO7" s="391"/>
      <c r="TVP7" s="391"/>
      <c r="TVQ7" s="391"/>
      <c r="TVR7" s="391"/>
      <c r="TVS7" s="391"/>
      <c r="TVT7" s="391"/>
      <c r="TVU7" s="391"/>
      <c r="TVV7" s="391"/>
      <c r="TVW7" s="391"/>
      <c r="TVX7" s="391"/>
      <c r="TVY7" s="391"/>
      <c r="TVZ7" s="391"/>
      <c r="TWA7" s="391"/>
      <c r="TWB7" s="391"/>
      <c r="TWC7" s="391"/>
      <c r="TWD7" s="391"/>
      <c r="TWE7" s="391"/>
      <c r="TWF7" s="391"/>
      <c r="TWG7" s="391"/>
      <c r="TWH7" s="391"/>
      <c r="TWI7" s="391"/>
      <c r="TWJ7" s="391"/>
      <c r="TWK7" s="391"/>
      <c r="TWL7" s="391"/>
      <c r="TWM7" s="391"/>
      <c r="TWN7" s="391"/>
      <c r="TWO7" s="391"/>
      <c r="TWP7" s="391"/>
      <c r="TWQ7" s="391"/>
      <c r="TWR7" s="391"/>
      <c r="TWS7" s="391"/>
      <c r="TWT7" s="391"/>
      <c r="TWU7" s="391"/>
      <c r="TWV7" s="391"/>
      <c r="TWW7" s="391"/>
      <c r="TWX7" s="391"/>
      <c r="TWY7" s="391"/>
      <c r="TWZ7" s="391"/>
      <c r="TXA7" s="391"/>
      <c r="TXB7" s="391"/>
      <c r="TXC7" s="391"/>
      <c r="TXD7" s="391"/>
      <c r="TXE7" s="391"/>
      <c r="TXF7" s="391"/>
      <c r="TXG7" s="391"/>
      <c r="TXH7" s="391"/>
      <c r="TXI7" s="391"/>
      <c r="TXJ7" s="391"/>
      <c r="TXK7" s="391"/>
      <c r="TXL7" s="391"/>
      <c r="TXM7" s="391"/>
      <c r="TXN7" s="391"/>
      <c r="TXO7" s="391"/>
      <c r="TXP7" s="391"/>
      <c r="TXQ7" s="391"/>
      <c r="TXR7" s="391"/>
      <c r="TXS7" s="391"/>
      <c r="TXT7" s="391"/>
      <c r="TXU7" s="391"/>
      <c r="TXV7" s="391"/>
      <c r="TXW7" s="391"/>
      <c r="TXX7" s="391"/>
      <c r="TXY7" s="391"/>
      <c r="TXZ7" s="391"/>
      <c r="TYA7" s="391"/>
      <c r="TYB7" s="391"/>
      <c r="TYC7" s="391"/>
      <c r="TYD7" s="391"/>
      <c r="TYE7" s="391"/>
      <c r="TYF7" s="391"/>
      <c r="TYG7" s="391"/>
      <c r="TYH7" s="391"/>
      <c r="TYI7" s="391"/>
      <c r="TYJ7" s="391"/>
      <c r="TYK7" s="391"/>
      <c r="TYL7" s="391"/>
      <c r="TYM7" s="391"/>
      <c r="TYN7" s="391"/>
      <c r="TYO7" s="391"/>
      <c r="TYP7" s="391"/>
      <c r="TYQ7" s="391"/>
      <c r="TYR7" s="391"/>
      <c r="TYS7" s="391"/>
      <c r="TYT7" s="391"/>
      <c r="TYU7" s="391"/>
      <c r="TYV7" s="391"/>
      <c r="TYW7" s="391"/>
      <c r="TYX7" s="391"/>
      <c r="TYY7" s="391"/>
      <c r="TYZ7" s="391"/>
      <c r="TZA7" s="391"/>
      <c r="TZB7" s="391"/>
      <c r="TZC7" s="391"/>
      <c r="TZD7" s="391"/>
      <c r="TZE7" s="391"/>
      <c r="TZF7" s="391"/>
      <c r="TZG7" s="391"/>
      <c r="TZH7" s="391"/>
      <c r="TZI7" s="391"/>
      <c r="TZJ7" s="391"/>
      <c r="TZK7" s="391"/>
      <c r="TZL7" s="391"/>
      <c r="TZM7" s="391"/>
      <c r="TZN7" s="391"/>
      <c r="TZO7" s="391"/>
      <c r="TZP7" s="391"/>
      <c r="TZQ7" s="391"/>
      <c r="TZR7" s="391"/>
      <c r="TZS7" s="391"/>
      <c r="TZT7" s="391"/>
      <c r="TZU7" s="391"/>
      <c r="TZV7" s="391"/>
      <c r="TZW7" s="391"/>
      <c r="TZX7" s="391"/>
      <c r="TZY7" s="391"/>
      <c r="TZZ7" s="391"/>
      <c r="UAA7" s="391"/>
      <c r="UAB7" s="391"/>
      <c r="UAC7" s="391"/>
      <c r="UAD7" s="391"/>
      <c r="UAE7" s="391"/>
      <c r="UAF7" s="391"/>
      <c r="UAG7" s="391"/>
      <c r="UAH7" s="391"/>
      <c r="UAI7" s="391"/>
      <c r="UAJ7" s="391"/>
      <c r="UAK7" s="391"/>
      <c r="UAL7" s="391"/>
      <c r="UAM7" s="391"/>
      <c r="UAN7" s="391"/>
      <c r="UAO7" s="391"/>
      <c r="UAP7" s="391"/>
      <c r="UAQ7" s="391"/>
      <c r="UAR7" s="391"/>
      <c r="UAS7" s="391"/>
      <c r="UAT7" s="391"/>
      <c r="UAU7" s="391"/>
      <c r="UAV7" s="391"/>
      <c r="UAW7" s="391"/>
      <c r="UAX7" s="391"/>
      <c r="UAY7" s="391"/>
      <c r="UAZ7" s="391"/>
      <c r="UBA7" s="391"/>
      <c r="UBB7" s="391"/>
      <c r="UBC7" s="391"/>
      <c r="UBD7" s="391"/>
      <c r="UBE7" s="391"/>
      <c r="UBF7" s="391"/>
      <c r="UBG7" s="391"/>
      <c r="UBH7" s="391"/>
      <c r="UBI7" s="391"/>
      <c r="UBJ7" s="391"/>
      <c r="UBK7" s="391"/>
      <c r="UBL7" s="391"/>
      <c r="UBM7" s="391"/>
      <c r="UBN7" s="391"/>
      <c r="UBO7" s="391"/>
      <c r="UBP7" s="391"/>
      <c r="UBQ7" s="391"/>
      <c r="UBR7" s="391"/>
      <c r="UBS7" s="391"/>
      <c r="UBT7" s="391"/>
      <c r="UBU7" s="391"/>
      <c r="UBV7" s="391"/>
      <c r="UBW7" s="391"/>
      <c r="UBX7" s="391"/>
      <c r="UBY7" s="391"/>
      <c r="UBZ7" s="391"/>
      <c r="UCA7" s="391"/>
      <c r="UCB7" s="391"/>
      <c r="UCC7" s="391"/>
      <c r="UCD7" s="391"/>
      <c r="UCE7" s="391"/>
      <c r="UCF7" s="391"/>
      <c r="UCG7" s="391"/>
      <c r="UCH7" s="391"/>
      <c r="UCI7" s="391"/>
      <c r="UCJ7" s="391"/>
      <c r="UCK7" s="391"/>
      <c r="UCL7" s="391"/>
      <c r="UCM7" s="391"/>
      <c r="UCN7" s="391"/>
      <c r="UCO7" s="391"/>
      <c r="UCP7" s="391"/>
      <c r="UCQ7" s="391"/>
      <c r="UCR7" s="391"/>
      <c r="UCS7" s="391"/>
      <c r="UCT7" s="391"/>
      <c r="UCU7" s="391"/>
      <c r="UCV7" s="391"/>
      <c r="UCW7" s="391"/>
      <c r="UCX7" s="391"/>
      <c r="UCY7" s="391"/>
      <c r="UCZ7" s="391"/>
      <c r="UDA7" s="391"/>
      <c r="UDB7" s="391"/>
      <c r="UDC7" s="391"/>
      <c r="UDD7" s="391"/>
      <c r="UDE7" s="391"/>
      <c r="UDF7" s="391"/>
      <c r="UDG7" s="391"/>
      <c r="UDH7" s="391"/>
      <c r="UDI7" s="391"/>
      <c r="UDJ7" s="391"/>
      <c r="UDK7" s="391"/>
      <c r="UDL7" s="391"/>
      <c r="UDM7" s="391"/>
      <c r="UDN7" s="391"/>
      <c r="UDO7" s="391"/>
      <c r="UDP7" s="391"/>
      <c r="UDQ7" s="391"/>
      <c r="UDR7" s="391"/>
      <c r="UDS7" s="391"/>
      <c r="UDT7" s="391"/>
      <c r="UDU7" s="391"/>
      <c r="UDV7" s="391"/>
      <c r="UDW7" s="391"/>
      <c r="UDX7" s="391"/>
      <c r="UDY7" s="391"/>
      <c r="UDZ7" s="391"/>
      <c r="UEA7" s="391"/>
      <c r="UEB7" s="391"/>
      <c r="UEC7" s="391"/>
      <c r="UED7" s="391"/>
      <c r="UEE7" s="391"/>
      <c r="UEF7" s="391"/>
      <c r="UEG7" s="391"/>
      <c r="UEH7" s="391"/>
      <c r="UEI7" s="391"/>
      <c r="UEJ7" s="391"/>
      <c r="UEK7" s="391"/>
      <c r="UEL7" s="391"/>
      <c r="UEM7" s="391"/>
      <c r="UEN7" s="391"/>
      <c r="UEO7" s="391"/>
      <c r="UEP7" s="391"/>
      <c r="UEQ7" s="391"/>
      <c r="UER7" s="391"/>
      <c r="UES7" s="391"/>
      <c r="UET7" s="391"/>
      <c r="UEU7" s="391"/>
      <c r="UEV7" s="391"/>
      <c r="UEW7" s="391"/>
      <c r="UEX7" s="391"/>
      <c r="UEY7" s="391"/>
      <c r="UEZ7" s="391"/>
      <c r="UFA7" s="391"/>
      <c r="UFB7" s="391"/>
      <c r="UFC7" s="391"/>
      <c r="UFD7" s="391"/>
      <c r="UFE7" s="391"/>
      <c r="UFF7" s="391"/>
      <c r="UFG7" s="391"/>
      <c r="UFH7" s="391"/>
      <c r="UFI7" s="391"/>
      <c r="UFJ7" s="391"/>
      <c r="UFK7" s="391"/>
      <c r="UFL7" s="391"/>
      <c r="UFM7" s="391"/>
      <c r="UFN7" s="391"/>
      <c r="UFO7" s="391"/>
      <c r="UFP7" s="391"/>
      <c r="UFQ7" s="391"/>
      <c r="UFR7" s="391"/>
      <c r="UFS7" s="391"/>
      <c r="UFT7" s="391"/>
      <c r="UFU7" s="391"/>
      <c r="UFV7" s="391"/>
      <c r="UFW7" s="391"/>
      <c r="UFX7" s="391"/>
      <c r="UFY7" s="391"/>
      <c r="UFZ7" s="391"/>
      <c r="UGA7" s="391"/>
      <c r="UGB7" s="391"/>
      <c r="UGC7" s="391"/>
      <c r="UGD7" s="391"/>
      <c r="UGE7" s="391"/>
      <c r="UGF7" s="391"/>
      <c r="UGG7" s="391"/>
      <c r="UGH7" s="391"/>
      <c r="UGI7" s="391"/>
      <c r="UGJ7" s="391"/>
      <c r="UGK7" s="391"/>
      <c r="UGL7" s="391"/>
      <c r="UGM7" s="391"/>
      <c r="UGN7" s="391"/>
      <c r="UGO7" s="391"/>
      <c r="UGP7" s="391"/>
      <c r="UGQ7" s="391"/>
      <c r="UGR7" s="391"/>
      <c r="UGS7" s="391"/>
      <c r="UGT7" s="391"/>
      <c r="UGU7" s="391"/>
      <c r="UGV7" s="391"/>
      <c r="UGW7" s="391"/>
      <c r="UGX7" s="391"/>
      <c r="UGY7" s="391"/>
      <c r="UGZ7" s="391"/>
      <c r="UHA7" s="391"/>
      <c r="UHB7" s="391"/>
      <c r="UHC7" s="391"/>
      <c r="UHD7" s="391"/>
      <c r="UHE7" s="391"/>
      <c r="UHF7" s="391"/>
      <c r="UHG7" s="391"/>
      <c r="UHH7" s="391"/>
      <c r="UHI7" s="391"/>
      <c r="UHJ7" s="391"/>
      <c r="UHK7" s="391"/>
      <c r="UHL7" s="391"/>
      <c r="UHM7" s="391"/>
      <c r="UHN7" s="391"/>
      <c r="UHO7" s="391"/>
      <c r="UHP7" s="391"/>
      <c r="UHQ7" s="391"/>
      <c r="UHR7" s="391"/>
      <c r="UHS7" s="391"/>
      <c r="UHT7" s="391"/>
      <c r="UHU7" s="391"/>
      <c r="UHV7" s="391"/>
      <c r="UHW7" s="391"/>
      <c r="UHX7" s="391"/>
      <c r="UHY7" s="391"/>
      <c r="UHZ7" s="391"/>
      <c r="UIA7" s="391"/>
      <c r="UIB7" s="391"/>
      <c r="UIC7" s="391"/>
      <c r="UID7" s="391"/>
      <c r="UIE7" s="391"/>
      <c r="UIF7" s="391"/>
      <c r="UIG7" s="391"/>
      <c r="UIH7" s="391"/>
      <c r="UII7" s="391"/>
      <c r="UIJ7" s="391"/>
      <c r="UIK7" s="391"/>
      <c r="UIL7" s="391"/>
      <c r="UIM7" s="391"/>
      <c r="UIN7" s="391"/>
      <c r="UIO7" s="391"/>
      <c r="UIP7" s="391"/>
      <c r="UIQ7" s="391"/>
      <c r="UIR7" s="391"/>
      <c r="UIS7" s="391"/>
      <c r="UIT7" s="391"/>
      <c r="UIU7" s="391"/>
      <c r="UIV7" s="391"/>
      <c r="UIW7" s="391"/>
      <c r="UIX7" s="391"/>
      <c r="UIY7" s="391"/>
      <c r="UIZ7" s="391"/>
      <c r="UJA7" s="391"/>
      <c r="UJB7" s="391"/>
      <c r="UJC7" s="391"/>
      <c r="UJD7" s="391"/>
      <c r="UJE7" s="391"/>
      <c r="UJF7" s="391"/>
      <c r="UJG7" s="391"/>
      <c r="UJH7" s="391"/>
      <c r="UJI7" s="391"/>
      <c r="UJJ7" s="391"/>
      <c r="UJK7" s="391"/>
      <c r="UJL7" s="391"/>
      <c r="UJM7" s="391"/>
      <c r="UJN7" s="391"/>
      <c r="UJO7" s="391"/>
      <c r="UJP7" s="391"/>
      <c r="UJQ7" s="391"/>
      <c r="UJR7" s="391"/>
      <c r="UJS7" s="391"/>
      <c r="UJT7" s="391"/>
      <c r="UJU7" s="391"/>
      <c r="UJV7" s="391"/>
      <c r="UJW7" s="391"/>
      <c r="UJX7" s="391"/>
      <c r="UJY7" s="391"/>
      <c r="UJZ7" s="391"/>
      <c r="UKA7" s="391"/>
      <c r="UKB7" s="391"/>
      <c r="UKC7" s="391"/>
      <c r="UKD7" s="391"/>
      <c r="UKE7" s="391"/>
      <c r="UKF7" s="391"/>
      <c r="UKG7" s="391"/>
      <c r="UKH7" s="391"/>
      <c r="UKI7" s="391"/>
      <c r="UKJ7" s="391"/>
      <c r="UKK7" s="391"/>
      <c r="UKL7" s="391"/>
      <c r="UKM7" s="391"/>
      <c r="UKN7" s="391"/>
      <c r="UKO7" s="391"/>
      <c r="UKP7" s="391"/>
      <c r="UKQ7" s="391"/>
      <c r="UKR7" s="391"/>
      <c r="UKS7" s="391"/>
      <c r="UKT7" s="391"/>
      <c r="UKU7" s="391"/>
      <c r="UKV7" s="391"/>
      <c r="UKW7" s="391"/>
      <c r="UKX7" s="391"/>
      <c r="UKY7" s="391"/>
      <c r="UKZ7" s="391"/>
      <c r="ULA7" s="391"/>
      <c r="ULB7" s="391"/>
      <c r="ULC7" s="391"/>
      <c r="ULD7" s="391"/>
      <c r="ULE7" s="391"/>
      <c r="ULF7" s="391"/>
      <c r="ULG7" s="391"/>
      <c r="ULH7" s="391"/>
      <c r="ULI7" s="391"/>
      <c r="ULJ7" s="391"/>
      <c r="ULK7" s="391"/>
      <c r="ULL7" s="391"/>
      <c r="ULM7" s="391"/>
      <c r="ULN7" s="391"/>
      <c r="ULO7" s="391"/>
      <c r="ULP7" s="391"/>
      <c r="ULQ7" s="391"/>
      <c r="ULR7" s="391"/>
      <c r="ULS7" s="391"/>
      <c r="ULT7" s="391"/>
      <c r="ULU7" s="391"/>
      <c r="ULV7" s="391"/>
      <c r="ULW7" s="391"/>
      <c r="ULX7" s="391"/>
      <c r="ULY7" s="391"/>
      <c r="ULZ7" s="391"/>
      <c r="UMA7" s="391"/>
      <c r="UMB7" s="391"/>
      <c r="UMC7" s="391"/>
      <c r="UMD7" s="391"/>
      <c r="UME7" s="391"/>
      <c r="UMF7" s="391"/>
      <c r="UMG7" s="391"/>
      <c r="UMH7" s="391"/>
      <c r="UMI7" s="391"/>
      <c r="UMJ7" s="391"/>
      <c r="UMK7" s="391"/>
      <c r="UML7" s="391"/>
      <c r="UMM7" s="391"/>
      <c r="UMN7" s="391"/>
      <c r="UMO7" s="391"/>
      <c r="UMP7" s="391"/>
      <c r="UMQ7" s="391"/>
      <c r="UMR7" s="391"/>
      <c r="UMS7" s="391"/>
      <c r="UMT7" s="391"/>
      <c r="UMU7" s="391"/>
      <c r="UMV7" s="391"/>
      <c r="UMW7" s="391"/>
      <c r="UMX7" s="391"/>
      <c r="UMY7" s="391"/>
      <c r="UMZ7" s="391"/>
      <c r="UNA7" s="391"/>
      <c r="UNB7" s="391"/>
      <c r="UNC7" s="391"/>
      <c r="UND7" s="391"/>
      <c r="UNE7" s="391"/>
      <c r="UNF7" s="391"/>
      <c r="UNG7" s="391"/>
      <c r="UNH7" s="391"/>
      <c r="UNI7" s="391"/>
      <c r="UNJ7" s="391"/>
      <c r="UNK7" s="391"/>
      <c r="UNL7" s="391"/>
      <c r="UNM7" s="391"/>
      <c r="UNN7" s="391"/>
      <c r="UNO7" s="391"/>
      <c r="UNP7" s="391"/>
      <c r="UNQ7" s="391"/>
      <c r="UNR7" s="391"/>
      <c r="UNS7" s="391"/>
      <c r="UNT7" s="391"/>
      <c r="UNU7" s="391"/>
      <c r="UNV7" s="391"/>
      <c r="UNW7" s="391"/>
      <c r="UNX7" s="391"/>
      <c r="UNY7" s="391"/>
      <c r="UNZ7" s="391"/>
      <c r="UOA7" s="391"/>
      <c r="UOB7" s="391"/>
      <c r="UOC7" s="391"/>
      <c r="UOD7" s="391"/>
      <c r="UOE7" s="391"/>
      <c r="UOF7" s="391"/>
      <c r="UOG7" s="391"/>
      <c r="UOH7" s="391"/>
      <c r="UOI7" s="391"/>
      <c r="UOJ7" s="391"/>
      <c r="UOK7" s="391"/>
      <c r="UOL7" s="391"/>
      <c r="UOM7" s="391"/>
      <c r="UON7" s="391"/>
      <c r="UOO7" s="391"/>
      <c r="UOP7" s="391"/>
      <c r="UOQ7" s="391"/>
      <c r="UOR7" s="391"/>
      <c r="UOS7" s="391"/>
      <c r="UOT7" s="391"/>
      <c r="UOU7" s="391"/>
      <c r="UOV7" s="391"/>
      <c r="UOW7" s="391"/>
      <c r="UOX7" s="391"/>
      <c r="UOY7" s="391"/>
      <c r="UOZ7" s="391"/>
      <c r="UPA7" s="391"/>
      <c r="UPB7" s="391"/>
      <c r="UPC7" s="391"/>
      <c r="UPD7" s="391"/>
      <c r="UPE7" s="391"/>
      <c r="UPF7" s="391"/>
      <c r="UPG7" s="391"/>
      <c r="UPH7" s="391"/>
      <c r="UPI7" s="391"/>
      <c r="UPJ7" s="391"/>
      <c r="UPK7" s="391"/>
      <c r="UPL7" s="391"/>
      <c r="UPM7" s="391"/>
      <c r="UPN7" s="391"/>
      <c r="UPO7" s="391"/>
      <c r="UPP7" s="391"/>
      <c r="UPQ7" s="391"/>
      <c r="UPR7" s="391"/>
      <c r="UPS7" s="391"/>
      <c r="UPT7" s="391"/>
      <c r="UPU7" s="391"/>
      <c r="UPV7" s="391"/>
      <c r="UPW7" s="391"/>
      <c r="UPX7" s="391"/>
      <c r="UPY7" s="391"/>
      <c r="UPZ7" s="391"/>
      <c r="UQA7" s="391"/>
      <c r="UQB7" s="391"/>
      <c r="UQC7" s="391"/>
      <c r="UQD7" s="391"/>
      <c r="UQE7" s="391"/>
      <c r="UQF7" s="391"/>
      <c r="UQG7" s="391"/>
      <c r="UQH7" s="391"/>
      <c r="UQI7" s="391"/>
      <c r="UQJ7" s="391"/>
      <c r="UQK7" s="391"/>
      <c r="UQL7" s="391"/>
      <c r="UQM7" s="391"/>
      <c r="UQN7" s="391"/>
      <c r="UQO7" s="391"/>
      <c r="UQP7" s="391"/>
      <c r="UQQ7" s="391"/>
      <c r="UQR7" s="391"/>
      <c r="UQS7" s="391"/>
      <c r="UQT7" s="391"/>
      <c r="UQU7" s="391"/>
      <c r="UQV7" s="391"/>
      <c r="UQW7" s="391"/>
      <c r="UQX7" s="391"/>
      <c r="UQY7" s="391"/>
      <c r="UQZ7" s="391"/>
      <c r="URA7" s="391"/>
      <c r="URB7" s="391"/>
      <c r="URC7" s="391"/>
      <c r="URD7" s="391"/>
      <c r="URE7" s="391"/>
      <c r="URF7" s="391"/>
      <c r="URG7" s="391"/>
      <c r="URH7" s="391"/>
      <c r="URI7" s="391"/>
      <c r="URJ7" s="391"/>
      <c r="URK7" s="391"/>
      <c r="URL7" s="391"/>
      <c r="URM7" s="391"/>
      <c r="URN7" s="391"/>
      <c r="URO7" s="391"/>
      <c r="URP7" s="391"/>
      <c r="URQ7" s="391"/>
      <c r="URR7" s="391"/>
      <c r="URS7" s="391"/>
      <c r="URT7" s="391"/>
      <c r="URU7" s="391"/>
      <c r="URV7" s="391"/>
      <c r="URW7" s="391"/>
      <c r="URX7" s="391"/>
      <c r="URY7" s="391"/>
      <c r="URZ7" s="391"/>
      <c r="USA7" s="391"/>
      <c r="USB7" s="391"/>
      <c r="USC7" s="391"/>
      <c r="USD7" s="391"/>
      <c r="USE7" s="391"/>
      <c r="USF7" s="391"/>
      <c r="USG7" s="391"/>
      <c r="USH7" s="391"/>
      <c r="USI7" s="391"/>
      <c r="USJ7" s="391"/>
      <c r="USK7" s="391"/>
      <c r="USL7" s="391"/>
      <c r="USM7" s="391"/>
      <c r="USN7" s="391"/>
      <c r="USO7" s="391"/>
      <c r="USP7" s="391"/>
      <c r="USQ7" s="391"/>
      <c r="USR7" s="391"/>
      <c r="USS7" s="391"/>
      <c r="UST7" s="391"/>
      <c r="USU7" s="391"/>
      <c r="USV7" s="391"/>
      <c r="USW7" s="391"/>
      <c r="USX7" s="391"/>
      <c r="USY7" s="391"/>
      <c r="USZ7" s="391"/>
      <c r="UTA7" s="391"/>
      <c r="UTB7" s="391"/>
      <c r="UTC7" s="391"/>
      <c r="UTD7" s="391"/>
      <c r="UTE7" s="391"/>
      <c r="UTF7" s="391"/>
      <c r="UTG7" s="391"/>
      <c r="UTH7" s="391"/>
      <c r="UTI7" s="391"/>
      <c r="UTJ7" s="391"/>
      <c r="UTK7" s="391"/>
      <c r="UTL7" s="391"/>
      <c r="UTM7" s="391"/>
      <c r="UTN7" s="391"/>
      <c r="UTO7" s="391"/>
      <c r="UTP7" s="391"/>
      <c r="UTQ7" s="391"/>
      <c r="UTR7" s="391"/>
      <c r="UTS7" s="391"/>
      <c r="UTT7" s="391"/>
      <c r="UTU7" s="391"/>
      <c r="UTV7" s="391"/>
      <c r="UTW7" s="391"/>
      <c r="UTX7" s="391"/>
      <c r="UTY7" s="391"/>
      <c r="UTZ7" s="391"/>
      <c r="UUA7" s="391"/>
      <c r="UUB7" s="391"/>
      <c r="UUC7" s="391"/>
      <c r="UUD7" s="391"/>
      <c r="UUE7" s="391"/>
      <c r="UUF7" s="391"/>
      <c r="UUG7" s="391"/>
      <c r="UUH7" s="391"/>
      <c r="UUI7" s="391"/>
      <c r="UUJ7" s="391"/>
      <c r="UUK7" s="391"/>
      <c r="UUL7" s="391"/>
      <c r="UUM7" s="391"/>
      <c r="UUN7" s="391"/>
      <c r="UUO7" s="391"/>
      <c r="UUP7" s="391"/>
      <c r="UUQ7" s="391"/>
      <c r="UUR7" s="391"/>
      <c r="UUS7" s="391"/>
      <c r="UUT7" s="391"/>
      <c r="UUU7" s="391"/>
      <c r="UUV7" s="391"/>
      <c r="UUW7" s="391"/>
      <c r="UUX7" s="391"/>
      <c r="UUY7" s="391"/>
      <c r="UUZ7" s="391"/>
      <c r="UVA7" s="391"/>
      <c r="UVB7" s="391"/>
      <c r="UVC7" s="391"/>
      <c r="UVD7" s="391"/>
      <c r="UVE7" s="391"/>
      <c r="UVF7" s="391"/>
      <c r="UVG7" s="391"/>
      <c r="UVH7" s="391"/>
      <c r="UVI7" s="391"/>
      <c r="UVJ7" s="391"/>
      <c r="UVK7" s="391"/>
      <c r="UVL7" s="391"/>
      <c r="UVM7" s="391"/>
      <c r="UVN7" s="391"/>
      <c r="UVO7" s="391"/>
      <c r="UVP7" s="391"/>
      <c r="UVQ7" s="391"/>
      <c r="UVR7" s="391"/>
      <c r="UVS7" s="391"/>
      <c r="UVT7" s="391"/>
      <c r="UVU7" s="391"/>
      <c r="UVV7" s="391"/>
      <c r="UVW7" s="391"/>
      <c r="UVX7" s="391"/>
      <c r="UVY7" s="391"/>
      <c r="UVZ7" s="391"/>
      <c r="UWA7" s="391"/>
      <c r="UWB7" s="391"/>
      <c r="UWC7" s="391"/>
      <c r="UWD7" s="391"/>
      <c r="UWE7" s="391"/>
      <c r="UWF7" s="391"/>
      <c r="UWG7" s="391"/>
      <c r="UWH7" s="391"/>
      <c r="UWI7" s="391"/>
      <c r="UWJ7" s="391"/>
      <c r="UWK7" s="391"/>
      <c r="UWL7" s="391"/>
      <c r="UWM7" s="391"/>
      <c r="UWN7" s="391"/>
      <c r="UWO7" s="391"/>
      <c r="UWP7" s="391"/>
      <c r="UWQ7" s="391"/>
      <c r="UWR7" s="391"/>
      <c r="UWS7" s="391"/>
      <c r="UWT7" s="391"/>
      <c r="UWU7" s="391"/>
      <c r="UWV7" s="391"/>
      <c r="UWW7" s="391"/>
      <c r="UWX7" s="391"/>
      <c r="UWY7" s="391"/>
      <c r="UWZ7" s="391"/>
      <c r="UXA7" s="391"/>
      <c r="UXB7" s="391"/>
      <c r="UXC7" s="391"/>
      <c r="UXD7" s="391"/>
      <c r="UXE7" s="391"/>
      <c r="UXF7" s="391"/>
      <c r="UXG7" s="391"/>
      <c r="UXH7" s="391"/>
      <c r="UXI7" s="391"/>
      <c r="UXJ7" s="391"/>
      <c r="UXK7" s="391"/>
      <c r="UXL7" s="391"/>
      <c r="UXM7" s="391"/>
      <c r="UXN7" s="391"/>
      <c r="UXO7" s="391"/>
      <c r="UXP7" s="391"/>
      <c r="UXQ7" s="391"/>
      <c r="UXR7" s="391"/>
      <c r="UXS7" s="391"/>
      <c r="UXT7" s="391"/>
      <c r="UXU7" s="391"/>
      <c r="UXV7" s="391"/>
      <c r="UXW7" s="391"/>
      <c r="UXX7" s="391"/>
      <c r="UXY7" s="391"/>
      <c r="UXZ7" s="391"/>
      <c r="UYA7" s="391"/>
      <c r="UYB7" s="391"/>
      <c r="UYC7" s="391"/>
      <c r="UYD7" s="391"/>
      <c r="UYE7" s="391"/>
      <c r="UYF7" s="391"/>
      <c r="UYG7" s="391"/>
      <c r="UYH7" s="391"/>
      <c r="UYI7" s="391"/>
      <c r="UYJ7" s="391"/>
      <c r="UYK7" s="391"/>
      <c r="UYL7" s="391"/>
      <c r="UYM7" s="391"/>
      <c r="UYN7" s="391"/>
      <c r="UYO7" s="391"/>
      <c r="UYP7" s="391"/>
      <c r="UYQ7" s="391"/>
      <c r="UYR7" s="391"/>
      <c r="UYS7" s="391"/>
      <c r="UYT7" s="391"/>
      <c r="UYU7" s="391"/>
      <c r="UYV7" s="391"/>
      <c r="UYW7" s="391"/>
      <c r="UYX7" s="391"/>
      <c r="UYY7" s="391"/>
      <c r="UYZ7" s="391"/>
      <c r="UZA7" s="391"/>
      <c r="UZB7" s="391"/>
      <c r="UZC7" s="391"/>
      <c r="UZD7" s="391"/>
      <c r="UZE7" s="391"/>
      <c r="UZF7" s="391"/>
      <c r="UZG7" s="391"/>
      <c r="UZH7" s="391"/>
      <c r="UZI7" s="391"/>
      <c r="UZJ7" s="391"/>
      <c r="UZK7" s="391"/>
      <c r="UZL7" s="391"/>
      <c r="UZM7" s="391"/>
      <c r="UZN7" s="391"/>
      <c r="UZO7" s="391"/>
      <c r="UZP7" s="391"/>
      <c r="UZQ7" s="391"/>
      <c r="UZR7" s="391"/>
      <c r="UZS7" s="391"/>
      <c r="UZT7" s="391"/>
      <c r="UZU7" s="391"/>
      <c r="UZV7" s="391"/>
      <c r="UZW7" s="391"/>
      <c r="UZX7" s="391"/>
      <c r="UZY7" s="391"/>
      <c r="UZZ7" s="391"/>
      <c r="VAA7" s="391"/>
      <c r="VAB7" s="391"/>
      <c r="VAC7" s="391"/>
      <c r="VAD7" s="391"/>
      <c r="VAE7" s="391"/>
      <c r="VAF7" s="391"/>
      <c r="VAG7" s="391"/>
      <c r="VAH7" s="391"/>
      <c r="VAI7" s="391"/>
      <c r="VAJ7" s="391"/>
      <c r="VAK7" s="391"/>
      <c r="VAL7" s="391"/>
      <c r="VAM7" s="391"/>
      <c r="VAN7" s="391"/>
      <c r="VAO7" s="391"/>
      <c r="VAP7" s="391"/>
      <c r="VAQ7" s="391"/>
      <c r="VAR7" s="391"/>
      <c r="VAS7" s="391"/>
      <c r="VAT7" s="391"/>
      <c r="VAU7" s="391"/>
      <c r="VAV7" s="391"/>
      <c r="VAW7" s="391"/>
      <c r="VAX7" s="391"/>
      <c r="VAY7" s="391"/>
      <c r="VAZ7" s="391"/>
      <c r="VBA7" s="391"/>
      <c r="VBB7" s="391"/>
      <c r="VBC7" s="391"/>
      <c r="VBD7" s="391"/>
      <c r="VBE7" s="391"/>
      <c r="VBF7" s="391"/>
      <c r="VBG7" s="391"/>
      <c r="VBH7" s="391"/>
      <c r="VBI7" s="391"/>
      <c r="VBJ7" s="391"/>
      <c r="VBK7" s="391"/>
      <c r="VBL7" s="391"/>
      <c r="VBM7" s="391"/>
      <c r="VBN7" s="391"/>
      <c r="VBO7" s="391"/>
      <c r="VBP7" s="391"/>
      <c r="VBQ7" s="391"/>
      <c r="VBR7" s="391"/>
      <c r="VBS7" s="391"/>
      <c r="VBT7" s="391"/>
      <c r="VBU7" s="391"/>
      <c r="VBV7" s="391"/>
      <c r="VBW7" s="391"/>
      <c r="VBX7" s="391"/>
      <c r="VBY7" s="391"/>
      <c r="VBZ7" s="391"/>
      <c r="VCA7" s="391"/>
      <c r="VCB7" s="391"/>
      <c r="VCC7" s="391"/>
      <c r="VCD7" s="391"/>
      <c r="VCE7" s="391"/>
      <c r="VCF7" s="391"/>
      <c r="VCG7" s="391"/>
      <c r="VCH7" s="391"/>
      <c r="VCI7" s="391"/>
      <c r="VCJ7" s="391"/>
      <c r="VCK7" s="391"/>
      <c r="VCL7" s="391"/>
      <c r="VCM7" s="391"/>
      <c r="VCN7" s="391"/>
      <c r="VCO7" s="391"/>
      <c r="VCP7" s="391"/>
      <c r="VCQ7" s="391"/>
      <c r="VCR7" s="391"/>
      <c r="VCS7" s="391"/>
      <c r="VCT7" s="391"/>
      <c r="VCU7" s="391"/>
      <c r="VCV7" s="391"/>
      <c r="VCW7" s="391"/>
      <c r="VCX7" s="391"/>
      <c r="VCY7" s="391"/>
      <c r="VCZ7" s="391"/>
      <c r="VDA7" s="391"/>
      <c r="VDB7" s="391"/>
      <c r="VDC7" s="391"/>
      <c r="VDD7" s="391"/>
      <c r="VDE7" s="391"/>
      <c r="VDF7" s="391"/>
      <c r="VDG7" s="391"/>
      <c r="VDH7" s="391"/>
      <c r="VDI7" s="391"/>
      <c r="VDJ7" s="391"/>
      <c r="VDK7" s="391"/>
      <c r="VDL7" s="391"/>
      <c r="VDM7" s="391"/>
      <c r="VDN7" s="391"/>
      <c r="VDO7" s="391"/>
      <c r="VDP7" s="391"/>
      <c r="VDQ7" s="391"/>
      <c r="VDR7" s="391"/>
      <c r="VDS7" s="391"/>
      <c r="VDT7" s="391"/>
      <c r="VDU7" s="391"/>
      <c r="VDV7" s="391"/>
      <c r="VDW7" s="391"/>
      <c r="VDX7" s="391"/>
      <c r="VDY7" s="391"/>
      <c r="VDZ7" s="391"/>
      <c r="VEA7" s="391"/>
      <c r="VEB7" s="391"/>
      <c r="VEC7" s="391"/>
      <c r="VED7" s="391"/>
      <c r="VEE7" s="391"/>
      <c r="VEF7" s="391"/>
      <c r="VEG7" s="391"/>
      <c r="VEH7" s="391"/>
      <c r="VEI7" s="391"/>
      <c r="VEJ7" s="391"/>
      <c r="VEK7" s="391"/>
      <c r="VEL7" s="391"/>
      <c r="VEM7" s="391"/>
      <c r="VEN7" s="391"/>
      <c r="VEO7" s="391"/>
      <c r="VEP7" s="391"/>
      <c r="VEQ7" s="391"/>
      <c r="VER7" s="391"/>
      <c r="VES7" s="391"/>
      <c r="VET7" s="391"/>
      <c r="VEU7" s="391"/>
      <c r="VEV7" s="391"/>
      <c r="VEW7" s="391"/>
      <c r="VEX7" s="391"/>
      <c r="VEY7" s="391"/>
      <c r="VEZ7" s="391"/>
      <c r="VFA7" s="391"/>
      <c r="VFB7" s="391"/>
      <c r="VFC7" s="391"/>
      <c r="VFD7" s="391"/>
      <c r="VFE7" s="391"/>
      <c r="VFF7" s="391"/>
      <c r="VFG7" s="391"/>
      <c r="VFH7" s="391"/>
      <c r="VFI7" s="391"/>
      <c r="VFJ7" s="391"/>
      <c r="VFK7" s="391"/>
      <c r="VFL7" s="391"/>
      <c r="VFM7" s="391"/>
      <c r="VFN7" s="391"/>
      <c r="VFO7" s="391"/>
      <c r="VFP7" s="391"/>
      <c r="VFQ7" s="391"/>
      <c r="VFR7" s="391"/>
      <c r="VFS7" s="391"/>
      <c r="VFT7" s="391"/>
      <c r="VFU7" s="391"/>
      <c r="VFV7" s="391"/>
      <c r="VFW7" s="391"/>
      <c r="VFX7" s="391"/>
      <c r="VFY7" s="391"/>
      <c r="VFZ7" s="391"/>
      <c r="VGA7" s="391"/>
      <c r="VGB7" s="391"/>
      <c r="VGC7" s="391"/>
      <c r="VGD7" s="391"/>
      <c r="VGE7" s="391"/>
      <c r="VGF7" s="391"/>
      <c r="VGG7" s="391"/>
      <c r="VGH7" s="391"/>
      <c r="VGI7" s="391"/>
      <c r="VGJ7" s="391"/>
      <c r="VGK7" s="391"/>
      <c r="VGL7" s="391"/>
      <c r="VGM7" s="391"/>
      <c r="VGN7" s="391"/>
      <c r="VGO7" s="391"/>
      <c r="VGP7" s="391"/>
      <c r="VGQ7" s="391"/>
      <c r="VGR7" s="391"/>
      <c r="VGS7" s="391"/>
      <c r="VGT7" s="391"/>
      <c r="VGU7" s="391"/>
      <c r="VGV7" s="391"/>
      <c r="VGW7" s="391"/>
      <c r="VGX7" s="391"/>
      <c r="VGY7" s="391"/>
      <c r="VGZ7" s="391"/>
      <c r="VHA7" s="391"/>
      <c r="VHB7" s="391"/>
      <c r="VHC7" s="391"/>
      <c r="VHD7" s="391"/>
      <c r="VHE7" s="391"/>
      <c r="VHF7" s="391"/>
      <c r="VHG7" s="391"/>
      <c r="VHH7" s="391"/>
      <c r="VHI7" s="391"/>
      <c r="VHJ7" s="391"/>
      <c r="VHK7" s="391"/>
      <c r="VHL7" s="391"/>
      <c r="VHM7" s="391"/>
      <c r="VHN7" s="391"/>
      <c r="VHO7" s="391"/>
      <c r="VHP7" s="391"/>
      <c r="VHQ7" s="391"/>
      <c r="VHR7" s="391"/>
      <c r="VHS7" s="391"/>
      <c r="VHT7" s="391"/>
      <c r="VHU7" s="391"/>
      <c r="VHV7" s="391"/>
      <c r="VHW7" s="391"/>
      <c r="VHX7" s="391"/>
      <c r="VHY7" s="391"/>
      <c r="VHZ7" s="391"/>
      <c r="VIA7" s="391"/>
      <c r="VIB7" s="391"/>
      <c r="VIC7" s="391"/>
      <c r="VID7" s="391"/>
      <c r="VIE7" s="391"/>
      <c r="VIF7" s="391"/>
      <c r="VIG7" s="391"/>
      <c r="VIH7" s="391"/>
      <c r="VII7" s="391"/>
      <c r="VIJ7" s="391"/>
      <c r="VIK7" s="391"/>
      <c r="VIL7" s="391"/>
      <c r="VIM7" s="391"/>
      <c r="VIN7" s="391"/>
      <c r="VIO7" s="391"/>
      <c r="VIP7" s="391"/>
      <c r="VIQ7" s="391"/>
      <c r="VIR7" s="391"/>
      <c r="VIS7" s="391"/>
      <c r="VIT7" s="391"/>
      <c r="VIU7" s="391"/>
      <c r="VIV7" s="391"/>
      <c r="VIW7" s="391"/>
      <c r="VIX7" s="391"/>
      <c r="VIY7" s="391"/>
      <c r="VIZ7" s="391"/>
      <c r="VJA7" s="391"/>
      <c r="VJB7" s="391"/>
      <c r="VJC7" s="391"/>
      <c r="VJD7" s="391"/>
      <c r="VJE7" s="391"/>
      <c r="VJF7" s="391"/>
      <c r="VJG7" s="391"/>
      <c r="VJH7" s="391"/>
      <c r="VJI7" s="391"/>
      <c r="VJJ7" s="391"/>
      <c r="VJK7" s="391"/>
      <c r="VJL7" s="391"/>
      <c r="VJM7" s="391"/>
      <c r="VJN7" s="391"/>
      <c r="VJO7" s="391"/>
      <c r="VJP7" s="391"/>
      <c r="VJQ7" s="391"/>
      <c r="VJR7" s="391"/>
      <c r="VJS7" s="391"/>
      <c r="VJT7" s="391"/>
      <c r="VJU7" s="391"/>
      <c r="VJV7" s="391"/>
      <c r="VJW7" s="391"/>
      <c r="VJX7" s="391"/>
      <c r="VJY7" s="391"/>
      <c r="VJZ7" s="391"/>
      <c r="VKA7" s="391"/>
      <c r="VKB7" s="391"/>
      <c r="VKC7" s="391"/>
      <c r="VKD7" s="391"/>
      <c r="VKE7" s="391"/>
      <c r="VKF7" s="391"/>
      <c r="VKG7" s="391"/>
      <c r="VKH7" s="391"/>
      <c r="VKI7" s="391"/>
      <c r="VKJ7" s="391"/>
      <c r="VKK7" s="391"/>
      <c r="VKL7" s="391"/>
      <c r="VKM7" s="391"/>
      <c r="VKN7" s="391"/>
      <c r="VKO7" s="391"/>
      <c r="VKP7" s="391"/>
      <c r="VKQ7" s="391"/>
      <c r="VKR7" s="391"/>
      <c r="VKS7" s="391"/>
      <c r="VKT7" s="391"/>
      <c r="VKU7" s="391"/>
      <c r="VKV7" s="391"/>
      <c r="VKW7" s="391"/>
      <c r="VKX7" s="391"/>
      <c r="VKY7" s="391"/>
      <c r="VKZ7" s="391"/>
      <c r="VLA7" s="391"/>
      <c r="VLB7" s="391"/>
      <c r="VLC7" s="391"/>
      <c r="VLD7" s="391"/>
      <c r="VLE7" s="391"/>
      <c r="VLF7" s="391"/>
      <c r="VLG7" s="391"/>
      <c r="VLH7" s="391"/>
      <c r="VLI7" s="391"/>
      <c r="VLJ7" s="391"/>
      <c r="VLK7" s="391"/>
      <c r="VLL7" s="391"/>
      <c r="VLM7" s="391"/>
      <c r="VLN7" s="391"/>
      <c r="VLO7" s="391"/>
      <c r="VLP7" s="391"/>
      <c r="VLQ7" s="391"/>
      <c r="VLR7" s="391"/>
      <c r="VLS7" s="391"/>
      <c r="VLT7" s="391"/>
      <c r="VLU7" s="391"/>
      <c r="VLV7" s="391"/>
      <c r="VLW7" s="391"/>
      <c r="VLX7" s="391"/>
      <c r="VLY7" s="391"/>
      <c r="VLZ7" s="391"/>
      <c r="VMA7" s="391"/>
      <c r="VMB7" s="391"/>
      <c r="VMC7" s="391"/>
      <c r="VMD7" s="391"/>
      <c r="VME7" s="391"/>
      <c r="VMF7" s="391"/>
      <c r="VMG7" s="391"/>
      <c r="VMH7" s="391"/>
      <c r="VMI7" s="391"/>
      <c r="VMJ7" s="391"/>
      <c r="VMK7" s="391"/>
      <c r="VML7" s="391"/>
      <c r="VMM7" s="391"/>
      <c r="VMN7" s="391"/>
      <c r="VMO7" s="391"/>
      <c r="VMP7" s="391"/>
      <c r="VMQ7" s="391"/>
      <c r="VMR7" s="391"/>
      <c r="VMS7" s="391"/>
      <c r="VMT7" s="391"/>
      <c r="VMU7" s="391"/>
      <c r="VMV7" s="391"/>
      <c r="VMW7" s="391"/>
      <c r="VMX7" s="391"/>
      <c r="VMY7" s="391"/>
      <c r="VMZ7" s="391"/>
      <c r="VNA7" s="391"/>
      <c r="VNB7" s="391"/>
      <c r="VNC7" s="391"/>
      <c r="VND7" s="391"/>
      <c r="VNE7" s="391"/>
      <c r="VNF7" s="391"/>
      <c r="VNG7" s="391"/>
      <c r="VNH7" s="391"/>
      <c r="VNI7" s="391"/>
      <c r="VNJ7" s="391"/>
      <c r="VNK7" s="391"/>
      <c r="VNL7" s="391"/>
      <c r="VNM7" s="391"/>
      <c r="VNN7" s="391"/>
      <c r="VNO7" s="391"/>
      <c r="VNP7" s="391"/>
      <c r="VNQ7" s="391"/>
      <c r="VNR7" s="391"/>
      <c r="VNS7" s="391"/>
      <c r="VNT7" s="391"/>
      <c r="VNU7" s="391"/>
      <c r="VNV7" s="391"/>
      <c r="VNW7" s="391"/>
      <c r="VNX7" s="391"/>
      <c r="VNY7" s="391"/>
      <c r="VNZ7" s="391"/>
      <c r="VOA7" s="391"/>
      <c r="VOB7" s="391"/>
      <c r="VOC7" s="391"/>
      <c r="VOD7" s="391"/>
      <c r="VOE7" s="391"/>
      <c r="VOF7" s="391"/>
      <c r="VOG7" s="391"/>
      <c r="VOH7" s="391"/>
      <c r="VOI7" s="391"/>
      <c r="VOJ7" s="391"/>
      <c r="VOK7" s="391"/>
      <c r="VOL7" s="391"/>
      <c r="VOM7" s="391"/>
      <c r="VON7" s="391"/>
      <c r="VOO7" s="391"/>
      <c r="VOP7" s="391"/>
      <c r="VOQ7" s="391"/>
      <c r="VOR7" s="391"/>
      <c r="VOS7" s="391"/>
      <c r="VOT7" s="391"/>
      <c r="VOU7" s="391"/>
      <c r="VOV7" s="391"/>
      <c r="VOW7" s="391"/>
      <c r="VOX7" s="391"/>
      <c r="VOY7" s="391"/>
      <c r="VOZ7" s="391"/>
      <c r="VPA7" s="391"/>
      <c r="VPB7" s="391"/>
      <c r="VPC7" s="391"/>
      <c r="VPD7" s="391"/>
      <c r="VPE7" s="391"/>
      <c r="VPF7" s="391"/>
      <c r="VPG7" s="391"/>
      <c r="VPH7" s="391"/>
      <c r="VPI7" s="391"/>
      <c r="VPJ7" s="391"/>
      <c r="VPK7" s="391"/>
      <c r="VPL7" s="391"/>
      <c r="VPM7" s="391"/>
      <c r="VPN7" s="391"/>
      <c r="VPO7" s="391"/>
      <c r="VPP7" s="391"/>
      <c r="VPQ7" s="391"/>
      <c r="VPR7" s="391"/>
      <c r="VPS7" s="391"/>
      <c r="VPT7" s="391"/>
      <c r="VPU7" s="391"/>
      <c r="VPV7" s="391"/>
      <c r="VPW7" s="391"/>
      <c r="VPX7" s="391"/>
      <c r="VPY7" s="391"/>
      <c r="VPZ7" s="391"/>
      <c r="VQA7" s="391"/>
      <c r="VQB7" s="391"/>
      <c r="VQC7" s="391"/>
      <c r="VQD7" s="391"/>
      <c r="VQE7" s="391"/>
      <c r="VQF7" s="391"/>
      <c r="VQG7" s="391"/>
      <c r="VQH7" s="391"/>
      <c r="VQI7" s="391"/>
      <c r="VQJ7" s="391"/>
      <c r="VQK7" s="391"/>
      <c r="VQL7" s="391"/>
      <c r="VQM7" s="391"/>
      <c r="VQN7" s="391"/>
      <c r="VQO7" s="391"/>
      <c r="VQP7" s="391"/>
      <c r="VQQ7" s="391"/>
      <c r="VQR7" s="391"/>
      <c r="VQS7" s="391"/>
      <c r="VQT7" s="391"/>
      <c r="VQU7" s="391"/>
      <c r="VQV7" s="391"/>
      <c r="VQW7" s="391"/>
      <c r="VQX7" s="391"/>
      <c r="VQY7" s="391"/>
      <c r="VQZ7" s="391"/>
      <c r="VRA7" s="391"/>
      <c r="VRB7" s="391"/>
      <c r="VRC7" s="391"/>
      <c r="VRD7" s="391"/>
      <c r="VRE7" s="391"/>
      <c r="VRF7" s="391"/>
      <c r="VRG7" s="391"/>
      <c r="VRH7" s="391"/>
      <c r="VRI7" s="391"/>
      <c r="VRJ7" s="391"/>
      <c r="VRK7" s="391"/>
      <c r="VRL7" s="391"/>
      <c r="VRM7" s="391"/>
      <c r="VRN7" s="391"/>
      <c r="VRO7" s="391"/>
      <c r="VRP7" s="391"/>
      <c r="VRQ7" s="391"/>
      <c r="VRR7" s="391"/>
      <c r="VRS7" s="391"/>
      <c r="VRT7" s="391"/>
      <c r="VRU7" s="391"/>
      <c r="VRV7" s="391"/>
      <c r="VRW7" s="391"/>
      <c r="VRX7" s="391"/>
      <c r="VRY7" s="391"/>
      <c r="VRZ7" s="391"/>
      <c r="VSA7" s="391"/>
      <c r="VSB7" s="391"/>
      <c r="VSC7" s="391"/>
      <c r="VSD7" s="391"/>
      <c r="VSE7" s="391"/>
      <c r="VSF7" s="391"/>
      <c r="VSG7" s="391"/>
      <c r="VSH7" s="391"/>
      <c r="VSI7" s="391"/>
      <c r="VSJ7" s="391"/>
      <c r="VSK7" s="391"/>
      <c r="VSL7" s="391"/>
      <c r="VSM7" s="391"/>
      <c r="VSN7" s="391"/>
      <c r="VSO7" s="391"/>
      <c r="VSP7" s="391"/>
      <c r="VSQ7" s="391"/>
      <c r="VSR7" s="391"/>
      <c r="VSS7" s="391"/>
      <c r="VST7" s="391"/>
      <c r="VSU7" s="391"/>
      <c r="VSV7" s="391"/>
      <c r="VSW7" s="391"/>
      <c r="VSX7" s="391"/>
      <c r="VSY7" s="391"/>
      <c r="VSZ7" s="391"/>
      <c r="VTA7" s="391"/>
      <c r="VTB7" s="391"/>
      <c r="VTC7" s="391"/>
      <c r="VTD7" s="391"/>
      <c r="VTE7" s="391"/>
      <c r="VTF7" s="391"/>
      <c r="VTG7" s="391"/>
      <c r="VTH7" s="391"/>
      <c r="VTI7" s="391"/>
      <c r="VTJ7" s="391"/>
      <c r="VTK7" s="391"/>
      <c r="VTL7" s="391"/>
      <c r="VTM7" s="391"/>
      <c r="VTN7" s="391"/>
      <c r="VTO7" s="391"/>
      <c r="VTP7" s="391"/>
      <c r="VTQ7" s="391"/>
      <c r="VTR7" s="391"/>
      <c r="VTS7" s="391"/>
      <c r="VTT7" s="391"/>
      <c r="VTU7" s="391"/>
      <c r="VTV7" s="391"/>
      <c r="VTW7" s="391"/>
      <c r="VTX7" s="391"/>
      <c r="VTY7" s="391"/>
      <c r="VTZ7" s="391"/>
      <c r="VUA7" s="391"/>
      <c r="VUB7" s="391"/>
      <c r="VUC7" s="391"/>
      <c r="VUD7" s="391"/>
      <c r="VUE7" s="391"/>
      <c r="VUF7" s="391"/>
      <c r="VUG7" s="391"/>
      <c r="VUH7" s="391"/>
      <c r="VUI7" s="391"/>
      <c r="VUJ7" s="391"/>
      <c r="VUK7" s="391"/>
      <c r="VUL7" s="391"/>
      <c r="VUM7" s="391"/>
      <c r="VUN7" s="391"/>
      <c r="VUO7" s="391"/>
      <c r="VUP7" s="391"/>
      <c r="VUQ7" s="391"/>
      <c r="VUR7" s="391"/>
      <c r="VUS7" s="391"/>
      <c r="VUT7" s="391"/>
      <c r="VUU7" s="391"/>
      <c r="VUV7" s="391"/>
      <c r="VUW7" s="391"/>
      <c r="VUX7" s="391"/>
      <c r="VUY7" s="391"/>
      <c r="VUZ7" s="391"/>
      <c r="VVA7" s="391"/>
      <c r="VVB7" s="391"/>
      <c r="VVC7" s="391"/>
      <c r="VVD7" s="391"/>
      <c r="VVE7" s="391"/>
      <c r="VVF7" s="391"/>
      <c r="VVG7" s="391"/>
      <c r="VVH7" s="391"/>
      <c r="VVI7" s="391"/>
      <c r="VVJ7" s="391"/>
      <c r="VVK7" s="391"/>
      <c r="VVL7" s="391"/>
      <c r="VVM7" s="391"/>
      <c r="VVN7" s="391"/>
      <c r="VVO7" s="391"/>
      <c r="VVP7" s="391"/>
      <c r="VVQ7" s="391"/>
      <c r="VVR7" s="391"/>
      <c r="VVS7" s="391"/>
      <c r="VVT7" s="391"/>
      <c r="VVU7" s="391"/>
      <c r="VVV7" s="391"/>
      <c r="VVW7" s="391"/>
      <c r="VVX7" s="391"/>
      <c r="VVY7" s="391"/>
      <c r="VVZ7" s="391"/>
      <c r="VWA7" s="391"/>
      <c r="VWB7" s="391"/>
      <c r="VWC7" s="391"/>
      <c r="VWD7" s="391"/>
      <c r="VWE7" s="391"/>
      <c r="VWF7" s="391"/>
      <c r="VWG7" s="391"/>
      <c r="VWH7" s="391"/>
      <c r="VWI7" s="391"/>
      <c r="VWJ7" s="391"/>
      <c r="VWK7" s="391"/>
      <c r="VWL7" s="391"/>
      <c r="VWM7" s="391"/>
      <c r="VWN7" s="391"/>
      <c r="VWO7" s="391"/>
      <c r="VWP7" s="391"/>
      <c r="VWQ7" s="391"/>
      <c r="VWR7" s="391"/>
      <c r="VWS7" s="391"/>
      <c r="VWT7" s="391"/>
      <c r="VWU7" s="391"/>
      <c r="VWV7" s="391"/>
      <c r="VWW7" s="391"/>
      <c r="VWX7" s="391"/>
      <c r="VWY7" s="391"/>
      <c r="VWZ7" s="391"/>
      <c r="VXA7" s="391"/>
      <c r="VXB7" s="391"/>
      <c r="VXC7" s="391"/>
      <c r="VXD7" s="391"/>
      <c r="VXE7" s="391"/>
      <c r="VXF7" s="391"/>
      <c r="VXG7" s="391"/>
      <c r="VXH7" s="391"/>
      <c r="VXI7" s="391"/>
      <c r="VXJ7" s="391"/>
      <c r="VXK7" s="391"/>
      <c r="VXL7" s="391"/>
      <c r="VXM7" s="391"/>
      <c r="VXN7" s="391"/>
      <c r="VXO7" s="391"/>
      <c r="VXP7" s="391"/>
      <c r="VXQ7" s="391"/>
      <c r="VXR7" s="391"/>
      <c r="VXS7" s="391"/>
      <c r="VXT7" s="391"/>
      <c r="VXU7" s="391"/>
      <c r="VXV7" s="391"/>
      <c r="VXW7" s="391"/>
      <c r="VXX7" s="391"/>
      <c r="VXY7" s="391"/>
      <c r="VXZ7" s="391"/>
      <c r="VYA7" s="391"/>
      <c r="VYB7" s="391"/>
      <c r="VYC7" s="391"/>
      <c r="VYD7" s="391"/>
      <c r="VYE7" s="391"/>
      <c r="VYF7" s="391"/>
      <c r="VYG7" s="391"/>
      <c r="VYH7" s="391"/>
      <c r="VYI7" s="391"/>
      <c r="VYJ7" s="391"/>
      <c r="VYK7" s="391"/>
      <c r="VYL7" s="391"/>
      <c r="VYM7" s="391"/>
      <c r="VYN7" s="391"/>
      <c r="VYO7" s="391"/>
      <c r="VYP7" s="391"/>
      <c r="VYQ7" s="391"/>
      <c r="VYR7" s="391"/>
      <c r="VYS7" s="391"/>
      <c r="VYT7" s="391"/>
      <c r="VYU7" s="391"/>
      <c r="VYV7" s="391"/>
      <c r="VYW7" s="391"/>
      <c r="VYX7" s="391"/>
      <c r="VYY7" s="391"/>
      <c r="VYZ7" s="391"/>
      <c r="VZA7" s="391"/>
      <c r="VZB7" s="391"/>
      <c r="VZC7" s="391"/>
      <c r="VZD7" s="391"/>
      <c r="VZE7" s="391"/>
      <c r="VZF7" s="391"/>
      <c r="VZG7" s="391"/>
      <c r="VZH7" s="391"/>
      <c r="VZI7" s="391"/>
      <c r="VZJ7" s="391"/>
      <c r="VZK7" s="391"/>
      <c r="VZL7" s="391"/>
      <c r="VZM7" s="391"/>
      <c r="VZN7" s="391"/>
      <c r="VZO7" s="391"/>
      <c r="VZP7" s="391"/>
      <c r="VZQ7" s="391"/>
      <c r="VZR7" s="391"/>
      <c r="VZS7" s="391"/>
      <c r="VZT7" s="391"/>
      <c r="VZU7" s="391"/>
      <c r="VZV7" s="391"/>
      <c r="VZW7" s="391"/>
      <c r="VZX7" s="391"/>
      <c r="VZY7" s="391"/>
      <c r="VZZ7" s="391"/>
      <c r="WAA7" s="391"/>
      <c r="WAB7" s="391"/>
      <c r="WAC7" s="391"/>
      <c r="WAD7" s="391"/>
      <c r="WAE7" s="391"/>
      <c r="WAF7" s="391"/>
      <c r="WAG7" s="391"/>
      <c r="WAH7" s="391"/>
      <c r="WAI7" s="391"/>
      <c r="WAJ7" s="391"/>
      <c r="WAK7" s="391"/>
      <c r="WAL7" s="391"/>
      <c r="WAM7" s="391"/>
      <c r="WAN7" s="391"/>
      <c r="WAO7" s="391"/>
      <c r="WAP7" s="391"/>
      <c r="WAQ7" s="391"/>
      <c r="WAR7" s="391"/>
      <c r="WAS7" s="391"/>
      <c r="WAT7" s="391"/>
      <c r="WAU7" s="391"/>
      <c r="WAV7" s="391"/>
      <c r="WAW7" s="391"/>
      <c r="WAX7" s="391"/>
      <c r="WAY7" s="391"/>
      <c r="WAZ7" s="391"/>
      <c r="WBA7" s="391"/>
      <c r="WBB7" s="391"/>
      <c r="WBC7" s="391"/>
      <c r="WBD7" s="391"/>
      <c r="WBE7" s="391"/>
      <c r="WBF7" s="391"/>
      <c r="WBG7" s="391"/>
      <c r="WBH7" s="391"/>
      <c r="WBI7" s="391"/>
      <c r="WBJ7" s="391"/>
      <c r="WBK7" s="391"/>
      <c r="WBL7" s="391"/>
      <c r="WBM7" s="391"/>
      <c r="WBN7" s="391"/>
      <c r="WBO7" s="391"/>
      <c r="WBP7" s="391"/>
      <c r="WBQ7" s="391"/>
      <c r="WBR7" s="391"/>
      <c r="WBS7" s="391"/>
      <c r="WBT7" s="391"/>
      <c r="WBU7" s="391"/>
      <c r="WBV7" s="391"/>
      <c r="WBW7" s="391"/>
      <c r="WBX7" s="391"/>
      <c r="WBY7" s="391"/>
      <c r="WBZ7" s="391"/>
      <c r="WCA7" s="391"/>
      <c r="WCB7" s="391"/>
      <c r="WCC7" s="391"/>
      <c r="WCD7" s="391"/>
      <c r="WCE7" s="391"/>
      <c r="WCF7" s="391"/>
      <c r="WCG7" s="391"/>
      <c r="WCH7" s="391"/>
      <c r="WCI7" s="391"/>
      <c r="WCJ7" s="391"/>
      <c r="WCK7" s="391"/>
      <c r="WCL7" s="391"/>
      <c r="WCM7" s="391"/>
      <c r="WCN7" s="391"/>
      <c r="WCO7" s="391"/>
      <c r="WCP7" s="391"/>
      <c r="WCQ7" s="391"/>
      <c r="WCR7" s="391"/>
      <c r="WCS7" s="391"/>
      <c r="WCT7" s="391"/>
      <c r="WCU7" s="391"/>
      <c r="WCV7" s="391"/>
      <c r="WCW7" s="391"/>
      <c r="WCX7" s="391"/>
      <c r="WCY7" s="391"/>
      <c r="WCZ7" s="391"/>
      <c r="WDA7" s="391"/>
      <c r="WDB7" s="391"/>
      <c r="WDC7" s="391"/>
      <c r="WDD7" s="391"/>
      <c r="WDE7" s="391"/>
      <c r="WDF7" s="391"/>
      <c r="WDG7" s="391"/>
      <c r="WDH7" s="391"/>
      <c r="WDI7" s="391"/>
      <c r="WDJ7" s="391"/>
      <c r="WDK7" s="391"/>
      <c r="WDL7" s="391"/>
      <c r="WDM7" s="391"/>
      <c r="WDN7" s="391"/>
      <c r="WDO7" s="391"/>
      <c r="WDP7" s="391"/>
      <c r="WDQ7" s="391"/>
      <c r="WDR7" s="391"/>
      <c r="WDS7" s="391"/>
      <c r="WDT7" s="391"/>
      <c r="WDU7" s="391"/>
      <c r="WDV7" s="391"/>
      <c r="WDW7" s="391"/>
      <c r="WDX7" s="391"/>
      <c r="WDY7" s="391"/>
      <c r="WDZ7" s="391"/>
      <c r="WEA7" s="391"/>
      <c r="WEB7" s="391"/>
      <c r="WEC7" s="391"/>
      <c r="WED7" s="391"/>
      <c r="WEE7" s="391"/>
      <c r="WEF7" s="391"/>
      <c r="WEG7" s="391"/>
      <c r="WEH7" s="391"/>
      <c r="WEI7" s="391"/>
      <c r="WEJ7" s="391"/>
      <c r="WEK7" s="391"/>
      <c r="WEL7" s="391"/>
      <c r="WEM7" s="391"/>
      <c r="WEN7" s="391"/>
      <c r="WEO7" s="391"/>
      <c r="WEP7" s="391"/>
      <c r="WEQ7" s="391"/>
      <c r="WER7" s="391"/>
      <c r="WES7" s="391"/>
      <c r="WET7" s="391"/>
      <c r="WEU7" s="391"/>
      <c r="WEV7" s="391"/>
      <c r="WEW7" s="391"/>
      <c r="WEX7" s="391"/>
      <c r="WEY7" s="391"/>
      <c r="WEZ7" s="391"/>
      <c r="WFA7" s="391"/>
      <c r="WFB7" s="391"/>
      <c r="WFC7" s="391"/>
      <c r="WFD7" s="391"/>
      <c r="WFE7" s="391"/>
      <c r="WFF7" s="391"/>
      <c r="WFG7" s="391"/>
      <c r="WFH7" s="391"/>
      <c r="WFI7" s="391"/>
      <c r="WFJ7" s="391"/>
      <c r="WFK7" s="391"/>
      <c r="WFL7" s="391"/>
      <c r="WFM7" s="391"/>
      <c r="WFN7" s="391"/>
      <c r="WFO7" s="391"/>
      <c r="WFP7" s="391"/>
      <c r="WFQ7" s="391"/>
      <c r="WFR7" s="391"/>
      <c r="WFS7" s="391"/>
      <c r="WFT7" s="391"/>
      <c r="WFU7" s="391"/>
      <c r="WFV7" s="391"/>
      <c r="WFW7" s="391"/>
      <c r="WFX7" s="391"/>
      <c r="WFY7" s="391"/>
      <c r="WFZ7" s="391"/>
      <c r="WGA7" s="391"/>
      <c r="WGB7" s="391"/>
      <c r="WGC7" s="391"/>
      <c r="WGD7" s="391"/>
      <c r="WGE7" s="391"/>
      <c r="WGF7" s="391"/>
      <c r="WGG7" s="391"/>
      <c r="WGH7" s="391"/>
      <c r="WGI7" s="391"/>
      <c r="WGJ7" s="391"/>
      <c r="WGK7" s="391"/>
      <c r="WGL7" s="391"/>
      <c r="WGM7" s="391"/>
      <c r="WGN7" s="391"/>
      <c r="WGO7" s="391"/>
      <c r="WGP7" s="391"/>
      <c r="WGQ7" s="391"/>
      <c r="WGR7" s="391"/>
      <c r="WGS7" s="391"/>
      <c r="WGT7" s="391"/>
      <c r="WGU7" s="391"/>
      <c r="WGV7" s="391"/>
      <c r="WGW7" s="391"/>
      <c r="WGX7" s="391"/>
      <c r="WGY7" s="391"/>
      <c r="WGZ7" s="391"/>
      <c r="WHA7" s="391"/>
      <c r="WHB7" s="391"/>
      <c r="WHC7" s="391"/>
      <c r="WHD7" s="391"/>
      <c r="WHE7" s="391"/>
      <c r="WHF7" s="391"/>
      <c r="WHG7" s="391"/>
      <c r="WHH7" s="391"/>
      <c r="WHI7" s="391"/>
      <c r="WHJ7" s="391"/>
      <c r="WHK7" s="391"/>
      <c r="WHL7" s="391"/>
      <c r="WHM7" s="391"/>
      <c r="WHN7" s="391"/>
      <c r="WHO7" s="391"/>
      <c r="WHP7" s="391"/>
      <c r="WHQ7" s="391"/>
      <c r="WHR7" s="391"/>
      <c r="WHS7" s="391"/>
      <c r="WHT7" s="391"/>
      <c r="WHU7" s="391"/>
      <c r="WHV7" s="391"/>
      <c r="WHW7" s="391"/>
      <c r="WHX7" s="391"/>
      <c r="WHY7" s="391"/>
      <c r="WHZ7" s="391"/>
      <c r="WIA7" s="391"/>
      <c r="WIB7" s="391"/>
      <c r="WIC7" s="391"/>
      <c r="WID7" s="391"/>
      <c r="WIE7" s="391"/>
      <c r="WIF7" s="391"/>
      <c r="WIG7" s="391"/>
      <c r="WIH7" s="391"/>
      <c r="WII7" s="391"/>
      <c r="WIJ7" s="391"/>
      <c r="WIK7" s="391"/>
      <c r="WIL7" s="391"/>
      <c r="WIM7" s="391"/>
      <c r="WIN7" s="391"/>
      <c r="WIO7" s="391"/>
      <c r="WIP7" s="391"/>
      <c r="WIQ7" s="391"/>
      <c r="WIR7" s="391"/>
      <c r="WIS7" s="391"/>
      <c r="WIT7" s="391"/>
      <c r="WIU7" s="391"/>
      <c r="WIV7" s="391"/>
      <c r="WIW7" s="391"/>
      <c r="WIX7" s="391"/>
      <c r="WIY7" s="391"/>
      <c r="WIZ7" s="391"/>
      <c r="WJA7" s="391"/>
      <c r="WJB7" s="391"/>
      <c r="WJC7" s="391"/>
      <c r="WJD7" s="391"/>
      <c r="WJE7" s="391"/>
      <c r="WJF7" s="391"/>
      <c r="WJG7" s="391"/>
      <c r="WJH7" s="391"/>
      <c r="WJI7" s="391"/>
      <c r="WJJ7" s="391"/>
      <c r="WJK7" s="391"/>
      <c r="WJL7" s="391"/>
      <c r="WJM7" s="391"/>
      <c r="WJN7" s="391"/>
      <c r="WJO7" s="391"/>
      <c r="WJP7" s="391"/>
      <c r="WJQ7" s="391"/>
      <c r="WJR7" s="391"/>
      <c r="WJS7" s="391"/>
      <c r="WJT7" s="391"/>
      <c r="WJU7" s="391"/>
      <c r="WJV7" s="391"/>
      <c r="WJW7" s="391"/>
      <c r="WJX7" s="391"/>
      <c r="WJY7" s="391"/>
      <c r="WJZ7" s="391"/>
      <c r="WKA7" s="391"/>
      <c r="WKB7" s="391"/>
      <c r="WKC7" s="391"/>
      <c r="WKD7" s="391"/>
      <c r="WKE7" s="391"/>
      <c r="WKF7" s="391"/>
      <c r="WKG7" s="391"/>
      <c r="WKH7" s="391"/>
      <c r="WKI7" s="391"/>
      <c r="WKJ7" s="391"/>
      <c r="WKK7" s="391"/>
      <c r="WKL7" s="391"/>
      <c r="WKM7" s="391"/>
      <c r="WKN7" s="391"/>
      <c r="WKO7" s="391"/>
      <c r="WKP7" s="391"/>
      <c r="WKQ7" s="391"/>
      <c r="WKR7" s="391"/>
      <c r="WKS7" s="391"/>
      <c r="WKT7" s="391"/>
      <c r="WKU7" s="391"/>
      <c r="WKV7" s="391"/>
      <c r="WKW7" s="391"/>
      <c r="WKX7" s="391"/>
      <c r="WKY7" s="391"/>
      <c r="WKZ7" s="391"/>
      <c r="WLA7" s="391"/>
      <c r="WLB7" s="391"/>
      <c r="WLC7" s="391"/>
      <c r="WLD7" s="391"/>
      <c r="WLE7" s="391"/>
      <c r="WLF7" s="391"/>
      <c r="WLG7" s="391"/>
      <c r="WLH7" s="391"/>
      <c r="WLI7" s="391"/>
      <c r="WLJ7" s="391"/>
      <c r="WLK7" s="391"/>
      <c r="WLL7" s="391"/>
      <c r="WLM7" s="391"/>
      <c r="WLN7" s="391"/>
      <c r="WLO7" s="391"/>
      <c r="WLP7" s="391"/>
      <c r="WLQ7" s="391"/>
      <c r="WLR7" s="391"/>
      <c r="WLS7" s="391"/>
      <c r="WLT7" s="391"/>
      <c r="WLU7" s="391"/>
      <c r="WLV7" s="391"/>
      <c r="WLW7" s="391"/>
      <c r="WLX7" s="391"/>
      <c r="WLY7" s="391"/>
      <c r="WLZ7" s="391"/>
      <c r="WMA7" s="391"/>
      <c r="WMB7" s="391"/>
      <c r="WMC7" s="391"/>
      <c r="WMD7" s="391"/>
      <c r="WME7" s="391"/>
      <c r="WMF7" s="391"/>
      <c r="WMG7" s="391"/>
      <c r="WMH7" s="391"/>
      <c r="WMI7" s="391"/>
      <c r="WMJ7" s="391"/>
      <c r="WMK7" s="391"/>
      <c r="WML7" s="391"/>
      <c r="WMM7" s="391"/>
      <c r="WMN7" s="391"/>
      <c r="WMO7" s="391"/>
      <c r="WMP7" s="391"/>
      <c r="WMQ7" s="391"/>
      <c r="WMR7" s="391"/>
      <c r="WMS7" s="391"/>
      <c r="WMT7" s="391"/>
      <c r="WMU7" s="391"/>
      <c r="WMV7" s="391"/>
      <c r="WMW7" s="391"/>
      <c r="WMX7" s="391"/>
      <c r="WMY7" s="391"/>
      <c r="WMZ7" s="391"/>
      <c r="WNA7" s="391"/>
      <c r="WNB7" s="391"/>
      <c r="WNC7" s="391"/>
      <c r="WND7" s="391"/>
      <c r="WNE7" s="391"/>
      <c r="WNF7" s="391"/>
      <c r="WNG7" s="391"/>
      <c r="WNH7" s="391"/>
      <c r="WNI7" s="391"/>
      <c r="WNJ7" s="391"/>
      <c r="WNK7" s="391"/>
      <c r="WNL7" s="391"/>
      <c r="WNM7" s="391"/>
      <c r="WNN7" s="391"/>
      <c r="WNO7" s="391"/>
      <c r="WNP7" s="391"/>
      <c r="WNQ7" s="391"/>
      <c r="WNR7" s="391"/>
      <c r="WNS7" s="391"/>
      <c r="WNT7" s="391"/>
      <c r="WNU7" s="391"/>
      <c r="WNV7" s="391"/>
      <c r="WNW7" s="391"/>
      <c r="WNX7" s="391"/>
      <c r="WNY7" s="391"/>
      <c r="WNZ7" s="391"/>
      <c r="WOA7" s="391"/>
      <c r="WOB7" s="391"/>
      <c r="WOC7" s="391"/>
      <c r="WOD7" s="391"/>
      <c r="WOE7" s="391"/>
      <c r="WOF7" s="391"/>
      <c r="WOG7" s="391"/>
      <c r="WOH7" s="391"/>
      <c r="WOI7" s="391"/>
      <c r="WOJ7" s="391"/>
      <c r="WOK7" s="391"/>
      <c r="WOL7" s="391"/>
      <c r="WOM7" s="391"/>
      <c r="WON7" s="391"/>
      <c r="WOO7" s="391"/>
      <c r="WOP7" s="391"/>
      <c r="WOQ7" s="391"/>
      <c r="WOR7" s="391"/>
      <c r="WOS7" s="391"/>
      <c r="WOT7" s="391"/>
      <c r="WOU7" s="391"/>
      <c r="WOV7" s="391"/>
      <c r="WOW7" s="391"/>
      <c r="WOX7" s="391"/>
      <c r="WOY7" s="391"/>
      <c r="WOZ7" s="391"/>
      <c r="WPA7" s="391"/>
      <c r="WPB7" s="391"/>
      <c r="WPC7" s="391"/>
      <c r="WPD7" s="391"/>
      <c r="WPE7" s="391"/>
      <c r="WPF7" s="391"/>
      <c r="WPG7" s="391"/>
      <c r="WPH7" s="391"/>
      <c r="WPI7" s="391"/>
      <c r="WPJ7" s="391"/>
      <c r="WPK7" s="391"/>
      <c r="WPL7" s="391"/>
      <c r="WPM7" s="391"/>
      <c r="WPN7" s="391"/>
      <c r="WPO7" s="391"/>
      <c r="WPP7" s="391"/>
      <c r="WPQ7" s="391"/>
      <c r="WPR7" s="391"/>
      <c r="WPS7" s="391"/>
      <c r="WPT7" s="391"/>
      <c r="WPU7" s="391"/>
      <c r="WPV7" s="391"/>
      <c r="WPW7" s="391"/>
      <c r="WPX7" s="391"/>
      <c r="WPY7" s="391"/>
      <c r="WPZ7" s="391"/>
      <c r="WQA7" s="391"/>
      <c r="WQB7" s="391"/>
      <c r="WQC7" s="391"/>
      <c r="WQD7" s="391"/>
      <c r="WQE7" s="391"/>
      <c r="WQF7" s="391"/>
      <c r="WQG7" s="391"/>
      <c r="WQH7" s="391"/>
      <c r="WQI7" s="391"/>
      <c r="WQJ7" s="391"/>
      <c r="WQK7" s="391"/>
      <c r="WQL7" s="391"/>
      <c r="WQM7" s="391"/>
      <c r="WQN7" s="391"/>
      <c r="WQO7" s="391"/>
      <c r="WQP7" s="391"/>
      <c r="WQQ7" s="391"/>
      <c r="WQR7" s="391"/>
      <c r="WQS7" s="391"/>
      <c r="WQT7" s="391"/>
      <c r="WQU7" s="391"/>
      <c r="WQV7" s="391"/>
      <c r="WQW7" s="391"/>
      <c r="WQX7" s="391"/>
      <c r="WQY7" s="391"/>
      <c r="WQZ7" s="391"/>
      <c r="WRA7" s="391"/>
      <c r="WRB7" s="391"/>
      <c r="WRC7" s="391"/>
      <c r="WRD7" s="391"/>
      <c r="WRE7" s="391"/>
      <c r="WRF7" s="391"/>
      <c r="WRG7" s="391"/>
      <c r="WRH7" s="391"/>
      <c r="WRI7" s="391"/>
      <c r="WRJ7" s="391"/>
      <c r="WRK7" s="391"/>
      <c r="WRL7" s="391"/>
      <c r="WRM7" s="391"/>
      <c r="WRN7" s="391"/>
      <c r="WRO7" s="391"/>
      <c r="WRP7" s="391"/>
      <c r="WRQ7" s="391"/>
      <c r="WRR7" s="391"/>
      <c r="WRS7" s="391"/>
      <c r="WRT7" s="391"/>
      <c r="WRU7" s="391"/>
      <c r="WRV7" s="391"/>
      <c r="WRW7" s="391"/>
      <c r="WRX7" s="391"/>
      <c r="WRY7" s="391"/>
      <c r="WRZ7" s="391"/>
      <c r="WSA7" s="391"/>
      <c r="WSB7" s="391"/>
      <c r="WSC7" s="391"/>
      <c r="WSD7" s="391"/>
      <c r="WSE7" s="391"/>
      <c r="WSF7" s="391"/>
      <c r="WSG7" s="391"/>
      <c r="WSH7" s="391"/>
      <c r="WSI7" s="391"/>
      <c r="WSJ7" s="391"/>
      <c r="WSK7" s="391"/>
      <c r="WSL7" s="391"/>
      <c r="WSM7" s="391"/>
      <c r="WSN7" s="391"/>
      <c r="WSO7" s="391"/>
      <c r="WSP7" s="391"/>
      <c r="WSQ7" s="391"/>
      <c r="WSR7" s="391"/>
      <c r="WSS7" s="391"/>
      <c r="WST7" s="391"/>
      <c r="WSU7" s="391"/>
      <c r="WSV7" s="391"/>
      <c r="WSW7" s="391"/>
      <c r="WSX7" s="391"/>
      <c r="WSY7" s="391"/>
      <c r="WSZ7" s="391"/>
      <c r="WTA7" s="391"/>
      <c r="WTB7" s="391"/>
      <c r="WTC7" s="391"/>
      <c r="WTD7" s="391"/>
      <c r="WTE7" s="391"/>
      <c r="WTF7" s="391"/>
      <c r="WTG7" s="391"/>
      <c r="WTH7" s="391"/>
      <c r="WTI7" s="391"/>
      <c r="WTJ7" s="391"/>
      <c r="WTK7" s="391"/>
      <c r="WTL7" s="391"/>
      <c r="WTM7" s="391"/>
      <c r="WTN7" s="391"/>
      <c r="WTO7" s="391"/>
      <c r="WTP7" s="391"/>
      <c r="WTQ7" s="391"/>
      <c r="WTR7" s="391"/>
      <c r="WTS7" s="391"/>
      <c r="WTT7" s="391"/>
      <c r="WTU7" s="391"/>
      <c r="WTV7" s="391"/>
      <c r="WTW7" s="391"/>
      <c r="WTX7" s="391"/>
      <c r="WTY7" s="391"/>
      <c r="WTZ7" s="391"/>
      <c r="WUA7" s="391"/>
      <c r="WUB7" s="391"/>
      <c r="WUC7" s="391"/>
      <c r="WUD7" s="391"/>
      <c r="WUE7" s="391"/>
      <c r="WUF7" s="391"/>
      <c r="WUG7" s="391"/>
      <c r="WUH7" s="391"/>
      <c r="WUI7" s="391"/>
      <c r="WUJ7" s="391"/>
      <c r="WUK7" s="391"/>
      <c r="WUL7" s="391"/>
      <c r="WUM7" s="391"/>
      <c r="WUN7" s="391"/>
      <c r="WUO7" s="391"/>
      <c r="WUP7" s="391"/>
      <c r="WUQ7" s="391"/>
      <c r="WUR7" s="391"/>
      <c r="WUS7" s="391"/>
      <c r="WUT7" s="391"/>
      <c r="WUU7" s="391"/>
      <c r="WUV7" s="391"/>
      <c r="WUW7" s="391"/>
      <c r="WUX7" s="391"/>
      <c r="WUY7" s="391"/>
      <c r="WUZ7" s="391"/>
      <c r="WVA7" s="391"/>
      <c r="WVB7" s="391"/>
      <c r="WVC7" s="391"/>
      <c r="WVD7" s="391"/>
      <c r="WVE7" s="391"/>
      <c r="WVF7" s="391"/>
      <c r="WVG7" s="391"/>
      <c r="WVH7" s="391"/>
      <c r="WVI7" s="391"/>
      <c r="WVJ7" s="391"/>
      <c r="WVK7" s="391"/>
      <c r="WVL7" s="391"/>
      <c r="WVM7" s="391"/>
      <c r="WVN7" s="391"/>
      <c r="WVO7" s="391"/>
      <c r="WVP7" s="391"/>
      <c r="WVQ7" s="391"/>
      <c r="WVR7" s="391"/>
      <c r="WVS7" s="391"/>
      <c r="WVT7" s="391"/>
      <c r="WVU7" s="391"/>
      <c r="WVV7" s="391"/>
      <c r="WVW7" s="391"/>
      <c r="WVX7" s="391"/>
      <c r="WVY7" s="391"/>
      <c r="WVZ7" s="391"/>
      <c r="WWA7" s="391"/>
      <c r="WWB7" s="391"/>
      <c r="WWC7" s="391"/>
      <c r="WWD7" s="391"/>
      <c r="WWE7" s="391"/>
      <c r="WWF7" s="391"/>
      <c r="WWG7" s="391"/>
      <c r="WWH7" s="391"/>
      <c r="WWI7" s="391"/>
      <c r="WWJ7" s="391"/>
      <c r="WWK7" s="391"/>
      <c r="WWL7" s="391"/>
      <c r="WWM7" s="391"/>
      <c r="WWN7" s="391"/>
      <c r="WWO7" s="391"/>
      <c r="WWP7" s="391"/>
      <c r="WWQ7" s="391"/>
      <c r="WWR7" s="391"/>
      <c r="WWS7" s="391"/>
      <c r="WWT7" s="391"/>
      <c r="WWU7" s="391"/>
      <c r="WWV7" s="391"/>
      <c r="WWW7" s="391"/>
      <c r="WWX7" s="391"/>
      <c r="WWY7" s="391"/>
      <c r="WWZ7" s="391"/>
      <c r="WXA7" s="391"/>
      <c r="WXB7" s="391"/>
      <c r="WXC7" s="391"/>
      <c r="WXD7" s="391"/>
      <c r="WXE7" s="391"/>
      <c r="WXF7" s="391"/>
      <c r="WXG7" s="391"/>
      <c r="WXH7" s="391"/>
      <c r="WXI7" s="391"/>
      <c r="WXJ7" s="391"/>
      <c r="WXK7" s="391"/>
      <c r="WXL7" s="391"/>
      <c r="WXM7" s="391"/>
      <c r="WXN7" s="391"/>
      <c r="WXO7" s="391"/>
      <c r="WXP7" s="391"/>
      <c r="WXQ7" s="391"/>
      <c r="WXR7" s="391"/>
      <c r="WXS7" s="391"/>
      <c r="WXT7" s="391"/>
      <c r="WXU7" s="391"/>
      <c r="WXV7" s="391"/>
      <c r="WXW7" s="391"/>
      <c r="WXX7" s="391"/>
      <c r="WXY7" s="391"/>
      <c r="WXZ7" s="391"/>
      <c r="WYA7" s="391"/>
      <c r="WYB7" s="391"/>
      <c r="WYC7" s="391"/>
      <c r="WYD7" s="391"/>
      <c r="WYE7" s="391"/>
      <c r="WYF7" s="391"/>
      <c r="WYG7" s="391"/>
      <c r="WYH7" s="391"/>
      <c r="WYI7" s="391"/>
      <c r="WYJ7" s="391"/>
      <c r="WYK7" s="391"/>
      <c r="WYL7" s="391"/>
      <c r="WYM7" s="391"/>
      <c r="WYN7" s="391"/>
      <c r="WYO7" s="391"/>
      <c r="WYP7" s="391"/>
      <c r="WYQ7" s="391"/>
      <c r="WYR7" s="391"/>
      <c r="WYS7" s="391"/>
      <c r="WYT7" s="391"/>
      <c r="WYU7" s="391"/>
      <c r="WYV7" s="391"/>
      <c r="WYW7" s="391"/>
      <c r="WYX7" s="391"/>
      <c r="WYY7" s="391"/>
      <c r="WYZ7" s="391"/>
      <c r="WZA7" s="391"/>
      <c r="WZB7" s="391"/>
      <c r="WZC7" s="391"/>
      <c r="WZD7" s="391"/>
      <c r="WZE7" s="391"/>
      <c r="WZF7" s="391"/>
      <c r="WZG7" s="391"/>
      <c r="WZH7" s="391"/>
      <c r="WZI7" s="391"/>
      <c r="WZJ7" s="391"/>
      <c r="WZK7" s="391"/>
      <c r="WZL7" s="391"/>
      <c r="WZM7" s="391"/>
      <c r="WZN7" s="391"/>
      <c r="WZO7" s="391"/>
      <c r="WZP7" s="391"/>
      <c r="WZQ7" s="391"/>
      <c r="WZR7" s="391"/>
      <c r="WZS7" s="391"/>
      <c r="WZT7" s="391"/>
      <c r="WZU7" s="391"/>
      <c r="WZV7" s="391"/>
      <c r="WZW7" s="391"/>
      <c r="WZX7" s="391"/>
      <c r="WZY7" s="391"/>
      <c r="WZZ7" s="391"/>
      <c r="XAA7" s="391"/>
      <c r="XAB7" s="391"/>
      <c r="XAC7" s="391"/>
      <c r="XAD7" s="391"/>
      <c r="XAE7" s="391"/>
      <c r="XAF7" s="391"/>
      <c r="XAG7" s="391"/>
      <c r="XAH7" s="391"/>
      <c r="XAI7" s="391"/>
      <c r="XAJ7" s="391"/>
      <c r="XAK7" s="391"/>
      <c r="XAL7" s="391"/>
      <c r="XAM7" s="391"/>
      <c r="XAN7" s="391"/>
      <c r="XAO7" s="391"/>
      <c r="XAP7" s="391"/>
      <c r="XAQ7" s="391"/>
      <c r="XAR7" s="391"/>
      <c r="XAS7" s="391"/>
      <c r="XAT7" s="391"/>
      <c r="XAU7" s="391"/>
      <c r="XAV7" s="391"/>
      <c r="XAW7" s="391"/>
      <c r="XAX7" s="391"/>
      <c r="XAY7" s="391"/>
      <c r="XAZ7" s="391"/>
      <c r="XBA7" s="391"/>
      <c r="XBB7" s="391"/>
      <c r="XBC7" s="391"/>
      <c r="XBD7" s="391"/>
      <c r="XBE7" s="391"/>
      <c r="XBF7" s="391"/>
      <c r="XBG7" s="391"/>
      <c r="XBH7" s="391"/>
      <c r="XBI7" s="391"/>
      <c r="XBJ7" s="391"/>
      <c r="XBK7" s="391"/>
      <c r="XBL7" s="391"/>
      <c r="XBM7" s="391"/>
      <c r="XBN7" s="391"/>
      <c r="XBO7" s="391"/>
      <c r="XBP7" s="391"/>
      <c r="XBQ7" s="391"/>
      <c r="XBR7" s="391"/>
      <c r="XBS7" s="391"/>
      <c r="XBT7" s="391"/>
      <c r="XBU7" s="391"/>
      <c r="XBV7" s="391"/>
      <c r="XBW7" s="391"/>
      <c r="XBX7" s="391"/>
      <c r="XBY7" s="391"/>
      <c r="XBZ7" s="391"/>
      <c r="XCA7" s="391"/>
      <c r="XCB7" s="391"/>
      <c r="XCC7" s="391"/>
      <c r="XCD7" s="391"/>
      <c r="XCE7" s="391"/>
      <c r="XCF7" s="391"/>
      <c r="XCG7" s="391"/>
      <c r="XCH7" s="391"/>
      <c r="XCI7" s="391"/>
      <c r="XCJ7" s="391"/>
      <c r="XCK7" s="391"/>
      <c r="XCL7" s="391"/>
      <c r="XCM7" s="391"/>
      <c r="XCN7" s="391"/>
      <c r="XCO7" s="391"/>
      <c r="XCP7" s="391"/>
      <c r="XCQ7" s="391"/>
      <c r="XCR7" s="391"/>
      <c r="XCS7" s="391"/>
      <c r="XCT7" s="391"/>
      <c r="XCU7" s="391"/>
      <c r="XCV7" s="391"/>
      <c r="XCW7" s="391"/>
      <c r="XCX7" s="391"/>
      <c r="XCY7" s="391"/>
      <c r="XCZ7" s="391"/>
      <c r="XDA7" s="391"/>
      <c r="XDB7" s="391"/>
      <c r="XDC7" s="391"/>
      <c r="XDD7" s="391"/>
      <c r="XDE7" s="391"/>
      <c r="XDF7" s="391"/>
      <c r="XDG7" s="391"/>
      <c r="XDH7" s="391"/>
      <c r="XDI7" s="391"/>
      <c r="XDJ7" s="391"/>
      <c r="XDK7" s="391"/>
      <c r="XDL7" s="391"/>
      <c r="XDM7" s="391"/>
      <c r="XDN7" s="391"/>
      <c r="XDO7" s="391"/>
      <c r="XDP7" s="391"/>
      <c r="XDQ7" s="391"/>
      <c r="XDR7" s="391"/>
      <c r="XDS7" s="391"/>
      <c r="XDT7" s="391"/>
      <c r="XDU7" s="391"/>
      <c r="XDV7" s="391"/>
      <c r="XDW7" s="391"/>
      <c r="XDX7" s="391"/>
      <c r="XDY7" s="391"/>
      <c r="XDZ7" s="391"/>
      <c r="XEA7" s="391"/>
      <c r="XEB7" s="391"/>
      <c r="XEC7" s="391"/>
      <c r="XED7" s="391"/>
      <c r="XEE7" s="391"/>
      <c r="XEF7" s="391"/>
      <c r="XEG7" s="391"/>
      <c r="XEH7" s="391"/>
      <c r="XEI7" s="391"/>
      <c r="XEJ7" s="391"/>
      <c r="XEK7" s="391"/>
      <c r="XEL7" s="391"/>
      <c r="XEM7" s="391"/>
      <c r="XEN7" s="391"/>
      <c r="XEO7" s="391"/>
      <c r="XEP7" s="391"/>
      <c r="XEQ7" s="391"/>
      <c r="XER7" s="391"/>
      <c r="XES7" s="391"/>
      <c r="XET7" s="391"/>
      <c r="XEU7" s="391"/>
      <c r="XEV7" s="391"/>
      <c r="XEW7" s="391"/>
      <c r="XEX7" s="391"/>
      <c r="XEY7" s="391"/>
      <c r="XEZ7" s="391"/>
      <c r="XFA7" s="391"/>
    </row>
    <row r="8" spans="1:16381" s="585" customFormat="1" ht="25.5">
      <c r="A8" s="585" t="str">
        <f t="shared" si="0"/>
        <v>Adler Modemaerkte Versorgungswerk e.V. v. 01.01.2019</v>
      </c>
      <c r="B8" s="585">
        <f>ROW()</f>
        <v>8</v>
      </c>
      <c r="C8" s="610" t="s">
        <v>1134</v>
      </c>
      <c r="D8" s="1117">
        <v>43466</v>
      </c>
      <c r="E8" s="611" t="s">
        <v>767</v>
      </c>
      <c r="F8" s="612" t="str">
        <f t="shared" si="1"/>
        <v/>
      </c>
      <c r="G8" s="609" t="str">
        <f t="shared" si="2"/>
        <v xml:space="preserve">TO ermöglicht: doppelten Kostenabzug; </v>
      </c>
      <c r="I8" s="609"/>
      <c r="J8" s="750"/>
      <c r="K8" s="1115"/>
      <c r="L8" s="1115">
        <v>2</v>
      </c>
      <c r="M8" s="1115"/>
      <c r="N8" s="1115"/>
      <c r="O8" s="755" t="s">
        <v>803</v>
      </c>
      <c r="P8" s="139">
        <f t="shared" si="3"/>
        <v>2</v>
      </c>
      <c r="S8" s="585">
        <f>IFERROR(SEARCH(MID(+Fallerfassung!D28,1,5),S$6),1)</f>
        <v>1</v>
      </c>
    </row>
    <row r="9" spans="1:16381" s="585" customFormat="1" ht="67.5">
      <c r="A9" s="585" t="str">
        <f t="shared" si="0"/>
        <v>Airbus v. 02.01.2024</v>
      </c>
      <c r="C9" s="610" t="s">
        <v>2003</v>
      </c>
      <c r="D9" s="1117">
        <v>45293</v>
      </c>
      <c r="E9" s="611" t="s">
        <v>2004</v>
      </c>
      <c r="F9" s="612"/>
      <c r="G9" s="609" t="str">
        <f t="shared" si="2"/>
        <v xml:space="preserve">TO ermöglicht:  Abweichungen vom gerichtl. festgelegten Ausgleichswert; </v>
      </c>
      <c r="I9" s="609" t="s">
        <v>2005</v>
      </c>
      <c r="J9" s="750"/>
      <c r="K9" s="1115"/>
      <c r="L9" s="1115"/>
      <c r="M9" s="1115">
        <v>3</v>
      </c>
      <c r="N9" s="1115"/>
      <c r="O9" s="755"/>
      <c r="P9" s="139"/>
    </row>
    <row r="10" spans="1:16381" s="585" customFormat="1" ht="25.5">
      <c r="A10" s="585" t="str">
        <f t="shared" si="0"/>
        <v>allfrisch Unterstuetzungskasse e.V v. 28.12.2017</v>
      </c>
      <c r="B10" s="585">
        <f>ROW()</f>
        <v>10</v>
      </c>
      <c r="C10" s="610" t="s">
        <v>1135</v>
      </c>
      <c r="D10" s="1117">
        <v>43097</v>
      </c>
      <c r="E10" s="611" t="s">
        <v>761</v>
      </c>
      <c r="F10" s="612" t="str">
        <f t="shared" si="1"/>
        <v/>
      </c>
      <c r="G10" s="609" t="str">
        <f t="shared" si="2"/>
        <v xml:space="preserve">TO ermöglicht: doppelten Kostenabzug; </v>
      </c>
      <c r="I10" s="609"/>
      <c r="J10" s="754"/>
      <c r="K10" s="1115"/>
      <c r="L10" s="1115">
        <v>2</v>
      </c>
      <c r="M10" s="1115"/>
      <c r="N10" s="1115"/>
      <c r="O10" s="755" t="s">
        <v>803</v>
      </c>
      <c r="P10" s="139">
        <f t="shared" si="3"/>
        <v>2</v>
      </c>
      <c r="S10" s="585">
        <f>IFERROR(SEARCH(MID(+Fallerfassung!D29,1,5),S$6),1)</f>
        <v>1</v>
      </c>
    </row>
    <row r="11" spans="1:16381" s="585" customFormat="1">
      <c r="A11" s="585" t="str">
        <f t="shared" si="0"/>
        <v>Allianz KBV Harmonisierung BPV v. 07.01.2010</v>
      </c>
      <c r="B11" s="585">
        <f>ROW()</f>
        <v>11</v>
      </c>
      <c r="C11" s="610" t="s">
        <v>1340</v>
      </c>
      <c r="D11" s="1117">
        <v>40185</v>
      </c>
      <c r="E11" s="611"/>
      <c r="F11" s="612" t="str">
        <f t="shared" si="1"/>
        <v/>
      </c>
      <c r="G11" s="609" t="str">
        <f t="shared" si="2"/>
        <v/>
      </c>
      <c r="I11" s="609"/>
      <c r="J11" s="750"/>
      <c r="K11" s="1115"/>
      <c r="L11" s="1115"/>
      <c r="M11" s="1115"/>
      <c r="N11" s="1115"/>
      <c r="O11" s="751"/>
      <c r="P11" s="139">
        <f t="shared" si="3"/>
        <v>0</v>
      </c>
      <c r="Q11" s="391"/>
      <c r="R11" s="391"/>
      <c r="S11" s="585">
        <f>IFERROR(SEARCH(MID(+Fallerfassung!D30,1,5),S$6),1)</f>
        <v>1</v>
      </c>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391"/>
      <c r="DG11" s="391"/>
      <c r="DH11" s="391"/>
      <c r="DI11" s="391"/>
      <c r="DJ11" s="391"/>
      <c r="DK11" s="391"/>
      <c r="DL11" s="391"/>
      <c r="DM11" s="391"/>
      <c r="DN11" s="391"/>
      <c r="DO11" s="391"/>
      <c r="DP11" s="391"/>
      <c r="DQ11" s="391"/>
      <c r="DR11" s="391"/>
      <c r="DS11" s="391"/>
      <c r="DT11" s="391"/>
      <c r="DU11" s="391"/>
      <c r="DV11" s="391"/>
      <c r="DW11" s="391"/>
      <c r="DX11" s="391"/>
      <c r="DY11" s="391"/>
      <c r="DZ11" s="391"/>
      <c r="EA11" s="391"/>
      <c r="EB11" s="391"/>
      <c r="EC11" s="391"/>
      <c r="ED11" s="391"/>
      <c r="EE11" s="391"/>
      <c r="EF11" s="391"/>
      <c r="EG11" s="391"/>
      <c r="EH11" s="391"/>
      <c r="EI11" s="391"/>
      <c r="EJ11" s="391"/>
      <c r="EK11" s="391"/>
      <c r="EL11" s="391"/>
      <c r="EM11" s="391"/>
      <c r="EN11" s="391"/>
      <c r="EO11" s="391"/>
      <c r="EP11" s="391"/>
      <c r="EQ11" s="391"/>
      <c r="ER11" s="391"/>
      <c r="ES11" s="391"/>
      <c r="ET11" s="391"/>
      <c r="EU11" s="391"/>
      <c r="EV11" s="391"/>
      <c r="EW11" s="391"/>
      <c r="EX11" s="391"/>
      <c r="EY11" s="391"/>
      <c r="EZ11" s="391"/>
      <c r="FA11" s="391"/>
      <c r="FB11" s="391"/>
      <c r="FC11" s="391"/>
      <c r="FD11" s="391"/>
      <c r="FE11" s="391"/>
      <c r="FF11" s="391"/>
      <c r="FG11" s="391"/>
      <c r="FH11" s="391"/>
      <c r="FI11" s="391"/>
      <c r="FJ11" s="391"/>
      <c r="FK11" s="391"/>
      <c r="FL11" s="391"/>
      <c r="FM11" s="391"/>
      <c r="FN11" s="391"/>
      <c r="FO11" s="391"/>
      <c r="FP11" s="391"/>
      <c r="FQ11" s="391"/>
      <c r="FR11" s="391"/>
      <c r="FS11" s="391"/>
      <c r="FT11" s="391"/>
      <c r="FU11" s="391"/>
      <c r="FV11" s="391"/>
      <c r="FW11" s="391"/>
      <c r="FX11" s="391"/>
      <c r="FY11" s="391"/>
      <c r="FZ11" s="391"/>
      <c r="GA11" s="391"/>
      <c r="GB11" s="391"/>
      <c r="GC11" s="391"/>
      <c r="GD11" s="391"/>
      <c r="GE11" s="391"/>
      <c r="GF11" s="391"/>
      <c r="GG11" s="391"/>
      <c r="GH11" s="391"/>
      <c r="GI11" s="391"/>
      <c r="GJ11" s="391"/>
      <c r="GK11" s="391"/>
      <c r="GL11" s="391"/>
      <c r="GM11" s="391"/>
      <c r="GN11" s="391"/>
      <c r="GO11" s="391"/>
      <c r="GP11" s="391"/>
      <c r="GQ11" s="391"/>
      <c r="GR11" s="391"/>
      <c r="GS11" s="391"/>
      <c r="GT11" s="391"/>
      <c r="GU11" s="391"/>
      <c r="GV11" s="391"/>
      <c r="GW11" s="391"/>
      <c r="GX11" s="391"/>
      <c r="GY11" s="391"/>
      <c r="GZ11" s="391"/>
      <c r="HA11" s="391"/>
      <c r="HB11" s="391"/>
      <c r="HC11" s="391"/>
      <c r="HD11" s="391"/>
      <c r="HE11" s="391"/>
      <c r="HF11" s="391"/>
      <c r="HG11" s="391"/>
      <c r="HH11" s="391"/>
      <c r="HI11" s="391"/>
      <c r="HJ11" s="391"/>
      <c r="HK11" s="391"/>
      <c r="HL11" s="391"/>
      <c r="HM11" s="391"/>
      <c r="HN11" s="391"/>
      <c r="HO11" s="391"/>
      <c r="HP11" s="391"/>
      <c r="HQ11" s="391"/>
      <c r="HR11" s="391"/>
      <c r="HS11" s="391"/>
      <c r="HT11" s="391"/>
      <c r="HU11" s="391"/>
      <c r="HV11" s="391"/>
      <c r="HW11" s="391"/>
      <c r="HX11" s="391"/>
      <c r="HY11" s="391"/>
      <c r="HZ11" s="391"/>
      <c r="IA11" s="391"/>
      <c r="IB11" s="391"/>
      <c r="IC11" s="391"/>
      <c r="ID11" s="391"/>
      <c r="IE11" s="391"/>
      <c r="IF11" s="391"/>
      <c r="IG11" s="391"/>
      <c r="IH11" s="391"/>
      <c r="II11" s="391"/>
      <c r="IJ11" s="391"/>
      <c r="IK11" s="391"/>
      <c r="IL11" s="391"/>
      <c r="IM11" s="391"/>
      <c r="IN11" s="391"/>
      <c r="IO11" s="391"/>
      <c r="IP11" s="391"/>
      <c r="IQ11" s="391"/>
      <c r="IR11" s="391"/>
      <c r="IS11" s="391"/>
      <c r="IT11" s="391"/>
      <c r="IU11" s="391"/>
      <c r="IV11" s="391"/>
      <c r="IW11" s="391"/>
      <c r="IX11" s="391"/>
      <c r="IY11" s="391"/>
      <c r="IZ11" s="391"/>
      <c r="JA11" s="391"/>
      <c r="JB11" s="391"/>
      <c r="JC11" s="391"/>
      <c r="JD11" s="391"/>
      <c r="JE11" s="391"/>
      <c r="JF11" s="391"/>
      <c r="JG11" s="391"/>
      <c r="JH11" s="391"/>
      <c r="JI11" s="391"/>
      <c r="JJ11" s="391"/>
      <c r="JK11" s="391"/>
      <c r="JL11" s="391"/>
      <c r="JM11" s="391"/>
      <c r="JN11" s="391"/>
      <c r="JO11" s="391"/>
      <c r="JP11" s="391"/>
      <c r="JQ11" s="391"/>
      <c r="JR11" s="391"/>
      <c r="JS11" s="391"/>
      <c r="JT11" s="391"/>
      <c r="JU11" s="391"/>
      <c r="JV11" s="391"/>
      <c r="JW11" s="391"/>
      <c r="JX11" s="391"/>
      <c r="JY11" s="391"/>
      <c r="JZ11" s="391"/>
      <c r="KA11" s="391"/>
      <c r="KB11" s="391"/>
      <c r="KC11" s="391"/>
      <c r="KD11" s="391"/>
      <c r="KE11" s="391"/>
      <c r="KF11" s="391"/>
      <c r="KG11" s="391"/>
      <c r="KH11" s="391"/>
      <c r="KI11" s="391"/>
      <c r="KJ11" s="391"/>
      <c r="KK11" s="391"/>
      <c r="KL11" s="391"/>
      <c r="KM11" s="391"/>
      <c r="KN11" s="391"/>
      <c r="KO11" s="391"/>
      <c r="KP11" s="391"/>
      <c r="KQ11" s="391"/>
      <c r="KR11" s="391"/>
      <c r="KS11" s="391"/>
      <c r="KT11" s="391"/>
      <c r="KU11" s="391"/>
      <c r="KV11" s="391"/>
      <c r="KW11" s="391"/>
      <c r="KX11" s="391"/>
      <c r="KY11" s="391"/>
      <c r="KZ11" s="391"/>
      <c r="LA11" s="391"/>
      <c r="LB11" s="391"/>
      <c r="LC11" s="391"/>
      <c r="LD11" s="391"/>
      <c r="LE11" s="391"/>
      <c r="LF11" s="391"/>
      <c r="LG11" s="391"/>
      <c r="LH11" s="391"/>
      <c r="LI11" s="391"/>
      <c r="LJ11" s="391"/>
      <c r="LK11" s="391"/>
      <c r="LL11" s="391"/>
      <c r="LM11" s="391"/>
      <c r="LN11" s="391"/>
      <c r="LO11" s="391"/>
      <c r="LP11" s="391"/>
      <c r="LQ11" s="391"/>
      <c r="LR11" s="391"/>
      <c r="LS11" s="391"/>
      <c r="LT11" s="391"/>
      <c r="LU11" s="391"/>
      <c r="LV11" s="391"/>
      <c r="LW11" s="391"/>
      <c r="LX11" s="391"/>
      <c r="LY11" s="391"/>
      <c r="LZ11" s="391"/>
      <c r="MA11" s="391"/>
      <c r="MB11" s="391"/>
      <c r="MC11" s="391"/>
      <c r="MD11" s="391"/>
      <c r="ME11" s="391"/>
      <c r="MF11" s="391"/>
      <c r="MG11" s="391"/>
      <c r="MH11" s="391"/>
      <c r="MI11" s="391"/>
      <c r="MJ11" s="391"/>
      <c r="MK11" s="391"/>
      <c r="ML11" s="391"/>
      <c r="MM11" s="391"/>
      <c r="MN11" s="391"/>
      <c r="MO11" s="391"/>
      <c r="MP11" s="391"/>
      <c r="MQ11" s="391"/>
      <c r="MR11" s="391"/>
      <c r="MS11" s="391"/>
      <c r="MT11" s="391"/>
      <c r="MU11" s="391"/>
      <c r="MV11" s="391"/>
      <c r="MW11" s="391"/>
      <c r="MX11" s="391"/>
      <c r="MY11" s="391"/>
      <c r="MZ11" s="391"/>
      <c r="NA11" s="391"/>
      <c r="NB11" s="391"/>
      <c r="NC11" s="391"/>
      <c r="ND11" s="391"/>
      <c r="NE11" s="391"/>
      <c r="NF11" s="391"/>
      <c r="NG11" s="391"/>
      <c r="NH11" s="391"/>
      <c r="NI11" s="391"/>
      <c r="NJ11" s="391"/>
      <c r="NK11" s="391"/>
      <c r="NL11" s="391"/>
      <c r="NM11" s="391"/>
      <c r="NN11" s="391"/>
      <c r="NO11" s="391"/>
      <c r="NP11" s="391"/>
      <c r="NQ11" s="391"/>
      <c r="NR11" s="391"/>
      <c r="NS11" s="391"/>
      <c r="NT11" s="391"/>
      <c r="NU11" s="391"/>
      <c r="NV11" s="391"/>
      <c r="NW11" s="391"/>
      <c r="NX11" s="391"/>
      <c r="NY11" s="391"/>
      <c r="NZ11" s="391"/>
      <c r="OA11" s="391"/>
      <c r="OB11" s="391"/>
      <c r="OC11" s="391"/>
      <c r="OD11" s="391"/>
      <c r="OE11" s="391"/>
      <c r="OF11" s="391"/>
      <c r="OG11" s="391"/>
      <c r="OH11" s="391"/>
      <c r="OI11" s="391"/>
      <c r="OJ11" s="391"/>
      <c r="OK11" s="391"/>
      <c r="OL11" s="391"/>
      <c r="OM11" s="391"/>
      <c r="ON11" s="391"/>
      <c r="OO11" s="391"/>
      <c r="OP11" s="391"/>
      <c r="OQ11" s="391"/>
      <c r="OR11" s="391"/>
      <c r="OS11" s="391"/>
      <c r="OT11" s="391"/>
      <c r="OU11" s="391"/>
      <c r="OV11" s="391"/>
      <c r="OW11" s="391"/>
      <c r="OX11" s="391"/>
      <c r="OY11" s="391"/>
      <c r="OZ11" s="391"/>
      <c r="PA11" s="391"/>
      <c r="PB11" s="391"/>
      <c r="PC11" s="391"/>
      <c r="PD11" s="391"/>
      <c r="PE11" s="391"/>
      <c r="PF11" s="391"/>
      <c r="PG11" s="391"/>
      <c r="PH11" s="391"/>
      <c r="PI11" s="391"/>
      <c r="PJ11" s="391"/>
      <c r="PK11" s="391"/>
      <c r="PL11" s="391"/>
      <c r="PM11" s="391"/>
      <c r="PN11" s="391"/>
      <c r="PO11" s="391"/>
      <c r="PP11" s="391"/>
      <c r="PQ11" s="391"/>
      <c r="PR11" s="391"/>
      <c r="PS11" s="391"/>
      <c r="PT11" s="391"/>
      <c r="PU11" s="391"/>
      <c r="PV11" s="391"/>
      <c r="PW11" s="391"/>
      <c r="PX11" s="391"/>
      <c r="PY11" s="391"/>
      <c r="PZ11" s="391"/>
      <c r="QA11" s="391"/>
      <c r="QB11" s="391"/>
      <c r="QC11" s="391"/>
      <c r="QD11" s="391"/>
      <c r="QE11" s="391"/>
      <c r="QF11" s="391"/>
      <c r="QG11" s="391"/>
      <c r="QH11" s="391"/>
      <c r="QI11" s="391"/>
      <c r="QJ11" s="391"/>
      <c r="QK11" s="391"/>
      <c r="QL11" s="391"/>
      <c r="QM11" s="391"/>
      <c r="QN11" s="391"/>
      <c r="QO11" s="391"/>
      <c r="QP11" s="391"/>
      <c r="QQ11" s="391"/>
      <c r="QR11" s="391"/>
      <c r="QS11" s="391"/>
      <c r="QT11" s="391"/>
      <c r="QU11" s="391"/>
      <c r="QV11" s="391"/>
      <c r="QW11" s="391"/>
      <c r="QX11" s="391"/>
      <c r="QY11" s="391"/>
      <c r="QZ11" s="391"/>
      <c r="RA11" s="391"/>
      <c r="RB11" s="391"/>
      <c r="RC11" s="391"/>
      <c r="RD11" s="391"/>
      <c r="RE11" s="391"/>
      <c r="RF11" s="391"/>
      <c r="RG11" s="391"/>
      <c r="RH11" s="391"/>
      <c r="RI11" s="391"/>
      <c r="RJ11" s="391"/>
      <c r="RK11" s="391"/>
      <c r="RL11" s="391"/>
      <c r="RM11" s="391"/>
      <c r="RN11" s="391"/>
      <c r="RO11" s="391"/>
      <c r="RP11" s="391"/>
      <c r="RQ11" s="391"/>
      <c r="RR11" s="391"/>
      <c r="RS11" s="391"/>
      <c r="RT11" s="391"/>
      <c r="RU11" s="391"/>
      <c r="RV11" s="391"/>
      <c r="RW11" s="391"/>
      <c r="RX11" s="391"/>
      <c r="RY11" s="391"/>
      <c r="RZ11" s="391"/>
      <c r="SA11" s="391"/>
      <c r="SB11" s="391"/>
      <c r="SC11" s="391"/>
      <c r="SD11" s="391"/>
      <c r="SE11" s="391"/>
      <c r="SF11" s="391"/>
      <c r="SG11" s="391"/>
      <c r="SH11" s="391"/>
      <c r="SI11" s="391"/>
      <c r="SJ11" s="391"/>
      <c r="SK11" s="391"/>
      <c r="SL11" s="391"/>
      <c r="SM11" s="391"/>
      <c r="SN11" s="391"/>
      <c r="SO11" s="391"/>
      <c r="SP11" s="391"/>
      <c r="SQ11" s="391"/>
      <c r="SR11" s="391"/>
      <c r="SS11" s="391"/>
      <c r="ST11" s="391"/>
      <c r="SU11" s="391"/>
      <c r="SV11" s="391"/>
      <c r="SW11" s="391"/>
      <c r="SX11" s="391"/>
      <c r="SY11" s="391"/>
      <c r="SZ11" s="391"/>
      <c r="TA11" s="391"/>
      <c r="TB11" s="391"/>
      <c r="TC11" s="391"/>
      <c r="TD11" s="391"/>
      <c r="TE11" s="391"/>
      <c r="TF11" s="391"/>
      <c r="TG11" s="391"/>
      <c r="TH11" s="391"/>
      <c r="TI11" s="391"/>
      <c r="TJ11" s="391"/>
      <c r="TK11" s="391"/>
      <c r="TL11" s="391"/>
      <c r="TM11" s="391"/>
      <c r="TN11" s="391"/>
      <c r="TO11" s="391"/>
      <c r="TP11" s="391"/>
      <c r="TQ11" s="391"/>
      <c r="TR11" s="391"/>
      <c r="TS11" s="391"/>
      <c r="TT11" s="391"/>
      <c r="TU11" s="391"/>
      <c r="TV11" s="391"/>
      <c r="TW11" s="391"/>
      <c r="TX11" s="391"/>
      <c r="TY11" s="391"/>
      <c r="TZ11" s="391"/>
      <c r="UA11" s="391"/>
      <c r="UB11" s="391"/>
      <c r="UC11" s="391"/>
      <c r="UD11" s="391"/>
      <c r="UE11" s="391"/>
      <c r="UF11" s="391"/>
      <c r="UG11" s="391"/>
      <c r="UH11" s="391"/>
      <c r="UI11" s="391"/>
      <c r="UJ11" s="391"/>
      <c r="UK11" s="391"/>
      <c r="UL11" s="391"/>
      <c r="UM11" s="391"/>
      <c r="UN11" s="391"/>
      <c r="UO11" s="391"/>
      <c r="UP11" s="391"/>
      <c r="UQ11" s="391"/>
      <c r="UR11" s="391"/>
      <c r="US11" s="391"/>
      <c r="UT11" s="391"/>
      <c r="UU11" s="391"/>
      <c r="UV11" s="391"/>
      <c r="UW11" s="391"/>
      <c r="UX11" s="391"/>
      <c r="UY11" s="391"/>
      <c r="UZ11" s="391"/>
      <c r="VA11" s="391"/>
      <c r="VB11" s="391"/>
      <c r="VC11" s="391"/>
      <c r="VD11" s="391"/>
      <c r="VE11" s="391"/>
      <c r="VF11" s="391"/>
      <c r="VG11" s="391"/>
      <c r="VH11" s="391"/>
      <c r="VI11" s="391"/>
      <c r="VJ11" s="391"/>
      <c r="VK11" s="391"/>
      <c r="VL11" s="391"/>
      <c r="VM11" s="391"/>
      <c r="VN11" s="391"/>
      <c r="VO11" s="391"/>
      <c r="VP11" s="391"/>
      <c r="VQ11" s="391"/>
      <c r="VR11" s="391"/>
      <c r="VS11" s="391"/>
      <c r="VT11" s="391"/>
      <c r="VU11" s="391"/>
      <c r="VV11" s="391"/>
      <c r="VW11" s="391"/>
      <c r="VX11" s="391"/>
      <c r="VY11" s="391"/>
      <c r="VZ11" s="391"/>
      <c r="WA11" s="391"/>
      <c r="WB11" s="391"/>
      <c r="WC11" s="391"/>
      <c r="WD11" s="391"/>
      <c r="WE11" s="391"/>
      <c r="WF11" s="391"/>
      <c r="WG11" s="391"/>
      <c r="WH11" s="391"/>
      <c r="WI11" s="391"/>
      <c r="WJ11" s="391"/>
      <c r="WK11" s="391"/>
      <c r="WL11" s="391"/>
      <c r="WM11" s="391"/>
      <c r="WN11" s="391"/>
      <c r="WO11" s="391"/>
      <c r="WP11" s="391"/>
      <c r="WQ11" s="391"/>
      <c r="WR11" s="391"/>
      <c r="WS11" s="391"/>
      <c r="WT11" s="391"/>
      <c r="WU11" s="391"/>
      <c r="WV11" s="391"/>
      <c r="WW11" s="391"/>
      <c r="WX11" s="391"/>
      <c r="WY11" s="391"/>
      <c r="WZ11" s="391"/>
      <c r="XA11" s="391"/>
      <c r="XB11" s="391"/>
      <c r="XC11" s="391"/>
      <c r="XD11" s="391"/>
      <c r="XE11" s="391"/>
      <c r="XF11" s="391"/>
      <c r="XG11" s="391"/>
      <c r="XH11" s="391"/>
      <c r="XI11" s="391"/>
      <c r="XJ11" s="391"/>
      <c r="XK11" s="391"/>
      <c r="XL11" s="391"/>
      <c r="XM11" s="391"/>
      <c r="XN11" s="391"/>
      <c r="XO11" s="391"/>
      <c r="XP11" s="391"/>
      <c r="XQ11" s="391"/>
      <c r="XR11" s="391"/>
      <c r="XS11" s="391"/>
      <c r="XT11" s="391"/>
      <c r="XU11" s="391"/>
      <c r="XV11" s="391"/>
      <c r="XW11" s="391"/>
      <c r="XX11" s="391"/>
      <c r="XY11" s="391"/>
      <c r="XZ11" s="391"/>
      <c r="YA11" s="391"/>
      <c r="YB11" s="391"/>
      <c r="YC11" s="391"/>
      <c r="YD11" s="391"/>
      <c r="YE11" s="391"/>
      <c r="YF11" s="391"/>
      <c r="YG11" s="391"/>
      <c r="YH11" s="391"/>
      <c r="YI11" s="391"/>
      <c r="YJ11" s="391"/>
      <c r="YK11" s="391"/>
      <c r="YL11" s="391"/>
      <c r="YM11" s="391"/>
      <c r="YN11" s="391"/>
      <c r="YO11" s="391"/>
      <c r="YP11" s="391"/>
      <c r="YQ11" s="391"/>
      <c r="YR11" s="391"/>
      <c r="YS11" s="391"/>
      <c r="YT11" s="391"/>
      <c r="YU11" s="391"/>
      <c r="YV11" s="391"/>
      <c r="YW11" s="391"/>
      <c r="YX11" s="391"/>
      <c r="YY11" s="391"/>
      <c r="YZ11" s="391"/>
      <c r="ZA11" s="391"/>
      <c r="ZB11" s="391"/>
      <c r="ZC11" s="391"/>
      <c r="ZD11" s="391"/>
      <c r="ZE11" s="391"/>
      <c r="ZF11" s="391"/>
      <c r="ZG11" s="391"/>
      <c r="ZH11" s="391"/>
      <c r="ZI11" s="391"/>
      <c r="ZJ11" s="391"/>
      <c r="ZK11" s="391"/>
      <c r="ZL11" s="391"/>
      <c r="ZM11" s="391"/>
      <c r="ZN11" s="391"/>
      <c r="ZO11" s="391"/>
      <c r="ZP11" s="391"/>
      <c r="ZQ11" s="391"/>
      <c r="ZR11" s="391"/>
      <c r="ZS11" s="391"/>
      <c r="ZT11" s="391"/>
      <c r="ZU11" s="391"/>
      <c r="ZV11" s="391"/>
      <c r="ZW11" s="391"/>
      <c r="ZX11" s="391"/>
      <c r="ZY11" s="391"/>
      <c r="ZZ11" s="391"/>
      <c r="AAA11" s="391"/>
      <c r="AAB11" s="391"/>
      <c r="AAC11" s="391"/>
      <c r="AAD11" s="391"/>
      <c r="AAE11" s="391"/>
      <c r="AAF11" s="391"/>
      <c r="AAG11" s="391"/>
      <c r="AAH11" s="391"/>
      <c r="AAI11" s="391"/>
      <c r="AAJ11" s="391"/>
      <c r="AAK11" s="391"/>
      <c r="AAL11" s="391"/>
      <c r="AAM11" s="391"/>
      <c r="AAN11" s="391"/>
      <c r="AAO11" s="391"/>
      <c r="AAP11" s="391"/>
      <c r="AAQ11" s="391"/>
      <c r="AAR11" s="391"/>
      <c r="AAS11" s="391"/>
      <c r="AAT11" s="391"/>
      <c r="AAU11" s="391"/>
      <c r="AAV11" s="391"/>
      <c r="AAW11" s="391"/>
      <c r="AAX11" s="391"/>
      <c r="AAY11" s="391"/>
      <c r="AAZ11" s="391"/>
      <c r="ABA11" s="391"/>
      <c r="ABB11" s="391"/>
      <c r="ABC11" s="391"/>
      <c r="ABD11" s="391"/>
      <c r="ABE11" s="391"/>
      <c r="ABF11" s="391"/>
      <c r="ABG11" s="391"/>
      <c r="ABH11" s="391"/>
      <c r="ABI11" s="391"/>
      <c r="ABJ11" s="391"/>
      <c r="ABK11" s="391"/>
      <c r="ABL11" s="391"/>
      <c r="ABM11" s="391"/>
      <c r="ABN11" s="391"/>
      <c r="ABO11" s="391"/>
      <c r="ABP11" s="391"/>
      <c r="ABQ11" s="391"/>
      <c r="ABR11" s="391"/>
      <c r="ABS11" s="391"/>
      <c r="ABT11" s="391"/>
      <c r="ABU11" s="391"/>
      <c r="ABV11" s="391"/>
      <c r="ABW11" s="391"/>
      <c r="ABX11" s="391"/>
      <c r="ABY11" s="391"/>
      <c r="ABZ11" s="391"/>
      <c r="ACA11" s="391"/>
      <c r="ACB11" s="391"/>
      <c r="ACC11" s="391"/>
      <c r="ACD11" s="391"/>
      <c r="ACE11" s="391"/>
      <c r="ACF11" s="391"/>
      <c r="ACG11" s="391"/>
      <c r="ACH11" s="391"/>
      <c r="ACI11" s="391"/>
      <c r="ACJ11" s="391"/>
      <c r="ACK11" s="391"/>
      <c r="ACL11" s="391"/>
      <c r="ACM11" s="391"/>
      <c r="ACN11" s="391"/>
      <c r="ACO11" s="391"/>
      <c r="ACP11" s="391"/>
      <c r="ACQ11" s="391"/>
      <c r="ACR11" s="391"/>
      <c r="ACS11" s="391"/>
      <c r="ACT11" s="391"/>
      <c r="ACU11" s="391"/>
      <c r="ACV11" s="391"/>
      <c r="ACW11" s="391"/>
      <c r="ACX11" s="391"/>
      <c r="ACY11" s="391"/>
      <c r="ACZ11" s="391"/>
      <c r="ADA11" s="391"/>
      <c r="ADB11" s="391"/>
      <c r="ADC11" s="391"/>
      <c r="ADD11" s="391"/>
      <c r="ADE11" s="391"/>
      <c r="ADF11" s="391"/>
      <c r="ADG11" s="391"/>
      <c r="ADH11" s="391"/>
      <c r="ADI11" s="391"/>
      <c r="ADJ11" s="391"/>
      <c r="ADK11" s="391"/>
      <c r="ADL11" s="391"/>
      <c r="ADM11" s="391"/>
      <c r="ADN11" s="391"/>
      <c r="ADO11" s="391"/>
      <c r="ADP11" s="391"/>
      <c r="ADQ11" s="391"/>
      <c r="ADR11" s="391"/>
      <c r="ADS11" s="391"/>
      <c r="ADT11" s="391"/>
      <c r="ADU11" s="391"/>
      <c r="ADV11" s="391"/>
      <c r="ADW11" s="391"/>
      <c r="ADX11" s="391"/>
      <c r="ADY11" s="391"/>
      <c r="ADZ11" s="391"/>
      <c r="AEA11" s="391"/>
      <c r="AEB11" s="391"/>
      <c r="AEC11" s="391"/>
      <c r="AED11" s="391"/>
      <c r="AEE11" s="391"/>
      <c r="AEF11" s="391"/>
      <c r="AEG11" s="391"/>
      <c r="AEH11" s="391"/>
      <c r="AEI11" s="391"/>
      <c r="AEJ11" s="391"/>
      <c r="AEK11" s="391"/>
      <c r="AEL11" s="391"/>
      <c r="AEM11" s="391"/>
      <c r="AEN11" s="391"/>
      <c r="AEO11" s="391"/>
      <c r="AEP11" s="391"/>
      <c r="AEQ11" s="391"/>
      <c r="AER11" s="391"/>
      <c r="AES11" s="391"/>
      <c r="AET11" s="391"/>
      <c r="AEU11" s="391"/>
      <c r="AEV11" s="391"/>
      <c r="AEW11" s="391"/>
      <c r="AEX11" s="391"/>
      <c r="AEY11" s="391"/>
      <c r="AEZ11" s="391"/>
      <c r="AFA11" s="391"/>
      <c r="AFB11" s="391"/>
      <c r="AFC11" s="391"/>
      <c r="AFD11" s="391"/>
      <c r="AFE11" s="391"/>
      <c r="AFF11" s="391"/>
      <c r="AFG11" s="391"/>
      <c r="AFH11" s="391"/>
      <c r="AFI11" s="391"/>
      <c r="AFJ11" s="391"/>
      <c r="AFK11" s="391"/>
      <c r="AFL11" s="391"/>
      <c r="AFM11" s="391"/>
      <c r="AFN11" s="391"/>
      <c r="AFO11" s="391"/>
      <c r="AFP11" s="391"/>
      <c r="AFQ11" s="391"/>
      <c r="AFR11" s="391"/>
      <c r="AFS11" s="391"/>
      <c r="AFT11" s="391"/>
      <c r="AFU11" s="391"/>
      <c r="AFV11" s="391"/>
      <c r="AFW11" s="391"/>
      <c r="AFX11" s="391"/>
      <c r="AFY11" s="391"/>
      <c r="AFZ11" s="391"/>
      <c r="AGA11" s="391"/>
      <c r="AGB11" s="391"/>
      <c r="AGC11" s="391"/>
      <c r="AGD11" s="391"/>
      <c r="AGE11" s="391"/>
      <c r="AGF11" s="391"/>
      <c r="AGG11" s="391"/>
      <c r="AGH11" s="391"/>
      <c r="AGI11" s="391"/>
      <c r="AGJ11" s="391"/>
      <c r="AGK11" s="391"/>
      <c r="AGL11" s="391"/>
      <c r="AGM11" s="391"/>
      <c r="AGN11" s="391"/>
      <c r="AGO11" s="391"/>
      <c r="AGP11" s="391"/>
      <c r="AGQ11" s="391"/>
      <c r="AGR11" s="391"/>
      <c r="AGS11" s="391"/>
      <c r="AGT11" s="391"/>
      <c r="AGU11" s="391"/>
      <c r="AGV11" s="391"/>
      <c r="AGW11" s="391"/>
      <c r="AGX11" s="391"/>
      <c r="AGY11" s="391"/>
      <c r="AGZ11" s="391"/>
      <c r="AHA11" s="391"/>
      <c r="AHB11" s="391"/>
      <c r="AHC11" s="391"/>
      <c r="AHD11" s="391"/>
      <c r="AHE11" s="391"/>
      <c r="AHF11" s="391"/>
      <c r="AHG11" s="391"/>
      <c r="AHH11" s="391"/>
      <c r="AHI11" s="391"/>
      <c r="AHJ11" s="391"/>
      <c r="AHK11" s="391"/>
      <c r="AHL11" s="391"/>
      <c r="AHM11" s="391"/>
      <c r="AHN11" s="391"/>
      <c r="AHO11" s="391"/>
      <c r="AHP11" s="391"/>
      <c r="AHQ11" s="391"/>
      <c r="AHR11" s="391"/>
      <c r="AHS11" s="391"/>
      <c r="AHT11" s="391"/>
      <c r="AHU11" s="391"/>
      <c r="AHV11" s="391"/>
      <c r="AHW11" s="391"/>
      <c r="AHX11" s="391"/>
      <c r="AHY11" s="391"/>
      <c r="AHZ11" s="391"/>
      <c r="AIA11" s="391"/>
      <c r="AIB11" s="391"/>
      <c r="AIC11" s="391"/>
      <c r="AID11" s="391"/>
      <c r="AIE11" s="391"/>
      <c r="AIF11" s="391"/>
      <c r="AIG11" s="391"/>
      <c r="AIH11" s="391"/>
      <c r="AII11" s="391"/>
      <c r="AIJ11" s="391"/>
      <c r="AIK11" s="391"/>
      <c r="AIL11" s="391"/>
      <c r="AIM11" s="391"/>
      <c r="AIN11" s="391"/>
      <c r="AIO11" s="391"/>
      <c r="AIP11" s="391"/>
      <c r="AIQ11" s="391"/>
      <c r="AIR11" s="391"/>
      <c r="AIS11" s="391"/>
      <c r="AIT11" s="391"/>
      <c r="AIU11" s="391"/>
      <c r="AIV11" s="391"/>
      <c r="AIW11" s="391"/>
      <c r="AIX11" s="391"/>
      <c r="AIY11" s="391"/>
      <c r="AIZ11" s="391"/>
      <c r="AJA11" s="391"/>
      <c r="AJB11" s="391"/>
      <c r="AJC11" s="391"/>
      <c r="AJD11" s="391"/>
      <c r="AJE11" s="391"/>
      <c r="AJF11" s="391"/>
      <c r="AJG11" s="391"/>
      <c r="AJH11" s="391"/>
      <c r="AJI11" s="391"/>
      <c r="AJJ11" s="391"/>
      <c r="AJK11" s="391"/>
      <c r="AJL11" s="391"/>
      <c r="AJM11" s="391"/>
      <c r="AJN11" s="391"/>
      <c r="AJO11" s="391"/>
      <c r="AJP11" s="391"/>
      <c r="AJQ11" s="391"/>
      <c r="AJR11" s="391"/>
      <c r="AJS11" s="391"/>
      <c r="AJT11" s="391"/>
      <c r="AJU11" s="391"/>
      <c r="AJV11" s="391"/>
      <c r="AJW11" s="391"/>
      <c r="AJX11" s="391"/>
      <c r="AJY11" s="391"/>
      <c r="AJZ11" s="391"/>
      <c r="AKA11" s="391"/>
      <c r="AKB11" s="391"/>
      <c r="AKC11" s="391"/>
      <c r="AKD11" s="391"/>
      <c r="AKE11" s="391"/>
      <c r="AKF11" s="391"/>
      <c r="AKG11" s="391"/>
      <c r="AKH11" s="391"/>
      <c r="AKI11" s="391"/>
      <c r="AKJ11" s="391"/>
      <c r="AKK11" s="391"/>
      <c r="AKL11" s="391"/>
      <c r="AKM11" s="391"/>
      <c r="AKN11" s="391"/>
      <c r="AKO11" s="391"/>
      <c r="AKP11" s="391"/>
      <c r="AKQ11" s="391"/>
      <c r="AKR11" s="391"/>
      <c r="AKS11" s="391"/>
      <c r="AKT11" s="391"/>
      <c r="AKU11" s="391"/>
      <c r="AKV11" s="391"/>
      <c r="AKW11" s="391"/>
      <c r="AKX11" s="391"/>
      <c r="AKY11" s="391"/>
      <c r="AKZ11" s="391"/>
      <c r="ALA11" s="391"/>
      <c r="ALB11" s="391"/>
      <c r="ALC11" s="391"/>
      <c r="ALD11" s="391"/>
      <c r="ALE11" s="391"/>
      <c r="ALF11" s="391"/>
      <c r="ALG11" s="391"/>
      <c r="ALH11" s="391"/>
      <c r="ALI11" s="391"/>
      <c r="ALJ11" s="391"/>
      <c r="ALK11" s="391"/>
      <c r="ALL11" s="391"/>
      <c r="ALM11" s="391"/>
      <c r="ALN11" s="391"/>
      <c r="ALO11" s="391"/>
      <c r="ALP11" s="391"/>
      <c r="ALQ11" s="391"/>
      <c r="ALR11" s="391"/>
      <c r="ALS11" s="391"/>
      <c r="ALT11" s="391"/>
      <c r="ALU11" s="391"/>
      <c r="ALV11" s="391"/>
      <c r="ALW11" s="391"/>
      <c r="ALX11" s="391"/>
      <c r="ALY11" s="391"/>
      <c r="ALZ11" s="391"/>
      <c r="AMA11" s="391"/>
      <c r="AMB11" s="391"/>
      <c r="AMC11" s="391"/>
      <c r="AMD11" s="391"/>
      <c r="AME11" s="391"/>
      <c r="AMF11" s="391"/>
      <c r="AMG11" s="391"/>
      <c r="AMH11" s="391"/>
      <c r="AMI11" s="391"/>
      <c r="AMJ11" s="391"/>
      <c r="AMK11" s="391"/>
      <c r="AML11" s="391"/>
      <c r="AMM11" s="391"/>
      <c r="AMN11" s="391"/>
      <c r="AMO11" s="391"/>
      <c r="AMP11" s="391"/>
      <c r="AMQ11" s="391"/>
      <c r="AMR11" s="391"/>
      <c r="AMS11" s="391"/>
      <c r="AMT11" s="391"/>
      <c r="AMU11" s="391"/>
      <c r="AMV11" s="391"/>
      <c r="AMW11" s="391"/>
      <c r="AMX11" s="391"/>
      <c r="AMY11" s="391"/>
      <c r="AMZ11" s="391"/>
      <c r="ANA11" s="391"/>
      <c r="ANB11" s="391"/>
      <c r="ANC11" s="391"/>
      <c r="AND11" s="391"/>
      <c r="ANE11" s="391"/>
      <c r="ANF11" s="391"/>
      <c r="ANG11" s="391"/>
      <c r="ANH11" s="391"/>
      <c r="ANI11" s="391"/>
      <c r="ANJ11" s="391"/>
      <c r="ANK11" s="391"/>
      <c r="ANL11" s="391"/>
      <c r="ANM11" s="391"/>
      <c r="ANN11" s="391"/>
      <c r="ANO11" s="391"/>
      <c r="ANP11" s="391"/>
      <c r="ANQ11" s="391"/>
      <c r="ANR11" s="391"/>
      <c r="ANS11" s="391"/>
      <c r="ANT11" s="391"/>
      <c r="ANU11" s="391"/>
      <c r="ANV11" s="391"/>
      <c r="ANW11" s="391"/>
      <c r="ANX11" s="391"/>
      <c r="ANY11" s="391"/>
      <c r="ANZ11" s="391"/>
      <c r="AOA11" s="391"/>
      <c r="AOB11" s="391"/>
      <c r="AOC11" s="391"/>
      <c r="AOD11" s="391"/>
      <c r="AOE11" s="391"/>
      <c r="AOF11" s="391"/>
      <c r="AOG11" s="391"/>
      <c r="AOH11" s="391"/>
      <c r="AOI11" s="391"/>
      <c r="AOJ11" s="391"/>
      <c r="AOK11" s="391"/>
      <c r="AOL11" s="391"/>
      <c r="AOM11" s="391"/>
      <c r="AON11" s="391"/>
      <c r="AOO11" s="391"/>
      <c r="AOP11" s="391"/>
      <c r="AOQ11" s="391"/>
      <c r="AOR11" s="391"/>
      <c r="AOS11" s="391"/>
      <c r="AOT11" s="391"/>
      <c r="AOU11" s="391"/>
      <c r="AOV11" s="391"/>
      <c r="AOW11" s="391"/>
      <c r="AOX11" s="391"/>
      <c r="AOY11" s="391"/>
      <c r="AOZ11" s="391"/>
      <c r="APA11" s="391"/>
      <c r="APB11" s="391"/>
      <c r="APC11" s="391"/>
      <c r="APD11" s="391"/>
      <c r="APE11" s="391"/>
      <c r="APF11" s="391"/>
      <c r="APG11" s="391"/>
      <c r="APH11" s="391"/>
      <c r="API11" s="391"/>
      <c r="APJ11" s="391"/>
      <c r="APK11" s="391"/>
      <c r="APL11" s="391"/>
      <c r="APM11" s="391"/>
      <c r="APN11" s="391"/>
      <c r="APO11" s="391"/>
      <c r="APP11" s="391"/>
      <c r="APQ11" s="391"/>
      <c r="APR11" s="391"/>
      <c r="APS11" s="391"/>
      <c r="APT11" s="391"/>
      <c r="APU11" s="391"/>
      <c r="APV11" s="391"/>
      <c r="APW11" s="391"/>
      <c r="APX11" s="391"/>
      <c r="APY11" s="391"/>
      <c r="APZ11" s="391"/>
      <c r="AQA11" s="391"/>
      <c r="AQB11" s="391"/>
      <c r="AQC11" s="391"/>
      <c r="AQD11" s="391"/>
      <c r="AQE11" s="391"/>
      <c r="AQF11" s="391"/>
      <c r="AQG11" s="391"/>
      <c r="AQH11" s="391"/>
      <c r="AQI11" s="391"/>
      <c r="AQJ11" s="391"/>
      <c r="AQK11" s="391"/>
      <c r="AQL11" s="391"/>
      <c r="AQM11" s="391"/>
      <c r="AQN11" s="391"/>
      <c r="AQO11" s="391"/>
      <c r="AQP11" s="391"/>
      <c r="AQQ11" s="391"/>
      <c r="AQR11" s="391"/>
      <c r="AQS11" s="391"/>
      <c r="AQT11" s="391"/>
      <c r="AQU11" s="391"/>
      <c r="AQV11" s="391"/>
      <c r="AQW11" s="391"/>
      <c r="AQX11" s="391"/>
      <c r="AQY11" s="391"/>
      <c r="AQZ11" s="391"/>
      <c r="ARA11" s="391"/>
      <c r="ARB11" s="391"/>
      <c r="ARC11" s="391"/>
      <c r="ARD11" s="391"/>
      <c r="ARE11" s="391"/>
      <c r="ARF11" s="391"/>
      <c r="ARG11" s="391"/>
      <c r="ARH11" s="391"/>
      <c r="ARI11" s="391"/>
      <c r="ARJ11" s="391"/>
      <c r="ARK11" s="391"/>
      <c r="ARL11" s="391"/>
      <c r="ARM11" s="391"/>
      <c r="ARN11" s="391"/>
      <c r="ARO11" s="391"/>
      <c r="ARP11" s="391"/>
      <c r="ARQ11" s="391"/>
      <c r="ARR11" s="391"/>
      <c r="ARS11" s="391"/>
      <c r="ART11" s="391"/>
      <c r="ARU11" s="391"/>
      <c r="ARV11" s="391"/>
      <c r="ARW11" s="391"/>
      <c r="ARX11" s="391"/>
      <c r="ARY11" s="391"/>
      <c r="ARZ11" s="391"/>
      <c r="ASA11" s="391"/>
      <c r="ASB11" s="391"/>
      <c r="ASC11" s="391"/>
      <c r="ASD11" s="391"/>
      <c r="ASE11" s="391"/>
      <c r="ASF11" s="391"/>
      <c r="ASG11" s="391"/>
      <c r="ASH11" s="391"/>
      <c r="ASI11" s="391"/>
      <c r="ASJ11" s="391"/>
      <c r="ASK11" s="391"/>
      <c r="ASL11" s="391"/>
      <c r="ASM11" s="391"/>
      <c r="ASN11" s="391"/>
      <c r="ASO11" s="391"/>
      <c r="ASP11" s="391"/>
      <c r="ASQ11" s="391"/>
      <c r="ASR11" s="391"/>
      <c r="ASS11" s="391"/>
      <c r="AST11" s="391"/>
      <c r="ASU11" s="391"/>
      <c r="ASV11" s="391"/>
      <c r="ASW11" s="391"/>
      <c r="ASX11" s="391"/>
      <c r="ASY11" s="391"/>
      <c r="ASZ11" s="391"/>
      <c r="ATA11" s="391"/>
      <c r="ATB11" s="391"/>
      <c r="ATC11" s="391"/>
      <c r="ATD11" s="391"/>
      <c r="ATE11" s="391"/>
      <c r="ATF11" s="391"/>
      <c r="ATG11" s="391"/>
      <c r="ATH11" s="391"/>
      <c r="ATI11" s="391"/>
      <c r="ATJ11" s="391"/>
      <c r="ATK11" s="391"/>
      <c r="ATL11" s="391"/>
      <c r="ATM11" s="391"/>
      <c r="ATN11" s="391"/>
      <c r="ATO11" s="391"/>
      <c r="ATP11" s="391"/>
      <c r="ATQ11" s="391"/>
      <c r="ATR11" s="391"/>
      <c r="ATS11" s="391"/>
      <c r="ATT11" s="391"/>
      <c r="ATU11" s="391"/>
      <c r="ATV11" s="391"/>
      <c r="ATW11" s="391"/>
      <c r="ATX11" s="391"/>
      <c r="ATY11" s="391"/>
      <c r="ATZ11" s="391"/>
      <c r="AUA11" s="391"/>
      <c r="AUB11" s="391"/>
      <c r="AUC11" s="391"/>
      <c r="AUD11" s="391"/>
      <c r="AUE11" s="391"/>
      <c r="AUF11" s="391"/>
      <c r="AUG11" s="391"/>
      <c r="AUH11" s="391"/>
      <c r="AUI11" s="391"/>
      <c r="AUJ11" s="391"/>
      <c r="AUK11" s="391"/>
      <c r="AUL11" s="391"/>
      <c r="AUM11" s="391"/>
      <c r="AUN11" s="391"/>
      <c r="AUO11" s="391"/>
      <c r="AUP11" s="391"/>
      <c r="AUQ11" s="391"/>
      <c r="AUR11" s="391"/>
      <c r="AUS11" s="391"/>
      <c r="AUT11" s="391"/>
      <c r="AUU11" s="391"/>
      <c r="AUV11" s="391"/>
      <c r="AUW11" s="391"/>
      <c r="AUX11" s="391"/>
      <c r="AUY11" s="391"/>
      <c r="AUZ11" s="391"/>
      <c r="AVA11" s="391"/>
      <c r="AVB11" s="391"/>
      <c r="AVC11" s="391"/>
      <c r="AVD11" s="391"/>
      <c r="AVE11" s="391"/>
      <c r="AVF11" s="391"/>
      <c r="AVG11" s="391"/>
      <c r="AVH11" s="391"/>
      <c r="AVI11" s="391"/>
      <c r="AVJ11" s="391"/>
      <c r="AVK11" s="391"/>
      <c r="AVL11" s="391"/>
      <c r="AVM11" s="391"/>
      <c r="AVN11" s="391"/>
      <c r="AVO11" s="391"/>
      <c r="AVP11" s="391"/>
      <c r="AVQ11" s="391"/>
      <c r="AVR11" s="391"/>
      <c r="AVS11" s="391"/>
      <c r="AVT11" s="391"/>
      <c r="AVU11" s="391"/>
      <c r="AVV11" s="391"/>
      <c r="AVW11" s="391"/>
      <c r="AVX11" s="391"/>
      <c r="AVY11" s="391"/>
      <c r="AVZ11" s="391"/>
      <c r="AWA11" s="391"/>
      <c r="AWB11" s="391"/>
      <c r="AWC11" s="391"/>
      <c r="AWD11" s="391"/>
      <c r="AWE11" s="391"/>
      <c r="AWF11" s="391"/>
      <c r="AWG11" s="391"/>
      <c r="AWH11" s="391"/>
      <c r="AWI11" s="391"/>
      <c r="AWJ11" s="391"/>
      <c r="AWK11" s="391"/>
      <c r="AWL11" s="391"/>
      <c r="AWM11" s="391"/>
      <c r="AWN11" s="391"/>
      <c r="AWO11" s="391"/>
      <c r="AWP11" s="391"/>
      <c r="AWQ11" s="391"/>
      <c r="AWR11" s="391"/>
      <c r="AWS11" s="391"/>
      <c r="AWT11" s="391"/>
      <c r="AWU11" s="391"/>
      <c r="AWV11" s="391"/>
      <c r="AWW11" s="391"/>
      <c r="AWX11" s="391"/>
      <c r="AWY11" s="391"/>
      <c r="AWZ11" s="391"/>
      <c r="AXA11" s="391"/>
      <c r="AXB11" s="391"/>
      <c r="AXC11" s="391"/>
      <c r="AXD11" s="391"/>
      <c r="AXE11" s="391"/>
      <c r="AXF11" s="391"/>
      <c r="AXG11" s="391"/>
      <c r="AXH11" s="391"/>
      <c r="AXI11" s="391"/>
      <c r="AXJ11" s="391"/>
      <c r="AXK11" s="391"/>
      <c r="AXL11" s="391"/>
      <c r="AXM11" s="391"/>
      <c r="AXN11" s="391"/>
      <c r="AXO11" s="391"/>
      <c r="AXP11" s="391"/>
      <c r="AXQ11" s="391"/>
      <c r="AXR11" s="391"/>
      <c r="AXS11" s="391"/>
      <c r="AXT11" s="391"/>
      <c r="AXU11" s="391"/>
      <c r="AXV11" s="391"/>
      <c r="AXW11" s="391"/>
      <c r="AXX11" s="391"/>
      <c r="AXY11" s="391"/>
      <c r="AXZ11" s="391"/>
      <c r="AYA11" s="391"/>
      <c r="AYB11" s="391"/>
      <c r="AYC11" s="391"/>
      <c r="AYD11" s="391"/>
      <c r="AYE11" s="391"/>
      <c r="AYF11" s="391"/>
      <c r="AYG11" s="391"/>
      <c r="AYH11" s="391"/>
      <c r="AYI11" s="391"/>
      <c r="AYJ11" s="391"/>
      <c r="AYK11" s="391"/>
      <c r="AYL11" s="391"/>
      <c r="AYM11" s="391"/>
      <c r="AYN11" s="391"/>
      <c r="AYO11" s="391"/>
      <c r="AYP11" s="391"/>
      <c r="AYQ11" s="391"/>
      <c r="AYR11" s="391"/>
      <c r="AYS11" s="391"/>
      <c r="AYT11" s="391"/>
      <c r="AYU11" s="391"/>
      <c r="AYV11" s="391"/>
      <c r="AYW11" s="391"/>
      <c r="AYX11" s="391"/>
      <c r="AYY11" s="391"/>
      <c r="AYZ11" s="391"/>
      <c r="AZA11" s="391"/>
      <c r="AZB11" s="391"/>
      <c r="AZC11" s="391"/>
      <c r="AZD11" s="391"/>
      <c r="AZE11" s="391"/>
      <c r="AZF11" s="391"/>
      <c r="AZG11" s="391"/>
      <c r="AZH11" s="391"/>
      <c r="AZI11" s="391"/>
      <c r="AZJ11" s="391"/>
      <c r="AZK11" s="391"/>
      <c r="AZL11" s="391"/>
      <c r="AZM11" s="391"/>
      <c r="AZN11" s="391"/>
      <c r="AZO11" s="391"/>
      <c r="AZP11" s="391"/>
      <c r="AZQ11" s="391"/>
      <c r="AZR11" s="391"/>
      <c r="AZS11" s="391"/>
      <c r="AZT11" s="391"/>
      <c r="AZU11" s="391"/>
      <c r="AZV11" s="391"/>
      <c r="AZW11" s="391"/>
      <c r="AZX11" s="391"/>
      <c r="AZY11" s="391"/>
      <c r="AZZ11" s="391"/>
      <c r="BAA11" s="391"/>
      <c r="BAB11" s="391"/>
      <c r="BAC11" s="391"/>
      <c r="BAD11" s="391"/>
      <c r="BAE11" s="391"/>
      <c r="BAF11" s="391"/>
      <c r="BAG11" s="391"/>
      <c r="BAH11" s="391"/>
      <c r="BAI11" s="391"/>
      <c r="BAJ11" s="391"/>
      <c r="BAK11" s="391"/>
      <c r="BAL11" s="391"/>
      <c r="BAM11" s="391"/>
      <c r="BAN11" s="391"/>
      <c r="BAO11" s="391"/>
      <c r="BAP11" s="391"/>
      <c r="BAQ11" s="391"/>
      <c r="BAR11" s="391"/>
      <c r="BAS11" s="391"/>
      <c r="BAT11" s="391"/>
      <c r="BAU11" s="391"/>
      <c r="BAV11" s="391"/>
      <c r="BAW11" s="391"/>
      <c r="BAX11" s="391"/>
      <c r="BAY11" s="391"/>
      <c r="BAZ11" s="391"/>
      <c r="BBA11" s="391"/>
      <c r="BBB11" s="391"/>
      <c r="BBC11" s="391"/>
      <c r="BBD11" s="391"/>
      <c r="BBE11" s="391"/>
      <c r="BBF11" s="391"/>
      <c r="BBG11" s="391"/>
      <c r="BBH11" s="391"/>
      <c r="BBI11" s="391"/>
      <c r="BBJ11" s="391"/>
      <c r="BBK11" s="391"/>
      <c r="BBL11" s="391"/>
      <c r="BBM11" s="391"/>
      <c r="BBN11" s="391"/>
      <c r="BBO11" s="391"/>
      <c r="BBP11" s="391"/>
      <c r="BBQ11" s="391"/>
      <c r="BBR11" s="391"/>
      <c r="BBS11" s="391"/>
      <c r="BBT11" s="391"/>
      <c r="BBU11" s="391"/>
      <c r="BBV11" s="391"/>
      <c r="BBW11" s="391"/>
      <c r="BBX11" s="391"/>
      <c r="BBY11" s="391"/>
      <c r="BBZ11" s="391"/>
      <c r="BCA11" s="391"/>
      <c r="BCB11" s="391"/>
      <c r="BCC11" s="391"/>
      <c r="BCD11" s="391"/>
      <c r="BCE11" s="391"/>
      <c r="BCF11" s="391"/>
      <c r="BCG11" s="391"/>
      <c r="BCH11" s="391"/>
      <c r="BCI11" s="391"/>
      <c r="BCJ11" s="391"/>
      <c r="BCK11" s="391"/>
      <c r="BCL11" s="391"/>
      <c r="BCM11" s="391"/>
      <c r="BCN11" s="391"/>
      <c r="BCO11" s="391"/>
      <c r="BCP11" s="391"/>
      <c r="BCQ11" s="391"/>
      <c r="BCR11" s="391"/>
      <c r="BCS11" s="391"/>
      <c r="BCT11" s="391"/>
      <c r="BCU11" s="391"/>
      <c r="BCV11" s="391"/>
      <c r="BCW11" s="391"/>
      <c r="BCX11" s="391"/>
      <c r="BCY11" s="391"/>
      <c r="BCZ11" s="391"/>
      <c r="BDA11" s="391"/>
      <c r="BDB11" s="391"/>
      <c r="BDC11" s="391"/>
      <c r="BDD11" s="391"/>
      <c r="BDE11" s="391"/>
      <c r="BDF11" s="391"/>
      <c r="BDG11" s="391"/>
      <c r="BDH11" s="391"/>
      <c r="BDI11" s="391"/>
      <c r="BDJ11" s="391"/>
      <c r="BDK11" s="391"/>
      <c r="BDL11" s="391"/>
      <c r="BDM11" s="391"/>
      <c r="BDN11" s="391"/>
      <c r="BDO11" s="391"/>
      <c r="BDP11" s="391"/>
      <c r="BDQ11" s="391"/>
      <c r="BDR11" s="391"/>
      <c r="BDS11" s="391"/>
      <c r="BDT11" s="391"/>
      <c r="BDU11" s="391"/>
      <c r="BDV11" s="391"/>
      <c r="BDW11" s="391"/>
      <c r="BDX11" s="391"/>
      <c r="BDY11" s="391"/>
      <c r="BDZ11" s="391"/>
      <c r="BEA11" s="391"/>
      <c r="BEB11" s="391"/>
      <c r="BEC11" s="391"/>
      <c r="BED11" s="391"/>
      <c r="BEE11" s="391"/>
      <c r="BEF11" s="391"/>
      <c r="BEG11" s="391"/>
      <c r="BEH11" s="391"/>
      <c r="BEI11" s="391"/>
      <c r="BEJ11" s="391"/>
      <c r="BEK11" s="391"/>
      <c r="BEL11" s="391"/>
      <c r="BEM11" s="391"/>
      <c r="BEN11" s="391"/>
      <c r="BEO11" s="391"/>
      <c r="BEP11" s="391"/>
      <c r="BEQ11" s="391"/>
      <c r="BER11" s="391"/>
      <c r="BES11" s="391"/>
      <c r="BET11" s="391"/>
      <c r="BEU11" s="391"/>
      <c r="BEV11" s="391"/>
      <c r="BEW11" s="391"/>
      <c r="BEX11" s="391"/>
      <c r="BEY11" s="391"/>
      <c r="BEZ11" s="391"/>
      <c r="BFA11" s="391"/>
      <c r="BFB11" s="391"/>
      <c r="BFC11" s="391"/>
      <c r="BFD11" s="391"/>
      <c r="BFE11" s="391"/>
      <c r="BFF11" s="391"/>
      <c r="BFG11" s="391"/>
      <c r="BFH11" s="391"/>
      <c r="BFI11" s="391"/>
      <c r="BFJ11" s="391"/>
      <c r="BFK11" s="391"/>
      <c r="BFL11" s="391"/>
      <c r="BFM11" s="391"/>
      <c r="BFN11" s="391"/>
      <c r="BFO11" s="391"/>
      <c r="BFP11" s="391"/>
      <c r="BFQ11" s="391"/>
      <c r="BFR11" s="391"/>
      <c r="BFS11" s="391"/>
      <c r="BFT11" s="391"/>
      <c r="BFU11" s="391"/>
      <c r="BFV11" s="391"/>
      <c r="BFW11" s="391"/>
      <c r="BFX11" s="391"/>
      <c r="BFY11" s="391"/>
      <c r="BFZ11" s="391"/>
      <c r="BGA11" s="391"/>
      <c r="BGB11" s="391"/>
      <c r="BGC11" s="391"/>
      <c r="BGD11" s="391"/>
      <c r="BGE11" s="391"/>
      <c r="BGF11" s="391"/>
      <c r="BGG11" s="391"/>
      <c r="BGH11" s="391"/>
      <c r="BGI11" s="391"/>
      <c r="BGJ11" s="391"/>
      <c r="BGK11" s="391"/>
      <c r="BGL11" s="391"/>
      <c r="BGM11" s="391"/>
      <c r="BGN11" s="391"/>
      <c r="BGO11" s="391"/>
      <c r="BGP11" s="391"/>
      <c r="BGQ11" s="391"/>
      <c r="BGR11" s="391"/>
      <c r="BGS11" s="391"/>
      <c r="BGT11" s="391"/>
      <c r="BGU11" s="391"/>
      <c r="BGV11" s="391"/>
      <c r="BGW11" s="391"/>
      <c r="BGX11" s="391"/>
      <c r="BGY11" s="391"/>
      <c r="BGZ11" s="391"/>
      <c r="BHA11" s="391"/>
      <c r="BHB11" s="391"/>
      <c r="BHC11" s="391"/>
      <c r="BHD11" s="391"/>
      <c r="BHE11" s="391"/>
      <c r="BHF11" s="391"/>
      <c r="BHG11" s="391"/>
      <c r="BHH11" s="391"/>
      <c r="BHI11" s="391"/>
      <c r="BHJ11" s="391"/>
      <c r="BHK11" s="391"/>
      <c r="BHL11" s="391"/>
      <c r="BHM11" s="391"/>
      <c r="BHN11" s="391"/>
      <c r="BHO11" s="391"/>
      <c r="BHP11" s="391"/>
      <c r="BHQ11" s="391"/>
      <c r="BHR11" s="391"/>
      <c r="BHS11" s="391"/>
      <c r="BHT11" s="391"/>
      <c r="BHU11" s="391"/>
      <c r="BHV11" s="391"/>
      <c r="BHW11" s="391"/>
      <c r="BHX11" s="391"/>
      <c r="BHY11" s="391"/>
      <c r="BHZ11" s="391"/>
      <c r="BIA11" s="391"/>
      <c r="BIB11" s="391"/>
      <c r="BIC11" s="391"/>
      <c r="BID11" s="391"/>
      <c r="BIE11" s="391"/>
      <c r="BIF11" s="391"/>
      <c r="BIG11" s="391"/>
      <c r="BIH11" s="391"/>
      <c r="BII11" s="391"/>
      <c r="BIJ11" s="391"/>
      <c r="BIK11" s="391"/>
      <c r="BIL11" s="391"/>
      <c r="BIM11" s="391"/>
      <c r="BIN11" s="391"/>
      <c r="BIO11" s="391"/>
      <c r="BIP11" s="391"/>
      <c r="BIQ11" s="391"/>
      <c r="BIR11" s="391"/>
      <c r="BIS11" s="391"/>
      <c r="BIT11" s="391"/>
      <c r="BIU11" s="391"/>
      <c r="BIV11" s="391"/>
      <c r="BIW11" s="391"/>
      <c r="BIX11" s="391"/>
      <c r="BIY11" s="391"/>
      <c r="BIZ11" s="391"/>
      <c r="BJA11" s="391"/>
      <c r="BJB11" s="391"/>
      <c r="BJC11" s="391"/>
      <c r="BJD11" s="391"/>
      <c r="BJE11" s="391"/>
      <c r="BJF11" s="391"/>
      <c r="BJG11" s="391"/>
      <c r="BJH11" s="391"/>
      <c r="BJI11" s="391"/>
      <c r="BJJ11" s="391"/>
      <c r="BJK11" s="391"/>
      <c r="BJL11" s="391"/>
      <c r="BJM11" s="391"/>
      <c r="BJN11" s="391"/>
      <c r="BJO11" s="391"/>
      <c r="BJP11" s="391"/>
      <c r="BJQ11" s="391"/>
      <c r="BJR11" s="391"/>
      <c r="BJS11" s="391"/>
      <c r="BJT11" s="391"/>
      <c r="BJU11" s="391"/>
      <c r="BJV11" s="391"/>
      <c r="BJW11" s="391"/>
      <c r="BJX11" s="391"/>
      <c r="BJY11" s="391"/>
      <c r="BJZ11" s="391"/>
      <c r="BKA11" s="391"/>
      <c r="BKB11" s="391"/>
      <c r="BKC11" s="391"/>
      <c r="BKD11" s="391"/>
      <c r="BKE11" s="391"/>
      <c r="BKF11" s="391"/>
      <c r="BKG11" s="391"/>
      <c r="BKH11" s="391"/>
      <c r="BKI11" s="391"/>
      <c r="BKJ11" s="391"/>
      <c r="BKK11" s="391"/>
      <c r="BKL11" s="391"/>
      <c r="BKM11" s="391"/>
      <c r="BKN11" s="391"/>
      <c r="BKO11" s="391"/>
      <c r="BKP11" s="391"/>
      <c r="BKQ11" s="391"/>
      <c r="BKR11" s="391"/>
      <c r="BKS11" s="391"/>
      <c r="BKT11" s="391"/>
      <c r="BKU11" s="391"/>
      <c r="BKV11" s="391"/>
      <c r="BKW11" s="391"/>
      <c r="BKX11" s="391"/>
      <c r="BKY11" s="391"/>
      <c r="BKZ11" s="391"/>
      <c r="BLA11" s="391"/>
      <c r="BLB11" s="391"/>
      <c r="BLC11" s="391"/>
      <c r="BLD11" s="391"/>
      <c r="BLE11" s="391"/>
      <c r="BLF11" s="391"/>
      <c r="BLG11" s="391"/>
      <c r="BLH11" s="391"/>
      <c r="BLI11" s="391"/>
      <c r="BLJ11" s="391"/>
      <c r="BLK11" s="391"/>
      <c r="BLL11" s="391"/>
      <c r="BLM11" s="391"/>
      <c r="BLN11" s="391"/>
      <c r="BLO11" s="391"/>
      <c r="BLP11" s="391"/>
      <c r="BLQ11" s="391"/>
      <c r="BLR11" s="391"/>
      <c r="BLS11" s="391"/>
      <c r="BLT11" s="391"/>
      <c r="BLU11" s="391"/>
      <c r="BLV11" s="391"/>
      <c r="BLW11" s="391"/>
      <c r="BLX11" s="391"/>
      <c r="BLY11" s="391"/>
      <c r="BLZ11" s="391"/>
      <c r="BMA11" s="391"/>
      <c r="BMB11" s="391"/>
      <c r="BMC11" s="391"/>
      <c r="BMD11" s="391"/>
      <c r="BME11" s="391"/>
      <c r="BMF11" s="391"/>
      <c r="BMG11" s="391"/>
      <c r="BMH11" s="391"/>
      <c r="BMI11" s="391"/>
      <c r="BMJ11" s="391"/>
      <c r="BMK11" s="391"/>
      <c r="BML11" s="391"/>
      <c r="BMM11" s="391"/>
      <c r="BMN11" s="391"/>
      <c r="BMO11" s="391"/>
      <c r="BMP11" s="391"/>
      <c r="BMQ11" s="391"/>
      <c r="BMR11" s="391"/>
      <c r="BMS11" s="391"/>
      <c r="BMT11" s="391"/>
      <c r="BMU11" s="391"/>
      <c r="BMV11" s="391"/>
      <c r="BMW11" s="391"/>
      <c r="BMX11" s="391"/>
      <c r="BMY11" s="391"/>
      <c r="BMZ11" s="391"/>
      <c r="BNA11" s="391"/>
      <c r="BNB11" s="391"/>
      <c r="BNC11" s="391"/>
      <c r="BND11" s="391"/>
      <c r="BNE11" s="391"/>
      <c r="BNF11" s="391"/>
      <c r="BNG11" s="391"/>
      <c r="BNH11" s="391"/>
      <c r="BNI11" s="391"/>
      <c r="BNJ11" s="391"/>
      <c r="BNK11" s="391"/>
      <c r="BNL11" s="391"/>
      <c r="BNM11" s="391"/>
      <c r="BNN11" s="391"/>
      <c r="BNO11" s="391"/>
      <c r="BNP11" s="391"/>
      <c r="BNQ11" s="391"/>
      <c r="BNR11" s="391"/>
      <c r="BNS11" s="391"/>
      <c r="BNT11" s="391"/>
      <c r="BNU11" s="391"/>
      <c r="BNV11" s="391"/>
      <c r="BNW11" s="391"/>
      <c r="BNX11" s="391"/>
      <c r="BNY11" s="391"/>
      <c r="BNZ11" s="391"/>
      <c r="BOA11" s="391"/>
      <c r="BOB11" s="391"/>
      <c r="BOC11" s="391"/>
      <c r="BOD11" s="391"/>
      <c r="BOE11" s="391"/>
      <c r="BOF11" s="391"/>
      <c r="BOG11" s="391"/>
      <c r="BOH11" s="391"/>
      <c r="BOI11" s="391"/>
      <c r="BOJ11" s="391"/>
      <c r="BOK11" s="391"/>
      <c r="BOL11" s="391"/>
      <c r="BOM11" s="391"/>
      <c r="BON11" s="391"/>
      <c r="BOO11" s="391"/>
      <c r="BOP11" s="391"/>
      <c r="BOQ11" s="391"/>
      <c r="BOR11" s="391"/>
      <c r="BOS11" s="391"/>
      <c r="BOT11" s="391"/>
      <c r="BOU11" s="391"/>
      <c r="BOV11" s="391"/>
      <c r="BOW11" s="391"/>
      <c r="BOX11" s="391"/>
      <c r="BOY11" s="391"/>
      <c r="BOZ11" s="391"/>
      <c r="BPA11" s="391"/>
      <c r="BPB11" s="391"/>
      <c r="BPC11" s="391"/>
      <c r="BPD11" s="391"/>
      <c r="BPE11" s="391"/>
      <c r="BPF11" s="391"/>
      <c r="BPG11" s="391"/>
      <c r="BPH11" s="391"/>
      <c r="BPI11" s="391"/>
      <c r="BPJ11" s="391"/>
      <c r="BPK11" s="391"/>
      <c r="BPL11" s="391"/>
      <c r="BPM11" s="391"/>
      <c r="BPN11" s="391"/>
      <c r="BPO11" s="391"/>
      <c r="BPP11" s="391"/>
      <c r="BPQ11" s="391"/>
      <c r="BPR11" s="391"/>
      <c r="BPS11" s="391"/>
      <c r="BPT11" s="391"/>
      <c r="BPU11" s="391"/>
      <c r="BPV11" s="391"/>
      <c r="BPW11" s="391"/>
      <c r="BPX11" s="391"/>
      <c r="BPY11" s="391"/>
      <c r="BPZ11" s="391"/>
      <c r="BQA11" s="391"/>
      <c r="BQB11" s="391"/>
      <c r="BQC11" s="391"/>
      <c r="BQD11" s="391"/>
      <c r="BQE11" s="391"/>
      <c r="BQF11" s="391"/>
      <c r="BQG11" s="391"/>
      <c r="BQH11" s="391"/>
      <c r="BQI11" s="391"/>
      <c r="BQJ11" s="391"/>
      <c r="BQK11" s="391"/>
      <c r="BQL11" s="391"/>
      <c r="BQM11" s="391"/>
      <c r="BQN11" s="391"/>
      <c r="BQO11" s="391"/>
      <c r="BQP11" s="391"/>
      <c r="BQQ11" s="391"/>
      <c r="BQR11" s="391"/>
      <c r="BQS11" s="391"/>
      <c r="BQT11" s="391"/>
      <c r="BQU11" s="391"/>
      <c r="BQV11" s="391"/>
      <c r="BQW11" s="391"/>
      <c r="BQX11" s="391"/>
      <c r="BQY11" s="391"/>
      <c r="BQZ11" s="391"/>
      <c r="BRA11" s="391"/>
      <c r="BRB11" s="391"/>
      <c r="BRC11" s="391"/>
      <c r="BRD11" s="391"/>
      <c r="BRE11" s="391"/>
      <c r="BRF11" s="391"/>
      <c r="BRG11" s="391"/>
      <c r="BRH11" s="391"/>
      <c r="BRI11" s="391"/>
      <c r="BRJ11" s="391"/>
      <c r="BRK11" s="391"/>
      <c r="BRL11" s="391"/>
      <c r="BRM11" s="391"/>
      <c r="BRN11" s="391"/>
      <c r="BRO11" s="391"/>
      <c r="BRP11" s="391"/>
      <c r="BRQ11" s="391"/>
      <c r="BRR11" s="391"/>
      <c r="BRS11" s="391"/>
      <c r="BRT11" s="391"/>
      <c r="BRU11" s="391"/>
      <c r="BRV11" s="391"/>
      <c r="BRW11" s="391"/>
      <c r="BRX11" s="391"/>
      <c r="BRY11" s="391"/>
      <c r="BRZ11" s="391"/>
      <c r="BSA11" s="391"/>
      <c r="BSB11" s="391"/>
      <c r="BSC11" s="391"/>
      <c r="BSD11" s="391"/>
      <c r="BSE11" s="391"/>
      <c r="BSF11" s="391"/>
      <c r="BSG11" s="391"/>
      <c r="BSH11" s="391"/>
      <c r="BSI11" s="391"/>
      <c r="BSJ11" s="391"/>
      <c r="BSK11" s="391"/>
      <c r="BSL11" s="391"/>
      <c r="BSM11" s="391"/>
      <c r="BSN11" s="391"/>
      <c r="BSO11" s="391"/>
      <c r="BSP11" s="391"/>
      <c r="BSQ11" s="391"/>
      <c r="BSR11" s="391"/>
      <c r="BSS11" s="391"/>
      <c r="BST11" s="391"/>
      <c r="BSU11" s="391"/>
      <c r="BSV11" s="391"/>
      <c r="BSW11" s="391"/>
      <c r="BSX11" s="391"/>
      <c r="BSY11" s="391"/>
      <c r="BSZ11" s="391"/>
      <c r="BTA11" s="391"/>
      <c r="BTB11" s="391"/>
      <c r="BTC11" s="391"/>
      <c r="BTD11" s="391"/>
      <c r="BTE11" s="391"/>
      <c r="BTF11" s="391"/>
      <c r="BTG11" s="391"/>
      <c r="BTH11" s="391"/>
      <c r="BTI11" s="391"/>
      <c r="BTJ11" s="391"/>
      <c r="BTK11" s="391"/>
      <c r="BTL11" s="391"/>
      <c r="BTM11" s="391"/>
      <c r="BTN11" s="391"/>
      <c r="BTO11" s="391"/>
      <c r="BTP11" s="391"/>
      <c r="BTQ11" s="391"/>
      <c r="BTR11" s="391"/>
      <c r="BTS11" s="391"/>
      <c r="BTT11" s="391"/>
      <c r="BTU11" s="391"/>
      <c r="BTV11" s="391"/>
      <c r="BTW11" s="391"/>
      <c r="BTX11" s="391"/>
      <c r="BTY11" s="391"/>
      <c r="BTZ11" s="391"/>
      <c r="BUA11" s="391"/>
      <c r="BUB11" s="391"/>
      <c r="BUC11" s="391"/>
      <c r="BUD11" s="391"/>
      <c r="BUE11" s="391"/>
      <c r="BUF11" s="391"/>
      <c r="BUG11" s="391"/>
      <c r="BUH11" s="391"/>
      <c r="BUI11" s="391"/>
      <c r="BUJ11" s="391"/>
      <c r="BUK11" s="391"/>
      <c r="BUL11" s="391"/>
      <c r="BUM11" s="391"/>
      <c r="BUN11" s="391"/>
      <c r="BUO11" s="391"/>
      <c r="BUP11" s="391"/>
      <c r="BUQ11" s="391"/>
      <c r="BUR11" s="391"/>
      <c r="BUS11" s="391"/>
      <c r="BUT11" s="391"/>
      <c r="BUU11" s="391"/>
      <c r="BUV11" s="391"/>
      <c r="BUW11" s="391"/>
      <c r="BUX11" s="391"/>
      <c r="BUY11" s="391"/>
      <c r="BUZ11" s="391"/>
      <c r="BVA11" s="391"/>
      <c r="BVB11" s="391"/>
      <c r="BVC11" s="391"/>
      <c r="BVD11" s="391"/>
      <c r="BVE11" s="391"/>
      <c r="BVF11" s="391"/>
      <c r="BVG11" s="391"/>
      <c r="BVH11" s="391"/>
      <c r="BVI11" s="391"/>
      <c r="BVJ11" s="391"/>
      <c r="BVK11" s="391"/>
      <c r="BVL11" s="391"/>
      <c r="BVM11" s="391"/>
      <c r="BVN11" s="391"/>
      <c r="BVO11" s="391"/>
      <c r="BVP11" s="391"/>
      <c r="BVQ11" s="391"/>
      <c r="BVR11" s="391"/>
      <c r="BVS11" s="391"/>
      <c r="BVT11" s="391"/>
      <c r="BVU11" s="391"/>
      <c r="BVV11" s="391"/>
      <c r="BVW11" s="391"/>
      <c r="BVX11" s="391"/>
      <c r="BVY11" s="391"/>
      <c r="BVZ11" s="391"/>
      <c r="BWA11" s="391"/>
      <c r="BWB11" s="391"/>
      <c r="BWC11" s="391"/>
      <c r="BWD11" s="391"/>
      <c r="BWE11" s="391"/>
      <c r="BWF11" s="391"/>
      <c r="BWG11" s="391"/>
      <c r="BWH11" s="391"/>
      <c r="BWI11" s="391"/>
      <c r="BWJ11" s="391"/>
      <c r="BWK11" s="391"/>
      <c r="BWL11" s="391"/>
      <c r="BWM11" s="391"/>
      <c r="BWN11" s="391"/>
      <c r="BWO11" s="391"/>
      <c r="BWP11" s="391"/>
      <c r="BWQ11" s="391"/>
      <c r="BWR11" s="391"/>
      <c r="BWS11" s="391"/>
      <c r="BWT11" s="391"/>
      <c r="BWU11" s="391"/>
      <c r="BWV11" s="391"/>
      <c r="BWW11" s="391"/>
      <c r="BWX11" s="391"/>
      <c r="BWY11" s="391"/>
      <c r="BWZ11" s="391"/>
      <c r="BXA11" s="391"/>
      <c r="BXB11" s="391"/>
      <c r="BXC11" s="391"/>
      <c r="BXD11" s="391"/>
      <c r="BXE11" s="391"/>
      <c r="BXF11" s="391"/>
      <c r="BXG11" s="391"/>
      <c r="BXH11" s="391"/>
      <c r="BXI11" s="391"/>
      <c r="BXJ11" s="391"/>
      <c r="BXK11" s="391"/>
      <c r="BXL11" s="391"/>
      <c r="BXM11" s="391"/>
      <c r="BXN11" s="391"/>
      <c r="BXO11" s="391"/>
      <c r="BXP11" s="391"/>
      <c r="BXQ11" s="391"/>
      <c r="BXR11" s="391"/>
      <c r="BXS11" s="391"/>
      <c r="BXT11" s="391"/>
      <c r="BXU11" s="391"/>
      <c r="BXV11" s="391"/>
      <c r="BXW11" s="391"/>
      <c r="BXX11" s="391"/>
      <c r="BXY11" s="391"/>
      <c r="BXZ11" s="391"/>
      <c r="BYA11" s="391"/>
      <c r="BYB11" s="391"/>
      <c r="BYC11" s="391"/>
      <c r="BYD11" s="391"/>
      <c r="BYE11" s="391"/>
      <c r="BYF11" s="391"/>
      <c r="BYG11" s="391"/>
      <c r="BYH11" s="391"/>
      <c r="BYI11" s="391"/>
      <c r="BYJ11" s="391"/>
      <c r="BYK11" s="391"/>
      <c r="BYL11" s="391"/>
      <c r="BYM11" s="391"/>
      <c r="BYN11" s="391"/>
      <c r="BYO11" s="391"/>
      <c r="BYP11" s="391"/>
      <c r="BYQ11" s="391"/>
      <c r="BYR11" s="391"/>
      <c r="BYS11" s="391"/>
      <c r="BYT11" s="391"/>
      <c r="BYU11" s="391"/>
      <c r="BYV11" s="391"/>
      <c r="BYW11" s="391"/>
      <c r="BYX11" s="391"/>
      <c r="BYY11" s="391"/>
      <c r="BYZ11" s="391"/>
      <c r="BZA11" s="391"/>
      <c r="BZB11" s="391"/>
      <c r="BZC11" s="391"/>
      <c r="BZD11" s="391"/>
      <c r="BZE11" s="391"/>
      <c r="BZF11" s="391"/>
      <c r="BZG11" s="391"/>
      <c r="BZH11" s="391"/>
      <c r="BZI11" s="391"/>
      <c r="BZJ11" s="391"/>
      <c r="BZK11" s="391"/>
      <c r="BZL11" s="391"/>
      <c r="BZM11" s="391"/>
      <c r="BZN11" s="391"/>
      <c r="BZO11" s="391"/>
      <c r="BZP11" s="391"/>
      <c r="BZQ11" s="391"/>
      <c r="BZR11" s="391"/>
      <c r="BZS11" s="391"/>
      <c r="BZT11" s="391"/>
      <c r="BZU11" s="391"/>
      <c r="BZV11" s="391"/>
      <c r="BZW11" s="391"/>
      <c r="BZX11" s="391"/>
      <c r="BZY11" s="391"/>
      <c r="BZZ11" s="391"/>
      <c r="CAA11" s="391"/>
      <c r="CAB11" s="391"/>
      <c r="CAC11" s="391"/>
      <c r="CAD11" s="391"/>
      <c r="CAE11" s="391"/>
      <c r="CAF11" s="391"/>
      <c r="CAG11" s="391"/>
      <c r="CAH11" s="391"/>
      <c r="CAI11" s="391"/>
      <c r="CAJ11" s="391"/>
      <c r="CAK11" s="391"/>
      <c r="CAL11" s="391"/>
      <c r="CAM11" s="391"/>
      <c r="CAN11" s="391"/>
      <c r="CAO11" s="391"/>
      <c r="CAP11" s="391"/>
      <c r="CAQ11" s="391"/>
      <c r="CAR11" s="391"/>
      <c r="CAS11" s="391"/>
      <c r="CAT11" s="391"/>
      <c r="CAU11" s="391"/>
      <c r="CAV11" s="391"/>
      <c r="CAW11" s="391"/>
      <c r="CAX11" s="391"/>
      <c r="CAY11" s="391"/>
      <c r="CAZ11" s="391"/>
      <c r="CBA11" s="391"/>
      <c r="CBB11" s="391"/>
      <c r="CBC11" s="391"/>
      <c r="CBD11" s="391"/>
      <c r="CBE11" s="391"/>
      <c r="CBF11" s="391"/>
      <c r="CBG11" s="391"/>
      <c r="CBH11" s="391"/>
      <c r="CBI11" s="391"/>
      <c r="CBJ11" s="391"/>
      <c r="CBK11" s="391"/>
      <c r="CBL11" s="391"/>
      <c r="CBM11" s="391"/>
      <c r="CBN11" s="391"/>
      <c r="CBO11" s="391"/>
      <c r="CBP11" s="391"/>
      <c r="CBQ11" s="391"/>
      <c r="CBR11" s="391"/>
      <c r="CBS11" s="391"/>
      <c r="CBT11" s="391"/>
      <c r="CBU11" s="391"/>
      <c r="CBV11" s="391"/>
      <c r="CBW11" s="391"/>
      <c r="CBX11" s="391"/>
      <c r="CBY11" s="391"/>
      <c r="CBZ11" s="391"/>
      <c r="CCA11" s="391"/>
      <c r="CCB11" s="391"/>
      <c r="CCC11" s="391"/>
      <c r="CCD11" s="391"/>
      <c r="CCE11" s="391"/>
      <c r="CCF11" s="391"/>
      <c r="CCG11" s="391"/>
      <c r="CCH11" s="391"/>
      <c r="CCI11" s="391"/>
      <c r="CCJ11" s="391"/>
      <c r="CCK11" s="391"/>
      <c r="CCL11" s="391"/>
      <c r="CCM11" s="391"/>
      <c r="CCN11" s="391"/>
      <c r="CCO11" s="391"/>
      <c r="CCP11" s="391"/>
      <c r="CCQ11" s="391"/>
      <c r="CCR11" s="391"/>
      <c r="CCS11" s="391"/>
      <c r="CCT11" s="391"/>
      <c r="CCU11" s="391"/>
      <c r="CCV11" s="391"/>
      <c r="CCW11" s="391"/>
      <c r="CCX11" s="391"/>
      <c r="CCY11" s="391"/>
      <c r="CCZ11" s="391"/>
      <c r="CDA11" s="391"/>
      <c r="CDB11" s="391"/>
      <c r="CDC11" s="391"/>
      <c r="CDD11" s="391"/>
      <c r="CDE11" s="391"/>
      <c r="CDF11" s="391"/>
      <c r="CDG11" s="391"/>
      <c r="CDH11" s="391"/>
      <c r="CDI11" s="391"/>
      <c r="CDJ11" s="391"/>
      <c r="CDK11" s="391"/>
      <c r="CDL11" s="391"/>
      <c r="CDM11" s="391"/>
      <c r="CDN11" s="391"/>
      <c r="CDO11" s="391"/>
      <c r="CDP11" s="391"/>
      <c r="CDQ11" s="391"/>
      <c r="CDR11" s="391"/>
      <c r="CDS11" s="391"/>
      <c r="CDT11" s="391"/>
      <c r="CDU11" s="391"/>
      <c r="CDV11" s="391"/>
      <c r="CDW11" s="391"/>
      <c r="CDX11" s="391"/>
      <c r="CDY11" s="391"/>
      <c r="CDZ11" s="391"/>
      <c r="CEA11" s="391"/>
      <c r="CEB11" s="391"/>
      <c r="CEC11" s="391"/>
      <c r="CED11" s="391"/>
      <c r="CEE11" s="391"/>
      <c r="CEF11" s="391"/>
      <c r="CEG11" s="391"/>
      <c r="CEH11" s="391"/>
      <c r="CEI11" s="391"/>
      <c r="CEJ11" s="391"/>
      <c r="CEK11" s="391"/>
      <c r="CEL11" s="391"/>
      <c r="CEM11" s="391"/>
      <c r="CEN11" s="391"/>
      <c r="CEO11" s="391"/>
      <c r="CEP11" s="391"/>
      <c r="CEQ11" s="391"/>
      <c r="CER11" s="391"/>
      <c r="CES11" s="391"/>
      <c r="CET11" s="391"/>
      <c r="CEU11" s="391"/>
      <c r="CEV11" s="391"/>
      <c r="CEW11" s="391"/>
      <c r="CEX11" s="391"/>
      <c r="CEY11" s="391"/>
      <c r="CEZ11" s="391"/>
      <c r="CFA11" s="391"/>
      <c r="CFB11" s="391"/>
      <c r="CFC11" s="391"/>
      <c r="CFD11" s="391"/>
      <c r="CFE11" s="391"/>
      <c r="CFF11" s="391"/>
      <c r="CFG11" s="391"/>
      <c r="CFH11" s="391"/>
      <c r="CFI11" s="391"/>
      <c r="CFJ11" s="391"/>
      <c r="CFK11" s="391"/>
      <c r="CFL11" s="391"/>
      <c r="CFM11" s="391"/>
      <c r="CFN11" s="391"/>
      <c r="CFO11" s="391"/>
      <c r="CFP11" s="391"/>
      <c r="CFQ11" s="391"/>
      <c r="CFR11" s="391"/>
      <c r="CFS11" s="391"/>
      <c r="CFT11" s="391"/>
      <c r="CFU11" s="391"/>
      <c r="CFV11" s="391"/>
      <c r="CFW11" s="391"/>
      <c r="CFX11" s="391"/>
      <c r="CFY11" s="391"/>
      <c r="CFZ11" s="391"/>
      <c r="CGA11" s="391"/>
      <c r="CGB11" s="391"/>
      <c r="CGC11" s="391"/>
      <c r="CGD11" s="391"/>
      <c r="CGE11" s="391"/>
      <c r="CGF11" s="391"/>
      <c r="CGG11" s="391"/>
      <c r="CGH11" s="391"/>
      <c r="CGI11" s="391"/>
      <c r="CGJ11" s="391"/>
      <c r="CGK11" s="391"/>
      <c r="CGL11" s="391"/>
      <c r="CGM11" s="391"/>
      <c r="CGN11" s="391"/>
      <c r="CGO11" s="391"/>
      <c r="CGP11" s="391"/>
      <c r="CGQ11" s="391"/>
      <c r="CGR11" s="391"/>
      <c r="CGS11" s="391"/>
      <c r="CGT11" s="391"/>
      <c r="CGU11" s="391"/>
      <c r="CGV11" s="391"/>
      <c r="CGW11" s="391"/>
      <c r="CGX11" s="391"/>
      <c r="CGY11" s="391"/>
      <c r="CGZ11" s="391"/>
      <c r="CHA11" s="391"/>
      <c r="CHB11" s="391"/>
      <c r="CHC11" s="391"/>
      <c r="CHD11" s="391"/>
      <c r="CHE11" s="391"/>
      <c r="CHF11" s="391"/>
      <c r="CHG11" s="391"/>
      <c r="CHH11" s="391"/>
      <c r="CHI11" s="391"/>
      <c r="CHJ11" s="391"/>
      <c r="CHK11" s="391"/>
      <c r="CHL11" s="391"/>
      <c r="CHM11" s="391"/>
      <c r="CHN11" s="391"/>
      <c r="CHO11" s="391"/>
      <c r="CHP11" s="391"/>
      <c r="CHQ11" s="391"/>
      <c r="CHR11" s="391"/>
      <c r="CHS11" s="391"/>
      <c r="CHT11" s="391"/>
      <c r="CHU11" s="391"/>
      <c r="CHV11" s="391"/>
      <c r="CHW11" s="391"/>
      <c r="CHX11" s="391"/>
      <c r="CHY11" s="391"/>
      <c r="CHZ11" s="391"/>
      <c r="CIA11" s="391"/>
      <c r="CIB11" s="391"/>
      <c r="CIC11" s="391"/>
      <c r="CID11" s="391"/>
      <c r="CIE11" s="391"/>
      <c r="CIF11" s="391"/>
      <c r="CIG11" s="391"/>
      <c r="CIH11" s="391"/>
      <c r="CII11" s="391"/>
      <c r="CIJ11" s="391"/>
      <c r="CIK11" s="391"/>
      <c r="CIL11" s="391"/>
      <c r="CIM11" s="391"/>
      <c r="CIN11" s="391"/>
      <c r="CIO11" s="391"/>
      <c r="CIP11" s="391"/>
      <c r="CIQ11" s="391"/>
      <c r="CIR11" s="391"/>
      <c r="CIS11" s="391"/>
      <c r="CIT11" s="391"/>
      <c r="CIU11" s="391"/>
      <c r="CIV11" s="391"/>
      <c r="CIW11" s="391"/>
      <c r="CIX11" s="391"/>
      <c r="CIY11" s="391"/>
      <c r="CIZ11" s="391"/>
      <c r="CJA11" s="391"/>
      <c r="CJB11" s="391"/>
      <c r="CJC11" s="391"/>
      <c r="CJD11" s="391"/>
      <c r="CJE11" s="391"/>
      <c r="CJF11" s="391"/>
      <c r="CJG11" s="391"/>
      <c r="CJH11" s="391"/>
      <c r="CJI11" s="391"/>
      <c r="CJJ11" s="391"/>
      <c r="CJK11" s="391"/>
      <c r="CJL11" s="391"/>
      <c r="CJM11" s="391"/>
      <c r="CJN11" s="391"/>
      <c r="CJO11" s="391"/>
      <c r="CJP11" s="391"/>
      <c r="CJQ11" s="391"/>
      <c r="CJR11" s="391"/>
      <c r="CJS11" s="391"/>
      <c r="CJT11" s="391"/>
      <c r="CJU11" s="391"/>
      <c r="CJV11" s="391"/>
      <c r="CJW11" s="391"/>
      <c r="CJX11" s="391"/>
      <c r="CJY11" s="391"/>
      <c r="CJZ11" s="391"/>
      <c r="CKA11" s="391"/>
      <c r="CKB11" s="391"/>
      <c r="CKC11" s="391"/>
      <c r="CKD11" s="391"/>
      <c r="CKE11" s="391"/>
      <c r="CKF11" s="391"/>
      <c r="CKG11" s="391"/>
      <c r="CKH11" s="391"/>
      <c r="CKI11" s="391"/>
      <c r="CKJ11" s="391"/>
      <c r="CKK11" s="391"/>
      <c r="CKL11" s="391"/>
      <c r="CKM11" s="391"/>
      <c r="CKN11" s="391"/>
      <c r="CKO11" s="391"/>
      <c r="CKP11" s="391"/>
      <c r="CKQ11" s="391"/>
      <c r="CKR11" s="391"/>
      <c r="CKS11" s="391"/>
      <c r="CKT11" s="391"/>
      <c r="CKU11" s="391"/>
      <c r="CKV11" s="391"/>
      <c r="CKW11" s="391"/>
      <c r="CKX11" s="391"/>
      <c r="CKY11" s="391"/>
      <c r="CKZ11" s="391"/>
      <c r="CLA11" s="391"/>
      <c r="CLB11" s="391"/>
      <c r="CLC11" s="391"/>
      <c r="CLD11" s="391"/>
      <c r="CLE11" s="391"/>
      <c r="CLF11" s="391"/>
      <c r="CLG11" s="391"/>
      <c r="CLH11" s="391"/>
      <c r="CLI11" s="391"/>
      <c r="CLJ11" s="391"/>
      <c r="CLK11" s="391"/>
      <c r="CLL11" s="391"/>
      <c r="CLM11" s="391"/>
      <c r="CLN11" s="391"/>
      <c r="CLO11" s="391"/>
      <c r="CLP11" s="391"/>
      <c r="CLQ11" s="391"/>
      <c r="CLR11" s="391"/>
      <c r="CLS11" s="391"/>
      <c r="CLT11" s="391"/>
      <c r="CLU11" s="391"/>
      <c r="CLV11" s="391"/>
      <c r="CLW11" s="391"/>
      <c r="CLX11" s="391"/>
      <c r="CLY11" s="391"/>
      <c r="CLZ11" s="391"/>
      <c r="CMA11" s="391"/>
      <c r="CMB11" s="391"/>
      <c r="CMC11" s="391"/>
      <c r="CMD11" s="391"/>
      <c r="CME11" s="391"/>
      <c r="CMF11" s="391"/>
      <c r="CMG11" s="391"/>
      <c r="CMH11" s="391"/>
      <c r="CMI11" s="391"/>
      <c r="CMJ11" s="391"/>
      <c r="CMK11" s="391"/>
      <c r="CML11" s="391"/>
      <c r="CMM11" s="391"/>
      <c r="CMN11" s="391"/>
      <c r="CMO11" s="391"/>
      <c r="CMP11" s="391"/>
      <c r="CMQ11" s="391"/>
      <c r="CMR11" s="391"/>
      <c r="CMS11" s="391"/>
      <c r="CMT11" s="391"/>
      <c r="CMU11" s="391"/>
      <c r="CMV11" s="391"/>
      <c r="CMW11" s="391"/>
      <c r="CMX11" s="391"/>
      <c r="CMY11" s="391"/>
      <c r="CMZ11" s="391"/>
      <c r="CNA11" s="391"/>
      <c r="CNB11" s="391"/>
      <c r="CNC11" s="391"/>
      <c r="CND11" s="391"/>
      <c r="CNE11" s="391"/>
      <c r="CNF11" s="391"/>
      <c r="CNG11" s="391"/>
      <c r="CNH11" s="391"/>
      <c r="CNI11" s="391"/>
      <c r="CNJ11" s="391"/>
      <c r="CNK11" s="391"/>
      <c r="CNL11" s="391"/>
      <c r="CNM11" s="391"/>
      <c r="CNN11" s="391"/>
      <c r="CNO11" s="391"/>
      <c r="CNP11" s="391"/>
      <c r="CNQ11" s="391"/>
      <c r="CNR11" s="391"/>
      <c r="CNS11" s="391"/>
      <c r="CNT11" s="391"/>
      <c r="CNU11" s="391"/>
      <c r="CNV11" s="391"/>
      <c r="CNW11" s="391"/>
      <c r="CNX11" s="391"/>
      <c r="CNY11" s="391"/>
      <c r="CNZ11" s="391"/>
      <c r="COA11" s="391"/>
      <c r="COB11" s="391"/>
      <c r="COC11" s="391"/>
      <c r="COD11" s="391"/>
      <c r="COE11" s="391"/>
      <c r="COF11" s="391"/>
      <c r="COG11" s="391"/>
      <c r="COH11" s="391"/>
      <c r="COI11" s="391"/>
      <c r="COJ11" s="391"/>
      <c r="COK11" s="391"/>
      <c r="COL11" s="391"/>
      <c r="COM11" s="391"/>
      <c r="CON11" s="391"/>
      <c r="COO11" s="391"/>
      <c r="COP11" s="391"/>
      <c r="COQ11" s="391"/>
      <c r="COR11" s="391"/>
      <c r="COS11" s="391"/>
      <c r="COT11" s="391"/>
      <c r="COU11" s="391"/>
      <c r="COV11" s="391"/>
      <c r="COW11" s="391"/>
      <c r="COX11" s="391"/>
      <c r="COY11" s="391"/>
      <c r="COZ11" s="391"/>
      <c r="CPA11" s="391"/>
      <c r="CPB11" s="391"/>
      <c r="CPC11" s="391"/>
      <c r="CPD11" s="391"/>
      <c r="CPE11" s="391"/>
      <c r="CPF11" s="391"/>
      <c r="CPG11" s="391"/>
      <c r="CPH11" s="391"/>
      <c r="CPI11" s="391"/>
      <c r="CPJ11" s="391"/>
      <c r="CPK11" s="391"/>
      <c r="CPL11" s="391"/>
      <c r="CPM11" s="391"/>
      <c r="CPN11" s="391"/>
      <c r="CPO11" s="391"/>
      <c r="CPP11" s="391"/>
      <c r="CPQ11" s="391"/>
      <c r="CPR11" s="391"/>
      <c r="CPS11" s="391"/>
      <c r="CPT11" s="391"/>
      <c r="CPU11" s="391"/>
      <c r="CPV11" s="391"/>
      <c r="CPW11" s="391"/>
      <c r="CPX11" s="391"/>
      <c r="CPY11" s="391"/>
      <c r="CPZ11" s="391"/>
      <c r="CQA11" s="391"/>
      <c r="CQB11" s="391"/>
      <c r="CQC11" s="391"/>
      <c r="CQD11" s="391"/>
      <c r="CQE11" s="391"/>
      <c r="CQF11" s="391"/>
      <c r="CQG11" s="391"/>
      <c r="CQH11" s="391"/>
      <c r="CQI11" s="391"/>
      <c r="CQJ11" s="391"/>
      <c r="CQK11" s="391"/>
      <c r="CQL11" s="391"/>
      <c r="CQM11" s="391"/>
      <c r="CQN11" s="391"/>
      <c r="CQO11" s="391"/>
      <c r="CQP11" s="391"/>
      <c r="CQQ11" s="391"/>
      <c r="CQR11" s="391"/>
      <c r="CQS11" s="391"/>
      <c r="CQT11" s="391"/>
      <c r="CQU11" s="391"/>
      <c r="CQV11" s="391"/>
      <c r="CQW11" s="391"/>
      <c r="CQX11" s="391"/>
      <c r="CQY11" s="391"/>
      <c r="CQZ11" s="391"/>
      <c r="CRA11" s="391"/>
      <c r="CRB11" s="391"/>
      <c r="CRC11" s="391"/>
      <c r="CRD11" s="391"/>
      <c r="CRE11" s="391"/>
      <c r="CRF11" s="391"/>
      <c r="CRG11" s="391"/>
      <c r="CRH11" s="391"/>
      <c r="CRI11" s="391"/>
      <c r="CRJ11" s="391"/>
      <c r="CRK11" s="391"/>
      <c r="CRL11" s="391"/>
      <c r="CRM11" s="391"/>
      <c r="CRN11" s="391"/>
      <c r="CRO11" s="391"/>
      <c r="CRP11" s="391"/>
      <c r="CRQ11" s="391"/>
      <c r="CRR11" s="391"/>
      <c r="CRS11" s="391"/>
      <c r="CRT11" s="391"/>
      <c r="CRU11" s="391"/>
      <c r="CRV11" s="391"/>
      <c r="CRW11" s="391"/>
      <c r="CRX11" s="391"/>
      <c r="CRY11" s="391"/>
      <c r="CRZ11" s="391"/>
      <c r="CSA11" s="391"/>
      <c r="CSB11" s="391"/>
      <c r="CSC11" s="391"/>
      <c r="CSD11" s="391"/>
      <c r="CSE11" s="391"/>
      <c r="CSF11" s="391"/>
      <c r="CSG11" s="391"/>
      <c r="CSH11" s="391"/>
      <c r="CSI11" s="391"/>
      <c r="CSJ11" s="391"/>
      <c r="CSK11" s="391"/>
      <c r="CSL11" s="391"/>
      <c r="CSM11" s="391"/>
      <c r="CSN11" s="391"/>
      <c r="CSO11" s="391"/>
      <c r="CSP11" s="391"/>
      <c r="CSQ11" s="391"/>
      <c r="CSR11" s="391"/>
      <c r="CSS11" s="391"/>
      <c r="CST11" s="391"/>
      <c r="CSU11" s="391"/>
      <c r="CSV11" s="391"/>
      <c r="CSW11" s="391"/>
      <c r="CSX11" s="391"/>
      <c r="CSY11" s="391"/>
      <c r="CSZ11" s="391"/>
      <c r="CTA11" s="391"/>
      <c r="CTB11" s="391"/>
      <c r="CTC11" s="391"/>
      <c r="CTD11" s="391"/>
      <c r="CTE11" s="391"/>
      <c r="CTF11" s="391"/>
      <c r="CTG11" s="391"/>
      <c r="CTH11" s="391"/>
      <c r="CTI11" s="391"/>
      <c r="CTJ11" s="391"/>
      <c r="CTK11" s="391"/>
      <c r="CTL11" s="391"/>
      <c r="CTM11" s="391"/>
      <c r="CTN11" s="391"/>
      <c r="CTO11" s="391"/>
      <c r="CTP11" s="391"/>
      <c r="CTQ11" s="391"/>
      <c r="CTR11" s="391"/>
      <c r="CTS11" s="391"/>
      <c r="CTT11" s="391"/>
      <c r="CTU11" s="391"/>
      <c r="CTV11" s="391"/>
      <c r="CTW11" s="391"/>
      <c r="CTX11" s="391"/>
      <c r="CTY11" s="391"/>
      <c r="CTZ11" s="391"/>
      <c r="CUA11" s="391"/>
      <c r="CUB11" s="391"/>
      <c r="CUC11" s="391"/>
      <c r="CUD11" s="391"/>
      <c r="CUE11" s="391"/>
      <c r="CUF11" s="391"/>
      <c r="CUG11" s="391"/>
      <c r="CUH11" s="391"/>
      <c r="CUI11" s="391"/>
      <c r="CUJ11" s="391"/>
      <c r="CUK11" s="391"/>
      <c r="CUL11" s="391"/>
      <c r="CUM11" s="391"/>
      <c r="CUN11" s="391"/>
      <c r="CUO11" s="391"/>
      <c r="CUP11" s="391"/>
      <c r="CUQ11" s="391"/>
      <c r="CUR11" s="391"/>
      <c r="CUS11" s="391"/>
      <c r="CUT11" s="391"/>
      <c r="CUU11" s="391"/>
      <c r="CUV11" s="391"/>
      <c r="CUW11" s="391"/>
      <c r="CUX11" s="391"/>
      <c r="CUY11" s="391"/>
      <c r="CUZ11" s="391"/>
      <c r="CVA11" s="391"/>
      <c r="CVB11" s="391"/>
      <c r="CVC11" s="391"/>
      <c r="CVD11" s="391"/>
      <c r="CVE11" s="391"/>
      <c r="CVF11" s="391"/>
      <c r="CVG11" s="391"/>
      <c r="CVH11" s="391"/>
      <c r="CVI11" s="391"/>
      <c r="CVJ11" s="391"/>
      <c r="CVK11" s="391"/>
      <c r="CVL11" s="391"/>
      <c r="CVM11" s="391"/>
      <c r="CVN11" s="391"/>
      <c r="CVO11" s="391"/>
      <c r="CVP11" s="391"/>
      <c r="CVQ11" s="391"/>
      <c r="CVR11" s="391"/>
      <c r="CVS11" s="391"/>
      <c r="CVT11" s="391"/>
      <c r="CVU11" s="391"/>
      <c r="CVV11" s="391"/>
      <c r="CVW11" s="391"/>
      <c r="CVX11" s="391"/>
      <c r="CVY11" s="391"/>
      <c r="CVZ11" s="391"/>
      <c r="CWA11" s="391"/>
      <c r="CWB11" s="391"/>
      <c r="CWC11" s="391"/>
      <c r="CWD11" s="391"/>
      <c r="CWE11" s="391"/>
      <c r="CWF11" s="391"/>
      <c r="CWG11" s="391"/>
      <c r="CWH11" s="391"/>
      <c r="CWI11" s="391"/>
      <c r="CWJ11" s="391"/>
      <c r="CWK11" s="391"/>
      <c r="CWL11" s="391"/>
      <c r="CWM11" s="391"/>
      <c r="CWN11" s="391"/>
      <c r="CWO11" s="391"/>
      <c r="CWP11" s="391"/>
      <c r="CWQ11" s="391"/>
      <c r="CWR11" s="391"/>
      <c r="CWS11" s="391"/>
      <c r="CWT11" s="391"/>
      <c r="CWU11" s="391"/>
      <c r="CWV11" s="391"/>
      <c r="CWW11" s="391"/>
      <c r="CWX11" s="391"/>
      <c r="CWY11" s="391"/>
      <c r="CWZ11" s="391"/>
      <c r="CXA11" s="391"/>
      <c r="CXB11" s="391"/>
      <c r="CXC11" s="391"/>
      <c r="CXD11" s="391"/>
      <c r="CXE11" s="391"/>
      <c r="CXF11" s="391"/>
      <c r="CXG11" s="391"/>
      <c r="CXH11" s="391"/>
      <c r="CXI11" s="391"/>
      <c r="CXJ11" s="391"/>
      <c r="CXK11" s="391"/>
      <c r="CXL11" s="391"/>
      <c r="CXM11" s="391"/>
      <c r="CXN11" s="391"/>
      <c r="CXO11" s="391"/>
      <c r="CXP11" s="391"/>
      <c r="CXQ11" s="391"/>
      <c r="CXR11" s="391"/>
      <c r="CXS11" s="391"/>
      <c r="CXT11" s="391"/>
      <c r="CXU11" s="391"/>
      <c r="CXV11" s="391"/>
      <c r="CXW11" s="391"/>
      <c r="CXX11" s="391"/>
      <c r="CXY11" s="391"/>
      <c r="CXZ11" s="391"/>
      <c r="CYA11" s="391"/>
      <c r="CYB11" s="391"/>
      <c r="CYC11" s="391"/>
      <c r="CYD11" s="391"/>
      <c r="CYE11" s="391"/>
      <c r="CYF11" s="391"/>
      <c r="CYG11" s="391"/>
      <c r="CYH11" s="391"/>
      <c r="CYI11" s="391"/>
      <c r="CYJ11" s="391"/>
      <c r="CYK11" s="391"/>
      <c r="CYL11" s="391"/>
      <c r="CYM11" s="391"/>
      <c r="CYN11" s="391"/>
      <c r="CYO11" s="391"/>
      <c r="CYP11" s="391"/>
      <c r="CYQ11" s="391"/>
      <c r="CYR11" s="391"/>
      <c r="CYS11" s="391"/>
      <c r="CYT11" s="391"/>
      <c r="CYU11" s="391"/>
      <c r="CYV11" s="391"/>
      <c r="CYW11" s="391"/>
      <c r="CYX11" s="391"/>
      <c r="CYY11" s="391"/>
      <c r="CYZ11" s="391"/>
      <c r="CZA11" s="391"/>
      <c r="CZB11" s="391"/>
      <c r="CZC11" s="391"/>
      <c r="CZD11" s="391"/>
      <c r="CZE11" s="391"/>
      <c r="CZF11" s="391"/>
      <c r="CZG11" s="391"/>
      <c r="CZH11" s="391"/>
      <c r="CZI11" s="391"/>
      <c r="CZJ11" s="391"/>
      <c r="CZK11" s="391"/>
      <c r="CZL11" s="391"/>
      <c r="CZM11" s="391"/>
      <c r="CZN11" s="391"/>
      <c r="CZO11" s="391"/>
      <c r="CZP11" s="391"/>
      <c r="CZQ11" s="391"/>
      <c r="CZR11" s="391"/>
      <c r="CZS11" s="391"/>
      <c r="CZT11" s="391"/>
      <c r="CZU11" s="391"/>
      <c r="CZV11" s="391"/>
      <c r="CZW11" s="391"/>
      <c r="CZX11" s="391"/>
      <c r="CZY11" s="391"/>
      <c r="CZZ11" s="391"/>
      <c r="DAA11" s="391"/>
      <c r="DAB11" s="391"/>
      <c r="DAC11" s="391"/>
      <c r="DAD11" s="391"/>
      <c r="DAE11" s="391"/>
      <c r="DAF11" s="391"/>
      <c r="DAG11" s="391"/>
      <c r="DAH11" s="391"/>
      <c r="DAI11" s="391"/>
      <c r="DAJ11" s="391"/>
      <c r="DAK11" s="391"/>
      <c r="DAL11" s="391"/>
      <c r="DAM11" s="391"/>
      <c r="DAN11" s="391"/>
      <c r="DAO11" s="391"/>
      <c r="DAP11" s="391"/>
      <c r="DAQ11" s="391"/>
      <c r="DAR11" s="391"/>
      <c r="DAS11" s="391"/>
      <c r="DAT11" s="391"/>
      <c r="DAU11" s="391"/>
      <c r="DAV11" s="391"/>
      <c r="DAW11" s="391"/>
      <c r="DAX11" s="391"/>
      <c r="DAY11" s="391"/>
      <c r="DAZ11" s="391"/>
      <c r="DBA11" s="391"/>
      <c r="DBB11" s="391"/>
      <c r="DBC11" s="391"/>
      <c r="DBD11" s="391"/>
      <c r="DBE11" s="391"/>
      <c r="DBF11" s="391"/>
      <c r="DBG11" s="391"/>
      <c r="DBH11" s="391"/>
      <c r="DBI11" s="391"/>
      <c r="DBJ11" s="391"/>
      <c r="DBK11" s="391"/>
      <c r="DBL11" s="391"/>
      <c r="DBM11" s="391"/>
      <c r="DBN11" s="391"/>
      <c r="DBO11" s="391"/>
      <c r="DBP11" s="391"/>
      <c r="DBQ11" s="391"/>
      <c r="DBR11" s="391"/>
      <c r="DBS11" s="391"/>
      <c r="DBT11" s="391"/>
      <c r="DBU11" s="391"/>
      <c r="DBV11" s="391"/>
      <c r="DBW11" s="391"/>
      <c r="DBX11" s="391"/>
      <c r="DBY11" s="391"/>
      <c r="DBZ11" s="391"/>
      <c r="DCA11" s="391"/>
      <c r="DCB11" s="391"/>
      <c r="DCC11" s="391"/>
      <c r="DCD11" s="391"/>
      <c r="DCE11" s="391"/>
      <c r="DCF11" s="391"/>
      <c r="DCG11" s="391"/>
      <c r="DCH11" s="391"/>
      <c r="DCI11" s="391"/>
      <c r="DCJ11" s="391"/>
      <c r="DCK11" s="391"/>
      <c r="DCL11" s="391"/>
      <c r="DCM11" s="391"/>
      <c r="DCN11" s="391"/>
      <c r="DCO11" s="391"/>
      <c r="DCP11" s="391"/>
      <c r="DCQ11" s="391"/>
      <c r="DCR11" s="391"/>
      <c r="DCS11" s="391"/>
      <c r="DCT11" s="391"/>
      <c r="DCU11" s="391"/>
      <c r="DCV11" s="391"/>
      <c r="DCW11" s="391"/>
      <c r="DCX11" s="391"/>
      <c r="DCY11" s="391"/>
      <c r="DCZ11" s="391"/>
      <c r="DDA11" s="391"/>
      <c r="DDB11" s="391"/>
      <c r="DDC11" s="391"/>
      <c r="DDD11" s="391"/>
      <c r="DDE11" s="391"/>
      <c r="DDF11" s="391"/>
      <c r="DDG11" s="391"/>
      <c r="DDH11" s="391"/>
      <c r="DDI11" s="391"/>
      <c r="DDJ11" s="391"/>
      <c r="DDK11" s="391"/>
      <c r="DDL11" s="391"/>
      <c r="DDM11" s="391"/>
      <c r="DDN11" s="391"/>
      <c r="DDO11" s="391"/>
      <c r="DDP11" s="391"/>
      <c r="DDQ11" s="391"/>
      <c r="DDR11" s="391"/>
      <c r="DDS11" s="391"/>
      <c r="DDT11" s="391"/>
      <c r="DDU11" s="391"/>
      <c r="DDV11" s="391"/>
      <c r="DDW11" s="391"/>
      <c r="DDX11" s="391"/>
      <c r="DDY11" s="391"/>
      <c r="DDZ11" s="391"/>
      <c r="DEA11" s="391"/>
      <c r="DEB11" s="391"/>
      <c r="DEC11" s="391"/>
      <c r="DED11" s="391"/>
      <c r="DEE11" s="391"/>
      <c r="DEF11" s="391"/>
      <c r="DEG11" s="391"/>
      <c r="DEH11" s="391"/>
      <c r="DEI11" s="391"/>
      <c r="DEJ11" s="391"/>
      <c r="DEK11" s="391"/>
      <c r="DEL11" s="391"/>
      <c r="DEM11" s="391"/>
      <c r="DEN11" s="391"/>
      <c r="DEO11" s="391"/>
      <c r="DEP11" s="391"/>
      <c r="DEQ11" s="391"/>
      <c r="DER11" s="391"/>
      <c r="DES11" s="391"/>
      <c r="DET11" s="391"/>
      <c r="DEU11" s="391"/>
      <c r="DEV11" s="391"/>
      <c r="DEW11" s="391"/>
      <c r="DEX11" s="391"/>
      <c r="DEY11" s="391"/>
      <c r="DEZ11" s="391"/>
      <c r="DFA11" s="391"/>
      <c r="DFB11" s="391"/>
      <c r="DFC11" s="391"/>
      <c r="DFD11" s="391"/>
      <c r="DFE11" s="391"/>
      <c r="DFF11" s="391"/>
      <c r="DFG11" s="391"/>
      <c r="DFH11" s="391"/>
      <c r="DFI11" s="391"/>
      <c r="DFJ11" s="391"/>
      <c r="DFK11" s="391"/>
      <c r="DFL11" s="391"/>
      <c r="DFM11" s="391"/>
      <c r="DFN11" s="391"/>
      <c r="DFO11" s="391"/>
      <c r="DFP11" s="391"/>
      <c r="DFQ11" s="391"/>
      <c r="DFR11" s="391"/>
      <c r="DFS11" s="391"/>
      <c r="DFT11" s="391"/>
      <c r="DFU11" s="391"/>
      <c r="DFV11" s="391"/>
      <c r="DFW11" s="391"/>
      <c r="DFX11" s="391"/>
      <c r="DFY11" s="391"/>
      <c r="DFZ11" s="391"/>
      <c r="DGA11" s="391"/>
      <c r="DGB11" s="391"/>
      <c r="DGC11" s="391"/>
      <c r="DGD11" s="391"/>
      <c r="DGE11" s="391"/>
      <c r="DGF11" s="391"/>
      <c r="DGG11" s="391"/>
      <c r="DGH11" s="391"/>
      <c r="DGI11" s="391"/>
      <c r="DGJ11" s="391"/>
      <c r="DGK11" s="391"/>
      <c r="DGL11" s="391"/>
      <c r="DGM11" s="391"/>
      <c r="DGN11" s="391"/>
      <c r="DGO11" s="391"/>
      <c r="DGP11" s="391"/>
      <c r="DGQ11" s="391"/>
      <c r="DGR11" s="391"/>
      <c r="DGS11" s="391"/>
      <c r="DGT11" s="391"/>
      <c r="DGU11" s="391"/>
      <c r="DGV11" s="391"/>
      <c r="DGW11" s="391"/>
      <c r="DGX11" s="391"/>
      <c r="DGY11" s="391"/>
      <c r="DGZ11" s="391"/>
      <c r="DHA11" s="391"/>
      <c r="DHB11" s="391"/>
      <c r="DHC11" s="391"/>
      <c r="DHD11" s="391"/>
      <c r="DHE11" s="391"/>
      <c r="DHF11" s="391"/>
      <c r="DHG11" s="391"/>
      <c r="DHH11" s="391"/>
      <c r="DHI11" s="391"/>
      <c r="DHJ11" s="391"/>
      <c r="DHK11" s="391"/>
      <c r="DHL11" s="391"/>
      <c r="DHM11" s="391"/>
      <c r="DHN11" s="391"/>
      <c r="DHO11" s="391"/>
      <c r="DHP11" s="391"/>
      <c r="DHQ11" s="391"/>
      <c r="DHR11" s="391"/>
      <c r="DHS11" s="391"/>
      <c r="DHT11" s="391"/>
      <c r="DHU11" s="391"/>
      <c r="DHV11" s="391"/>
      <c r="DHW11" s="391"/>
      <c r="DHX11" s="391"/>
      <c r="DHY11" s="391"/>
      <c r="DHZ11" s="391"/>
      <c r="DIA11" s="391"/>
      <c r="DIB11" s="391"/>
      <c r="DIC11" s="391"/>
      <c r="DID11" s="391"/>
      <c r="DIE11" s="391"/>
      <c r="DIF11" s="391"/>
      <c r="DIG11" s="391"/>
      <c r="DIH11" s="391"/>
      <c r="DII11" s="391"/>
      <c r="DIJ11" s="391"/>
      <c r="DIK11" s="391"/>
      <c r="DIL11" s="391"/>
      <c r="DIM11" s="391"/>
      <c r="DIN11" s="391"/>
      <c r="DIO11" s="391"/>
      <c r="DIP11" s="391"/>
      <c r="DIQ11" s="391"/>
      <c r="DIR11" s="391"/>
      <c r="DIS11" s="391"/>
      <c r="DIT11" s="391"/>
      <c r="DIU11" s="391"/>
      <c r="DIV11" s="391"/>
      <c r="DIW11" s="391"/>
      <c r="DIX11" s="391"/>
      <c r="DIY11" s="391"/>
      <c r="DIZ11" s="391"/>
      <c r="DJA11" s="391"/>
      <c r="DJB11" s="391"/>
      <c r="DJC11" s="391"/>
      <c r="DJD11" s="391"/>
      <c r="DJE11" s="391"/>
      <c r="DJF11" s="391"/>
      <c r="DJG11" s="391"/>
      <c r="DJH11" s="391"/>
      <c r="DJI11" s="391"/>
      <c r="DJJ11" s="391"/>
      <c r="DJK11" s="391"/>
      <c r="DJL11" s="391"/>
      <c r="DJM11" s="391"/>
      <c r="DJN11" s="391"/>
      <c r="DJO11" s="391"/>
      <c r="DJP11" s="391"/>
      <c r="DJQ11" s="391"/>
      <c r="DJR11" s="391"/>
      <c r="DJS11" s="391"/>
      <c r="DJT11" s="391"/>
      <c r="DJU11" s="391"/>
      <c r="DJV11" s="391"/>
      <c r="DJW11" s="391"/>
      <c r="DJX11" s="391"/>
      <c r="DJY11" s="391"/>
      <c r="DJZ11" s="391"/>
      <c r="DKA11" s="391"/>
      <c r="DKB11" s="391"/>
      <c r="DKC11" s="391"/>
      <c r="DKD11" s="391"/>
      <c r="DKE11" s="391"/>
      <c r="DKF11" s="391"/>
      <c r="DKG11" s="391"/>
      <c r="DKH11" s="391"/>
      <c r="DKI11" s="391"/>
      <c r="DKJ11" s="391"/>
      <c r="DKK11" s="391"/>
      <c r="DKL11" s="391"/>
      <c r="DKM11" s="391"/>
      <c r="DKN11" s="391"/>
      <c r="DKO11" s="391"/>
      <c r="DKP11" s="391"/>
      <c r="DKQ11" s="391"/>
      <c r="DKR11" s="391"/>
      <c r="DKS11" s="391"/>
      <c r="DKT11" s="391"/>
      <c r="DKU11" s="391"/>
      <c r="DKV11" s="391"/>
      <c r="DKW11" s="391"/>
      <c r="DKX11" s="391"/>
      <c r="DKY11" s="391"/>
      <c r="DKZ11" s="391"/>
      <c r="DLA11" s="391"/>
      <c r="DLB11" s="391"/>
      <c r="DLC11" s="391"/>
      <c r="DLD11" s="391"/>
      <c r="DLE11" s="391"/>
      <c r="DLF11" s="391"/>
      <c r="DLG11" s="391"/>
      <c r="DLH11" s="391"/>
      <c r="DLI11" s="391"/>
      <c r="DLJ11" s="391"/>
      <c r="DLK11" s="391"/>
      <c r="DLL11" s="391"/>
      <c r="DLM11" s="391"/>
      <c r="DLN11" s="391"/>
      <c r="DLO11" s="391"/>
      <c r="DLP11" s="391"/>
      <c r="DLQ11" s="391"/>
      <c r="DLR11" s="391"/>
      <c r="DLS11" s="391"/>
      <c r="DLT11" s="391"/>
      <c r="DLU11" s="391"/>
      <c r="DLV11" s="391"/>
      <c r="DLW11" s="391"/>
      <c r="DLX11" s="391"/>
      <c r="DLY11" s="391"/>
      <c r="DLZ11" s="391"/>
      <c r="DMA11" s="391"/>
      <c r="DMB11" s="391"/>
      <c r="DMC11" s="391"/>
      <c r="DMD11" s="391"/>
      <c r="DME11" s="391"/>
      <c r="DMF11" s="391"/>
      <c r="DMG11" s="391"/>
      <c r="DMH11" s="391"/>
      <c r="DMI11" s="391"/>
      <c r="DMJ11" s="391"/>
      <c r="DMK11" s="391"/>
      <c r="DML11" s="391"/>
      <c r="DMM11" s="391"/>
      <c r="DMN11" s="391"/>
      <c r="DMO11" s="391"/>
      <c r="DMP11" s="391"/>
      <c r="DMQ11" s="391"/>
      <c r="DMR11" s="391"/>
      <c r="DMS11" s="391"/>
      <c r="DMT11" s="391"/>
      <c r="DMU11" s="391"/>
      <c r="DMV11" s="391"/>
      <c r="DMW11" s="391"/>
      <c r="DMX11" s="391"/>
      <c r="DMY11" s="391"/>
      <c r="DMZ11" s="391"/>
      <c r="DNA11" s="391"/>
      <c r="DNB11" s="391"/>
      <c r="DNC11" s="391"/>
      <c r="DND11" s="391"/>
      <c r="DNE11" s="391"/>
      <c r="DNF11" s="391"/>
      <c r="DNG11" s="391"/>
      <c r="DNH11" s="391"/>
      <c r="DNI11" s="391"/>
      <c r="DNJ11" s="391"/>
      <c r="DNK11" s="391"/>
      <c r="DNL11" s="391"/>
      <c r="DNM11" s="391"/>
      <c r="DNN11" s="391"/>
      <c r="DNO11" s="391"/>
      <c r="DNP11" s="391"/>
      <c r="DNQ11" s="391"/>
      <c r="DNR11" s="391"/>
      <c r="DNS11" s="391"/>
      <c r="DNT11" s="391"/>
      <c r="DNU11" s="391"/>
      <c r="DNV11" s="391"/>
      <c r="DNW11" s="391"/>
      <c r="DNX11" s="391"/>
      <c r="DNY11" s="391"/>
      <c r="DNZ11" s="391"/>
      <c r="DOA11" s="391"/>
      <c r="DOB11" s="391"/>
      <c r="DOC11" s="391"/>
      <c r="DOD11" s="391"/>
      <c r="DOE11" s="391"/>
      <c r="DOF11" s="391"/>
      <c r="DOG11" s="391"/>
      <c r="DOH11" s="391"/>
      <c r="DOI11" s="391"/>
      <c r="DOJ11" s="391"/>
      <c r="DOK11" s="391"/>
      <c r="DOL11" s="391"/>
      <c r="DOM11" s="391"/>
      <c r="DON11" s="391"/>
      <c r="DOO11" s="391"/>
      <c r="DOP11" s="391"/>
      <c r="DOQ11" s="391"/>
      <c r="DOR11" s="391"/>
      <c r="DOS11" s="391"/>
      <c r="DOT11" s="391"/>
      <c r="DOU11" s="391"/>
      <c r="DOV11" s="391"/>
      <c r="DOW11" s="391"/>
      <c r="DOX11" s="391"/>
      <c r="DOY11" s="391"/>
      <c r="DOZ11" s="391"/>
      <c r="DPA11" s="391"/>
      <c r="DPB11" s="391"/>
      <c r="DPC11" s="391"/>
      <c r="DPD11" s="391"/>
      <c r="DPE11" s="391"/>
      <c r="DPF11" s="391"/>
      <c r="DPG11" s="391"/>
      <c r="DPH11" s="391"/>
      <c r="DPI11" s="391"/>
      <c r="DPJ11" s="391"/>
      <c r="DPK11" s="391"/>
      <c r="DPL11" s="391"/>
      <c r="DPM11" s="391"/>
      <c r="DPN11" s="391"/>
      <c r="DPO11" s="391"/>
      <c r="DPP11" s="391"/>
      <c r="DPQ11" s="391"/>
      <c r="DPR11" s="391"/>
      <c r="DPS11" s="391"/>
      <c r="DPT11" s="391"/>
      <c r="DPU11" s="391"/>
      <c r="DPV11" s="391"/>
      <c r="DPW11" s="391"/>
      <c r="DPX11" s="391"/>
      <c r="DPY11" s="391"/>
      <c r="DPZ11" s="391"/>
      <c r="DQA11" s="391"/>
      <c r="DQB11" s="391"/>
      <c r="DQC11" s="391"/>
      <c r="DQD11" s="391"/>
      <c r="DQE11" s="391"/>
      <c r="DQF11" s="391"/>
      <c r="DQG11" s="391"/>
      <c r="DQH11" s="391"/>
      <c r="DQI11" s="391"/>
      <c r="DQJ11" s="391"/>
      <c r="DQK11" s="391"/>
      <c r="DQL11" s="391"/>
      <c r="DQM11" s="391"/>
      <c r="DQN11" s="391"/>
      <c r="DQO11" s="391"/>
      <c r="DQP11" s="391"/>
      <c r="DQQ11" s="391"/>
      <c r="DQR11" s="391"/>
      <c r="DQS11" s="391"/>
      <c r="DQT11" s="391"/>
      <c r="DQU11" s="391"/>
      <c r="DQV11" s="391"/>
      <c r="DQW11" s="391"/>
      <c r="DQX11" s="391"/>
      <c r="DQY11" s="391"/>
      <c r="DQZ11" s="391"/>
      <c r="DRA11" s="391"/>
      <c r="DRB11" s="391"/>
      <c r="DRC11" s="391"/>
      <c r="DRD11" s="391"/>
      <c r="DRE11" s="391"/>
      <c r="DRF11" s="391"/>
      <c r="DRG11" s="391"/>
      <c r="DRH11" s="391"/>
      <c r="DRI11" s="391"/>
      <c r="DRJ11" s="391"/>
      <c r="DRK11" s="391"/>
      <c r="DRL11" s="391"/>
      <c r="DRM11" s="391"/>
      <c r="DRN11" s="391"/>
      <c r="DRO11" s="391"/>
      <c r="DRP11" s="391"/>
      <c r="DRQ11" s="391"/>
      <c r="DRR11" s="391"/>
      <c r="DRS11" s="391"/>
      <c r="DRT11" s="391"/>
      <c r="DRU11" s="391"/>
      <c r="DRV11" s="391"/>
      <c r="DRW11" s="391"/>
      <c r="DRX11" s="391"/>
      <c r="DRY11" s="391"/>
      <c r="DRZ11" s="391"/>
      <c r="DSA11" s="391"/>
      <c r="DSB11" s="391"/>
      <c r="DSC11" s="391"/>
      <c r="DSD11" s="391"/>
      <c r="DSE11" s="391"/>
      <c r="DSF11" s="391"/>
      <c r="DSG11" s="391"/>
      <c r="DSH11" s="391"/>
      <c r="DSI11" s="391"/>
      <c r="DSJ11" s="391"/>
      <c r="DSK11" s="391"/>
      <c r="DSL11" s="391"/>
      <c r="DSM11" s="391"/>
      <c r="DSN11" s="391"/>
      <c r="DSO11" s="391"/>
      <c r="DSP11" s="391"/>
      <c r="DSQ11" s="391"/>
      <c r="DSR11" s="391"/>
      <c r="DSS11" s="391"/>
      <c r="DST11" s="391"/>
      <c r="DSU11" s="391"/>
      <c r="DSV11" s="391"/>
      <c r="DSW11" s="391"/>
      <c r="DSX11" s="391"/>
      <c r="DSY11" s="391"/>
      <c r="DSZ11" s="391"/>
      <c r="DTA11" s="391"/>
      <c r="DTB11" s="391"/>
      <c r="DTC11" s="391"/>
      <c r="DTD11" s="391"/>
      <c r="DTE11" s="391"/>
      <c r="DTF11" s="391"/>
      <c r="DTG11" s="391"/>
      <c r="DTH11" s="391"/>
      <c r="DTI11" s="391"/>
      <c r="DTJ11" s="391"/>
      <c r="DTK11" s="391"/>
      <c r="DTL11" s="391"/>
      <c r="DTM11" s="391"/>
      <c r="DTN11" s="391"/>
      <c r="DTO11" s="391"/>
      <c r="DTP11" s="391"/>
      <c r="DTQ11" s="391"/>
      <c r="DTR11" s="391"/>
      <c r="DTS11" s="391"/>
      <c r="DTT11" s="391"/>
      <c r="DTU11" s="391"/>
      <c r="DTV11" s="391"/>
      <c r="DTW11" s="391"/>
      <c r="DTX11" s="391"/>
      <c r="DTY11" s="391"/>
      <c r="DTZ11" s="391"/>
      <c r="DUA11" s="391"/>
      <c r="DUB11" s="391"/>
      <c r="DUC11" s="391"/>
      <c r="DUD11" s="391"/>
      <c r="DUE11" s="391"/>
      <c r="DUF11" s="391"/>
      <c r="DUG11" s="391"/>
      <c r="DUH11" s="391"/>
      <c r="DUI11" s="391"/>
      <c r="DUJ11" s="391"/>
      <c r="DUK11" s="391"/>
      <c r="DUL11" s="391"/>
      <c r="DUM11" s="391"/>
      <c r="DUN11" s="391"/>
      <c r="DUO11" s="391"/>
      <c r="DUP11" s="391"/>
      <c r="DUQ11" s="391"/>
      <c r="DUR11" s="391"/>
      <c r="DUS11" s="391"/>
      <c r="DUT11" s="391"/>
      <c r="DUU11" s="391"/>
      <c r="DUV11" s="391"/>
      <c r="DUW11" s="391"/>
      <c r="DUX11" s="391"/>
      <c r="DUY11" s="391"/>
      <c r="DUZ11" s="391"/>
      <c r="DVA11" s="391"/>
      <c r="DVB11" s="391"/>
      <c r="DVC11" s="391"/>
      <c r="DVD11" s="391"/>
      <c r="DVE11" s="391"/>
      <c r="DVF11" s="391"/>
      <c r="DVG11" s="391"/>
      <c r="DVH11" s="391"/>
      <c r="DVI11" s="391"/>
      <c r="DVJ11" s="391"/>
      <c r="DVK11" s="391"/>
      <c r="DVL11" s="391"/>
      <c r="DVM11" s="391"/>
      <c r="DVN11" s="391"/>
      <c r="DVO11" s="391"/>
      <c r="DVP11" s="391"/>
      <c r="DVQ11" s="391"/>
      <c r="DVR11" s="391"/>
      <c r="DVS11" s="391"/>
      <c r="DVT11" s="391"/>
      <c r="DVU11" s="391"/>
      <c r="DVV11" s="391"/>
      <c r="DVW11" s="391"/>
      <c r="DVX11" s="391"/>
      <c r="DVY11" s="391"/>
      <c r="DVZ11" s="391"/>
      <c r="DWA11" s="391"/>
      <c r="DWB11" s="391"/>
      <c r="DWC11" s="391"/>
      <c r="DWD11" s="391"/>
      <c r="DWE11" s="391"/>
      <c r="DWF11" s="391"/>
      <c r="DWG11" s="391"/>
      <c r="DWH11" s="391"/>
      <c r="DWI11" s="391"/>
      <c r="DWJ11" s="391"/>
      <c r="DWK11" s="391"/>
      <c r="DWL11" s="391"/>
      <c r="DWM11" s="391"/>
      <c r="DWN11" s="391"/>
      <c r="DWO11" s="391"/>
      <c r="DWP11" s="391"/>
      <c r="DWQ11" s="391"/>
      <c r="DWR11" s="391"/>
      <c r="DWS11" s="391"/>
      <c r="DWT11" s="391"/>
      <c r="DWU11" s="391"/>
      <c r="DWV11" s="391"/>
      <c r="DWW11" s="391"/>
      <c r="DWX11" s="391"/>
      <c r="DWY11" s="391"/>
      <c r="DWZ11" s="391"/>
      <c r="DXA11" s="391"/>
      <c r="DXB11" s="391"/>
      <c r="DXC11" s="391"/>
      <c r="DXD11" s="391"/>
      <c r="DXE11" s="391"/>
      <c r="DXF11" s="391"/>
      <c r="DXG11" s="391"/>
      <c r="DXH11" s="391"/>
      <c r="DXI11" s="391"/>
      <c r="DXJ11" s="391"/>
      <c r="DXK11" s="391"/>
      <c r="DXL11" s="391"/>
      <c r="DXM11" s="391"/>
      <c r="DXN11" s="391"/>
      <c r="DXO11" s="391"/>
      <c r="DXP11" s="391"/>
      <c r="DXQ11" s="391"/>
      <c r="DXR11" s="391"/>
      <c r="DXS11" s="391"/>
      <c r="DXT11" s="391"/>
      <c r="DXU11" s="391"/>
      <c r="DXV11" s="391"/>
      <c r="DXW11" s="391"/>
      <c r="DXX11" s="391"/>
      <c r="DXY11" s="391"/>
      <c r="DXZ11" s="391"/>
      <c r="DYA11" s="391"/>
      <c r="DYB11" s="391"/>
      <c r="DYC11" s="391"/>
      <c r="DYD11" s="391"/>
      <c r="DYE11" s="391"/>
      <c r="DYF11" s="391"/>
      <c r="DYG11" s="391"/>
      <c r="DYH11" s="391"/>
      <c r="DYI11" s="391"/>
      <c r="DYJ11" s="391"/>
      <c r="DYK11" s="391"/>
      <c r="DYL11" s="391"/>
      <c r="DYM11" s="391"/>
      <c r="DYN11" s="391"/>
      <c r="DYO11" s="391"/>
      <c r="DYP11" s="391"/>
      <c r="DYQ11" s="391"/>
      <c r="DYR11" s="391"/>
      <c r="DYS11" s="391"/>
      <c r="DYT11" s="391"/>
      <c r="DYU11" s="391"/>
      <c r="DYV11" s="391"/>
      <c r="DYW11" s="391"/>
      <c r="DYX11" s="391"/>
      <c r="DYY11" s="391"/>
      <c r="DYZ11" s="391"/>
      <c r="DZA11" s="391"/>
      <c r="DZB11" s="391"/>
      <c r="DZC11" s="391"/>
      <c r="DZD11" s="391"/>
      <c r="DZE11" s="391"/>
      <c r="DZF11" s="391"/>
      <c r="DZG11" s="391"/>
      <c r="DZH11" s="391"/>
      <c r="DZI11" s="391"/>
      <c r="DZJ11" s="391"/>
      <c r="DZK11" s="391"/>
      <c r="DZL11" s="391"/>
      <c r="DZM11" s="391"/>
      <c r="DZN11" s="391"/>
      <c r="DZO11" s="391"/>
      <c r="DZP11" s="391"/>
      <c r="DZQ11" s="391"/>
      <c r="DZR11" s="391"/>
      <c r="DZS11" s="391"/>
      <c r="DZT11" s="391"/>
      <c r="DZU11" s="391"/>
      <c r="DZV11" s="391"/>
      <c r="DZW11" s="391"/>
      <c r="DZX11" s="391"/>
      <c r="DZY11" s="391"/>
      <c r="DZZ11" s="391"/>
      <c r="EAA11" s="391"/>
      <c r="EAB11" s="391"/>
      <c r="EAC11" s="391"/>
      <c r="EAD11" s="391"/>
      <c r="EAE11" s="391"/>
      <c r="EAF11" s="391"/>
      <c r="EAG11" s="391"/>
      <c r="EAH11" s="391"/>
      <c r="EAI11" s="391"/>
      <c r="EAJ11" s="391"/>
      <c r="EAK11" s="391"/>
      <c r="EAL11" s="391"/>
      <c r="EAM11" s="391"/>
      <c r="EAN11" s="391"/>
      <c r="EAO11" s="391"/>
      <c r="EAP11" s="391"/>
      <c r="EAQ11" s="391"/>
      <c r="EAR11" s="391"/>
      <c r="EAS11" s="391"/>
      <c r="EAT11" s="391"/>
      <c r="EAU11" s="391"/>
      <c r="EAV11" s="391"/>
      <c r="EAW11" s="391"/>
      <c r="EAX11" s="391"/>
      <c r="EAY11" s="391"/>
      <c r="EAZ11" s="391"/>
      <c r="EBA11" s="391"/>
      <c r="EBB11" s="391"/>
      <c r="EBC11" s="391"/>
      <c r="EBD11" s="391"/>
      <c r="EBE11" s="391"/>
      <c r="EBF11" s="391"/>
      <c r="EBG11" s="391"/>
      <c r="EBH11" s="391"/>
      <c r="EBI11" s="391"/>
      <c r="EBJ11" s="391"/>
      <c r="EBK11" s="391"/>
      <c r="EBL11" s="391"/>
      <c r="EBM11" s="391"/>
      <c r="EBN11" s="391"/>
      <c r="EBO11" s="391"/>
      <c r="EBP11" s="391"/>
      <c r="EBQ11" s="391"/>
      <c r="EBR11" s="391"/>
      <c r="EBS11" s="391"/>
      <c r="EBT11" s="391"/>
      <c r="EBU11" s="391"/>
      <c r="EBV11" s="391"/>
      <c r="EBW11" s="391"/>
      <c r="EBX11" s="391"/>
      <c r="EBY11" s="391"/>
      <c r="EBZ11" s="391"/>
      <c r="ECA11" s="391"/>
      <c r="ECB11" s="391"/>
      <c r="ECC11" s="391"/>
      <c r="ECD11" s="391"/>
      <c r="ECE11" s="391"/>
      <c r="ECF11" s="391"/>
      <c r="ECG11" s="391"/>
      <c r="ECH11" s="391"/>
      <c r="ECI11" s="391"/>
      <c r="ECJ11" s="391"/>
      <c r="ECK11" s="391"/>
      <c r="ECL11" s="391"/>
      <c r="ECM11" s="391"/>
      <c r="ECN11" s="391"/>
      <c r="ECO11" s="391"/>
      <c r="ECP11" s="391"/>
      <c r="ECQ11" s="391"/>
      <c r="ECR11" s="391"/>
      <c r="ECS11" s="391"/>
      <c r="ECT11" s="391"/>
      <c r="ECU11" s="391"/>
      <c r="ECV11" s="391"/>
      <c r="ECW11" s="391"/>
      <c r="ECX11" s="391"/>
      <c r="ECY11" s="391"/>
      <c r="ECZ11" s="391"/>
      <c r="EDA11" s="391"/>
      <c r="EDB11" s="391"/>
      <c r="EDC11" s="391"/>
      <c r="EDD11" s="391"/>
      <c r="EDE11" s="391"/>
      <c r="EDF11" s="391"/>
      <c r="EDG11" s="391"/>
      <c r="EDH11" s="391"/>
      <c r="EDI11" s="391"/>
      <c r="EDJ11" s="391"/>
      <c r="EDK11" s="391"/>
      <c r="EDL11" s="391"/>
      <c r="EDM11" s="391"/>
      <c r="EDN11" s="391"/>
      <c r="EDO11" s="391"/>
      <c r="EDP11" s="391"/>
      <c r="EDQ11" s="391"/>
      <c r="EDR11" s="391"/>
      <c r="EDS11" s="391"/>
      <c r="EDT11" s="391"/>
      <c r="EDU11" s="391"/>
      <c r="EDV11" s="391"/>
      <c r="EDW11" s="391"/>
      <c r="EDX11" s="391"/>
      <c r="EDY11" s="391"/>
      <c r="EDZ11" s="391"/>
      <c r="EEA11" s="391"/>
      <c r="EEB11" s="391"/>
      <c r="EEC11" s="391"/>
      <c r="EED11" s="391"/>
      <c r="EEE11" s="391"/>
      <c r="EEF11" s="391"/>
      <c r="EEG11" s="391"/>
      <c r="EEH11" s="391"/>
      <c r="EEI11" s="391"/>
      <c r="EEJ11" s="391"/>
      <c r="EEK11" s="391"/>
      <c r="EEL11" s="391"/>
      <c r="EEM11" s="391"/>
      <c r="EEN11" s="391"/>
      <c r="EEO11" s="391"/>
      <c r="EEP11" s="391"/>
      <c r="EEQ11" s="391"/>
      <c r="EER11" s="391"/>
      <c r="EES11" s="391"/>
      <c r="EET11" s="391"/>
      <c r="EEU11" s="391"/>
      <c r="EEV11" s="391"/>
      <c r="EEW11" s="391"/>
      <c r="EEX11" s="391"/>
      <c r="EEY11" s="391"/>
      <c r="EEZ11" s="391"/>
      <c r="EFA11" s="391"/>
      <c r="EFB11" s="391"/>
      <c r="EFC11" s="391"/>
      <c r="EFD11" s="391"/>
      <c r="EFE11" s="391"/>
      <c r="EFF11" s="391"/>
      <c r="EFG11" s="391"/>
      <c r="EFH11" s="391"/>
      <c r="EFI11" s="391"/>
      <c r="EFJ11" s="391"/>
      <c r="EFK11" s="391"/>
      <c r="EFL11" s="391"/>
      <c r="EFM11" s="391"/>
      <c r="EFN11" s="391"/>
      <c r="EFO11" s="391"/>
      <c r="EFP11" s="391"/>
      <c r="EFQ11" s="391"/>
      <c r="EFR11" s="391"/>
      <c r="EFS11" s="391"/>
      <c r="EFT11" s="391"/>
      <c r="EFU11" s="391"/>
      <c r="EFV11" s="391"/>
      <c r="EFW11" s="391"/>
      <c r="EFX11" s="391"/>
      <c r="EFY11" s="391"/>
      <c r="EFZ11" s="391"/>
      <c r="EGA11" s="391"/>
      <c r="EGB11" s="391"/>
      <c r="EGC11" s="391"/>
      <c r="EGD11" s="391"/>
      <c r="EGE11" s="391"/>
      <c r="EGF11" s="391"/>
      <c r="EGG11" s="391"/>
      <c r="EGH11" s="391"/>
      <c r="EGI11" s="391"/>
      <c r="EGJ11" s="391"/>
      <c r="EGK11" s="391"/>
      <c r="EGL11" s="391"/>
      <c r="EGM11" s="391"/>
      <c r="EGN11" s="391"/>
      <c r="EGO11" s="391"/>
      <c r="EGP11" s="391"/>
      <c r="EGQ11" s="391"/>
      <c r="EGR11" s="391"/>
      <c r="EGS11" s="391"/>
      <c r="EGT11" s="391"/>
      <c r="EGU11" s="391"/>
      <c r="EGV11" s="391"/>
      <c r="EGW11" s="391"/>
      <c r="EGX11" s="391"/>
      <c r="EGY11" s="391"/>
      <c r="EGZ11" s="391"/>
      <c r="EHA11" s="391"/>
      <c r="EHB11" s="391"/>
      <c r="EHC11" s="391"/>
      <c r="EHD11" s="391"/>
      <c r="EHE11" s="391"/>
      <c r="EHF11" s="391"/>
      <c r="EHG11" s="391"/>
      <c r="EHH11" s="391"/>
      <c r="EHI11" s="391"/>
      <c r="EHJ11" s="391"/>
      <c r="EHK11" s="391"/>
      <c r="EHL11" s="391"/>
      <c r="EHM11" s="391"/>
      <c r="EHN11" s="391"/>
      <c r="EHO11" s="391"/>
      <c r="EHP11" s="391"/>
      <c r="EHQ11" s="391"/>
      <c r="EHR11" s="391"/>
      <c r="EHS11" s="391"/>
      <c r="EHT11" s="391"/>
      <c r="EHU11" s="391"/>
      <c r="EHV11" s="391"/>
      <c r="EHW11" s="391"/>
      <c r="EHX11" s="391"/>
      <c r="EHY11" s="391"/>
      <c r="EHZ11" s="391"/>
      <c r="EIA11" s="391"/>
      <c r="EIB11" s="391"/>
      <c r="EIC11" s="391"/>
      <c r="EID11" s="391"/>
      <c r="EIE11" s="391"/>
      <c r="EIF11" s="391"/>
      <c r="EIG11" s="391"/>
      <c r="EIH11" s="391"/>
      <c r="EII11" s="391"/>
      <c r="EIJ11" s="391"/>
      <c r="EIK11" s="391"/>
      <c r="EIL11" s="391"/>
      <c r="EIM11" s="391"/>
      <c r="EIN11" s="391"/>
      <c r="EIO11" s="391"/>
      <c r="EIP11" s="391"/>
      <c r="EIQ11" s="391"/>
      <c r="EIR11" s="391"/>
      <c r="EIS11" s="391"/>
      <c r="EIT11" s="391"/>
      <c r="EIU11" s="391"/>
      <c r="EIV11" s="391"/>
      <c r="EIW11" s="391"/>
      <c r="EIX11" s="391"/>
      <c r="EIY11" s="391"/>
      <c r="EIZ11" s="391"/>
      <c r="EJA11" s="391"/>
      <c r="EJB11" s="391"/>
      <c r="EJC11" s="391"/>
      <c r="EJD11" s="391"/>
      <c r="EJE11" s="391"/>
      <c r="EJF11" s="391"/>
      <c r="EJG11" s="391"/>
      <c r="EJH11" s="391"/>
      <c r="EJI11" s="391"/>
      <c r="EJJ11" s="391"/>
      <c r="EJK11" s="391"/>
      <c r="EJL11" s="391"/>
      <c r="EJM11" s="391"/>
      <c r="EJN11" s="391"/>
      <c r="EJO11" s="391"/>
      <c r="EJP11" s="391"/>
      <c r="EJQ11" s="391"/>
      <c r="EJR11" s="391"/>
      <c r="EJS11" s="391"/>
      <c r="EJT11" s="391"/>
      <c r="EJU11" s="391"/>
      <c r="EJV11" s="391"/>
      <c r="EJW11" s="391"/>
      <c r="EJX11" s="391"/>
      <c r="EJY11" s="391"/>
      <c r="EJZ11" s="391"/>
      <c r="EKA11" s="391"/>
      <c r="EKB11" s="391"/>
      <c r="EKC11" s="391"/>
      <c r="EKD11" s="391"/>
      <c r="EKE11" s="391"/>
      <c r="EKF11" s="391"/>
      <c r="EKG11" s="391"/>
      <c r="EKH11" s="391"/>
      <c r="EKI11" s="391"/>
      <c r="EKJ11" s="391"/>
      <c r="EKK11" s="391"/>
      <c r="EKL11" s="391"/>
      <c r="EKM11" s="391"/>
      <c r="EKN11" s="391"/>
      <c r="EKO11" s="391"/>
      <c r="EKP11" s="391"/>
      <c r="EKQ11" s="391"/>
      <c r="EKR11" s="391"/>
      <c r="EKS11" s="391"/>
      <c r="EKT11" s="391"/>
      <c r="EKU11" s="391"/>
      <c r="EKV11" s="391"/>
      <c r="EKW11" s="391"/>
      <c r="EKX11" s="391"/>
      <c r="EKY11" s="391"/>
      <c r="EKZ11" s="391"/>
      <c r="ELA11" s="391"/>
      <c r="ELB11" s="391"/>
      <c r="ELC11" s="391"/>
      <c r="ELD11" s="391"/>
      <c r="ELE11" s="391"/>
      <c r="ELF11" s="391"/>
      <c r="ELG11" s="391"/>
      <c r="ELH11" s="391"/>
      <c r="ELI11" s="391"/>
      <c r="ELJ11" s="391"/>
      <c r="ELK11" s="391"/>
      <c r="ELL11" s="391"/>
      <c r="ELM11" s="391"/>
      <c r="ELN11" s="391"/>
      <c r="ELO11" s="391"/>
      <c r="ELP11" s="391"/>
      <c r="ELQ11" s="391"/>
      <c r="ELR11" s="391"/>
      <c r="ELS11" s="391"/>
      <c r="ELT11" s="391"/>
      <c r="ELU11" s="391"/>
      <c r="ELV11" s="391"/>
      <c r="ELW11" s="391"/>
      <c r="ELX11" s="391"/>
      <c r="ELY11" s="391"/>
      <c r="ELZ11" s="391"/>
      <c r="EMA11" s="391"/>
      <c r="EMB11" s="391"/>
      <c r="EMC11" s="391"/>
      <c r="EMD11" s="391"/>
      <c r="EME11" s="391"/>
      <c r="EMF11" s="391"/>
      <c r="EMG11" s="391"/>
      <c r="EMH11" s="391"/>
      <c r="EMI11" s="391"/>
      <c r="EMJ11" s="391"/>
      <c r="EMK11" s="391"/>
      <c r="EML11" s="391"/>
      <c r="EMM11" s="391"/>
      <c r="EMN11" s="391"/>
      <c r="EMO11" s="391"/>
      <c r="EMP11" s="391"/>
      <c r="EMQ11" s="391"/>
      <c r="EMR11" s="391"/>
      <c r="EMS11" s="391"/>
      <c r="EMT11" s="391"/>
      <c r="EMU11" s="391"/>
      <c r="EMV11" s="391"/>
      <c r="EMW11" s="391"/>
      <c r="EMX11" s="391"/>
      <c r="EMY11" s="391"/>
      <c r="EMZ11" s="391"/>
      <c r="ENA11" s="391"/>
      <c r="ENB11" s="391"/>
      <c r="ENC11" s="391"/>
      <c r="END11" s="391"/>
      <c r="ENE11" s="391"/>
      <c r="ENF11" s="391"/>
      <c r="ENG11" s="391"/>
      <c r="ENH11" s="391"/>
      <c r="ENI11" s="391"/>
      <c r="ENJ11" s="391"/>
      <c r="ENK11" s="391"/>
      <c r="ENL11" s="391"/>
      <c r="ENM11" s="391"/>
      <c r="ENN11" s="391"/>
      <c r="ENO11" s="391"/>
      <c r="ENP11" s="391"/>
      <c r="ENQ11" s="391"/>
      <c r="ENR11" s="391"/>
      <c r="ENS11" s="391"/>
      <c r="ENT11" s="391"/>
      <c r="ENU11" s="391"/>
      <c r="ENV11" s="391"/>
      <c r="ENW11" s="391"/>
      <c r="ENX11" s="391"/>
      <c r="ENY11" s="391"/>
      <c r="ENZ11" s="391"/>
      <c r="EOA11" s="391"/>
      <c r="EOB11" s="391"/>
      <c r="EOC11" s="391"/>
      <c r="EOD11" s="391"/>
      <c r="EOE11" s="391"/>
      <c r="EOF11" s="391"/>
      <c r="EOG11" s="391"/>
      <c r="EOH11" s="391"/>
      <c r="EOI11" s="391"/>
      <c r="EOJ11" s="391"/>
      <c r="EOK11" s="391"/>
      <c r="EOL11" s="391"/>
      <c r="EOM11" s="391"/>
      <c r="EON11" s="391"/>
      <c r="EOO11" s="391"/>
      <c r="EOP11" s="391"/>
      <c r="EOQ11" s="391"/>
      <c r="EOR11" s="391"/>
      <c r="EOS11" s="391"/>
      <c r="EOT11" s="391"/>
      <c r="EOU11" s="391"/>
      <c r="EOV11" s="391"/>
      <c r="EOW11" s="391"/>
      <c r="EOX11" s="391"/>
      <c r="EOY11" s="391"/>
      <c r="EOZ11" s="391"/>
      <c r="EPA11" s="391"/>
      <c r="EPB11" s="391"/>
      <c r="EPC11" s="391"/>
      <c r="EPD11" s="391"/>
      <c r="EPE11" s="391"/>
      <c r="EPF11" s="391"/>
      <c r="EPG11" s="391"/>
      <c r="EPH11" s="391"/>
      <c r="EPI11" s="391"/>
      <c r="EPJ11" s="391"/>
      <c r="EPK11" s="391"/>
      <c r="EPL11" s="391"/>
      <c r="EPM11" s="391"/>
      <c r="EPN11" s="391"/>
      <c r="EPO11" s="391"/>
      <c r="EPP11" s="391"/>
      <c r="EPQ11" s="391"/>
      <c r="EPR11" s="391"/>
      <c r="EPS11" s="391"/>
      <c r="EPT11" s="391"/>
      <c r="EPU11" s="391"/>
      <c r="EPV11" s="391"/>
      <c r="EPW11" s="391"/>
      <c r="EPX11" s="391"/>
      <c r="EPY11" s="391"/>
      <c r="EPZ11" s="391"/>
      <c r="EQA11" s="391"/>
      <c r="EQB11" s="391"/>
      <c r="EQC11" s="391"/>
      <c r="EQD11" s="391"/>
      <c r="EQE11" s="391"/>
      <c r="EQF11" s="391"/>
      <c r="EQG11" s="391"/>
      <c r="EQH11" s="391"/>
      <c r="EQI11" s="391"/>
      <c r="EQJ11" s="391"/>
      <c r="EQK11" s="391"/>
      <c r="EQL11" s="391"/>
      <c r="EQM11" s="391"/>
      <c r="EQN11" s="391"/>
      <c r="EQO11" s="391"/>
      <c r="EQP11" s="391"/>
      <c r="EQQ11" s="391"/>
      <c r="EQR11" s="391"/>
      <c r="EQS11" s="391"/>
      <c r="EQT11" s="391"/>
      <c r="EQU11" s="391"/>
      <c r="EQV11" s="391"/>
      <c r="EQW11" s="391"/>
      <c r="EQX11" s="391"/>
      <c r="EQY11" s="391"/>
      <c r="EQZ11" s="391"/>
      <c r="ERA11" s="391"/>
      <c r="ERB11" s="391"/>
      <c r="ERC11" s="391"/>
      <c r="ERD11" s="391"/>
      <c r="ERE11" s="391"/>
      <c r="ERF11" s="391"/>
      <c r="ERG11" s="391"/>
      <c r="ERH11" s="391"/>
      <c r="ERI11" s="391"/>
      <c r="ERJ11" s="391"/>
      <c r="ERK11" s="391"/>
      <c r="ERL11" s="391"/>
      <c r="ERM11" s="391"/>
      <c r="ERN11" s="391"/>
      <c r="ERO11" s="391"/>
      <c r="ERP11" s="391"/>
      <c r="ERQ11" s="391"/>
      <c r="ERR11" s="391"/>
      <c r="ERS11" s="391"/>
      <c r="ERT11" s="391"/>
      <c r="ERU11" s="391"/>
      <c r="ERV11" s="391"/>
      <c r="ERW11" s="391"/>
      <c r="ERX11" s="391"/>
      <c r="ERY11" s="391"/>
      <c r="ERZ11" s="391"/>
      <c r="ESA11" s="391"/>
      <c r="ESB11" s="391"/>
      <c r="ESC11" s="391"/>
      <c r="ESD11" s="391"/>
      <c r="ESE11" s="391"/>
      <c r="ESF11" s="391"/>
      <c r="ESG11" s="391"/>
      <c r="ESH11" s="391"/>
      <c r="ESI11" s="391"/>
      <c r="ESJ11" s="391"/>
      <c r="ESK11" s="391"/>
      <c r="ESL11" s="391"/>
      <c r="ESM11" s="391"/>
      <c r="ESN11" s="391"/>
      <c r="ESO11" s="391"/>
      <c r="ESP11" s="391"/>
      <c r="ESQ11" s="391"/>
      <c r="ESR11" s="391"/>
      <c r="ESS11" s="391"/>
      <c r="EST11" s="391"/>
      <c r="ESU11" s="391"/>
      <c r="ESV11" s="391"/>
      <c r="ESW11" s="391"/>
      <c r="ESX11" s="391"/>
      <c r="ESY11" s="391"/>
      <c r="ESZ11" s="391"/>
      <c r="ETA11" s="391"/>
      <c r="ETB11" s="391"/>
      <c r="ETC11" s="391"/>
      <c r="ETD11" s="391"/>
      <c r="ETE11" s="391"/>
      <c r="ETF11" s="391"/>
      <c r="ETG11" s="391"/>
      <c r="ETH11" s="391"/>
      <c r="ETI11" s="391"/>
      <c r="ETJ11" s="391"/>
      <c r="ETK11" s="391"/>
      <c r="ETL11" s="391"/>
      <c r="ETM11" s="391"/>
      <c r="ETN11" s="391"/>
      <c r="ETO11" s="391"/>
      <c r="ETP11" s="391"/>
      <c r="ETQ11" s="391"/>
      <c r="ETR11" s="391"/>
      <c r="ETS11" s="391"/>
      <c r="ETT11" s="391"/>
      <c r="ETU11" s="391"/>
      <c r="ETV11" s="391"/>
      <c r="ETW11" s="391"/>
      <c r="ETX11" s="391"/>
      <c r="ETY11" s="391"/>
      <c r="ETZ11" s="391"/>
      <c r="EUA11" s="391"/>
      <c r="EUB11" s="391"/>
      <c r="EUC11" s="391"/>
      <c r="EUD11" s="391"/>
      <c r="EUE11" s="391"/>
      <c r="EUF11" s="391"/>
      <c r="EUG11" s="391"/>
      <c r="EUH11" s="391"/>
      <c r="EUI11" s="391"/>
      <c r="EUJ11" s="391"/>
      <c r="EUK11" s="391"/>
      <c r="EUL11" s="391"/>
      <c r="EUM11" s="391"/>
      <c r="EUN11" s="391"/>
      <c r="EUO11" s="391"/>
      <c r="EUP11" s="391"/>
      <c r="EUQ11" s="391"/>
      <c r="EUR11" s="391"/>
      <c r="EUS11" s="391"/>
      <c r="EUT11" s="391"/>
      <c r="EUU11" s="391"/>
      <c r="EUV11" s="391"/>
      <c r="EUW11" s="391"/>
      <c r="EUX11" s="391"/>
      <c r="EUY11" s="391"/>
      <c r="EUZ11" s="391"/>
      <c r="EVA11" s="391"/>
      <c r="EVB11" s="391"/>
      <c r="EVC11" s="391"/>
      <c r="EVD11" s="391"/>
      <c r="EVE11" s="391"/>
      <c r="EVF11" s="391"/>
      <c r="EVG11" s="391"/>
      <c r="EVH11" s="391"/>
      <c r="EVI11" s="391"/>
      <c r="EVJ11" s="391"/>
      <c r="EVK11" s="391"/>
      <c r="EVL11" s="391"/>
      <c r="EVM11" s="391"/>
      <c r="EVN11" s="391"/>
      <c r="EVO11" s="391"/>
      <c r="EVP11" s="391"/>
      <c r="EVQ11" s="391"/>
      <c r="EVR11" s="391"/>
      <c r="EVS11" s="391"/>
      <c r="EVT11" s="391"/>
      <c r="EVU11" s="391"/>
      <c r="EVV11" s="391"/>
      <c r="EVW11" s="391"/>
      <c r="EVX11" s="391"/>
      <c r="EVY11" s="391"/>
      <c r="EVZ11" s="391"/>
      <c r="EWA11" s="391"/>
      <c r="EWB11" s="391"/>
      <c r="EWC11" s="391"/>
      <c r="EWD11" s="391"/>
      <c r="EWE11" s="391"/>
      <c r="EWF11" s="391"/>
      <c r="EWG11" s="391"/>
      <c r="EWH11" s="391"/>
      <c r="EWI11" s="391"/>
      <c r="EWJ11" s="391"/>
      <c r="EWK11" s="391"/>
      <c r="EWL11" s="391"/>
      <c r="EWM11" s="391"/>
      <c r="EWN11" s="391"/>
      <c r="EWO11" s="391"/>
      <c r="EWP11" s="391"/>
      <c r="EWQ11" s="391"/>
      <c r="EWR11" s="391"/>
      <c r="EWS11" s="391"/>
      <c r="EWT11" s="391"/>
      <c r="EWU11" s="391"/>
      <c r="EWV11" s="391"/>
      <c r="EWW11" s="391"/>
      <c r="EWX11" s="391"/>
      <c r="EWY11" s="391"/>
      <c r="EWZ11" s="391"/>
      <c r="EXA11" s="391"/>
      <c r="EXB11" s="391"/>
      <c r="EXC11" s="391"/>
      <c r="EXD11" s="391"/>
      <c r="EXE11" s="391"/>
      <c r="EXF11" s="391"/>
      <c r="EXG11" s="391"/>
      <c r="EXH11" s="391"/>
      <c r="EXI11" s="391"/>
      <c r="EXJ11" s="391"/>
      <c r="EXK11" s="391"/>
      <c r="EXL11" s="391"/>
      <c r="EXM11" s="391"/>
      <c r="EXN11" s="391"/>
      <c r="EXO11" s="391"/>
      <c r="EXP11" s="391"/>
      <c r="EXQ11" s="391"/>
      <c r="EXR11" s="391"/>
      <c r="EXS11" s="391"/>
      <c r="EXT11" s="391"/>
      <c r="EXU11" s="391"/>
      <c r="EXV11" s="391"/>
      <c r="EXW11" s="391"/>
      <c r="EXX11" s="391"/>
      <c r="EXY11" s="391"/>
      <c r="EXZ11" s="391"/>
      <c r="EYA11" s="391"/>
      <c r="EYB11" s="391"/>
      <c r="EYC11" s="391"/>
      <c r="EYD11" s="391"/>
      <c r="EYE11" s="391"/>
      <c r="EYF11" s="391"/>
      <c r="EYG11" s="391"/>
      <c r="EYH11" s="391"/>
      <c r="EYI11" s="391"/>
      <c r="EYJ11" s="391"/>
      <c r="EYK11" s="391"/>
      <c r="EYL11" s="391"/>
      <c r="EYM11" s="391"/>
      <c r="EYN11" s="391"/>
      <c r="EYO11" s="391"/>
      <c r="EYP11" s="391"/>
      <c r="EYQ11" s="391"/>
      <c r="EYR11" s="391"/>
      <c r="EYS11" s="391"/>
      <c r="EYT11" s="391"/>
      <c r="EYU11" s="391"/>
      <c r="EYV11" s="391"/>
      <c r="EYW11" s="391"/>
      <c r="EYX11" s="391"/>
      <c r="EYY11" s="391"/>
      <c r="EYZ11" s="391"/>
      <c r="EZA11" s="391"/>
      <c r="EZB11" s="391"/>
      <c r="EZC11" s="391"/>
      <c r="EZD11" s="391"/>
      <c r="EZE11" s="391"/>
      <c r="EZF11" s="391"/>
      <c r="EZG11" s="391"/>
      <c r="EZH11" s="391"/>
      <c r="EZI11" s="391"/>
      <c r="EZJ11" s="391"/>
      <c r="EZK11" s="391"/>
      <c r="EZL11" s="391"/>
      <c r="EZM11" s="391"/>
      <c r="EZN11" s="391"/>
      <c r="EZO11" s="391"/>
      <c r="EZP11" s="391"/>
      <c r="EZQ11" s="391"/>
      <c r="EZR11" s="391"/>
      <c r="EZS11" s="391"/>
      <c r="EZT11" s="391"/>
      <c r="EZU11" s="391"/>
      <c r="EZV11" s="391"/>
      <c r="EZW11" s="391"/>
      <c r="EZX11" s="391"/>
      <c r="EZY11" s="391"/>
      <c r="EZZ11" s="391"/>
      <c r="FAA11" s="391"/>
      <c r="FAB11" s="391"/>
      <c r="FAC11" s="391"/>
      <c r="FAD11" s="391"/>
      <c r="FAE11" s="391"/>
      <c r="FAF11" s="391"/>
      <c r="FAG11" s="391"/>
      <c r="FAH11" s="391"/>
      <c r="FAI11" s="391"/>
      <c r="FAJ11" s="391"/>
      <c r="FAK11" s="391"/>
      <c r="FAL11" s="391"/>
      <c r="FAM11" s="391"/>
      <c r="FAN11" s="391"/>
      <c r="FAO11" s="391"/>
      <c r="FAP11" s="391"/>
      <c r="FAQ11" s="391"/>
      <c r="FAR11" s="391"/>
      <c r="FAS11" s="391"/>
      <c r="FAT11" s="391"/>
      <c r="FAU11" s="391"/>
      <c r="FAV11" s="391"/>
      <c r="FAW11" s="391"/>
      <c r="FAX11" s="391"/>
      <c r="FAY11" s="391"/>
      <c r="FAZ11" s="391"/>
      <c r="FBA11" s="391"/>
      <c r="FBB11" s="391"/>
      <c r="FBC11" s="391"/>
      <c r="FBD11" s="391"/>
      <c r="FBE11" s="391"/>
      <c r="FBF11" s="391"/>
      <c r="FBG11" s="391"/>
      <c r="FBH11" s="391"/>
      <c r="FBI11" s="391"/>
      <c r="FBJ11" s="391"/>
      <c r="FBK11" s="391"/>
      <c r="FBL11" s="391"/>
      <c r="FBM11" s="391"/>
      <c r="FBN11" s="391"/>
      <c r="FBO11" s="391"/>
      <c r="FBP11" s="391"/>
      <c r="FBQ11" s="391"/>
      <c r="FBR11" s="391"/>
      <c r="FBS11" s="391"/>
      <c r="FBT11" s="391"/>
      <c r="FBU11" s="391"/>
      <c r="FBV11" s="391"/>
      <c r="FBW11" s="391"/>
      <c r="FBX11" s="391"/>
      <c r="FBY11" s="391"/>
      <c r="FBZ11" s="391"/>
      <c r="FCA11" s="391"/>
      <c r="FCB11" s="391"/>
      <c r="FCC11" s="391"/>
      <c r="FCD11" s="391"/>
      <c r="FCE11" s="391"/>
      <c r="FCF11" s="391"/>
      <c r="FCG11" s="391"/>
      <c r="FCH11" s="391"/>
      <c r="FCI11" s="391"/>
      <c r="FCJ11" s="391"/>
      <c r="FCK11" s="391"/>
      <c r="FCL11" s="391"/>
      <c r="FCM11" s="391"/>
      <c r="FCN11" s="391"/>
      <c r="FCO11" s="391"/>
      <c r="FCP11" s="391"/>
      <c r="FCQ11" s="391"/>
      <c r="FCR11" s="391"/>
      <c r="FCS11" s="391"/>
      <c r="FCT11" s="391"/>
      <c r="FCU11" s="391"/>
      <c r="FCV11" s="391"/>
      <c r="FCW11" s="391"/>
      <c r="FCX11" s="391"/>
      <c r="FCY11" s="391"/>
      <c r="FCZ11" s="391"/>
      <c r="FDA11" s="391"/>
      <c r="FDB11" s="391"/>
      <c r="FDC11" s="391"/>
      <c r="FDD11" s="391"/>
      <c r="FDE11" s="391"/>
      <c r="FDF11" s="391"/>
      <c r="FDG11" s="391"/>
      <c r="FDH11" s="391"/>
      <c r="FDI11" s="391"/>
      <c r="FDJ11" s="391"/>
      <c r="FDK11" s="391"/>
      <c r="FDL11" s="391"/>
      <c r="FDM11" s="391"/>
      <c r="FDN11" s="391"/>
      <c r="FDO11" s="391"/>
      <c r="FDP11" s="391"/>
      <c r="FDQ11" s="391"/>
      <c r="FDR11" s="391"/>
      <c r="FDS11" s="391"/>
      <c r="FDT11" s="391"/>
      <c r="FDU11" s="391"/>
      <c r="FDV11" s="391"/>
      <c r="FDW11" s="391"/>
      <c r="FDX11" s="391"/>
      <c r="FDY11" s="391"/>
      <c r="FDZ11" s="391"/>
      <c r="FEA11" s="391"/>
      <c r="FEB11" s="391"/>
      <c r="FEC11" s="391"/>
      <c r="FED11" s="391"/>
      <c r="FEE11" s="391"/>
      <c r="FEF11" s="391"/>
      <c r="FEG11" s="391"/>
      <c r="FEH11" s="391"/>
      <c r="FEI11" s="391"/>
      <c r="FEJ11" s="391"/>
      <c r="FEK11" s="391"/>
      <c r="FEL11" s="391"/>
      <c r="FEM11" s="391"/>
      <c r="FEN11" s="391"/>
      <c r="FEO11" s="391"/>
      <c r="FEP11" s="391"/>
      <c r="FEQ11" s="391"/>
      <c r="FER11" s="391"/>
      <c r="FES11" s="391"/>
      <c r="FET11" s="391"/>
      <c r="FEU11" s="391"/>
      <c r="FEV11" s="391"/>
      <c r="FEW11" s="391"/>
      <c r="FEX11" s="391"/>
      <c r="FEY11" s="391"/>
      <c r="FEZ11" s="391"/>
      <c r="FFA11" s="391"/>
      <c r="FFB11" s="391"/>
      <c r="FFC11" s="391"/>
      <c r="FFD11" s="391"/>
      <c r="FFE11" s="391"/>
      <c r="FFF11" s="391"/>
      <c r="FFG11" s="391"/>
      <c r="FFH11" s="391"/>
      <c r="FFI11" s="391"/>
      <c r="FFJ11" s="391"/>
      <c r="FFK11" s="391"/>
      <c r="FFL11" s="391"/>
      <c r="FFM11" s="391"/>
      <c r="FFN11" s="391"/>
      <c r="FFO11" s="391"/>
      <c r="FFP11" s="391"/>
      <c r="FFQ11" s="391"/>
      <c r="FFR11" s="391"/>
      <c r="FFS11" s="391"/>
      <c r="FFT11" s="391"/>
      <c r="FFU11" s="391"/>
      <c r="FFV11" s="391"/>
      <c r="FFW11" s="391"/>
      <c r="FFX11" s="391"/>
      <c r="FFY11" s="391"/>
      <c r="FFZ11" s="391"/>
      <c r="FGA11" s="391"/>
      <c r="FGB11" s="391"/>
      <c r="FGC11" s="391"/>
      <c r="FGD11" s="391"/>
      <c r="FGE11" s="391"/>
      <c r="FGF11" s="391"/>
      <c r="FGG11" s="391"/>
      <c r="FGH11" s="391"/>
      <c r="FGI11" s="391"/>
      <c r="FGJ11" s="391"/>
      <c r="FGK11" s="391"/>
      <c r="FGL11" s="391"/>
      <c r="FGM11" s="391"/>
      <c r="FGN11" s="391"/>
      <c r="FGO11" s="391"/>
      <c r="FGP11" s="391"/>
      <c r="FGQ11" s="391"/>
      <c r="FGR11" s="391"/>
      <c r="FGS11" s="391"/>
      <c r="FGT11" s="391"/>
      <c r="FGU11" s="391"/>
      <c r="FGV11" s="391"/>
      <c r="FGW11" s="391"/>
      <c r="FGX11" s="391"/>
      <c r="FGY11" s="391"/>
      <c r="FGZ11" s="391"/>
      <c r="FHA11" s="391"/>
      <c r="FHB11" s="391"/>
      <c r="FHC11" s="391"/>
      <c r="FHD11" s="391"/>
      <c r="FHE11" s="391"/>
      <c r="FHF11" s="391"/>
      <c r="FHG11" s="391"/>
      <c r="FHH11" s="391"/>
      <c r="FHI11" s="391"/>
      <c r="FHJ11" s="391"/>
      <c r="FHK11" s="391"/>
      <c r="FHL11" s="391"/>
      <c r="FHM11" s="391"/>
      <c r="FHN11" s="391"/>
      <c r="FHO11" s="391"/>
      <c r="FHP11" s="391"/>
      <c r="FHQ11" s="391"/>
      <c r="FHR11" s="391"/>
      <c r="FHS11" s="391"/>
      <c r="FHT11" s="391"/>
      <c r="FHU11" s="391"/>
      <c r="FHV11" s="391"/>
      <c r="FHW11" s="391"/>
      <c r="FHX11" s="391"/>
      <c r="FHY11" s="391"/>
      <c r="FHZ11" s="391"/>
      <c r="FIA11" s="391"/>
      <c r="FIB11" s="391"/>
      <c r="FIC11" s="391"/>
      <c r="FID11" s="391"/>
      <c r="FIE11" s="391"/>
      <c r="FIF11" s="391"/>
      <c r="FIG11" s="391"/>
      <c r="FIH11" s="391"/>
      <c r="FII11" s="391"/>
      <c r="FIJ11" s="391"/>
      <c r="FIK11" s="391"/>
      <c r="FIL11" s="391"/>
      <c r="FIM11" s="391"/>
      <c r="FIN11" s="391"/>
      <c r="FIO11" s="391"/>
      <c r="FIP11" s="391"/>
      <c r="FIQ11" s="391"/>
      <c r="FIR11" s="391"/>
      <c r="FIS11" s="391"/>
      <c r="FIT11" s="391"/>
      <c r="FIU11" s="391"/>
      <c r="FIV11" s="391"/>
      <c r="FIW11" s="391"/>
      <c r="FIX11" s="391"/>
      <c r="FIY11" s="391"/>
      <c r="FIZ11" s="391"/>
      <c r="FJA11" s="391"/>
      <c r="FJB11" s="391"/>
      <c r="FJC11" s="391"/>
      <c r="FJD11" s="391"/>
      <c r="FJE11" s="391"/>
      <c r="FJF11" s="391"/>
      <c r="FJG11" s="391"/>
      <c r="FJH11" s="391"/>
      <c r="FJI11" s="391"/>
      <c r="FJJ11" s="391"/>
      <c r="FJK11" s="391"/>
      <c r="FJL11" s="391"/>
      <c r="FJM11" s="391"/>
      <c r="FJN11" s="391"/>
      <c r="FJO11" s="391"/>
      <c r="FJP11" s="391"/>
      <c r="FJQ11" s="391"/>
      <c r="FJR11" s="391"/>
      <c r="FJS11" s="391"/>
      <c r="FJT11" s="391"/>
      <c r="FJU11" s="391"/>
      <c r="FJV11" s="391"/>
      <c r="FJW11" s="391"/>
      <c r="FJX11" s="391"/>
      <c r="FJY11" s="391"/>
      <c r="FJZ11" s="391"/>
      <c r="FKA11" s="391"/>
      <c r="FKB11" s="391"/>
      <c r="FKC11" s="391"/>
      <c r="FKD11" s="391"/>
      <c r="FKE11" s="391"/>
      <c r="FKF11" s="391"/>
      <c r="FKG11" s="391"/>
      <c r="FKH11" s="391"/>
      <c r="FKI11" s="391"/>
      <c r="FKJ11" s="391"/>
      <c r="FKK11" s="391"/>
      <c r="FKL11" s="391"/>
      <c r="FKM11" s="391"/>
      <c r="FKN11" s="391"/>
      <c r="FKO11" s="391"/>
      <c r="FKP11" s="391"/>
      <c r="FKQ11" s="391"/>
      <c r="FKR11" s="391"/>
      <c r="FKS11" s="391"/>
      <c r="FKT11" s="391"/>
      <c r="FKU11" s="391"/>
      <c r="FKV11" s="391"/>
      <c r="FKW11" s="391"/>
      <c r="FKX11" s="391"/>
      <c r="FKY11" s="391"/>
      <c r="FKZ11" s="391"/>
      <c r="FLA11" s="391"/>
      <c r="FLB11" s="391"/>
      <c r="FLC11" s="391"/>
      <c r="FLD11" s="391"/>
      <c r="FLE11" s="391"/>
      <c r="FLF11" s="391"/>
      <c r="FLG11" s="391"/>
      <c r="FLH11" s="391"/>
      <c r="FLI11" s="391"/>
      <c r="FLJ11" s="391"/>
      <c r="FLK11" s="391"/>
      <c r="FLL11" s="391"/>
      <c r="FLM11" s="391"/>
      <c r="FLN11" s="391"/>
      <c r="FLO11" s="391"/>
      <c r="FLP11" s="391"/>
      <c r="FLQ11" s="391"/>
      <c r="FLR11" s="391"/>
      <c r="FLS11" s="391"/>
      <c r="FLT11" s="391"/>
      <c r="FLU11" s="391"/>
      <c r="FLV11" s="391"/>
      <c r="FLW11" s="391"/>
      <c r="FLX11" s="391"/>
      <c r="FLY11" s="391"/>
      <c r="FLZ11" s="391"/>
      <c r="FMA11" s="391"/>
      <c r="FMB11" s="391"/>
      <c r="FMC11" s="391"/>
      <c r="FMD11" s="391"/>
      <c r="FME11" s="391"/>
      <c r="FMF11" s="391"/>
      <c r="FMG11" s="391"/>
      <c r="FMH11" s="391"/>
      <c r="FMI11" s="391"/>
      <c r="FMJ11" s="391"/>
      <c r="FMK11" s="391"/>
      <c r="FML11" s="391"/>
      <c r="FMM11" s="391"/>
      <c r="FMN11" s="391"/>
      <c r="FMO11" s="391"/>
      <c r="FMP11" s="391"/>
      <c r="FMQ11" s="391"/>
      <c r="FMR11" s="391"/>
      <c r="FMS11" s="391"/>
      <c r="FMT11" s="391"/>
      <c r="FMU11" s="391"/>
      <c r="FMV11" s="391"/>
      <c r="FMW11" s="391"/>
      <c r="FMX11" s="391"/>
      <c r="FMY11" s="391"/>
      <c r="FMZ11" s="391"/>
      <c r="FNA11" s="391"/>
      <c r="FNB11" s="391"/>
      <c r="FNC11" s="391"/>
      <c r="FND11" s="391"/>
      <c r="FNE11" s="391"/>
      <c r="FNF11" s="391"/>
      <c r="FNG11" s="391"/>
      <c r="FNH11" s="391"/>
      <c r="FNI11" s="391"/>
      <c r="FNJ11" s="391"/>
      <c r="FNK11" s="391"/>
      <c r="FNL11" s="391"/>
      <c r="FNM11" s="391"/>
      <c r="FNN11" s="391"/>
      <c r="FNO11" s="391"/>
      <c r="FNP11" s="391"/>
      <c r="FNQ11" s="391"/>
      <c r="FNR11" s="391"/>
      <c r="FNS11" s="391"/>
      <c r="FNT11" s="391"/>
      <c r="FNU11" s="391"/>
      <c r="FNV11" s="391"/>
      <c r="FNW11" s="391"/>
      <c r="FNX11" s="391"/>
      <c r="FNY11" s="391"/>
      <c r="FNZ11" s="391"/>
      <c r="FOA11" s="391"/>
      <c r="FOB11" s="391"/>
      <c r="FOC11" s="391"/>
      <c r="FOD11" s="391"/>
      <c r="FOE11" s="391"/>
      <c r="FOF11" s="391"/>
      <c r="FOG11" s="391"/>
      <c r="FOH11" s="391"/>
      <c r="FOI11" s="391"/>
      <c r="FOJ11" s="391"/>
      <c r="FOK11" s="391"/>
      <c r="FOL11" s="391"/>
      <c r="FOM11" s="391"/>
      <c r="FON11" s="391"/>
      <c r="FOO11" s="391"/>
      <c r="FOP11" s="391"/>
      <c r="FOQ11" s="391"/>
      <c r="FOR11" s="391"/>
      <c r="FOS11" s="391"/>
      <c r="FOT11" s="391"/>
      <c r="FOU11" s="391"/>
      <c r="FOV11" s="391"/>
      <c r="FOW11" s="391"/>
      <c r="FOX11" s="391"/>
      <c r="FOY11" s="391"/>
      <c r="FOZ11" s="391"/>
      <c r="FPA11" s="391"/>
      <c r="FPB11" s="391"/>
      <c r="FPC11" s="391"/>
      <c r="FPD11" s="391"/>
      <c r="FPE11" s="391"/>
      <c r="FPF11" s="391"/>
      <c r="FPG11" s="391"/>
      <c r="FPH11" s="391"/>
      <c r="FPI11" s="391"/>
      <c r="FPJ11" s="391"/>
      <c r="FPK11" s="391"/>
      <c r="FPL11" s="391"/>
      <c r="FPM11" s="391"/>
      <c r="FPN11" s="391"/>
      <c r="FPO11" s="391"/>
      <c r="FPP11" s="391"/>
      <c r="FPQ11" s="391"/>
      <c r="FPR11" s="391"/>
      <c r="FPS11" s="391"/>
      <c r="FPT11" s="391"/>
      <c r="FPU11" s="391"/>
      <c r="FPV11" s="391"/>
      <c r="FPW11" s="391"/>
      <c r="FPX11" s="391"/>
      <c r="FPY11" s="391"/>
      <c r="FPZ11" s="391"/>
      <c r="FQA11" s="391"/>
      <c r="FQB11" s="391"/>
      <c r="FQC11" s="391"/>
      <c r="FQD11" s="391"/>
      <c r="FQE11" s="391"/>
      <c r="FQF11" s="391"/>
      <c r="FQG11" s="391"/>
      <c r="FQH11" s="391"/>
      <c r="FQI11" s="391"/>
      <c r="FQJ11" s="391"/>
      <c r="FQK11" s="391"/>
      <c r="FQL11" s="391"/>
      <c r="FQM11" s="391"/>
      <c r="FQN11" s="391"/>
      <c r="FQO11" s="391"/>
      <c r="FQP11" s="391"/>
      <c r="FQQ11" s="391"/>
      <c r="FQR11" s="391"/>
      <c r="FQS11" s="391"/>
      <c r="FQT11" s="391"/>
      <c r="FQU11" s="391"/>
      <c r="FQV11" s="391"/>
      <c r="FQW11" s="391"/>
      <c r="FQX11" s="391"/>
      <c r="FQY11" s="391"/>
      <c r="FQZ11" s="391"/>
      <c r="FRA11" s="391"/>
      <c r="FRB11" s="391"/>
      <c r="FRC11" s="391"/>
      <c r="FRD11" s="391"/>
      <c r="FRE11" s="391"/>
      <c r="FRF11" s="391"/>
      <c r="FRG11" s="391"/>
      <c r="FRH11" s="391"/>
      <c r="FRI11" s="391"/>
      <c r="FRJ11" s="391"/>
      <c r="FRK11" s="391"/>
      <c r="FRL11" s="391"/>
      <c r="FRM11" s="391"/>
      <c r="FRN11" s="391"/>
      <c r="FRO11" s="391"/>
      <c r="FRP11" s="391"/>
      <c r="FRQ11" s="391"/>
      <c r="FRR11" s="391"/>
      <c r="FRS11" s="391"/>
      <c r="FRT11" s="391"/>
      <c r="FRU11" s="391"/>
      <c r="FRV11" s="391"/>
      <c r="FRW11" s="391"/>
      <c r="FRX11" s="391"/>
      <c r="FRY11" s="391"/>
      <c r="FRZ11" s="391"/>
      <c r="FSA11" s="391"/>
      <c r="FSB11" s="391"/>
      <c r="FSC11" s="391"/>
      <c r="FSD11" s="391"/>
      <c r="FSE11" s="391"/>
      <c r="FSF11" s="391"/>
      <c r="FSG11" s="391"/>
      <c r="FSH11" s="391"/>
      <c r="FSI11" s="391"/>
      <c r="FSJ11" s="391"/>
      <c r="FSK11" s="391"/>
      <c r="FSL11" s="391"/>
      <c r="FSM11" s="391"/>
      <c r="FSN11" s="391"/>
      <c r="FSO11" s="391"/>
      <c r="FSP11" s="391"/>
      <c r="FSQ11" s="391"/>
      <c r="FSR11" s="391"/>
      <c r="FSS11" s="391"/>
      <c r="FST11" s="391"/>
      <c r="FSU11" s="391"/>
      <c r="FSV11" s="391"/>
      <c r="FSW11" s="391"/>
      <c r="FSX11" s="391"/>
      <c r="FSY11" s="391"/>
      <c r="FSZ11" s="391"/>
      <c r="FTA11" s="391"/>
      <c r="FTB11" s="391"/>
      <c r="FTC11" s="391"/>
      <c r="FTD11" s="391"/>
      <c r="FTE11" s="391"/>
      <c r="FTF11" s="391"/>
      <c r="FTG11" s="391"/>
      <c r="FTH11" s="391"/>
      <c r="FTI11" s="391"/>
      <c r="FTJ11" s="391"/>
      <c r="FTK11" s="391"/>
      <c r="FTL11" s="391"/>
      <c r="FTM11" s="391"/>
      <c r="FTN11" s="391"/>
      <c r="FTO11" s="391"/>
      <c r="FTP11" s="391"/>
      <c r="FTQ11" s="391"/>
      <c r="FTR11" s="391"/>
      <c r="FTS11" s="391"/>
      <c r="FTT11" s="391"/>
      <c r="FTU11" s="391"/>
      <c r="FTV11" s="391"/>
      <c r="FTW11" s="391"/>
      <c r="FTX11" s="391"/>
      <c r="FTY11" s="391"/>
      <c r="FTZ11" s="391"/>
      <c r="FUA11" s="391"/>
      <c r="FUB11" s="391"/>
      <c r="FUC11" s="391"/>
      <c r="FUD11" s="391"/>
      <c r="FUE11" s="391"/>
      <c r="FUF11" s="391"/>
      <c r="FUG11" s="391"/>
      <c r="FUH11" s="391"/>
      <c r="FUI11" s="391"/>
      <c r="FUJ11" s="391"/>
      <c r="FUK11" s="391"/>
      <c r="FUL11" s="391"/>
      <c r="FUM11" s="391"/>
      <c r="FUN11" s="391"/>
      <c r="FUO11" s="391"/>
      <c r="FUP11" s="391"/>
      <c r="FUQ11" s="391"/>
      <c r="FUR11" s="391"/>
      <c r="FUS11" s="391"/>
      <c r="FUT11" s="391"/>
      <c r="FUU11" s="391"/>
      <c r="FUV11" s="391"/>
      <c r="FUW11" s="391"/>
      <c r="FUX11" s="391"/>
      <c r="FUY11" s="391"/>
      <c r="FUZ11" s="391"/>
      <c r="FVA11" s="391"/>
      <c r="FVB11" s="391"/>
      <c r="FVC11" s="391"/>
      <c r="FVD11" s="391"/>
      <c r="FVE11" s="391"/>
      <c r="FVF11" s="391"/>
      <c r="FVG11" s="391"/>
      <c r="FVH11" s="391"/>
      <c r="FVI11" s="391"/>
      <c r="FVJ11" s="391"/>
      <c r="FVK11" s="391"/>
      <c r="FVL11" s="391"/>
      <c r="FVM11" s="391"/>
      <c r="FVN11" s="391"/>
      <c r="FVO11" s="391"/>
      <c r="FVP11" s="391"/>
      <c r="FVQ11" s="391"/>
      <c r="FVR11" s="391"/>
      <c r="FVS11" s="391"/>
      <c r="FVT11" s="391"/>
      <c r="FVU11" s="391"/>
      <c r="FVV11" s="391"/>
      <c r="FVW11" s="391"/>
      <c r="FVX11" s="391"/>
      <c r="FVY11" s="391"/>
      <c r="FVZ11" s="391"/>
      <c r="FWA11" s="391"/>
      <c r="FWB11" s="391"/>
      <c r="FWC11" s="391"/>
      <c r="FWD11" s="391"/>
      <c r="FWE11" s="391"/>
      <c r="FWF11" s="391"/>
      <c r="FWG11" s="391"/>
      <c r="FWH11" s="391"/>
      <c r="FWI11" s="391"/>
      <c r="FWJ11" s="391"/>
      <c r="FWK11" s="391"/>
      <c r="FWL11" s="391"/>
      <c r="FWM11" s="391"/>
      <c r="FWN11" s="391"/>
      <c r="FWO11" s="391"/>
      <c r="FWP11" s="391"/>
      <c r="FWQ11" s="391"/>
      <c r="FWR11" s="391"/>
      <c r="FWS11" s="391"/>
      <c r="FWT11" s="391"/>
      <c r="FWU11" s="391"/>
      <c r="FWV11" s="391"/>
      <c r="FWW11" s="391"/>
      <c r="FWX11" s="391"/>
      <c r="FWY11" s="391"/>
      <c r="FWZ11" s="391"/>
      <c r="FXA11" s="391"/>
      <c r="FXB11" s="391"/>
      <c r="FXC11" s="391"/>
      <c r="FXD11" s="391"/>
      <c r="FXE11" s="391"/>
      <c r="FXF11" s="391"/>
      <c r="FXG11" s="391"/>
      <c r="FXH11" s="391"/>
      <c r="FXI11" s="391"/>
      <c r="FXJ11" s="391"/>
      <c r="FXK11" s="391"/>
      <c r="FXL11" s="391"/>
      <c r="FXM11" s="391"/>
      <c r="FXN11" s="391"/>
      <c r="FXO11" s="391"/>
      <c r="FXP11" s="391"/>
      <c r="FXQ11" s="391"/>
      <c r="FXR11" s="391"/>
      <c r="FXS11" s="391"/>
      <c r="FXT11" s="391"/>
      <c r="FXU11" s="391"/>
      <c r="FXV11" s="391"/>
      <c r="FXW11" s="391"/>
      <c r="FXX11" s="391"/>
      <c r="FXY11" s="391"/>
      <c r="FXZ11" s="391"/>
      <c r="FYA11" s="391"/>
      <c r="FYB11" s="391"/>
      <c r="FYC11" s="391"/>
      <c r="FYD11" s="391"/>
      <c r="FYE11" s="391"/>
      <c r="FYF11" s="391"/>
      <c r="FYG11" s="391"/>
      <c r="FYH11" s="391"/>
      <c r="FYI11" s="391"/>
      <c r="FYJ11" s="391"/>
      <c r="FYK11" s="391"/>
      <c r="FYL11" s="391"/>
      <c r="FYM11" s="391"/>
      <c r="FYN11" s="391"/>
      <c r="FYO11" s="391"/>
      <c r="FYP11" s="391"/>
      <c r="FYQ11" s="391"/>
      <c r="FYR11" s="391"/>
      <c r="FYS11" s="391"/>
      <c r="FYT11" s="391"/>
      <c r="FYU11" s="391"/>
      <c r="FYV11" s="391"/>
      <c r="FYW11" s="391"/>
      <c r="FYX11" s="391"/>
      <c r="FYY11" s="391"/>
      <c r="FYZ11" s="391"/>
      <c r="FZA11" s="391"/>
      <c r="FZB11" s="391"/>
      <c r="FZC11" s="391"/>
      <c r="FZD11" s="391"/>
      <c r="FZE11" s="391"/>
      <c r="FZF11" s="391"/>
      <c r="FZG11" s="391"/>
      <c r="FZH11" s="391"/>
      <c r="FZI11" s="391"/>
      <c r="FZJ11" s="391"/>
      <c r="FZK11" s="391"/>
      <c r="FZL11" s="391"/>
      <c r="FZM11" s="391"/>
      <c r="FZN11" s="391"/>
      <c r="FZO11" s="391"/>
      <c r="FZP11" s="391"/>
      <c r="FZQ11" s="391"/>
      <c r="FZR11" s="391"/>
      <c r="FZS11" s="391"/>
      <c r="FZT11" s="391"/>
      <c r="FZU11" s="391"/>
      <c r="FZV11" s="391"/>
      <c r="FZW11" s="391"/>
      <c r="FZX11" s="391"/>
      <c r="FZY11" s="391"/>
      <c r="FZZ11" s="391"/>
      <c r="GAA11" s="391"/>
      <c r="GAB11" s="391"/>
      <c r="GAC11" s="391"/>
      <c r="GAD11" s="391"/>
      <c r="GAE11" s="391"/>
      <c r="GAF11" s="391"/>
      <c r="GAG11" s="391"/>
      <c r="GAH11" s="391"/>
      <c r="GAI11" s="391"/>
      <c r="GAJ11" s="391"/>
      <c r="GAK11" s="391"/>
      <c r="GAL11" s="391"/>
      <c r="GAM11" s="391"/>
      <c r="GAN11" s="391"/>
      <c r="GAO11" s="391"/>
      <c r="GAP11" s="391"/>
      <c r="GAQ11" s="391"/>
      <c r="GAR11" s="391"/>
      <c r="GAS11" s="391"/>
      <c r="GAT11" s="391"/>
      <c r="GAU11" s="391"/>
      <c r="GAV11" s="391"/>
      <c r="GAW11" s="391"/>
      <c r="GAX11" s="391"/>
      <c r="GAY11" s="391"/>
      <c r="GAZ11" s="391"/>
      <c r="GBA11" s="391"/>
      <c r="GBB11" s="391"/>
      <c r="GBC11" s="391"/>
      <c r="GBD11" s="391"/>
      <c r="GBE11" s="391"/>
      <c r="GBF11" s="391"/>
      <c r="GBG11" s="391"/>
      <c r="GBH11" s="391"/>
      <c r="GBI11" s="391"/>
      <c r="GBJ11" s="391"/>
      <c r="GBK11" s="391"/>
      <c r="GBL11" s="391"/>
      <c r="GBM11" s="391"/>
      <c r="GBN11" s="391"/>
      <c r="GBO11" s="391"/>
      <c r="GBP11" s="391"/>
      <c r="GBQ11" s="391"/>
      <c r="GBR11" s="391"/>
      <c r="GBS11" s="391"/>
      <c r="GBT11" s="391"/>
      <c r="GBU11" s="391"/>
      <c r="GBV11" s="391"/>
      <c r="GBW11" s="391"/>
      <c r="GBX11" s="391"/>
      <c r="GBY11" s="391"/>
      <c r="GBZ11" s="391"/>
      <c r="GCA11" s="391"/>
      <c r="GCB11" s="391"/>
      <c r="GCC11" s="391"/>
      <c r="GCD11" s="391"/>
      <c r="GCE11" s="391"/>
      <c r="GCF11" s="391"/>
      <c r="GCG11" s="391"/>
      <c r="GCH11" s="391"/>
      <c r="GCI11" s="391"/>
      <c r="GCJ11" s="391"/>
      <c r="GCK11" s="391"/>
      <c r="GCL11" s="391"/>
      <c r="GCM11" s="391"/>
      <c r="GCN11" s="391"/>
      <c r="GCO11" s="391"/>
      <c r="GCP11" s="391"/>
      <c r="GCQ11" s="391"/>
      <c r="GCR11" s="391"/>
      <c r="GCS11" s="391"/>
      <c r="GCT11" s="391"/>
      <c r="GCU11" s="391"/>
      <c r="GCV11" s="391"/>
      <c r="GCW11" s="391"/>
      <c r="GCX11" s="391"/>
      <c r="GCY11" s="391"/>
      <c r="GCZ11" s="391"/>
      <c r="GDA11" s="391"/>
      <c r="GDB11" s="391"/>
      <c r="GDC11" s="391"/>
      <c r="GDD11" s="391"/>
      <c r="GDE11" s="391"/>
      <c r="GDF11" s="391"/>
      <c r="GDG11" s="391"/>
      <c r="GDH11" s="391"/>
      <c r="GDI11" s="391"/>
      <c r="GDJ11" s="391"/>
      <c r="GDK11" s="391"/>
      <c r="GDL11" s="391"/>
      <c r="GDM11" s="391"/>
      <c r="GDN11" s="391"/>
      <c r="GDO11" s="391"/>
      <c r="GDP11" s="391"/>
      <c r="GDQ11" s="391"/>
      <c r="GDR11" s="391"/>
      <c r="GDS11" s="391"/>
      <c r="GDT11" s="391"/>
      <c r="GDU11" s="391"/>
      <c r="GDV11" s="391"/>
      <c r="GDW11" s="391"/>
      <c r="GDX11" s="391"/>
      <c r="GDY11" s="391"/>
      <c r="GDZ11" s="391"/>
      <c r="GEA11" s="391"/>
      <c r="GEB11" s="391"/>
      <c r="GEC11" s="391"/>
      <c r="GED11" s="391"/>
      <c r="GEE11" s="391"/>
      <c r="GEF11" s="391"/>
      <c r="GEG11" s="391"/>
      <c r="GEH11" s="391"/>
      <c r="GEI11" s="391"/>
      <c r="GEJ11" s="391"/>
      <c r="GEK11" s="391"/>
      <c r="GEL11" s="391"/>
      <c r="GEM11" s="391"/>
      <c r="GEN11" s="391"/>
      <c r="GEO11" s="391"/>
      <c r="GEP11" s="391"/>
      <c r="GEQ11" s="391"/>
      <c r="GER11" s="391"/>
      <c r="GES11" s="391"/>
      <c r="GET11" s="391"/>
      <c r="GEU11" s="391"/>
      <c r="GEV11" s="391"/>
      <c r="GEW11" s="391"/>
      <c r="GEX11" s="391"/>
      <c r="GEY11" s="391"/>
      <c r="GEZ11" s="391"/>
      <c r="GFA11" s="391"/>
      <c r="GFB11" s="391"/>
      <c r="GFC11" s="391"/>
      <c r="GFD11" s="391"/>
      <c r="GFE11" s="391"/>
      <c r="GFF11" s="391"/>
      <c r="GFG11" s="391"/>
      <c r="GFH11" s="391"/>
      <c r="GFI11" s="391"/>
      <c r="GFJ11" s="391"/>
      <c r="GFK11" s="391"/>
      <c r="GFL11" s="391"/>
      <c r="GFM11" s="391"/>
      <c r="GFN11" s="391"/>
      <c r="GFO11" s="391"/>
      <c r="GFP11" s="391"/>
      <c r="GFQ11" s="391"/>
      <c r="GFR11" s="391"/>
      <c r="GFS11" s="391"/>
      <c r="GFT11" s="391"/>
      <c r="GFU11" s="391"/>
      <c r="GFV11" s="391"/>
      <c r="GFW11" s="391"/>
      <c r="GFX11" s="391"/>
      <c r="GFY11" s="391"/>
      <c r="GFZ11" s="391"/>
      <c r="GGA11" s="391"/>
      <c r="GGB11" s="391"/>
      <c r="GGC11" s="391"/>
      <c r="GGD11" s="391"/>
      <c r="GGE11" s="391"/>
      <c r="GGF11" s="391"/>
      <c r="GGG11" s="391"/>
      <c r="GGH11" s="391"/>
      <c r="GGI11" s="391"/>
      <c r="GGJ11" s="391"/>
      <c r="GGK11" s="391"/>
      <c r="GGL11" s="391"/>
      <c r="GGM11" s="391"/>
      <c r="GGN11" s="391"/>
      <c r="GGO11" s="391"/>
      <c r="GGP11" s="391"/>
      <c r="GGQ11" s="391"/>
      <c r="GGR11" s="391"/>
      <c r="GGS11" s="391"/>
      <c r="GGT11" s="391"/>
      <c r="GGU11" s="391"/>
      <c r="GGV11" s="391"/>
      <c r="GGW11" s="391"/>
      <c r="GGX11" s="391"/>
      <c r="GGY11" s="391"/>
      <c r="GGZ11" s="391"/>
      <c r="GHA11" s="391"/>
      <c r="GHB11" s="391"/>
      <c r="GHC11" s="391"/>
      <c r="GHD11" s="391"/>
      <c r="GHE11" s="391"/>
      <c r="GHF11" s="391"/>
      <c r="GHG11" s="391"/>
      <c r="GHH11" s="391"/>
      <c r="GHI11" s="391"/>
      <c r="GHJ11" s="391"/>
      <c r="GHK11" s="391"/>
      <c r="GHL11" s="391"/>
      <c r="GHM11" s="391"/>
      <c r="GHN11" s="391"/>
      <c r="GHO11" s="391"/>
      <c r="GHP11" s="391"/>
      <c r="GHQ11" s="391"/>
      <c r="GHR11" s="391"/>
      <c r="GHS11" s="391"/>
      <c r="GHT11" s="391"/>
      <c r="GHU11" s="391"/>
      <c r="GHV11" s="391"/>
      <c r="GHW11" s="391"/>
      <c r="GHX11" s="391"/>
      <c r="GHY11" s="391"/>
      <c r="GHZ11" s="391"/>
      <c r="GIA11" s="391"/>
      <c r="GIB11" s="391"/>
      <c r="GIC11" s="391"/>
      <c r="GID11" s="391"/>
      <c r="GIE11" s="391"/>
      <c r="GIF11" s="391"/>
      <c r="GIG11" s="391"/>
      <c r="GIH11" s="391"/>
      <c r="GII11" s="391"/>
      <c r="GIJ11" s="391"/>
      <c r="GIK11" s="391"/>
      <c r="GIL11" s="391"/>
      <c r="GIM11" s="391"/>
      <c r="GIN11" s="391"/>
      <c r="GIO11" s="391"/>
      <c r="GIP11" s="391"/>
      <c r="GIQ11" s="391"/>
      <c r="GIR11" s="391"/>
      <c r="GIS11" s="391"/>
      <c r="GIT11" s="391"/>
      <c r="GIU11" s="391"/>
      <c r="GIV11" s="391"/>
      <c r="GIW11" s="391"/>
      <c r="GIX11" s="391"/>
      <c r="GIY11" s="391"/>
      <c r="GIZ11" s="391"/>
      <c r="GJA11" s="391"/>
      <c r="GJB11" s="391"/>
      <c r="GJC11" s="391"/>
      <c r="GJD11" s="391"/>
      <c r="GJE11" s="391"/>
      <c r="GJF11" s="391"/>
      <c r="GJG11" s="391"/>
      <c r="GJH11" s="391"/>
      <c r="GJI11" s="391"/>
      <c r="GJJ11" s="391"/>
      <c r="GJK11" s="391"/>
      <c r="GJL11" s="391"/>
      <c r="GJM11" s="391"/>
      <c r="GJN11" s="391"/>
      <c r="GJO11" s="391"/>
      <c r="GJP11" s="391"/>
      <c r="GJQ11" s="391"/>
      <c r="GJR11" s="391"/>
      <c r="GJS11" s="391"/>
      <c r="GJT11" s="391"/>
      <c r="GJU11" s="391"/>
      <c r="GJV11" s="391"/>
      <c r="GJW11" s="391"/>
      <c r="GJX11" s="391"/>
      <c r="GJY11" s="391"/>
      <c r="GJZ11" s="391"/>
      <c r="GKA11" s="391"/>
      <c r="GKB11" s="391"/>
      <c r="GKC11" s="391"/>
      <c r="GKD11" s="391"/>
      <c r="GKE11" s="391"/>
      <c r="GKF11" s="391"/>
      <c r="GKG11" s="391"/>
      <c r="GKH11" s="391"/>
      <c r="GKI11" s="391"/>
      <c r="GKJ11" s="391"/>
      <c r="GKK11" s="391"/>
      <c r="GKL11" s="391"/>
      <c r="GKM11" s="391"/>
      <c r="GKN11" s="391"/>
      <c r="GKO11" s="391"/>
      <c r="GKP11" s="391"/>
      <c r="GKQ11" s="391"/>
      <c r="GKR11" s="391"/>
      <c r="GKS11" s="391"/>
      <c r="GKT11" s="391"/>
      <c r="GKU11" s="391"/>
      <c r="GKV11" s="391"/>
      <c r="GKW11" s="391"/>
      <c r="GKX11" s="391"/>
      <c r="GKY11" s="391"/>
      <c r="GKZ11" s="391"/>
      <c r="GLA11" s="391"/>
      <c r="GLB11" s="391"/>
      <c r="GLC11" s="391"/>
      <c r="GLD11" s="391"/>
      <c r="GLE11" s="391"/>
      <c r="GLF11" s="391"/>
      <c r="GLG11" s="391"/>
      <c r="GLH11" s="391"/>
      <c r="GLI11" s="391"/>
      <c r="GLJ11" s="391"/>
      <c r="GLK11" s="391"/>
      <c r="GLL11" s="391"/>
      <c r="GLM11" s="391"/>
      <c r="GLN11" s="391"/>
      <c r="GLO11" s="391"/>
      <c r="GLP11" s="391"/>
      <c r="GLQ11" s="391"/>
      <c r="GLR11" s="391"/>
      <c r="GLS11" s="391"/>
      <c r="GLT11" s="391"/>
      <c r="GLU11" s="391"/>
      <c r="GLV11" s="391"/>
      <c r="GLW11" s="391"/>
      <c r="GLX11" s="391"/>
      <c r="GLY11" s="391"/>
      <c r="GLZ11" s="391"/>
      <c r="GMA11" s="391"/>
      <c r="GMB11" s="391"/>
      <c r="GMC11" s="391"/>
      <c r="GMD11" s="391"/>
      <c r="GME11" s="391"/>
      <c r="GMF11" s="391"/>
      <c r="GMG11" s="391"/>
      <c r="GMH11" s="391"/>
      <c r="GMI11" s="391"/>
      <c r="GMJ11" s="391"/>
      <c r="GMK11" s="391"/>
      <c r="GML11" s="391"/>
      <c r="GMM11" s="391"/>
      <c r="GMN11" s="391"/>
      <c r="GMO11" s="391"/>
      <c r="GMP11" s="391"/>
      <c r="GMQ11" s="391"/>
      <c r="GMR11" s="391"/>
      <c r="GMS11" s="391"/>
      <c r="GMT11" s="391"/>
      <c r="GMU11" s="391"/>
      <c r="GMV11" s="391"/>
      <c r="GMW11" s="391"/>
      <c r="GMX11" s="391"/>
      <c r="GMY11" s="391"/>
      <c r="GMZ11" s="391"/>
      <c r="GNA11" s="391"/>
      <c r="GNB11" s="391"/>
      <c r="GNC11" s="391"/>
      <c r="GND11" s="391"/>
      <c r="GNE11" s="391"/>
      <c r="GNF11" s="391"/>
      <c r="GNG11" s="391"/>
      <c r="GNH11" s="391"/>
      <c r="GNI11" s="391"/>
      <c r="GNJ11" s="391"/>
      <c r="GNK11" s="391"/>
      <c r="GNL11" s="391"/>
      <c r="GNM11" s="391"/>
      <c r="GNN11" s="391"/>
      <c r="GNO11" s="391"/>
      <c r="GNP11" s="391"/>
      <c r="GNQ11" s="391"/>
      <c r="GNR11" s="391"/>
      <c r="GNS11" s="391"/>
      <c r="GNT11" s="391"/>
      <c r="GNU11" s="391"/>
      <c r="GNV11" s="391"/>
      <c r="GNW11" s="391"/>
      <c r="GNX11" s="391"/>
      <c r="GNY11" s="391"/>
      <c r="GNZ11" s="391"/>
      <c r="GOA11" s="391"/>
      <c r="GOB11" s="391"/>
      <c r="GOC11" s="391"/>
      <c r="GOD11" s="391"/>
      <c r="GOE11" s="391"/>
      <c r="GOF11" s="391"/>
      <c r="GOG11" s="391"/>
      <c r="GOH11" s="391"/>
      <c r="GOI11" s="391"/>
      <c r="GOJ11" s="391"/>
      <c r="GOK11" s="391"/>
      <c r="GOL11" s="391"/>
      <c r="GOM11" s="391"/>
      <c r="GON11" s="391"/>
      <c r="GOO11" s="391"/>
      <c r="GOP11" s="391"/>
      <c r="GOQ11" s="391"/>
      <c r="GOR11" s="391"/>
      <c r="GOS11" s="391"/>
      <c r="GOT11" s="391"/>
      <c r="GOU11" s="391"/>
      <c r="GOV11" s="391"/>
      <c r="GOW11" s="391"/>
      <c r="GOX11" s="391"/>
      <c r="GOY11" s="391"/>
      <c r="GOZ11" s="391"/>
      <c r="GPA11" s="391"/>
      <c r="GPB11" s="391"/>
      <c r="GPC11" s="391"/>
      <c r="GPD11" s="391"/>
      <c r="GPE11" s="391"/>
      <c r="GPF11" s="391"/>
      <c r="GPG11" s="391"/>
      <c r="GPH11" s="391"/>
      <c r="GPI11" s="391"/>
      <c r="GPJ11" s="391"/>
      <c r="GPK11" s="391"/>
      <c r="GPL11" s="391"/>
      <c r="GPM11" s="391"/>
      <c r="GPN11" s="391"/>
      <c r="GPO11" s="391"/>
      <c r="GPP11" s="391"/>
      <c r="GPQ11" s="391"/>
      <c r="GPR11" s="391"/>
      <c r="GPS11" s="391"/>
      <c r="GPT11" s="391"/>
      <c r="GPU11" s="391"/>
      <c r="GPV11" s="391"/>
      <c r="GPW11" s="391"/>
      <c r="GPX11" s="391"/>
      <c r="GPY11" s="391"/>
      <c r="GPZ11" s="391"/>
      <c r="GQA11" s="391"/>
      <c r="GQB11" s="391"/>
      <c r="GQC11" s="391"/>
      <c r="GQD11" s="391"/>
      <c r="GQE11" s="391"/>
      <c r="GQF11" s="391"/>
      <c r="GQG11" s="391"/>
      <c r="GQH11" s="391"/>
      <c r="GQI11" s="391"/>
      <c r="GQJ11" s="391"/>
      <c r="GQK11" s="391"/>
      <c r="GQL11" s="391"/>
      <c r="GQM11" s="391"/>
      <c r="GQN11" s="391"/>
      <c r="GQO11" s="391"/>
      <c r="GQP11" s="391"/>
      <c r="GQQ11" s="391"/>
      <c r="GQR11" s="391"/>
      <c r="GQS11" s="391"/>
      <c r="GQT11" s="391"/>
      <c r="GQU11" s="391"/>
      <c r="GQV11" s="391"/>
      <c r="GQW11" s="391"/>
      <c r="GQX11" s="391"/>
      <c r="GQY11" s="391"/>
      <c r="GQZ11" s="391"/>
      <c r="GRA11" s="391"/>
      <c r="GRB11" s="391"/>
      <c r="GRC11" s="391"/>
      <c r="GRD11" s="391"/>
      <c r="GRE11" s="391"/>
      <c r="GRF11" s="391"/>
      <c r="GRG11" s="391"/>
      <c r="GRH11" s="391"/>
      <c r="GRI11" s="391"/>
      <c r="GRJ11" s="391"/>
      <c r="GRK11" s="391"/>
      <c r="GRL11" s="391"/>
      <c r="GRM11" s="391"/>
      <c r="GRN11" s="391"/>
      <c r="GRO11" s="391"/>
      <c r="GRP11" s="391"/>
      <c r="GRQ11" s="391"/>
      <c r="GRR11" s="391"/>
      <c r="GRS11" s="391"/>
      <c r="GRT11" s="391"/>
      <c r="GRU11" s="391"/>
      <c r="GRV11" s="391"/>
      <c r="GRW11" s="391"/>
      <c r="GRX11" s="391"/>
      <c r="GRY11" s="391"/>
      <c r="GRZ11" s="391"/>
      <c r="GSA11" s="391"/>
      <c r="GSB11" s="391"/>
      <c r="GSC11" s="391"/>
      <c r="GSD11" s="391"/>
      <c r="GSE11" s="391"/>
      <c r="GSF11" s="391"/>
      <c r="GSG11" s="391"/>
      <c r="GSH11" s="391"/>
      <c r="GSI11" s="391"/>
      <c r="GSJ11" s="391"/>
      <c r="GSK11" s="391"/>
      <c r="GSL11" s="391"/>
      <c r="GSM11" s="391"/>
      <c r="GSN11" s="391"/>
      <c r="GSO11" s="391"/>
      <c r="GSP11" s="391"/>
      <c r="GSQ11" s="391"/>
      <c r="GSR11" s="391"/>
      <c r="GSS11" s="391"/>
      <c r="GST11" s="391"/>
      <c r="GSU11" s="391"/>
      <c r="GSV11" s="391"/>
      <c r="GSW11" s="391"/>
      <c r="GSX11" s="391"/>
      <c r="GSY11" s="391"/>
      <c r="GSZ11" s="391"/>
      <c r="GTA11" s="391"/>
      <c r="GTB11" s="391"/>
      <c r="GTC11" s="391"/>
      <c r="GTD11" s="391"/>
      <c r="GTE11" s="391"/>
      <c r="GTF11" s="391"/>
      <c r="GTG11" s="391"/>
      <c r="GTH11" s="391"/>
      <c r="GTI11" s="391"/>
      <c r="GTJ11" s="391"/>
      <c r="GTK11" s="391"/>
      <c r="GTL11" s="391"/>
      <c r="GTM11" s="391"/>
      <c r="GTN11" s="391"/>
      <c r="GTO11" s="391"/>
      <c r="GTP11" s="391"/>
      <c r="GTQ11" s="391"/>
      <c r="GTR11" s="391"/>
      <c r="GTS11" s="391"/>
      <c r="GTT11" s="391"/>
      <c r="GTU11" s="391"/>
      <c r="GTV11" s="391"/>
      <c r="GTW11" s="391"/>
      <c r="GTX11" s="391"/>
      <c r="GTY11" s="391"/>
      <c r="GTZ11" s="391"/>
      <c r="GUA11" s="391"/>
      <c r="GUB11" s="391"/>
      <c r="GUC11" s="391"/>
      <c r="GUD11" s="391"/>
      <c r="GUE11" s="391"/>
      <c r="GUF11" s="391"/>
      <c r="GUG11" s="391"/>
      <c r="GUH11" s="391"/>
      <c r="GUI11" s="391"/>
      <c r="GUJ11" s="391"/>
      <c r="GUK11" s="391"/>
      <c r="GUL11" s="391"/>
      <c r="GUM11" s="391"/>
      <c r="GUN11" s="391"/>
      <c r="GUO11" s="391"/>
      <c r="GUP11" s="391"/>
      <c r="GUQ11" s="391"/>
      <c r="GUR11" s="391"/>
      <c r="GUS11" s="391"/>
      <c r="GUT11" s="391"/>
      <c r="GUU11" s="391"/>
      <c r="GUV11" s="391"/>
      <c r="GUW11" s="391"/>
      <c r="GUX11" s="391"/>
      <c r="GUY11" s="391"/>
      <c r="GUZ11" s="391"/>
      <c r="GVA11" s="391"/>
      <c r="GVB11" s="391"/>
      <c r="GVC11" s="391"/>
      <c r="GVD11" s="391"/>
      <c r="GVE11" s="391"/>
      <c r="GVF11" s="391"/>
      <c r="GVG11" s="391"/>
      <c r="GVH11" s="391"/>
      <c r="GVI11" s="391"/>
      <c r="GVJ11" s="391"/>
      <c r="GVK11" s="391"/>
      <c r="GVL11" s="391"/>
      <c r="GVM11" s="391"/>
      <c r="GVN11" s="391"/>
      <c r="GVO11" s="391"/>
      <c r="GVP11" s="391"/>
      <c r="GVQ11" s="391"/>
      <c r="GVR11" s="391"/>
      <c r="GVS11" s="391"/>
      <c r="GVT11" s="391"/>
      <c r="GVU11" s="391"/>
      <c r="GVV11" s="391"/>
      <c r="GVW11" s="391"/>
      <c r="GVX11" s="391"/>
      <c r="GVY11" s="391"/>
      <c r="GVZ11" s="391"/>
      <c r="GWA11" s="391"/>
      <c r="GWB11" s="391"/>
      <c r="GWC11" s="391"/>
      <c r="GWD11" s="391"/>
      <c r="GWE11" s="391"/>
      <c r="GWF11" s="391"/>
      <c r="GWG11" s="391"/>
      <c r="GWH11" s="391"/>
      <c r="GWI11" s="391"/>
      <c r="GWJ11" s="391"/>
      <c r="GWK11" s="391"/>
      <c r="GWL11" s="391"/>
      <c r="GWM11" s="391"/>
      <c r="GWN11" s="391"/>
      <c r="GWO11" s="391"/>
      <c r="GWP11" s="391"/>
      <c r="GWQ11" s="391"/>
      <c r="GWR11" s="391"/>
      <c r="GWS11" s="391"/>
      <c r="GWT11" s="391"/>
      <c r="GWU11" s="391"/>
      <c r="GWV11" s="391"/>
      <c r="GWW11" s="391"/>
      <c r="GWX11" s="391"/>
      <c r="GWY11" s="391"/>
      <c r="GWZ11" s="391"/>
      <c r="GXA11" s="391"/>
      <c r="GXB11" s="391"/>
      <c r="GXC11" s="391"/>
      <c r="GXD11" s="391"/>
      <c r="GXE11" s="391"/>
      <c r="GXF11" s="391"/>
      <c r="GXG11" s="391"/>
      <c r="GXH11" s="391"/>
      <c r="GXI11" s="391"/>
      <c r="GXJ11" s="391"/>
      <c r="GXK11" s="391"/>
      <c r="GXL11" s="391"/>
      <c r="GXM11" s="391"/>
      <c r="GXN11" s="391"/>
      <c r="GXO11" s="391"/>
      <c r="GXP11" s="391"/>
      <c r="GXQ11" s="391"/>
      <c r="GXR11" s="391"/>
      <c r="GXS11" s="391"/>
      <c r="GXT11" s="391"/>
      <c r="GXU11" s="391"/>
      <c r="GXV11" s="391"/>
      <c r="GXW11" s="391"/>
      <c r="GXX11" s="391"/>
      <c r="GXY11" s="391"/>
      <c r="GXZ11" s="391"/>
      <c r="GYA11" s="391"/>
      <c r="GYB11" s="391"/>
      <c r="GYC11" s="391"/>
      <c r="GYD11" s="391"/>
      <c r="GYE11" s="391"/>
      <c r="GYF11" s="391"/>
      <c r="GYG11" s="391"/>
      <c r="GYH11" s="391"/>
      <c r="GYI11" s="391"/>
      <c r="GYJ11" s="391"/>
      <c r="GYK11" s="391"/>
      <c r="GYL11" s="391"/>
      <c r="GYM11" s="391"/>
      <c r="GYN11" s="391"/>
      <c r="GYO11" s="391"/>
      <c r="GYP11" s="391"/>
      <c r="GYQ11" s="391"/>
      <c r="GYR11" s="391"/>
      <c r="GYS11" s="391"/>
      <c r="GYT11" s="391"/>
      <c r="GYU11" s="391"/>
      <c r="GYV11" s="391"/>
      <c r="GYW11" s="391"/>
      <c r="GYX11" s="391"/>
      <c r="GYY11" s="391"/>
      <c r="GYZ11" s="391"/>
      <c r="GZA11" s="391"/>
      <c r="GZB11" s="391"/>
      <c r="GZC11" s="391"/>
      <c r="GZD11" s="391"/>
      <c r="GZE11" s="391"/>
      <c r="GZF11" s="391"/>
      <c r="GZG11" s="391"/>
      <c r="GZH11" s="391"/>
      <c r="GZI11" s="391"/>
      <c r="GZJ11" s="391"/>
      <c r="GZK11" s="391"/>
      <c r="GZL11" s="391"/>
      <c r="GZM11" s="391"/>
      <c r="GZN11" s="391"/>
      <c r="GZO11" s="391"/>
      <c r="GZP11" s="391"/>
      <c r="GZQ11" s="391"/>
      <c r="GZR11" s="391"/>
      <c r="GZS11" s="391"/>
      <c r="GZT11" s="391"/>
      <c r="GZU11" s="391"/>
      <c r="GZV11" s="391"/>
      <c r="GZW11" s="391"/>
      <c r="GZX11" s="391"/>
      <c r="GZY11" s="391"/>
      <c r="GZZ11" s="391"/>
      <c r="HAA11" s="391"/>
      <c r="HAB11" s="391"/>
      <c r="HAC11" s="391"/>
      <c r="HAD11" s="391"/>
      <c r="HAE11" s="391"/>
      <c r="HAF11" s="391"/>
      <c r="HAG11" s="391"/>
      <c r="HAH11" s="391"/>
      <c r="HAI11" s="391"/>
      <c r="HAJ11" s="391"/>
      <c r="HAK11" s="391"/>
      <c r="HAL11" s="391"/>
      <c r="HAM11" s="391"/>
      <c r="HAN11" s="391"/>
      <c r="HAO11" s="391"/>
      <c r="HAP11" s="391"/>
      <c r="HAQ11" s="391"/>
      <c r="HAR11" s="391"/>
      <c r="HAS11" s="391"/>
      <c r="HAT11" s="391"/>
      <c r="HAU11" s="391"/>
      <c r="HAV11" s="391"/>
      <c r="HAW11" s="391"/>
      <c r="HAX11" s="391"/>
      <c r="HAY11" s="391"/>
      <c r="HAZ11" s="391"/>
      <c r="HBA11" s="391"/>
      <c r="HBB11" s="391"/>
      <c r="HBC11" s="391"/>
      <c r="HBD11" s="391"/>
      <c r="HBE11" s="391"/>
      <c r="HBF11" s="391"/>
      <c r="HBG11" s="391"/>
      <c r="HBH11" s="391"/>
      <c r="HBI11" s="391"/>
      <c r="HBJ11" s="391"/>
      <c r="HBK11" s="391"/>
      <c r="HBL11" s="391"/>
      <c r="HBM11" s="391"/>
      <c r="HBN11" s="391"/>
      <c r="HBO11" s="391"/>
      <c r="HBP11" s="391"/>
      <c r="HBQ11" s="391"/>
      <c r="HBR11" s="391"/>
      <c r="HBS11" s="391"/>
      <c r="HBT11" s="391"/>
      <c r="HBU11" s="391"/>
      <c r="HBV11" s="391"/>
      <c r="HBW11" s="391"/>
      <c r="HBX11" s="391"/>
      <c r="HBY11" s="391"/>
      <c r="HBZ11" s="391"/>
      <c r="HCA11" s="391"/>
      <c r="HCB11" s="391"/>
      <c r="HCC11" s="391"/>
      <c r="HCD11" s="391"/>
      <c r="HCE11" s="391"/>
      <c r="HCF11" s="391"/>
      <c r="HCG11" s="391"/>
      <c r="HCH11" s="391"/>
      <c r="HCI11" s="391"/>
      <c r="HCJ11" s="391"/>
      <c r="HCK11" s="391"/>
      <c r="HCL11" s="391"/>
      <c r="HCM11" s="391"/>
      <c r="HCN11" s="391"/>
      <c r="HCO11" s="391"/>
      <c r="HCP11" s="391"/>
      <c r="HCQ11" s="391"/>
      <c r="HCR11" s="391"/>
      <c r="HCS11" s="391"/>
      <c r="HCT11" s="391"/>
      <c r="HCU11" s="391"/>
      <c r="HCV11" s="391"/>
      <c r="HCW11" s="391"/>
      <c r="HCX11" s="391"/>
      <c r="HCY11" s="391"/>
      <c r="HCZ11" s="391"/>
      <c r="HDA11" s="391"/>
      <c r="HDB11" s="391"/>
      <c r="HDC11" s="391"/>
      <c r="HDD11" s="391"/>
      <c r="HDE11" s="391"/>
      <c r="HDF11" s="391"/>
      <c r="HDG11" s="391"/>
      <c r="HDH11" s="391"/>
      <c r="HDI11" s="391"/>
      <c r="HDJ11" s="391"/>
      <c r="HDK11" s="391"/>
      <c r="HDL11" s="391"/>
      <c r="HDM11" s="391"/>
      <c r="HDN11" s="391"/>
      <c r="HDO11" s="391"/>
      <c r="HDP11" s="391"/>
      <c r="HDQ11" s="391"/>
      <c r="HDR11" s="391"/>
      <c r="HDS11" s="391"/>
      <c r="HDT11" s="391"/>
      <c r="HDU11" s="391"/>
      <c r="HDV11" s="391"/>
      <c r="HDW11" s="391"/>
      <c r="HDX11" s="391"/>
      <c r="HDY11" s="391"/>
      <c r="HDZ11" s="391"/>
      <c r="HEA11" s="391"/>
      <c r="HEB11" s="391"/>
      <c r="HEC11" s="391"/>
      <c r="HED11" s="391"/>
      <c r="HEE11" s="391"/>
      <c r="HEF11" s="391"/>
      <c r="HEG11" s="391"/>
      <c r="HEH11" s="391"/>
      <c r="HEI11" s="391"/>
      <c r="HEJ11" s="391"/>
      <c r="HEK11" s="391"/>
      <c r="HEL11" s="391"/>
      <c r="HEM11" s="391"/>
      <c r="HEN11" s="391"/>
      <c r="HEO11" s="391"/>
      <c r="HEP11" s="391"/>
      <c r="HEQ11" s="391"/>
      <c r="HER11" s="391"/>
      <c r="HES11" s="391"/>
      <c r="HET11" s="391"/>
      <c r="HEU11" s="391"/>
      <c r="HEV11" s="391"/>
      <c r="HEW11" s="391"/>
      <c r="HEX11" s="391"/>
      <c r="HEY11" s="391"/>
      <c r="HEZ11" s="391"/>
      <c r="HFA11" s="391"/>
      <c r="HFB11" s="391"/>
      <c r="HFC11" s="391"/>
      <c r="HFD11" s="391"/>
      <c r="HFE11" s="391"/>
      <c r="HFF11" s="391"/>
      <c r="HFG11" s="391"/>
      <c r="HFH11" s="391"/>
      <c r="HFI11" s="391"/>
      <c r="HFJ11" s="391"/>
      <c r="HFK11" s="391"/>
      <c r="HFL11" s="391"/>
      <c r="HFM11" s="391"/>
      <c r="HFN11" s="391"/>
      <c r="HFO11" s="391"/>
      <c r="HFP11" s="391"/>
      <c r="HFQ11" s="391"/>
      <c r="HFR11" s="391"/>
      <c r="HFS11" s="391"/>
      <c r="HFT11" s="391"/>
      <c r="HFU11" s="391"/>
      <c r="HFV11" s="391"/>
      <c r="HFW11" s="391"/>
      <c r="HFX11" s="391"/>
      <c r="HFY11" s="391"/>
      <c r="HFZ11" s="391"/>
      <c r="HGA11" s="391"/>
      <c r="HGB11" s="391"/>
      <c r="HGC11" s="391"/>
      <c r="HGD11" s="391"/>
      <c r="HGE11" s="391"/>
      <c r="HGF11" s="391"/>
      <c r="HGG11" s="391"/>
      <c r="HGH11" s="391"/>
      <c r="HGI11" s="391"/>
      <c r="HGJ11" s="391"/>
      <c r="HGK11" s="391"/>
      <c r="HGL11" s="391"/>
      <c r="HGM11" s="391"/>
      <c r="HGN11" s="391"/>
      <c r="HGO11" s="391"/>
      <c r="HGP11" s="391"/>
      <c r="HGQ11" s="391"/>
      <c r="HGR11" s="391"/>
      <c r="HGS11" s="391"/>
      <c r="HGT11" s="391"/>
      <c r="HGU11" s="391"/>
      <c r="HGV11" s="391"/>
      <c r="HGW11" s="391"/>
      <c r="HGX11" s="391"/>
      <c r="HGY11" s="391"/>
      <c r="HGZ11" s="391"/>
      <c r="HHA11" s="391"/>
      <c r="HHB11" s="391"/>
      <c r="HHC11" s="391"/>
      <c r="HHD11" s="391"/>
      <c r="HHE11" s="391"/>
      <c r="HHF11" s="391"/>
      <c r="HHG11" s="391"/>
      <c r="HHH11" s="391"/>
      <c r="HHI11" s="391"/>
      <c r="HHJ11" s="391"/>
      <c r="HHK11" s="391"/>
      <c r="HHL11" s="391"/>
      <c r="HHM11" s="391"/>
      <c r="HHN11" s="391"/>
      <c r="HHO11" s="391"/>
      <c r="HHP11" s="391"/>
      <c r="HHQ11" s="391"/>
      <c r="HHR11" s="391"/>
      <c r="HHS11" s="391"/>
      <c r="HHT11" s="391"/>
      <c r="HHU11" s="391"/>
      <c r="HHV11" s="391"/>
      <c r="HHW11" s="391"/>
      <c r="HHX11" s="391"/>
      <c r="HHY11" s="391"/>
      <c r="HHZ11" s="391"/>
      <c r="HIA11" s="391"/>
      <c r="HIB11" s="391"/>
      <c r="HIC11" s="391"/>
      <c r="HID11" s="391"/>
      <c r="HIE11" s="391"/>
      <c r="HIF11" s="391"/>
      <c r="HIG11" s="391"/>
      <c r="HIH11" s="391"/>
      <c r="HII11" s="391"/>
      <c r="HIJ11" s="391"/>
      <c r="HIK11" s="391"/>
      <c r="HIL11" s="391"/>
      <c r="HIM11" s="391"/>
      <c r="HIN11" s="391"/>
      <c r="HIO11" s="391"/>
      <c r="HIP11" s="391"/>
      <c r="HIQ11" s="391"/>
      <c r="HIR11" s="391"/>
      <c r="HIS11" s="391"/>
      <c r="HIT11" s="391"/>
      <c r="HIU11" s="391"/>
      <c r="HIV11" s="391"/>
      <c r="HIW11" s="391"/>
      <c r="HIX11" s="391"/>
      <c r="HIY11" s="391"/>
      <c r="HIZ11" s="391"/>
      <c r="HJA11" s="391"/>
      <c r="HJB11" s="391"/>
      <c r="HJC11" s="391"/>
      <c r="HJD11" s="391"/>
      <c r="HJE11" s="391"/>
      <c r="HJF11" s="391"/>
      <c r="HJG11" s="391"/>
      <c r="HJH11" s="391"/>
      <c r="HJI11" s="391"/>
      <c r="HJJ11" s="391"/>
      <c r="HJK11" s="391"/>
      <c r="HJL11" s="391"/>
      <c r="HJM11" s="391"/>
      <c r="HJN11" s="391"/>
      <c r="HJO11" s="391"/>
      <c r="HJP11" s="391"/>
      <c r="HJQ11" s="391"/>
      <c r="HJR11" s="391"/>
      <c r="HJS11" s="391"/>
      <c r="HJT11" s="391"/>
      <c r="HJU11" s="391"/>
      <c r="HJV11" s="391"/>
      <c r="HJW11" s="391"/>
      <c r="HJX11" s="391"/>
      <c r="HJY11" s="391"/>
      <c r="HJZ11" s="391"/>
      <c r="HKA11" s="391"/>
      <c r="HKB11" s="391"/>
      <c r="HKC11" s="391"/>
      <c r="HKD11" s="391"/>
      <c r="HKE11" s="391"/>
      <c r="HKF11" s="391"/>
      <c r="HKG11" s="391"/>
      <c r="HKH11" s="391"/>
      <c r="HKI11" s="391"/>
      <c r="HKJ11" s="391"/>
      <c r="HKK11" s="391"/>
      <c r="HKL11" s="391"/>
      <c r="HKM11" s="391"/>
      <c r="HKN11" s="391"/>
      <c r="HKO11" s="391"/>
      <c r="HKP11" s="391"/>
      <c r="HKQ11" s="391"/>
      <c r="HKR11" s="391"/>
      <c r="HKS11" s="391"/>
      <c r="HKT11" s="391"/>
      <c r="HKU11" s="391"/>
      <c r="HKV11" s="391"/>
      <c r="HKW11" s="391"/>
      <c r="HKX11" s="391"/>
      <c r="HKY11" s="391"/>
      <c r="HKZ11" s="391"/>
      <c r="HLA11" s="391"/>
      <c r="HLB11" s="391"/>
      <c r="HLC11" s="391"/>
      <c r="HLD11" s="391"/>
      <c r="HLE11" s="391"/>
      <c r="HLF11" s="391"/>
      <c r="HLG11" s="391"/>
      <c r="HLH11" s="391"/>
      <c r="HLI11" s="391"/>
      <c r="HLJ11" s="391"/>
      <c r="HLK11" s="391"/>
      <c r="HLL11" s="391"/>
      <c r="HLM11" s="391"/>
      <c r="HLN11" s="391"/>
      <c r="HLO11" s="391"/>
      <c r="HLP11" s="391"/>
      <c r="HLQ11" s="391"/>
      <c r="HLR11" s="391"/>
      <c r="HLS11" s="391"/>
      <c r="HLT11" s="391"/>
      <c r="HLU11" s="391"/>
      <c r="HLV11" s="391"/>
      <c r="HLW11" s="391"/>
      <c r="HLX11" s="391"/>
      <c r="HLY11" s="391"/>
      <c r="HLZ11" s="391"/>
      <c r="HMA11" s="391"/>
      <c r="HMB11" s="391"/>
      <c r="HMC11" s="391"/>
      <c r="HMD11" s="391"/>
      <c r="HME11" s="391"/>
      <c r="HMF11" s="391"/>
      <c r="HMG11" s="391"/>
      <c r="HMH11" s="391"/>
      <c r="HMI11" s="391"/>
      <c r="HMJ11" s="391"/>
      <c r="HMK11" s="391"/>
      <c r="HML11" s="391"/>
      <c r="HMM11" s="391"/>
      <c r="HMN11" s="391"/>
      <c r="HMO11" s="391"/>
      <c r="HMP11" s="391"/>
      <c r="HMQ11" s="391"/>
      <c r="HMR11" s="391"/>
      <c r="HMS11" s="391"/>
      <c r="HMT11" s="391"/>
      <c r="HMU11" s="391"/>
      <c r="HMV11" s="391"/>
      <c r="HMW11" s="391"/>
      <c r="HMX11" s="391"/>
      <c r="HMY11" s="391"/>
      <c r="HMZ11" s="391"/>
      <c r="HNA11" s="391"/>
      <c r="HNB11" s="391"/>
      <c r="HNC11" s="391"/>
      <c r="HND11" s="391"/>
      <c r="HNE11" s="391"/>
      <c r="HNF11" s="391"/>
      <c r="HNG11" s="391"/>
      <c r="HNH11" s="391"/>
      <c r="HNI11" s="391"/>
      <c r="HNJ11" s="391"/>
      <c r="HNK11" s="391"/>
      <c r="HNL11" s="391"/>
      <c r="HNM11" s="391"/>
      <c r="HNN11" s="391"/>
      <c r="HNO11" s="391"/>
      <c r="HNP11" s="391"/>
      <c r="HNQ11" s="391"/>
      <c r="HNR11" s="391"/>
      <c r="HNS11" s="391"/>
      <c r="HNT11" s="391"/>
      <c r="HNU11" s="391"/>
      <c r="HNV11" s="391"/>
      <c r="HNW11" s="391"/>
      <c r="HNX11" s="391"/>
      <c r="HNY11" s="391"/>
      <c r="HNZ11" s="391"/>
      <c r="HOA11" s="391"/>
      <c r="HOB11" s="391"/>
      <c r="HOC11" s="391"/>
      <c r="HOD11" s="391"/>
      <c r="HOE11" s="391"/>
      <c r="HOF11" s="391"/>
      <c r="HOG11" s="391"/>
      <c r="HOH11" s="391"/>
      <c r="HOI11" s="391"/>
      <c r="HOJ11" s="391"/>
      <c r="HOK11" s="391"/>
      <c r="HOL11" s="391"/>
      <c r="HOM11" s="391"/>
      <c r="HON11" s="391"/>
      <c r="HOO11" s="391"/>
      <c r="HOP11" s="391"/>
      <c r="HOQ11" s="391"/>
      <c r="HOR11" s="391"/>
      <c r="HOS11" s="391"/>
      <c r="HOT11" s="391"/>
      <c r="HOU11" s="391"/>
      <c r="HOV11" s="391"/>
      <c r="HOW11" s="391"/>
      <c r="HOX11" s="391"/>
      <c r="HOY11" s="391"/>
      <c r="HOZ11" s="391"/>
      <c r="HPA11" s="391"/>
      <c r="HPB11" s="391"/>
      <c r="HPC11" s="391"/>
      <c r="HPD11" s="391"/>
      <c r="HPE11" s="391"/>
      <c r="HPF11" s="391"/>
      <c r="HPG11" s="391"/>
      <c r="HPH11" s="391"/>
      <c r="HPI11" s="391"/>
      <c r="HPJ11" s="391"/>
      <c r="HPK11" s="391"/>
      <c r="HPL11" s="391"/>
      <c r="HPM11" s="391"/>
      <c r="HPN11" s="391"/>
      <c r="HPO11" s="391"/>
      <c r="HPP11" s="391"/>
      <c r="HPQ11" s="391"/>
      <c r="HPR11" s="391"/>
      <c r="HPS11" s="391"/>
      <c r="HPT11" s="391"/>
      <c r="HPU11" s="391"/>
      <c r="HPV11" s="391"/>
      <c r="HPW11" s="391"/>
      <c r="HPX11" s="391"/>
      <c r="HPY11" s="391"/>
      <c r="HPZ11" s="391"/>
      <c r="HQA11" s="391"/>
      <c r="HQB11" s="391"/>
      <c r="HQC11" s="391"/>
      <c r="HQD11" s="391"/>
      <c r="HQE11" s="391"/>
      <c r="HQF11" s="391"/>
      <c r="HQG11" s="391"/>
      <c r="HQH11" s="391"/>
      <c r="HQI11" s="391"/>
      <c r="HQJ11" s="391"/>
      <c r="HQK11" s="391"/>
      <c r="HQL11" s="391"/>
      <c r="HQM11" s="391"/>
      <c r="HQN11" s="391"/>
      <c r="HQO11" s="391"/>
      <c r="HQP11" s="391"/>
      <c r="HQQ11" s="391"/>
      <c r="HQR11" s="391"/>
      <c r="HQS11" s="391"/>
      <c r="HQT11" s="391"/>
      <c r="HQU11" s="391"/>
      <c r="HQV11" s="391"/>
      <c r="HQW11" s="391"/>
      <c r="HQX11" s="391"/>
      <c r="HQY11" s="391"/>
      <c r="HQZ11" s="391"/>
      <c r="HRA11" s="391"/>
      <c r="HRB11" s="391"/>
      <c r="HRC11" s="391"/>
      <c r="HRD11" s="391"/>
      <c r="HRE11" s="391"/>
      <c r="HRF11" s="391"/>
      <c r="HRG11" s="391"/>
      <c r="HRH11" s="391"/>
      <c r="HRI11" s="391"/>
      <c r="HRJ11" s="391"/>
      <c r="HRK11" s="391"/>
      <c r="HRL11" s="391"/>
      <c r="HRM11" s="391"/>
      <c r="HRN11" s="391"/>
      <c r="HRO11" s="391"/>
      <c r="HRP11" s="391"/>
      <c r="HRQ11" s="391"/>
      <c r="HRR11" s="391"/>
      <c r="HRS11" s="391"/>
      <c r="HRT11" s="391"/>
      <c r="HRU11" s="391"/>
      <c r="HRV11" s="391"/>
      <c r="HRW11" s="391"/>
      <c r="HRX11" s="391"/>
      <c r="HRY11" s="391"/>
      <c r="HRZ11" s="391"/>
      <c r="HSA11" s="391"/>
      <c r="HSB11" s="391"/>
      <c r="HSC11" s="391"/>
      <c r="HSD11" s="391"/>
      <c r="HSE11" s="391"/>
      <c r="HSF11" s="391"/>
      <c r="HSG11" s="391"/>
      <c r="HSH11" s="391"/>
      <c r="HSI11" s="391"/>
      <c r="HSJ11" s="391"/>
      <c r="HSK11" s="391"/>
      <c r="HSL11" s="391"/>
      <c r="HSM11" s="391"/>
      <c r="HSN11" s="391"/>
      <c r="HSO11" s="391"/>
      <c r="HSP11" s="391"/>
      <c r="HSQ11" s="391"/>
      <c r="HSR11" s="391"/>
      <c r="HSS11" s="391"/>
      <c r="HST11" s="391"/>
      <c r="HSU11" s="391"/>
      <c r="HSV11" s="391"/>
      <c r="HSW11" s="391"/>
      <c r="HSX11" s="391"/>
      <c r="HSY11" s="391"/>
      <c r="HSZ11" s="391"/>
      <c r="HTA11" s="391"/>
      <c r="HTB11" s="391"/>
      <c r="HTC11" s="391"/>
      <c r="HTD11" s="391"/>
      <c r="HTE11" s="391"/>
      <c r="HTF11" s="391"/>
      <c r="HTG11" s="391"/>
      <c r="HTH11" s="391"/>
      <c r="HTI11" s="391"/>
      <c r="HTJ11" s="391"/>
      <c r="HTK11" s="391"/>
      <c r="HTL11" s="391"/>
      <c r="HTM11" s="391"/>
      <c r="HTN11" s="391"/>
      <c r="HTO11" s="391"/>
      <c r="HTP11" s="391"/>
      <c r="HTQ11" s="391"/>
      <c r="HTR11" s="391"/>
      <c r="HTS11" s="391"/>
      <c r="HTT11" s="391"/>
      <c r="HTU11" s="391"/>
      <c r="HTV11" s="391"/>
      <c r="HTW11" s="391"/>
      <c r="HTX11" s="391"/>
      <c r="HTY11" s="391"/>
      <c r="HTZ11" s="391"/>
      <c r="HUA11" s="391"/>
      <c r="HUB11" s="391"/>
      <c r="HUC11" s="391"/>
      <c r="HUD11" s="391"/>
      <c r="HUE11" s="391"/>
      <c r="HUF11" s="391"/>
      <c r="HUG11" s="391"/>
      <c r="HUH11" s="391"/>
      <c r="HUI11" s="391"/>
      <c r="HUJ11" s="391"/>
      <c r="HUK11" s="391"/>
      <c r="HUL11" s="391"/>
      <c r="HUM11" s="391"/>
      <c r="HUN11" s="391"/>
      <c r="HUO11" s="391"/>
      <c r="HUP11" s="391"/>
      <c r="HUQ11" s="391"/>
      <c r="HUR11" s="391"/>
      <c r="HUS11" s="391"/>
      <c r="HUT11" s="391"/>
      <c r="HUU11" s="391"/>
      <c r="HUV11" s="391"/>
      <c r="HUW11" s="391"/>
      <c r="HUX11" s="391"/>
      <c r="HUY11" s="391"/>
      <c r="HUZ11" s="391"/>
      <c r="HVA11" s="391"/>
      <c r="HVB11" s="391"/>
      <c r="HVC11" s="391"/>
      <c r="HVD11" s="391"/>
      <c r="HVE11" s="391"/>
      <c r="HVF11" s="391"/>
      <c r="HVG11" s="391"/>
      <c r="HVH11" s="391"/>
      <c r="HVI11" s="391"/>
      <c r="HVJ11" s="391"/>
      <c r="HVK11" s="391"/>
      <c r="HVL11" s="391"/>
      <c r="HVM11" s="391"/>
      <c r="HVN11" s="391"/>
      <c r="HVO11" s="391"/>
      <c r="HVP11" s="391"/>
      <c r="HVQ11" s="391"/>
      <c r="HVR11" s="391"/>
      <c r="HVS11" s="391"/>
      <c r="HVT11" s="391"/>
      <c r="HVU11" s="391"/>
      <c r="HVV11" s="391"/>
      <c r="HVW11" s="391"/>
      <c r="HVX11" s="391"/>
      <c r="HVY11" s="391"/>
      <c r="HVZ11" s="391"/>
      <c r="HWA11" s="391"/>
      <c r="HWB11" s="391"/>
      <c r="HWC11" s="391"/>
      <c r="HWD11" s="391"/>
      <c r="HWE11" s="391"/>
      <c r="HWF11" s="391"/>
      <c r="HWG11" s="391"/>
      <c r="HWH11" s="391"/>
      <c r="HWI11" s="391"/>
      <c r="HWJ11" s="391"/>
      <c r="HWK11" s="391"/>
      <c r="HWL11" s="391"/>
      <c r="HWM11" s="391"/>
      <c r="HWN11" s="391"/>
      <c r="HWO11" s="391"/>
      <c r="HWP11" s="391"/>
      <c r="HWQ11" s="391"/>
      <c r="HWR11" s="391"/>
      <c r="HWS11" s="391"/>
      <c r="HWT11" s="391"/>
      <c r="HWU11" s="391"/>
      <c r="HWV11" s="391"/>
      <c r="HWW11" s="391"/>
      <c r="HWX11" s="391"/>
      <c r="HWY11" s="391"/>
      <c r="HWZ11" s="391"/>
      <c r="HXA11" s="391"/>
      <c r="HXB11" s="391"/>
      <c r="HXC11" s="391"/>
      <c r="HXD11" s="391"/>
      <c r="HXE11" s="391"/>
      <c r="HXF11" s="391"/>
      <c r="HXG11" s="391"/>
      <c r="HXH11" s="391"/>
      <c r="HXI11" s="391"/>
      <c r="HXJ11" s="391"/>
      <c r="HXK11" s="391"/>
      <c r="HXL11" s="391"/>
      <c r="HXM11" s="391"/>
      <c r="HXN11" s="391"/>
      <c r="HXO11" s="391"/>
      <c r="HXP11" s="391"/>
      <c r="HXQ11" s="391"/>
      <c r="HXR11" s="391"/>
      <c r="HXS11" s="391"/>
      <c r="HXT11" s="391"/>
      <c r="HXU11" s="391"/>
      <c r="HXV11" s="391"/>
      <c r="HXW11" s="391"/>
      <c r="HXX11" s="391"/>
      <c r="HXY11" s="391"/>
      <c r="HXZ11" s="391"/>
      <c r="HYA11" s="391"/>
      <c r="HYB11" s="391"/>
      <c r="HYC11" s="391"/>
      <c r="HYD11" s="391"/>
      <c r="HYE11" s="391"/>
      <c r="HYF11" s="391"/>
      <c r="HYG11" s="391"/>
      <c r="HYH11" s="391"/>
      <c r="HYI11" s="391"/>
      <c r="HYJ11" s="391"/>
      <c r="HYK11" s="391"/>
      <c r="HYL11" s="391"/>
      <c r="HYM11" s="391"/>
      <c r="HYN11" s="391"/>
      <c r="HYO11" s="391"/>
      <c r="HYP11" s="391"/>
      <c r="HYQ11" s="391"/>
      <c r="HYR11" s="391"/>
      <c r="HYS11" s="391"/>
      <c r="HYT11" s="391"/>
      <c r="HYU11" s="391"/>
      <c r="HYV11" s="391"/>
      <c r="HYW11" s="391"/>
      <c r="HYX11" s="391"/>
      <c r="HYY11" s="391"/>
      <c r="HYZ11" s="391"/>
      <c r="HZA11" s="391"/>
      <c r="HZB11" s="391"/>
      <c r="HZC11" s="391"/>
      <c r="HZD11" s="391"/>
      <c r="HZE11" s="391"/>
      <c r="HZF11" s="391"/>
      <c r="HZG11" s="391"/>
      <c r="HZH11" s="391"/>
      <c r="HZI11" s="391"/>
      <c r="HZJ11" s="391"/>
      <c r="HZK11" s="391"/>
      <c r="HZL11" s="391"/>
      <c r="HZM11" s="391"/>
      <c r="HZN11" s="391"/>
      <c r="HZO11" s="391"/>
      <c r="HZP11" s="391"/>
      <c r="HZQ11" s="391"/>
      <c r="HZR11" s="391"/>
      <c r="HZS11" s="391"/>
      <c r="HZT11" s="391"/>
      <c r="HZU11" s="391"/>
      <c r="HZV11" s="391"/>
      <c r="HZW11" s="391"/>
      <c r="HZX11" s="391"/>
      <c r="HZY11" s="391"/>
      <c r="HZZ11" s="391"/>
      <c r="IAA11" s="391"/>
      <c r="IAB11" s="391"/>
      <c r="IAC11" s="391"/>
      <c r="IAD11" s="391"/>
      <c r="IAE11" s="391"/>
      <c r="IAF11" s="391"/>
      <c r="IAG11" s="391"/>
      <c r="IAH11" s="391"/>
      <c r="IAI11" s="391"/>
      <c r="IAJ11" s="391"/>
      <c r="IAK11" s="391"/>
      <c r="IAL11" s="391"/>
      <c r="IAM11" s="391"/>
      <c r="IAN11" s="391"/>
      <c r="IAO11" s="391"/>
      <c r="IAP11" s="391"/>
      <c r="IAQ11" s="391"/>
      <c r="IAR11" s="391"/>
      <c r="IAS11" s="391"/>
      <c r="IAT11" s="391"/>
      <c r="IAU11" s="391"/>
      <c r="IAV11" s="391"/>
      <c r="IAW11" s="391"/>
      <c r="IAX11" s="391"/>
      <c r="IAY11" s="391"/>
      <c r="IAZ11" s="391"/>
      <c r="IBA11" s="391"/>
      <c r="IBB11" s="391"/>
      <c r="IBC11" s="391"/>
      <c r="IBD11" s="391"/>
      <c r="IBE11" s="391"/>
      <c r="IBF11" s="391"/>
      <c r="IBG11" s="391"/>
      <c r="IBH11" s="391"/>
      <c r="IBI11" s="391"/>
      <c r="IBJ11" s="391"/>
      <c r="IBK11" s="391"/>
      <c r="IBL11" s="391"/>
      <c r="IBM11" s="391"/>
      <c r="IBN11" s="391"/>
      <c r="IBO11" s="391"/>
      <c r="IBP11" s="391"/>
      <c r="IBQ11" s="391"/>
      <c r="IBR11" s="391"/>
      <c r="IBS11" s="391"/>
      <c r="IBT11" s="391"/>
      <c r="IBU11" s="391"/>
      <c r="IBV11" s="391"/>
      <c r="IBW11" s="391"/>
      <c r="IBX11" s="391"/>
      <c r="IBY11" s="391"/>
      <c r="IBZ11" s="391"/>
      <c r="ICA11" s="391"/>
      <c r="ICB11" s="391"/>
      <c r="ICC11" s="391"/>
      <c r="ICD11" s="391"/>
      <c r="ICE11" s="391"/>
      <c r="ICF11" s="391"/>
      <c r="ICG11" s="391"/>
      <c r="ICH11" s="391"/>
      <c r="ICI11" s="391"/>
      <c r="ICJ11" s="391"/>
      <c r="ICK11" s="391"/>
      <c r="ICL11" s="391"/>
      <c r="ICM11" s="391"/>
      <c r="ICN11" s="391"/>
      <c r="ICO11" s="391"/>
      <c r="ICP11" s="391"/>
      <c r="ICQ11" s="391"/>
      <c r="ICR11" s="391"/>
      <c r="ICS11" s="391"/>
      <c r="ICT11" s="391"/>
      <c r="ICU11" s="391"/>
      <c r="ICV11" s="391"/>
      <c r="ICW11" s="391"/>
      <c r="ICX11" s="391"/>
      <c r="ICY11" s="391"/>
      <c r="ICZ11" s="391"/>
      <c r="IDA11" s="391"/>
      <c r="IDB11" s="391"/>
      <c r="IDC11" s="391"/>
      <c r="IDD11" s="391"/>
      <c r="IDE11" s="391"/>
      <c r="IDF11" s="391"/>
      <c r="IDG11" s="391"/>
      <c r="IDH11" s="391"/>
      <c r="IDI11" s="391"/>
      <c r="IDJ11" s="391"/>
      <c r="IDK11" s="391"/>
      <c r="IDL11" s="391"/>
      <c r="IDM11" s="391"/>
      <c r="IDN11" s="391"/>
      <c r="IDO11" s="391"/>
      <c r="IDP11" s="391"/>
      <c r="IDQ11" s="391"/>
      <c r="IDR11" s="391"/>
      <c r="IDS11" s="391"/>
      <c r="IDT11" s="391"/>
      <c r="IDU11" s="391"/>
      <c r="IDV11" s="391"/>
      <c r="IDW11" s="391"/>
      <c r="IDX11" s="391"/>
      <c r="IDY11" s="391"/>
      <c r="IDZ11" s="391"/>
      <c r="IEA11" s="391"/>
      <c r="IEB11" s="391"/>
      <c r="IEC11" s="391"/>
      <c r="IED11" s="391"/>
      <c r="IEE11" s="391"/>
      <c r="IEF11" s="391"/>
      <c r="IEG11" s="391"/>
      <c r="IEH11" s="391"/>
      <c r="IEI11" s="391"/>
      <c r="IEJ11" s="391"/>
      <c r="IEK11" s="391"/>
      <c r="IEL11" s="391"/>
      <c r="IEM11" s="391"/>
      <c r="IEN11" s="391"/>
      <c r="IEO11" s="391"/>
      <c r="IEP11" s="391"/>
      <c r="IEQ11" s="391"/>
      <c r="IER11" s="391"/>
      <c r="IES11" s="391"/>
      <c r="IET11" s="391"/>
      <c r="IEU11" s="391"/>
      <c r="IEV11" s="391"/>
      <c r="IEW11" s="391"/>
      <c r="IEX11" s="391"/>
      <c r="IEY11" s="391"/>
      <c r="IEZ11" s="391"/>
      <c r="IFA11" s="391"/>
      <c r="IFB11" s="391"/>
      <c r="IFC11" s="391"/>
      <c r="IFD11" s="391"/>
      <c r="IFE11" s="391"/>
      <c r="IFF11" s="391"/>
      <c r="IFG11" s="391"/>
      <c r="IFH11" s="391"/>
      <c r="IFI11" s="391"/>
      <c r="IFJ11" s="391"/>
      <c r="IFK11" s="391"/>
      <c r="IFL11" s="391"/>
      <c r="IFM11" s="391"/>
      <c r="IFN11" s="391"/>
      <c r="IFO11" s="391"/>
      <c r="IFP11" s="391"/>
      <c r="IFQ11" s="391"/>
      <c r="IFR11" s="391"/>
      <c r="IFS11" s="391"/>
      <c r="IFT11" s="391"/>
      <c r="IFU11" s="391"/>
      <c r="IFV11" s="391"/>
      <c r="IFW11" s="391"/>
      <c r="IFX11" s="391"/>
      <c r="IFY11" s="391"/>
      <c r="IFZ11" s="391"/>
      <c r="IGA11" s="391"/>
      <c r="IGB11" s="391"/>
      <c r="IGC11" s="391"/>
      <c r="IGD11" s="391"/>
      <c r="IGE11" s="391"/>
      <c r="IGF11" s="391"/>
      <c r="IGG11" s="391"/>
      <c r="IGH11" s="391"/>
      <c r="IGI11" s="391"/>
      <c r="IGJ11" s="391"/>
      <c r="IGK11" s="391"/>
      <c r="IGL11" s="391"/>
      <c r="IGM11" s="391"/>
      <c r="IGN11" s="391"/>
      <c r="IGO11" s="391"/>
      <c r="IGP11" s="391"/>
      <c r="IGQ11" s="391"/>
      <c r="IGR11" s="391"/>
      <c r="IGS11" s="391"/>
      <c r="IGT11" s="391"/>
      <c r="IGU11" s="391"/>
      <c r="IGV11" s="391"/>
      <c r="IGW11" s="391"/>
      <c r="IGX11" s="391"/>
      <c r="IGY11" s="391"/>
      <c r="IGZ11" s="391"/>
      <c r="IHA11" s="391"/>
      <c r="IHB11" s="391"/>
      <c r="IHC11" s="391"/>
      <c r="IHD11" s="391"/>
      <c r="IHE11" s="391"/>
      <c r="IHF11" s="391"/>
      <c r="IHG11" s="391"/>
      <c r="IHH11" s="391"/>
      <c r="IHI11" s="391"/>
      <c r="IHJ11" s="391"/>
      <c r="IHK11" s="391"/>
      <c r="IHL11" s="391"/>
      <c r="IHM11" s="391"/>
      <c r="IHN11" s="391"/>
      <c r="IHO11" s="391"/>
      <c r="IHP11" s="391"/>
      <c r="IHQ11" s="391"/>
      <c r="IHR11" s="391"/>
      <c r="IHS11" s="391"/>
      <c r="IHT11" s="391"/>
      <c r="IHU11" s="391"/>
      <c r="IHV11" s="391"/>
      <c r="IHW11" s="391"/>
      <c r="IHX11" s="391"/>
      <c r="IHY11" s="391"/>
      <c r="IHZ11" s="391"/>
      <c r="IIA11" s="391"/>
      <c r="IIB11" s="391"/>
      <c r="IIC11" s="391"/>
      <c r="IID11" s="391"/>
      <c r="IIE11" s="391"/>
      <c r="IIF11" s="391"/>
      <c r="IIG11" s="391"/>
      <c r="IIH11" s="391"/>
      <c r="III11" s="391"/>
      <c r="IIJ11" s="391"/>
      <c r="IIK11" s="391"/>
      <c r="IIL11" s="391"/>
      <c r="IIM11" s="391"/>
      <c r="IIN11" s="391"/>
      <c r="IIO11" s="391"/>
      <c r="IIP11" s="391"/>
      <c r="IIQ11" s="391"/>
      <c r="IIR11" s="391"/>
      <c r="IIS11" s="391"/>
      <c r="IIT11" s="391"/>
      <c r="IIU11" s="391"/>
      <c r="IIV11" s="391"/>
      <c r="IIW11" s="391"/>
      <c r="IIX11" s="391"/>
      <c r="IIY11" s="391"/>
      <c r="IIZ11" s="391"/>
      <c r="IJA11" s="391"/>
      <c r="IJB11" s="391"/>
      <c r="IJC11" s="391"/>
      <c r="IJD11" s="391"/>
      <c r="IJE11" s="391"/>
      <c r="IJF11" s="391"/>
      <c r="IJG11" s="391"/>
      <c r="IJH11" s="391"/>
      <c r="IJI11" s="391"/>
      <c r="IJJ11" s="391"/>
      <c r="IJK11" s="391"/>
      <c r="IJL11" s="391"/>
      <c r="IJM11" s="391"/>
      <c r="IJN11" s="391"/>
      <c r="IJO11" s="391"/>
      <c r="IJP11" s="391"/>
      <c r="IJQ11" s="391"/>
      <c r="IJR11" s="391"/>
      <c r="IJS11" s="391"/>
      <c r="IJT11" s="391"/>
      <c r="IJU11" s="391"/>
      <c r="IJV11" s="391"/>
      <c r="IJW11" s="391"/>
      <c r="IJX11" s="391"/>
      <c r="IJY11" s="391"/>
      <c r="IJZ11" s="391"/>
      <c r="IKA11" s="391"/>
      <c r="IKB11" s="391"/>
      <c r="IKC11" s="391"/>
      <c r="IKD11" s="391"/>
      <c r="IKE11" s="391"/>
      <c r="IKF11" s="391"/>
      <c r="IKG11" s="391"/>
      <c r="IKH11" s="391"/>
      <c r="IKI11" s="391"/>
      <c r="IKJ11" s="391"/>
      <c r="IKK11" s="391"/>
      <c r="IKL11" s="391"/>
      <c r="IKM11" s="391"/>
      <c r="IKN11" s="391"/>
      <c r="IKO11" s="391"/>
      <c r="IKP11" s="391"/>
      <c r="IKQ11" s="391"/>
      <c r="IKR11" s="391"/>
      <c r="IKS11" s="391"/>
      <c r="IKT11" s="391"/>
      <c r="IKU11" s="391"/>
      <c r="IKV11" s="391"/>
      <c r="IKW11" s="391"/>
      <c r="IKX11" s="391"/>
      <c r="IKY11" s="391"/>
      <c r="IKZ11" s="391"/>
      <c r="ILA11" s="391"/>
      <c r="ILB11" s="391"/>
      <c r="ILC11" s="391"/>
      <c r="ILD11" s="391"/>
      <c r="ILE11" s="391"/>
      <c r="ILF11" s="391"/>
      <c r="ILG11" s="391"/>
      <c r="ILH11" s="391"/>
      <c r="ILI11" s="391"/>
      <c r="ILJ11" s="391"/>
      <c r="ILK11" s="391"/>
      <c r="ILL11" s="391"/>
      <c r="ILM11" s="391"/>
      <c r="ILN11" s="391"/>
      <c r="ILO11" s="391"/>
      <c r="ILP11" s="391"/>
      <c r="ILQ11" s="391"/>
      <c r="ILR11" s="391"/>
      <c r="ILS11" s="391"/>
      <c r="ILT11" s="391"/>
      <c r="ILU11" s="391"/>
      <c r="ILV11" s="391"/>
      <c r="ILW11" s="391"/>
      <c r="ILX11" s="391"/>
      <c r="ILY11" s="391"/>
      <c r="ILZ11" s="391"/>
      <c r="IMA11" s="391"/>
      <c r="IMB11" s="391"/>
      <c r="IMC11" s="391"/>
      <c r="IMD11" s="391"/>
      <c r="IME11" s="391"/>
      <c r="IMF11" s="391"/>
      <c r="IMG11" s="391"/>
      <c r="IMH11" s="391"/>
      <c r="IMI11" s="391"/>
      <c r="IMJ11" s="391"/>
      <c r="IMK11" s="391"/>
      <c r="IML11" s="391"/>
      <c r="IMM11" s="391"/>
      <c r="IMN11" s="391"/>
      <c r="IMO11" s="391"/>
      <c r="IMP11" s="391"/>
      <c r="IMQ11" s="391"/>
      <c r="IMR11" s="391"/>
      <c r="IMS11" s="391"/>
      <c r="IMT11" s="391"/>
      <c r="IMU11" s="391"/>
      <c r="IMV11" s="391"/>
      <c r="IMW11" s="391"/>
      <c r="IMX11" s="391"/>
      <c r="IMY11" s="391"/>
      <c r="IMZ11" s="391"/>
      <c r="INA11" s="391"/>
      <c r="INB11" s="391"/>
      <c r="INC11" s="391"/>
      <c r="IND11" s="391"/>
      <c r="INE11" s="391"/>
      <c r="INF11" s="391"/>
      <c r="ING11" s="391"/>
      <c r="INH11" s="391"/>
      <c r="INI11" s="391"/>
      <c r="INJ11" s="391"/>
      <c r="INK11" s="391"/>
      <c r="INL11" s="391"/>
      <c r="INM11" s="391"/>
      <c r="INN11" s="391"/>
      <c r="INO11" s="391"/>
      <c r="INP11" s="391"/>
      <c r="INQ11" s="391"/>
      <c r="INR11" s="391"/>
      <c r="INS11" s="391"/>
      <c r="INT11" s="391"/>
      <c r="INU11" s="391"/>
      <c r="INV11" s="391"/>
      <c r="INW11" s="391"/>
      <c r="INX11" s="391"/>
      <c r="INY11" s="391"/>
      <c r="INZ11" s="391"/>
      <c r="IOA11" s="391"/>
      <c r="IOB11" s="391"/>
      <c r="IOC11" s="391"/>
      <c r="IOD11" s="391"/>
      <c r="IOE11" s="391"/>
      <c r="IOF11" s="391"/>
      <c r="IOG11" s="391"/>
      <c r="IOH11" s="391"/>
      <c r="IOI11" s="391"/>
      <c r="IOJ11" s="391"/>
      <c r="IOK11" s="391"/>
      <c r="IOL11" s="391"/>
      <c r="IOM11" s="391"/>
      <c r="ION11" s="391"/>
      <c r="IOO11" s="391"/>
      <c r="IOP11" s="391"/>
      <c r="IOQ11" s="391"/>
      <c r="IOR11" s="391"/>
      <c r="IOS11" s="391"/>
      <c r="IOT11" s="391"/>
      <c r="IOU11" s="391"/>
      <c r="IOV11" s="391"/>
      <c r="IOW11" s="391"/>
      <c r="IOX11" s="391"/>
      <c r="IOY11" s="391"/>
      <c r="IOZ11" s="391"/>
      <c r="IPA11" s="391"/>
      <c r="IPB11" s="391"/>
      <c r="IPC11" s="391"/>
      <c r="IPD11" s="391"/>
      <c r="IPE11" s="391"/>
      <c r="IPF11" s="391"/>
      <c r="IPG11" s="391"/>
      <c r="IPH11" s="391"/>
      <c r="IPI11" s="391"/>
      <c r="IPJ11" s="391"/>
      <c r="IPK11" s="391"/>
      <c r="IPL11" s="391"/>
      <c r="IPM11" s="391"/>
      <c r="IPN11" s="391"/>
      <c r="IPO11" s="391"/>
      <c r="IPP11" s="391"/>
      <c r="IPQ11" s="391"/>
      <c r="IPR11" s="391"/>
      <c r="IPS11" s="391"/>
      <c r="IPT11" s="391"/>
      <c r="IPU11" s="391"/>
      <c r="IPV11" s="391"/>
      <c r="IPW11" s="391"/>
      <c r="IPX11" s="391"/>
      <c r="IPY11" s="391"/>
      <c r="IPZ11" s="391"/>
      <c r="IQA11" s="391"/>
      <c r="IQB11" s="391"/>
      <c r="IQC11" s="391"/>
      <c r="IQD11" s="391"/>
      <c r="IQE11" s="391"/>
      <c r="IQF11" s="391"/>
      <c r="IQG11" s="391"/>
      <c r="IQH11" s="391"/>
      <c r="IQI11" s="391"/>
      <c r="IQJ11" s="391"/>
      <c r="IQK11" s="391"/>
      <c r="IQL11" s="391"/>
      <c r="IQM11" s="391"/>
      <c r="IQN11" s="391"/>
      <c r="IQO11" s="391"/>
      <c r="IQP11" s="391"/>
      <c r="IQQ11" s="391"/>
      <c r="IQR11" s="391"/>
      <c r="IQS11" s="391"/>
      <c r="IQT11" s="391"/>
      <c r="IQU11" s="391"/>
      <c r="IQV11" s="391"/>
      <c r="IQW11" s="391"/>
      <c r="IQX11" s="391"/>
      <c r="IQY11" s="391"/>
      <c r="IQZ11" s="391"/>
      <c r="IRA11" s="391"/>
      <c r="IRB11" s="391"/>
      <c r="IRC11" s="391"/>
      <c r="IRD11" s="391"/>
      <c r="IRE11" s="391"/>
      <c r="IRF11" s="391"/>
      <c r="IRG11" s="391"/>
      <c r="IRH11" s="391"/>
      <c r="IRI11" s="391"/>
      <c r="IRJ11" s="391"/>
      <c r="IRK11" s="391"/>
      <c r="IRL11" s="391"/>
      <c r="IRM11" s="391"/>
      <c r="IRN11" s="391"/>
      <c r="IRO11" s="391"/>
      <c r="IRP11" s="391"/>
      <c r="IRQ11" s="391"/>
      <c r="IRR11" s="391"/>
      <c r="IRS11" s="391"/>
      <c r="IRT11" s="391"/>
      <c r="IRU11" s="391"/>
      <c r="IRV11" s="391"/>
      <c r="IRW11" s="391"/>
      <c r="IRX11" s="391"/>
      <c r="IRY11" s="391"/>
      <c r="IRZ11" s="391"/>
      <c r="ISA11" s="391"/>
      <c r="ISB11" s="391"/>
      <c r="ISC11" s="391"/>
      <c r="ISD11" s="391"/>
      <c r="ISE11" s="391"/>
      <c r="ISF11" s="391"/>
      <c r="ISG11" s="391"/>
      <c r="ISH11" s="391"/>
      <c r="ISI11" s="391"/>
      <c r="ISJ11" s="391"/>
      <c r="ISK11" s="391"/>
      <c r="ISL11" s="391"/>
      <c r="ISM11" s="391"/>
      <c r="ISN11" s="391"/>
      <c r="ISO11" s="391"/>
      <c r="ISP11" s="391"/>
      <c r="ISQ11" s="391"/>
      <c r="ISR11" s="391"/>
      <c r="ISS11" s="391"/>
      <c r="IST11" s="391"/>
      <c r="ISU11" s="391"/>
      <c r="ISV11" s="391"/>
      <c r="ISW11" s="391"/>
      <c r="ISX11" s="391"/>
      <c r="ISY11" s="391"/>
      <c r="ISZ11" s="391"/>
      <c r="ITA11" s="391"/>
      <c r="ITB11" s="391"/>
      <c r="ITC11" s="391"/>
      <c r="ITD11" s="391"/>
      <c r="ITE11" s="391"/>
      <c r="ITF11" s="391"/>
      <c r="ITG11" s="391"/>
      <c r="ITH11" s="391"/>
      <c r="ITI11" s="391"/>
      <c r="ITJ11" s="391"/>
      <c r="ITK11" s="391"/>
      <c r="ITL11" s="391"/>
      <c r="ITM11" s="391"/>
      <c r="ITN11" s="391"/>
      <c r="ITO11" s="391"/>
      <c r="ITP11" s="391"/>
      <c r="ITQ11" s="391"/>
      <c r="ITR11" s="391"/>
      <c r="ITS11" s="391"/>
      <c r="ITT11" s="391"/>
      <c r="ITU11" s="391"/>
      <c r="ITV11" s="391"/>
      <c r="ITW11" s="391"/>
      <c r="ITX11" s="391"/>
      <c r="ITY11" s="391"/>
      <c r="ITZ11" s="391"/>
      <c r="IUA11" s="391"/>
      <c r="IUB11" s="391"/>
      <c r="IUC11" s="391"/>
      <c r="IUD11" s="391"/>
      <c r="IUE11" s="391"/>
      <c r="IUF11" s="391"/>
      <c r="IUG11" s="391"/>
      <c r="IUH11" s="391"/>
      <c r="IUI11" s="391"/>
      <c r="IUJ11" s="391"/>
      <c r="IUK11" s="391"/>
      <c r="IUL11" s="391"/>
      <c r="IUM11" s="391"/>
      <c r="IUN11" s="391"/>
      <c r="IUO11" s="391"/>
      <c r="IUP11" s="391"/>
      <c r="IUQ11" s="391"/>
      <c r="IUR11" s="391"/>
      <c r="IUS11" s="391"/>
      <c r="IUT11" s="391"/>
      <c r="IUU11" s="391"/>
      <c r="IUV11" s="391"/>
      <c r="IUW11" s="391"/>
      <c r="IUX11" s="391"/>
      <c r="IUY11" s="391"/>
      <c r="IUZ11" s="391"/>
      <c r="IVA11" s="391"/>
      <c r="IVB11" s="391"/>
      <c r="IVC11" s="391"/>
      <c r="IVD11" s="391"/>
      <c r="IVE11" s="391"/>
      <c r="IVF11" s="391"/>
      <c r="IVG11" s="391"/>
      <c r="IVH11" s="391"/>
      <c r="IVI11" s="391"/>
      <c r="IVJ11" s="391"/>
      <c r="IVK11" s="391"/>
      <c r="IVL11" s="391"/>
      <c r="IVM11" s="391"/>
      <c r="IVN11" s="391"/>
      <c r="IVO11" s="391"/>
      <c r="IVP11" s="391"/>
      <c r="IVQ11" s="391"/>
      <c r="IVR11" s="391"/>
      <c r="IVS11" s="391"/>
      <c r="IVT11" s="391"/>
      <c r="IVU11" s="391"/>
      <c r="IVV11" s="391"/>
      <c r="IVW11" s="391"/>
      <c r="IVX11" s="391"/>
      <c r="IVY11" s="391"/>
      <c r="IVZ11" s="391"/>
      <c r="IWA11" s="391"/>
      <c r="IWB11" s="391"/>
      <c r="IWC11" s="391"/>
      <c r="IWD11" s="391"/>
      <c r="IWE11" s="391"/>
      <c r="IWF11" s="391"/>
      <c r="IWG11" s="391"/>
      <c r="IWH11" s="391"/>
      <c r="IWI11" s="391"/>
      <c r="IWJ11" s="391"/>
      <c r="IWK11" s="391"/>
      <c r="IWL11" s="391"/>
      <c r="IWM11" s="391"/>
      <c r="IWN11" s="391"/>
      <c r="IWO11" s="391"/>
      <c r="IWP11" s="391"/>
      <c r="IWQ11" s="391"/>
      <c r="IWR11" s="391"/>
      <c r="IWS11" s="391"/>
      <c r="IWT11" s="391"/>
      <c r="IWU11" s="391"/>
      <c r="IWV11" s="391"/>
      <c r="IWW11" s="391"/>
      <c r="IWX11" s="391"/>
      <c r="IWY11" s="391"/>
      <c r="IWZ11" s="391"/>
      <c r="IXA11" s="391"/>
      <c r="IXB11" s="391"/>
      <c r="IXC11" s="391"/>
      <c r="IXD11" s="391"/>
      <c r="IXE11" s="391"/>
      <c r="IXF11" s="391"/>
      <c r="IXG11" s="391"/>
      <c r="IXH11" s="391"/>
      <c r="IXI11" s="391"/>
      <c r="IXJ11" s="391"/>
      <c r="IXK11" s="391"/>
      <c r="IXL11" s="391"/>
      <c r="IXM11" s="391"/>
      <c r="IXN11" s="391"/>
      <c r="IXO11" s="391"/>
      <c r="IXP11" s="391"/>
      <c r="IXQ11" s="391"/>
      <c r="IXR11" s="391"/>
      <c r="IXS11" s="391"/>
      <c r="IXT11" s="391"/>
      <c r="IXU11" s="391"/>
      <c r="IXV11" s="391"/>
      <c r="IXW11" s="391"/>
      <c r="IXX11" s="391"/>
      <c r="IXY11" s="391"/>
      <c r="IXZ11" s="391"/>
      <c r="IYA11" s="391"/>
      <c r="IYB11" s="391"/>
      <c r="IYC11" s="391"/>
      <c r="IYD11" s="391"/>
      <c r="IYE11" s="391"/>
      <c r="IYF11" s="391"/>
      <c r="IYG11" s="391"/>
      <c r="IYH11" s="391"/>
      <c r="IYI11" s="391"/>
      <c r="IYJ11" s="391"/>
      <c r="IYK11" s="391"/>
      <c r="IYL11" s="391"/>
      <c r="IYM11" s="391"/>
      <c r="IYN11" s="391"/>
      <c r="IYO11" s="391"/>
      <c r="IYP11" s="391"/>
      <c r="IYQ11" s="391"/>
      <c r="IYR11" s="391"/>
      <c r="IYS11" s="391"/>
      <c r="IYT11" s="391"/>
      <c r="IYU11" s="391"/>
      <c r="IYV11" s="391"/>
      <c r="IYW11" s="391"/>
      <c r="IYX11" s="391"/>
      <c r="IYY11" s="391"/>
      <c r="IYZ11" s="391"/>
      <c r="IZA11" s="391"/>
      <c r="IZB11" s="391"/>
      <c r="IZC11" s="391"/>
      <c r="IZD11" s="391"/>
      <c r="IZE11" s="391"/>
      <c r="IZF11" s="391"/>
      <c r="IZG11" s="391"/>
      <c r="IZH11" s="391"/>
      <c r="IZI11" s="391"/>
      <c r="IZJ11" s="391"/>
      <c r="IZK11" s="391"/>
      <c r="IZL11" s="391"/>
      <c r="IZM11" s="391"/>
      <c r="IZN11" s="391"/>
      <c r="IZO11" s="391"/>
      <c r="IZP11" s="391"/>
      <c r="IZQ11" s="391"/>
      <c r="IZR11" s="391"/>
      <c r="IZS11" s="391"/>
      <c r="IZT11" s="391"/>
      <c r="IZU11" s="391"/>
      <c r="IZV11" s="391"/>
      <c r="IZW11" s="391"/>
      <c r="IZX11" s="391"/>
      <c r="IZY11" s="391"/>
      <c r="IZZ11" s="391"/>
      <c r="JAA11" s="391"/>
      <c r="JAB11" s="391"/>
      <c r="JAC11" s="391"/>
      <c r="JAD11" s="391"/>
      <c r="JAE11" s="391"/>
      <c r="JAF11" s="391"/>
      <c r="JAG11" s="391"/>
      <c r="JAH11" s="391"/>
      <c r="JAI11" s="391"/>
      <c r="JAJ11" s="391"/>
      <c r="JAK11" s="391"/>
      <c r="JAL11" s="391"/>
      <c r="JAM11" s="391"/>
      <c r="JAN11" s="391"/>
      <c r="JAO11" s="391"/>
      <c r="JAP11" s="391"/>
      <c r="JAQ11" s="391"/>
      <c r="JAR11" s="391"/>
      <c r="JAS11" s="391"/>
      <c r="JAT11" s="391"/>
      <c r="JAU11" s="391"/>
      <c r="JAV11" s="391"/>
      <c r="JAW11" s="391"/>
      <c r="JAX11" s="391"/>
      <c r="JAY11" s="391"/>
      <c r="JAZ11" s="391"/>
      <c r="JBA11" s="391"/>
      <c r="JBB11" s="391"/>
      <c r="JBC11" s="391"/>
      <c r="JBD11" s="391"/>
      <c r="JBE11" s="391"/>
      <c r="JBF11" s="391"/>
      <c r="JBG11" s="391"/>
      <c r="JBH11" s="391"/>
      <c r="JBI11" s="391"/>
      <c r="JBJ11" s="391"/>
      <c r="JBK11" s="391"/>
      <c r="JBL11" s="391"/>
      <c r="JBM11" s="391"/>
      <c r="JBN11" s="391"/>
      <c r="JBO11" s="391"/>
      <c r="JBP11" s="391"/>
      <c r="JBQ11" s="391"/>
      <c r="JBR11" s="391"/>
      <c r="JBS11" s="391"/>
      <c r="JBT11" s="391"/>
      <c r="JBU11" s="391"/>
      <c r="JBV11" s="391"/>
      <c r="JBW11" s="391"/>
      <c r="JBX11" s="391"/>
      <c r="JBY11" s="391"/>
      <c r="JBZ11" s="391"/>
      <c r="JCA11" s="391"/>
      <c r="JCB11" s="391"/>
      <c r="JCC11" s="391"/>
      <c r="JCD11" s="391"/>
      <c r="JCE11" s="391"/>
      <c r="JCF11" s="391"/>
      <c r="JCG11" s="391"/>
      <c r="JCH11" s="391"/>
      <c r="JCI11" s="391"/>
      <c r="JCJ11" s="391"/>
      <c r="JCK11" s="391"/>
      <c r="JCL11" s="391"/>
      <c r="JCM11" s="391"/>
      <c r="JCN11" s="391"/>
      <c r="JCO11" s="391"/>
      <c r="JCP11" s="391"/>
      <c r="JCQ11" s="391"/>
      <c r="JCR11" s="391"/>
      <c r="JCS11" s="391"/>
      <c r="JCT11" s="391"/>
      <c r="JCU11" s="391"/>
      <c r="JCV11" s="391"/>
      <c r="JCW11" s="391"/>
      <c r="JCX11" s="391"/>
      <c r="JCY11" s="391"/>
      <c r="JCZ11" s="391"/>
      <c r="JDA11" s="391"/>
      <c r="JDB11" s="391"/>
      <c r="JDC11" s="391"/>
      <c r="JDD11" s="391"/>
      <c r="JDE11" s="391"/>
      <c r="JDF11" s="391"/>
      <c r="JDG11" s="391"/>
      <c r="JDH11" s="391"/>
      <c r="JDI11" s="391"/>
      <c r="JDJ11" s="391"/>
      <c r="JDK11" s="391"/>
      <c r="JDL11" s="391"/>
      <c r="JDM11" s="391"/>
      <c r="JDN11" s="391"/>
      <c r="JDO11" s="391"/>
      <c r="JDP11" s="391"/>
      <c r="JDQ11" s="391"/>
      <c r="JDR11" s="391"/>
      <c r="JDS11" s="391"/>
      <c r="JDT11" s="391"/>
      <c r="JDU11" s="391"/>
      <c r="JDV11" s="391"/>
      <c r="JDW11" s="391"/>
      <c r="JDX11" s="391"/>
      <c r="JDY11" s="391"/>
      <c r="JDZ11" s="391"/>
      <c r="JEA11" s="391"/>
      <c r="JEB11" s="391"/>
      <c r="JEC11" s="391"/>
      <c r="JED11" s="391"/>
      <c r="JEE11" s="391"/>
      <c r="JEF11" s="391"/>
      <c r="JEG11" s="391"/>
      <c r="JEH11" s="391"/>
      <c r="JEI11" s="391"/>
      <c r="JEJ11" s="391"/>
      <c r="JEK11" s="391"/>
      <c r="JEL11" s="391"/>
      <c r="JEM11" s="391"/>
      <c r="JEN11" s="391"/>
      <c r="JEO11" s="391"/>
      <c r="JEP11" s="391"/>
      <c r="JEQ11" s="391"/>
      <c r="JER11" s="391"/>
      <c r="JES11" s="391"/>
      <c r="JET11" s="391"/>
      <c r="JEU11" s="391"/>
      <c r="JEV11" s="391"/>
      <c r="JEW11" s="391"/>
      <c r="JEX11" s="391"/>
      <c r="JEY11" s="391"/>
      <c r="JEZ11" s="391"/>
      <c r="JFA11" s="391"/>
      <c r="JFB11" s="391"/>
      <c r="JFC11" s="391"/>
      <c r="JFD11" s="391"/>
      <c r="JFE11" s="391"/>
      <c r="JFF11" s="391"/>
      <c r="JFG11" s="391"/>
      <c r="JFH11" s="391"/>
      <c r="JFI11" s="391"/>
      <c r="JFJ11" s="391"/>
      <c r="JFK11" s="391"/>
      <c r="JFL11" s="391"/>
      <c r="JFM11" s="391"/>
      <c r="JFN11" s="391"/>
      <c r="JFO11" s="391"/>
      <c r="JFP11" s="391"/>
      <c r="JFQ11" s="391"/>
      <c r="JFR11" s="391"/>
      <c r="JFS11" s="391"/>
      <c r="JFT11" s="391"/>
      <c r="JFU11" s="391"/>
      <c r="JFV11" s="391"/>
      <c r="JFW11" s="391"/>
      <c r="JFX11" s="391"/>
      <c r="JFY11" s="391"/>
      <c r="JFZ11" s="391"/>
      <c r="JGA11" s="391"/>
      <c r="JGB11" s="391"/>
      <c r="JGC11" s="391"/>
      <c r="JGD11" s="391"/>
      <c r="JGE11" s="391"/>
      <c r="JGF11" s="391"/>
      <c r="JGG11" s="391"/>
      <c r="JGH11" s="391"/>
      <c r="JGI11" s="391"/>
      <c r="JGJ11" s="391"/>
      <c r="JGK11" s="391"/>
      <c r="JGL11" s="391"/>
      <c r="JGM11" s="391"/>
      <c r="JGN11" s="391"/>
      <c r="JGO11" s="391"/>
      <c r="JGP11" s="391"/>
      <c r="JGQ11" s="391"/>
      <c r="JGR11" s="391"/>
      <c r="JGS11" s="391"/>
      <c r="JGT11" s="391"/>
      <c r="JGU11" s="391"/>
      <c r="JGV11" s="391"/>
      <c r="JGW11" s="391"/>
      <c r="JGX11" s="391"/>
      <c r="JGY11" s="391"/>
      <c r="JGZ11" s="391"/>
      <c r="JHA11" s="391"/>
      <c r="JHB11" s="391"/>
      <c r="JHC11" s="391"/>
      <c r="JHD11" s="391"/>
      <c r="JHE11" s="391"/>
      <c r="JHF11" s="391"/>
      <c r="JHG11" s="391"/>
      <c r="JHH11" s="391"/>
      <c r="JHI11" s="391"/>
      <c r="JHJ11" s="391"/>
      <c r="JHK11" s="391"/>
      <c r="JHL11" s="391"/>
      <c r="JHM11" s="391"/>
      <c r="JHN11" s="391"/>
      <c r="JHO11" s="391"/>
      <c r="JHP11" s="391"/>
      <c r="JHQ11" s="391"/>
      <c r="JHR11" s="391"/>
      <c r="JHS11" s="391"/>
      <c r="JHT11" s="391"/>
      <c r="JHU11" s="391"/>
      <c r="JHV11" s="391"/>
      <c r="JHW11" s="391"/>
      <c r="JHX11" s="391"/>
      <c r="JHY11" s="391"/>
      <c r="JHZ11" s="391"/>
      <c r="JIA11" s="391"/>
      <c r="JIB11" s="391"/>
      <c r="JIC11" s="391"/>
      <c r="JID11" s="391"/>
      <c r="JIE11" s="391"/>
      <c r="JIF11" s="391"/>
      <c r="JIG11" s="391"/>
      <c r="JIH11" s="391"/>
      <c r="JII11" s="391"/>
      <c r="JIJ11" s="391"/>
      <c r="JIK11" s="391"/>
      <c r="JIL11" s="391"/>
      <c r="JIM11" s="391"/>
      <c r="JIN11" s="391"/>
      <c r="JIO11" s="391"/>
      <c r="JIP11" s="391"/>
      <c r="JIQ11" s="391"/>
      <c r="JIR11" s="391"/>
      <c r="JIS11" s="391"/>
      <c r="JIT11" s="391"/>
      <c r="JIU11" s="391"/>
      <c r="JIV11" s="391"/>
      <c r="JIW11" s="391"/>
      <c r="JIX11" s="391"/>
      <c r="JIY11" s="391"/>
      <c r="JIZ11" s="391"/>
      <c r="JJA11" s="391"/>
      <c r="JJB11" s="391"/>
      <c r="JJC11" s="391"/>
      <c r="JJD11" s="391"/>
      <c r="JJE11" s="391"/>
      <c r="JJF11" s="391"/>
      <c r="JJG11" s="391"/>
      <c r="JJH11" s="391"/>
      <c r="JJI11" s="391"/>
      <c r="JJJ11" s="391"/>
      <c r="JJK11" s="391"/>
      <c r="JJL11" s="391"/>
      <c r="JJM11" s="391"/>
      <c r="JJN11" s="391"/>
      <c r="JJO11" s="391"/>
      <c r="JJP11" s="391"/>
      <c r="JJQ11" s="391"/>
      <c r="JJR11" s="391"/>
      <c r="JJS11" s="391"/>
      <c r="JJT11" s="391"/>
      <c r="JJU11" s="391"/>
      <c r="JJV11" s="391"/>
      <c r="JJW11" s="391"/>
      <c r="JJX11" s="391"/>
      <c r="JJY11" s="391"/>
      <c r="JJZ11" s="391"/>
      <c r="JKA11" s="391"/>
      <c r="JKB11" s="391"/>
      <c r="JKC11" s="391"/>
      <c r="JKD11" s="391"/>
      <c r="JKE11" s="391"/>
      <c r="JKF11" s="391"/>
      <c r="JKG11" s="391"/>
      <c r="JKH11" s="391"/>
      <c r="JKI11" s="391"/>
      <c r="JKJ11" s="391"/>
      <c r="JKK11" s="391"/>
      <c r="JKL11" s="391"/>
      <c r="JKM11" s="391"/>
      <c r="JKN11" s="391"/>
      <c r="JKO11" s="391"/>
      <c r="JKP11" s="391"/>
      <c r="JKQ11" s="391"/>
      <c r="JKR11" s="391"/>
      <c r="JKS11" s="391"/>
      <c r="JKT11" s="391"/>
      <c r="JKU11" s="391"/>
      <c r="JKV11" s="391"/>
      <c r="JKW11" s="391"/>
      <c r="JKX11" s="391"/>
      <c r="JKY11" s="391"/>
      <c r="JKZ11" s="391"/>
      <c r="JLA11" s="391"/>
      <c r="JLB11" s="391"/>
      <c r="JLC11" s="391"/>
      <c r="JLD11" s="391"/>
      <c r="JLE11" s="391"/>
      <c r="JLF11" s="391"/>
      <c r="JLG11" s="391"/>
      <c r="JLH11" s="391"/>
      <c r="JLI11" s="391"/>
      <c r="JLJ11" s="391"/>
      <c r="JLK11" s="391"/>
      <c r="JLL11" s="391"/>
      <c r="JLM11" s="391"/>
      <c r="JLN11" s="391"/>
      <c r="JLO11" s="391"/>
      <c r="JLP11" s="391"/>
      <c r="JLQ11" s="391"/>
      <c r="JLR11" s="391"/>
      <c r="JLS11" s="391"/>
      <c r="JLT11" s="391"/>
      <c r="JLU11" s="391"/>
      <c r="JLV11" s="391"/>
      <c r="JLW11" s="391"/>
      <c r="JLX11" s="391"/>
      <c r="JLY11" s="391"/>
      <c r="JLZ11" s="391"/>
      <c r="JMA11" s="391"/>
      <c r="JMB11" s="391"/>
      <c r="JMC11" s="391"/>
      <c r="JMD11" s="391"/>
      <c r="JME11" s="391"/>
      <c r="JMF11" s="391"/>
      <c r="JMG11" s="391"/>
      <c r="JMH11" s="391"/>
      <c r="JMI11" s="391"/>
      <c r="JMJ11" s="391"/>
      <c r="JMK11" s="391"/>
      <c r="JML11" s="391"/>
      <c r="JMM11" s="391"/>
      <c r="JMN11" s="391"/>
      <c r="JMO11" s="391"/>
      <c r="JMP11" s="391"/>
      <c r="JMQ11" s="391"/>
      <c r="JMR11" s="391"/>
      <c r="JMS11" s="391"/>
      <c r="JMT11" s="391"/>
      <c r="JMU11" s="391"/>
      <c r="JMV11" s="391"/>
      <c r="JMW11" s="391"/>
      <c r="JMX11" s="391"/>
      <c r="JMY11" s="391"/>
      <c r="JMZ11" s="391"/>
      <c r="JNA11" s="391"/>
      <c r="JNB11" s="391"/>
      <c r="JNC11" s="391"/>
      <c r="JND11" s="391"/>
      <c r="JNE11" s="391"/>
      <c r="JNF11" s="391"/>
      <c r="JNG11" s="391"/>
      <c r="JNH11" s="391"/>
      <c r="JNI11" s="391"/>
      <c r="JNJ11" s="391"/>
      <c r="JNK11" s="391"/>
      <c r="JNL11" s="391"/>
      <c r="JNM11" s="391"/>
      <c r="JNN11" s="391"/>
      <c r="JNO11" s="391"/>
      <c r="JNP11" s="391"/>
      <c r="JNQ11" s="391"/>
      <c r="JNR11" s="391"/>
      <c r="JNS11" s="391"/>
      <c r="JNT11" s="391"/>
      <c r="JNU11" s="391"/>
      <c r="JNV11" s="391"/>
      <c r="JNW11" s="391"/>
      <c r="JNX11" s="391"/>
      <c r="JNY11" s="391"/>
      <c r="JNZ11" s="391"/>
      <c r="JOA11" s="391"/>
      <c r="JOB11" s="391"/>
      <c r="JOC11" s="391"/>
      <c r="JOD11" s="391"/>
      <c r="JOE11" s="391"/>
      <c r="JOF11" s="391"/>
      <c r="JOG11" s="391"/>
      <c r="JOH11" s="391"/>
      <c r="JOI11" s="391"/>
      <c r="JOJ11" s="391"/>
      <c r="JOK11" s="391"/>
      <c r="JOL11" s="391"/>
      <c r="JOM11" s="391"/>
      <c r="JON11" s="391"/>
      <c r="JOO11" s="391"/>
      <c r="JOP11" s="391"/>
      <c r="JOQ11" s="391"/>
      <c r="JOR11" s="391"/>
      <c r="JOS11" s="391"/>
      <c r="JOT11" s="391"/>
      <c r="JOU11" s="391"/>
      <c r="JOV11" s="391"/>
      <c r="JOW11" s="391"/>
      <c r="JOX11" s="391"/>
      <c r="JOY11" s="391"/>
      <c r="JOZ11" s="391"/>
      <c r="JPA11" s="391"/>
      <c r="JPB11" s="391"/>
      <c r="JPC11" s="391"/>
      <c r="JPD11" s="391"/>
      <c r="JPE11" s="391"/>
      <c r="JPF11" s="391"/>
      <c r="JPG11" s="391"/>
      <c r="JPH11" s="391"/>
      <c r="JPI11" s="391"/>
      <c r="JPJ11" s="391"/>
      <c r="JPK11" s="391"/>
      <c r="JPL11" s="391"/>
      <c r="JPM11" s="391"/>
      <c r="JPN11" s="391"/>
      <c r="JPO11" s="391"/>
      <c r="JPP11" s="391"/>
      <c r="JPQ11" s="391"/>
      <c r="JPR11" s="391"/>
      <c r="JPS11" s="391"/>
      <c r="JPT11" s="391"/>
      <c r="JPU11" s="391"/>
      <c r="JPV11" s="391"/>
      <c r="JPW11" s="391"/>
      <c r="JPX11" s="391"/>
      <c r="JPY11" s="391"/>
      <c r="JPZ11" s="391"/>
      <c r="JQA11" s="391"/>
      <c r="JQB11" s="391"/>
      <c r="JQC11" s="391"/>
      <c r="JQD11" s="391"/>
      <c r="JQE11" s="391"/>
      <c r="JQF11" s="391"/>
      <c r="JQG11" s="391"/>
      <c r="JQH11" s="391"/>
      <c r="JQI11" s="391"/>
      <c r="JQJ11" s="391"/>
      <c r="JQK11" s="391"/>
      <c r="JQL11" s="391"/>
      <c r="JQM11" s="391"/>
      <c r="JQN11" s="391"/>
      <c r="JQO11" s="391"/>
      <c r="JQP11" s="391"/>
      <c r="JQQ11" s="391"/>
      <c r="JQR11" s="391"/>
      <c r="JQS11" s="391"/>
      <c r="JQT11" s="391"/>
      <c r="JQU11" s="391"/>
      <c r="JQV11" s="391"/>
      <c r="JQW11" s="391"/>
      <c r="JQX11" s="391"/>
      <c r="JQY11" s="391"/>
      <c r="JQZ11" s="391"/>
      <c r="JRA11" s="391"/>
      <c r="JRB11" s="391"/>
      <c r="JRC11" s="391"/>
      <c r="JRD11" s="391"/>
      <c r="JRE11" s="391"/>
      <c r="JRF11" s="391"/>
      <c r="JRG11" s="391"/>
      <c r="JRH11" s="391"/>
      <c r="JRI11" s="391"/>
      <c r="JRJ11" s="391"/>
      <c r="JRK11" s="391"/>
      <c r="JRL11" s="391"/>
      <c r="JRM11" s="391"/>
      <c r="JRN11" s="391"/>
      <c r="JRO11" s="391"/>
      <c r="JRP11" s="391"/>
      <c r="JRQ11" s="391"/>
      <c r="JRR11" s="391"/>
      <c r="JRS11" s="391"/>
      <c r="JRT11" s="391"/>
      <c r="JRU11" s="391"/>
      <c r="JRV11" s="391"/>
      <c r="JRW11" s="391"/>
      <c r="JRX11" s="391"/>
      <c r="JRY11" s="391"/>
      <c r="JRZ11" s="391"/>
      <c r="JSA11" s="391"/>
      <c r="JSB11" s="391"/>
      <c r="JSC11" s="391"/>
      <c r="JSD11" s="391"/>
      <c r="JSE11" s="391"/>
      <c r="JSF11" s="391"/>
      <c r="JSG11" s="391"/>
      <c r="JSH11" s="391"/>
      <c r="JSI11" s="391"/>
      <c r="JSJ11" s="391"/>
      <c r="JSK11" s="391"/>
      <c r="JSL11" s="391"/>
      <c r="JSM11" s="391"/>
      <c r="JSN11" s="391"/>
      <c r="JSO11" s="391"/>
      <c r="JSP11" s="391"/>
      <c r="JSQ11" s="391"/>
      <c r="JSR11" s="391"/>
      <c r="JSS11" s="391"/>
      <c r="JST11" s="391"/>
      <c r="JSU11" s="391"/>
      <c r="JSV11" s="391"/>
      <c r="JSW11" s="391"/>
      <c r="JSX11" s="391"/>
      <c r="JSY11" s="391"/>
      <c r="JSZ11" s="391"/>
      <c r="JTA11" s="391"/>
      <c r="JTB11" s="391"/>
      <c r="JTC11" s="391"/>
      <c r="JTD11" s="391"/>
      <c r="JTE11" s="391"/>
      <c r="JTF11" s="391"/>
      <c r="JTG11" s="391"/>
      <c r="JTH11" s="391"/>
      <c r="JTI11" s="391"/>
      <c r="JTJ11" s="391"/>
      <c r="JTK11" s="391"/>
      <c r="JTL11" s="391"/>
      <c r="JTM11" s="391"/>
      <c r="JTN11" s="391"/>
      <c r="JTO11" s="391"/>
      <c r="JTP11" s="391"/>
      <c r="JTQ11" s="391"/>
      <c r="JTR11" s="391"/>
      <c r="JTS11" s="391"/>
      <c r="JTT11" s="391"/>
      <c r="JTU11" s="391"/>
      <c r="JTV11" s="391"/>
      <c r="JTW11" s="391"/>
      <c r="JTX11" s="391"/>
      <c r="JTY11" s="391"/>
      <c r="JTZ11" s="391"/>
      <c r="JUA11" s="391"/>
      <c r="JUB11" s="391"/>
      <c r="JUC11" s="391"/>
      <c r="JUD11" s="391"/>
      <c r="JUE11" s="391"/>
      <c r="JUF11" s="391"/>
      <c r="JUG11" s="391"/>
      <c r="JUH11" s="391"/>
      <c r="JUI11" s="391"/>
      <c r="JUJ11" s="391"/>
      <c r="JUK11" s="391"/>
      <c r="JUL11" s="391"/>
      <c r="JUM11" s="391"/>
      <c r="JUN11" s="391"/>
      <c r="JUO11" s="391"/>
      <c r="JUP11" s="391"/>
      <c r="JUQ11" s="391"/>
      <c r="JUR11" s="391"/>
      <c r="JUS11" s="391"/>
      <c r="JUT11" s="391"/>
      <c r="JUU11" s="391"/>
      <c r="JUV11" s="391"/>
      <c r="JUW11" s="391"/>
      <c r="JUX11" s="391"/>
      <c r="JUY11" s="391"/>
      <c r="JUZ11" s="391"/>
      <c r="JVA11" s="391"/>
      <c r="JVB11" s="391"/>
      <c r="JVC11" s="391"/>
      <c r="JVD11" s="391"/>
      <c r="JVE11" s="391"/>
      <c r="JVF11" s="391"/>
      <c r="JVG11" s="391"/>
      <c r="JVH11" s="391"/>
      <c r="JVI11" s="391"/>
      <c r="JVJ11" s="391"/>
      <c r="JVK11" s="391"/>
      <c r="JVL11" s="391"/>
      <c r="JVM11" s="391"/>
      <c r="JVN11" s="391"/>
      <c r="JVO11" s="391"/>
      <c r="JVP11" s="391"/>
      <c r="JVQ11" s="391"/>
      <c r="JVR11" s="391"/>
      <c r="JVS11" s="391"/>
      <c r="JVT11" s="391"/>
      <c r="JVU11" s="391"/>
      <c r="JVV11" s="391"/>
      <c r="JVW11" s="391"/>
      <c r="JVX11" s="391"/>
      <c r="JVY11" s="391"/>
      <c r="JVZ11" s="391"/>
      <c r="JWA11" s="391"/>
      <c r="JWB11" s="391"/>
      <c r="JWC11" s="391"/>
      <c r="JWD11" s="391"/>
      <c r="JWE11" s="391"/>
      <c r="JWF11" s="391"/>
      <c r="JWG11" s="391"/>
      <c r="JWH11" s="391"/>
      <c r="JWI11" s="391"/>
      <c r="JWJ11" s="391"/>
      <c r="JWK11" s="391"/>
      <c r="JWL11" s="391"/>
      <c r="JWM11" s="391"/>
      <c r="JWN11" s="391"/>
      <c r="JWO11" s="391"/>
      <c r="JWP11" s="391"/>
      <c r="JWQ11" s="391"/>
      <c r="JWR11" s="391"/>
      <c r="JWS11" s="391"/>
      <c r="JWT11" s="391"/>
      <c r="JWU11" s="391"/>
      <c r="JWV11" s="391"/>
      <c r="JWW11" s="391"/>
      <c r="JWX11" s="391"/>
      <c r="JWY11" s="391"/>
      <c r="JWZ11" s="391"/>
      <c r="JXA11" s="391"/>
      <c r="JXB11" s="391"/>
      <c r="JXC11" s="391"/>
      <c r="JXD11" s="391"/>
      <c r="JXE11" s="391"/>
      <c r="JXF11" s="391"/>
      <c r="JXG11" s="391"/>
      <c r="JXH11" s="391"/>
      <c r="JXI11" s="391"/>
      <c r="JXJ11" s="391"/>
      <c r="JXK11" s="391"/>
      <c r="JXL11" s="391"/>
      <c r="JXM11" s="391"/>
      <c r="JXN11" s="391"/>
      <c r="JXO11" s="391"/>
      <c r="JXP11" s="391"/>
      <c r="JXQ11" s="391"/>
      <c r="JXR11" s="391"/>
      <c r="JXS11" s="391"/>
      <c r="JXT11" s="391"/>
      <c r="JXU11" s="391"/>
      <c r="JXV11" s="391"/>
      <c r="JXW11" s="391"/>
      <c r="JXX11" s="391"/>
      <c r="JXY11" s="391"/>
      <c r="JXZ11" s="391"/>
      <c r="JYA11" s="391"/>
      <c r="JYB11" s="391"/>
      <c r="JYC11" s="391"/>
      <c r="JYD11" s="391"/>
      <c r="JYE11" s="391"/>
      <c r="JYF11" s="391"/>
      <c r="JYG11" s="391"/>
      <c r="JYH11" s="391"/>
      <c r="JYI11" s="391"/>
      <c r="JYJ11" s="391"/>
      <c r="JYK11" s="391"/>
      <c r="JYL11" s="391"/>
      <c r="JYM11" s="391"/>
      <c r="JYN11" s="391"/>
      <c r="JYO11" s="391"/>
      <c r="JYP11" s="391"/>
      <c r="JYQ11" s="391"/>
      <c r="JYR11" s="391"/>
      <c r="JYS11" s="391"/>
      <c r="JYT11" s="391"/>
      <c r="JYU11" s="391"/>
      <c r="JYV11" s="391"/>
      <c r="JYW11" s="391"/>
      <c r="JYX11" s="391"/>
      <c r="JYY11" s="391"/>
      <c r="JYZ11" s="391"/>
      <c r="JZA11" s="391"/>
      <c r="JZB11" s="391"/>
      <c r="JZC11" s="391"/>
      <c r="JZD11" s="391"/>
      <c r="JZE11" s="391"/>
      <c r="JZF11" s="391"/>
      <c r="JZG11" s="391"/>
      <c r="JZH11" s="391"/>
      <c r="JZI11" s="391"/>
      <c r="JZJ11" s="391"/>
      <c r="JZK11" s="391"/>
      <c r="JZL11" s="391"/>
      <c r="JZM11" s="391"/>
      <c r="JZN11" s="391"/>
      <c r="JZO11" s="391"/>
      <c r="JZP11" s="391"/>
      <c r="JZQ11" s="391"/>
      <c r="JZR11" s="391"/>
      <c r="JZS11" s="391"/>
      <c r="JZT11" s="391"/>
      <c r="JZU11" s="391"/>
      <c r="JZV11" s="391"/>
      <c r="JZW11" s="391"/>
      <c r="JZX11" s="391"/>
      <c r="JZY11" s="391"/>
      <c r="JZZ11" s="391"/>
      <c r="KAA11" s="391"/>
      <c r="KAB11" s="391"/>
      <c r="KAC11" s="391"/>
      <c r="KAD11" s="391"/>
      <c r="KAE11" s="391"/>
      <c r="KAF11" s="391"/>
      <c r="KAG11" s="391"/>
      <c r="KAH11" s="391"/>
      <c r="KAI11" s="391"/>
      <c r="KAJ11" s="391"/>
      <c r="KAK11" s="391"/>
      <c r="KAL11" s="391"/>
      <c r="KAM11" s="391"/>
      <c r="KAN11" s="391"/>
      <c r="KAO11" s="391"/>
      <c r="KAP11" s="391"/>
      <c r="KAQ11" s="391"/>
      <c r="KAR11" s="391"/>
      <c r="KAS11" s="391"/>
      <c r="KAT11" s="391"/>
      <c r="KAU11" s="391"/>
      <c r="KAV11" s="391"/>
      <c r="KAW11" s="391"/>
      <c r="KAX11" s="391"/>
      <c r="KAY11" s="391"/>
      <c r="KAZ11" s="391"/>
      <c r="KBA11" s="391"/>
      <c r="KBB11" s="391"/>
      <c r="KBC11" s="391"/>
      <c r="KBD11" s="391"/>
      <c r="KBE11" s="391"/>
      <c r="KBF11" s="391"/>
      <c r="KBG11" s="391"/>
      <c r="KBH11" s="391"/>
      <c r="KBI11" s="391"/>
      <c r="KBJ11" s="391"/>
      <c r="KBK11" s="391"/>
      <c r="KBL11" s="391"/>
      <c r="KBM11" s="391"/>
      <c r="KBN11" s="391"/>
      <c r="KBO11" s="391"/>
      <c r="KBP11" s="391"/>
      <c r="KBQ11" s="391"/>
      <c r="KBR11" s="391"/>
      <c r="KBS11" s="391"/>
      <c r="KBT11" s="391"/>
      <c r="KBU11" s="391"/>
      <c r="KBV11" s="391"/>
      <c r="KBW11" s="391"/>
      <c r="KBX11" s="391"/>
      <c r="KBY11" s="391"/>
      <c r="KBZ11" s="391"/>
      <c r="KCA11" s="391"/>
      <c r="KCB11" s="391"/>
      <c r="KCC11" s="391"/>
      <c r="KCD11" s="391"/>
      <c r="KCE11" s="391"/>
      <c r="KCF11" s="391"/>
      <c r="KCG11" s="391"/>
      <c r="KCH11" s="391"/>
      <c r="KCI11" s="391"/>
      <c r="KCJ11" s="391"/>
      <c r="KCK11" s="391"/>
      <c r="KCL11" s="391"/>
      <c r="KCM11" s="391"/>
      <c r="KCN11" s="391"/>
      <c r="KCO11" s="391"/>
      <c r="KCP11" s="391"/>
      <c r="KCQ11" s="391"/>
      <c r="KCR11" s="391"/>
      <c r="KCS11" s="391"/>
      <c r="KCT11" s="391"/>
      <c r="KCU11" s="391"/>
      <c r="KCV11" s="391"/>
      <c r="KCW11" s="391"/>
      <c r="KCX11" s="391"/>
      <c r="KCY11" s="391"/>
      <c r="KCZ11" s="391"/>
      <c r="KDA11" s="391"/>
      <c r="KDB11" s="391"/>
      <c r="KDC11" s="391"/>
      <c r="KDD11" s="391"/>
      <c r="KDE11" s="391"/>
      <c r="KDF11" s="391"/>
      <c r="KDG11" s="391"/>
      <c r="KDH11" s="391"/>
      <c r="KDI11" s="391"/>
      <c r="KDJ11" s="391"/>
      <c r="KDK11" s="391"/>
      <c r="KDL11" s="391"/>
      <c r="KDM11" s="391"/>
      <c r="KDN11" s="391"/>
      <c r="KDO11" s="391"/>
      <c r="KDP11" s="391"/>
      <c r="KDQ11" s="391"/>
      <c r="KDR11" s="391"/>
      <c r="KDS11" s="391"/>
      <c r="KDT11" s="391"/>
      <c r="KDU11" s="391"/>
      <c r="KDV11" s="391"/>
      <c r="KDW11" s="391"/>
      <c r="KDX11" s="391"/>
      <c r="KDY11" s="391"/>
      <c r="KDZ11" s="391"/>
      <c r="KEA11" s="391"/>
      <c r="KEB11" s="391"/>
      <c r="KEC11" s="391"/>
      <c r="KED11" s="391"/>
      <c r="KEE11" s="391"/>
      <c r="KEF11" s="391"/>
      <c r="KEG11" s="391"/>
      <c r="KEH11" s="391"/>
      <c r="KEI11" s="391"/>
      <c r="KEJ11" s="391"/>
      <c r="KEK11" s="391"/>
      <c r="KEL11" s="391"/>
      <c r="KEM11" s="391"/>
      <c r="KEN11" s="391"/>
      <c r="KEO11" s="391"/>
      <c r="KEP11" s="391"/>
      <c r="KEQ11" s="391"/>
      <c r="KER11" s="391"/>
      <c r="KES11" s="391"/>
      <c r="KET11" s="391"/>
      <c r="KEU11" s="391"/>
      <c r="KEV11" s="391"/>
      <c r="KEW11" s="391"/>
      <c r="KEX11" s="391"/>
      <c r="KEY11" s="391"/>
      <c r="KEZ11" s="391"/>
      <c r="KFA11" s="391"/>
      <c r="KFB11" s="391"/>
      <c r="KFC11" s="391"/>
      <c r="KFD11" s="391"/>
      <c r="KFE11" s="391"/>
      <c r="KFF11" s="391"/>
      <c r="KFG11" s="391"/>
      <c r="KFH11" s="391"/>
      <c r="KFI11" s="391"/>
      <c r="KFJ11" s="391"/>
      <c r="KFK11" s="391"/>
      <c r="KFL11" s="391"/>
      <c r="KFM11" s="391"/>
      <c r="KFN11" s="391"/>
      <c r="KFO11" s="391"/>
      <c r="KFP11" s="391"/>
      <c r="KFQ11" s="391"/>
      <c r="KFR11" s="391"/>
      <c r="KFS11" s="391"/>
      <c r="KFT11" s="391"/>
      <c r="KFU11" s="391"/>
      <c r="KFV11" s="391"/>
      <c r="KFW11" s="391"/>
      <c r="KFX11" s="391"/>
      <c r="KFY11" s="391"/>
      <c r="KFZ11" s="391"/>
      <c r="KGA11" s="391"/>
      <c r="KGB11" s="391"/>
      <c r="KGC11" s="391"/>
      <c r="KGD11" s="391"/>
      <c r="KGE11" s="391"/>
      <c r="KGF11" s="391"/>
      <c r="KGG11" s="391"/>
      <c r="KGH11" s="391"/>
      <c r="KGI11" s="391"/>
      <c r="KGJ11" s="391"/>
      <c r="KGK11" s="391"/>
      <c r="KGL11" s="391"/>
      <c r="KGM11" s="391"/>
      <c r="KGN11" s="391"/>
      <c r="KGO11" s="391"/>
      <c r="KGP11" s="391"/>
      <c r="KGQ11" s="391"/>
      <c r="KGR11" s="391"/>
      <c r="KGS11" s="391"/>
      <c r="KGT11" s="391"/>
      <c r="KGU11" s="391"/>
      <c r="KGV11" s="391"/>
      <c r="KGW11" s="391"/>
      <c r="KGX11" s="391"/>
      <c r="KGY11" s="391"/>
      <c r="KGZ11" s="391"/>
      <c r="KHA11" s="391"/>
      <c r="KHB11" s="391"/>
      <c r="KHC11" s="391"/>
      <c r="KHD11" s="391"/>
      <c r="KHE11" s="391"/>
      <c r="KHF11" s="391"/>
      <c r="KHG11" s="391"/>
      <c r="KHH11" s="391"/>
      <c r="KHI11" s="391"/>
      <c r="KHJ11" s="391"/>
      <c r="KHK11" s="391"/>
      <c r="KHL11" s="391"/>
      <c r="KHM11" s="391"/>
      <c r="KHN11" s="391"/>
      <c r="KHO11" s="391"/>
      <c r="KHP11" s="391"/>
      <c r="KHQ11" s="391"/>
      <c r="KHR11" s="391"/>
      <c r="KHS11" s="391"/>
      <c r="KHT11" s="391"/>
      <c r="KHU11" s="391"/>
      <c r="KHV11" s="391"/>
      <c r="KHW11" s="391"/>
      <c r="KHX11" s="391"/>
      <c r="KHY11" s="391"/>
      <c r="KHZ11" s="391"/>
      <c r="KIA11" s="391"/>
      <c r="KIB11" s="391"/>
      <c r="KIC11" s="391"/>
      <c r="KID11" s="391"/>
      <c r="KIE11" s="391"/>
      <c r="KIF11" s="391"/>
      <c r="KIG11" s="391"/>
      <c r="KIH11" s="391"/>
      <c r="KII11" s="391"/>
      <c r="KIJ11" s="391"/>
      <c r="KIK11" s="391"/>
      <c r="KIL11" s="391"/>
      <c r="KIM11" s="391"/>
      <c r="KIN11" s="391"/>
      <c r="KIO11" s="391"/>
      <c r="KIP11" s="391"/>
      <c r="KIQ11" s="391"/>
      <c r="KIR11" s="391"/>
      <c r="KIS11" s="391"/>
      <c r="KIT11" s="391"/>
      <c r="KIU11" s="391"/>
      <c r="KIV11" s="391"/>
      <c r="KIW11" s="391"/>
      <c r="KIX11" s="391"/>
      <c r="KIY11" s="391"/>
      <c r="KIZ11" s="391"/>
      <c r="KJA11" s="391"/>
      <c r="KJB11" s="391"/>
      <c r="KJC11" s="391"/>
      <c r="KJD11" s="391"/>
      <c r="KJE11" s="391"/>
      <c r="KJF11" s="391"/>
      <c r="KJG11" s="391"/>
      <c r="KJH11" s="391"/>
      <c r="KJI11" s="391"/>
      <c r="KJJ11" s="391"/>
      <c r="KJK11" s="391"/>
      <c r="KJL11" s="391"/>
      <c r="KJM11" s="391"/>
      <c r="KJN11" s="391"/>
      <c r="KJO11" s="391"/>
      <c r="KJP11" s="391"/>
      <c r="KJQ11" s="391"/>
      <c r="KJR11" s="391"/>
      <c r="KJS11" s="391"/>
      <c r="KJT11" s="391"/>
      <c r="KJU11" s="391"/>
      <c r="KJV11" s="391"/>
      <c r="KJW11" s="391"/>
      <c r="KJX11" s="391"/>
      <c r="KJY11" s="391"/>
      <c r="KJZ11" s="391"/>
      <c r="KKA11" s="391"/>
      <c r="KKB11" s="391"/>
      <c r="KKC11" s="391"/>
      <c r="KKD11" s="391"/>
      <c r="KKE11" s="391"/>
      <c r="KKF11" s="391"/>
      <c r="KKG11" s="391"/>
      <c r="KKH11" s="391"/>
      <c r="KKI11" s="391"/>
      <c r="KKJ11" s="391"/>
      <c r="KKK11" s="391"/>
      <c r="KKL11" s="391"/>
      <c r="KKM11" s="391"/>
      <c r="KKN11" s="391"/>
      <c r="KKO11" s="391"/>
      <c r="KKP11" s="391"/>
      <c r="KKQ11" s="391"/>
      <c r="KKR11" s="391"/>
      <c r="KKS11" s="391"/>
      <c r="KKT11" s="391"/>
      <c r="KKU11" s="391"/>
      <c r="KKV11" s="391"/>
      <c r="KKW11" s="391"/>
      <c r="KKX11" s="391"/>
      <c r="KKY11" s="391"/>
      <c r="KKZ11" s="391"/>
      <c r="KLA11" s="391"/>
      <c r="KLB11" s="391"/>
      <c r="KLC11" s="391"/>
      <c r="KLD11" s="391"/>
      <c r="KLE11" s="391"/>
      <c r="KLF11" s="391"/>
      <c r="KLG11" s="391"/>
      <c r="KLH11" s="391"/>
      <c r="KLI11" s="391"/>
      <c r="KLJ11" s="391"/>
      <c r="KLK11" s="391"/>
      <c r="KLL11" s="391"/>
      <c r="KLM11" s="391"/>
      <c r="KLN11" s="391"/>
      <c r="KLO11" s="391"/>
      <c r="KLP11" s="391"/>
      <c r="KLQ11" s="391"/>
      <c r="KLR11" s="391"/>
      <c r="KLS11" s="391"/>
      <c r="KLT11" s="391"/>
      <c r="KLU11" s="391"/>
      <c r="KLV11" s="391"/>
      <c r="KLW11" s="391"/>
      <c r="KLX11" s="391"/>
      <c r="KLY11" s="391"/>
      <c r="KLZ11" s="391"/>
      <c r="KMA11" s="391"/>
      <c r="KMB11" s="391"/>
      <c r="KMC11" s="391"/>
      <c r="KMD11" s="391"/>
      <c r="KME11" s="391"/>
      <c r="KMF11" s="391"/>
      <c r="KMG11" s="391"/>
      <c r="KMH11" s="391"/>
      <c r="KMI11" s="391"/>
      <c r="KMJ11" s="391"/>
      <c r="KMK11" s="391"/>
      <c r="KML11" s="391"/>
      <c r="KMM11" s="391"/>
      <c r="KMN11" s="391"/>
      <c r="KMO11" s="391"/>
      <c r="KMP11" s="391"/>
      <c r="KMQ11" s="391"/>
      <c r="KMR11" s="391"/>
      <c r="KMS11" s="391"/>
      <c r="KMT11" s="391"/>
      <c r="KMU11" s="391"/>
      <c r="KMV11" s="391"/>
      <c r="KMW11" s="391"/>
      <c r="KMX11" s="391"/>
      <c r="KMY11" s="391"/>
      <c r="KMZ11" s="391"/>
      <c r="KNA11" s="391"/>
      <c r="KNB11" s="391"/>
      <c r="KNC11" s="391"/>
      <c r="KND11" s="391"/>
      <c r="KNE11" s="391"/>
      <c r="KNF11" s="391"/>
      <c r="KNG11" s="391"/>
      <c r="KNH11" s="391"/>
      <c r="KNI11" s="391"/>
      <c r="KNJ11" s="391"/>
      <c r="KNK11" s="391"/>
      <c r="KNL11" s="391"/>
      <c r="KNM11" s="391"/>
      <c r="KNN11" s="391"/>
      <c r="KNO11" s="391"/>
      <c r="KNP11" s="391"/>
      <c r="KNQ11" s="391"/>
      <c r="KNR11" s="391"/>
      <c r="KNS11" s="391"/>
      <c r="KNT11" s="391"/>
      <c r="KNU11" s="391"/>
      <c r="KNV11" s="391"/>
      <c r="KNW11" s="391"/>
      <c r="KNX11" s="391"/>
      <c r="KNY11" s="391"/>
      <c r="KNZ11" s="391"/>
      <c r="KOA11" s="391"/>
      <c r="KOB11" s="391"/>
      <c r="KOC11" s="391"/>
      <c r="KOD11" s="391"/>
      <c r="KOE11" s="391"/>
      <c r="KOF11" s="391"/>
      <c r="KOG11" s="391"/>
      <c r="KOH11" s="391"/>
      <c r="KOI11" s="391"/>
      <c r="KOJ11" s="391"/>
      <c r="KOK11" s="391"/>
      <c r="KOL11" s="391"/>
      <c r="KOM11" s="391"/>
      <c r="KON11" s="391"/>
      <c r="KOO11" s="391"/>
      <c r="KOP11" s="391"/>
      <c r="KOQ11" s="391"/>
      <c r="KOR11" s="391"/>
      <c r="KOS11" s="391"/>
      <c r="KOT11" s="391"/>
      <c r="KOU11" s="391"/>
      <c r="KOV11" s="391"/>
      <c r="KOW11" s="391"/>
      <c r="KOX11" s="391"/>
      <c r="KOY11" s="391"/>
      <c r="KOZ11" s="391"/>
      <c r="KPA11" s="391"/>
      <c r="KPB11" s="391"/>
      <c r="KPC11" s="391"/>
      <c r="KPD11" s="391"/>
      <c r="KPE11" s="391"/>
      <c r="KPF11" s="391"/>
      <c r="KPG11" s="391"/>
      <c r="KPH11" s="391"/>
      <c r="KPI11" s="391"/>
      <c r="KPJ11" s="391"/>
      <c r="KPK11" s="391"/>
      <c r="KPL11" s="391"/>
      <c r="KPM11" s="391"/>
      <c r="KPN11" s="391"/>
      <c r="KPO11" s="391"/>
      <c r="KPP11" s="391"/>
      <c r="KPQ11" s="391"/>
      <c r="KPR11" s="391"/>
      <c r="KPS11" s="391"/>
      <c r="KPT11" s="391"/>
      <c r="KPU11" s="391"/>
      <c r="KPV11" s="391"/>
      <c r="KPW11" s="391"/>
      <c r="KPX11" s="391"/>
      <c r="KPY11" s="391"/>
      <c r="KPZ11" s="391"/>
      <c r="KQA11" s="391"/>
      <c r="KQB11" s="391"/>
      <c r="KQC11" s="391"/>
      <c r="KQD11" s="391"/>
      <c r="KQE11" s="391"/>
      <c r="KQF11" s="391"/>
      <c r="KQG11" s="391"/>
      <c r="KQH11" s="391"/>
      <c r="KQI11" s="391"/>
      <c r="KQJ11" s="391"/>
      <c r="KQK11" s="391"/>
      <c r="KQL11" s="391"/>
      <c r="KQM11" s="391"/>
      <c r="KQN11" s="391"/>
      <c r="KQO11" s="391"/>
      <c r="KQP11" s="391"/>
      <c r="KQQ11" s="391"/>
      <c r="KQR11" s="391"/>
      <c r="KQS11" s="391"/>
      <c r="KQT11" s="391"/>
      <c r="KQU11" s="391"/>
      <c r="KQV11" s="391"/>
      <c r="KQW11" s="391"/>
      <c r="KQX11" s="391"/>
      <c r="KQY11" s="391"/>
      <c r="KQZ11" s="391"/>
      <c r="KRA11" s="391"/>
      <c r="KRB11" s="391"/>
      <c r="KRC11" s="391"/>
      <c r="KRD11" s="391"/>
      <c r="KRE11" s="391"/>
      <c r="KRF11" s="391"/>
      <c r="KRG11" s="391"/>
      <c r="KRH11" s="391"/>
      <c r="KRI11" s="391"/>
      <c r="KRJ11" s="391"/>
      <c r="KRK11" s="391"/>
      <c r="KRL11" s="391"/>
      <c r="KRM11" s="391"/>
      <c r="KRN11" s="391"/>
      <c r="KRO11" s="391"/>
      <c r="KRP11" s="391"/>
      <c r="KRQ11" s="391"/>
      <c r="KRR11" s="391"/>
      <c r="KRS11" s="391"/>
      <c r="KRT11" s="391"/>
      <c r="KRU11" s="391"/>
      <c r="KRV11" s="391"/>
      <c r="KRW11" s="391"/>
      <c r="KRX11" s="391"/>
      <c r="KRY11" s="391"/>
      <c r="KRZ11" s="391"/>
      <c r="KSA11" s="391"/>
      <c r="KSB11" s="391"/>
      <c r="KSC11" s="391"/>
      <c r="KSD11" s="391"/>
      <c r="KSE11" s="391"/>
      <c r="KSF11" s="391"/>
      <c r="KSG11" s="391"/>
      <c r="KSH11" s="391"/>
      <c r="KSI11" s="391"/>
      <c r="KSJ11" s="391"/>
      <c r="KSK11" s="391"/>
      <c r="KSL11" s="391"/>
      <c r="KSM11" s="391"/>
      <c r="KSN11" s="391"/>
      <c r="KSO11" s="391"/>
      <c r="KSP11" s="391"/>
      <c r="KSQ11" s="391"/>
      <c r="KSR11" s="391"/>
      <c r="KSS11" s="391"/>
      <c r="KST11" s="391"/>
      <c r="KSU11" s="391"/>
      <c r="KSV11" s="391"/>
      <c r="KSW11" s="391"/>
      <c r="KSX11" s="391"/>
      <c r="KSY11" s="391"/>
      <c r="KSZ11" s="391"/>
      <c r="KTA11" s="391"/>
      <c r="KTB11" s="391"/>
      <c r="KTC11" s="391"/>
      <c r="KTD11" s="391"/>
      <c r="KTE11" s="391"/>
      <c r="KTF11" s="391"/>
      <c r="KTG11" s="391"/>
      <c r="KTH11" s="391"/>
      <c r="KTI11" s="391"/>
      <c r="KTJ11" s="391"/>
      <c r="KTK11" s="391"/>
      <c r="KTL11" s="391"/>
      <c r="KTM11" s="391"/>
      <c r="KTN11" s="391"/>
      <c r="KTO11" s="391"/>
      <c r="KTP11" s="391"/>
      <c r="KTQ11" s="391"/>
      <c r="KTR11" s="391"/>
      <c r="KTS11" s="391"/>
      <c r="KTT11" s="391"/>
      <c r="KTU11" s="391"/>
      <c r="KTV11" s="391"/>
      <c r="KTW11" s="391"/>
      <c r="KTX11" s="391"/>
      <c r="KTY11" s="391"/>
      <c r="KTZ11" s="391"/>
      <c r="KUA11" s="391"/>
      <c r="KUB11" s="391"/>
      <c r="KUC11" s="391"/>
      <c r="KUD11" s="391"/>
      <c r="KUE11" s="391"/>
      <c r="KUF11" s="391"/>
      <c r="KUG11" s="391"/>
      <c r="KUH11" s="391"/>
      <c r="KUI11" s="391"/>
      <c r="KUJ11" s="391"/>
      <c r="KUK11" s="391"/>
      <c r="KUL11" s="391"/>
      <c r="KUM11" s="391"/>
      <c r="KUN11" s="391"/>
      <c r="KUO11" s="391"/>
      <c r="KUP11" s="391"/>
      <c r="KUQ11" s="391"/>
      <c r="KUR11" s="391"/>
      <c r="KUS11" s="391"/>
      <c r="KUT11" s="391"/>
      <c r="KUU11" s="391"/>
      <c r="KUV11" s="391"/>
      <c r="KUW11" s="391"/>
      <c r="KUX11" s="391"/>
      <c r="KUY11" s="391"/>
      <c r="KUZ11" s="391"/>
      <c r="KVA11" s="391"/>
      <c r="KVB11" s="391"/>
      <c r="KVC11" s="391"/>
      <c r="KVD11" s="391"/>
      <c r="KVE11" s="391"/>
      <c r="KVF11" s="391"/>
      <c r="KVG11" s="391"/>
      <c r="KVH11" s="391"/>
      <c r="KVI11" s="391"/>
      <c r="KVJ11" s="391"/>
      <c r="KVK11" s="391"/>
      <c r="KVL11" s="391"/>
      <c r="KVM11" s="391"/>
      <c r="KVN11" s="391"/>
      <c r="KVO11" s="391"/>
      <c r="KVP11" s="391"/>
      <c r="KVQ11" s="391"/>
      <c r="KVR11" s="391"/>
      <c r="KVS11" s="391"/>
      <c r="KVT11" s="391"/>
      <c r="KVU11" s="391"/>
      <c r="KVV11" s="391"/>
      <c r="KVW11" s="391"/>
      <c r="KVX11" s="391"/>
      <c r="KVY11" s="391"/>
      <c r="KVZ11" s="391"/>
      <c r="KWA11" s="391"/>
      <c r="KWB11" s="391"/>
      <c r="KWC11" s="391"/>
      <c r="KWD11" s="391"/>
      <c r="KWE11" s="391"/>
      <c r="KWF11" s="391"/>
      <c r="KWG11" s="391"/>
      <c r="KWH11" s="391"/>
      <c r="KWI11" s="391"/>
      <c r="KWJ11" s="391"/>
      <c r="KWK11" s="391"/>
      <c r="KWL11" s="391"/>
      <c r="KWM11" s="391"/>
      <c r="KWN11" s="391"/>
      <c r="KWO11" s="391"/>
      <c r="KWP11" s="391"/>
      <c r="KWQ11" s="391"/>
      <c r="KWR11" s="391"/>
      <c r="KWS11" s="391"/>
      <c r="KWT11" s="391"/>
      <c r="KWU11" s="391"/>
      <c r="KWV11" s="391"/>
      <c r="KWW11" s="391"/>
      <c r="KWX11" s="391"/>
      <c r="KWY11" s="391"/>
      <c r="KWZ11" s="391"/>
      <c r="KXA11" s="391"/>
      <c r="KXB11" s="391"/>
      <c r="KXC11" s="391"/>
      <c r="KXD11" s="391"/>
      <c r="KXE11" s="391"/>
      <c r="KXF11" s="391"/>
      <c r="KXG11" s="391"/>
      <c r="KXH11" s="391"/>
      <c r="KXI11" s="391"/>
      <c r="KXJ11" s="391"/>
      <c r="KXK11" s="391"/>
      <c r="KXL11" s="391"/>
      <c r="KXM11" s="391"/>
      <c r="KXN11" s="391"/>
      <c r="KXO11" s="391"/>
      <c r="KXP11" s="391"/>
      <c r="KXQ11" s="391"/>
      <c r="KXR11" s="391"/>
      <c r="KXS11" s="391"/>
      <c r="KXT11" s="391"/>
      <c r="KXU11" s="391"/>
      <c r="KXV11" s="391"/>
      <c r="KXW11" s="391"/>
      <c r="KXX11" s="391"/>
      <c r="KXY11" s="391"/>
      <c r="KXZ11" s="391"/>
      <c r="KYA11" s="391"/>
      <c r="KYB11" s="391"/>
      <c r="KYC11" s="391"/>
      <c r="KYD11" s="391"/>
      <c r="KYE11" s="391"/>
      <c r="KYF11" s="391"/>
      <c r="KYG11" s="391"/>
      <c r="KYH11" s="391"/>
      <c r="KYI11" s="391"/>
      <c r="KYJ11" s="391"/>
      <c r="KYK11" s="391"/>
      <c r="KYL11" s="391"/>
      <c r="KYM11" s="391"/>
      <c r="KYN11" s="391"/>
      <c r="KYO11" s="391"/>
      <c r="KYP11" s="391"/>
      <c r="KYQ11" s="391"/>
      <c r="KYR11" s="391"/>
      <c r="KYS11" s="391"/>
      <c r="KYT11" s="391"/>
      <c r="KYU11" s="391"/>
      <c r="KYV11" s="391"/>
      <c r="KYW11" s="391"/>
      <c r="KYX11" s="391"/>
      <c r="KYY11" s="391"/>
      <c r="KYZ11" s="391"/>
      <c r="KZA11" s="391"/>
      <c r="KZB11" s="391"/>
      <c r="KZC11" s="391"/>
      <c r="KZD11" s="391"/>
      <c r="KZE11" s="391"/>
      <c r="KZF11" s="391"/>
      <c r="KZG11" s="391"/>
      <c r="KZH11" s="391"/>
      <c r="KZI11" s="391"/>
      <c r="KZJ11" s="391"/>
      <c r="KZK11" s="391"/>
      <c r="KZL11" s="391"/>
      <c r="KZM11" s="391"/>
      <c r="KZN11" s="391"/>
      <c r="KZO11" s="391"/>
      <c r="KZP11" s="391"/>
      <c r="KZQ11" s="391"/>
      <c r="KZR11" s="391"/>
      <c r="KZS11" s="391"/>
      <c r="KZT11" s="391"/>
      <c r="KZU11" s="391"/>
      <c r="KZV11" s="391"/>
      <c r="KZW11" s="391"/>
      <c r="KZX11" s="391"/>
      <c r="KZY11" s="391"/>
      <c r="KZZ11" s="391"/>
      <c r="LAA11" s="391"/>
      <c r="LAB11" s="391"/>
      <c r="LAC11" s="391"/>
      <c r="LAD11" s="391"/>
      <c r="LAE11" s="391"/>
      <c r="LAF11" s="391"/>
      <c r="LAG11" s="391"/>
      <c r="LAH11" s="391"/>
      <c r="LAI11" s="391"/>
      <c r="LAJ11" s="391"/>
      <c r="LAK11" s="391"/>
      <c r="LAL11" s="391"/>
      <c r="LAM11" s="391"/>
      <c r="LAN11" s="391"/>
      <c r="LAO11" s="391"/>
      <c r="LAP11" s="391"/>
      <c r="LAQ11" s="391"/>
      <c r="LAR11" s="391"/>
      <c r="LAS11" s="391"/>
      <c r="LAT11" s="391"/>
      <c r="LAU11" s="391"/>
      <c r="LAV11" s="391"/>
      <c r="LAW11" s="391"/>
      <c r="LAX11" s="391"/>
      <c r="LAY11" s="391"/>
      <c r="LAZ11" s="391"/>
      <c r="LBA11" s="391"/>
      <c r="LBB11" s="391"/>
      <c r="LBC11" s="391"/>
      <c r="LBD11" s="391"/>
      <c r="LBE11" s="391"/>
      <c r="LBF11" s="391"/>
      <c r="LBG11" s="391"/>
      <c r="LBH11" s="391"/>
      <c r="LBI11" s="391"/>
      <c r="LBJ11" s="391"/>
      <c r="LBK11" s="391"/>
      <c r="LBL11" s="391"/>
      <c r="LBM11" s="391"/>
      <c r="LBN11" s="391"/>
      <c r="LBO11" s="391"/>
      <c r="LBP11" s="391"/>
      <c r="LBQ11" s="391"/>
      <c r="LBR11" s="391"/>
      <c r="LBS11" s="391"/>
      <c r="LBT11" s="391"/>
      <c r="LBU11" s="391"/>
      <c r="LBV11" s="391"/>
      <c r="LBW11" s="391"/>
      <c r="LBX11" s="391"/>
      <c r="LBY11" s="391"/>
      <c r="LBZ11" s="391"/>
      <c r="LCA11" s="391"/>
      <c r="LCB11" s="391"/>
      <c r="LCC11" s="391"/>
      <c r="LCD11" s="391"/>
      <c r="LCE11" s="391"/>
      <c r="LCF11" s="391"/>
      <c r="LCG11" s="391"/>
      <c r="LCH11" s="391"/>
      <c r="LCI11" s="391"/>
      <c r="LCJ11" s="391"/>
      <c r="LCK11" s="391"/>
      <c r="LCL11" s="391"/>
      <c r="LCM11" s="391"/>
      <c r="LCN11" s="391"/>
      <c r="LCO11" s="391"/>
      <c r="LCP11" s="391"/>
      <c r="LCQ11" s="391"/>
      <c r="LCR11" s="391"/>
      <c r="LCS11" s="391"/>
      <c r="LCT11" s="391"/>
      <c r="LCU11" s="391"/>
      <c r="LCV11" s="391"/>
      <c r="LCW11" s="391"/>
      <c r="LCX11" s="391"/>
      <c r="LCY11" s="391"/>
      <c r="LCZ11" s="391"/>
      <c r="LDA11" s="391"/>
      <c r="LDB11" s="391"/>
      <c r="LDC11" s="391"/>
      <c r="LDD11" s="391"/>
      <c r="LDE11" s="391"/>
      <c r="LDF11" s="391"/>
      <c r="LDG11" s="391"/>
      <c r="LDH11" s="391"/>
      <c r="LDI11" s="391"/>
      <c r="LDJ11" s="391"/>
      <c r="LDK11" s="391"/>
      <c r="LDL11" s="391"/>
      <c r="LDM11" s="391"/>
      <c r="LDN11" s="391"/>
      <c r="LDO11" s="391"/>
      <c r="LDP11" s="391"/>
      <c r="LDQ11" s="391"/>
      <c r="LDR11" s="391"/>
      <c r="LDS11" s="391"/>
      <c r="LDT11" s="391"/>
      <c r="LDU11" s="391"/>
      <c r="LDV11" s="391"/>
      <c r="LDW11" s="391"/>
      <c r="LDX11" s="391"/>
      <c r="LDY11" s="391"/>
      <c r="LDZ11" s="391"/>
      <c r="LEA11" s="391"/>
      <c r="LEB11" s="391"/>
      <c r="LEC11" s="391"/>
      <c r="LED11" s="391"/>
      <c r="LEE11" s="391"/>
      <c r="LEF11" s="391"/>
      <c r="LEG11" s="391"/>
      <c r="LEH11" s="391"/>
      <c r="LEI11" s="391"/>
      <c r="LEJ11" s="391"/>
      <c r="LEK11" s="391"/>
      <c r="LEL11" s="391"/>
      <c r="LEM11" s="391"/>
      <c r="LEN11" s="391"/>
      <c r="LEO11" s="391"/>
      <c r="LEP11" s="391"/>
      <c r="LEQ11" s="391"/>
      <c r="LER11" s="391"/>
      <c r="LES11" s="391"/>
      <c r="LET11" s="391"/>
      <c r="LEU11" s="391"/>
      <c r="LEV11" s="391"/>
      <c r="LEW11" s="391"/>
      <c r="LEX11" s="391"/>
      <c r="LEY11" s="391"/>
      <c r="LEZ11" s="391"/>
      <c r="LFA11" s="391"/>
      <c r="LFB11" s="391"/>
      <c r="LFC11" s="391"/>
      <c r="LFD11" s="391"/>
      <c r="LFE11" s="391"/>
      <c r="LFF11" s="391"/>
      <c r="LFG11" s="391"/>
      <c r="LFH11" s="391"/>
      <c r="LFI11" s="391"/>
      <c r="LFJ11" s="391"/>
      <c r="LFK11" s="391"/>
      <c r="LFL11" s="391"/>
      <c r="LFM11" s="391"/>
      <c r="LFN11" s="391"/>
      <c r="LFO11" s="391"/>
      <c r="LFP11" s="391"/>
      <c r="LFQ11" s="391"/>
      <c r="LFR11" s="391"/>
      <c r="LFS11" s="391"/>
      <c r="LFT11" s="391"/>
      <c r="LFU11" s="391"/>
      <c r="LFV11" s="391"/>
      <c r="LFW11" s="391"/>
      <c r="LFX11" s="391"/>
      <c r="LFY11" s="391"/>
      <c r="LFZ11" s="391"/>
      <c r="LGA11" s="391"/>
      <c r="LGB11" s="391"/>
      <c r="LGC11" s="391"/>
      <c r="LGD11" s="391"/>
      <c r="LGE11" s="391"/>
      <c r="LGF11" s="391"/>
      <c r="LGG11" s="391"/>
      <c r="LGH11" s="391"/>
      <c r="LGI11" s="391"/>
      <c r="LGJ11" s="391"/>
      <c r="LGK11" s="391"/>
      <c r="LGL11" s="391"/>
      <c r="LGM11" s="391"/>
      <c r="LGN11" s="391"/>
      <c r="LGO11" s="391"/>
      <c r="LGP11" s="391"/>
      <c r="LGQ11" s="391"/>
      <c r="LGR11" s="391"/>
      <c r="LGS11" s="391"/>
      <c r="LGT11" s="391"/>
      <c r="LGU11" s="391"/>
      <c r="LGV11" s="391"/>
      <c r="LGW11" s="391"/>
      <c r="LGX11" s="391"/>
      <c r="LGY11" s="391"/>
      <c r="LGZ11" s="391"/>
      <c r="LHA11" s="391"/>
      <c r="LHB11" s="391"/>
      <c r="LHC11" s="391"/>
      <c r="LHD11" s="391"/>
      <c r="LHE11" s="391"/>
      <c r="LHF11" s="391"/>
      <c r="LHG11" s="391"/>
      <c r="LHH11" s="391"/>
      <c r="LHI11" s="391"/>
      <c r="LHJ11" s="391"/>
      <c r="LHK11" s="391"/>
      <c r="LHL11" s="391"/>
      <c r="LHM11" s="391"/>
      <c r="LHN11" s="391"/>
      <c r="LHO11" s="391"/>
      <c r="LHP11" s="391"/>
      <c r="LHQ11" s="391"/>
      <c r="LHR11" s="391"/>
      <c r="LHS11" s="391"/>
      <c r="LHT11" s="391"/>
      <c r="LHU11" s="391"/>
      <c r="LHV11" s="391"/>
      <c r="LHW11" s="391"/>
      <c r="LHX11" s="391"/>
      <c r="LHY11" s="391"/>
      <c r="LHZ11" s="391"/>
      <c r="LIA11" s="391"/>
      <c r="LIB11" s="391"/>
      <c r="LIC11" s="391"/>
      <c r="LID11" s="391"/>
      <c r="LIE11" s="391"/>
      <c r="LIF11" s="391"/>
      <c r="LIG11" s="391"/>
      <c r="LIH11" s="391"/>
      <c r="LII11" s="391"/>
      <c r="LIJ11" s="391"/>
      <c r="LIK11" s="391"/>
      <c r="LIL11" s="391"/>
      <c r="LIM11" s="391"/>
      <c r="LIN11" s="391"/>
      <c r="LIO11" s="391"/>
      <c r="LIP11" s="391"/>
      <c r="LIQ11" s="391"/>
      <c r="LIR11" s="391"/>
      <c r="LIS11" s="391"/>
      <c r="LIT11" s="391"/>
      <c r="LIU11" s="391"/>
      <c r="LIV11" s="391"/>
      <c r="LIW11" s="391"/>
      <c r="LIX11" s="391"/>
      <c r="LIY11" s="391"/>
      <c r="LIZ11" s="391"/>
      <c r="LJA11" s="391"/>
      <c r="LJB11" s="391"/>
      <c r="LJC11" s="391"/>
      <c r="LJD11" s="391"/>
      <c r="LJE11" s="391"/>
      <c r="LJF11" s="391"/>
      <c r="LJG11" s="391"/>
      <c r="LJH11" s="391"/>
      <c r="LJI11" s="391"/>
      <c r="LJJ11" s="391"/>
      <c r="LJK11" s="391"/>
      <c r="LJL11" s="391"/>
      <c r="LJM11" s="391"/>
      <c r="LJN11" s="391"/>
      <c r="LJO11" s="391"/>
      <c r="LJP11" s="391"/>
      <c r="LJQ11" s="391"/>
      <c r="LJR11" s="391"/>
      <c r="LJS11" s="391"/>
      <c r="LJT11" s="391"/>
      <c r="LJU11" s="391"/>
      <c r="LJV11" s="391"/>
      <c r="LJW11" s="391"/>
      <c r="LJX11" s="391"/>
      <c r="LJY11" s="391"/>
      <c r="LJZ11" s="391"/>
      <c r="LKA11" s="391"/>
      <c r="LKB11" s="391"/>
      <c r="LKC11" s="391"/>
      <c r="LKD11" s="391"/>
      <c r="LKE11" s="391"/>
      <c r="LKF11" s="391"/>
      <c r="LKG11" s="391"/>
      <c r="LKH11" s="391"/>
      <c r="LKI11" s="391"/>
      <c r="LKJ11" s="391"/>
      <c r="LKK11" s="391"/>
      <c r="LKL11" s="391"/>
      <c r="LKM11" s="391"/>
      <c r="LKN11" s="391"/>
      <c r="LKO11" s="391"/>
      <c r="LKP11" s="391"/>
      <c r="LKQ11" s="391"/>
      <c r="LKR11" s="391"/>
      <c r="LKS11" s="391"/>
      <c r="LKT11" s="391"/>
      <c r="LKU11" s="391"/>
      <c r="LKV11" s="391"/>
      <c r="LKW11" s="391"/>
      <c r="LKX11" s="391"/>
      <c r="LKY11" s="391"/>
      <c r="LKZ11" s="391"/>
      <c r="LLA11" s="391"/>
      <c r="LLB11" s="391"/>
      <c r="LLC11" s="391"/>
      <c r="LLD11" s="391"/>
      <c r="LLE11" s="391"/>
      <c r="LLF11" s="391"/>
      <c r="LLG11" s="391"/>
      <c r="LLH11" s="391"/>
      <c r="LLI11" s="391"/>
      <c r="LLJ11" s="391"/>
      <c r="LLK11" s="391"/>
      <c r="LLL11" s="391"/>
      <c r="LLM11" s="391"/>
      <c r="LLN11" s="391"/>
      <c r="LLO11" s="391"/>
      <c r="LLP11" s="391"/>
      <c r="LLQ11" s="391"/>
      <c r="LLR11" s="391"/>
      <c r="LLS11" s="391"/>
      <c r="LLT11" s="391"/>
      <c r="LLU11" s="391"/>
      <c r="LLV11" s="391"/>
      <c r="LLW11" s="391"/>
      <c r="LLX11" s="391"/>
      <c r="LLY11" s="391"/>
      <c r="LLZ11" s="391"/>
      <c r="LMA11" s="391"/>
      <c r="LMB11" s="391"/>
      <c r="LMC11" s="391"/>
      <c r="LMD11" s="391"/>
      <c r="LME11" s="391"/>
      <c r="LMF11" s="391"/>
      <c r="LMG11" s="391"/>
      <c r="LMH11" s="391"/>
      <c r="LMI11" s="391"/>
      <c r="LMJ11" s="391"/>
      <c r="LMK11" s="391"/>
      <c r="LML11" s="391"/>
      <c r="LMM11" s="391"/>
      <c r="LMN11" s="391"/>
      <c r="LMO11" s="391"/>
      <c r="LMP11" s="391"/>
      <c r="LMQ11" s="391"/>
      <c r="LMR11" s="391"/>
      <c r="LMS11" s="391"/>
      <c r="LMT11" s="391"/>
      <c r="LMU11" s="391"/>
      <c r="LMV11" s="391"/>
      <c r="LMW11" s="391"/>
      <c r="LMX11" s="391"/>
      <c r="LMY11" s="391"/>
      <c r="LMZ11" s="391"/>
      <c r="LNA11" s="391"/>
      <c r="LNB11" s="391"/>
      <c r="LNC11" s="391"/>
      <c r="LND11" s="391"/>
      <c r="LNE11" s="391"/>
      <c r="LNF11" s="391"/>
      <c r="LNG11" s="391"/>
      <c r="LNH11" s="391"/>
      <c r="LNI11" s="391"/>
      <c r="LNJ11" s="391"/>
      <c r="LNK11" s="391"/>
      <c r="LNL11" s="391"/>
      <c r="LNM11" s="391"/>
      <c r="LNN11" s="391"/>
      <c r="LNO11" s="391"/>
      <c r="LNP11" s="391"/>
      <c r="LNQ11" s="391"/>
      <c r="LNR11" s="391"/>
      <c r="LNS11" s="391"/>
      <c r="LNT11" s="391"/>
      <c r="LNU11" s="391"/>
      <c r="LNV11" s="391"/>
      <c r="LNW11" s="391"/>
      <c r="LNX11" s="391"/>
      <c r="LNY11" s="391"/>
      <c r="LNZ11" s="391"/>
      <c r="LOA11" s="391"/>
      <c r="LOB11" s="391"/>
      <c r="LOC11" s="391"/>
      <c r="LOD11" s="391"/>
      <c r="LOE11" s="391"/>
      <c r="LOF11" s="391"/>
      <c r="LOG11" s="391"/>
      <c r="LOH11" s="391"/>
      <c r="LOI11" s="391"/>
      <c r="LOJ11" s="391"/>
      <c r="LOK11" s="391"/>
      <c r="LOL11" s="391"/>
      <c r="LOM11" s="391"/>
      <c r="LON11" s="391"/>
      <c r="LOO11" s="391"/>
      <c r="LOP11" s="391"/>
      <c r="LOQ11" s="391"/>
      <c r="LOR11" s="391"/>
      <c r="LOS11" s="391"/>
      <c r="LOT11" s="391"/>
      <c r="LOU11" s="391"/>
      <c r="LOV11" s="391"/>
      <c r="LOW11" s="391"/>
      <c r="LOX11" s="391"/>
      <c r="LOY11" s="391"/>
      <c r="LOZ11" s="391"/>
      <c r="LPA11" s="391"/>
      <c r="LPB11" s="391"/>
      <c r="LPC11" s="391"/>
      <c r="LPD11" s="391"/>
      <c r="LPE11" s="391"/>
      <c r="LPF11" s="391"/>
      <c r="LPG11" s="391"/>
      <c r="LPH11" s="391"/>
      <c r="LPI11" s="391"/>
      <c r="LPJ11" s="391"/>
      <c r="LPK11" s="391"/>
      <c r="LPL11" s="391"/>
      <c r="LPM11" s="391"/>
      <c r="LPN11" s="391"/>
      <c r="LPO11" s="391"/>
      <c r="LPP11" s="391"/>
      <c r="LPQ11" s="391"/>
      <c r="LPR11" s="391"/>
      <c r="LPS11" s="391"/>
      <c r="LPT11" s="391"/>
      <c r="LPU11" s="391"/>
      <c r="LPV11" s="391"/>
      <c r="LPW11" s="391"/>
      <c r="LPX11" s="391"/>
      <c r="LPY11" s="391"/>
      <c r="LPZ11" s="391"/>
      <c r="LQA11" s="391"/>
      <c r="LQB11" s="391"/>
      <c r="LQC11" s="391"/>
      <c r="LQD11" s="391"/>
      <c r="LQE11" s="391"/>
      <c r="LQF11" s="391"/>
      <c r="LQG11" s="391"/>
      <c r="LQH11" s="391"/>
      <c r="LQI11" s="391"/>
      <c r="LQJ11" s="391"/>
      <c r="LQK11" s="391"/>
      <c r="LQL11" s="391"/>
      <c r="LQM11" s="391"/>
      <c r="LQN11" s="391"/>
      <c r="LQO11" s="391"/>
      <c r="LQP11" s="391"/>
      <c r="LQQ11" s="391"/>
      <c r="LQR11" s="391"/>
      <c r="LQS11" s="391"/>
      <c r="LQT11" s="391"/>
      <c r="LQU11" s="391"/>
      <c r="LQV11" s="391"/>
      <c r="LQW11" s="391"/>
      <c r="LQX11" s="391"/>
      <c r="LQY11" s="391"/>
      <c r="LQZ11" s="391"/>
      <c r="LRA11" s="391"/>
      <c r="LRB11" s="391"/>
      <c r="LRC11" s="391"/>
      <c r="LRD11" s="391"/>
      <c r="LRE11" s="391"/>
      <c r="LRF11" s="391"/>
      <c r="LRG11" s="391"/>
      <c r="LRH11" s="391"/>
      <c r="LRI11" s="391"/>
      <c r="LRJ11" s="391"/>
      <c r="LRK11" s="391"/>
      <c r="LRL11" s="391"/>
      <c r="LRM11" s="391"/>
      <c r="LRN11" s="391"/>
      <c r="LRO11" s="391"/>
      <c r="LRP11" s="391"/>
      <c r="LRQ11" s="391"/>
      <c r="LRR11" s="391"/>
      <c r="LRS11" s="391"/>
      <c r="LRT11" s="391"/>
      <c r="LRU11" s="391"/>
      <c r="LRV11" s="391"/>
      <c r="LRW11" s="391"/>
      <c r="LRX11" s="391"/>
      <c r="LRY11" s="391"/>
      <c r="LRZ11" s="391"/>
      <c r="LSA11" s="391"/>
      <c r="LSB11" s="391"/>
      <c r="LSC11" s="391"/>
      <c r="LSD11" s="391"/>
      <c r="LSE11" s="391"/>
      <c r="LSF11" s="391"/>
      <c r="LSG11" s="391"/>
      <c r="LSH11" s="391"/>
      <c r="LSI11" s="391"/>
      <c r="LSJ11" s="391"/>
      <c r="LSK11" s="391"/>
      <c r="LSL11" s="391"/>
      <c r="LSM11" s="391"/>
      <c r="LSN11" s="391"/>
      <c r="LSO11" s="391"/>
      <c r="LSP11" s="391"/>
      <c r="LSQ11" s="391"/>
      <c r="LSR11" s="391"/>
      <c r="LSS11" s="391"/>
      <c r="LST11" s="391"/>
      <c r="LSU11" s="391"/>
      <c r="LSV11" s="391"/>
      <c r="LSW11" s="391"/>
      <c r="LSX11" s="391"/>
      <c r="LSY11" s="391"/>
      <c r="LSZ11" s="391"/>
      <c r="LTA11" s="391"/>
      <c r="LTB11" s="391"/>
      <c r="LTC11" s="391"/>
      <c r="LTD11" s="391"/>
      <c r="LTE11" s="391"/>
      <c r="LTF11" s="391"/>
      <c r="LTG11" s="391"/>
      <c r="LTH11" s="391"/>
      <c r="LTI11" s="391"/>
      <c r="LTJ11" s="391"/>
      <c r="LTK11" s="391"/>
      <c r="LTL11" s="391"/>
      <c r="LTM11" s="391"/>
      <c r="LTN11" s="391"/>
      <c r="LTO11" s="391"/>
      <c r="LTP11" s="391"/>
      <c r="LTQ11" s="391"/>
      <c r="LTR11" s="391"/>
      <c r="LTS11" s="391"/>
      <c r="LTT11" s="391"/>
      <c r="LTU11" s="391"/>
      <c r="LTV11" s="391"/>
      <c r="LTW11" s="391"/>
      <c r="LTX11" s="391"/>
      <c r="LTY11" s="391"/>
      <c r="LTZ11" s="391"/>
      <c r="LUA11" s="391"/>
      <c r="LUB11" s="391"/>
      <c r="LUC11" s="391"/>
      <c r="LUD11" s="391"/>
      <c r="LUE11" s="391"/>
      <c r="LUF11" s="391"/>
      <c r="LUG11" s="391"/>
      <c r="LUH11" s="391"/>
      <c r="LUI11" s="391"/>
      <c r="LUJ11" s="391"/>
      <c r="LUK11" s="391"/>
      <c r="LUL11" s="391"/>
      <c r="LUM11" s="391"/>
      <c r="LUN11" s="391"/>
      <c r="LUO11" s="391"/>
      <c r="LUP11" s="391"/>
      <c r="LUQ11" s="391"/>
      <c r="LUR11" s="391"/>
      <c r="LUS11" s="391"/>
      <c r="LUT11" s="391"/>
      <c r="LUU11" s="391"/>
      <c r="LUV11" s="391"/>
      <c r="LUW11" s="391"/>
      <c r="LUX11" s="391"/>
      <c r="LUY11" s="391"/>
      <c r="LUZ11" s="391"/>
      <c r="LVA11" s="391"/>
      <c r="LVB11" s="391"/>
      <c r="LVC11" s="391"/>
      <c r="LVD11" s="391"/>
      <c r="LVE11" s="391"/>
      <c r="LVF11" s="391"/>
      <c r="LVG11" s="391"/>
      <c r="LVH11" s="391"/>
      <c r="LVI11" s="391"/>
      <c r="LVJ11" s="391"/>
      <c r="LVK11" s="391"/>
      <c r="LVL11" s="391"/>
      <c r="LVM11" s="391"/>
      <c r="LVN11" s="391"/>
      <c r="LVO11" s="391"/>
      <c r="LVP11" s="391"/>
      <c r="LVQ11" s="391"/>
      <c r="LVR11" s="391"/>
      <c r="LVS11" s="391"/>
      <c r="LVT11" s="391"/>
      <c r="LVU11" s="391"/>
      <c r="LVV11" s="391"/>
      <c r="LVW11" s="391"/>
      <c r="LVX11" s="391"/>
      <c r="LVY11" s="391"/>
      <c r="LVZ11" s="391"/>
      <c r="LWA11" s="391"/>
      <c r="LWB11" s="391"/>
      <c r="LWC11" s="391"/>
      <c r="LWD11" s="391"/>
      <c r="LWE11" s="391"/>
      <c r="LWF11" s="391"/>
      <c r="LWG11" s="391"/>
      <c r="LWH11" s="391"/>
      <c r="LWI11" s="391"/>
      <c r="LWJ11" s="391"/>
      <c r="LWK11" s="391"/>
      <c r="LWL11" s="391"/>
      <c r="LWM11" s="391"/>
      <c r="LWN11" s="391"/>
      <c r="LWO11" s="391"/>
      <c r="LWP11" s="391"/>
      <c r="LWQ11" s="391"/>
      <c r="LWR11" s="391"/>
      <c r="LWS11" s="391"/>
      <c r="LWT11" s="391"/>
      <c r="LWU11" s="391"/>
      <c r="LWV11" s="391"/>
      <c r="LWW11" s="391"/>
      <c r="LWX11" s="391"/>
      <c r="LWY11" s="391"/>
      <c r="LWZ11" s="391"/>
      <c r="LXA11" s="391"/>
      <c r="LXB11" s="391"/>
      <c r="LXC11" s="391"/>
      <c r="LXD11" s="391"/>
      <c r="LXE11" s="391"/>
      <c r="LXF11" s="391"/>
      <c r="LXG11" s="391"/>
      <c r="LXH11" s="391"/>
      <c r="LXI11" s="391"/>
      <c r="LXJ11" s="391"/>
      <c r="LXK11" s="391"/>
      <c r="LXL11" s="391"/>
      <c r="LXM11" s="391"/>
      <c r="LXN11" s="391"/>
      <c r="LXO11" s="391"/>
      <c r="LXP11" s="391"/>
      <c r="LXQ11" s="391"/>
      <c r="LXR11" s="391"/>
      <c r="LXS11" s="391"/>
      <c r="LXT11" s="391"/>
      <c r="LXU11" s="391"/>
      <c r="LXV11" s="391"/>
      <c r="LXW11" s="391"/>
      <c r="LXX11" s="391"/>
      <c r="LXY11" s="391"/>
      <c r="LXZ11" s="391"/>
      <c r="LYA11" s="391"/>
      <c r="LYB11" s="391"/>
      <c r="LYC11" s="391"/>
      <c r="LYD11" s="391"/>
      <c r="LYE11" s="391"/>
      <c r="LYF11" s="391"/>
      <c r="LYG11" s="391"/>
      <c r="LYH11" s="391"/>
      <c r="LYI11" s="391"/>
      <c r="LYJ11" s="391"/>
      <c r="LYK11" s="391"/>
      <c r="LYL11" s="391"/>
      <c r="LYM11" s="391"/>
      <c r="LYN11" s="391"/>
      <c r="LYO11" s="391"/>
      <c r="LYP11" s="391"/>
      <c r="LYQ11" s="391"/>
      <c r="LYR11" s="391"/>
      <c r="LYS11" s="391"/>
      <c r="LYT11" s="391"/>
      <c r="LYU11" s="391"/>
      <c r="LYV11" s="391"/>
      <c r="LYW11" s="391"/>
      <c r="LYX11" s="391"/>
      <c r="LYY11" s="391"/>
      <c r="LYZ11" s="391"/>
      <c r="LZA11" s="391"/>
      <c r="LZB11" s="391"/>
      <c r="LZC11" s="391"/>
      <c r="LZD11" s="391"/>
      <c r="LZE11" s="391"/>
      <c r="LZF11" s="391"/>
      <c r="LZG11" s="391"/>
      <c r="LZH11" s="391"/>
      <c r="LZI11" s="391"/>
      <c r="LZJ11" s="391"/>
      <c r="LZK11" s="391"/>
      <c r="LZL11" s="391"/>
      <c r="LZM11" s="391"/>
      <c r="LZN11" s="391"/>
      <c r="LZO11" s="391"/>
      <c r="LZP11" s="391"/>
      <c r="LZQ11" s="391"/>
      <c r="LZR11" s="391"/>
      <c r="LZS11" s="391"/>
      <c r="LZT11" s="391"/>
      <c r="LZU11" s="391"/>
      <c r="LZV11" s="391"/>
      <c r="LZW11" s="391"/>
      <c r="LZX11" s="391"/>
      <c r="LZY11" s="391"/>
      <c r="LZZ11" s="391"/>
      <c r="MAA11" s="391"/>
      <c r="MAB11" s="391"/>
      <c r="MAC11" s="391"/>
      <c r="MAD11" s="391"/>
      <c r="MAE11" s="391"/>
      <c r="MAF11" s="391"/>
      <c r="MAG11" s="391"/>
      <c r="MAH11" s="391"/>
      <c r="MAI11" s="391"/>
      <c r="MAJ11" s="391"/>
      <c r="MAK11" s="391"/>
      <c r="MAL11" s="391"/>
      <c r="MAM11" s="391"/>
      <c r="MAN11" s="391"/>
      <c r="MAO11" s="391"/>
      <c r="MAP11" s="391"/>
      <c r="MAQ11" s="391"/>
      <c r="MAR11" s="391"/>
      <c r="MAS11" s="391"/>
      <c r="MAT11" s="391"/>
      <c r="MAU11" s="391"/>
      <c r="MAV11" s="391"/>
      <c r="MAW11" s="391"/>
      <c r="MAX11" s="391"/>
      <c r="MAY11" s="391"/>
      <c r="MAZ11" s="391"/>
      <c r="MBA11" s="391"/>
      <c r="MBB11" s="391"/>
      <c r="MBC11" s="391"/>
      <c r="MBD11" s="391"/>
      <c r="MBE11" s="391"/>
      <c r="MBF11" s="391"/>
      <c r="MBG11" s="391"/>
      <c r="MBH11" s="391"/>
      <c r="MBI11" s="391"/>
      <c r="MBJ11" s="391"/>
      <c r="MBK11" s="391"/>
      <c r="MBL11" s="391"/>
      <c r="MBM11" s="391"/>
      <c r="MBN11" s="391"/>
      <c r="MBO11" s="391"/>
      <c r="MBP11" s="391"/>
      <c r="MBQ11" s="391"/>
      <c r="MBR11" s="391"/>
      <c r="MBS11" s="391"/>
      <c r="MBT11" s="391"/>
      <c r="MBU11" s="391"/>
      <c r="MBV11" s="391"/>
      <c r="MBW11" s="391"/>
      <c r="MBX11" s="391"/>
      <c r="MBY11" s="391"/>
      <c r="MBZ11" s="391"/>
      <c r="MCA11" s="391"/>
      <c r="MCB11" s="391"/>
      <c r="MCC11" s="391"/>
      <c r="MCD11" s="391"/>
      <c r="MCE11" s="391"/>
      <c r="MCF11" s="391"/>
      <c r="MCG11" s="391"/>
      <c r="MCH11" s="391"/>
      <c r="MCI11" s="391"/>
      <c r="MCJ11" s="391"/>
      <c r="MCK11" s="391"/>
      <c r="MCL11" s="391"/>
      <c r="MCM11" s="391"/>
      <c r="MCN11" s="391"/>
      <c r="MCO11" s="391"/>
      <c r="MCP11" s="391"/>
      <c r="MCQ11" s="391"/>
      <c r="MCR11" s="391"/>
      <c r="MCS11" s="391"/>
      <c r="MCT11" s="391"/>
      <c r="MCU11" s="391"/>
      <c r="MCV11" s="391"/>
      <c r="MCW11" s="391"/>
      <c r="MCX11" s="391"/>
      <c r="MCY11" s="391"/>
      <c r="MCZ11" s="391"/>
      <c r="MDA11" s="391"/>
      <c r="MDB11" s="391"/>
      <c r="MDC11" s="391"/>
      <c r="MDD11" s="391"/>
      <c r="MDE11" s="391"/>
      <c r="MDF11" s="391"/>
      <c r="MDG11" s="391"/>
      <c r="MDH11" s="391"/>
      <c r="MDI11" s="391"/>
      <c r="MDJ11" s="391"/>
      <c r="MDK11" s="391"/>
      <c r="MDL11" s="391"/>
      <c r="MDM11" s="391"/>
      <c r="MDN11" s="391"/>
      <c r="MDO11" s="391"/>
      <c r="MDP11" s="391"/>
      <c r="MDQ11" s="391"/>
      <c r="MDR11" s="391"/>
      <c r="MDS11" s="391"/>
      <c r="MDT11" s="391"/>
      <c r="MDU11" s="391"/>
      <c r="MDV11" s="391"/>
      <c r="MDW11" s="391"/>
      <c r="MDX11" s="391"/>
      <c r="MDY11" s="391"/>
      <c r="MDZ11" s="391"/>
      <c r="MEA11" s="391"/>
      <c r="MEB11" s="391"/>
      <c r="MEC11" s="391"/>
      <c r="MED11" s="391"/>
      <c r="MEE11" s="391"/>
      <c r="MEF11" s="391"/>
      <c r="MEG11" s="391"/>
      <c r="MEH11" s="391"/>
      <c r="MEI11" s="391"/>
      <c r="MEJ11" s="391"/>
      <c r="MEK11" s="391"/>
      <c r="MEL11" s="391"/>
      <c r="MEM11" s="391"/>
      <c r="MEN11" s="391"/>
      <c r="MEO11" s="391"/>
      <c r="MEP11" s="391"/>
      <c r="MEQ11" s="391"/>
      <c r="MER11" s="391"/>
      <c r="MES11" s="391"/>
      <c r="MET11" s="391"/>
      <c r="MEU11" s="391"/>
      <c r="MEV11" s="391"/>
      <c r="MEW11" s="391"/>
      <c r="MEX11" s="391"/>
      <c r="MEY11" s="391"/>
      <c r="MEZ11" s="391"/>
      <c r="MFA11" s="391"/>
      <c r="MFB11" s="391"/>
      <c r="MFC11" s="391"/>
      <c r="MFD11" s="391"/>
      <c r="MFE11" s="391"/>
      <c r="MFF11" s="391"/>
      <c r="MFG11" s="391"/>
      <c r="MFH11" s="391"/>
      <c r="MFI11" s="391"/>
      <c r="MFJ11" s="391"/>
      <c r="MFK11" s="391"/>
      <c r="MFL11" s="391"/>
      <c r="MFM11" s="391"/>
      <c r="MFN11" s="391"/>
      <c r="MFO11" s="391"/>
      <c r="MFP11" s="391"/>
      <c r="MFQ11" s="391"/>
      <c r="MFR11" s="391"/>
      <c r="MFS11" s="391"/>
      <c r="MFT11" s="391"/>
      <c r="MFU11" s="391"/>
      <c r="MFV11" s="391"/>
      <c r="MFW11" s="391"/>
      <c r="MFX11" s="391"/>
      <c r="MFY11" s="391"/>
      <c r="MFZ11" s="391"/>
      <c r="MGA11" s="391"/>
      <c r="MGB11" s="391"/>
      <c r="MGC11" s="391"/>
      <c r="MGD11" s="391"/>
      <c r="MGE11" s="391"/>
      <c r="MGF11" s="391"/>
      <c r="MGG11" s="391"/>
      <c r="MGH11" s="391"/>
      <c r="MGI11" s="391"/>
      <c r="MGJ11" s="391"/>
      <c r="MGK11" s="391"/>
      <c r="MGL11" s="391"/>
      <c r="MGM11" s="391"/>
      <c r="MGN11" s="391"/>
      <c r="MGO11" s="391"/>
      <c r="MGP11" s="391"/>
      <c r="MGQ11" s="391"/>
      <c r="MGR11" s="391"/>
      <c r="MGS11" s="391"/>
      <c r="MGT11" s="391"/>
      <c r="MGU11" s="391"/>
      <c r="MGV11" s="391"/>
      <c r="MGW11" s="391"/>
      <c r="MGX11" s="391"/>
      <c r="MGY11" s="391"/>
      <c r="MGZ11" s="391"/>
      <c r="MHA11" s="391"/>
      <c r="MHB11" s="391"/>
      <c r="MHC11" s="391"/>
      <c r="MHD11" s="391"/>
      <c r="MHE11" s="391"/>
      <c r="MHF11" s="391"/>
      <c r="MHG11" s="391"/>
      <c r="MHH11" s="391"/>
      <c r="MHI11" s="391"/>
      <c r="MHJ11" s="391"/>
      <c r="MHK11" s="391"/>
      <c r="MHL11" s="391"/>
      <c r="MHM11" s="391"/>
      <c r="MHN11" s="391"/>
      <c r="MHO11" s="391"/>
      <c r="MHP11" s="391"/>
      <c r="MHQ11" s="391"/>
      <c r="MHR11" s="391"/>
      <c r="MHS11" s="391"/>
      <c r="MHT11" s="391"/>
      <c r="MHU11" s="391"/>
      <c r="MHV11" s="391"/>
      <c r="MHW11" s="391"/>
      <c r="MHX11" s="391"/>
      <c r="MHY11" s="391"/>
      <c r="MHZ11" s="391"/>
      <c r="MIA11" s="391"/>
      <c r="MIB11" s="391"/>
      <c r="MIC11" s="391"/>
      <c r="MID11" s="391"/>
      <c r="MIE11" s="391"/>
      <c r="MIF11" s="391"/>
      <c r="MIG11" s="391"/>
      <c r="MIH11" s="391"/>
      <c r="MII11" s="391"/>
      <c r="MIJ11" s="391"/>
      <c r="MIK11" s="391"/>
      <c r="MIL11" s="391"/>
      <c r="MIM11" s="391"/>
      <c r="MIN11" s="391"/>
      <c r="MIO11" s="391"/>
      <c r="MIP11" s="391"/>
      <c r="MIQ11" s="391"/>
      <c r="MIR11" s="391"/>
      <c r="MIS11" s="391"/>
      <c r="MIT11" s="391"/>
      <c r="MIU11" s="391"/>
      <c r="MIV11" s="391"/>
      <c r="MIW11" s="391"/>
      <c r="MIX11" s="391"/>
      <c r="MIY11" s="391"/>
      <c r="MIZ11" s="391"/>
      <c r="MJA11" s="391"/>
      <c r="MJB11" s="391"/>
      <c r="MJC11" s="391"/>
      <c r="MJD11" s="391"/>
      <c r="MJE11" s="391"/>
      <c r="MJF11" s="391"/>
      <c r="MJG11" s="391"/>
      <c r="MJH11" s="391"/>
      <c r="MJI11" s="391"/>
      <c r="MJJ11" s="391"/>
      <c r="MJK11" s="391"/>
      <c r="MJL11" s="391"/>
      <c r="MJM11" s="391"/>
      <c r="MJN11" s="391"/>
      <c r="MJO11" s="391"/>
      <c r="MJP11" s="391"/>
      <c r="MJQ11" s="391"/>
      <c r="MJR11" s="391"/>
      <c r="MJS11" s="391"/>
      <c r="MJT11" s="391"/>
      <c r="MJU11" s="391"/>
      <c r="MJV11" s="391"/>
      <c r="MJW11" s="391"/>
      <c r="MJX11" s="391"/>
      <c r="MJY11" s="391"/>
      <c r="MJZ11" s="391"/>
      <c r="MKA11" s="391"/>
      <c r="MKB11" s="391"/>
      <c r="MKC11" s="391"/>
      <c r="MKD11" s="391"/>
      <c r="MKE11" s="391"/>
      <c r="MKF11" s="391"/>
      <c r="MKG11" s="391"/>
      <c r="MKH11" s="391"/>
      <c r="MKI11" s="391"/>
      <c r="MKJ11" s="391"/>
      <c r="MKK11" s="391"/>
      <c r="MKL11" s="391"/>
      <c r="MKM11" s="391"/>
      <c r="MKN11" s="391"/>
      <c r="MKO11" s="391"/>
      <c r="MKP11" s="391"/>
      <c r="MKQ11" s="391"/>
      <c r="MKR11" s="391"/>
      <c r="MKS11" s="391"/>
      <c r="MKT11" s="391"/>
      <c r="MKU11" s="391"/>
      <c r="MKV11" s="391"/>
      <c r="MKW11" s="391"/>
      <c r="MKX11" s="391"/>
      <c r="MKY11" s="391"/>
      <c r="MKZ11" s="391"/>
      <c r="MLA11" s="391"/>
      <c r="MLB11" s="391"/>
      <c r="MLC11" s="391"/>
      <c r="MLD11" s="391"/>
      <c r="MLE11" s="391"/>
      <c r="MLF11" s="391"/>
      <c r="MLG11" s="391"/>
      <c r="MLH11" s="391"/>
      <c r="MLI11" s="391"/>
      <c r="MLJ11" s="391"/>
      <c r="MLK11" s="391"/>
      <c r="MLL11" s="391"/>
      <c r="MLM11" s="391"/>
      <c r="MLN11" s="391"/>
      <c r="MLO11" s="391"/>
      <c r="MLP11" s="391"/>
      <c r="MLQ11" s="391"/>
      <c r="MLR11" s="391"/>
      <c r="MLS11" s="391"/>
      <c r="MLT11" s="391"/>
      <c r="MLU11" s="391"/>
      <c r="MLV11" s="391"/>
      <c r="MLW11" s="391"/>
      <c r="MLX11" s="391"/>
      <c r="MLY11" s="391"/>
      <c r="MLZ11" s="391"/>
      <c r="MMA11" s="391"/>
      <c r="MMB11" s="391"/>
      <c r="MMC11" s="391"/>
      <c r="MMD11" s="391"/>
      <c r="MME11" s="391"/>
      <c r="MMF11" s="391"/>
      <c r="MMG11" s="391"/>
      <c r="MMH11" s="391"/>
      <c r="MMI11" s="391"/>
      <c r="MMJ11" s="391"/>
      <c r="MMK11" s="391"/>
      <c r="MML11" s="391"/>
      <c r="MMM11" s="391"/>
      <c r="MMN11" s="391"/>
      <c r="MMO11" s="391"/>
      <c r="MMP11" s="391"/>
      <c r="MMQ11" s="391"/>
      <c r="MMR11" s="391"/>
      <c r="MMS11" s="391"/>
      <c r="MMT11" s="391"/>
      <c r="MMU11" s="391"/>
      <c r="MMV11" s="391"/>
      <c r="MMW11" s="391"/>
      <c r="MMX11" s="391"/>
      <c r="MMY11" s="391"/>
      <c r="MMZ11" s="391"/>
      <c r="MNA11" s="391"/>
      <c r="MNB11" s="391"/>
      <c r="MNC11" s="391"/>
      <c r="MND11" s="391"/>
      <c r="MNE11" s="391"/>
      <c r="MNF11" s="391"/>
      <c r="MNG11" s="391"/>
      <c r="MNH11" s="391"/>
      <c r="MNI11" s="391"/>
      <c r="MNJ11" s="391"/>
      <c r="MNK11" s="391"/>
      <c r="MNL11" s="391"/>
      <c r="MNM11" s="391"/>
      <c r="MNN11" s="391"/>
      <c r="MNO11" s="391"/>
      <c r="MNP11" s="391"/>
      <c r="MNQ11" s="391"/>
      <c r="MNR11" s="391"/>
      <c r="MNS11" s="391"/>
      <c r="MNT11" s="391"/>
      <c r="MNU11" s="391"/>
      <c r="MNV11" s="391"/>
      <c r="MNW11" s="391"/>
      <c r="MNX11" s="391"/>
      <c r="MNY11" s="391"/>
      <c r="MNZ11" s="391"/>
      <c r="MOA11" s="391"/>
      <c r="MOB11" s="391"/>
      <c r="MOC11" s="391"/>
      <c r="MOD11" s="391"/>
      <c r="MOE11" s="391"/>
      <c r="MOF11" s="391"/>
      <c r="MOG11" s="391"/>
      <c r="MOH11" s="391"/>
      <c r="MOI11" s="391"/>
      <c r="MOJ11" s="391"/>
      <c r="MOK11" s="391"/>
      <c r="MOL11" s="391"/>
      <c r="MOM11" s="391"/>
      <c r="MON11" s="391"/>
      <c r="MOO11" s="391"/>
      <c r="MOP11" s="391"/>
      <c r="MOQ11" s="391"/>
      <c r="MOR11" s="391"/>
      <c r="MOS11" s="391"/>
      <c r="MOT11" s="391"/>
      <c r="MOU11" s="391"/>
      <c r="MOV11" s="391"/>
      <c r="MOW11" s="391"/>
      <c r="MOX11" s="391"/>
      <c r="MOY11" s="391"/>
      <c r="MOZ11" s="391"/>
      <c r="MPA11" s="391"/>
      <c r="MPB11" s="391"/>
      <c r="MPC11" s="391"/>
      <c r="MPD11" s="391"/>
      <c r="MPE11" s="391"/>
      <c r="MPF11" s="391"/>
      <c r="MPG11" s="391"/>
      <c r="MPH11" s="391"/>
      <c r="MPI11" s="391"/>
      <c r="MPJ11" s="391"/>
      <c r="MPK11" s="391"/>
      <c r="MPL11" s="391"/>
      <c r="MPM11" s="391"/>
      <c r="MPN11" s="391"/>
      <c r="MPO11" s="391"/>
      <c r="MPP11" s="391"/>
      <c r="MPQ11" s="391"/>
      <c r="MPR11" s="391"/>
      <c r="MPS11" s="391"/>
      <c r="MPT11" s="391"/>
      <c r="MPU11" s="391"/>
      <c r="MPV11" s="391"/>
      <c r="MPW11" s="391"/>
      <c r="MPX11" s="391"/>
      <c r="MPY11" s="391"/>
      <c r="MPZ11" s="391"/>
      <c r="MQA11" s="391"/>
      <c r="MQB11" s="391"/>
      <c r="MQC11" s="391"/>
      <c r="MQD11" s="391"/>
      <c r="MQE11" s="391"/>
      <c r="MQF11" s="391"/>
      <c r="MQG11" s="391"/>
      <c r="MQH11" s="391"/>
      <c r="MQI11" s="391"/>
      <c r="MQJ11" s="391"/>
      <c r="MQK11" s="391"/>
      <c r="MQL11" s="391"/>
      <c r="MQM11" s="391"/>
      <c r="MQN11" s="391"/>
      <c r="MQO11" s="391"/>
      <c r="MQP11" s="391"/>
      <c r="MQQ11" s="391"/>
      <c r="MQR11" s="391"/>
      <c r="MQS11" s="391"/>
      <c r="MQT11" s="391"/>
      <c r="MQU11" s="391"/>
      <c r="MQV11" s="391"/>
      <c r="MQW11" s="391"/>
      <c r="MQX11" s="391"/>
      <c r="MQY11" s="391"/>
      <c r="MQZ11" s="391"/>
      <c r="MRA11" s="391"/>
      <c r="MRB11" s="391"/>
      <c r="MRC11" s="391"/>
      <c r="MRD11" s="391"/>
      <c r="MRE11" s="391"/>
      <c r="MRF11" s="391"/>
      <c r="MRG11" s="391"/>
      <c r="MRH11" s="391"/>
      <c r="MRI11" s="391"/>
      <c r="MRJ11" s="391"/>
      <c r="MRK11" s="391"/>
      <c r="MRL11" s="391"/>
      <c r="MRM11" s="391"/>
      <c r="MRN11" s="391"/>
      <c r="MRO11" s="391"/>
      <c r="MRP11" s="391"/>
      <c r="MRQ11" s="391"/>
      <c r="MRR11" s="391"/>
      <c r="MRS11" s="391"/>
      <c r="MRT11" s="391"/>
      <c r="MRU11" s="391"/>
      <c r="MRV11" s="391"/>
      <c r="MRW11" s="391"/>
      <c r="MRX11" s="391"/>
      <c r="MRY11" s="391"/>
      <c r="MRZ11" s="391"/>
      <c r="MSA11" s="391"/>
      <c r="MSB11" s="391"/>
      <c r="MSC11" s="391"/>
      <c r="MSD11" s="391"/>
      <c r="MSE11" s="391"/>
      <c r="MSF11" s="391"/>
      <c r="MSG11" s="391"/>
      <c r="MSH11" s="391"/>
      <c r="MSI11" s="391"/>
      <c r="MSJ11" s="391"/>
      <c r="MSK11" s="391"/>
      <c r="MSL11" s="391"/>
      <c r="MSM11" s="391"/>
      <c r="MSN11" s="391"/>
      <c r="MSO11" s="391"/>
      <c r="MSP11" s="391"/>
      <c r="MSQ11" s="391"/>
      <c r="MSR11" s="391"/>
      <c r="MSS11" s="391"/>
      <c r="MST11" s="391"/>
      <c r="MSU11" s="391"/>
      <c r="MSV11" s="391"/>
      <c r="MSW11" s="391"/>
      <c r="MSX11" s="391"/>
      <c r="MSY11" s="391"/>
      <c r="MSZ11" s="391"/>
      <c r="MTA11" s="391"/>
      <c r="MTB11" s="391"/>
      <c r="MTC11" s="391"/>
      <c r="MTD11" s="391"/>
      <c r="MTE11" s="391"/>
      <c r="MTF11" s="391"/>
      <c r="MTG11" s="391"/>
      <c r="MTH11" s="391"/>
      <c r="MTI11" s="391"/>
      <c r="MTJ11" s="391"/>
      <c r="MTK11" s="391"/>
      <c r="MTL11" s="391"/>
      <c r="MTM11" s="391"/>
      <c r="MTN11" s="391"/>
      <c r="MTO11" s="391"/>
      <c r="MTP11" s="391"/>
      <c r="MTQ11" s="391"/>
      <c r="MTR11" s="391"/>
      <c r="MTS11" s="391"/>
      <c r="MTT11" s="391"/>
      <c r="MTU11" s="391"/>
      <c r="MTV11" s="391"/>
      <c r="MTW11" s="391"/>
      <c r="MTX11" s="391"/>
      <c r="MTY11" s="391"/>
      <c r="MTZ11" s="391"/>
      <c r="MUA11" s="391"/>
      <c r="MUB11" s="391"/>
      <c r="MUC11" s="391"/>
      <c r="MUD11" s="391"/>
      <c r="MUE11" s="391"/>
      <c r="MUF11" s="391"/>
      <c r="MUG11" s="391"/>
      <c r="MUH11" s="391"/>
      <c r="MUI11" s="391"/>
      <c r="MUJ11" s="391"/>
      <c r="MUK11" s="391"/>
      <c r="MUL11" s="391"/>
      <c r="MUM11" s="391"/>
      <c r="MUN11" s="391"/>
      <c r="MUO11" s="391"/>
      <c r="MUP11" s="391"/>
      <c r="MUQ11" s="391"/>
      <c r="MUR11" s="391"/>
      <c r="MUS11" s="391"/>
      <c r="MUT11" s="391"/>
      <c r="MUU11" s="391"/>
      <c r="MUV11" s="391"/>
      <c r="MUW11" s="391"/>
      <c r="MUX11" s="391"/>
      <c r="MUY11" s="391"/>
      <c r="MUZ11" s="391"/>
      <c r="MVA11" s="391"/>
      <c r="MVB11" s="391"/>
      <c r="MVC11" s="391"/>
      <c r="MVD11" s="391"/>
      <c r="MVE11" s="391"/>
      <c r="MVF11" s="391"/>
      <c r="MVG11" s="391"/>
      <c r="MVH11" s="391"/>
      <c r="MVI11" s="391"/>
      <c r="MVJ11" s="391"/>
      <c r="MVK11" s="391"/>
      <c r="MVL11" s="391"/>
      <c r="MVM11" s="391"/>
      <c r="MVN11" s="391"/>
      <c r="MVO11" s="391"/>
      <c r="MVP11" s="391"/>
      <c r="MVQ11" s="391"/>
      <c r="MVR11" s="391"/>
      <c r="MVS11" s="391"/>
      <c r="MVT11" s="391"/>
      <c r="MVU11" s="391"/>
      <c r="MVV11" s="391"/>
      <c r="MVW11" s="391"/>
      <c r="MVX11" s="391"/>
      <c r="MVY11" s="391"/>
      <c r="MVZ11" s="391"/>
      <c r="MWA11" s="391"/>
      <c r="MWB11" s="391"/>
      <c r="MWC11" s="391"/>
      <c r="MWD11" s="391"/>
      <c r="MWE11" s="391"/>
      <c r="MWF11" s="391"/>
      <c r="MWG11" s="391"/>
      <c r="MWH11" s="391"/>
      <c r="MWI11" s="391"/>
      <c r="MWJ11" s="391"/>
      <c r="MWK11" s="391"/>
      <c r="MWL11" s="391"/>
      <c r="MWM11" s="391"/>
      <c r="MWN11" s="391"/>
      <c r="MWO11" s="391"/>
      <c r="MWP11" s="391"/>
      <c r="MWQ11" s="391"/>
      <c r="MWR11" s="391"/>
      <c r="MWS11" s="391"/>
      <c r="MWT11" s="391"/>
      <c r="MWU11" s="391"/>
      <c r="MWV11" s="391"/>
      <c r="MWW11" s="391"/>
      <c r="MWX11" s="391"/>
      <c r="MWY11" s="391"/>
      <c r="MWZ11" s="391"/>
      <c r="MXA11" s="391"/>
      <c r="MXB11" s="391"/>
      <c r="MXC11" s="391"/>
      <c r="MXD11" s="391"/>
      <c r="MXE11" s="391"/>
      <c r="MXF11" s="391"/>
      <c r="MXG11" s="391"/>
      <c r="MXH11" s="391"/>
      <c r="MXI11" s="391"/>
      <c r="MXJ11" s="391"/>
      <c r="MXK11" s="391"/>
      <c r="MXL11" s="391"/>
      <c r="MXM11" s="391"/>
      <c r="MXN11" s="391"/>
      <c r="MXO11" s="391"/>
      <c r="MXP11" s="391"/>
      <c r="MXQ11" s="391"/>
      <c r="MXR11" s="391"/>
      <c r="MXS11" s="391"/>
      <c r="MXT11" s="391"/>
      <c r="MXU11" s="391"/>
      <c r="MXV11" s="391"/>
      <c r="MXW11" s="391"/>
      <c r="MXX11" s="391"/>
      <c r="MXY11" s="391"/>
      <c r="MXZ11" s="391"/>
      <c r="MYA11" s="391"/>
      <c r="MYB11" s="391"/>
      <c r="MYC11" s="391"/>
      <c r="MYD11" s="391"/>
      <c r="MYE11" s="391"/>
      <c r="MYF11" s="391"/>
      <c r="MYG11" s="391"/>
      <c r="MYH11" s="391"/>
      <c r="MYI11" s="391"/>
      <c r="MYJ11" s="391"/>
      <c r="MYK11" s="391"/>
      <c r="MYL11" s="391"/>
      <c r="MYM11" s="391"/>
      <c r="MYN11" s="391"/>
      <c r="MYO11" s="391"/>
      <c r="MYP11" s="391"/>
      <c r="MYQ11" s="391"/>
      <c r="MYR11" s="391"/>
      <c r="MYS11" s="391"/>
      <c r="MYT11" s="391"/>
      <c r="MYU11" s="391"/>
      <c r="MYV11" s="391"/>
      <c r="MYW11" s="391"/>
      <c r="MYX11" s="391"/>
      <c r="MYY11" s="391"/>
      <c r="MYZ11" s="391"/>
      <c r="MZA11" s="391"/>
      <c r="MZB11" s="391"/>
      <c r="MZC11" s="391"/>
      <c r="MZD11" s="391"/>
      <c r="MZE11" s="391"/>
      <c r="MZF11" s="391"/>
      <c r="MZG11" s="391"/>
      <c r="MZH11" s="391"/>
      <c r="MZI11" s="391"/>
      <c r="MZJ11" s="391"/>
      <c r="MZK11" s="391"/>
      <c r="MZL11" s="391"/>
      <c r="MZM11" s="391"/>
      <c r="MZN11" s="391"/>
      <c r="MZO11" s="391"/>
      <c r="MZP11" s="391"/>
      <c r="MZQ11" s="391"/>
      <c r="MZR11" s="391"/>
      <c r="MZS11" s="391"/>
      <c r="MZT11" s="391"/>
      <c r="MZU11" s="391"/>
      <c r="MZV11" s="391"/>
      <c r="MZW11" s="391"/>
      <c r="MZX11" s="391"/>
      <c r="MZY11" s="391"/>
      <c r="MZZ11" s="391"/>
      <c r="NAA11" s="391"/>
      <c r="NAB11" s="391"/>
      <c r="NAC11" s="391"/>
      <c r="NAD11" s="391"/>
      <c r="NAE11" s="391"/>
      <c r="NAF11" s="391"/>
      <c r="NAG11" s="391"/>
      <c r="NAH11" s="391"/>
      <c r="NAI11" s="391"/>
      <c r="NAJ11" s="391"/>
      <c r="NAK11" s="391"/>
      <c r="NAL11" s="391"/>
      <c r="NAM11" s="391"/>
      <c r="NAN11" s="391"/>
      <c r="NAO11" s="391"/>
      <c r="NAP11" s="391"/>
      <c r="NAQ11" s="391"/>
      <c r="NAR11" s="391"/>
      <c r="NAS11" s="391"/>
      <c r="NAT11" s="391"/>
      <c r="NAU11" s="391"/>
      <c r="NAV11" s="391"/>
      <c r="NAW11" s="391"/>
      <c r="NAX11" s="391"/>
      <c r="NAY11" s="391"/>
      <c r="NAZ11" s="391"/>
      <c r="NBA11" s="391"/>
      <c r="NBB11" s="391"/>
      <c r="NBC11" s="391"/>
      <c r="NBD11" s="391"/>
      <c r="NBE11" s="391"/>
      <c r="NBF11" s="391"/>
      <c r="NBG11" s="391"/>
      <c r="NBH11" s="391"/>
      <c r="NBI11" s="391"/>
      <c r="NBJ11" s="391"/>
      <c r="NBK11" s="391"/>
      <c r="NBL11" s="391"/>
      <c r="NBM11" s="391"/>
      <c r="NBN11" s="391"/>
      <c r="NBO11" s="391"/>
      <c r="NBP11" s="391"/>
      <c r="NBQ11" s="391"/>
      <c r="NBR11" s="391"/>
      <c r="NBS11" s="391"/>
      <c r="NBT11" s="391"/>
      <c r="NBU11" s="391"/>
      <c r="NBV11" s="391"/>
      <c r="NBW11" s="391"/>
      <c r="NBX11" s="391"/>
      <c r="NBY11" s="391"/>
      <c r="NBZ11" s="391"/>
      <c r="NCA11" s="391"/>
      <c r="NCB11" s="391"/>
      <c r="NCC11" s="391"/>
      <c r="NCD11" s="391"/>
      <c r="NCE11" s="391"/>
      <c r="NCF11" s="391"/>
      <c r="NCG11" s="391"/>
      <c r="NCH11" s="391"/>
      <c r="NCI11" s="391"/>
      <c r="NCJ11" s="391"/>
      <c r="NCK11" s="391"/>
      <c r="NCL11" s="391"/>
      <c r="NCM11" s="391"/>
      <c r="NCN11" s="391"/>
      <c r="NCO11" s="391"/>
      <c r="NCP11" s="391"/>
      <c r="NCQ11" s="391"/>
      <c r="NCR11" s="391"/>
      <c r="NCS11" s="391"/>
      <c r="NCT11" s="391"/>
      <c r="NCU11" s="391"/>
      <c r="NCV11" s="391"/>
      <c r="NCW11" s="391"/>
      <c r="NCX11" s="391"/>
      <c r="NCY11" s="391"/>
      <c r="NCZ11" s="391"/>
      <c r="NDA11" s="391"/>
      <c r="NDB11" s="391"/>
      <c r="NDC11" s="391"/>
      <c r="NDD11" s="391"/>
      <c r="NDE11" s="391"/>
      <c r="NDF11" s="391"/>
      <c r="NDG11" s="391"/>
      <c r="NDH11" s="391"/>
      <c r="NDI11" s="391"/>
      <c r="NDJ11" s="391"/>
      <c r="NDK11" s="391"/>
      <c r="NDL11" s="391"/>
      <c r="NDM11" s="391"/>
      <c r="NDN11" s="391"/>
      <c r="NDO11" s="391"/>
      <c r="NDP11" s="391"/>
      <c r="NDQ11" s="391"/>
      <c r="NDR11" s="391"/>
      <c r="NDS11" s="391"/>
      <c r="NDT11" s="391"/>
      <c r="NDU11" s="391"/>
      <c r="NDV11" s="391"/>
      <c r="NDW11" s="391"/>
      <c r="NDX11" s="391"/>
      <c r="NDY11" s="391"/>
      <c r="NDZ11" s="391"/>
      <c r="NEA11" s="391"/>
      <c r="NEB11" s="391"/>
      <c r="NEC11" s="391"/>
      <c r="NED11" s="391"/>
      <c r="NEE11" s="391"/>
      <c r="NEF11" s="391"/>
      <c r="NEG11" s="391"/>
      <c r="NEH11" s="391"/>
      <c r="NEI11" s="391"/>
      <c r="NEJ11" s="391"/>
      <c r="NEK11" s="391"/>
      <c r="NEL11" s="391"/>
      <c r="NEM11" s="391"/>
      <c r="NEN11" s="391"/>
      <c r="NEO11" s="391"/>
      <c r="NEP11" s="391"/>
      <c r="NEQ11" s="391"/>
      <c r="NER11" s="391"/>
      <c r="NES11" s="391"/>
      <c r="NET11" s="391"/>
      <c r="NEU11" s="391"/>
      <c r="NEV11" s="391"/>
      <c r="NEW11" s="391"/>
      <c r="NEX11" s="391"/>
      <c r="NEY11" s="391"/>
      <c r="NEZ11" s="391"/>
      <c r="NFA11" s="391"/>
      <c r="NFB11" s="391"/>
      <c r="NFC11" s="391"/>
      <c r="NFD11" s="391"/>
      <c r="NFE11" s="391"/>
      <c r="NFF11" s="391"/>
      <c r="NFG11" s="391"/>
      <c r="NFH11" s="391"/>
      <c r="NFI11" s="391"/>
      <c r="NFJ11" s="391"/>
      <c r="NFK11" s="391"/>
      <c r="NFL11" s="391"/>
      <c r="NFM11" s="391"/>
      <c r="NFN11" s="391"/>
      <c r="NFO11" s="391"/>
      <c r="NFP11" s="391"/>
      <c r="NFQ11" s="391"/>
      <c r="NFR11" s="391"/>
      <c r="NFS11" s="391"/>
      <c r="NFT11" s="391"/>
      <c r="NFU11" s="391"/>
      <c r="NFV11" s="391"/>
      <c r="NFW11" s="391"/>
      <c r="NFX11" s="391"/>
      <c r="NFY11" s="391"/>
      <c r="NFZ11" s="391"/>
      <c r="NGA11" s="391"/>
      <c r="NGB11" s="391"/>
      <c r="NGC11" s="391"/>
      <c r="NGD11" s="391"/>
      <c r="NGE11" s="391"/>
      <c r="NGF11" s="391"/>
      <c r="NGG11" s="391"/>
      <c r="NGH11" s="391"/>
      <c r="NGI11" s="391"/>
      <c r="NGJ11" s="391"/>
      <c r="NGK11" s="391"/>
      <c r="NGL11" s="391"/>
      <c r="NGM11" s="391"/>
      <c r="NGN11" s="391"/>
      <c r="NGO11" s="391"/>
      <c r="NGP11" s="391"/>
      <c r="NGQ11" s="391"/>
      <c r="NGR11" s="391"/>
      <c r="NGS11" s="391"/>
      <c r="NGT11" s="391"/>
      <c r="NGU11" s="391"/>
      <c r="NGV11" s="391"/>
      <c r="NGW11" s="391"/>
      <c r="NGX11" s="391"/>
      <c r="NGY11" s="391"/>
      <c r="NGZ11" s="391"/>
      <c r="NHA11" s="391"/>
      <c r="NHB11" s="391"/>
      <c r="NHC11" s="391"/>
      <c r="NHD11" s="391"/>
      <c r="NHE11" s="391"/>
      <c r="NHF11" s="391"/>
      <c r="NHG11" s="391"/>
      <c r="NHH11" s="391"/>
      <c r="NHI11" s="391"/>
      <c r="NHJ11" s="391"/>
      <c r="NHK11" s="391"/>
      <c r="NHL11" s="391"/>
      <c r="NHM11" s="391"/>
      <c r="NHN11" s="391"/>
      <c r="NHO11" s="391"/>
      <c r="NHP11" s="391"/>
      <c r="NHQ11" s="391"/>
      <c r="NHR11" s="391"/>
      <c r="NHS11" s="391"/>
      <c r="NHT11" s="391"/>
      <c r="NHU11" s="391"/>
      <c r="NHV11" s="391"/>
      <c r="NHW11" s="391"/>
      <c r="NHX11" s="391"/>
      <c r="NHY11" s="391"/>
      <c r="NHZ11" s="391"/>
      <c r="NIA11" s="391"/>
      <c r="NIB11" s="391"/>
      <c r="NIC11" s="391"/>
      <c r="NID11" s="391"/>
      <c r="NIE11" s="391"/>
      <c r="NIF11" s="391"/>
      <c r="NIG11" s="391"/>
      <c r="NIH11" s="391"/>
      <c r="NII11" s="391"/>
      <c r="NIJ11" s="391"/>
      <c r="NIK11" s="391"/>
      <c r="NIL11" s="391"/>
      <c r="NIM11" s="391"/>
      <c r="NIN11" s="391"/>
      <c r="NIO11" s="391"/>
      <c r="NIP11" s="391"/>
      <c r="NIQ11" s="391"/>
      <c r="NIR11" s="391"/>
      <c r="NIS11" s="391"/>
      <c r="NIT11" s="391"/>
      <c r="NIU11" s="391"/>
      <c r="NIV11" s="391"/>
      <c r="NIW11" s="391"/>
      <c r="NIX11" s="391"/>
      <c r="NIY11" s="391"/>
      <c r="NIZ11" s="391"/>
      <c r="NJA11" s="391"/>
      <c r="NJB11" s="391"/>
      <c r="NJC11" s="391"/>
      <c r="NJD11" s="391"/>
      <c r="NJE11" s="391"/>
      <c r="NJF11" s="391"/>
      <c r="NJG11" s="391"/>
      <c r="NJH11" s="391"/>
      <c r="NJI11" s="391"/>
      <c r="NJJ11" s="391"/>
      <c r="NJK11" s="391"/>
      <c r="NJL11" s="391"/>
      <c r="NJM11" s="391"/>
      <c r="NJN11" s="391"/>
      <c r="NJO11" s="391"/>
      <c r="NJP11" s="391"/>
      <c r="NJQ11" s="391"/>
      <c r="NJR11" s="391"/>
      <c r="NJS11" s="391"/>
      <c r="NJT11" s="391"/>
      <c r="NJU11" s="391"/>
      <c r="NJV11" s="391"/>
      <c r="NJW11" s="391"/>
      <c r="NJX11" s="391"/>
      <c r="NJY11" s="391"/>
      <c r="NJZ11" s="391"/>
      <c r="NKA11" s="391"/>
      <c r="NKB11" s="391"/>
      <c r="NKC11" s="391"/>
      <c r="NKD11" s="391"/>
      <c r="NKE11" s="391"/>
      <c r="NKF11" s="391"/>
      <c r="NKG11" s="391"/>
      <c r="NKH11" s="391"/>
      <c r="NKI11" s="391"/>
      <c r="NKJ11" s="391"/>
      <c r="NKK11" s="391"/>
      <c r="NKL11" s="391"/>
      <c r="NKM11" s="391"/>
      <c r="NKN11" s="391"/>
      <c r="NKO11" s="391"/>
      <c r="NKP11" s="391"/>
      <c r="NKQ11" s="391"/>
      <c r="NKR11" s="391"/>
      <c r="NKS11" s="391"/>
      <c r="NKT11" s="391"/>
      <c r="NKU11" s="391"/>
      <c r="NKV11" s="391"/>
      <c r="NKW11" s="391"/>
      <c r="NKX11" s="391"/>
      <c r="NKY11" s="391"/>
      <c r="NKZ11" s="391"/>
      <c r="NLA11" s="391"/>
      <c r="NLB11" s="391"/>
      <c r="NLC11" s="391"/>
      <c r="NLD11" s="391"/>
      <c r="NLE11" s="391"/>
      <c r="NLF11" s="391"/>
      <c r="NLG11" s="391"/>
      <c r="NLH11" s="391"/>
      <c r="NLI11" s="391"/>
      <c r="NLJ11" s="391"/>
      <c r="NLK11" s="391"/>
      <c r="NLL11" s="391"/>
      <c r="NLM11" s="391"/>
      <c r="NLN11" s="391"/>
      <c r="NLO11" s="391"/>
      <c r="NLP11" s="391"/>
      <c r="NLQ11" s="391"/>
      <c r="NLR11" s="391"/>
      <c r="NLS11" s="391"/>
      <c r="NLT11" s="391"/>
      <c r="NLU11" s="391"/>
      <c r="NLV11" s="391"/>
      <c r="NLW11" s="391"/>
      <c r="NLX11" s="391"/>
      <c r="NLY11" s="391"/>
      <c r="NLZ11" s="391"/>
      <c r="NMA11" s="391"/>
      <c r="NMB11" s="391"/>
      <c r="NMC11" s="391"/>
      <c r="NMD11" s="391"/>
      <c r="NME11" s="391"/>
      <c r="NMF11" s="391"/>
      <c r="NMG11" s="391"/>
      <c r="NMH11" s="391"/>
      <c r="NMI11" s="391"/>
      <c r="NMJ11" s="391"/>
      <c r="NMK11" s="391"/>
      <c r="NML11" s="391"/>
      <c r="NMM11" s="391"/>
      <c r="NMN11" s="391"/>
      <c r="NMO11" s="391"/>
      <c r="NMP11" s="391"/>
      <c r="NMQ11" s="391"/>
      <c r="NMR11" s="391"/>
      <c r="NMS11" s="391"/>
      <c r="NMT11" s="391"/>
      <c r="NMU11" s="391"/>
      <c r="NMV11" s="391"/>
      <c r="NMW11" s="391"/>
      <c r="NMX11" s="391"/>
      <c r="NMY11" s="391"/>
      <c r="NMZ11" s="391"/>
      <c r="NNA11" s="391"/>
      <c r="NNB11" s="391"/>
      <c r="NNC11" s="391"/>
      <c r="NND11" s="391"/>
      <c r="NNE11" s="391"/>
      <c r="NNF11" s="391"/>
      <c r="NNG11" s="391"/>
      <c r="NNH11" s="391"/>
      <c r="NNI11" s="391"/>
      <c r="NNJ11" s="391"/>
      <c r="NNK11" s="391"/>
      <c r="NNL11" s="391"/>
      <c r="NNM11" s="391"/>
      <c r="NNN11" s="391"/>
      <c r="NNO11" s="391"/>
      <c r="NNP11" s="391"/>
      <c r="NNQ11" s="391"/>
      <c r="NNR11" s="391"/>
      <c r="NNS11" s="391"/>
      <c r="NNT11" s="391"/>
      <c r="NNU11" s="391"/>
      <c r="NNV11" s="391"/>
      <c r="NNW11" s="391"/>
      <c r="NNX11" s="391"/>
      <c r="NNY11" s="391"/>
      <c r="NNZ11" s="391"/>
      <c r="NOA11" s="391"/>
      <c r="NOB11" s="391"/>
      <c r="NOC11" s="391"/>
      <c r="NOD11" s="391"/>
      <c r="NOE11" s="391"/>
      <c r="NOF11" s="391"/>
      <c r="NOG11" s="391"/>
      <c r="NOH11" s="391"/>
      <c r="NOI11" s="391"/>
      <c r="NOJ11" s="391"/>
      <c r="NOK11" s="391"/>
      <c r="NOL11" s="391"/>
      <c r="NOM11" s="391"/>
      <c r="NON11" s="391"/>
      <c r="NOO11" s="391"/>
      <c r="NOP11" s="391"/>
      <c r="NOQ11" s="391"/>
      <c r="NOR11" s="391"/>
      <c r="NOS11" s="391"/>
      <c r="NOT11" s="391"/>
      <c r="NOU11" s="391"/>
      <c r="NOV11" s="391"/>
      <c r="NOW11" s="391"/>
      <c r="NOX11" s="391"/>
      <c r="NOY11" s="391"/>
      <c r="NOZ11" s="391"/>
      <c r="NPA11" s="391"/>
      <c r="NPB11" s="391"/>
      <c r="NPC11" s="391"/>
      <c r="NPD11" s="391"/>
      <c r="NPE11" s="391"/>
      <c r="NPF11" s="391"/>
      <c r="NPG11" s="391"/>
      <c r="NPH11" s="391"/>
      <c r="NPI11" s="391"/>
      <c r="NPJ11" s="391"/>
      <c r="NPK11" s="391"/>
      <c r="NPL11" s="391"/>
      <c r="NPM11" s="391"/>
      <c r="NPN11" s="391"/>
      <c r="NPO11" s="391"/>
      <c r="NPP11" s="391"/>
      <c r="NPQ11" s="391"/>
      <c r="NPR11" s="391"/>
      <c r="NPS11" s="391"/>
      <c r="NPT11" s="391"/>
      <c r="NPU11" s="391"/>
      <c r="NPV11" s="391"/>
      <c r="NPW11" s="391"/>
      <c r="NPX11" s="391"/>
      <c r="NPY11" s="391"/>
      <c r="NPZ11" s="391"/>
      <c r="NQA11" s="391"/>
      <c r="NQB11" s="391"/>
      <c r="NQC11" s="391"/>
      <c r="NQD11" s="391"/>
      <c r="NQE11" s="391"/>
      <c r="NQF11" s="391"/>
      <c r="NQG11" s="391"/>
      <c r="NQH11" s="391"/>
      <c r="NQI11" s="391"/>
      <c r="NQJ11" s="391"/>
      <c r="NQK11" s="391"/>
      <c r="NQL11" s="391"/>
      <c r="NQM11" s="391"/>
      <c r="NQN11" s="391"/>
      <c r="NQO11" s="391"/>
      <c r="NQP11" s="391"/>
      <c r="NQQ11" s="391"/>
      <c r="NQR11" s="391"/>
      <c r="NQS11" s="391"/>
      <c r="NQT11" s="391"/>
      <c r="NQU11" s="391"/>
      <c r="NQV11" s="391"/>
      <c r="NQW11" s="391"/>
      <c r="NQX11" s="391"/>
      <c r="NQY11" s="391"/>
      <c r="NQZ11" s="391"/>
      <c r="NRA11" s="391"/>
      <c r="NRB11" s="391"/>
      <c r="NRC11" s="391"/>
      <c r="NRD11" s="391"/>
      <c r="NRE11" s="391"/>
      <c r="NRF11" s="391"/>
      <c r="NRG11" s="391"/>
      <c r="NRH11" s="391"/>
      <c r="NRI11" s="391"/>
      <c r="NRJ11" s="391"/>
      <c r="NRK11" s="391"/>
      <c r="NRL11" s="391"/>
      <c r="NRM11" s="391"/>
      <c r="NRN11" s="391"/>
      <c r="NRO11" s="391"/>
      <c r="NRP11" s="391"/>
      <c r="NRQ11" s="391"/>
      <c r="NRR11" s="391"/>
      <c r="NRS11" s="391"/>
      <c r="NRT11" s="391"/>
      <c r="NRU11" s="391"/>
      <c r="NRV11" s="391"/>
      <c r="NRW11" s="391"/>
      <c r="NRX11" s="391"/>
      <c r="NRY11" s="391"/>
      <c r="NRZ11" s="391"/>
      <c r="NSA11" s="391"/>
      <c r="NSB11" s="391"/>
      <c r="NSC11" s="391"/>
      <c r="NSD11" s="391"/>
      <c r="NSE11" s="391"/>
      <c r="NSF11" s="391"/>
      <c r="NSG11" s="391"/>
      <c r="NSH11" s="391"/>
      <c r="NSI11" s="391"/>
      <c r="NSJ11" s="391"/>
      <c r="NSK11" s="391"/>
      <c r="NSL11" s="391"/>
      <c r="NSM11" s="391"/>
      <c r="NSN11" s="391"/>
      <c r="NSO11" s="391"/>
      <c r="NSP11" s="391"/>
      <c r="NSQ11" s="391"/>
      <c r="NSR11" s="391"/>
      <c r="NSS11" s="391"/>
      <c r="NST11" s="391"/>
      <c r="NSU11" s="391"/>
      <c r="NSV11" s="391"/>
      <c r="NSW11" s="391"/>
      <c r="NSX11" s="391"/>
      <c r="NSY11" s="391"/>
      <c r="NSZ11" s="391"/>
      <c r="NTA11" s="391"/>
      <c r="NTB11" s="391"/>
      <c r="NTC11" s="391"/>
      <c r="NTD11" s="391"/>
      <c r="NTE11" s="391"/>
      <c r="NTF11" s="391"/>
      <c r="NTG11" s="391"/>
      <c r="NTH11" s="391"/>
      <c r="NTI11" s="391"/>
      <c r="NTJ11" s="391"/>
      <c r="NTK11" s="391"/>
      <c r="NTL11" s="391"/>
      <c r="NTM11" s="391"/>
      <c r="NTN11" s="391"/>
      <c r="NTO11" s="391"/>
      <c r="NTP11" s="391"/>
      <c r="NTQ11" s="391"/>
      <c r="NTR11" s="391"/>
      <c r="NTS11" s="391"/>
      <c r="NTT11" s="391"/>
      <c r="NTU11" s="391"/>
      <c r="NTV11" s="391"/>
      <c r="NTW11" s="391"/>
      <c r="NTX11" s="391"/>
      <c r="NTY11" s="391"/>
      <c r="NTZ11" s="391"/>
      <c r="NUA11" s="391"/>
      <c r="NUB11" s="391"/>
      <c r="NUC11" s="391"/>
      <c r="NUD11" s="391"/>
      <c r="NUE11" s="391"/>
      <c r="NUF11" s="391"/>
      <c r="NUG11" s="391"/>
      <c r="NUH11" s="391"/>
      <c r="NUI11" s="391"/>
      <c r="NUJ11" s="391"/>
      <c r="NUK11" s="391"/>
      <c r="NUL11" s="391"/>
      <c r="NUM11" s="391"/>
      <c r="NUN11" s="391"/>
      <c r="NUO11" s="391"/>
      <c r="NUP11" s="391"/>
      <c r="NUQ11" s="391"/>
      <c r="NUR11" s="391"/>
      <c r="NUS11" s="391"/>
      <c r="NUT11" s="391"/>
      <c r="NUU11" s="391"/>
      <c r="NUV11" s="391"/>
      <c r="NUW11" s="391"/>
      <c r="NUX11" s="391"/>
      <c r="NUY11" s="391"/>
      <c r="NUZ11" s="391"/>
      <c r="NVA11" s="391"/>
      <c r="NVB11" s="391"/>
      <c r="NVC11" s="391"/>
      <c r="NVD11" s="391"/>
      <c r="NVE11" s="391"/>
      <c r="NVF11" s="391"/>
      <c r="NVG11" s="391"/>
      <c r="NVH11" s="391"/>
      <c r="NVI11" s="391"/>
      <c r="NVJ11" s="391"/>
      <c r="NVK11" s="391"/>
      <c r="NVL11" s="391"/>
      <c r="NVM11" s="391"/>
      <c r="NVN11" s="391"/>
      <c r="NVO11" s="391"/>
      <c r="NVP11" s="391"/>
      <c r="NVQ11" s="391"/>
      <c r="NVR11" s="391"/>
      <c r="NVS11" s="391"/>
      <c r="NVT11" s="391"/>
      <c r="NVU11" s="391"/>
      <c r="NVV11" s="391"/>
      <c r="NVW11" s="391"/>
      <c r="NVX11" s="391"/>
      <c r="NVY11" s="391"/>
      <c r="NVZ11" s="391"/>
      <c r="NWA11" s="391"/>
      <c r="NWB11" s="391"/>
      <c r="NWC11" s="391"/>
      <c r="NWD11" s="391"/>
      <c r="NWE11" s="391"/>
      <c r="NWF11" s="391"/>
      <c r="NWG11" s="391"/>
      <c r="NWH11" s="391"/>
      <c r="NWI11" s="391"/>
      <c r="NWJ11" s="391"/>
      <c r="NWK11" s="391"/>
      <c r="NWL11" s="391"/>
      <c r="NWM11" s="391"/>
      <c r="NWN11" s="391"/>
      <c r="NWO11" s="391"/>
      <c r="NWP11" s="391"/>
      <c r="NWQ11" s="391"/>
      <c r="NWR11" s="391"/>
      <c r="NWS11" s="391"/>
      <c r="NWT11" s="391"/>
      <c r="NWU11" s="391"/>
      <c r="NWV11" s="391"/>
      <c r="NWW11" s="391"/>
      <c r="NWX11" s="391"/>
      <c r="NWY11" s="391"/>
      <c r="NWZ11" s="391"/>
      <c r="NXA11" s="391"/>
      <c r="NXB11" s="391"/>
      <c r="NXC11" s="391"/>
      <c r="NXD11" s="391"/>
      <c r="NXE11" s="391"/>
      <c r="NXF11" s="391"/>
      <c r="NXG11" s="391"/>
      <c r="NXH11" s="391"/>
      <c r="NXI11" s="391"/>
      <c r="NXJ11" s="391"/>
      <c r="NXK11" s="391"/>
      <c r="NXL11" s="391"/>
      <c r="NXM11" s="391"/>
      <c r="NXN11" s="391"/>
      <c r="NXO11" s="391"/>
      <c r="NXP11" s="391"/>
      <c r="NXQ11" s="391"/>
      <c r="NXR11" s="391"/>
      <c r="NXS11" s="391"/>
      <c r="NXT11" s="391"/>
      <c r="NXU11" s="391"/>
      <c r="NXV11" s="391"/>
      <c r="NXW11" s="391"/>
      <c r="NXX11" s="391"/>
      <c r="NXY11" s="391"/>
      <c r="NXZ11" s="391"/>
      <c r="NYA11" s="391"/>
      <c r="NYB11" s="391"/>
      <c r="NYC11" s="391"/>
      <c r="NYD11" s="391"/>
      <c r="NYE11" s="391"/>
      <c r="NYF11" s="391"/>
      <c r="NYG11" s="391"/>
      <c r="NYH11" s="391"/>
      <c r="NYI11" s="391"/>
      <c r="NYJ11" s="391"/>
      <c r="NYK11" s="391"/>
      <c r="NYL11" s="391"/>
      <c r="NYM11" s="391"/>
      <c r="NYN11" s="391"/>
      <c r="NYO11" s="391"/>
      <c r="NYP11" s="391"/>
      <c r="NYQ11" s="391"/>
      <c r="NYR11" s="391"/>
      <c r="NYS11" s="391"/>
      <c r="NYT11" s="391"/>
      <c r="NYU11" s="391"/>
      <c r="NYV11" s="391"/>
      <c r="NYW11" s="391"/>
      <c r="NYX11" s="391"/>
      <c r="NYY11" s="391"/>
      <c r="NYZ11" s="391"/>
      <c r="NZA11" s="391"/>
      <c r="NZB11" s="391"/>
      <c r="NZC11" s="391"/>
      <c r="NZD11" s="391"/>
      <c r="NZE11" s="391"/>
      <c r="NZF11" s="391"/>
      <c r="NZG11" s="391"/>
      <c r="NZH11" s="391"/>
      <c r="NZI11" s="391"/>
      <c r="NZJ11" s="391"/>
      <c r="NZK11" s="391"/>
      <c r="NZL11" s="391"/>
      <c r="NZM11" s="391"/>
      <c r="NZN11" s="391"/>
      <c r="NZO11" s="391"/>
      <c r="NZP11" s="391"/>
      <c r="NZQ11" s="391"/>
      <c r="NZR11" s="391"/>
      <c r="NZS11" s="391"/>
      <c r="NZT11" s="391"/>
      <c r="NZU11" s="391"/>
      <c r="NZV11" s="391"/>
      <c r="NZW11" s="391"/>
      <c r="NZX11" s="391"/>
      <c r="NZY11" s="391"/>
      <c r="NZZ11" s="391"/>
      <c r="OAA11" s="391"/>
      <c r="OAB11" s="391"/>
      <c r="OAC11" s="391"/>
      <c r="OAD11" s="391"/>
      <c r="OAE11" s="391"/>
      <c r="OAF11" s="391"/>
      <c r="OAG11" s="391"/>
      <c r="OAH11" s="391"/>
      <c r="OAI11" s="391"/>
      <c r="OAJ11" s="391"/>
      <c r="OAK11" s="391"/>
      <c r="OAL11" s="391"/>
      <c r="OAM11" s="391"/>
      <c r="OAN11" s="391"/>
      <c r="OAO11" s="391"/>
      <c r="OAP11" s="391"/>
      <c r="OAQ11" s="391"/>
      <c r="OAR11" s="391"/>
      <c r="OAS11" s="391"/>
      <c r="OAT11" s="391"/>
      <c r="OAU11" s="391"/>
      <c r="OAV11" s="391"/>
      <c r="OAW11" s="391"/>
      <c r="OAX11" s="391"/>
      <c r="OAY11" s="391"/>
      <c r="OAZ11" s="391"/>
      <c r="OBA11" s="391"/>
      <c r="OBB11" s="391"/>
      <c r="OBC11" s="391"/>
      <c r="OBD11" s="391"/>
      <c r="OBE11" s="391"/>
      <c r="OBF11" s="391"/>
      <c r="OBG11" s="391"/>
      <c r="OBH11" s="391"/>
      <c r="OBI11" s="391"/>
      <c r="OBJ11" s="391"/>
      <c r="OBK11" s="391"/>
      <c r="OBL11" s="391"/>
      <c r="OBM11" s="391"/>
      <c r="OBN11" s="391"/>
      <c r="OBO11" s="391"/>
      <c r="OBP11" s="391"/>
      <c r="OBQ11" s="391"/>
      <c r="OBR11" s="391"/>
      <c r="OBS11" s="391"/>
      <c r="OBT11" s="391"/>
      <c r="OBU11" s="391"/>
      <c r="OBV11" s="391"/>
      <c r="OBW11" s="391"/>
      <c r="OBX11" s="391"/>
      <c r="OBY11" s="391"/>
      <c r="OBZ11" s="391"/>
      <c r="OCA11" s="391"/>
      <c r="OCB11" s="391"/>
      <c r="OCC11" s="391"/>
      <c r="OCD11" s="391"/>
      <c r="OCE11" s="391"/>
      <c r="OCF11" s="391"/>
      <c r="OCG11" s="391"/>
      <c r="OCH11" s="391"/>
      <c r="OCI11" s="391"/>
      <c r="OCJ11" s="391"/>
      <c r="OCK11" s="391"/>
      <c r="OCL11" s="391"/>
      <c r="OCM11" s="391"/>
      <c r="OCN11" s="391"/>
      <c r="OCO11" s="391"/>
      <c r="OCP11" s="391"/>
      <c r="OCQ11" s="391"/>
      <c r="OCR11" s="391"/>
      <c r="OCS11" s="391"/>
      <c r="OCT11" s="391"/>
      <c r="OCU11" s="391"/>
      <c r="OCV11" s="391"/>
      <c r="OCW11" s="391"/>
      <c r="OCX11" s="391"/>
      <c r="OCY11" s="391"/>
      <c r="OCZ11" s="391"/>
      <c r="ODA11" s="391"/>
      <c r="ODB11" s="391"/>
      <c r="ODC11" s="391"/>
      <c r="ODD11" s="391"/>
      <c r="ODE11" s="391"/>
      <c r="ODF11" s="391"/>
      <c r="ODG11" s="391"/>
      <c r="ODH11" s="391"/>
      <c r="ODI11" s="391"/>
      <c r="ODJ11" s="391"/>
      <c r="ODK11" s="391"/>
      <c r="ODL11" s="391"/>
      <c r="ODM11" s="391"/>
      <c r="ODN11" s="391"/>
      <c r="ODO11" s="391"/>
      <c r="ODP11" s="391"/>
      <c r="ODQ11" s="391"/>
      <c r="ODR11" s="391"/>
      <c r="ODS11" s="391"/>
      <c r="ODT11" s="391"/>
      <c r="ODU11" s="391"/>
      <c r="ODV11" s="391"/>
      <c r="ODW11" s="391"/>
      <c r="ODX11" s="391"/>
      <c r="ODY11" s="391"/>
      <c r="ODZ11" s="391"/>
      <c r="OEA11" s="391"/>
      <c r="OEB11" s="391"/>
      <c r="OEC11" s="391"/>
      <c r="OED11" s="391"/>
      <c r="OEE11" s="391"/>
      <c r="OEF11" s="391"/>
      <c r="OEG11" s="391"/>
      <c r="OEH11" s="391"/>
      <c r="OEI11" s="391"/>
      <c r="OEJ11" s="391"/>
      <c r="OEK11" s="391"/>
      <c r="OEL11" s="391"/>
      <c r="OEM11" s="391"/>
      <c r="OEN11" s="391"/>
      <c r="OEO11" s="391"/>
      <c r="OEP11" s="391"/>
      <c r="OEQ11" s="391"/>
      <c r="OER11" s="391"/>
      <c r="OES11" s="391"/>
      <c r="OET11" s="391"/>
      <c r="OEU11" s="391"/>
      <c r="OEV11" s="391"/>
      <c r="OEW11" s="391"/>
      <c r="OEX11" s="391"/>
      <c r="OEY11" s="391"/>
      <c r="OEZ11" s="391"/>
      <c r="OFA11" s="391"/>
      <c r="OFB11" s="391"/>
      <c r="OFC11" s="391"/>
      <c r="OFD11" s="391"/>
      <c r="OFE11" s="391"/>
      <c r="OFF11" s="391"/>
      <c r="OFG11" s="391"/>
      <c r="OFH11" s="391"/>
      <c r="OFI11" s="391"/>
      <c r="OFJ11" s="391"/>
      <c r="OFK11" s="391"/>
      <c r="OFL11" s="391"/>
      <c r="OFM11" s="391"/>
      <c r="OFN11" s="391"/>
      <c r="OFO11" s="391"/>
      <c r="OFP11" s="391"/>
      <c r="OFQ11" s="391"/>
      <c r="OFR11" s="391"/>
      <c r="OFS11" s="391"/>
      <c r="OFT11" s="391"/>
      <c r="OFU11" s="391"/>
      <c r="OFV11" s="391"/>
      <c r="OFW11" s="391"/>
      <c r="OFX11" s="391"/>
      <c r="OFY11" s="391"/>
      <c r="OFZ11" s="391"/>
      <c r="OGA11" s="391"/>
      <c r="OGB11" s="391"/>
      <c r="OGC11" s="391"/>
      <c r="OGD11" s="391"/>
      <c r="OGE11" s="391"/>
      <c r="OGF11" s="391"/>
      <c r="OGG11" s="391"/>
      <c r="OGH11" s="391"/>
      <c r="OGI11" s="391"/>
      <c r="OGJ11" s="391"/>
      <c r="OGK11" s="391"/>
      <c r="OGL11" s="391"/>
      <c r="OGM11" s="391"/>
      <c r="OGN11" s="391"/>
      <c r="OGO11" s="391"/>
      <c r="OGP11" s="391"/>
      <c r="OGQ11" s="391"/>
      <c r="OGR11" s="391"/>
      <c r="OGS11" s="391"/>
      <c r="OGT11" s="391"/>
      <c r="OGU11" s="391"/>
      <c r="OGV11" s="391"/>
      <c r="OGW11" s="391"/>
      <c r="OGX11" s="391"/>
      <c r="OGY11" s="391"/>
      <c r="OGZ11" s="391"/>
      <c r="OHA11" s="391"/>
      <c r="OHB11" s="391"/>
      <c r="OHC11" s="391"/>
      <c r="OHD11" s="391"/>
      <c r="OHE11" s="391"/>
      <c r="OHF11" s="391"/>
      <c r="OHG11" s="391"/>
      <c r="OHH11" s="391"/>
      <c r="OHI11" s="391"/>
      <c r="OHJ11" s="391"/>
      <c r="OHK11" s="391"/>
      <c r="OHL11" s="391"/>
      <c r="OHM11" s="391"/>
      <c r="OHN11" s="391"/>
      <c r="OHO11" s="391"/>
      <c r="OHP11" s="391"/>
      <c r="OHQ11" s="391"/>
      <c r="OHR11" s="391"/>
      <c r="OHS11" s="391"/>
      <c r="OHT11" s="391"/>
      <c r="OHU11" s="391"/>
      <c r="OHV11" s="391"/>
      <c r="OHW11" s="391"/>
      <c r="OHX11" s="391"/>
      <c r="OHY11" s="391"/>
      <c r="OHZ11" s="391"/>
      <c r="OIA11" s="391"/>
      <c r="OIB11" s="391"/>
      <c r="OIC11" s="391"/>
      <c r="OID11" s="391"/>
      <c r="OIE11" s="391"/>
      <c r="OIF11" s="391"/>
      <c r="OIG11" s="391"/>
      <c r="OIH11" s="391"/>
      <c r="OII11" s="391"/>
      <c r="OIJ11" s="391"/>
      <c r="OIK11" s="391"/>
      <c r="OIL11" s="391"/>
      <c r="OIM11" s="391"/>
      <c r="OIN11" s="391"/>
      <c r="OIO11" s="391"/>
      <c r="OIP11" s="391"/>
      <c r="OIQ11" s="391"/>
      <c r="OIR11" s="391"/>
      <c r="OIS11" s="391"/>
      <c r="OIT11" s="391"/>
      <c r="OIU11" s="391"/>
      <c r="OIV11" s="391"/>
      <c r="OIW11" s="391"/>
      <c r="OIX11" s="391"/>
      <c r="OIY11" s="391"/>
      <c r="OIZ11" s="391"/>
      <c r="OJA11" s="391"/>
      <c r="OJB11" s="391"/>
      <c r="OJC11" s="391"/>
      <c r="OJD11" s="391"/>
      <c r="OJE11" s="391"/>
      <c r="OJF11" s="391"/>
      <c r="OJG11" s="391"/>
      <c r="OJH11" s="391"/>
      <c r="OJI11" s="391"/>
      <c r="OJJ11" s="391"/>
      <c r="OJK11" s="391"/>
      <c r="OJL11" s="391"/>
      <c r="OJM11" s="391"/>
      <c r="OJN11" s="391"/>
      <c r="OJO11" s="391"/>
      <c r="OJP11" s="391"/>
      <c r="OJQ11" s="391"/>
      <c r="OJR11" s="391"/>
      <c r="OJS11" s="391"/>
      <c r="OJT11" s="391"/>
      <c r="OJU11" s="391"/>
      <c r="OJV11" s="391"/>
      <c r="OJW11" s="391"/>
      <c r="OJX11" s="391"/>
      <c r="OJY11" s="391"/>
      <c r="OJZ11" s="391"/>
      <c r="OKA11" s="391"/>
      <c r="OKB11" s="391"/>
      <c r="OKC11" s="391"/>
      <c r="OKD11" s="391"/>
      <c r="OKE11" s="391"/>
      <c r="OKF11" s="391"/>
      <c r="OKG11" s="391"/>
      <c r="OKH11" s="391"/>
      <c r="OKI11" s="391"/>
      <c r="OKJ11" s="391"/>
      <c r="OKK11" s="391"/>
      <c r="OKL11" s="391"/>
      <c r="OKM11" s="391"/>
      <c r="OKN11" s="391"/>
      <c r="OKO11" s="391"/>
      <c r="OKP11" s="391"/>
      <c r="OKQ11" s="391"/>
      <c r="OKR11" s="391"/>
      <c r="OKS11" s="391"/>
      <c r="OKT11" s="391"/>
      <c r="OKU11" s="391"/>
      <c r="OKV11" s="391"/>
      <c r="OKW11" s="391"/>
      <c r="OKX11" s="391"/>
      <c r="OKY11" s="391"/>
      <c r="OKZ11" s="391"/>
      <c r="OLA11" s="391"/>
      <c r="OLB11" s="391"/>
      <c r="OLC11" s="391"/>
      <c r="OLD11" s="391"/>
      <c r="OLE11" s="391"/>
      <c r="OLF11" s="391"/>
      <c r="OLG11" s="391"/>
      <c r="OLH11" s="391"/>
      <c r="OLI11" s="391"/>
      <c r="OLJ11" s="391"/>
      <c r="OLK11" s="391"/>
      <c r="OLL11" s="391"/>
      <c r="OLM11" s="391"/>
      <c r="OLN11" s="391"/>
      <c r="OLO11" s="391"/>
      <c r="OLP11" s="391"/>
      <c r="OLQ11" s="391"/>
      <c r="OLR11" s="391"/>
      <c r="OLS11" s="391"/>
      <c r="OLT11" s="391"/>
      <c r="OLU11" s="391"/>
      <c r="OLV11" s="391"/>
      <c r="OLW11" s="391"/>
      <c r="OLX11" s="391"/>
      <c r="OLY11" s="391"/>
      <c r="OLZ11" s="391"/>
      <c r="OMA11" s="391"/>
      <c r="OMB11" s="391"/>
      <c r="OMC11" s="391"/>
      <c r="OMD11" s="391"/>
      <c r="OME11" s="391"/>
      <c r="OMF11" s="391"/>
      <c r="OMG11" s="391"/>
      <c r="OMH11" s="391"/>
      <c r="OMI11" s="391"/>
      <c r="OMJ11" s="391"/>
      <c r="OMK11" s="391"/>
      <c r="OML11" s="391"/>
      <c r="OMM11" s="391"/>
      <c r="OMN11" s="391"/>
      <c r="OMO11" s="391"/>
      <c r="OMP11" s="391"/>
      <c r="OMQ11" s="391"/>
      <c r="OMR11" s="391"/>
      <c r="OMS11" s="391"/>
      <c r="OMT11" s="391"/>
      <c r="OMU11" s="391"/>
      <c r="OMV11" s="391"/>
      <c r="OMW11" s="391"/>
      <c r="OMX11" s="391"/>
      <c r="OMY11" s="391"/>
      <c r="OMZ11" s="391"/>
      <c r="ONA11" s="391"/>
      <c r="ONB11" s="391"/>
      <c r="ONC11" s="391"/>
      <c r="OND11" s="391"/>
      <c r="ONE11" s="391"/>
      <c r="ONF11" s="391"/>
      <c r="ONG11" s="391"/>
      <c r="ONH11" s="391"/>
      <c r="ONI11" s="391"/>
      <c r="ONJ11" s="391"/>
      <c r="ONK11" s="391"/>
      <c r="ONL11" s="391"/>
      <c r="ONM11" s="391"/>
      <c r="ONN11" s="391"/>
      <c r="ONO11" s="391"/>
      <c r="ONP11" s="391"/>
      <c r="ONQ11" s="391"/>
      <c r="ONR11" s="391"/>
      <c r="ONS11" s="391"/>
      <c r="ONT11" s="391"/>
      <c r="ONU11" s="391"/>
      <c r="ONV11" s="391"/>
      <c r="ONW11" s="391"/>
      <c r="ONX11" s="391"/>
      <c r="ONY11" s="391"/>
      <c r="ONZ11" s="391"/>
      <c r="OOA11" s="391"/>
      <c r="OOB11" s="391"/>
      <c r="OOC11" s="391"/>
      <c r="OOD11" s="391"/>
      <c r="OOE11" s="391"/>
      <c r="OOF11" s="391"/>
      <c r="OOG11" s="391"/>
      <c r="OOH11" s="391"/>
      <c r="OOI11" s="391"/>
      <c r="OOJ11" s="391"/>
      <c r="OOK11" s="391"/>
      <c r="OOL11" s="391"/>
      <c r="OOM11" s="391"/>
      <c r="OON11" s="391"/>
      <c r="OOO11" s="391"/>
      <c r="OOP11" s="391"/>
      <c r="OOQ11" s="391"/>
      <c r="OOR11" s="391"/>
      <c r="OOS11" s="391"/>
      <c r="OOT11" s="391"/>
      <c r="OOU11" s="391"/>
      <c r="OOV11" s="391"/>
      <c r="OOW11" s="391"/>
      <c r="OOX11" s="391"/>
      <c r="OOY11" s="391"/>
      <c r="OOZ11" s="391"/>
      <c r="OPA11" s="391"/>
      <c r="OPB11" s="391"/>
      <c r="OPC11" s="391"/>
      <c r="OPD11" s="391"/>
      <c r="OPE11" s="391"/>
      <c r="OPF11" s="391"/>
      <c r="OPG11" s="391"/>
      <c r="OPH11" s="391"/>
      <c r="OPI11" s="391"/>
      <c r="OPJ11" s="391"/>
      <c r="OPK11" s="391"/>
      <c r="OPL11" s="391"/>
      <c r="OPM11" s="391"/>
      <c r="OPN11" s="391"/>
      <c r="OPO11" s="391"/>
      <c r="OPP11" s="391"/>
      <c r="OPQ11" s="391"/>
      <c r="OPR11" s="391"/>
      <c r="OPS11" s="391"/>
      <c r="OPT11" s="391"/>
      <c r="OPU11" s="391"/>
      <c r="OPV11" s="391"/>
      <c r="OPW11" s="391"/>
      <c r="OPX11" s="391"/>
      <c r="OPY11" s="391"/>
      <c r="OPZ11" s="391"/>
      <c r="OQA11" s="391"/>
      <c r="OQB11" s="391"/>
      <c r="OQC11" s="391"/>
      <c r="OQD11" s="391"/>
      <c r="OQE11" s="391"/>
      <c r="OQF11" s="391"/>
      <c r="OQG11" s="391"/>
      <c r="OQH11" s="391"/>
      <c r="OQI11" s="391"/>
      <c r="OQJ11" s="391"/>
      <c r="OQK11" s="391"/>
      <c r="OQL11" s="391"/>
      <c r="OQM11" s="391"/>
      <c r="OQN11" s="391"/>
      <c r="OQO11" s="391"/>
      <c r="OQP11" s="391"/>
      <c r="OQQ11" s="391"/>
      <c r="OQR11" s="391"/>
      <c r="OQS11" s="391"/>
      <c r="OQT11" s="391"/>
      <c r="OQU11" s="391"/>
      <c r="OQV11" s="391"/>
      <c r="OQW11" s="391"/>
      <c r="OQX11" s="391"/>
      <c r="OQY11" s="391"/>
      <c r="OQZ11" s="391"/>
      <c r="ORA11" s="391"/>
      <c r="ORB11" s="391"/>
      <c r="ORC11" s="391"/>
      <c r="ORD11" s="391"/>
      <c r="ORE11" s="391"/>
      <c r="ORF11" s="391"/>
      <c r="ORG11" s="391"/>
      <c r="ORH11" s="391"/>
      <c r="ORI11" s="391"/>
      <c r="ORJ11" s="391"/>
      <c r="ORK11" s="391"/>
      <c r="ORL11" s="391"/>
      <c r="ORM11" s="391"/>
      <c r="ORN11" s="391"/>
      <c r="ORO11" s="391"/>
      <c r="ORP11" s="391"/>
      <c r="ORQ11" s="391"/>
      <c r="ORR11" s="391"/>
      <c r="ORS11" s="391"/>
      <c r="ORT11" s="391"/>
      <c r="ORU11" s="391"/>
      <c r="ORV11" s="391"/>
      <c r="ORW11" s="391"/>
      <c r="ORX11" s="391"/>
      <c r="ORY11" s="391"/>
      <c r="ORZ11" s="391"/>
      <c r="OSA11" s="391"/>
      <c r="OSB11" s="391"/>
      <c r="OSC11" s="391"/>
      <c r="OSD11" s="391"/>
      <c r="OSE11" s="391"/>
      <c r="OSF11" s="391"/>
      <c r="OSG11" s="391"/>
      <c r="OSH11" s="391"/>
      <c r="OSI11" s="391"/>
      <c r="OSJ11" s="391"/>
      <c r="OSK11" s="391"/>
      <c r="OSL11" s="391"/>
      <c r="OSM11" s="391"/>
      <c r="OSN11" s="391"/>
      <c r="OSO11" s="391"/>
      <c r="OSP11" s="391"/>
      <c r="OSQ11" s="391"/>
      <c r="OSR11" s="391"/>
      <c r="OSS11" s="391"/>
      <c r="OST11" s="391"/>
      <c r="OSU11" s="391"/>
      <c r="OSV11" s="391"/>
      <c r="OSW11" s="391"/>
      <c r="OSX11" s="391"/>
      <c r="OSY11" s="391"/>
      <c r="OSZ11" s="391"/>
      <c r="OTA11" s="391"/>
      <c r="OTB11" s="391"/>
      <c r="OTC11" s="391"/>
      <c r="OTD11" s="391"/>
      <c r="OTE11" s="391"/>
      <c r="OTF11" s="391"/>
      <c r="OTG11" s="391"/>
      <c r="OTH11" s="391"/>
      <c r="OTI11" s="391"/>
      <c r="OTJ11" s="391"/>
      <c r="OTK11" s="391"/>
      <c r="OTL11" s="391"/>
      <c r="OTM11" s="391"/>
      <c r="OTN11" s="391"/>
      <c r="OTO11" s="391"/>
      <c r="OTP11" s="391"/>
      <c r="OTQ11" s="391"/>
      <c r="OTR11" s="391"/>
      <c r="OTS11" s="391"/>
      <c r="OTT11" s="391"/>
      <c r="OTU11" s="391"/>
      <c r="OTV11" s="391"/>
      <c r="OTW11" s="391"/>
      <c r="OTX11" s="391"/>
      <c r="OTY11" s="391"/>
      <c r="OTZ11" s="391"/>
      <c r="OUA11" s="391"/>
      <c r="OUB11" s="391"/>
      <c r="OUC11" s="391"/>
      <c r="OUD11" s="391"/>
      <c r="OUE11" s="391"/>
      <c r="OUF11" s="391"/>
      <c r="OUG11" s="391"/>
      <c r="OUH11" s="391"/>
      <c r="OUI11" s="391"/>
      <c r="OUJ11" s="391"/>
      <c r="OUK11" s="391"/>
      <c r="OUL11" s="391"/>
      <c r="OUM11" s="391"/>
      <c r="OUN11" s="391"/>
      <c r="OUO11" s="391"/>
      <c r="OUP11" s="391"/>
      <c r="OUQ11" s="391"/>
      <c r="OUR11" s="391"/>
      <c r="OUS11" s="391"/>
      <c r="OUT11" s="391"/>
      <c r="OUU11" s="391"/>
      <c r="OUV11" s="391"/>
      <c r="OUW11" s="391"/>
      <c r="OUX11" s="391"/>
      <c r="OUY11" s="391"/>
      <c r="OUZ11" s="391"/>
      <c r="OVA11" s="391"/>
      <c r="OVB11" s="391"/>
      <c r="OVC11" s="391"/>
      <c r="OVD11" s="391"/>
      <c r="OVE11" s="391"/>
      <c r="OVF11" s="391"/>
      <c r="OVG11" s="391"/>
      <c r="OVH11" s="391"/>
      <c r="OVI11" s="391"/>
      <c r="OVJ11" s="391"/>
      <c r="OVK11" s="391"/>
      <c r="OVL11" s="391"/>
      <c r="OVM11" s="391"/>
      <c r="OVN11" s="391"/>
      <c r="OVO11" s="391"/>
      <c r="OVP11" s="391"/>
      <c r="OVQ11" s="391"/>
      <c r="OVR11" s="391"/>
      <c r="OVS11" s="391"/>
      <c r="OVT11" s="391"/>
      <c r="OVU11" s="391"/>
      <c r="OVV11" s="391"/>
      <c r="OVW11" s="391"/>
      <c r="OVX11" s="391"/>
      <c r="OVY11" s="391"/>
      <c r="OVZ11" s="391"/>
      <c r="OWA11" s="391"/>
      <c r="OWB11" s="391"/>
      <c r="OWC11" s="391"/>
      <c r="OWD11" s="391"/>
      <c r="OWE11" s="391"/>
      <c r="OWF11" s="391"/>
      <c r="OWG11" s="391"/>
      <c r="OWH11" s="391"/>
      <c r="OWI11" s="391"/>
      <c r="OWJ11" s="391"/>
      <c r="OWK11" s="391"/>
      <c r="OWL11" s="391"/>
      <c r="OWM11" s="391"/>
      <c r="OWN11" s="391"/>
      <c r="OWO11" s="391"/>
      <c r="OWP11" s="391"/>
      <c r="OWQ11" s="391"/>
      <c r="OWR11" s="391"/>
      <c r="OWS11" s="391"/>
      <c r="OWT11" s="391"/>
      <c r="OWU11" s="391"/>
      <c r="OWV11" s="391"/>
      <c r="OWW11" s="391"/>
      <c r="OWX11" s="391"/>
      <c r="OWY11" s="391"/>
      <c r="OWZ11" s="391"/>
      <c r="OXA11" s="391"/>
      <c r="OXB11" s="391"/>
      <c r="OXC11" s="391"/>
      <c r="OXD11" s="391"/>
      <c r="OXE11" s="391"/>
      <c r="OXF11" s="391"/>
      <c r="OXG11" s="391"/>
      <c r="OXH11" s="391"/>
      <c r="OXI11" s="391"/>
      <c r="OXJ11" s="391"/>
      <c r="OXK11" s="391"/>
      <c r="OXL11" s="391"/>
      <c r="OXM11" s="391"/>
      <c r="OXN11" s="391"/>
      <c r="OXO11" s="391"/>
      <c r="OXP11" s="391"/>
      <c r="OXQ11" s="391"/>
      <c r="OXR11" s="391"/>
      <c r="OXS11" s="391"/>
      <c r="OXT11" s="391"/>
      <c r="OXU11" s="391"/>
      <c r="OXV11" s="391"/>
      <c r="OXW11" s="391"/>
      <c r="OXX11" s="391"/>
      <c r="OXY11" s="391"/>
      <c r="OXZ11" s="391"/>
      <c r="OYA11" s="391"/>
      <c r="OYB11" s="391"/>
      <c r="OYC11" s="391"/>
      <c r="OYD11" s="391"/>
      <c r="OYE11" s="391"/>
      <c r="OYF11" s="391"/>
      <c r="OYG11" s="391"/>
      <c r="OYH11" s="391"/>
      <c r="OYI11" s="391"/>
      <c r="OYJ11" s="391"/>
      <c r="OYK11" s="391"/>
      <c r="OYL11" s="391"/>
      <c r="OYM11" s="391"/>
      <c r="OYN11" s="391"/>
      <c r="OYO11" s="391"/>
      <c r="OYP11" s="391"/>
      <c r="OYQ11" s="391"/>
      <c r="OYR11" s="391"/>
      <c r="OYS11" s="391"/>
      <c r="OYT11" s="391"/>
      <c r="OYU11" s="391"/>
      <c r="OYV11" s="391"/>
      <c r="OYW11" s="391"/>
      <c r="OYX11" s="391"/>
      <c r="OYY11" s="391"/>
      <c r="OYZ11" s="391"/>
      <c r="OZA11" s="391"/>
      <c r="OZB11" s="391"/>
      <c r="OZC11" s="391"/>
      <c r="OZD11" s="391"/>
      <c r="OZE11" s="391"/>
      <c r="OZF11" s="391"/>
      <c r="OZG11" s="391"/>
      <c r="OZH11" s="391"/>
      <c r="OZI11" s="391"/>
      <c r="OZJ11" s="391"/>
      <c r="OZK11" s="391"/>
      <c r="OZL11" s="391"/>
      <c r="OZM11" s="391"/>
      <c r="OZN11" s="391"/>
      <c r="OZO11" s="391"/>
      <c r="OZP11" s="391"/>
      <c r="OZQ11" s="391"/>
      <c r="OZR11" s="391"/>
      <c r="OZS11" s="391"/>
      <c r="OZT11" s="391"/>
      <c r="OZU11" s="391"/>
      <c r="OZV11" s="391"/>
      <c r="OZW11" s="391"/>
      <c r="OZX11" s="391"/>
      <c r="OZY11" s="391"/>
      <c r="OZZ11" s="391"/>
      <c r="PAA11" s="391"/>
      <c r="PAB11" s="391"/>
      <c r="PAC11" s="391"/>
      <c r="PAD11" s="391"/>
      <c r="PAE11" s="391"/>
      <c r="PAF11" s="391"/>
      <c r="PAG11" s="391"/>
      <c r="PAH11" s="391"/>
      <c r="PAI11" s="391"/>
      <c r="PAJ11" s="391"/>
      <c r="PAK11" s="391"/>
      <c r="PAL11" s="391"/>
      <c r="PAM11" s="391"/>
      <c r="PAN11" s="391"/>
      <c r="PAO11" s="391"/>
      <c r="PAP11" s="391"/>
      <c r="PAQ11" s="391"/>
      <c r="PAR11" s="391"/>
      <c r="PAS11" s="391"/>
      <c r="PAT11" s="391"/>
      <c r="PAU11" s="391"/>
      <c r="PAV11" s="391"/>
      <c r="PAW11" s="391"/>
      <c r="PAX11" s="391"/>
      <c r="PAY11" s="391"/>
      <c r="PAZ11" s="391"/>
      <c r="PBA11" s="391"/>
      <c r="PBB11" s="391"/>
      <c r="PBC11" s="391"/>
      <c r="PBD11" s="391"/>
      <c r="PBE11" s="391"/>
      <c r="PBF11" s="391"/>
      <c r="PBG11" s="391"/>
      <c r="PBH11" s="391"/>
      <c r="PBI11" s="391"/>
      <c r="PBJ11" s="391"/>
      <c r="PBK11" s="391"/>
      <c r="PBL11" s="391"/>
      <c r="PBM11" s="391"/>
      <c r="PBN11" s="391"/>
      <c r="PBO11" s="391"/>
      <c r="PBP11" s="391"/>
      <c r="PBQ11" s="391"/>
      <c r="PBR11" s="391"/>
      <c r="PBS11" s="391"/>
      <c r="PBT11" s="391"/>
      <c r="PBU11" s="391"/>
      <c r="PBV11" s="391"/>
      <c r="PBW11" s="391"/>
      <c r="PBX11" s="391"/>
      <c r="PBY11" s="391"/>
      <c r="PBZ11" s="391"/>
      <c r="PCA11" s="391"/>
      <c r="PCB11" s="391"/>
      <c r="PCC11" s="391"/>
      <c r="PCD11" s="391"/>
      <c r="PCE11" s="391"/>
      <c r="PCF11" s="391"/>
      <c r="PCG11" s="391"/>
      <c r="PCH11" s="391"/>
      <c r="PCI11" s="391"/>
      <c r="PCJ11" s="391"/>
      <c r="PCK11" s="391"/>
      <c r="PCL11" s="391"/>
      <c r="PCM11" s="391"/>
      <c r="PCN11" s="391"/>
      <c r="PCO11" s="391"/>
      <c r="PCP11" s="391"/>
      <c r="PCQ11" s="391"/>
      <c r="PCR11" s="391"/>
      <c r="PCS11" s="391"/>
      <c r="PCT11" s="391"/>
      <c r="PCU11" s="391"/>
      <c r="PCV11" s="391"/>
      <c r="PCW11" s="391"/>
      <c r="PCX11" s="391"/>
      <c r="PCY11" s="391"/>
      <c r="PCZ11" s="391"/>
      <c r="PDA11" s="391"/>
      <c r="PDB11" s="391"/>
      <c r="PDC11" s="391"/>
      <c r="PDD11" s="391"/>
      <c r="PDE11" s="391"/>
      <c r="PDF11" s="391"/>
      <c r="PDG11" s="391"/>
      <c r="PDH11" s="391"/>
      <c r="PDI11" s="391"/>
      <c r="PDJ11" s="391"/>
      <c r="PDK11" s="391"/>
      <c r="PDL11" s="391"/>
      <c r="PDM11" s="391"/>
      <c r="PDN11" s="391"/>
      <c r="PDO11" s="391"/>
      <c r="PDP11" s="391"/>
      <c r="PDQ11" s="391"/>
      <c r="PDR11" s="391"/>
      <c r="PDS11" s="391"/>
      <c r="PDT11" s="391"/>
      <c r="PDU11" s="391"/>
      <c r="PDV11" s="391"/>
      <c r="PDW11" s="391"/>
      <c r="PDX11" s="391"/>
      <c r="PDY11" s="391"/>
      <c r="PDZ11" s="391"/>
      <c r="PEA11" s="391"/>
      <c r="PEB11" s="391"/>
      <c r="PEC11" s="391"/>
      <c r="PED11" s="391"/>
      <c r="PEE11" s="391"/>
      <c r="PEF11" s="391"/>
      <c r="PEG11" s="391"/>
      <c r="PEH11" s="391"/>
      <c r="PEI11" s="391"/>
      <c r="PEJ11" s="391"/>
      <c r="PEK11" s="391"/>
      <c r="PEL11" s="391"/>
      <c r="PEM11" s="391"/>
      <c r="PEN11" s="391"/>
      <c r="PEO11" s="391"/>
      <c r="PEP11" s="391"/>
      <c r="PEQ11" s="391"/>
      <c r="PER11" s="391"/>
      <c r="PES11" s="391"/>
      <c r="PET11" s="391"/>
      <c r="PEU11" s="391"/>
      <c r="PEV11" s="391"/>
      <c r="PEW11" s="391"/>
      <c r="PEX11" s="391"/>
      <c r="PEY11" s="391"/>
      <c r="PEZ11" s="391"/>
      <c r="PFA11" s="391"/>
      <c r="PFB11" s="391"/>
      <c r="PFC11" s="391"/>
      <c r="PFD11" s="391"/>
      <c r="PFE11" s="391"/>
      <c r="PFF11" s="391"/>
      <c r="PFG11" s="391"/>
      <c r="PFH11" s="391"/>
      <c r="PFI11" s="391"/>
      <c r="PFJ11" s="391"/>
      <c r="PFK11" s="391"/>
      <c r="PFL11" s="391"/>
      <c r="PFM11" s="391"/>
      <c r="PFN11" s="391"/>
      <c r="PFO11" s="391"/>
      <c r="PFP11" s="391"/>
      <c r="PFQ11" s="391"/>
      <c r="PFR11" s="391"/>
      <c r="PFS11" s="391"/>
      <c r="PFT11" s="391"/>
      <c r="PFU11" s="391"/>
      <c r="PFV11" s="391"/>
      <c r="PFW11" s="391"/>
      <c r="PFX11" s="391"/>
      <c r="PFY11" s="391"/>
      <c r="PFZ11" s="391"/>
      <c r="PGA11" s="391"/>
      <c r="PGB11" s="391"/>
      <c r="PGC11" s="391"/>
      <c r="PGD11" s="391"/>
      <c r="PGE11" s="391"/>
      <c r="PGF11" s="391"/>
      <c r="PGG11" s="391"/>
      <c r="PGH11" s="391"/>
      <c r="PGI11" s="391"/>
      <c r="PGJ11" s="391"/>
      <c r="PGK11" s="391"/>
      <c r="PGL11" s="391"/>
      <c r="PGM11" s="391"/>
      <c r="PGN11" s="391"/>
      <c r="PGO11" s="391"/>
      <c r="PGP11" s="391"/>
      <c r="PGQ11" s="391"/>
      <c r="PGR11" s="391"/>
      <c r="PGS11" s="391"/>
      <c r="PGT11" s="391"/>
      <c r="PGU11" s="391"/>
      <c r="PGV11" s="391"/>
      <c r="PGW11" s="391"/>
      <c r="PGX11" s="391"/>
      <c r="PGY11" s="391"/>
      <c r="PGZ11" s="391"/>
      <c r="PHA11" s="391"/>
      <c r="PHB11" s="391"/>
      <c r="PHC11" s="391"/>
      <c r="PHD11" s="391"/>
      <c r="PHE11" s="391"/>
      <c r="PHF11" s="391"/>
      <c r="PHG11" s="391"/>
      <c r="PHH11" s="391"/>
      <c r="PHI11" s="391"/>
      <c r="PHJ11" s="391"/>
      <c r="PHK11" s="391"/>
      <c r="PHL11" s="391"/>
      <c r="PHM11" s="391"/>
      <c r="PHN11" s="391"/>
      <c r="PHO11" s="391"/>
      <c r="PHP11" s="391"/>
      <c r="PHQ11" s="391"/>
      <c r="PHR11" s="391"/>
      <c r="PHS11" s="391"/>
      <c r="PHT11" s="391"/>
      <c r="PHU11" s="391"/>
      <c r="PHV11" s="391"/>
      <c r="PHW11" s="391"/>
      <c r="PHX11" s="391"/>
      <c r="PHY11" s="391"/>
      <c r="PHZ11" s="391"/>
      <c r="PIA11" s="391"/>
      <c r="PIB11" s="391"/>
      <c r="PIC11" s="391"/>
      <c r="PID11" s="391"/>
      <c r="PIE11" s="391"/>
      <c r="PIF11" s="391"/>
      <c r="PIG11" s="391"/>
      <c r="PIH11" s="391"/>
      <c r="PII11" s="391"/>
      <c r="PIJ11" s="391"/>
      <c r="PIK11" s="391"/>
      <c r="PIL11" s="391"/>
      <c r="PIM11" s="391"/>
      <c r="PIN11" s="391"/>
      <c r="PIO11" s="391"/>
      <c r="PIP11" s="391"/>
      <c r="PIQ11" s="391"/>
      <c r="PIR11" s="391"/>
      <c r="PIS11" s="391"/>
      <c r="PIT11" s="391"/>
      <c r="PIU11" s="391"/>
      <c r="PIV11" s="391"/>
      <c r="PIW11" s="391"/>
      <c r="PIX11" s="391"/>
      <c r="PIY11" s="391"/>
      <c r="PIZ11" s="391"/>
      <c r="PJA11" s="391"/>
      <c r="PJB11" s="391"/>
      <c r="PJC11" s="391"/>
      <c r="PJD11" s="391"/>
      <c r="PJE11" s="391"/>
      <c r="PJF11" s="391"/>
      <c r="PJG11" s="391"/>
      <c r="PJH11" s="391"/>
      <c r="PJI11" s="391"/>
      <c r="PJJ11" s="391"/>
      <c r="PJK11" s="391"/>
      <c r="PJL11" s="391"/>
      <c r="PJM11" s="391"/>
      <c r="PJN11" s="391"/>
      <c r="PJO11" s="391"/>
      <c r="PJP11" s="391"/>
      <c r="PJQ11" s="391"/>
      <c r="PJR11" s="391"/>
      <c r="PJS11" s="391"/>
      <c r="PJT11" s="391"/>
      <c r="PJU11" s="391"/>
      <c r="PJV11" s="391"/>
      <c r="PJW11" s="391"/>
      <c r="PJX11" s="391"/>
      <c r="PJY11" s="391"/>
      <c r="PJZ11" s="391"/>
      <c r="PKA11" s="391"/>
      <c r="PKB11" s="391"/>
      <c r="PKC11" s="391"/>
      <c r="PKD11" s="391"/>
      <c r="PKE11" s="391"/>
      <c r="PKF11" s="391"/>
      <c r="PKG11" s="391"/>
      <c r="PKH11" s="391"/>
      <c r="PKI11" s="391"/>
      <c r="PKJ11" s="391"/>
      <c r="PKK11" s="391"/>
      <c r="PKL11" s="391"/>
      <c r="PKM11" s="391"/>
      <c r="PKN11" s="391"/>
      <c r="PKO11" s="391"/>
      <c r="PKP11" s="391"/>
      <c r="PKQ11" s="391"/>
      <c r="PKR11" s="391"/>
      <c r="PKS11" s="391"/>
      <c r="PKT11" s="391"/>
      <c r="PKU11" s="391"/>
      <c r="PKV11" s="391"/>
      <c r="PKW11" s="391"/>
      <c r="PKX11" s="391"/>
      <c r="PKY11" s="391"/>
      <c r="PKZ11" s="391"/>
      <c r="PLA11" s="391"/>
      <c r="PLB11" s="391"/>
      <c r="PLC11" s="391"/>
      <c r="PLD11" s="391"/>
      <c r="PLE11" s="391"/>
      <c r="PLF11" s="391"/>
      <c r="PLG11" s="391"/>
      <c r="PLH11" s="391"/>
      <c r="PLI11" s="391"/>
      <c r="PLJ11" s="391"/>
      <c r="PLK11" s="391"/>
      <c r="PLL11" s="391"/>
      <c r="PLM11" s="391"/>
      <c r="PLN11" s="391"/>
      <c r="PLO11" s="391"/>
      <c r="PLP11" s="391"/>
      <c r="PLQ11" s="391"/>
      <c r="PLR11" s="391"/>
      <c r="PLS11" s="391"/>
      <c r="PLT11" s="391"/>
      <c r="PLU11" s="391"/>
      <c r="PLV11" s="391"/>
      <c r="PLW11" s="391"/>
      <c r="PLX11" s="391"/>
      <c r="PLY11" s="391"/>
      <c r="PLZ11" s="391"/>
      <c r="PMA11" s="391"/>
      <c r="PMB11" s="391"/>
      <c r="PMC11" s="391"/>
      <c r="PMD11" s="391"/>
      <c r="PME11" s="391"/>
      <c r="PMF11" s="391"/>
      <c r="PMG11" s="391"/>
      <c r="PMH11" s="391"/>
      <c r="PMI11" s="391"/>
      <c r="PMJ11" s="391"/>
      <c r="PMK11" s="391"/>
      <c r="PML11" s="391"/>
      <c r="PMM11" s="391"/>
      <c r="PMN11" s="391"/>
      <c r="PMO11" s="391"/>
      <c r="PMP11" s="391"/>
      <c r="PMQ11" s="391"/>
      <c r="PMR11" s="391"/>
      <c r="PMS11" s="391"/>
      <c r="PMT11" s="391"/>
      <c r="PMU11" s="391"/>
      <c r="PMV11" s="391"/>
      <c r="PMW11" s="391"/>
      <c r="PMX11" s="391"/>
      <c r="PMY11" s="391"/>
      <c r="PMZ11" s="391"/>
      <c r="PNA11" s="391"/>
      <c r="PNB11" s="391"/>
      <c r="PNC11" s="391"/>
      <c r="PND11" s="391"/>
      <c r="PNE11" s="391"/>
      <c r="PNF11" s="391"/>
      <c r="PNG11" s="391"/>
      <c r="PNH11" s="391"/>
      <c r="PNI11" s="391"/>
      <c r="PNJ11" s="391"/>
      <c r="PNK11" s="391"/>
      <c r="PNL11" s="391"/>
      <c r="PNM11" s="391"/>
      <c r="PNN11" s="391"/>
      <c r="PNO11" s="391"/>
      <c r="PNP11" s="391"/>
      <c r="PNQ11" s="391"/>
      <c r="PNR11" s="391"/>
      <c r="PNS11" s="391"/>
      <c r="PNT11" s="391"/>
      <c r="PNU11" s="391"/>
      <c r="PNV11" s="391"/>
      <c r="PNW11" s="391"/>
      <c r="PNX11" s="391"/>
      <c r="PNY11" s="391"/>
      <c r="PNZ11" s="391"/>
      <c r="POA11" s="391"/>
      <c r="POB11" s="391"/>
      <c r="POC11" s="391"/>
      <c r="POD11" s="391"/>
      <c r="POE11" s="391"/>
      <c r="POF11" s="391"/>
      <c r="POG11" s="391"/>
      <c r="POH11" s="391"/>
      <c r="POI11" s="391"/>
      <c r="POJ11" s="391"/>
      <c r="POK11" s="391"/>
      <c r="POL11" s="391"/>
      <c r="POM11" s="391"/>
      <c r="PON11" s="391"/>
      <c r="POO11" s="391"/>
      <c r="POP11" s="391"/>
      <c r="POQ11" s="391"/>
      <c r="POR11" s="391"/>
      <c r="POS11" s="391"/>
      <c r="POT11" s="391"/>
      <c r="POU11" s="391"/>
      <c r="POV11" s="391"/>
      <c r="POW11" s="391"/>
      <c r="POX11" s="391"/>
      <c r="POY11" s="391"/>
      <c r="POZ11" s="391"/>
      <c r="PPA11" s="391"/>
      <c r="PPB11" s="391"/>
      <c r="PPC11" s="391"/>
      <c r="PPD11" s="391"/>
      <c r="PPE11" s="391"/>
      <c r="PPF11" s="391"/>
      <c r="PPG11" s="391"/>
      <c r="PPH11" s="391"/>
      <c r="PPI11" s="391"/>
      <c r="PPJ11" s="391"/>
      <c r="PPK11" s="391"/>
      <c r="PPL11" s="391"/>
      <c r="PPM11" s="391"/>
      <c r="PPN11" s="391"/>
      <c r="PPO11" s="391"/>
      <c r="PPP11" s="391"/>
      <c r="PPQ11" s="391"/>
      <c r="PPR11" s="391"/>
      <c r="PPS11" s="391"/>
      <c r="PPT11" s="391"/>
      <c r="PPU11" s="391"/>
      <c r="PPV11" s="391"/>
      <c r="PPW11" s="391"/>
      <c r="PPX11" s="391"/>
      <c r="PPY11" s="391"/>
      <c r="PPZ11" s="391"/>
      <c r="PQA11" s="391"/>
      <c r="PQB11" s="391"/>
      <c r="PQC11" s="391"/>
      <c r="PQD11" s="391"/>
      <c r="PQE11" s="391"/>
      <c r="PQF11" s="391"/>
      <c r="PQG11" s="391"/>
      <c r="PQH11" s="391"/>
      <c r="PQI11" s="391"/>
      <c r="PQJ11" s="391"/>
      <c r="PQK11" s="391"/>
      <c r="PQL11" s="391"/>
      <c r="PQM11" s="391"/>
      <c r="PQN11" s="391"/>
      <c r="PQO11" s="391"/>
      <c r="PQP11" s="391"/>
      <c r="PQQ11" s="391"/>
      <c r="PQR11" s="391"/>
      <c r="PQS11" s="391"/>
      <c r="PQT11" s="391"/>
      <c r="PQU11" s="391"/>
      <c r="PQV11" s="391"/>
      <c r="PQW11" s="391"/>
      <c r="PQX11" s="391"/>
      <c r="PQY11" s="391"/>
      <c r="PQZ11" s="391"/>
      <c r="PRA11" s="391"/>
      <c r="PRB11" s="391"/>
      <c r="PRC11" s="391"/>
      <c r="PRD11" s="391"/>
      <c r="PRE11" s="391"/>
      <c r="PRF11" s="391"/>
      <c r="PRG11" s="391"/>
      <c r="PRH11" s="391"/>
      <c r="PRI11" s="391"/>
      <c r="PRJ11" s="391"/>
      <c r="PRK11" s="391"/>
      <c r="PRL11" s="391"/>
      <c r="PRM11" s="391"/>
      <c r="PRN11" s="391"/>
      <c r="PRO11" s="391"/>
      <c r="PRP11" s="391"/>
      <c r="PRQ11" s="391"/>
      <c r="PRR11" s="391"/>
      <c r="PRS11" s="391"/>
      <c r="PRT11" s="391"/>
      <c r="PRU11" s="391"/>
      <c r="PRV11" s="391"/>
      <c r="PRW11" s="391"/>
      <c r="PRX11" s="391"/>
      <c r="PRY11" s="391"/>
      <c r="PRZ11" s="391"/>
      <c r="PSA11" s="391"/>
      <c r="PSB11" s="391"/>
      <c r="PSC11" s="391"/>
      <c r="PSD11" s="391"/>
      <c r="PSE11" s="391"/>
      <c r="PSF11" s="391"/>
      <c r="PSG11" s="391"/>
      <c r="PSH11" s="391"/>
      <c r="PSI11" s="391"/>
      <c r="PSJ11" s="391"/>
      <c r="PSK11" s="391"/>
      <c r="PSL11" s="391"/>
      <c r="PSM11" s="391"/>
      <c r="PSN11" s="391"/>
      <c r="PSO11" s="391"/>
      <c r="PSP11" s="391"/>
      <c r="PSQ11" s="391"/>
      <c r="PSR11" s="391"/>
      <c r="PSS11" s="391"/>
      <c r="PST11" s="391"/>
      <c r="PSU11" s="391"/>
      <c r="PSV11" s="391"/>
      <c r="PSW11" s="391"/>
      <c r="PSX11" s="391"/>
      <c r="PSY11" s="391"/>
      <c r="PSZ11" s="391"/>
      <c r="PTA11" s="391"/>
      <c r="PTB11" s="391"/>
      <c r="PTC11" s="391"/>
      <c r="PTD11" s="391"/>
      <c r="PTE11" s="391"/>
      <c r="PTF11" s="391"/>
      <c r="PTG11" s="391"/>
      <c r="PTH11" s="391"/>
      <c r="PTI11" s="391"/>
      <c r="PTJ11" s="391"/>
      <c r="PTK11" s="391"/>
      <c r="PTL11" s="391"/>
      <c r="PTM11" s="391"/>
      <c r="PTN11" s="391"/>
      <c r="PTO11" s="391"/>
      <c r="PTP11" s="391"/>
      <c r="PTQ11" s="391"/>
      <c r="PTR11" s="391"/>
      <c r="PTS11" s="391"/>
      <c r="PTT11" s="391"/>
      <c r="PTU11" s="391"/>
      <c r="PTV11" s="391"/>
      <c r="PTW11" s="391"/>
      <c r="PTX11" s="391"/>
      <c r="PTY11" s="391"/>
      <c r="PTZ11" s="391"/>
      <c r="PUA11" s="391"/>
      <c r="PUB11" s="391"/>
      <c r="PUC11" s="391"/>
      <c r="PUD11" s="391"/>
      <c r="PUE11" s="391"/>
      <c r="PUF11" s="391"/>
      <c r="PUG11" s="391"/>
      <c r="PUH11" s="391"/>
      <c r="PUI11" s="391"/>
      <c r="PUJ11" s="391"/>
      <c r="PUK11" s="391"/>
      <c r="PUL11" s="391"/>
      <c r="PUM11" s="391"/>
      <c r="PUN11" s="391"/>
      <c r="PUO11" s="391"/>
      <c r="PUP11" s="391"/>
      <c r="PUQ11" s="391"/>
      <c r="PUR11" s="391"/>
      <c r="PUS11" s="391"/>
      <c r="PUT11" s="391"/>
      <c r="PUU11" s="391"/>
      <c r="PUV11" s="391"/>
      <c r="PUW11" s="391"/>
      <c r="PUX11" s="391"/>
      <c r="PUY11" s="391"/>
      <c r="PUZ11" s="391"/>
      <c r="PVA11" s="391"/>
      <c r="PVB11" s="391"/>
      <c r="PVC11" s="391"/>
      <c r="PVD11" s="391"/>
      <c r="PVE11" s="391"/>
      <c r="PVF11" s="391"/>
      <c r="PVG11" s="391"/>
      <c r="PVH11" s="391"/>
      <c r="PVI11" s="391"/>
      <c r="PVJ11" s="391"/>
      <c r="PVK11" s="391"/>
      <c r="PVL11" s="391"/>
      <c r="PVM11" s="391"/>
      <c r="PVN11" s="391"/>
      <c r="PVO11" s="391"/>
      <c r="PVP11" s="391"/>
      <c r="PVQ11" s="391"/>
      <c r="PVR11" s="391"/>
      <c r="PVS11" s="391"/>
      <c r="PVT11" s="391"/>
      <c r="PVU11" s="391"/>
      <c r="PVV11" s="391"/>
      <c r="PVW11" s="391"/>
      <c r="PVX11" s="391"/>
      <c r="PVY11" s="391"/>
      <c r="PVZ11" s="391"/>
      <c r="PWA11" s="391"/>
      <c r="PWB11" s="391"/>
      <c r="PWC11" s="391"/>
      <c r="PWD11" s="391"/>
      <c r="PWE11" s="391"/>
      <c r="PWF11" s="391"/>
      <c r="PWG11" s="391"/>
      <c r="PWH11" s="391"/>
      <c r="PWI11" s="391"/>
      <c r="PWJ11" s="391"/>
      <c r="PWK11" s="391"/>
      <c r="PWL11" s="391"/>
      <c r="PWM11" s="391"/>
      <c r="PWN11" s="391"/>
      <c r="PWO11" s="391"/>
      <c r="PWP11" s="391"/>
      <c r="PWQ11" s="391"/>
      <c r="PWR11" s="391"/>
      <c r="PWS11" s="391"/>
      <c r="PWT11" s="391"/>
      <c r="PWU11" s="391"/>
      <c r="PWV11" s="391"/>
      <c r="PWW11" s="391"/>
      <c r="PWX11" s="391"/>
      <c r="PWY11" s="391"/>
      <c r="PWZ11" s="391"/>
      <c r="PXA11" s="391"/>
      <c r="PXB11" s="391"/>
      <c r="PXC11" s="391"/>
      <c r="PXD11" s="391"/>
      <c r="PXE11" s="391"/>
      <c r="PXF11" s="391"/>
      <c r="PXG11" s="391"/>
      <c r="PXH11" s="391"/>
      <c r="PXI11" s="391"/>
      <c r="PXJ11" s="391"/>
      <c r="PXK11" s="391"/>
      <c r="PXL11" s="391"/>
      <c r="PXM11" s="391"/>
      <c r="PXN11" s="391"/>
      <c r="PXO11" s="391"/>
      <c r="PXP11" s="391"/>
      <c r="PXQ11" s="391"/>
      <c r="PXR11" s="391"/>
      <c r="PXS11" s="391"/>
      <c r="PXT11" s="391"/>
      <c r="PXU11" s="391"/>
      <c r="PXV11" s="391"/>
      <c r="PXW11" s="391"/>
      <c r="PXX11" s="391"/>
      <c r="PXY11" s="391"/>
      <c r="PXZ11" s="391"/>
      <c r="PYA11" s="391"/>
      <c r="PYB11" s="391"/>
      <c r="PYC11" s="391"/>
      <c r="PYD11" s="391"/>
      <c r="PYE11" s="391"/>
      <c r="PYF11" s="391"/>
      <c r="PYG11" s="391"/>
      <c r="PYH11" s="391"/>
      <c r="PYI11" s="391"/>
      <c r="PYJ11" s="391"/>
      <c r="PYK11" s="391"/>
      <c r="PYL11" s="391"/>
      <c r="PYM11" s="391"/>
      <c r="PYN11" s="391"/>
      <c r="PYO11" s="391"/>
      <c r="PYP11" s="391"/>
      <c r="PYQ11" s="391"/>
      <c r="PYR11" s="391"/>
      <c r="PYS11" s="391"/>
      <c r="PYT11" s="391"/>
      <c r="PYU11" s="391"/>
      <c r="PYV11" s="391"/>
      <c r="PYW11" s="391"/>
      <c r="PYX11" s="391"/>
      <c r="PYY11" s="391"/>
      <c r="PYZ11" s="391"/>
      <c r="PZA11" s="391"/>
      <c r="PZB11" s="391"/>
      <c r="PZC11" s="391"/>
      <c r="PZD11" s="391"/>
      <c r="PZE11" s="391"/>
      <c r="PZF11" s="391"/>
      <c r="PZG11" s="391"/>
      <c r="PZH11" s="391"/>
      <c r="PZI11" s="391"/>
      <c r="PZJ11" s="391"/>
      <c r="PZK11" s="391"/>
      <c r="PZL11" s="391"/>
      <c r="PZM11" s="391"/>
      <c r="PZN11" s="391"/>
      <c r="PZO11" s="391"/>
      <c r="PZP11" s="391"/>
      <c r="PZQ11" s="391"/>
      <c r="PZR11" s="391"/>
      <c r="PZS11" s="391"/>
      <c r="PZT11" s="391"/>
      <c r="PZU11" s="391"/>
      <c r="PZV11" s="391"/>
      <c r="PZW11" s="391"/>
      <c r="PZX11" s="391"/>
      <c r="PZY11" s="391"/>
      <c r="PZZ11" s="391"/>
      <c r="QAA11" s="391"/>
      <c r="QAB11" s="391"/>
      <c r="QAC11" s="391"/>
      <c r="QAD11" s="391"/>
      <c r="QAE11" s="391"/>
      <c r="QAF11" s="391"/>
      <c r="QAG11" s="391"/>
      <c r="QAH11" s="391"/>
      <c r="QAI11" s="391"/>
      <c r="QAJ11" s="391"/>
      <c r="QAK11" s="391"/>
      <c r="QAL11" s="391"/>
      <c r="QAM11" s="391"/>
      <c r="QAN11" s="391"/>
      <c r="QAO11" s="391"/>
      <c r="QAP11" s="391"/>
      <c r="QAQ11" s="391"/>
      <c r="QAR11" s="391"/>
      <c r="QAS11" s="391"/>
      <c r="QAT11" s="391"/>
      <c r="QAU11" s="391"/>
      <c r="QAV11" s="391"/>
      <c r="QAW11" s="391"/>
      <c r="QAX11" s="391"/>
      <c r="QAY11" s="391"/>
      <c r="QAZ11" s="391"/>
      <c r="QBA11" s="391"/>
      <c r="QBB11" s="391"/>
      <c r="QBC11" s="391"/>
      <c r="QBD11" s="391"/>
      <c r="QBE11" s="391"/>
      <c r="QBF11" s="391"/>
      <c r="QBG11" s="391"/>
      <c r="QBH11" s="391"/>
      <c r="QBI11" s="391"/>
      <c r="QBJ11" s="391"/>
      <c r="QBK11" s="391"/>
      <c r="QBL11" s="391"/>
      <c r="QBM11" s="391"/>
      <c r="QBN11" s="391"/>
      <c r="QBO11" s="391"/>
      <c r="QBP11" s="391"/>
      <c r="QBQ11" s="391"/>
      <c r="QBR11" s="391"/>
      <c r="QBS11" s="391"/>
      <c r="QBT11" s="391"/>
      <c r="QBU11" s="391"/>
      <c r="QBV11" s="391"/>
      <c r="QBW11" s="391"/>
      <c r="QBX11" s="391"/>
      <c r="QBY11" s="391"/>
      <c r="QBZ11" s="391"/>
      <c r="QCA11" s="391"/>
      <c r="QCB11" s="391"/>
      <c r="QCC11" s="391"/>
      <c r="QCD11" s="391"/>
      <c r="QCE11" s="391"/>
      <c r="QCF11" s="391"/>
      <c r="QCG11" s="391"/>
      <c r="QCH11" s="391"/>
      <c r="QCI11" s="391"/>
      <c r="QCJ11" s="391"/>
      <c r="QCK11" s="391"/>
      <c r="QCL11" s="391"/>
      <c r="QCM11" s="391"/>
      <c r="QCN11" s="391"/>
      <c r="QCO11" s="391"/>
      <c r="QCP11" s="391"/>
      <c r="QCQ11" s="391"/>
      <c r="QCR11" s="391"/>
      <c r="QCS11" s="391"/>
      <c r="QCT11" s="391"/>
      <c r="QCU11" s="391"/>
      <c r="QCV11" s="391"/>
      <c r="QCW11" s="391"/>
      <c r="QCX11" s="391"/>
      <c r="QCY11" s="391"/>
      <c r="QCZ11" s="391"/>
      <c r="QDA11" s="391"/>
      <c r="QDB11" s="391"/>
      <c r="QDC11" s="391"/>
      <c r="QDD11" s="391"/>
      <c r="QDE11" s="391"/>
      <c r="QDF11" s="391"/>
      <c r="QDG11" s="391"/>
      <c r="QDH11" s="391"/>
      <c r="QDI11" s="391"/>
      <c r="QDJ11" s="391"/>
      <c r="QDK11" s="391"/>
      <c r="QDL11" s="391"/>
      <c r="QDM11" s="391"/>
      <c r="QDN11" s="391"/>
      <c r="QDO11" s="391"/>
      <c r="QDP11" s="391"/>
      <c r="QDQ11" s="391"/>
      <c r="QDR11" s="391"/>
      <c r="QDS11" s="391"/>
      <c r="QDT11" s="391"/>
      <c r="QDU11" s="391"/>
      <c r="QDV11" s="391"/>
      <c r="QDW11" s="391"/>
      <c r="QDX11" s="391"/>
      <c r="QDY11" s="391"/>
      <c r="QDZ11" s="391"/>
      <c r="QEA11" s="391"/>
      <c r="QEB11" s="391"/>
      <c r="QEC11" s="391"/>
      <c r="QED11" s="391"/>
      <c r="QEE11" s="391"/>
      <c r="QEF11" s="391"/>
      <c r="QEG11" s="391"/>
      <c r="QEH11" s="391"/>
      <c r="QEI11" s="391"/>
      <c r="QEJ11" s="391"/>
      <c r="QEK11" s="391"/>
      <c r="QEL11" s="391"/>
      <c r="QEM11" s="391"/>
      <c r="QEN11" s="391"/>
      <c r="QEO11" s="391"/>
      <c r="QEP11" s="391"/>
      <c r="QEQ11" s="391"/>
      <c r="QER11" s="391"/>
      <c r="QES11" s="391"/>
      <c r="QET11" s="391"/>
      <c r="QEU11" s="391"/>
      <c r="QEV11" s="391"/>
      <c r="QEW11" s="391"/>
      <c r="QEX11" s="391"/>
      <c r="QEY11" s="391"/>
      <c r="QEZ11" s="391"/>
      <c r="QFA11" s="391"/>
      <c r="QFB11" s="391"/>
      <c r="QFC11" s="391"/>
      <c r="QFD11" s="391"/>
      <c r="QFE11" s="391"/>
      <c r="QFF11" s="391"/>
      <c r="QFG11" s="391"/>
      <c r="QFH11" s="391"/>
      <c r="QFI11" s="391"/>
      <c r="QFJ11" s="391"/>
      <c r="QFK11" s="391"/>
      <c r="QFL11" s="391"/>
      <c r="QFM11" s="391"/>
      <c r="QFN11" s="391"/>
      <c r="QFO11" s="391"/>
      <c r="QFP11" s="391"/>
      <c r="QFQ11" s="391"/>
      <c r="QFR11" s="391"/>
      <c r="QFS11" s="391"/>
      <c r="QFT11" s="391"/>
      <c r="QFU11" s="391"/>
      <c r="QFV11" s="391"/>
      <c r="QFW11" s="391"/>
      <c r="QFX11" s="391"/>
      <c r="QFY11" s="391"/>
      <c r="QFZ11" s="391"/>
      <c r="QGA11" s="391"/>
      <c r="QGB11" s="391"/>
      <c r="QGC11" s="391"/>
      <c r="QGD11" s="391"/>
      <c r="QGE11" s="391"/>
      <c r="QGF11" s="391"/>
      <c r="QGG11" s="391"/>
      <c r="QGH11" s="391"/>
      <c r="QGI11" s="391"/>
      <c r="QGJ11" s="391"/>
      <c r="QGK11" s="391"/>
      <c r="QGL11" s="391"/>
      <c r="QGM11" s="391"/>
      <c r="QGN11" s="391"/>
      <c r="QGO11" s="391"/>
      <c r="QGP11" s="391"/>
      <c r="QGQ11" s="391"/>
      <c r="QGR11" s="391"/>
      <c r="QGS11" s="391"/>
      <c r="QGT11" s="391"/>
      <c r="QGU11" s="391"/>
      <c r="QGV11" s="391"/>
      <c r="QGW11" s="391"/>
      <c r="QGX11" s="391"/>
      <c r="QGY11" s="391"/>
      <c r="QGZ11" s="391"/>
      <c r="QHA11" s="391"/>
      <c r="QHB11" s="391"/>
      <c r="QHC11" s="391"/>
      <c r="QHD11" s="391"/>
      <c r="QHE11" s="391"/>
      <c r="QHF11" s="391"/>
      <c r="QHG11" s="391"/>
      <c r="QHH11" s="391"/>
      <c r="QHI11" s="391"/>
      <c r="QHJ11" s="391"/>
      <c r="QHK11" s="391"/>
      <c r="QHL11" s="391"/>
      <c r="QHM11" s="391"/>
      <c r="QHN11" s="391"/>
      <c r="QHO11" s="391"/>
      <c r="QHP11" s="391"/>
      <c r="QHQ11" s="391"/>
      <c r="QHR11" s="391"/>
      <c r="QHS11" s="391"/>
      <c r="QHT11" s="391"/>
      <c r="QHU11" s="391"/>
      <c r="QHV11" s="391"/>
      <c r="QHW11" s="391"/>
      <c r="QHX11" s="391"/>
      <c r="QHY11" s="391"/>
      <c r="QHZ11" s="391"/>
      <c r="QIA11" s="391"/>
      <c r="QIB11" s="391"/>
      <c r="QIC11" s="391"/>
      <c r="QID11" s="391"/>
      <c r="QIE11" s="391"/>
      <c r="QIF11" s="391"/>
      <c r="QIG11" s="391"/>
      <c r="QIH11" s="391"/>
      <c r="QII11" s="391"/>
      <c r="QIJ11" s="391"/>
      <c r="QIK11" s="391"/>
      <c r="QIL11" s="391"/>
      <c r="QIM11" s="391"/>
      <c r="QIN11" s="391"/>
      <c r="QIO11" s="391"/>
      <c r="QIP11" s="391"/>
      <c r="QIQ11" s="391"/>
      <c r="QIR11" s="391"/>
      <c r="QIS11" s="391"/>
      <c r="QIT11" s="391"/>
      <c r="QIU11" s="391"/>
      <c r="QIV11" s="391"/>
      <c r="QIW11" s="391"/>
      <c r="QIX11" s="391"/>
      <c r="QIY11" s="391"/>
      <c r="QIZ11" s="391"/>
      <c r="QJA11" s="391"/>
      <c r="QJB11" s="391"/>
      <c r="QJC11" s="391"/>
      <c r="QJD11" s="391"/>
      <c r="QJE11" s="391"/>
      <c r="QJF11" s="391"/>
      <c r="QJG11" s="391"/>
      <c r="QJH11" s="391"/>
      <c r="QJI11" s="391"/>
      <c r="QJJ11" s="391"/>
      <c r="QJK11" s="391"/>
      <c r="QJL11" s="391"/>
      <c r="QJM11" s="391"/>
      <c r="QJN11" s="391"/>
      <c r="QJO11" s="391"/>
      <c r="QJP11" s="391"/>
      <c r="QJQ11" s="391"/>
      <c r="QJR11" s="391"/>
      <c r="QJS11" s="391"/>
      <c r="QJT11" s="391"/>
      <c r="QJU11" s="391"/>
      <c r="QJV11" s="391"/>
      <c r="QJW11" s="391"/>
      <c r="QJX11" s="391"/>
      <c r="QJY11" s="391"/>
      <c r="QJZ11" s="391"/>
      <c r="QKA11" s="391"/>
      <c r="QKB11" s="391"/>
      <c r="QKC11" s="391"/>
      <c r="QKD11" s="391"/>
      <c r="QKE11" s="391"/>
      <c r="QKF11" s="391"/>
      <c r="QKG11" s="391"/>
      <c r="QKH11" s="391"/>
      <c r="QKI11" s="391"/>
      <c r="QKJ11" s="391"/>
      <c r="QKK11" s="391"/>
      <c r="QKL11" s="391"/>
      <c r="QKM11" s="391"/>
      <c r="QKN11" s="391"/>
      <c r="QKO11" s="391"/>
      <c r="QKP11" s="391"/>
      <c r="QKQ11" s="391"/>
      <c r="QKR11" s="391"/>
      <c r="QKS11" s="391"/>
      <c r="QKT11" s="391"/>
      <c r="QKU11" s="391"/>
      <c r="QKV11" s="391"/>
      <c r="QKW11" s="391"/>
      <c r="QKX11" s="391"/>
      <c r="QKY11" s="391"/>
      <c r="QKZ11" s="391"/>
      <c r="QLA11" s="391"/>
      <c r="QLB11" s="391"/>
      <c r="QLC11" s="391"/>
      <c r="QLD11" s="391"/>
      <c r="QLE11" s="391"/>
      <c r="QLF11" s="391"/>
      <c r="QLG11" s="391"/>
      <c r="QLH11" s="391"/>
      <c r="QLI11" s="391"/>
      <c r="QLJ11" s="391"/>
      <c r="QLK11" s="391"/>
      <c r="QLL11" s="391"/>
      <c r="QLM11" s="391"/>
      <c r="QLN11" s="391"/>
      <c r="QLO11" s="391"/>
      <c r="QLP11" s="391"/>
      <c r="QLQ11" s="391"/>
      <c r="QLR11" s="391"/>
      <c r="QLS11" s="391"/>
      <c r="QLT11" s="391"/>
      <c r="QLU11" s="391"/>
      <c r="QLV11" s="391"/>
      <c r="QLW11" s="391"/>
      <c r="QLX11" s="391"/>
      <c r="QLY11" s="391"/>
      <c r="QLZ11" s="391"/>
      <c r="QMA11" s="391"/>
      <c r="QMB11" s="391"/>
      <c r="QMC11" s="391"/>
      <c r="QMD11" s="391"/>
      <c r="QME11" s="391"/>
      <c r="QMF11" s="391"/>
      <c r="QMG11" s="391"/>
      <c r="QMH11" s="391"/>
      <c r="QMI11" s="391"/>
      <c r="QMJ11" s="391"/>
      <c r="QMK11" s="391"/>
      <c r="QML11" s="391"/>
      <c r="QMM11" s="391"/>
      <c r="QMN11" s="391"/>
      <c r="QMO11" s="391"/>
      <c r="QMP11" s="391"/>
      <c r="QMQ11" s="391"/>
      <c r="QMR11" s="391"/>
      <c r="QMS11" s="391"/>
      <c r="QMT11" s="391"/>
      <c r="QMU11" s="391"/>
      <c r="QMV11" s="391"/>
      <c r="QMW11" s="391"/>
      <c r="QMX11" s="391"/>
      <c r="QMY11" s="391"/>
      <c r="QMZ11" s="391"/>
      <c r="QNA11" s="391"/>
      <c r="QNB11" s="391"/>
      <c r="QNC11" s="391"/>
      <c r="QND11" s="391"/>
      <c r="QNE11" s="391"/>
      <c r="QNF11" s="391"/>
      <c r="QNG11" s="391"/>
      <c r="QNH11" s="391"/>
      <c r="QNI11" s="391"/>
      <c r="QNJ11" s="391"/>
      <c r="QNK11" s="391"/>
      <c r="QNL11" s="391"/>
      <c r="QNM11" s="391"/>
      <c r="QNN11" s="391"/>
      <c r="QNO11" s="391"/>
      <c r="QNP11" s="391"/>
      <c r="QNQ11" s="391"/>
      <c r="QNR11" s="391"/>
      <c r="QNS11" s="391"/>
      <c r="QNT11" s="391"/>
      <c r="QNU11" s="391"/>
      <c r="QNV11" s="391"/>
      <c r="QNW11" s="391"/>
      <c r="QNX11" s="391"/>
      <c r="QNY11" s="391"/>
      <c r="QNZ11" s="391"/>
      <c r="QOA11" s="391"/>
      <c r="QOB11" s="391"/>
      <c r="QOC11" s="391"/>
      <c r="QOD11" s="391"/>
      <c r="QOE11" s="391"/>
      <c r="QOF11" s="391"/>
      <c r="QOG11" s="391"/>
      <c r="QOH11" s="391"/>
      <c r="QOI11" s="391"/>
      <c r="QOJ11" s="391"/>
      <c r="QOK11" s="391"/>
      <c r="QOL11" s="391"/>
      <c r="QOM11" s="391"/>
      <c r="QON11" s="391"/>
      <c r="QOO11" s="391"/>
      <c r="QOP11" s="391"/>
      <c r="QOQ11" s="391"/>
      <c r="QOR11" s="391"/>
      <c r="QOS11" s="391"/>
      <c r="QOT11" s="391"/>
      <c r="QOU11" s="391"/>
      <c r="QOV11" s="391"/>
      <c r="QOW11" s="391"/>
      <c r="QOX11" s="391"/>
      <c r="QOY11" s="391"/>
      <c r="QOZ11" s="391"/>
      <c r="QPA11" s="391"/>
      <c r="QPB11" s="391"/>
      <c r="QPC11" s="391"/>
      <c r="QPD11" s="391"/>
      <c r="QPE11" s="391"/>
      <c r="QPF11" s="391"/>
      <c r="QPG11" s="391"/>
      <c r="QPH11" s="391"/>
      <c r="QPI11" s="391"/>
      <c r="QPJ11" s="391"/>
      <c r="QPK11" s="391"/>
      <c r="QPL11" s="391"/>
      <c r="QPM11" s="391"/>
      <c r="QPN11" s="391"/>
      <c r="QPO11" s="391"/>
      <c r="QPP11" s="391"/>
      <c r="QPQ11" s="391"/>
      <c r="QPR11" s="391"/>
      <c r="QPS11" s="391"/>
      <c r="QPT11" s="391"/>
      <c r="QPU11" s="391"/>
      <c r="QPV11" s="391"/>
      <c r="QPW11" s="391"/>
      <c r="QPX11" s="391"/>
      <c r="QPY11" s="391"/>
      <c r="QPZ11" s="391"/>
      <c r="QQA11" s="391"/>
      <c r="QQB11" s="391"/>
      <c r="QQC11" s="391"/>
      <c r="QQD11" s="391"/>
      <c r="QQE11" s="391"/>
      <c r="QQF11" s="391"/>
      <c r="QQG11" s="391"/>
      <c r="QQH11" s="391"/>
      <c r="QQI11" s="391"/>
      <c r="QQJ11" s="391"/>
      <c r="QQK11" s="391"/>
      <c r="QQL11" s="391"/>
      <c r="QQM11" s="391"/>
      <c r="QQN11" s="391"/>
      <c r="QQO11" s="391"/>
      <c r="QQP11" s="391"/>
      <c r="QQQ11" s="391"/>
      <c r="QQR11" s="391"/>
      <c r="QQS11" s="391"/>
      <c r="QQT11" s="391"/>
      <c r="QQU11" s="391"/>
      <c r="QQV11" s="391"/>
      <c r="QQW11" s="391"/>
      <c r="QQX11" s="391"/>
      <c r="QQY11" s="391"/>
      <c r="QQZ11" s="391"/>
      <c r="QRA11" s="391"/>
      <c r="QRB11" s="391"/>
      <c r="QRC11" s="391"/>
      <c r="QRD11" s="391"/>
      <c r="QRE11" s="391"/>
      <c r="QRF11" s="391"/>
      <c r="QRG11" s="391"/>
      <c r="QRH11" s="391"/>
      <c r="QRI11" s="391"/>
      <c r="QRJ11" s="391"/>
      <c r="QRK11" s="391"/>
      <c r="QRL11" s="391"/>
      <c r="QRM11" s="391"/>
      <c r="QRN11" s="391"/>
      <c r="QRO11" s="391"/>
      <c r="QRP11" s="391"/>
      <c r="QRQ11" s="391"/>
      <c r="QRR11" s="391"/>
      <c r="QRS11" s="391"/>
      <c r="QRT11" s="391"/>
      <c r="QRU11" s="391"/>
      <c r="QRV11" s="391"/>
      <c r="QRW11" s="391"/>
      <c r="QRX11" s="391"/>
      <c r="QRY11" s="391"/>
      <c r="QRZ11" s="391"/>
      <c r="QSA11" s="391"/>
      <c r="QSB11" s="391"/>
      <c r="QSC11" s="391"/>
      <c r="QSD11" s="391"/>
      <c r="QSE11" s="391"/>
      <c r="QSF11" s="391"/>
      <c r="QSG11" s="391"/>
      <c r="QSH11" s="391"/>
      <c r="QSI11" s="391"/>
      <c r="QSJ11" s="391"/>
      <c r="QSK11" s="391"/>
      <c r="QSL11" s="391"/>
      <c r="QSM11" s="391"/>
      <c r="QSN11" s="391"/>
      <c r="QSO11" s="391"/>
      <c r="QSP11" s="391"/>
      <c r="QSQ11" s="391"/>
      <c r="QSR11" s="391"/>
      <c r="QSS11" s="391"/>
      <c r="QST11" s="391"/>
      <c r="QSU11" s="391"/>
      <c r="QSV11" s="391"/>
      <c r="QSW11" s="391"/>
      <c r="QSX11" s="391"/>
      <c r="QSY11" s="391"/>
      <c r="QSZ11" s="391"/>
      <c r="QTA11" s="391"/>
      <c r="QTB11" s="391"/>
      <c r="QTC11" s="391"/>
      <c r="QTD11" s="391"/>
      <c r="QTE11" s="391"/>
      <c r="QTF11" s="391"/>
      <c r="QTG11" s="391"/>
      <c r="QTH11" s="391"/>
      <c r="QTI11" s="391"/>
      <c r="QTJ11" s="391"/>
      <c r="QTK11" s="391"/>
      <c r="QTL11" s="391"/>
      <c r="QTM11" s="391"/>
      <c r="QTN11" s="391"/>
      <c r="QTO11" s="391"/>
      <c r="QTP11" s="391"/>
      <c r="QTQ11" s="391"/>
      <c r="QTR11" s="391"/>
      <c r="QTS11" s="391"/>
      <c r="QTT11" s="391"/>
      <c r="QTU11" s="391"/>
      <c r="QTV11" s="391"/>
      <c r="QTW11" s="391"/>
      <c r="QTX11" s="391"/>
      <c r="QTY11" s="391"/>
      <c r="QTZ11" s="391"/>
      <c r="QUA11" s="391"/>
      <c r="QUB11" s="391"/>
      <c r="QUC11" s="391"/>
      <c r="QUD11" s="391"/>
      <c r="QUE11" s="391"/>
      <c r="QUF11" s="391"/>
      <c r="QUG11" s="391"/>
      <c r="QUH11" s="391"/>
      <c r="QUI11" s="391"/>
      <c r="QUJ11" s="391"/>
      <c r="QUK11" s="391"/>
      <c r="QUL11" s="391"/>
      <c r="QUM11" s="391"/>
      <c r="QUN11" s="391"/>
      <c r="QUO11" s="391"/>
      <c r="QUP11" s="391"/>
      <c r="QUQ11" s="391"/>
      <c r="QUR11" s="391"/>
      <c r="QUS11" s="391"/>
      <c r="QUT11" s="391"/>
      <c r="QUU11" s="391"/>
      <c r="QUV11" s="391"/>
      <c r="QUW11" s="391"/>
      <c r="QUX11" s="391"/>
      <c r="QUY11" s="391"/>
      <c r="QUZ11" s="391"/>
      <c r="QVA11" s="391"/>
      <c r="QVB11" s="391"/>
      <c r="QVC11" s="391"/>
      <c r="QVD11" s="391"/>
      <c r="QVE11" s="391"/>
      <c r="QVF11" s="391"/>
      <c r="QVG11" s="391"/>
      <c r="QVH11" s="391"/>
      <c r="QVI11" s="391"/>
      <c r="QVJ11" s="391"/>
      <c r="QVK11" s="391"/>
      <c r="QVL11" s="391"/>
      <c r="QVM11" s="391"/>
      <c r="QVN11" s="391"/>
      <c r="QVO11" s="391"/>
      <c r="QVP11" s="391"/>
      <c r="QVQ11" s="391"/>
      <c r="QVR11" s="391"/>
      <c r="QVS11" s="391"/>
      <c r="QVT11" s="391"/>
      <c r="QVU11" s="391"/>
      <c r="QVV11" s="391"/>
      <c r="QVW11" s="391"/>
      <c r="QVX11" s="391"/>
      <c r="QVY11" s="391"/>
      <c r="QVZ11" s="391"/>
      <c r="QWA11" s="391"/>
      <c r="QWB11" s="391"/>
      <c r="QWC11" s="391"/>
      <c r="QWD11" s="391"/>
      <c r="QWE11" s="391"/>
      <c r="QWF11" s="391"/>
      <c r="QWG11" s="391"/>
      <c r="QWH11" s="391"/>
      <c r="QWI11" s="391"/>
      <c r="QWJ11" s="391"/>
      <c r="QWK11" s="391"/>
      <c r="QWL11" s="391"/>
      <c r="QWM11" s="391"/>
      <c r="QWN11" s="391"/>
      <c r="QWO11" s="391"/>
      <c r="QWP11" s="391"/>
      <c r="QWQ11" s="391"/>
      <c r="QWR11" s="391"/>
      <c r="QWS11" s="391"/>
      <c r="QWT11" s="391"/>
      <c r="QWU11" s="391"/>
      <c r="QWV11" s="391"/>
      <c r="QWW11" s="391"/>
      <c r="QWX11" s="391"/>
      <c r="QWY11" s="391"/>
      <c r="QWZ11" s="391"/>
      <c r="QXA11" s="391"/>
      <c r="QXB11" s="391"/>
      <c r="QXC11" s="391"/>
      <c r="QXD11" s="391"/>
      <c r="QXE11" s="391"/>
      <c r="QXF11" s="391"/>
      <c r="QXG11" s="391"/>
      <c r="QXH11" s="391"/>
      <c r="QXI11" s="391"/>
      <c r="QXJ11" s="391"/>
      <c r="QXK11" s="391"/>
      <c r="QXL11" s="391"/>
      <c r="QXM11" s="391"/>
      <c r="QXN11" s="391"/>
      <c r="QXO11" s="391"/>
      <c r="QXP11" s="391"/>
      <c r="QXQ11" s="391"/>
      <c r="QXR11" s="391"/>
      <c r="QXS11" s="391"/>
      <c r="QXT11" s="391"/>
      <c r="QXU11" s="391"/>
      <c r="QXV11" s="391"/>
      <c r="QXW11" s="391"/>
      <c r="QXX11" s="391"/>
      <c r="QXY11" s="391"/>
      <c r="QXZ11" s="391"/>
      <c r="QYA11" s="391"/>
      <c r="QYB11" s="391"/>
      <c r="QYC11" s="391"/>
      <c r="QYD11" s="391"/>
      <c r="QYE11" s="391"/>
      <c r="QYF11" s="391"/>
      <c r="QYG11" s="391"/>
      <c r="QYH11" s="391"/>
      <c r="QYI11" s="391"/>
      <c r="QYJ11" s="391"/>
      <c r="QYK11" s="391"/>
      <c r="QYL11" s="391"/>
      <c r="QYM11" s="391"/>
      <c r="QYN11" s="391"/>
      <c r="QYO11" s="391"/>
      <c r="QYP11" s="391"/>
      <c r="QYQ11" s="391"/>
      <c r="QYR11" s="391"/>
      <c r="QYS11" s="391"/>
      <c r="QYT11" s="391"/>
      <c r="QYU11" s="391"/>
      <c r="QYV11" s="391"/>
      <c r="QYW11" s="391"/>
      <c r="QYX11" s="391"/>
      <c r="QYY11" s="391"/>
      <c r="QYZ11" s="391"/>
      <c r="QZA11" s="391"/>
      <c r="QZB11" s="391"/>
      <c r="QZC11" s="391"/>
      <c r="QZD11" s="391"/>
      <c r="QZE11" s="391"/>
      <c r="QZF11" s="391"/>
      <c r="QZG11" s="391"/>
      <c r="QZH11" s="391"/>
      <c r="QZI11" s="391"/>
      <c r="QZJ11" s="391"/>
      <c r="QZK11" s="391"/>
      <c r="QZL11" s="391"/>
      <c r="QZM11" s="391"/>
      <c r="QZN11" s="391"/>
      <c r="QZO11" s="391"/>
      <c r="QZP11" s="391"/>
      <c r="QZQ11" s="391"/>
      <c r="QZR11" s="391"/>
      <c r="QZS11" s="391"/>
      <c r="QZT11" s="391"/>
      <c r="QZU11" s="391"/>
      <c r="QZV11" s="391"/>
      <c r="QZW11" s="391"/>
      <c r="QZX11" s="391"/>
      <c r="QZY11" s="391"/>
      <c r="QZZ11" s="391"/>
      <c r="RAA11" s="391"/>
      <c r="RAB11" s="391"/>
      <c r="RAC11" s="391"/>
      <c r="RAD11" s="391"/>
      <c r="RAE11" s="391"/>
      <c r="RAF11" s="391"/>
      <c r="RAG11" s="391"/>
      <c r="RAH11" s="391"/>
      <c r="RAI11" s="391"/>
      <c r="RAJ11" s="391"/>
      <c r="RAK11" s="391"/>
      <c r="RAL11" s="391"/>
      <c r="RAM11" s="391"/>
      <c r="RAN11" s="391"/>
      <c r="RAO11" s="391"/>
      <c r="RAP11" s="391"/>
      <c r="RAQ11" s="391"/>
      <c r="RAR11" s="391"/>
      <c r="RAS11" s="391"/>
      <c r="RAT11" s="391"/>
      <c r="RAU11" s="391"/>
      <c r="RAV11" s="391"/>
      <c r="RAW11" s="391"/>
      <c r="RAX11" s="391"/>
      <c r="RAY11" s="391"/>
      <c r="RAZ11" s="391"/>
      <c r="RBA11" s="391"/>
      <c r="RBB11" s="391"/>
      <c r="RBC11" s="391"/>
      <c r="RBD11" s="391"/>
      <c r="RBE11" s="391"/>
      <c r="RBF11" s="391"/>
      <c r="RBG11" s="391"/>
      <c r="RBH11" s="391"/>
      <c r="RBI11" s="391"/>
      <c r="RBJ11" s="391"/>
      <c r="RBK11" s="391"/>
      <c r="RBL11" s="391"/>
      <c r="RBM11" s="391"/>
      <c r="RBN11" s="391"/>
      <c r="RBO11" s="391"/>
      <c r="RBP11" s="391"/>
      <c r="RBQ11" s="391"/>
      <c r="RBR11" s="391"/>
      <c r="RBS11" s="391"/>
      <c r="RBT11" s="391"/>
      <c r="RBU11" s="391"/>
      <c r="RBV11" s="391"/>
      <c r="RBW11" s="391"/>
      <c r="RBX11" s="391"/>
      <c r="RBY11" s="391"/>
      <c r="RBZ11" s="391"/>
      <c r="RCA11" s="391"/>
      <c r="RCB11" s="391"/>
      <c r="RCC11" s="391"/>
      <c r="RCD11" s="391"/>
      <c r="RCE11" s="391"/>
      <c r="RCF11" s="391"/>
      <c r="RCG11" s="391"/>
      <c r="RCH11" s="391"/>
      <c r="RCI11" s="391"/>
      <c r="RCJ11" s="391"/>
      <c r="RCK11" s="391"/>
      <c r="RCL11" s="391"/>
      <c r="RCM11" s="391"/>
      <c r="RCN11" s="391"/>
      <c r="RCO11" s="391"/>
      <c r="RCP11" s="391"/>
      <c r="RCQ11" s="391"/>
      <c r="RCR11" s="391"/>
      <c r="RCS11" s="391"/>
      <c r="RCT11" s="391"/>
      <c r="RCU11" s="391"/>
      <c r="RCV11" s="391"/>
      <c r="RCW11" s="391"/>
      <c r="RCX11" s="391"/>
      <c r="RCY11" s="391"/>
      <c r="RCZ11" s="391"/>
      <c r="RDA11" s="391"/>
      <c r="RDB11" s="391"/>
      <c r="RDC11" s="391"/>
      <c r="RDD11" s="391"/>
      <c r="RDE11" s="391"/>
      <c r="RDF11" s="391"/>
      <c r="RDG11" s="391"/>
      <c r="RDH11" s="391"/>
      <c r="RDI11" s="391"/>
      <c r="RDJ11" s="391"/>
      <c r="RDK11" s="391"/>
      <c r="RDL11" s="391"/>
      <c r="RDM11" s="391"/>
      <c r="RDN11" s="391"/>
      <c r="RDO11" s="391"/>
      <c r="RDP11" s="391"/>
      <c r="RDQ11" s="391"/>
      <c r="RDR11" s="391"/>
      <c r="RDS11" s="391"/>
      <c r="RDT11" s="391"/>
      <c r="RDU11" s="391"/>
      <c r="RDV11" s="391"/>
      <c r="RDW11" s="391"/>
      <c r="RDX11" s="391"/>
      <c r="RDY11" s="391"/>
      <c r="RDZ11" s="391"/>
      <c r="REA11" s="391"/>
      <c r="REB11" s="391"/>
      <c r="REC11" s="391"/>
      <c r="RED11" s="391"/>
      <c r="REE11" s="391"/>
      <c r="REF11" s="391"/>
      <c r="REG11" s="391"/>
      <c r="REH11" s="391"/>
      <c r="REI11" s="391"/>
      <c r="REJ11" s="391"/>
      <c r="REK11" s="391"/>
      <c r="REL11" s="391"/>
      <c r="REM11" s="391"/>
      <c r="REN11" s="391"/>
      <c r="REO11" s="391"/>
      <c r="REP11" s="391"/>
      <c r="REQ11" s="391"/>
      <c r="RER11" s="391"/>
      <c r="RES11" s="391"/>
      <c r="RET11" s="391"/>
      <c r="REU11" s="391"/>
      <c r="REV11" s="391"/>
      <c r="REW11" s="391"/>
      <c r="REX11" s="391"/>
      <c r="REY11" s="391"/>
      <c r="REZ11" s="391"/>
      <c r="RFA11" s="391"/>
      <c r="RFB11" s="391"/>
      <c r="RFC11" s="391"/>
      <c r="RFD11" s="391"/>
      <c r="RFE11" s="391"/>
      <c r="RFF11" s="391"/>
      <c r="RFG11" s="391"/>
      <c r="RFH11" s="391"/>
      <c r="RFI11" s="391"/>
      <c r="RFJ11" s="391"/>
      <c r="RFK11" s="391"/>
      <c r="RFL11" s="391"/>
      <c r="RFM11" s="391"/>
      <c r="RFN11" s="391"/>
      <c r="RFO11" s="391"/>
      <c r="RFP11" s="391"/>
      <c r="RFQ11" s="391"/>
      <c r="RFR11" s="391"/>
      <c r="RFS11" s="391"/>
      <c r="RFT11" s="391"/>
      <c r="RFU11" s="391"/>
      <c r="RFV11" s="391"/>
      <c r="RFW11" s="391"/>
      <c r="RFX11" s="391"/>
      <c r="RFY11" s="391"/>
      <c r="RFZ11" s="391"/>
      <c r="RGA11" s="391"/>
      <c r="RGB11" s="391"/>
      <c r="RGC11" s="391"/>
      <c r="RGD11" s="391"/>
      <c r="RGE11" s="391"/>
      <c r="RGF11" s="391"/>
      <c r="RGG11" s="391"/>
      <c r="RGH11" s="391"/>
      <c r="RGI11" s="391"/>
      <c r="RGJ11" s="391"/>
      <c r="RGK11" s="391"/>
      <c r="RGL11" s="391"/>
      <c r="RGM11" s="391"/>
      <c r="RGN11" s="391"/>
      <c r="RGO11" s="391"/>
      <c r="RGP11" s="391"/>
      <c r="RGQ11" s="391"/>
      <c r="RGR11" s="391"/>
      <c r="RGS11" s="391"/>
      <c r="RGT11" s="391"/>
      <c r="RGU11" s="391"/>
      <c r="RGV11" s="391"/>
      <c r="RGW11" s="391"/>
      <c r="RGX11" s="391"/>
      <c r="RGY11" s="391"/>
      <c r="RGZ11" s="391"/>
      <c r="RHA11" s="391"/>
      <c r="RHB11" s="391"/>
      <c r="RHC11" s="391"/>
      <c r="RHD11" s="391"/>
      <c r="RHE11" s="391"/>
      <c r="RHF11" s="391"/>
      <c r="RHG11" s="391"/>
      <c r="RHH11" s="391"/>
      <c r="RHI11" s="391"/>
      <c r="RHJ11" s="391"/>
      <c r="RHK11" s="391"/>
      <c r="RHL11" s="391"/>
      <c r="RHM11" s="391"/>
      <c r="RHN11" s="391"/>
      <c r="RHO11" s="391"/>
      <c r="RHP11" s="391"/>
      <c r="RHQ11" s="391"/>
      <c r="RHR11" s="391"/>
      <c r="RHS11" s="391"/>
      <c r="RHT11" s="391"/>
      <c r="RHU11" s="391"/>
      <c r="RHV11" s="391"/>
      <c r="RHW11" s="391"/>
      <c r="RHX11" s="391"/>
      <c r="RHY11" s="391"/>
      <c r="RHZ11" s="391"/>
      <c r="RIA11" s="391"/>
      <c r="RIB11" s="391"/>
      <c r="RIC11" s="391"/>
      <c r="RID11" s="391"/>
      <c r="RIE11" s="391"/>
      <c r="RIF11" s="391"/>
      <c r="RIG11" s="391"/>
      <c r="RIH11" s="391"/>
      <c r="RII11" s="391"/>
      <c r="RIJ11" s="391"/>
      <c r="RIK11" s="391"/>
      <c r="RIL11" s="391"/>
      <c r="RIM11" s="391"/>
      <c r="RIN11" s="391"/>
      <c r="RIO11" s="391"/>
      <c r="RIP11" s="391"/>
      <c r="RIQ11" s="391"/>
      <c r="RIR11" s="391"/>
      <c r="RIS11" s="391"/>
      <c r="RIT11" s="391"/>
      <c r="RIU11" s="391"/>
      <c r="RIV11" s="391"/>
      <c r="RIW11" s="391"/>
      <c r="RIX11" s="391"/>
      <c r="RIY11" s="391"/>
      <c r="RIZ11" s="391"/>
      <c r="RJA11" s="391"/>
      <c r="RJB11" s="391"/>
      <c r="RJC11" s="391"/>
      <c r="RJD11" s="391"/>
      <c r="RJE11" s="391"/>
      <c r="RJF11" s="391"/>
      <c r="RJG11" s="391"/>
      <c r="RJH11" s="391"/>
      <c r="RJI11" s="391"/>
      <c r="RJJ11" s="391"/>
      <c r="RJK11" s="391"/>
      <c r="RJL11" s="391"/>
      <c r="RJM11" s="391"/>
      <c r="RJN11" s="391"/>
      <c r="RJO11" s="391"/>
      <c r="RJP11" s="391"/>
      <c r="RJQ11" s="391"/>
      <c r="RJR11" s="391"/>
      <c r="RJS11" s="391"/>
      <c r="RJT11" s="391"/>
      <c r="RJU11" s="391"/>
      <c r="RJV11" s="391"/>
      <c r="RJW11" s="391"/>
      <c r="RJX11" s="391"/>
      <c r="RJY11" s="391"/>
      <c r="RJZ11" s="391"/>
      <c r="RKA11" s="391"/>
      <c r="RKB11" s="391"/>
      <c r="RKC11" s="391"/>
      <c r="RKD11" s="391"/>
      <c r="RKE11" s="391"/>
      <c r="RKF11" s="391"/>
      <c r="RKG11" s="391"/>
      <c r="RKH11" s="391"/>
      <c r="RKI11" s="391"/>
      <c r="RKJ11" s="391"/>
      <c r="RKK11" s="391"/>
      <c r="RKL11" s="391"/>
      <c r="RKM11" s="391"/>
      <c r="RKN11" s="391"/>
      <c r="RKO11" s="391"/>
      <c r="RKP11" s="391"/>
      <c r="RKQ11" s="391"/>
      <c r="RKR11" s="391"/>
      <c r="RKS11" s="391"/>
      <c r="RKT11" s="391"/>
      <c r="RKU11" s="391"/>
      <c r="RKV11" s="391"/>
      <c r="RKW11" s="391"/>
      <c r="RKX11" s="391"/>
      <c r="RKY11" s="391"/>
      <c r="RKZ11" s="391"/>
      <c r="RLA11" s="391"/>
      <c r="RLB11" s="391"/>
      <c r="RLC11" s="391"/>
      <c r="RLD11" s="391"/>
      <c r="RLE11" s="391"/>
      <c r="RLF11" s="391"/>
      <c r="RLG11" s="391"/>
      <c r="RLH11" s="391"/>
      <c r="RLI11" s="391"/>
      <c r="RLJ11" s="391"/>
      <c r="RLK11" s="391"/>
      <c r="RLL11" s="391"/>
      <c r="RLM11" s="391"/>
      <c r="RLN11" s="391"/>
      <c r="RLO11" s="391"/>
      <c r="RLP11" s="391"/>
      <c r="RLQ11" s="391"/>
      <c r="RLR11" s="391"/>
      <c r="RLS11" s="391"/>
      <c r="RLT11" s="391"/>
      <c r="RLU11" s="391"/>
      <c r="RLV11" s="391"/>
      <c r="RLW11" s="391"/>
      <c r="RLX11" s="391"/>
      <c r="RLY11" s="391"/>
      <c r="RLZ11" s="391"/>
      <c r="RMA11" s="391"/>
      <c r="RMB11" s="391"/>
      <c r="RMC11" s="391"/>
      <c r="RMD11" s="391"/>
      <c r="RME11" s="391"/>
      <c r="RMF11" s="391"/>
      <c r="RMG11" s="391"/>
      <c r="RMH11" s="391"/>
      <c r="RMI11" s="391"/>
      <c r="RMJ11" s="391"/>
      <c r="RMK11" s="391"/>
      <c r="RML11" s="391"/>
      <c r="RMM11" s="391"/>
      <c r="RMN11" s="391"/>
      <c r="RMO11" s="391"/>
      <c r="RMP11" s="391"/>
      <c r="RMQ11" s="391"/>
      <c r="RMR11" s="391"/>
      <c r="RMS11" s="391"/>
      <c r="RMT11" s="391"/>
      <c r="RMU11" s="391"/>
      <c r="RMV11" s="391"/>
      <c r="RMW11" s="391"/>
      <c r="RMX11" s="391"/>
      <c r="RMY11" s="391"/>
      <c r="RMZ11" s="391"/>
      <c r="RNA11" s="391"/>
      <c r="RNB11" s="391"/>
      <c r="RNC11" s="391"/>
      <c r="RND11" s="391"/>
      <c r="RNE11" s="391"/>
      <c r="RNF11" s="391"/>
      <c r="RNG11" s="391"/>
      <c r="RNH11" s="391"/>
      <c r="RNI11" s="391"/>
      <c r="RNJ11" s="391"/>
      <c r="RNK11" s="391"/>
      <c r="RNL11" s="391"/>
      <c r="RNM11" s="391"/>
      <c r="RNN11" s="391"/>
      <c r="RNO11" s="391"/>
      <c r="RNP11" s="391"/>
      <c r="RNQ11" s="391"/>
      <c r="RNR11" s="391"/>
      <c r="RNS11" s="391"/>
      <c r="RNT11" s="391"/>
      <c r="RNU11" s="391"/>
      <c r="RNV11" s="391"/>
      <c r="RNW11" s="391"/>
      <c r="RNX11" s="391"/>
      <c r="RNY11" s="391"/>
      <c r="RNZ11" s="391"/>
      <c r="ROA11" s="391"/>
      <c r="ROB11" s="391"/>
      <c r="ROC11" s="391"/>
      <c r="ROD11" s="391"/>
      <c r="ROE11" s="391"/>
      <c r="ROF11" s="391"/>
      <c r="ROG11" s="391"/>
      <c r="ROH11" s="391"/>
      <c r="ROI11" s="391"/>
      <c r="ROJ11" s="391"/>
      <c r="ROK11" s="391"/>
      <c r="ROL11" s="391"/>
      <c r="ROM11" s="391"/>
      <c r="RON11" s="391"/>
      <c r="ROO11" s="391"/>
      <c r="ROP11" s="391"/>
      <c r="ROQ11" s="391"/>
      <c r="ROR11" s="391"/>
      <c r="ROS11" s="391"/>
      <c r="ROT11" s="391"/>
      <c r="ROU11" s="391"/>
      <c r="ROV11" s="391"/>
      <c r="ROW11" s="391"/>
      <c r="ROX11" s="391"/>
      <c r="ROY11" s="391"/>
      <c r="ROZ11" s="391"/>
      <c r="RPA11" s="391"/>
      <c r="RPB11" s="391"/>
      <c r="RPC11" s="391"/>
      <c r="RPD11" s="391"/>
      <c r="RPE11" s="391"/>
      <c r="RPF11" s="391"/>
      <c r="RPG11" s="391"/>
      <c r="RPH11" s="391"/>
      <c r="RPI11" s="391"/>
      <c r="RPJ11" s="391"/>
      <c r="RPK11" s="391"/>
      <c r="RPL11" s="391"/>
      <c r="RPM11" s="391"/>
      <c r="RPN11" s="391"/>
      <c r="RPO11" s="391"/>
      <c r="RPP11" s="391"/>
      <c r="RPQ11" s="391"/>
      <c r="RPR11" s="391"/>
      <c r="RPS11" s="391"/>
      <c r="RPT11" s="391"/>
      <c r="RPU11" s="391"/>
      <c r="RPV11" s="391"/>
      <c r="RPW11" s="391"/>
      <c r="RPX11" s="391"/>
      <c r="RPY11" s="391"/>
      <c r="RPZ11" s="391"/>
      <c r="RQA11" s="391"/>
      <c r="RQB11" s="391"/>
      <c r="RQC11" s="391"/>
      <c r="RQD11" s="391"/>
      <c r="RQE11" s="391"/>
      <c r="RQF11" s="391"/>
      <c r="RQG11" s="391"/>
      <c r="RQH11" s="391"/>
      <c r="RQI11" s="391"/>
      <c r="RQJ11" s="391"/>
      <c r="RQK11" s="391"/>
      <c r="RQL11" s="391"/>
      <c r="RQM11" s="391"/>
      <c r="RQN11" s="391"/>
      <c r="RQO11" s="391"/>
      <c r="RQP11" s="391"/>
      <c r="RQQ11" s="391"/>
      <c r="RQR11" s="391"/>
      <c r="RQS11" s="391"/>
      <c r="RQT11" s="391"/>
      <c r="RQU11" s="391"/>
      <c r="RQV11" s="391"/>
      <c r="RQW11" s="391"/>
      <c r="RQX11" s="391"/>
      <c r="RQY11" s="391"/>
      <c r="RQZ11" s="391"/>
      <c r="RRA11" s="391"/>
      <c r="RRB11" s="391"/>
      <c r="RRC11" s="391"/>
      <c r="RRD11" s="391"/>
      <c r="RRE11" s="391"/>
      <c r="RRF11" s="391"/>
      <c r="RRG11" s="391"/>
      <c r="RRH11" s="391"/>
      <c r="RRI11" s="391"/>
      <c r="RRJ11" s="391"/>
      <c r="RRK11" s="391"/>
      <c r="RRL11" s="391"/>
      <c r="RRM11" s="391"/>
      <c r="RRN11" s="391"/>
      <c r="RRO11" s="391"/>
      <c r="RRP11" s="391"/>
      <c r="RRQ11" s="391"/>
      <c r="RRR11" s="391"/>
      <c r="RRS11" s="391"/>
      <c r="RRT11" s="391"/>
      <c r="RRU11" s="391"/>
      <c r="RRV11" s="391"/>
      <c r="RRW11" s="391"/>
      <c r="RRX11" s="391"/>
      <c r="RRY11" s="391"/>
      <c r="RRZ11" s="391"/>
      <c r="RSA11" s="391"/>
      <c r="RSB11" s="391"/>
      <c r="RSC11" s="391"/>
      <c r="RSD11" s="391"/>
      <c r="RSE11" s="391"/>
      <c r="RSF11" s="391"/>
      <c r="RSG11" s="391"/>
      <c r="RSH11" s="391"/>
      <c r="RSI11" s="391"/>
      <c r="RSJ11" s="391"/>
      <c r="RSK11" s="391"/>
      <c r="RSL11" s="391"/>
      <c r="RSM11" s="391"/>
      <c r="RSN11" s="391"/>
      <c r="RSO11" s="391"/>
      <c r="RSP11" s="391"/>
      <c r="RSQ11" s="391"/>
      <c r="RSR11" s="391"/>
      <c r="RSS11" s="391"/>
      <c r="RST11" s="391"/>
      <c r="RSU11" s="391"/>
      <c r="RSV11" s="391"/>
      <c r="RSW11" s="391"/>
      <c r="RSX11" s="391"/>
      <c r="RSY11" s="391"/>
      <c r="RSZ11" s="391"/>
      <c r="RTA11" s="391"/>
      <c r="RTB11" s="391"/>
      <c r="RTC11" s="391"/>
      <c r="RTD11" s="391"/>
      <c r="RTE11" s="391"/>
      <c r="RTF11" s="391"/>
      <c r="RTG11" s="391"/>
      <c r="RTH11" s="391"/>
      <c r="RTI11" s="391"/>
      <c r="RTJ11" s="391"/>
      <c r="RTK11" s="391"/>
      <c r="RTL11" s="391"/>
      <c r="RTM11" s="391"/>
      <c r="RTN11" s="391"/>
      <c r="RTO11" s="391"/>
      <c r="RTP11" s="391"/>
      <c r="RTQ11" s="391"/>
      <c r="RTR11" s="391"/>
      <c r="RTS11" s="391"/>
      <c r="RTT11" s="391"/>
      <c r="RTU11" s="391"/>
      <c r="RTV11" s="391"/>
      <c r="RTW11" s="391"/>
      <c r="RTX11" s="391"/>
      <c r="RTY11" s="391"/>
      <c r="RTZ11" s="391"/>
      <c r="RUA11" s="391"/>
      <c r="RUB11" s="391"/>
      <c r="RUC11" s="391"/>
      <c r="RUD11" s="391"/>
      <c r="RUE11" s="391"/>
      <c r="RUF11" s="391"/>
      <c r="RUG11" s="391"/>
      <c r="RUH11" s="391"/>
      <c r="RUI11" s="391"/>
      <c r="RUJ11" s="391"/>
      <c r="RUK11" s="391"/>
      <c r="RUL11" s="391"/>
      <c r="RUM11" s="391"/>
      <c r="RUN11" s="391"/>
      <c r="RUO11" s="391"/>
      <c r="RUP11" s="391"/>
      <c r="RUQ11" s="391"/>
      <c r="RUR11" s="391"/>
      <c r="RUS11" s="391"/>
      <c r="RUT11" s="391"/>
      <c r="RUU11" s="391"/>
      <c r="RUV11" s="391"/>
      <c r="RUW11" s="391"/>
      <c r="RUX11" s="391"/>
      <c r="RUY11" s="391"/>
      <c r="RUZ11" s="391"/>
      <c r="RVA11" s="391"/>
      <c r="RVB11" s="391"/>
      <c r="RVC11" s="391"/>
      <c r="RVD11" s="391"/>
      <c r="RVE11" s="391"/>
      <c r="RVF11" s="391"/>
      <c r="RVG11" s="391"/>
      <c r="RVH11" s="391"/>
      <c r="RVI11" s="391"/>
      <c r="RVJ11" s="391"/>
      <c r="RVK11" s="391"/>
      <c r="RVL11" s="391"/>
      <c r="RVM11" s="391"/>
      <c r="RVN11" s="391"/>
      <c r="RVO11" s="391"/>
      <c r="RVP11" s="391"/>
      <c r="RVQ11" s="391"/>
      <c r="RVR11" s="391"/>
      <c r="RVS11" s="391"/>
      <c r="RVT11" s="391"/>
      <c r="RVU11" s="391"/>
      <c r="RVV11" s="391"/>
      <c r="RVW11" s="391"/>
      <c r="RVX11" s="391"/>
      <c r="RVY11" s="391"/>
      <c r="RVZ11" s="391"/>
      <c r="RWA11" s="391"/>
      <c r="RWB11" s="391"/>
      <c r="RWC11" s="391"/>
      <c r="RWD11" s="391"/>
      <c r="RWE11" s="391"/>
      <c r="RWF11" s="391"/>
      <c r="RWG11" s="391"/>
      <c r="RWH11" s="391"/>
      <c r="RWI11" s="391"/>
      <c r="RWJ11" s="391"/>
      <c r="RWK11" s="391"/>
      <c r="RWL11" s="391"/>
      <c r="RWM11" s="391"/>
      <c r="RWN11" s="391"/>
      <c r="RWO11" s="391"/>
      <c r="RWP11" s="391"/>
      <c r="RWQ11" s="391"/>
      <c r="RWR11" s="391"/>
      <c r="RWS11" s="391"/>
      <c r="RWT11" s="391"/>
      <c r="RWU11" s="391"/>
      <c r="RWV11" s="391"/>
      <c r="RWW11" s="391"/>
      <c r="RWX11" s="391"/>
      <c r="RWY11" s="391"/>
      <c r="RWZ11" s="391"/>
      <c r="RXA11" s="391"/>
      <c r="RXB11" s="391"/>
      <c r="RXC11" s="391"/>
      <c r="RXD11" s="391"/>
      <c r="RXE11" s="391"/>
      <c r="RXF11" s="391"/>
      <c r="RXG11" s="391"/>
      <c r="RXH11" s="391"/>
      <c r="RXI11" s="391"/>
      <c r="RXJ11" s="391"/>
      <c r="RXK11" s="391"/>
      <c r="RXL11" s="391"/>
      <c r="RXM11" s="391"/>
      <c r="RXN11" s="391"/>
      <c r="RXO11" s="391"/>
      <c r="RXP11" s="391"/>
      <c r="RXQ11" s="391"/>
      <c r="RXR11" s="391"/>
      <c r="RXS11" s="391"/>
      <c r="RXT11" s="391"/>
      <c r="RXU11" s="391"/>
      <c r="RXV11" s="391"/>
      <c r="RXW11" s="391"/>
      <c r="RXX11" s="391"/>
      <c r="RXY11" s="391"/>
      <c r="RXZ11" s="391"/>
      <c r="RYA11" s="391"/>
      <c r="RYB11" s="391"/>
      <c r="RYC11" s="391"/>
      <c r="RYD11" s="391"/>
      <c r="RYE11" s="391"/>
      <c r="RYF11" s="391"/>
      <c r="RYG11" s="391"/>
      <c r="RYH11" s="391"/>
      <c r="RYI11" s="391"/>
      <c r="RYJ11" s="391"/>
      <c r="RYK11" s="391"/>
      <c r="RYL11" s="391"/>
      <c r="RYM11" s="391"/>
      <c r="RYN11" s="391"/>
      <c r="RYO11" s="391"/>
      <c r="RYP11" s="391"/>
      <c r="RYQ11" s="391"/>
      <c r="RYR11" s="391"/>
      <c r="RYS11" s="391"/>
      <c r="RYT11" s="391"/>
      <c r="RYU11" s="391"/>
      <c r="RYV11" s="391"/>
      <c r="RYW11" s="391"/>
      <c r="RYX11" s="391"/>
      <c r="RYY11" s="391"/>
      <c r="RYZ11" s="391"/>
      <c r="RZA11" s="391"/>
      <c r="RZB11" s="391"/>
      <c r="RZC11" s="391"/>
      <c r="RZD11" s="391"/>
      <c r="RZE11" s="391"/>
      <c r="RZF11" s="391"/>
      <c r="RZG11" s="391"/>
      <c r="RZH11" s="391"/>
      <c r="RZI11" s="391"/>
      <c r="RZJ11" s="391"/>
      <c r="RZK11" s="391"/>
      <c r="RZL11" s="391"/>
      <c r="RZM11" s="391"/>
      <c r="RZN11" s="391"/>
      <c r="RZO11" s="391"/>
      <c r="RZP11" s="391"/>
      <c r="RZQ11" s="391"/>
      <c r="RZR11" s="391"/>
      <c r="RZS11" s="391"/>
      <c r="RZT11" s="391"/>
      <c r="RZU11" s="391"/>
      <c r="RZV11" s="391"/>
      <c r="RZW11" s="391"/>
      <c r="RZX11" s="391"/>
      <c r="RZY11" s="391"/>
      <c r="RZZ11" s="391"/>
      <c r="SAA11" s="391"/>
      <c r="SAB11" s="391"/>
      <c r="SAC11" s="391"/>
      <c r="SAD11" s="391"/>
      <c r="SAE11" s="391"/>
      <c r="SAF11" s="391"/>
      <c r="SAG11" s="391"/>
      <c r="SAH11" s="391"/>
      <c r="SAI11" s="391"/>
      <c r="SAJ11" s="391"/>
      <c r="SAK11" s="391"/>
      <c r="SAL11" s="391"/>
      <c r="SAM11" s="391"/>
      <c r="SAN11" s="391"/>
      <c r="SAO11" s="391"/>
      <c r="SAP11" s="391"/>
      <c r="SAQ11" s="391"/>
      <c r="SAR11" s="391"/>
      <c r="SAS11" s="391"/>
      <c r="SAT11" s="391"/>
      <c r="SAU11" s="391"/>
      <c r="SAV11" s="391"/>
      <c r="SAW11" s="391"/>
      <c r="SAX11" s="391"/>
      <c r="SAY11" s="391"/>
      <c r="SAZ11" s="391"/>
      <c r="SBA11" s="391"/>
      <c r="SBB11" s="391"/>
      <c r="SBC11" s="391"/>
      <c r="SBD11" s="391"/>
      <c r="SBE11" s="391"/>
      <c r="SBF11" s="391"/>
      <c r="SBG11" s="391"/>
      <c r="SBH11" s="391"/>
      <c r="SBI11" s="391"/>
      <c r="SBJ11" s="391"/>
      <c r="SBK11" s="391"/>
      <c r="SBL11" s="391"/>
      <c r="SBM11" s="391"/>
      <c r="SBN11" s="391"/>
      <c r="SBO11" s="391"/>
      <c r="SBP11" s="391"/>
      <c r="SBQ11" s="391"/>
      <c r="SBR11" s="391"/>
      <c r="SBS11" s="391"/>
      <c r="SBT11" s="391"/>
      <c r="SBU11" s="391"/>
      <c r="SBV11" s="391"/>
      <c r="SBW11" s="391"/>
      <c r="SBX11" s="391"/>
      <c r="SBY11" s="391"/>
      <c r="SBZ11" s="391"/>
      <c r="SCA11" s="391"/>
      <c r="SCB11" s="391"/>
      <c r="SCC11" s="391"/>
      <c r="SCD11" s="391"/>
      <c r="SCE11" s="391"/>
      <c r="SCF11" s="391"/>
      <c r="SCG11" s="391"/>
      <c r="SCH11" s="391"/>
      <c r="SCI11" s="391"/>
      <c r="SCJ11" s="391"/>
      <c r="SCK11" s="391"/>
      <c r="SCL11" s="391"/>
      <c r="SCM11" s="391"/>
      <c r="SCN11" s="391"/>
      <c r="SCO11" s="391"/>
      <c r="SCP11" s="391"/>
      <c r="SCQ11" s="391"/>
      <c r="SCR11" s="391"/>
      <c r="SCS11" s="391"/>
      <c r="SCT11" s="391"/>
      <c r="SCU11" s="391"/>
      <c r="SCV11" s="391"/>
      <c r="SCW11" s="391"/>
      <c r="SCX11" s="391"/>
      <c r="SCY11" s="391"/>
      <c r="SCZ11" s="391"/>
      <c r="SDA11" s="391"/>
      <c r="SDB11" s="391"/>
      <c r="SDC11" s="391"/>
      <c r="SDD11" s="391"/>
      <c r="SDE11" s="391"/>
      <c r="SDF11" s="391"/>
      <c r="SDG11" s="391"/>
      <c r="SDH11" s="391"/>
      <c r="SDI11" s="391"/>
      <c r="SDJ11" s="391"/>
      <c r="SDK11" s="391"/>
      <c r="SDL11" s="391"/>
      <c r="SDM11" s="391"/>
      <c r="SDN11" s="391"/>
      <c r="SDO11" s="391"/>
      <c r="SDP11" s="391"/>
      <c r="SDQ11" s="391"/>
      <c r="SDR11" s="391"/>
      <c r="SDS11" s="391"/>
      <c r="SDT11" s="391"/>
      <c r="SDU11" s="391"/>
      <c r="SDV11" s="391"/>
      <c r="SDW11" s="391"/>
      <c r="SDX11" s="391"/>
      <c r="SDY11" s="391"/>
      <c r="SDZ11" s="391"/>
      <c r="SEA11" s="391"/>
      <c r="SEB11" s="391"/>
      <c r="SEC11" s="391"/>
      <c r="SED11" s="391"/>
      <c r="SEE11" s="391"/>
      <c r="SEF11" s="391"/>
      <c r="SEG11" s="391"/>
      <c r="SEH11" s="391"/>
      <c r="SEI11" s="391"/>
      <c r="SEJ11" s="391"/>
      <c r="SEK11" s="391"/>
      <c r="SEL11" s="391"/>
      <c r="SEM11" s="391"/>
      <c r="SEN11" s="391"/>
      <c r="SEO11" s="391"/>
      <c r="SEP11" s="391"/>
      <c r="SEQ11" s="391"/>
      <c r="SER11" s="391"/>
      <c r="SES11" s="391"/>
      <c r="SET11" s="391"/>
      <c r="SEU11" s="391"/>
      <c r="SEV11" s="391"/>
      <c r="SEW11" s="391"/>
      <c r="SEX11" s="391"/>
      <c r="SEY11" s="391"/>
      <c r="SEZ11" s="391"/>
      <c r="SFA11" s="391"/>
      <c r="SFB11" s="391"/>
      <c r="SFC11" s="391"/>
      <c r="SFD11" s="391"/>
      <c r="SFE11" s="391"/>
      <c r="SFF11" s="391"/>
      <c r="SFG11" s="391"/>
      <c r="SFH11" s="391"/>
      <c r="SFI11" s="391"/>
      <c r="SFJ11" s="391"/>
      <c r="SFK11" s="391"/>
      <c r="SFL11" s="391"/>
      <c r="SFM11" s="391"/>
      <c r="SFN11" s="391"/>
      <c r="SFO11" s="391"/>
      <c r="SFP11" s="391"/>
      <c r="SFQ11" s="391"/>
      <c r="SFR11" s="391"/>
      <c r="SFS11" s="391"/>
      <c r="SFT11" s="391"/>
      <c r="SFU11" s="391"/>
      <c r="SFV11" s="391"/>
      <c r="SFW11" s="391"/>
      <c r="SFX11" s="391"/>
      <c r="SFY11" s="391"/>
      <c r="SFZ11" s="391"/>
      <c r="SGA11" s="391"/>
      <c r="SGB11" s="391"/>
      <c r="SGC11" s="391"/>
      <c r="SGD11" s="391"/>
      <c r="SGE11" s="391"/>
      <c r="SGF11" s="391"/>
      <c r="SGG11" s="391"/>
      <c r="SGH11" s="391"/>
      <c r="SGI11" s="391"/>
      <c r="SGJ11" s="391"/>
      <c r="SGK11" s="391"/>
      <c r="SGL11" s="391"/>
      <c r="SGM11" s="391"/>
      <c r="SGN11" s="391"/>
      <c r="SGO11" s="391"/>
      <c r="SGP11" s="391"/>
      <c r="SGQ11" s="391"/>
      <c r="SGR11" s="391"/>
      <c r="SGS11" s="391"/>
      <c r="SGT11" s="391"/>
      <c r="SGU11" s="391"/>
      <c r="SGV11" s="391"/>
      <c r="SGW11" s="391"/>
      <c r="SGX11" s="391"/>
      <c r="SGY11" s="391"/>
      <c r="SGZ11" s="391"/>
      <c r="SHA11" s="391"/>
      <c r="SHB11" s="391"/>
      <c r="SHC11" s="391"/>
      <c r="SHD11" s="391"/>
      <c r="SHE11" s="391"/>
      <c r="SHF11" s="391"/>
      <c r="SHG11" s="391"/>
      <c r="SHH11" s="391"/>
      <c r="SHI11" s="391"/>
      <c r="SHJ11" s="391"/>
      <c r="SHK11" s="391"/>
      <c r="SHL11" s="391"/>
      <c r="SHM11" s="391"/>
      <c r="SHN11" s="391"/>
      <c r="SHO11" s="391"/>
      <c r="SHP11" s="391"/>
      <c r="SHQ11" s="391"/>
      <c r="SHR11" s="391"/>
      <c r="SHS11" s="391"/>
      <c r="SHT11" s="391"/>
      <c r="SHU11" s="391"/>
      <c r="SHV11" s="391"/>
      <c r="SHW11" s="391"/>
      <c r="SHX11" s="391"/>
      <c r="SHY11" s="391"/>
      <c r="SHZ11" s="391"/>
      <c r="SIA11" s="391"/>
      <c r="SIB11" s="391"/>
      <c r="SIC11" s="391"/>
      <c r="SID11" s="391"/>
      <c r="SIE11" s="391"/>
      <c r="SIF11" s="391"/>
      <c r="SIG11" s="391"/>
      <c r="SIH11" s="391"/>
      <c r="SII11" s="391"/>
      <c r="SIJ11" s="391"/>
      <c r="SIK11" s="391"/>
      <c r="SIL11" s="391"/>
      <c r="SIM11" s="391"/>
      <c r="SIN11" s="391"/>
      <c r="SIO11" s="391"/>
      <c r="SIP11" s="391"/>
      <c r="SIQ11" s="391"/>
      <c r="SIR11" s="391"/>
      <c r="SIS11" s="391"/>
      <c r="SIT11" s="391"/>
      <c r="SIU11" s="391"/>
      <c r="SIV11" s="391"/>
      <c r="SIW11" s="391"/>
      <c r="SIX11" s="391"/>
      <c r="SIY11" s="391"/>
      <c r="SIZ11" s="391"/>
      <c r="SJA11" s="391"/>
      <c r="SJB11" s="391"/>
      <c r="SJC11" s="391"/>
      <c r="SJD11" s="391"/>
      <c r="SJE11" s="391"/>
      <c r="SJF11" s="391"/>
      <c r="SJG11" s="391"/>
      <c r="SJH11" s="391"/>
      <c r="SJI11" s="391"/>
      <c r="SJJ11" s="391"/>
      <c r="SJK11" s="391"/>
      <c r="SJL11" s="391"/>
      <c r="SJM11" s="391"/>
      <c r="SJN11" s="391"/>
      <c r="SJO11" s="391"/>
      <c r="SJP11" s="391"/>
      <c r="SJQ11" s="391"/>
      <c r="SJR11" s="391"/>
      <c r="SJS11" s="391"/>
      <c r="SJT11" s="391"/>
      <c r="SJU11" s="391"/>
      <c r="SJV11" s="391"/>
      <c r="SJW11" s="391"/>
      <c r="SJX11" s="391"/>
      <c r="SJY11" s="391"/>
      <c r="SJZ11" s="391"/>
      <c r="SKA11" s="391"/>
      <c r="SKB11" s="391"/>
      <c r="SKC11" s="391"/>
      <c r="SKD11" s="391"/>
      <c r="SKE11" s="391"/>
      <c r="SKF11" s="391"/>
      <c r="SKG11" s="391"/>
      <c r="SKH11" s="391"/>
      <c r="SKI11" s="391"/>
      <c r="SKJ11" s="391"/>
      <c r="SKK11" s="391"/>
      <c r="SKL11" s="391"/>
      <c r="SKM11" s="391"/>
      <c r="SKN11" s="391"/>
      <c r="SKO11" s="391"/>
      <c r="SKP11" s="391"/>
      <c r="SKQ11" s="391"/>
      <c r="SKR11" s="391"/>
      <c r="SKS11" s="391"/>
      <c r="SKT11" s="391"/>
      <c r="SKU11" s="391"/>
      <c r="SKV11" s="391"/>
      <c r="SKW11" s="391"/>
      <c r="SKX11" s="391"/>
      <c r="SKY11" s="391"/>
      <c r="SKZ11" s="391"/>
      <c r="SLA11" s="391"/>
      <c r="SLB11" s="391"/>
      <c r="SLC11" s="391"/>
      <c r="SLD11" s="391"/>
      <c r="SLE11" s="391"/>
      <c r="SLF11" s="391"/>
      <c r="SLG11" s="391"/>
      <c r="SLH11" s="391"/>
      <c r="SLI11" s="391"/>
      <c r="SLJ11" s="391"/>
      <c r="SLK11" s="391"/>
      <c r="SLL11" s="391"/>
      <c r="SLM11" s="391"/>
      <c r="SLN11" s="391"/>
      <c r="SLO11" s="391"/>
      <c r="SLP11" s="391"/>
      <c r="SLQ11" s="391"/>
      <c r="SLR11" s="391"/>
      <c r="SLS11" s="391"/>
      <c r="SLT11" s="391"/>
      <c r="SLU11" s="391"/>
      <c r="SLV11" s="391"/>
      <c r="SLW11" s="391"/>
      <c r="SLX11" s="391"/>
      <c r="SLY11" s="391"/>
      <c r="SLZ11" s="391"/>
      <c r="SMA11" s="391"/>
      <c r="SMB11" s="391"/>
      <c r="SMC11" s="391"/>
      <c r="SMD11" s="391"/>
      <c r="SME11" s="391"/>
      <c r="SMF11" s="391"/>
      <c r="SMG11" s="391"/>
      <c r="SMH11" s="391"/>
      <c r="SMI11" s="391"/>
      <c r="SMJ11" s="391"/>
      <c r="SMK11" s="391"/>
      <c r="SML11" s="391"/>
      <c r="SMM11" s="391"/>
      <c r="SMN11" s="391"/>
      <c r="SMO11" s="391"/>
      <c r="SMP11" s="391"/>
      <c r="SMQ11" s="391"/>
      <c r="SMR11" s="391"/>
      <c r="SMS11" s="391"/>
      <c r="SMT11" s="391"/>
      <c r="SMU11" s="391"/>
      <c r="SMV11" s="391"/>
      <c r="SMW11" s="391"/>
      <c r="SMX11" s="391"/>
      <c r="SMY11" s="391"/>
      <c r="SMZ11" s="391"/>
      <c r="SNA11" s="391"/>
      <c r="SNB11" s="391"/>
      <c r="SNC11" s="391"/>
      <c r="SND11" s="391"/>
      <c r="SNE11" s="391"/>
      <c r="SNF11" s="391"/>
      <c r="SNG11" s="391"/>
      <c r="SNH11" s="391"/>
      <c r="SNI11" s="391"/>
      <c r="SNJ11" s="391"/>
      <c r="SNK11" s="391"/>
      <c r="SNL11" s="391"/>
      <c r="SNM11" s="391"/>
      <c r="SNN11" s="391"/>
      <c r="SNO11" s="391"/>
      <c r="SNP11" s="391"/>
      <c r="SNQ11" s="391"/>
      <c r="SNR11" s="391"/>
      <c r="SNS11" s="391"/>
      <c r="SNT11" s="391"/>
      <c r="SNU11" s="391"/>
      <c r="SNV11" s="391"/>
      <c r="SNW11" s="391"/>
      <c r="SNX11" s="391"/>
      <c r="SNY11" s="391"/>
      <c r="SNZ11" s="391"/>
      <c r="SOA11" s="391"/>
      <c r="SOB11" s="391"/>
      <c r="SOC11" s="391"/>
      <c r="SOD11" s="391"/>
      <c r="SOE11" s="391"/>
      <c r="SOF11" s="391"/>
      <c r="SOG11" s="391"/>
      <c r="SOH11" s="391"/>
      <c r="SOI11" s="391"/>
      <c r="SOJ11" s="391"/>
      <c r="SOK11" s="391"/>
      <c r="SOL11" s="391"/>
      <c r="SOM11" s="391"/>
      <c r="SON11" s="391"/>
      <c r="SOO11" s="391"/>
      <c r="SOP11" s="391"/>
      <c r="SOQ11" s="391"/>
      <c r="SOR11" s="391"/>
      <c r="SOS11" s="391"/>
      <c r="SOT11" s="391"/>
      <c r="SOU11" s="391"/>
      <c r="SOV11" s="391"/>
      <c r="SOW11" s="391"/>
      <c r="SOX11" s="391"/>
      <c r="SOY11" s="391"/>
      <c r="SOZ11" s="391"/>
      <c r="SPA11" s="391"/>
      <c r="SPB11" s="391"/>
      <c r="SPC11" s="391"/>
      <c r="SPD11" s="391"/>
      <c r="SPE11" s="391"/>
      <c r="SPF11" s="391"/>
      <c r="SPG11" s="391"/>
      <c r="SPH11" s="391"/>
      <c r="SPI11" s="391"/>
      <c r="SPJ11" s="391"/>
      <c r="SPK11" s="391"/>
      <c r="SPL11" s="391"/>
      <c r="SPM11" s="391"/>
      <c r="SPN11" s="391"/>
      <c r="SPO11" s="391"/>
      <c r="SPP11" s="391"/>
      <c r="SPQ11" s="391"/>
      <c r="SPR11" s="391"/>
      <c r="SPS11" s="391"/>
      <c r="SPT11" s="391"/>
      <c r="SPU11" s="391"/>
      <c r="SPV11" s="391"/>
      <c r="SPW11" s="391"/>
      <c r="SPX11" s="391"/>
      <c r="SPY11" s="391"/>
      <c r="SPZ11" s="391"/>
      <c r="SQA11" s="391"/>
      <c r="SQB11" s="391"/>
      <c r="SQC11" s="391"/>
      <c r="SQD11" s="391"/>
      <c r="SQE11" s="391"/>
      <c r="SQF11" s="391"/>
      <c r="SQG11" s="391"/>
      <c r="SQH11" s="391"/>
      <c r="SQI11" s="391"/>
      <c r="SQJ11" s="391"/>
      <c r="SQK11" s="391"/>
      <c r="SQL11" s="391"/>
      <c r="SQM11" s="391"/>
      <c r="SQN11" s="391"/>
      <c r="SQO11" s="391"/>
      <c r="SQP11" s="391"/>
      <c r="SQQ11" s="391"/>
      <c r="SQR11" s="391"/>
      <c r="SQS11" s="391"/>
      <c r="SQT11" s="391"/>
      <c r="SQU11" s="391"/>
      <c r="SQV11" s="391"/>
      <c r="SQW11" s="391"/>
      <c r="SQX11" s="391"/>
      <c r="SQY11" s="391"/>
      <c r="SQZ11" s="391"/>
      <c r="SRA11" s="391"/>
      <c r="SRB11" s="391"/>
      <c r="SRC11" s="391"/>
      <c r="SRD11" s="391"/>
      <c r="SRE11" s="391"/>
      <c r="SRF11" s="391"/>
      <c r="SRG11" s="391"/>
      <c r="SRH11" s="391"/>
      <c r="SRI11" s="391"/>
      <c r="SRJ11" s="391"/>
      <c r="SRK11" s="391"/>
      <c r="SRL11" s="391"/>
      <c r="SRM11" s="391"/>
      <c r="SRN11" s="391"/>
      <c r="SRO11" s="391"/>
      <c r="SRP11" s="391"/>
      <c r="SRQ11" s="391"/>
      <c r="SRR11" s="391"/>
      <c r="SRS11" s="391"/>
      <c r="SRT11" s="391"/>
      <c r="SRU11" s="391"/>
      <c r="SRV11" s="391"/>
      <c r="SRW11" s="391"/>
      <c r="SRX11" s="391"/>
      <c r="SRY11" s="391"/>
      <c r="SRZ11" s="391"/>
      <c r="SSA11" s="391"/>
      <c r="SSB11" s="391"/>
      <c r="SSC11" s="391"/>
      <c r="SSD11" s="391"/>
      <c r="SSE11" s="391"/>
      <c r="SSF11" s="391"/>
      <c r="SSG11" s="391"/>
      <c r="SSH11" s="391"/>
      <c r="SSI11" s="391"/>
      <c r="SSJ11" s="391"/>
      <c r="SSK11" s="391"/>
      <c r="SSL11" s="391"/>
      <c r="SSM11" s="391"/>
      <c r="SSN11" s="391"/>
      <c r="SSO11" s="391"/>
      <c r="SSP11" s="391"/>
      <c r="SSQ11" s="391"/>
      <c r="SSR11" s="391"/>
      <c r="SSS11" s="391"/>
      <c r="SST11" s="391"/>
      <c r="SSU11" s="391"/>
      <c r="SSV11" s="391"/>
      <c r="SSW11" s="391"/>
      <c r="SSX11" s="391"/>
      <c r="SSY11" s="391"/>
      <c r="SSZ11" s="391"/>
      <c r="STA11" s="391"/>
      <c r="STB11" s="391"/>
      <c r="STC11" s="391"/>
      <c r="STD11" s="391"/>
      <c r="STE11" s="391"/>
      <c r="STF11" s="391"/>
      <c r="STG11" s="391"/>
      <c r="STH11" s="391"/>
      <c r="STI11" s="391"/>
      <c r="STJ11" s="391"/>
      <c r="STK11" s="391"/>
      <c r="STL11" s="391"/>
      <c r="STM11" s="391"/>
      <c r="STN11" s="391"/>
      <c r="STO11" s="391"/>
      <c r="STP11" s="391"/>
      <c r="STQ11" s="391"/>
      <c r="STR11" s="391"/>
      <c r="STS11" s="391"/>
      <c r="STT11" s="391"/>
      <c r="STU11" s="391"/>
      <c r="STV11" s="391"/>
      <c r="STW11" s="391"/>
      <c r="STX11" s="391"/>
      <c r="STY11" s="391"/>
      <c r="STZ11" s="391"/>
      <c r="SUA11" s="391"/>
      <c r="SUB11" s="391"/>
      <c r="SUC11" s="391"/>
      <c r="SUD11" s="391"/>
      <c r="SUE11" s="391"/>
      <c r="SUF11" s="391"/>
      <c r="SUG11" s="391"/>
      <c r="SUH11" s="391"/>
      <c r="SUI11" s="391"/>
      <c r="SUJ11" s="391"/>
      <c r="SUK11" s="391"/>
      <c r="SUL11" s="391"/>
      <c r="SUM11" s="391"/>
      <c r="SUN11" s="391"/>
      <c r="SUO11" s="391"/>
      <c r="SUP11" s="391"/>
      <c r="SUQ11" s="391"/>
      <c r="SUR11" s="391"/>
      <c r="SUS11" s="391"/>
      <c r="SUT11" s="391"/>
      <c r="SUU11" s="391"/>
      <c r="SUV11" s="391"/>
      <c r="SUW11" s="391"/>
      <c r="SUX11" s="391"/>
      <c r="SUY11" s="391"/>
      <c r="SUZ11" s="391"/>
      <c r="SVA11" s="391"/>
      <c r="SVB11" s="391"/>
      <c r="SVC11" s="391"/>
      <c r="SVD11" s="391"/>
      <c r="SVE11" s="391"/>
      <c r="SVF11" s="391"/>
      <c r="SVG11" s="391"/>
      <c r="SVH11" s="391"/>
      <c r="SVI11" s="391"/>
      <c r="SVJ11" s="391"/>
      <c r="SVK11" s="391"/>
      <c r="SVL11" s="391"/>
      <c r="SVM11" s="391"/>
      <c r="SVN11" s="391"/>
      <c r="SVO11" s="391"/>
      <c r="SVP11" s="391"/>
      <c r="SVQ11" s="391"/>
      <c r="SVR11" s="391"/>
      <c r="SVS11" s="391"/>
      <c r="SVT11" s="391"/>
      <c r="SVU11" s="391"/>
      <c r="SVV11" s="391"/>
      <c r="SVW11" s="391"/>
      <c r="SVX11" s="391"/>
      <c r="SVY11" s="391"/>
      <c r="SVZ11" s="391"/>
      <c r="SWA11" s="391"/>
      <c r="SWB11" s="391"/>
      <c r="SWC11" s="391"/>
      <c r="SWD11" s="391"/>
      <c r="SWE11" s="391"/>
      <c r="SWF11" s="391"/>
      <c r="SWG11" s="391"/>
      <c r="SWH11" s="391"/>
      <c r="SWI11" s="391"/>
      <c r="SWJ11" s="391"/>
      <c r="SWK11" s="391"/>
      <c r="SWL11" s="391"/>
      <c r="SWM11" s="391"/>
      <c r="SWN11" s="391"/>
      <c r="SWO11" s="391"/>
      <c r="SWP11" s="391"/>
      <c r="SWQ11" s="391"/>
      <c r="SWR11" s="391"/>
      <c r="SWS11" s="391"/>
      <c r="SWT11" s="391"/>
      <c r="SWU11" s="391"/>
      <c r="SWV11" s="391"/>
      <c r="SWW11" s="391"/>
      <c r="SWX11" s="391"/>
      <c r="SWY11" s="391"/>
      <c r="SWZ11" s="391"/>
      <c r="SXA11" s="391"/>
      <c r="SXB11" s="391"/>
      <c r="SXC11" s="391"/>
      <c r="SXD11" s="391"/>
      <c r="SXE11" s="391"/>
      <c r="SXF11" s="391"/>
      <c r="SXG11" s="391"/>
      <c r="SXH11" s="391"/>
      <c r="SXI11" s="391"/>
      <c r="SXJ11" s="391"/>
      <c r="SXK11" s="391"/>
      <c r="SXL11" s="391"/>
      <c r="SXM11" s="391"/>
      <c r="SXN11" s="391"/>
      <c r="SXO11" s="391"/>
      <c r="SXP11" s="391"/>
      <c r="SXQ11" s="391"/>
      <c r="SXR11" s="391"/>
      <c r="SXS11" s="391"/>
      <c r="SXT11" s="391"/>
      <c r="SXU11" s="391"/>
      <c r="SXV11" s="391"/>
      <c r="SXW11" s="391"/>
      <c r="SXX11" s="391"/>
      <c r="SXY11" s="391"/>
      <c r="SXZ11" s="391"/>
      <c r="SYA11" s="391"/>
      <c r="SYB11" s="391"/>
      <c r="SYC11" s="391"/>
      <c r="SYD11" s="391"/>
      <c r="SYE11" s="391"/>
      <c r="SYF11" s="391"/>
      <c r="SYG11" s="391"/>
      <c r="SYH11" s="391"/>
      <c r="SYI11" s="391"/>
      <c r="SYJ11" s="391"/>
      <c r="SYK11" s="391"/>
      <c r="SYL11" s="391"/>
      <c r="SYM11" s="391"/>
      <c r="SYN11" s="391"/>
      <c r="SYO11" s="391"/>
      <c r="SYP11" s="391"/>
      <c r="SYQ11" s="391"/>
      <c r="SYR11" s="391"/>
      <c r="SYS11" s="391"/>
      <c r="SYT11" s="391"/>
      <c r="SYU11" s="391"/>
      <c r="SYV11" s="391"/>
      <c r="SYW11" s="391"/>
      <c r="SYX11" s="391"/>
      <c r="SYY11" s="391"/>
      <c r="SYZ11" s="391"/>
      <c r="SZA11" s="391"/>
      <c r="SZB11" s="391"/>
      <c r="SZC11" s="391"/>
      <c r="SZD11" s="391"/>
      <c r="SZE11" s="391"/>
      <c r="SZF11" s="391"/>
      <c r="SZG11" s="391"/>
      <c r="SZH11" s="391"/>
      <c r="SZI11" s="391"/>
      <c r="SZJ11" s="391"/>
      <c r="SZK11" s="391"/>
      <c r="SZL11" s="391"/>
      <c r="SZM11" s="391"/>
      <c r="SZN11" s="391"/>
      <c r="SZO11" s="391"/>
      <c r="SZP11" s="391"/>
      <c r="SZQ11" s="391"/>
      <c r="SZR11" s="391"/>
      <c r="SZS11" s="391"/>
      <c r="SZT11" s="391"/>
      <c r="SZU11" s="391"/>
      <c r="SZV11" s="391"/>
      <c r="SZW11" s="391"/>
      <c r="SZX11" s="391"/>
      <c r="SZY11" s="391"/>
      <c r="SZZ11" s="391"/>
      <c r="TAA11" s="391"/>
      <c r="TAB11" s="391"/>
      <c r="TAC11" s="391"/>
      <c r="TAD11" s="391"/>
      <c r="TAE11" s="391"/>
      <c r="TAF11" s="391"/>
      <c r="TAG11" s="391"/>
      <c r="TAH11" s="391"/>
      <c r="TAI11" s="391"/>
      <c r="TAJ11" s="391"/>
      <c r="TAK11" s="391"/>
      <c r="TAL11" s="391"/>
      <c r="TAM11" s="391"/>
      <c r="TAN11" s="391"/>
      <c r="TAO11" s="391"/>
      <c r="TAP11" s="391"/>
      <c r="TAQ11" s="391"/>
      <c r="TAR11" s="391"/>
      <c r="TAS11" s="391"/>
      <c r="TAT11" s="391"/>
      <c r="TAU11" s="391"/>
      <c r="TAV11" s="391"/>
      <c r="TAW11" s="391"/>
      <c r="TAX11" s="391"/>
      <c r="TAY11" s="391"/>
      <c r="TAZ11" s="391"/>
      <c r="TBA11" s="391"/>
      <c r="TBB11" s="391"/>
      <c r="TBC11" s="391"/>
      <c r="TBD11" s="391"/>
      <c r="TBE11" s="391"/>
      <c r="TBF11" s="391"/>
      <c r="TBG11" s="391"/>
      <c r="TBH11" s="391"/>
      <c r="TBI11" s="391"/>
      <c r="TBJ11" s="391"/>
      <c r="TBK11" s="391"/>
      <c r="TBL11" s="391"/>
      <c r="TBM11" s="391"/>
      <c r="TBN11" s="391"/>
      <c r="TBO11" s="391"/>
      <c r="TBP11" s="391"/>
      <c r="TBQ11" s="391"/>
      <c r="TBR11" s="391"/>
      <c r="TBS11" s="391"/>
      <c r="TBT11" s="391"/>
      <c r="TBU11" s="391"/>
      <c r="TBV11" s="391"/>
      <c r="TBW11" s="391"/>
      <c r="TBX11" s="391"/>
      <c r="TBY11" s="391"/>
      <c r="TBZ11" s="391"/>
      <c r="TCA11" s="391"/>
      <c r="TCB11" s="391"/>
      <c r="TCC11" s="391"/>
      <c r="TCD11" s="391"/>
      <c r="TCE11" s="391"/>
      <c r="TCF11" s="391"/>
      <c r="TCG11" s="391"/>
      <c r="TCH11" s="391"/>
      <c r="TCI11" s="391"/>
      <c r="TCJ11" s="391"/>
      <c r="TCK11" s="391"/>
      <c r="TCL11" s="391"/>
      <c r="TCM11" s="391"/>
      <c r="TCN11" s="391"/>
      <c r="TCO11" s="391"/>
      <c r="TCP11" s="391"/>
      <c r="TCQ11" s="391"/>
      <c r="TCR11" s="391"/>
      <c r="TCS11" s="391"/>
      <c r="TCT11" s="391"/>
      <c r="TCU11" s="391"/>
      <c r="TCV11" s="391"/>
      <c r="TCW11" s="391"/>
      <c r="TCX11" s="391"/>
      <c r="TCY11" s="391"/>
      <c r="TCZ11" s="391"/>
      <c r="TDA11" s="391"/>
      <c r="TDB11" s="391"/>
      <c r="TDC11" s="391"/>
      <c r="TDD11" s="391"/>
      <c r="TDE11" s="391"/>
      <c r="TDF11" s="391"/>
      <c r="TDG11" s="391"/>
      <c r="TDH11" s="391"/>
      <c r="TDI11" s="391"/>
      <c r="TDJ11" s="391"/>
      <c r="TDK11" s="391"/>
      <c r="TDL11" s="391"/>
      <c r="TDM11" s="391"/>
      <c r="TDN11" s="391"/>
      <c r="TDO11" s="391"/>
      <c r="TDP11" s="391"/>
      <c r="TDQ11" s="391"/>
      <c r="TDR11" s="391"/>
      <c r="TDS11" s="391"/>
      <c r="TDT11" s="391"/>
      <c r="TDU11" s="391"/>
      <c r="TDV11" s="391"/>
      <c r="TDW11" s="391"/>
      <c r="TDX11" s="391"/>
      <c r="TDY11" s="391"/>
      <c r="TDZ11" s="391"/>
      <c r="TEA11" s="391"/>
      <c r="TEB11" s="391"/>
      <c r="TEC11" s="391"/>
      <c r="TED11" s="391"/>
      <c r="TEE11" s="391"/>
      <c r="TEF11" s="391"/>
      <c r="TEG11" s="391"/>
      <c r="TEH11" s="391"/>
      <c r="TEI11" s="391"/>
      <c r="TEJ11" s="391"/>
      <c r="TEK11" s="391"/>
      <c r="TEL11" s="391"/>
      <c r="TEM11" s="391"/>
      <c r="TEN11" s="391"/>
      <c r="TEO11" s="391"/>
      <c r="TEP11" s="391"/>
      <c r="TEQ11" s="391"/>
      <c r="TER11" s="391"/>
      <c r="TES11" s="391"/>
      <c r="TET11" s="391"/>
      <c r="TEU11" s="391"/>
      <c r="TEV11" s="391"/>
      <c r="TEW11" s="391"/>
      <c r="TEX11" s="391"/>
      <c r="TEY11" s="391"/>
      <c r="TEZ11" s="391"/>
      <c r="TFA11" s="391"/>
      <c r="TFB11" s="391"/>
      <c r="TFC11" s="391"/>
      <c r="TFD11" s="391"/>
      <c r="TFE11" s="391"/>
      <c r="TFF11" s="391"/>
      <c r="TFG11" s="391"/>
      <c r="TFH11" s="391"/>
      <c r="TFI11" s="391"/>
      <c r="TFJ11" s="391"/>
      <c r="TFK11" s="391"/>
      <c r="TFL11" s="391"/>
      <c r="TFM11" s="391"/>
      <c r="TFN11" s="391"/>
      <c r="TFO11" s="391"/>
      <c r="TFP11" s="391"/>
      <c r="TFQ11" s="391"/>
      <c r="TFR11" s="391"/>
      <c r="TFS11" s="391"/>
      <c r="TFT11" s="391"/>
      <c r="TFU11" s="391"/>
      <c r="TFV11" s="391"/>
      <c r="TFW11" s="391"/>
      <c r="TFX11" s="391"/>
      <c r="TFY11" s="391"/>
      <c r="TFZ11" s="391"/>
      <c r="TGA11" s="391"/>
      <c r="TGB11" s="391"/>
      <c r="TGC11" s="391"/>
      <c r="TGD11" s="391"/>
      <c r="TGE11" s="391"/>
      <c r="TGF11" s="391"/>
      <c r="TGG11" s="391"/>
      <c r="TGH11" s="391"/>
      <c r="TGI11" s="391"/>
      <c r="TGJ11" s="391"/>
      <c r="TGK11" s="391"/>
      <c r="TGL11" s="391"/>
      <c r="TGM11" s="391"/>
      <c r="TGN11" s="391"/>
      <c r="TGO11" s="391"/>
      <c r="TGP11" s="391"/>
      <c r="TGQ11" s="391"/>
      <c r="TGR11" s="391"/>
      <c r="TGS11" s="391"/>
      <c r="TGT11" s="391"/>
      <c r="TGU11" s="391"/>
      <c r="TGV11" s="391"/>
      <c r="TGW11" s="391"/>
      <c r="TGX11" s="391"/>
      <c r="TGY11" s="391"/>
      <c r="TGZ11" s="391"/>
      <c r="THA11" s="391"/>
      <c r="THB11" s="391"/>
      <c r="THC11" s="391"/>
      <c r="THD11" s="391"/>
      <c r="THE11" s="391"/>
      <c r="THF11" s="391"/>
      <c r="THG11" s="391"/>
      <c r="THH11" s="391"/>
      <c r="THI11" s="391"/>
      <c r="THJ11" s="391"/>
      <c r="THK11" s="391"/>
      <c r="THL11" s="391"/>
      <c r="THM11" s="391"/>
      <c r="THN11" s="391"/>
      <c r="THO11" s="391"/>
      <c r="THP11" s="391"/>
      <c r="THQ11" s="391"/>
      <c r="THR11" s="391"/>
      <c r="THS11" s="391"/>
      <c r="THT11" s="391"/>
      <c r="THU11" s="391"/>
      <c r="THV11" s="391"/>
      <c r="THW11" s="391"/>
      <c r="THX11" s="391"/>
      <c r="THY11" s="391"/>
      <c r="THZ11" s="391"/>
      <c r="TIA11" s="391"/>
      <c r="TIB11" s="391"/>
      <c r="TIC11" s="391"/>
      <c r="TID11" s="391"/>
      <c r="TIE11" s="391"/>
      <c r="TIF11" s="391"/>
      <c r="TIG11" s="391"/>
      <c r="TIH11" s="391"/>
      <c r="TII11" s="391"/>
      <c r="TIJ11" s="391"/>
      <c r="TIK11" s="391"/>
      <c r="TIL11" s="391"/>
      <c r="TIM11" s="391"/>
      <c r="TIN11" s="391"/>
      <c r="TIO11" s="391"/>
      <c r="TIP11" s="391"/>
      <c r="TIQ11" s="391"/>
      <c r="TIR11" s="391"/>
      <c r="TIS11" s="391"/>
      <c r="TIT11" s="391"/>
      <c r="TIU11" s="391"/>
      <c r="TIV11" s="391"/>
      <c r="TIW11" s="391"/>
      <c r="TIX11" s="391"/>
      <c r="TIY11" s="391"/>
      <c r="TIZ11" s="391"/>
      <c r="TJA11" s="391"/>
      <c r="TJB11" s="391"/>
      <c r="TJC11" s="391"/>
      <c r="TJD11" s="391"/>
      <c r="TJE11" s="391"/>
      <c r="TJF11" s="391"/>
      <c r="TJG11" s="391"/>
      <c r="TJH11" s="391"/>
      <c r="TJI11" s="391"/>
      <c r="TJJ11" s="391"/>
      <c r="TJK11" s="391"/>
      <c r="TJL11" s="391"/>
      <c r="TJM11" s="391"/>
      <c r="TJN11" s="391"/>
      <c r="TJO11" s="391"/>
      <c r="TJP11" s="391"/>
      <c r="TJQ11" s="391"/>
      <c r="TJR11" s="391"/>
      <c r="TJS11" s="391"/>
      <c r="TJT11" s="391"/>
      <c r="TJU11" s="391"/>
      <c r="TJV11" s="391"/>
      <c r="TJW11" s="391"/>
      <c r="TJX11" s="391"/>
      <c r="TJY11" s="391"/>
      <c r="TJZ11" s="391"/>
      <c r="TKA11" s="391"/>
      <c r="TKB11" s="391"/>
      <c r="TKC11" s="391"/>
      <c r="TKD11" s="391"/>
      <c r="TKE11" s="391"/>
      <c r="TKF11" s="391"/>
      <c r="TKG11" s="391"/>
      <c r="TKH11" s="391"/>
      <c r="TKI11" s="391"/>
      <c r="TKJ11" s="391"/>
      <c r="TKK11" s="391"/>
      <c r="TKL11" s="391"/>
      <c r="TKM11" s="391"/>
      <c r="TKN11" s="391"/>
      <c r="TKO11" s="391"/>
      <c r="TKP11" s="391"/>
      <c r="TKQ11" s="391"/>
      <c r="TKR11" s="391"/>
      <c r="TKS11" s="391"/>
      <c r="TKT11" s="391"/>
      <c r="TKU11" s="391"/>
      <c r="TKV11" s="391"/>
      <c r="TKW11" s="391"/>
      <c r="TKX11" s="391"/>
      <c r="TKY11" s="391"/>
      <c r="TKZ11" s="391"/>
      <c r="TLA11" s="391"/>
      <c r="TLB11" s="391"/>
      <c r="TLC11" s="391"/>
      <c r="TLD11" s="391"/>
      <c r="TLE11" s="391"/>
      <c r="TLF11" s="391"/>
      <c r="TLG11" s="391"/>
      <c r="TLH11" s="391"/>
      <c r="TLI11" s="391"/>
      <c r="TLJ11" s="391"/>
      <c r="TLK11" s="391"/>
      <c r="TLL11" s="391"/>
      <c r="TLM11" s="391"/>
      <c r="TLN11" s="391"/>
      <c r="TLO11" s="391"/>
      <c r="TLP11" s="391"/>
      <c r="TLQ11" s="391"/>
      <c r="TLR11" s="391"/>
      <c r="TLS11" s="391"/>
      <c r="TLT11" s="391"/>
      <c r="TLU11" s="391"/>
      <c r="TLV11" s="391"/>
      <c r="TLW11" s="391"/>
      <c r="TLX11" s="391"/>
      <c r="TLY11" s="391"/>
      <c r="TLZ11" s="391"/>
      <c r="TMA11" s="391"/>
      <c r="TMB11" s="391"/>
      <c r="TMC11" s="391"/>
      <c r="TMD11" s="391"/>
      <c r="TME11" s="391"/>
      <c r="TMF11" s="391"/>
      <c r="TMG11" s="391"/>
      <c r="TMH11" s="391"/>
      <c r="TMI11" s="391"/>
      <c r="TMJ11" s="391"/>
      <c r="TMK11" s="391"/>
      <c r="TML11" s="391"/>
      <c r="TMM11" s="391"/>
      <c r="TMN11" s="391"/>
      <c r="TMO11" s="391"/>
      <c r="TMP11" s="391"/>
      <c r="TMQ11" s="391"/>
      <c r="TMR11" s="391"/>
      <c r="TMS11" s="391"/>
      <c r="TMT11" s="391"/>
      <c r="TMU11" s="391"/>
      <c r="TMV11" s="391"/>
      <c r="TMW11" s="391"/>
      <c r="TMX11" s="391"/>
      <c r="TMY11" s="391"/>
      <c r="TMZ11" s="391"/>
      <c r="TNA11" s="391"/>
      <c r="TNB11" s="391"/>
      <c r="TNC11" s="391"/>
      <c r="TND11" s="391"/>
      <c r="TNE11" s="391"/>
      <c r="TNF11" s="391"/>
      <c r="TNG11" s="391"/>
      <c r="TNH11" s="391"/>
      <c r="TNI11" s="391"/>
      <c r="TNJ11" s="391"/>
      <c r="TNK11" s="391"/>
      <c r="TNL11" s="391"/>
      <c r="TNM11" s="391"/>
      <c r="TNN11" s="391"/>
      <c r="TNO11" s="391"/>
      <c r="TNP11" s="391"/>
      <c r="TNQ11" s="391"/>
      <c r="TNR11" s="391"/>
      <c r="TNS11" s="391"/>
      <c r="TNT11" s="391"/>
      <c r="TNU11" s="391"/>
      <c r="TNV11" s="391"/>
      <c r="TNW11" s="391"/>
      <c r="TNX11" s="391"/>
      <c r="TNY11" s="391"/>
      <c r="TNZ11" s="391"/>
      <c r="TOA11" s="391"/>
      <c r="TOB11" s="391"/>
      <c r="TOC11" s="391"/>
      <c r="TOD11" s="391"/>
      <c r="TOE11" s="391"/>
      <c r="TOF11" s="391"/>
      <c r="TOG11" s="391"/>
      <c r="TOH11" s="391"/>
      <c r="TOI11" s="391"/>
      <c r="TOJ11" s="391"/>
      <c r="TOK11" s="391"/>
      <c r="TOL11" s="391"/>
      <c r="TOM11" s="391"/>
      <c r="TON11" s="391"/>
      <c r="TOO11" s="391"/>
      <c r="TOP11" s="391"/>
      <c r="TOQ11" s="391"/>
      <c r="TOR11" s="391"/>
      <c r="TOS11" s="391"/>
      <c r="TOT11" s="391"/>
      <c r="TOU11" s="391"/>
      <c r="TOV11" s="391"/>
      <c r="TOW11" s="391"/>
      <c r="TOX11" s="391"/>
      <c r="TOY11" s="391"/>
      <c r="TOZ11" s="391"/>
      <c r="TPA11" s="391"/>
      <c r="TPB11" s="391"/>
      <c r="TPC11" s="391"/>
      <c r="TPD11" s="391"/>
      <c r="TPE11" s="391"/>
      <c r="TPF11" s="391"/>
      <c r="TPG11" s="391"/>
      <c r="TPH11" s="391"/>
      <c r="TPI11" s="391"/>
      <c r="TPJ11" s="391"/>
      <c r="TPK11" s="391"/>
      <c r="TPL11" s="391"/>
      <c r="TPM11" s="391"/>
      <c r="TPN11" s="391"/>
      <c r="TPO11" s="391"/>
      <c r="TPP11" s="391"/>
      <c r="TPQ11" s="391"/>
      <c r="TPR11" s="391"/>
      <c r="TPS11" s="391"/>
      <c r="TPT11" s="391"/>
      <c r="TPU11" s="391"/>
      <c r="TPV11" s="391"/>
      <c r="TPW11" s="391"/>
      <c r="TPX11" s="391"/>
      <c r="TPY11" s="391"/>
      <c r="TPZ11" s="391"/>
      <c r="TQA11" s="391"/>
      <c r="TQB11" s="391"/>
      <c r="TQC11" s="391"/>
      <c r="TQD11" s="391"/>
      <c r="TQE11" s="391"/>
      <c r="TQF11" s="391"/>
      <c r="TQG11" s="391"/>
      <c r="TQH11" s="391"/>
      <c r="TQI11" s="391"/>
      <c r="TQJ11" s="391"/>
      <c r="TQK11" s="391"/>
      <c r="TQL11" s="391"/>
      <c r="TQM11" s="391"/>
      <c r="TQN11" s="391"/>
      <c r="TQO11" s="391"/>
      <c r="TQP11" s="391"/>
      <c r="TQQ11" s="391"/>
      <c r="TQR11" s="391"/>
      <c r="TQS11" s="391"/>
      <c r="TQT11" s="391"/>
      <c r="TQU11" s="391"/>
      <c r="TQV11" s="391"/>
      <c r="TQW11" s="391"/>
      <c r="TQX11" s="391"/>
      <c r="TQY11" s="391"/>
      <c r="TQZ11" s="391"/>
      <c r="TRA11" s="391"/>
      <c r="TRB11" s="391"/>
      <c r="TRC11" s="391"/>
      <c r="TRD11" s="391"/>
      <c r="TRE11" s="391"/>
      <c r="TRF11" s="391"/>
      <c r="TRG11" s="391"/>
      <c r="TRH11" s="391"/>
      <c r="TRI11" s="391"/>
      <c r="TRJ11" s="391"/>
      <c r="TRK11" s="391"/>
      <c r="TRL11" s="391"/>
      <c r="TRM11" s="391"/>
      <c r="TRN11" s="391"/>
      <c r="TRO11" s="391"/>
      <c r="TRP11" s="391"/>
      <c r="TRQ11" s="391"/>
      <c r="TRR11" s="391"/>
      <c r="TRS11" s="391"/>
      <c r="TRT11" s="391"/>
      <c r="TRU11" s="391"/>
      <c r="TRV11" s="391"/>
      <c r="TRW11" s="391"/>
      <c r="TRX11" s="391"/>
      <c r="TRY11" s="391"/>
      <c r="TRZ11" s="391"/>
      <c r="TSA11" s="391"/>
      <c r="TSB11" s="391"/>
      <c r="TSC11" s="391"/>
      <c r="TSD11" s="391"/>
      <c r="TSE11" s="391"/>
      <c r="TSF11" s="391"/>
      <c r="TSG11" s="391"/>
      <c r="TSH11" s="391"/>
      <c r="TSI11" s="391"/>
      <c r="TSJ11" s="391"/>
      <c r="TSK11" s="391"/>
      <c r="TSL11" s="391"/>
      <c r="TSM11" s="391"/>
      <c r="TSN11" s="391"/>
      <c r="TSO11" s="391"/>
      <c r="TSP11" s="391"/>
      <c r="TSQ11" s="391"/>
      <c r="TSR11" s="391"/>
      <c r="TSS11" s="391"/>
      <c r="TST11" s="391"/>
      <c r="TSU11" s="391"/>
      <c r="TSV11" s="391"/>
      <c r="TSW11" s="391"/>
      <c r="TSX11" s="391"/>
      <c r="TSY11" s="391"/>
      <c r="TSZ11" s="391"/>
      <c r="TTA11" s="391"/>
      <c r="TTB11" s="391"/>
      <c r="TTC11" s="391"/>
      <c r="TTD11" s="391"/>
      <c r="TTE11" s="391"/>
      <c r="TTF11" s="391"/>
      <c r="TTG11" s="391"/>
      <c r="TTH11" s="391"/>
      <c r="TTI11" s="391"/>
      <c r="TTJ11" s="391"/>
      <c r="TTK11" s="391"/>
      <c r="TTL11" s="391"/>
      <c r="TTM11" s="391"/>
      <c r="TTN11" s="391"/>
      <c r="TTO11" s="391"/>
      <c r="TTP11" s="391"/>
      <c r="TTQ11" s="391"/>
      <c r="TTR11" s="391"/>
      <c r="TTS11" s="391"/>
      <c r="TTT11" s="391"/>
      <c r="TTU11" s="391"/>
      <c r="TTV11" s="391"/>
      <c r="TTW11" s="391"/>
      <c r="TTX11" s="391"/>
      <c r="TTY11" s="391"/>
      <c r="TTZ11" s="391"/>
      <c r="TUA11" s="391"/>
      <c r="TUB11" s="391"/>
      <c r="TUC11" s="391"/>
      <c r="TUD11" s="391"/>
      <c r="TUE11" s="391"/>
      <c r="TUF11" s="391"/>
      <c r="TUG11" s="391"/>
      <c r="TUH11" s="391"/>
      <c r="TUI11" s="391"/>
      <c r="TUJ11" s="391"/>
      <c r="TUK11" s="391"/>
      <c r="TUL11" s="391"/>
      <c r="TUM11" s="391"/>
      <c r="TUN11" s="391"/>
      <c r="TUO11" s="391"/>
      <c r="TUP11" s="391"/>
      <c r="TUQ11" s="391"/>
      <c r="TUR11" s="391"/>
      <c r="TUS11" s="391"/>
      <c r="TUT11" s="391"/>
      <c r="TUU11" s="391"/>
      <c r="TUV11" s="391"/>
      <c r="TUW11" s="391"/>
      <c r="TUX11" s="391"/>
      <c r="TUY11" s="391"/>
      <c r="TUZ11" s="391"/>
      <c r="TVA11" s="391"/>
      <c r="TVB11" s="391"/>
      <c r="TVC11" s="391"/>
      <c r="TVD11" s="391"/>
      <c r="TVE11" s="391"/>
      <c r="TVF11" s="391"/>
      <c r="TVG11" s="391"/>
      <c r="TVH11" s="391"/>
      <c r="TVI11" s="391"/>
      <c r="TVJ11" s="391"/>
      <c r="TVK11" s="391"/>
      <c r="TVL11" s="391"/>
      <c r="TVM11" s="391"/>
      <c r="TVN11" s="391"/>
      <c r="TVO11" s="391"/>
      <c r="TVP11" s="391"/>
      <c r="TVQ11" s="391"/>
      <c r="TVR11" s="391"/>
      <c r="TVS11" s="391"/>
      <c r="TVT11" s="391"/>
      <c r="TVU11" s="391"/>
      <c r="TVV11" s="391"/>
      <c r="TVW11" s="391"/>
      <c r="TVX11" s="391"/>
      <c r="TVY11" s="391"/>
      <c r="TVZ11" s="391"/>
      <c r="TWA11" s="391"/>
      <c r="TWB11" s="391"/>
      <c r="TWC11" s="391"/>
      <c r="TWD11" s="391"/>
      <c r="TWE11" s="391"/>
      <c r="TWF11" s="391"/>
      <c r="TWG11" s="391"/>
      <c r="TWH11" s="391"/>
      <c r="TWI11" s="391"/>
      <c r="TWJ11" s="391"/>
      <c r="TWK11" s="391"/>
      <c r="TWL11" s="391"/>
      <c r="TWM11" s="391"/>
      <c r="TWN11" s="391"/>
      <c r="TWO11" s="391"/>
      <c r="TWP11" s="391"/>
      <c r="TWQ11" s="391"/>
      <c r="TWR11" s="391"/>
      <c r="TWS11" s="391"/>
      <c r="TWT11" s="391"/>
      <c r="TWU11" s="391"/>
      <c r="TWV11" s="391"/>
      <c r="TWW11" s="391"/>
      <c r="TWX11" s="391"/>
      <c r="TWY11" s="391"/>
      <c r="TWZ11" s="391"/>
      <c r="TXA11" s="391"/>
      <c r="TXB11" s="391"/>
      <c r="TXC11" s="391"/>
      <c r="TXD11" s="391"/>
      <c r="TXE11" s="391"/>
      <c r="TXF11" s="391"/>
      <c r="TXG11" s="391"/>
      <c r="TXH11" s="391"/>
      <c r="TXI11" s="391"/>
      <c r="TXJ11" s="391"/>
      <c r="TXK11" s="391"/>
      <c r="TXL11" s="391"/>
      <c r="TXM11" s="391"/>
      <c r="TXN11" s="391"/>
      <c r="TXO11" s="391"/>
      <c r="TXP11" s="391"/>
      <c r="TXQ11" s="391"/>
      <c r="TXR11" s="391"/>
      <c r="TXS11" s="391"/>
      <c r="TXT11" s="391"/>
      <c r="TXU11" s="391"/>
      <c r="TXV11" s="391"/>
      <c r="TXW11" s="391"/>
      <c r="TXX11" s="391"/>
      <c r="TXY11" s="391"/>
      <c r="TXZ11" s="391"/>
      <c r="TYA11" s="391"/>
      <c r="TYB11" s="391"/>
      <c r="TYC11" s="391"/>
      <c r="TYD11" s="391"/>
      <c r="TYE11" s="391"/>
      <c r="TYF11" s="391"/>
      <c r="TYG11" s="391"/>
      <c r="TYH11" s="391"/>
      <c r="TYI11" s="391"/>
      <c r="TYJ11" s="391"/>
      <c r="TYK11" s="391"/>
      <c r="TYL11" s="391"/>
      <c r="TYM11" s="391"/>
      <c r="TYN11" s="391"/>
      <c r="TYO11" s="391"/>
      <c r="TYP11" s="391"/>
      <c r="TYQ11" s="391"/>
      <c r="TYR11" s="391"/>
      <c r="TYS11" s="391"/>
      <c r="TYT11" s="391"/>
      <c r="TYU11" s="391"/>
      <c r="TYV11" s="391"/>
      <c r="TYW11" s="391"/>
      <c r="TYX11" s="391"/>
      <c r="TYY11" s="391"/>
      <c r="TYZ11" s="391"/>
      <c r="TZA11" s="391"/>
      <c r="TZB11" s="391"/>
      <c r="TZC11" s="391"/>
      <c r="TZD11" s="391"/>
      <c r="TZE11" s="391"/>
      <c r="TZF11" s="391"/>
      <c r="TZG11" s="391"/>
      <c r="TZH11" s="391"/>
      <c r="TZI11" s="391"/>
      <c r="TZJ11" s="391"/>
      <c r="TZK11" s="391"/>
      <c r="TZL11" s="391"/>
      <c r="TZM11" s="391"/>
      <c r="TZN11" s="391"/>
      <c r="TZO11" s="391"/>
      <c r="TZP11" s="391"/>
      <c r="TZQ11" s="391"/>
      <c r="TZR11" s="391"/>
      <c r="TZS11" s="391"/>
      <c r="TZT11" s="391"/>
      <c r="TZU11" s="391"/>
      <c r="TZV11" s="391"/>
      <c r="TZW11" s="391"/>
      <c r="TZX11" s="391"/>
      <c r="TZY11" s="391"/>
      <c r="TZZ11" s="391"/>
      <c r="UAA11" s="391"/>
      <c r="UAB11" s="391"/>
      <c r="UAC11" s="391"/>
      <c r="UAD11" s="391"/>
      <c r="UAE11" s="391"/>
      <c r="UAF11" s="391"/>
      <c r="UAG11" s="391"/>
      <c r="UAH11" s="391"/>
      <c r="UAI11" s="391"/>
      <c r="UAJ11" s="391"/>
      <c r="UAK11" s="391"/>
      <c r="UAL11" s="391"/>
      <c r="UAM11" s="391"/>
      <c r="UAN11" s="391"/>
      <c r="UAO11" s="391"/>
      <c r="UAP11" s="391"/>
      <c r="UAQ11" s="391"/>
      <c r="UAR11" s="391"/>
      <c r="UAS11" s="391"/>
      <c r="UAT11" s="391"/>
      <c r="UAU11" s="391"/>
      <c r="UAV11" s="391"/>
      <c r="UAW11" s="391"/>
      <c r="UAX11" s="391"/>
      <c r="UAY11" s="391"/>
      <c r="UAZ11" s="391"/>
      <c r="UBA11" s="391"/>
      <c r="UBB11" s="391"/>
      <c r="UBC11" s="391"/>
      <c r="UBD11" s="391"/>
      <c r="UBE11" s="391"/>
      <c r="UBF11" s="391"/>
      <c r="UBG11" s="391"/>
      <c r="UBH11" s="391"/>
      <c r="UBI11" s="391"/>
      <c r="UBJ11" s="391"/>
      <c r="UBK11" s="391"/>
      <c r="UBL11" s="391"/>
      <c r="UBM11" s="391"/>
      <c r="UBN11" s="391"/>
      <c r="UBO11" s="391"/>
      <c r="UBP11" s="391"/>
      <c r="UBQ11" s="391"/>
      <c r="UBR11" s="391"/>
      <c r="UBS11" s="391"/>
      <c r="UBT11" s="391"/>
      <c r="UBU11" s="391"/>
      <c r="UBV11" s="391"/>
      <c r="UBW11" s="391"/>
      <c r="UBX11" s="391"/>
      <c r="UBY11" s="391"/>
      <c r="UBZ11" s="391"/>
      <c r="UCA11" s="391"/>
      <c r="UCB11" s="391"/>
      <c r="UCC11" s="391"/>
      <c r="UCD11" s="391"/>
      <c r="UCE11" s="391"/>
      <c r="UCF11" s="391"/>
      <c r="UCG11" s="391"/>
      <c r="UCH11" s="391"/>
      <c r="UCI11" s="391"/>
      <c r="UCJ11" s="391"/>
      <c r="UCK11" s="391"/>
      <c r="UCL11" s="391"/>
      <c r="UCM11" s="391"/>
      <c r="UCN11" s="391"/>
      <c r="UCO11" s="391"/>
      <c r="UCP11" s="391"/>
      <c r="UCQ11" s="391"/>
      <c r="UCR11" s="391"/>
      <c r="UCS11" s="391"/>
      <c r="UCT11" s="391"/>
      <c r="UCU11" s="391"/>
      <c r="UCV11" s="391"/>
      <c r="UCW11" s="391"/>
      <c r="UCX11" s="391"/>
      <c r="UCY11" s="391"/>
      <c r="UCZ11" s="391"/>
      <c r="UDA11" s="391"/>
      <c r="UDB11" s="391"/>
      <c r="UDC11" s="391"/>
      <c r="UDD11" s="391"/>
      <c r="UDE11" s="391"/>
      <c r="UDF11" s="391"/>
      <c r="UDG11" s="391"/>
      <c r="UDH11" s="391"/>
      <c r="UDI11" s="391"/>
      <c r="UDJ11" s="391"/>
      <c r="UDK11" s="391"/>
      <c r="UDL11" s="391"/>
      <c r="UDM11" s="391"/>
      <c r="UDN11" s="391"/>
      <c r="UDO11" s="391"/>
      <c r="UDP11" s="391"/>
      <c r="UDQ11" s="391"/>
      <c r="UDR11" s="391"/>
      <c r="UDS11" s="391"/>
      <c r="UDT11" s="391"/>
      <c r="UDU11" s="391"/>
      <c r="UDV11" s="391"/>
      <c r="UDW11" s="391"/>
      <c r="UDX11" s="391"/>
      <c r="UDY11" s="391"/>
      <c r="UDZ11" s="391"/>
      <c r="UEA11" s="391"/>
      <c r="UEB11" s="391"/>
      <c r="UEC11" s="391"/>
      <c r="UED11" s="391"/>
      <c r="UEE11" s="391"/>
      <c r="UEF11" s="391"/>
      <c r="UEG11" s="391"/>
      <c r="UEH11" s="391"/>
      <c r="UEI11" s="391"/>
      <c r="UEJ11" s="391"/>
      <c r="UEK11" s="391"/>
      <c r="UEL11" s="391"/>
      <c r="UEM11" s="391"/>
      <c r="UEN11" s="391"/>
      <c r="UEO11" s="391"/>
      <c r="UEP11" s="391"/>
      <c r="UEQ11" s="391"/>
      <c r="UER11" s="391"/>
      <c r="UES11" s="391"/>
      <c r="UET11" s="391"/>
      <c r="UEU11" s="391"/>
      <c r="UEV11" s="391"/>
      <c r="UEW11" s="391"/>
      <c r="UEX11" s="391"/>
      <c r="UEY11" s="391"/>
      <c r="UEZ11" s="391"/>
      <c r="UFA11" s="391"/>
      <c r="UFB11" s="391"/>
      <c r="UFC11" s="391"/>
      <c r="UFD11" s="391"/>
      <c r="UFE11" s="391"/>
      <c r="UFF11" s="391"/>
      <c r="UFG11" s="391"/>
      <c r="UFH11" s="391"/>
      <c r="UFI11" s="391"/>
      <c r="UFJ11" s="391"/>
      <c r="UFK11" s="391"/>
      <c r="UFL11" s="391"/>
      <c r="UFM11" s="391"/>
      <c r="UFN11" s="391"/>
      <c r="UFO11" s="391"/>
      <c r="UFP11" s="391"/>
      <c r="UFQ11" s="391"/>
      <c r="UFR11" s="391"/>
      <c r="UFS11" s="391"/>
      <c r="UFT11" s="391"/>
      <c r="UFU11" s="391"/>
      <c r="UFV11" s="391"/>
      <c r="UFW11" s="391"/>
      <c r="UFX11" s="391"/>
      <c r="UFY11" s="391"/>
      <c r="UFZ11" s="391"/>
      <c r="UGA11" s="391"/>
      <c r="UGB11" s="391"/>
      <c r="UGC11" s="391"/>
      <c r="UGD11" s="391"/>
      <c r="UGE11" s="391"/>
      <c r="UGF11" s="391"/>
      <c r="UGG11" s="391"/>
      <c r="UGH11" s="391"/>
      <c r="UGI11" s="391"/>
      <c r="UGJ11" s="391"/>
      <c r="UGK11" s="391"/>
      <c r="UGL11" s="391"/>
      <c r="UGM11" s="391"/>
      <c r="UGN11" s="391"/>
      <c r="UGO11" s="391"/>
      <c r="UGP11" s="391"/>
      <c r="UGQ11" s="391"/>
      <c r="UGR11" s="391"/>
      <c r="UGS11" s="391"/>
      <c r="UGT11" s="391"/>
      <c r="UGU11" s="391"/>
      <c r="UGV11" s="391"/>
      <c r="UGW11" s="391"/>
      <c r="UGX11" s="391"/>
      <c r="UGY11" s="391"/>
      <c r="UGZ11" s="391"/>
      <c r="UHA11" s="391"/>
      <c r="UHB11" s="391"/>
      <c r="UHC11" s="391"/>
      <c r="UHD11" s="391"/>
      <c r="UHE11" s="391"/>
      <c r="UHF11" s="391"/>
      <c r="UHG11" s="391"/>
      <c r="UHH11" s="391"/>
      <c r="UHI11" s="391"/>
      <c r="UHJ11" s="391"/>
      <c r="UHK11" s="391"/>
      <c r="UHL11" s="391"/>
      <c r="UHM11" s="391"/>
      <c r="UHN11" s="391"/>
      <c r="UHO11" s="391"/>
      <c r="UHP11" s="391"/>
      <c r="UHQ11" s="391"/>
      <c r="UHR11" s="391"/>
      <c r="UHS11" s="391"/>
      <c r="UHT11" s="391"/>
      <c r="UHU11" s="391"/>
      <c r="UHV11" s="391"/>
      <c r="UHW11" s="391"/>
      <c r="UHX11" s="391"/>
      <c r="UHY11" s="391"/>
      <c r="UHZ11" s="391"/>
      <c r="UIA11" s="391"/>
      <c r="UIB11" s="391"/>
      <c r="UIC11" s="391"/>
      <c r="UID11" s="391"/>
      <c r="UIE11" s="391"/>
      <c r="UIF11" s="391"/>
      <c r="UIG11" s="391"/>
      <c r="UIH11" s="391"/>
      <c r="UII11" s="391"/>
      <c r="UIJ11" s="391"/>
      <c r="UIK11" s="391"/>
      <c r="UIL11" s="391"/>
      <c r="UIM11" s="391"/>
      <c r="UIN11" s="391"/>
      <c r="UIO11" s="391"/>
      <c r="UIP11" s="391"/>
      <c r="UIQ11" s="391"/>
      <c r="UIR11" s="391"/>
      <c r="UIS11" s="391"/>
      <c r="UIT11" s="391"/>
      <c r="UIU11" s="391"/>
      <c r="UIV11" s="391"/>
      <c r="UIW11" s="391"/>
      <c r="UIX11" s="391"/>
      <c r="UIY11" s="391"/>
      <c r="UIZ11" s="391"/>
      <c r="UJA11" s="391"/>
      <c r="UJB11" s="391"/>
      <c r="UJC11" s="391"/>
      <c r="UJD11" s="391"/>
      <c r="UJE11" s="391"/>
      <c r="UJF11" s="391"/>
      <c r="UJG11" s="391"/>
      <c r="UJH11" s="391"/>
      <c r="UJI11" s="391"/>
      <c r="UJJ11" s="391"/>
      <c r="UJK11" s="391"/>
      <c r="UJL11" s="391"/>
      <c r="UJM11" s="391"/>
      <c r="UJN11" s="391"/>
      <c r="UJO11" s="391"/>
      <c r="UJP11" s="391"/>
      <c r="UJQ11" s="391"/>
      <c r="UJR11" s="391"/>
      <c r="UJS11" s="391"/>
      <c r="UJT11" s="391"/>
      <c r="UJU11" s="391"/>
      <c r="UJV11" s="391"/>
      <c r="UJW11" s="391"/>
      <c r="UJX11" s="391"/>
      <c r="UJY11" s="391"/>
      <c r="UJZ11" s="391"/>
      <c r="UKA11" s="391"/>
      <c r="UKB11" s="391"/>
      <c r="UKC11" s="391"/>
      <c r="UKD11" s="391"/>
      <c r="UKE11" s="391"/>
      <c r="UKF11" s="391"/>
      <c r="UKG11" s="391"/>
      <c r="UKH11" s="391"/>
      <c r="UKI11" s="391"/>
      <c r="UKJ11" s="391"/>
      <c r="UKK11" s="391"/>
      <c r="UKL11" s="391"/>
      <c r="UKM11" s="391"/>
      <c r="UKN11" s="391"/>
      <c r="UKO11" s="391"/>
      <c r="UKP11" s="391"/>
      <c r="UKQ11" s="391"/>
      <c r="UKR11" s="391"/>
      <c r="UKS11" s="391"/>
      <c r="UKT11" s="391"/>
      <c r="UKU11" s="391"/>
      <c r="UKV11" s="391"/>
      <c r="UKW11" s="391"/>
      <c r="UKX11" s="391"/>
      <c r="UKY11" s="391"/>
      <c r="UKZ11" s="391"/>
      <c r="ULA11" s="391"/>
      <c r="ULB11" s="391"/>
      <c r="ULC11" s="391"/>
      <c r="ULD11" s="391"/>
      <c r="ULE11" s="391"/>
      <c r="ULF11" s="391"/>
      <c r="ULG11" s="391"/>
      <c r="ULH11" s="391"/>
      <c r="ULI11" s="391"/>
      <c r="ULJ11" s="391"/>
      <c r="ULK11" s="391"/>
      <c r="ULL11" s="391"/>
      <c r="ULM11" s="391"/>
      <c r="ULN11" s="391"/>
      <c r="ULO11" s="391"/>
      <c r="ULP11" s="391"/>
      <c r="ULQ11" s="391"/>
      <c r="ULR11" s="391"/>
      <c r="ULS11" s="391"/>
      <c r="ULT11" s="391"/>
      <c r="ULU11" s="391"/>
      <c r="ULV11" s="391"/>
      <c r="ULW11" s="391"/>
      <c r="ULX11" s="391"/>
      <c r="ULY11" s="391"/>
      <c r="ULZ11" s="391"/>
      <c r="UMA11" s="391"/>
      <c r="UMB11" s="391"/>
      <c r="UMC11" s="391"/>
      <c r="UMD11" s="391"/>
      <c r="UME11" s="391"/>
      <c r="UMF11" s="391"/>
      <c r="UMG11" s="391"/>
      <c r="UMH11" s="391"/>
      <c r="UMI11" s="391"/>
      <c r="UMJ11" s="391"/>
      <c r="UMK11" s="391"/>
      <c r="UML11" s="391"/>
      <c r="UMM11" s="391"/>
      <c r="UMN11" s="391"/>
      <c r="UMO11" s="391"/>
      <c r="UMP11" s="391"/>
      <c r="UMQ11" s="391"/>
      <c r="UMR11" s="391"/>
      <c r="UMS11" s="391"/>
      <c r="UMT11" s="391"/>
      <c r="UMU11" s="391"/>
      <c r="UMV11" s="391"/>
      <c r="UMW11" s="391"/>
      <c r="UMX11" s="391"/>
      <c r="UMY11" s="391"/>
      <c r="UMZ11" s="391"/>
      <c r="UNA11" s="391"/>
      <c r="UNB11" s="391"/>
      <c r="UNC11" s="391"/>
      <c r="UND11" s="391"/>
      <c r="UNE11" s="391"/>
      <c r="UNF11" s="391"/>
      <c r="UNG11" s="391"/>
      <c r="UNH11" s="391"/>
      <c r="UNI11" s="391"/>
      <c r="UNJ11" s="391"/>
      <c r="UNK11" s="391"/>
      <c r="UNL11" s="391"/>
      <c r="UNM11" s="391"/>
      <c r="UNN11" s="391"/>
      <c r="UNO11" s="391"/>
      <c r="UNP11" s="391"/>
      <c r="UNQ11" s="391"/>
      <c r="UNR11" s="391"/>
      <c r="UNS11" s="391"/>
      <c r="UNT11" s="391"/>
      <c r="UNU11" s="391"/>
      <c r="UNV11" s="391"/>
      <c r="UNW11" s="391"/>
      <c r="UNX11" s="391"/>
      <c r="UNY11" s="391"/>
      <c r="UNZ11" s="391"/>
      <c r="UOA11" s="391"/>
      <c r="UOB11" s="391"/>
      <c r="UOC11" s="391"/>
      <c r="UOD11" s="391"/>
      <c r="UOE11" s="391"/>
      <c r="UOF11" s="391"/>
      <c r="UOG11" s="391"/>
      <c r="UOH11" s="391"/>
      <c r="UOI11" s="391"/>
      <c r="UOJ11" s="391"/>
      <c r="UOK11" s="391"/>
      <c r="UOL11" s="391"/>
      <c r="UOM11" s="391"/>
      <c r="UON11" s="391"/>
      <c r="UOO11" s="391"/>
      <c r="UOP11" s="391"/>
      <c r="UOQ11" s="391"/>
      <c r="UOR11" s="391"/>
      <c r="UOS11" s="391"/>
      <c r="UOT11" s="391"/>
      <c r="UOU11" s="391"/>
      <c r="UOV11" s="391"/>
      <c r="UOW11" s="391"/>
      <c r="UOX11" s="391"/>
      <c r="UOY11" s="391"/>
      <c r="UOZ11" s="391"/>
      <c r="UPA11" s="391"/>
      <c r="UPB11" s="391"/>
      <c r="UPC11" s="391"/>
      <c r="UPD11" s="391"/>
      <c r="UPE11" s="391"/>
      <c r="UPF11" s="391"/>
      <c r="UPG11" s="391"/>
      <c r="UPH11" s="391"/>
      <c r="UPI11" s="391"/>
      <c r="UPJ11" s="391"/>
      <c r="UPK11" s="391"/>
      <c r="UPL11" s="391"/>
      <c r="UPM11" s="391"/>
      <c r="UPN11" s="391"/>
      <c r="UPO11" s="391"/>
      <c r="UPP11" s="391"/>
      <c r="UPQ11" s="391"/>
      <c r="UPR11" s="391"/>
      <c r="UPS11" s="391"/>
      <c r="UPT11" s="391"/>
      <c r="UPU11" s="391"/>
      <c r="UPV11" s="391"/>
      <c r="UPW11" s="391"/>
      <c r="UPX11" s="391"/>
      <c r="UPY11" s="391"/>
      <c r="UPZ11" s="391"/>
      <c r="UQA11" s="391"/>
      <c r="UQB11" s="391"/>
      <c r="UQC11" s="391"/>
      <c r="UQD11" s="391"/>
      <c r="UQE11" s="391"/>
      <c r="UQF11" s="391"/>
      <c r="UQG11" s="391"/>
      <c r="UQH11" s="391"/>
      <c r="UQI11" s="391"/>
      <c r="UQJ11" s="391"/>
      <c r="UQK11" s="391"/>
      <c r="UQL11" s="391"/>
      <c r="UQM11" s="391"/>
      <c r="UQN11" s="391"/>
      <c r="UQO11" s="391"/>
      <c r="UQP11" s="391"/>
      <c r="UQQ11" s="391"/>
      <c r="UQR11" s="391"/>
      <c r="UQS11" s="391"/>
      <c r="UQT11" s="391"/>
      <c r="UQU11" s="391"/>
      <c r="UQV11" s="391"/>
      <c r="UQW11" s="391"/>
      <c r="UQX11" s="391"/>
      <c r="UQY11" s="391"/>
      <c r="UQZ11" s="391"/>
      <c r="URA11" s="391"/>
      <c r="URB11" s="391"/>
      <c r="URC11" s="391"/>
      <c r="URD11" s="391"/>
      <c r="URE11" s="391"/>
      <c r="URF11" s="391"/>
      <c r="URG11" s="391"/>
      <c r="URH11" s="391"/>
      <c r="URI11" s="391"/>
      <c r="URJ11" s="391"/>
      <c r="URK11" s="391"/>
      <c r="URL11" s="391"/>
      <c r="URM11" s="391"/>
      <c r="URN11" s="391"/>
      <c r="URO11" s="391"/>
      <c r="URP11" s="391"/>
      <c r="URQ11" s="391"/>
      <c r="URR11" s="391"/>
      <c r="URS11" s="391"/>
      <c r="URT11" s="391"/>
      <c r="URU11" s="391"/>
      <c r="URV11" s="391"/>
      <c r="URW11" s="391"/>
      <c r="URX11" s="391"/>
      <c r="URY11" s="391"/>
      <c r="URZ11" s="391"/>
      <c r="USA11" s="391"/>
      <c r="USB11" s="391"/>
      <c r="USC11" s="391"/>
      <c r="USD11" s="391"/>
      <c r="USE11" s="391"/>
      <c r="USF11" s="391"/>
      <c r="USG11" s="391"/>
      <c r="USH11" s="391"/>
      <c r="USI11" s="391"/>
      <c r="USJ11" s="391"/>
      <c r="USK11" s="391"/>
      <c r="USL11" s="391"/>
      <c r="USM11" s="391"/>
      <c r="USN11" s="391"/>
      <c r="USO11" s="391"/>
      <c r="USP11" s="391"/>
      <c r="USQ11" s="391"/>
      <c r="USR11" s="391"/>
      <c r="USS11" s="391"/>
      <c r="UST11" s="391"/>
      <c r="USU11" s="391"/>
      <c r="USV11" s="391"/>
      <c r="USW11" s="391"/>
      <c r="USX11" s="391"/>
      <c r="USY11" s="391"/>
      <c r="USZ11" s="391"/>
      <c r="UTA11" s="391"/>
      <c r="UTB11" s="391"/>
      <c r="UTC11" s="391"/>
      <c r="UTD11" s="391"/>
      <c r="UTE11" s="391"/>
      <c r="UTF11" s="391"/>
      <c r="UTG11" s="391"/>
      <c r="UTH11" s="391"/>
      <c r="UTI11" s="391"/>
      <c r="UTJ11" s="391"/>
      <c r="UTK11" s="391"/>
      <c r="UTL11" s="391"/>
      <c r="UTM11" s="391"/>
      <c r="UTN11" s="391"/>
      <c r="UTO11" s="391"/>
      <c r="UTP11" s="391"/>
      <c r="UTQ11" s="391"/>
      <c r="UTR11" s="391"/>
      <c r="UTS11" s="391"/>
      <c r="UTT11" s="391"/>
      <c r="UTU11" s="391"/>
      <c r="UTV11" s="391"/>
      <c r="UTW11" s="391"/>
      <c r="UTX11" s="391"/>
      <c r="UTY11" s="391"/>
      <c r="UTZ11" s="391"/>
      <c r="UUA11" s="391"/>
      <c r="UUB11" s="391"/>
      <c r="UUC11" s="391"/>
      <c r="UUD11" s="391"/>
      <c r="UUE11" s="391"/>
      <c r="UUF11" s="391"/>
      <c r="UUG11" s="391"/>
      <c r="UUH11" s="391"/>
      <c r="UUI11" s="391"/>
      <c r="UUJ11" s="391"/>
      <c r="UUK11" s="391"/>
      <c r="UUL11" s="391"/>
      <c r="UUM11" s="391"/>
      <c r="UUN11" s="391"/>
      <c r="UUO11" s="391"/>
      <c r="UUP11" s="391"/>
      <c r="UUQ11" s="391"/>
      <c r="UUR11" s="391"/>
      <c r="UUS11" s="391"/>
      <c r="UUT11" s="391"/>
      <c r="UUU11" s="391"/>
      <c r="UUV11" s="391"/>
      <c r="UUW11" s="391"/>
      <c r="UUX11" s="391"/>
      <c r="UUY11" s="391"/>
      <c r="UUZ11" s="391"/>
      <c r="UVA11" s="391"/>
      <c r="UVB11" s="391"/>
      <c r="UVC11" s="391"/>
      <c r="UVD11" s="391"/>
      <c r="UVE11" s="391"/>
      <c r="UVF11" s="391"/>
      <c r="UVG11" s="391"/>
      <c r="UVH11" s="391"/>
      <c r="UVI11" s="391"/>
      <c r="UVJ11" s="391"/>
      <c r="UVK11" s="391"/>
      <c r="UVL11" s="391"/>
      <c r="UVM11" s="391"/>
      <c r="UVN11" s="391"/>
      <c r="UVO11" s="391"/>
      <c r="UVP11" s="391"/>
      <c r="UVQ11" s="391"/>
      <c r="UVR11" s="391"/>
      <c r="UVS11" s="391"/>
      <c r="UVT11" s="391"/>
      <c r="UVU11" s="391"/>
      <c r="UVV11" s="391"/>
      <c r="UVW11" s="391"/>
      <c r="UVX11" s="391"/>
      <c r="UVY11" s="391"/>
      <c r="UVZ11" s="391"/>
      <c r="UWA11" s="391"/>
      <c r="UWB11" s="391"/>
      <c r="UWC11" s="391"/>
      <c r="UWD11" s="391"/>
      <c r="UWE11" s="391"/>
      <c r="UWF11" s="391"/>
      <c r="UWG11" s="391"/>
      <c r="UWH11" s="391"/>
      <c r="UWI11" s="391"/>
      <c r="UWJ11" s="391"/>
      <c r="UWK11" s="391"/>
      <c r="UWL11" s="391"/>
      <c r="UWM11" s="391"/>
      <c r="UWN11" s="391"/>
      <c r="UWO11" s="391"/>
      <c r="UWP11" s="391"/>
      <c r="UWQ11" s="391"/>
      <c r="UWR11" s="391"/>
      <c r="UWS11" s="391"/>
      <c r="UWT11" s="391"/>
      <c r="UWU11" s="391"/>
      <c r="UWV11" s="391"/>
      <c r="UWW11" s="391"/>
      <c r="UWX11" s="391"/>
      <c r="UWY11" s="391"/>
      <c r="UWZ11" s="391"/>
      <c r="UXA11" s="391"/>
      <c r="UXB11" s="391"/>
      <c r="UXC11" s="391"/>
      <c r="UXD11" s="391"/>
      <c r="UXE11" s="391"/>
      <c r="UXF11" s="391"/>
      <c r="UXG11" s="391"/>
      <c r="UXH11" s="391"/>
      <c r="UXI11" s="391"/>
      <c r="UXJ11" s="391"/>
      <c r="UXK11" s="391"/>
      <c r="UXL11" s="391"/>
      <c r="UXM11" s="391"/>
      <c r="UXN11" s="391"/>
      <c r="UXO11" s="391"/>
      <c r="UXP11" s="391"/>
      <c r="UXQ11" s="391"/>
      <c r="UXR11" s="391"/>
      <c r="UXS11" s="391"/>
      <c r="UXT11" s="391"/>
      <c r="UXU11" s="391"/>
      <c r="UXV11" s="391"/>
      <c r="UXW11" s="391"/>
      <c r="UXX11" s="391"/>
      <c r="UXY11" s="391"/>
      <c r="UXZ11" s="391"/>
      <c r="UYA11" s="391"/>
      <c r="UYB11" s="391"/>
      <c r="UYC11" s="391"/>
      <c r="UYD11" s="391"/>
      <c r="UYE11" s="391"/>
      <c r="UYF11" s="391"/>
      <c r="UYG11" s="391"/>
      <c r="UYH11" s="391"/>
      <c r="UYI11" s="391"/>
      <c r="UYJ11" s="391"/>
      <c r="UYK11" s="391"/>
      <c r="UYL11" s="391"/>
      <c r="UYM11" s="391"/>
      <c r="UYN11" s="391"/>
      <c r="UYO11" s="391"/>
      <c r="UYP11" s="391"/>
      <c r="UYQ11" s="391"/>
      <c r="UYR11" s="391"/>
      <c r="UYS11" s="391"/>
      <c r="UYT11" s="391"/>
      <c r="UYU11" s="391"/>
      <c r="UYV11" s="391"/>
      <c r="UYW11" s="391"/>
      <c r="UYX11" s="391"/>
      <c r="UYY11" s="391"/>
      <c r="UYZ11" s="391"/>
      <c r="UZA11" s="391"/>
      <c r="UZB11" s="391"/>
      <c r="UZC11" s="391"/>
      <c r="UZD11" s="391"/>
      <c r="UZE11" s="391"/>
      <c r="UZF11" s="391"/>
      <c r="UZG11" s="391"/>
      <c r="UZH11" s="391"/>
      <c r="UZI11" s="391"/>
      <c r="UZJ11" s="391"/>
      <c r="UZK11" s="391"/>
      <c r="UZL11" s="391"/>
      <c r="UZM11" s="391"/>
      <c r="UZN11" s="391"/>
      <c r="UZO11" s="391"/>
      <c r="UZP11" s="391"/>
      <c r="UZQ11" s="391"/>
      <c r="UZR11" s="391"/>
      <c r="UZS11" s="391"/>
      <c r="UZT11" s="391"/>
      <c r="UZU11" s="391"/>
      <c r="UZV11" s="391"/>
      <c r="UZW11" s="391"/>
      <c r="UZX11" s="391"/>
      <c r="UZY11" s="391"/>
      <c r="UZZ11" s="391"/>
      <c r="VAA11" s="391"/>
      <c r="VAB11" s="391"/>
      <c r="VAC11" s="391"/>
      <c r="VAD11" s="391"/>
      <c r="VAE11" s="391"/>
      <c r="VAF11" s="391"/>
      <c r="VAG11" s="391"/>
      <c r="VAH11" s="391"/>
      <c r="VAI11" s="391"/>
      <c r="VAJ11" s="391"/>
      <c r="VAK11" s="391"/>
      <c r="VAL11" s="391"/>
      <c r="VAM11" s="391"/>
      <c r="VAN11" s="391"/>
      <c r="VAO11" s="391"/>
      <c r="VAP11" s="391"/>
      <c r="VAQ11" s="391"/>
      <c r="VAR11" s="391"/>
      <c r="VAS11" s="391"/>
      <c r="VAT11" s="391"/>
      <c r="VAU11" s="391"/>
      <c r="VAV11" s="391"/>
      <c r="VAW11" s="391"/>
      <c r="VAX11" s="391"/>
      <c r="VAY11" s="391"/>
      <c r="VAZ11" s="391"/>
      <c r="VBA11" s="391"/>
      <c r="VBB11" s="391"/>
      <c r="VBC11" s="391"/>
      <c r="VBD11" s="391"/>
      <c r="VBE11" s="391"/>
      <c r="VBF11" s="391"/>
      <c r="VBG11" s="391"/>
      <c r="VBH11" s="391"/>
      <c r="VBI11" s="391"/>
      <c r="VBJ11" s="391"/>
      <c r="VBK11" s="391"/>
      <c r="VBL11" s="391"/>
      <c r="VBM11" s="391"/>
      <c r="VBN11" s="391"/>
      <c r="VBO11" s="391"/>
      <c r="VBP11" s="391"/>
      <c r="VBQ11" s="391"/>
      <c r="VBR11" s="391"/>
      <c r="VBS11" s="391"/>
      <c r="VBT11" s="391"/>
      <c r="VBU11" s="391"/>
      <c r="VBV11" s="391"/>
      <c r="VBW11" s="391"/>
      <c r="VBX11" s="391"/>
      <c r="VBY11" s="391"/>
      <c r="VBZ11" s="391"/>
      <c r="VCA11" s="391"/>
      <c r="VCB11" s="391"/>
      <c r="VCC11" s="391"/>
      <c r="VCD11" s="391"/>
      <c r="VCE11" s="391"/>
      <c r="VCF11" s="391"/>
      <c r="VCG11" s="391"/>
      <c r="VCH11" s="391"/>
      <c r="VCI11" s="391"/>
      <c r="VCJ11" s="391"/>
      <c r="VCK11" s="391"/>
      <c r="VCL11" s="391"/>
      <c r="VCM11" s="391"/>
      <c r="VCN11" s="391"/>
      <c r="VCO11" s="391"/>
      <c r="VCP11" s="391"/>
      <c r="VCQ11" s="391"/>
      <c r="VCR11" s="391"/>
      <c r="VCS11" s="391"/>
      <c r="VCT11" s="391"/>
      <c r="VCU11" s="391"/>
      <c r="VCV11" s="391"/>
      <c r="VCW11" s="391"/>
      <c r="VCX11" s="391"/>
      <c r="VCY11" s="391"/>
      <c r="VCZ11" s="391"/>
      <c r="VDA11" s="391"/>
      <c r="VDB11" s="391"/>
      <c r="VDC11" s="391"/>
      <c r="VDD11" s="391"/>
      <c r="VDE11" s="391"/>
      <c r="VDF11" s="391"/>
      <c r="VDG11" s="391"/>
      <c r="VDH11" s="391"/>
      <c r="VDI11" s="391"/>
      <c r="VDJ11" s="391"/>
      <c r="VDK11" s="391"/>
      <c r="VDL11" s="391"/>
      <c r="VDM11" s="391"/>
      <c r="VDN11" s="391"/>
      <c r="VDO11" s="391"/>
      <c r="VDP11" s="391"/>
      <c r="VDQ11" s="391"/>
      <c r="VDR11" s="391"/>
      <c r="VDS11" s="391"/>
      <c r="VDT11" s="391"/>
      <c r="VDU11" s="391"/>
      <c r="VDV11" s="391"/>
      <c r="VDW11" s="391"/>
      <c r="VDX11" s="391"/>
      <c r="VDY11" s="391"/>
      <c r="VDZ11" s="391"/>
      <c r="VEA11" s="391"/>
      <c r="VEB11" s="391"/>
      <c r="VEC11" s="391"/>
      <c r="VED11" s="391"/>
      <c r="VEE11" s="391"/>
      <c r="VEF11" s="391"/>
      <c r="VEG11" s="391"/>
      <c r="VEH11" s="391"/>
      <c r="VEI11" s="391"/>
      <c r="VEJ11" s="391"/>
      <c r="VEK11" s="391"/>
      <c r="VEL11" s="391"/>
      <c r="VEM11" s="391"/>
      <c r="VEN11" s="391"/>
      <c r="VEO11" s="391"/>
      <c r="VEP11" s="391"/>
      <c r="VEQ11" s="391"/>
      <c r="VER11" s="391"/>
      <c r="VES11" s="391"/>
      <c r="VET11" s="391"/>
      <c r="VEU11" s="391"/>
      <c r="VEV11" s="391"/>
      <c r="VEW11" s="391"/>
      <c r="VEX11" s="391"/>
      <c r="VEY11" s="391"/>
      <c r="VEZ11" s="391"/>
      <c r="VFA11" s="391"/>
      <c r="VFB11" s="391"/>
      <c r="VFC11" s="391"/>
      <c r="VFD11" s="391"/>
      <c r="VFE11" s="391"/>
      <c r="VFF11" s="391"/>
      <c r="VFG11" s="391"/>
      <c r="VFH11" s="391"/>
      <c r="VFI11" s="391"/>
      <c r="VFJ11" s="391"/>
      <c r="VFK11" s="391"/>
      <c r="VFL11" s="391"/>
      <c r="VFM11" s="391"/>
      <c r="VFN11" s="391"/>
      <c r="VFO11" s="391"/>
      <c r="VFP11" s="391"/>
      <c r="VFQ11" s="391"/>
      <c r="VFR11" s="391"/>
      <c r="VFS11" s="391"/>
      <c r="VFT11" s="391"/>
      <c r="VFU11" s="391"/>
      <c r="VFV11" s="391"/>
      <c r="VFW11" s="391"/>
      <c r="VFX11" s="391"/>
      <c r="VFY11" s="391"/>
      <c r="VFZ11" s="391"/>
      <c r="VGA11" s="391"/>
      <c r="VGB11" s="391"/>
      <c r="VGC11" s="391"/>
      <c r="VGD11" s="391"/>
      <c r="VGE11" s="391"/>
      <c r="VGF11" s="391"/>
      <c r="VGG11" s="391"/>
      <c r="VGH11" s="391"/>
      <c r="VGI11" s="391"/>
      <c r="VGJ11" s="391"/>
      <c r="VGK11" s="391"/>
      <c r="VGL11" s="391"/>
      <c r="VGM11" s="391"/>
      <c r="VGN11" s="391"/>
      <c r="VGO11" s="391"/>
      <c r="VGP11" s="391"/>
      <c r="VGQ11" s="391"/>
      <c r="VGR11" s="391"/>
      <c r="VGS11" s="391"/>
      <c r="VGT11" s="391"/>
      <c r="VGU11" s="391"/>
      <c r="VGV11" s="391"/>
      <c r="VGW11" s="391"/>
      <c r="VGX11" s="391"/>
      <c r="VGY11" s="391"/>
      <c r="VGZ11" s="391"/>
      <c r="VHA11" s="391"/>
      <c r="VHB11" s="391"/>
      <c r="VHC11" s="391"/>
      <c r="VHD11" s="391"/>
      <c r="VHE11" s="391"/>
      <c r="VHF11" s="391"/>
      <c r="VHG11" s="391"/>
      <c r="VHH11" s="391"/>
      <c r="VHI11" s="391"/>
      <c r="VHJ11" s="391"/>
      <c r="VHK11" s="391"/>
      <c r="VHL11" s="391"/>
      <c r="VHM11" s="391"/>
      <c r="VHN11" s="391"/>
      <c r="VHO11" s="391"/>
      <c r="VHP11" s="391"/>
      <c r="VHQ11" s="391"/>
      <c r="VHR11" s="391"/>
      <c r="VHS11" s="391"/>
      <c r="VHT11" s="391"/>
      <c r="VHU11" s="391"/>
      <c r="VHV11" s="391"/>
      <c r="VHW11" s="391"/>
      <c r="VHX11" s="391"/>
      <c r="VHY11" s="391"/>
      <c r="VHZ11" s="391"/>
      <c r="VIA11" s="391"/>
      <c r="VIB11" s="391"/>
      <c r="VIC11" s="391"/>
      <c r="VID11" s="391"/>
      <c r="VIE11" s="391"/>
      <c r="VIF11" s="391"/>
      <c r="VIG11" s="391"/>
      <c r="VIH11" s="391"/>
      <c r="VII11" s="391"/>
      <c r="VIJ11" s="391"/>
      <c r="VIK11" s="391"/>
      <c r="VIL11" s="391"/>
      <c r="VIM11" s="391"/>
      <c r="VIN11" s="391"/>
      <c r="VIO11" s="391"/>
      <c r="VIP11" s="391"/>
      <c r="VIQ11" s="391"/>
      <c r="VIR11" s="391"/>
      <c r="VIS11" s="391"/>
      <c r="VIT11" s="391"/>
      <c r="VIU11" s="391"/>
      <c r="VIV11" s="391"/>
      <c r="VIW11" s="391"/>
      <c r="VIX11" s="391"/>
      <c r="VIY11" s="391"/>
      <c r="VIZ11" s="391"/>
      <c r="VJA11" s="391"/>
      <c r="VJB11" s="391"/>
      <c r="VJC11" s="391"/>
      <c r="VJD11" s="391"/>
      <c r="VJE11" s="391"/>
      <c r="VJF11" s="391"/>
      <c r="VJG11" s="391"/>
      <c r="VJH11" s="391"/>
      <c r="VJI11" s="391"/>
      <c r="VJJ11" s="391"/>
      <c r="VJK11" s="391"/>
      <c r="VJL11" s="391"/>
      <c r="VJM11" s="391"/>
      <c r="VJN11" s="391"/>
      <c r="VJO11" s="391"/>
      <c r="VJP11" s="391"/>
      <c r="VJQ11" s="391"/>
      <c r="VJR11" s="391"/>
      <c r="VJS11" s="391"/>
      <c r="VJT11" s="391"/>
      <c r="VJU11" s="391"/>
      <c r="VJV11" s="391"/>
      <c r="VJW11" s="391"/>
      <c r="VJX11" s="391"/>
      <c r="VJY11" s="391"/>
      <c r="VJZ11" s="391"/>
      <c r="VKA11" s="391"/>
      <c r="VKB11" s="391"/>
      <c r="VKC11" s="391"/>
      <c r="VKD11" s="391"/>
      <c r="VKE11" s="391"/>
      <c r="VKF11" s="391"/>
      <c r="VKG11" s="391"/>
      <c r="VKH11" s="391"/>
      <c r="VKI11" s="391"/>
      <c r="VKJ11" s="391"/>
      <c r="VKK11" s="391"/>
      <c r="VKL11" s="391"/>
      <c r="VKM11" s="391"/>
      <c r="VKN11" s="391"/>
      <c r="VKO11" s="391"/>
      <c r="VKP11" s="391"/>
      <c r="VKQ11" s="391"/>
      <c r="VKR11" s="391"/>
      <c r="VKS11" s="391"/>
      <c r="VKT11" s="391"/>
      <c r="VKU11" s="391"/>
      <c r="VKV11" s="391"/>
      <c r="VKW11" s="391"/>
      <c r="VKX11" s="391"/>
      <c r="VKY11" s="391"/>
      <c r="VKZ11" s="391"/>
      <c r="VLA11" s="391"/>
      <c r="VLB11" s="391"/>
      <c r="VLC11" s="391"/>
      <c r="VLD11" s="391"/>
      <c r="VLE11" s="391"/>
      <c r="VLF11" s="391"/>
      <c r="VLG11" s="391"/>
      <c r="VLH11" s="391"/>
      <c r="VLI11" s="391"/>
      <c r="VLJ11" s="391"/>
      <c r="VLK11" s="391"/>
      <c r="VLL11" s="391"/>
      <c r="VLM11" s="391"/>
      <c r="VLN11" s="391"/>
      <c r="VLO11" s="391"/>
      <c r="VLP11" s="391"/>
      <c r="VLQ11" s="391"/>
      <c r="VLR11" s="391"/>
      <c r="VLS11" s="391"/>
      <c r="VLT11" s="391"/>
      <c r="VLU11" s="391"/>
      <c r="VLV11" s="391"/>
      <c r="VLW11" s="391"/>
      <c r="VLX11" s="391"/>
      <c r="VLY11" s="391"/>
      <c r="VLZ11" s="391"/>
      <c r="VMA11" s="391"/>
      <c r="VMB11" s="391"/>
      <c r="VMC11" s="391"/>
      <c r="VMD11" s="391"/>
      <c r="VME11" s="391"/>
      <c r="VMF11" s="391"/>
      <c r="VMG11" s="391"/>
      <c r="VMH11" s="391"/>
      <c r="VMI11" s="391"/>
      <c r="VMJ11" s="391"/>
      <c r="VMK11" s="391"/>
      <c r="VML11" s="391"/>
      <c r="VMM11" s="391"/>
      <c r="VMN11" s="391"/>
      <c r="VMO11" s="391"/>
      <c r="VMP11" s="391"/>
      <c r="VMQ11" s="391"/>
      <c r="VMR11" s="391"/>
      <c r="VMS11" s="391"/>
      <c r="VMT11" s="391"/>
      <c r="VMU11" s="391"/>
      <c r="VMV11" s="391"/>
      <c r="VMW11" s="391"/>
      <c r="VMX11" s="391"/>
      <c r="VMY11" s="391"/>
      <c r="VMZ11" s="391"/>
      <c r="VNA11" s="391"/>
      <c r="VNB11" s="391"/>
      <c r="VNC11" s="391"/>
      <c r="VND11" s="391"/>
      <c r="VNE11" s="391"/>
      <c r="VNF11" s="391"/>
      <c r="VNG11" s="391"/>
      <c r="VNH11" s="391"/>
      <c r="VNI11" s="391"/>
      <c r="VNJ11" s="391"/>
      <c r="VNK11" s="391"/>
      <c r="VNL11" s="391"/>
      <c r="VNM11" s="391"/>
      <c r="VNN11" s="391"/>
      <c r="VNO11" s="391"/>
      <c r="VNP11" s="391"/>
      <c r="VNQ11" s="391"/>
      <c r="VNR11" s="391"/>
      <c r="VNS11" s="391"/>
      <c r="VNT11" s="391"/>
      <c r="VNU11" s="391"/>
      <c r="VNV11" s="391"/>
      <c r="VNW11" s="391"/>
      <c r="VNX11" s="391"/>
      <c r="VNY11" s="391"/>
      <c r="VNZ11" s="391"/>
      <c r="VOA11" s="391"/>
      <c r="VOB11" s="391"/>
      <c r="VOC11" s="391"/>
      <c r="VOD11" s="391"/>
      <c r="VOE11" s="391"/>
      <c r="VOF11" s="391"/>
      <c r="VOG11" s="391"/>
      <c r="VOH11" s="391"/>
      <c r="VOI11" s="391"/>
      <c r="VOJ11" s="391"/>
      <c r="VOK11" s="391"/>
      <c r="VOL11" s="391"/>
      <c r="VOM11" s="391"/>
      <c r="VON11" s="391"/>
      <c r="VOO11" s="391"/>
      <c r="VOP11" s="391"/>
      <c r="VOQ11" s="391"/>
      <c r="VOR11" s="391"/>
      <c r="VOS11" s="391"/>
      <c r="VOT11" s="391"/>
      <c r="VOU11" s="391"/>
      <c r="VOV11" s="391"/>
      <c r="VOW11" s="391"/>
      <c r="VOX11" s="391"/>
      <c r="VOY11" s="391"/>
      <c r="VOZ11" s="391"/>
      <c r="VPA11" s="391"/>
      <c r="VPB11" s="391"/>
      <c r="VPC11" s="391"/>
      <c r="VPD11" s="391"/>
      <c r="VPE11" s="391"/>
      <c r="VPF11" s="391"/>
      <c r="VPG11" s="391"/>
      <c r="VPH11" s="391"/>
      <c r="VPI11" s="391"/>
      <c r="VPJ11" s="391"/>
      <c r="VPK11" s="391"/>
      <c r="VPL11" s="391"/>
      <c r="VPM11" s="391"/>
      <c r="VPN11" s="391"/>
      <c r="VPO11" s="391"/>
      <c r="VPP11" s="391"/>
      <c r="VPQ11" s="391"/>
      <c r="VPR11" s="391"/>
      <c r="VPS11" s="391"/>
      <c r="VPT11" s="391"/>
      <c r="VPU11" s="391"/>
      <c r="VPV11" s="391"/>
      <c r="VPW11" s="391"/>
      <c r="VPX11" s="391"/>
      <c r="VPY11" s="391"/>
      <c r="VPZ11" s="391"/>
      <c r="VQA11" s="391"/>
      <c r="VQB11" s="391"/>
      <c r="VQC11" s="391"/>
      <c r="VQD11" s="391"/>
      <c r="VQE11" s="391"/>
      <c r="VQF11" s="391"/>
      <c r="VQG11" s="391"/>
      <c r="VQH11" s="391"/>
      <c r="VQI11" s="391"/>
      <c r="VQJ11" s="391"/>
      <c r="VQK11" s="391"/>
      <c r="VQL11" s="391"/>
      <c r="VQM11" s="391"/>
      <c r="VQN11" s="391"/>
      <c r="VQO11" s="391"/>
      <c r="VQP11" s="391"/>
      <c r="VQQ11" s="391"/>
      <c r="VQR11" s="391"/>
      <c r="VQS11" s="391"/>
      <c r="VQT11" s="391"/>
      <c r="VQU11" s="391"/>
      <c r="VQV11" s="391"/>
      <c r="VQW11" s="391"/>
      <c r="VQX11" s="391"/>
      <c r="VQY11" s="391"/>
      <c r="VQZ11" s="391"/>
      <c r="VRA11" s="391"/>
      <c r="VRB11" s="391"/>
      <c r="VRC11" s="391"/>
      <c r="VRD11" s="391"/>
      <c r="VRE11" s="391"/>
      <c r="VRF11" s="391"/>
      <c r="VRG11" s="391"/>
      <c r="VRH11" s="391"/>
      <c r="VRI11" s="391"/>
      <c r="VRJ11" s="391"/>
      <c r="VRK11" s="391"/>
      <c r="VRL11" s="391"/>
      <c r="VRM11" s="391"/>
      <c r="VRN11" s="391"/>
      <c r="VRO11" s="391"/>
      <c r="VRP11" s="391"/>
      <c r="VRQ11" s="391"/>
      <c r="VRR11" s="391"/>
      <c r="VRS11" s="391"/>
      <c r="VRT11" s="391"/>
      <c r="VRU11" s="391"/>
      <c r="VRV11" s="391"/>
      <c r="VRW11" s="391"/>
      <c r="VRX11" s="391"/>
      <c r="VRY11" s="391"/>
      <c r="VRZ11" s="391"/>
      <c r="VSA11" s="391"/>
      <c r="VSB11" s="391"/>
      <c r="VSC11" s="391"/>
      <c r="VSD11" s="391"/>
      <c r="VSE11" s="391"/>
      <c r="VSF11" s="391"/>
      <c r="VSG11" s="391"/>
      <c r="VSH11" s="391"/>
      <c r="VSI11" s="391"/>
      <c r="VSJ11" s="391"/>
      <c r="VSK11" s="391"/>
      <c r="VSL11" s="391"/>
      <c r="VSM11" s="391"/>
      <c r="VSN11" s="391"/>
      <c r="VSO11" s="391"/>
      <c r="VSP11" s="391"/>
      <c r="VSQ11" s="391"/>
      <c r="VSR11" s="391"/>
      <c r="VSS11" s="391"/>
      <c r="VST11" s="391"/>
      <c r="VSU11" s="391"/>
      <c r="VSV11" s="391"/>
      <c r="VSW11" s="391"/>
      <c r="VSX11" s="391"/>
      <c r="VSY11" s="391"/>
      <c r="VSZ11" s="391"/>
      <c r="VTA11" s="391"/>
      <c r="VTB11" s="391"/>
      <c r="VTC11" s="391"/>
      <c r="VTD11" s="391"/>
      <c r="VTE11" s="391"/>
      <c r="VTF11" s="391"/>
      <c r="VTG11" s="391"/>
      <c r="VTH11" s="391"/>
      <c r="VTI11" s="391"/>
      <c r="VTJ11" s="391"/>
      <c r="VTK11" s="391"/>
      <c r="VTL11" s="391"/>
      <c r="VTM11" s="391"/>
      <c r="VTN11" s="391"/>
      <c r="VTO11" s="391"/>
      <c r="VTP11" s="391"/>
      <c r="VTQ11" s="391"/>
      <c r="VTR11" s="391"/>
      <c r="VTS11" s="391"/>
      <c r="VTT11" s="391"/>
      <c r="VTU11" s="391"/>
      <c r="VTV11" s="391"/>
      <c r="VTW11" s="391"/>
      <c r="VTX11" s="391"/>
      <c r="VTY11" s="391"/>
      <c r="VTZ11" s="391"/>
      <c r="VUA11" s="391"/>
      <c r="VUB11" s="391"/>
      <c r="VUC11" s="391"/>
      <c r="VUD11" s="391"/>
      <c r="VUE11" s="391"/>
      <c r="VUF11" s="391"/>
      <c r="VUG11" s="391"/>
      <c r="VUH11" s="391"/>
      <c r="VUI11" s="391"/>
      <c r="VUJ11" s="391"/>
      <c r="VUK11" s="391"/>
      <c r="VUL11" s="391"/>
      <c r="VUM11" s="391"/>
      <c r="VUN11" s="391"/>
      <c r="VUO11" s="391"/>
      <c r="VUP11" s="391"/>
      <c r="VUQ11" s="391"/>
      <c r="VUR11" s="391"/>
      <c r="VUS11" s="391"/>
      <c r="VUT11" s="391"/>
      <c r="VUU11" s="391"/>
      <c r="VUV11" s="391"/>
      <c r="VUW11" s="391"/>
      <c r="VUX11" s="391"/>
      <c r="VUY11" s="391"/>
      <c r="VUZ11" s="391"/>
      <c r="VVA11" s="391"/>
      <c r="VVB11" s="391"/>
      <c r="VVC11" s="391"/>
      <c r="VVD11" s="391"/>
      <c r="VVE11" s="391"/>
      <c r="VVF11" s="391"/>
      <c r="VVG11" s="391"/>
      <c r="VVH11" s="391"/>
      <c r="VVI11" s="391"/>
      <c r="VVJ11" s="391"/>
      <c r="VVK11" s="391"/>
      <c r="VVL11" s="391"/>
      <c r="VVM11" s="391"/>
      <c r="VVN11" s="391"/>
      <c r="VVO11" s="391"/>
      <c r="VVP11" s="391"/>
      <c r="VVQ11" s="391"/>
      <c r="VVR11" s="391"/>
      <c r="VVS11" s="391"/>
      <c r="VVT11" s="391"/>
      <c r="VVU11" s="391"/>
      <c r="VVV11" s="391"/>
      <c r="VVW11" s="391"/>
      <c r="VVX11" s="391"/>
      <c r="VVY11" s="391"/>
      <c r="VVZ11" s="391"/>
      <c r="VWA11" s="391"/>
      <c r="VWB11" s="391"/>
      <c r="VWC11" s="391"/>
      <c r="VWD11" s="391"/>
      <c r="VWE11" s="391"/>
      <c r="VWF11" s="391"/>
      <c r="VWG11" s="391"/>
      <c r="VWH11" s="391"/>
      <c r="VWI11" s="391"/>
      <c r="VWJ11" s="391"/>
      <c r="VWK11" s="391"/>
      <c r="VWL11" s="391"/>
      <c r="VWM11" s="391"/>
      <c r="VWN11" s="391"/>
      <c r="VWO11" s="391"/>
      <c r="VWP11" s="391"/>
      <c r="VWQ11" s="391"/>
      <c r="VWR11" s="391"/>
      <c r="VWS11" s="391"/>
      <c r="VWT11" s="391"/>
      <c r="VWU11" s="391"/>
      <c r="VWV11" s="391"/>
      <c r="VWW11" s="391"/>
      <c r="VWX11" s="391"/>
      <c r="VWY11" s="391"/>
      <c r="VWZ11" s="391"/>
      <c r="VXA11" s="391"/>
      <c r="VXB11" s="391"/>
      <c r="VXC11" s="391"/>
      <c r="VXD11" s="391"/>
      <c r="VXE11" s="391"/>
      <c r="VXF11" s="391"/>
      <c r="VXG11" s="391"/>
      <c r="VXH11" s="391"/>
      <c r="VXI11" s="391"/>
      <c r="VXJ11" s="391"/>
      <c r="VXK11" s="391"/>
      <c r="VXL11" s="391"/>
      <c r="VXM11" s="391"/>
      <c r="VXN11" s="391"/>
      <c r="VXO11" s="391"/>
      <c r="VXP11" s="391"/>
      <c r="VXQ11" s="391"/>
      <c r="VXR11" s="391"/>
      <c r="VXS11" s="391"/>
      <c r="VXT11" s="391"/>
      <c r="VXU11" s="391"/>
      <c r="VXV11" s="391"/>
      <c r="VXW11" s="391"/>
      <c r="VXX11" s="391"/>
      <c r="VXY11" s="391"/>
      <c r="VXZ11" s="391"/>
      <c r="VYA11" s="391"/>
      <c r="VYB11" s="391"/>
      <c r="VYC11" s="391"/>
      <c r="VYD11" s="391"/>
      <c r="VYE11" s="391"/>
      <c r="VYF11" s="391"/>
      <c r="VYG11" s="391"/>
      <c r="VYH11" s="391"/>
      <c r="VYI11" s="391"/>
      <c r="VYJ11" s="391"/>
      <c r="VYK11" s="391"/>
      <c r="VYL11" s="391"/>
      <c r="VYM11" s="391"/>
      <c r="VYN11" s="391"/>
      <c r="VYO11" s="391"/>
      <c r="VYP11" s="391"/>
      <c r="VYQ11" s="391"/>
      <c r="VYR11" s="391"/>
      <c r="VYS11" s="391"/>
      <c r="VYT11" s="391"/>
      <c r="VYU11" s="391"/>
      <c r="VYV11" s="391"/>
      <c r="VYW11" s="391"/>
      <c r="VYX11" s="391"/>
      <c r="VYY11" s="391"/>
      <c r="VYZ11" s="391"/>
      <c r="VZA11" s="391"/>
      <c r="VZB11" s="391"/>
      <c r="VZC11" s="391"/>
      <c r="VZD11" s="391"/>
      <c r="VZE11" s="391"/>
      <c r="VZF11" s="391"/>
      <c r="VZG11" s="391"/>
      <c r="VZH11" s="391"/>
      <c r="VZI11" s="391"/>
      <c r="VZJ11" s="391"/>
      <c r="VZK11" s="391"/>
      <c r="VZL11" s="391"/>
      <c r="VZM11" s="391"/>
      <c r="VZN11" s="391"/>
      <c r="VZO11" s="391"/>
      <c r="VZP11" s="391"/>
      <c r="VZQ11" s="391"/>
      <c r="VZR11" s="391"/>
      <c r="VZS11" s="391"/>
      <c r="VZT11" s="391"/>
      <c r="VZU11" s="391"/>
      <c r="VZV11" s="391"/>
      <c r="VZW11" s="391"/>
      <c r="VZX11" s="391"/>
      <c r="VZY11" s="391"/>
      <c r="VZZ11" s="391"/>
      <c r="WAA11" s="391"/>
      <c r="WAB11" s="391"/>
      <c r="WAC11" s="391"/>
      <c r="WAD11" s="391"/>
      <c r="WAE11" s="391"/>
      <c r="WAF11" s="391"/>
      <c r="WAG11" s="391"/>
      <c r="WAH11" s="391"/>
      <c r="WAI11" s="391"/>
      <c r="WAJ11" s="391"/>
      <c r="WAK11" s="391"/>
      <c r="WAL11" s="391"/>
      <c r="WAM11" s="391"/>
      <c r="WAN11" s="391"/>
      <c r="WAO11" s="391"/>
      <c r="WAP11" s="391"/>
      <c r="WAQ11" s="391"/>
      <c r="WAR11" s="391"/>
      <c r="WAS11" s="391"/>
      <c r="WAT11" s="391"/>
      <c r="WAU11" s="391"/>
      <c r="WAV11" s="391"/>
      <c r="WAW11" s="391"/>
      <c r="WAX11" s="391"/>
      <c r="WAY11" s="391"/>
      <c r="WAZ11" s="391"/>
      <c r="WBA11" s="391"/>
      <c r="WBB11" s="391"/>
      <c r="WBC11" s="391"/>
      <c r="WBD11" s="391"/>
      <c r="WBE11" s="391"/>
      <c r="WBF11" s="391"/>
      <c r="WBG11" s="391"/>
      <c r="WBH11" s="391"/>
      <c r="WBI11" s="391"/>
      <c r="WBJ11" s="391"/>
      <c r="WBK11" s="391"/>
      <c r="WBL11" s="391"/>
      <c r="WBM11" s="391"/>
      <c r="WBN11" s="391"/>
      <c r="WBO11" s="391"/>
      <c r="WBP11" s="391"/>
      <c r="WBQ11" s="391"/>
      <c r="WBR11" s="391"/>
      <c r="WBS11" s="391"/>
      <c r="WBT11" s="391"/>
      <c r="WBU11" s="391"/>
      <c r="WBV11" s="391"/>
      <c r="WBW11" s="391"/>
      <c r="WBX11" s="391"/>
      <c r="WBY11" s="391"/>
      <c r="WBZ11" s="391"/>
      <c r="WCA11" s="391"/>
      <c r="WCB11" s="391"/>
      <c r="WCC11" s="391"/>
      <c r="WCD11" s="391"/>
      <c r="WCE11" s="391"/>
      <c r="WCF11" s="391"/>
      <c r="WCG11" s="391"/>
      <c r="WCH11" s="391"/>
      <c r="WCI11" s="391"/>
      <c r="WCJ11" s="391"/>
      <c r="WCK11" s="391"/>
      <c r="WCL11" s="391"/>
      <c r="WCM11" s="391"/>
      <c r="WCN11" s="391"/>
      <c r="WCO11" s="391"/>
      <c r="WCP11" s="391"/>
      <c r="WCQ11" s="391"/>
      <c r="WCR11" s="391"/>
      <c r="WCS11" s="391"/>
      <c r="WCT11" s="391"/>
      <c r="WCU11" s="391"/>
      <c r="WCV11" s="391"/>
      <c r="WCW11" s="391"/>
      <c r="WCX11" s="391"/>
      <c r="WCY11" s="391"/>
      <c r="WCZ11" s="391"/>
      <c r="WDA11" s="391"/>
      <c r="WDB11" s="391"/>
      <c r="WDC11" s="391"/>
      <c r="WDD11" s="391"/>
      <c r="WDE11" s="391"/>
      <c r="WDF11" s="391"/>
      <c r="WDG11" s="391"/>
      <c r="WDH11" s="391"/>
      <c r="WDI11" s="391"/>
      <c r="WDJ11" s="391"/>
      <c r="WDK11" s="391"/>
      <c r="WDL11" s="391"/>
      <c r="WDM11" s="391"/>
      <c r="WDN11" s="391"/>
      <c r="WDO11" s="391"/>
      <c r="WDP11" s="391"/>
      <c r="WDQ11" s="391"/>
      <c r="WDR11" s="391"/>
      <c r="WDS11" s="391"/>
      <c r="WDT11" s="391"/>
      <c r="WDU11" s="391"/>
      <c r="WDV11" s="391"/>
      <c r="WDW11" s="391"/>
      <c r="WDX11" s="391"/>
      <c r="WDY11" s="391"/>
      <c r="WDZ11" s="391"/>
      <c r="WEA11" s="391"/>
      <c r="WEB11" s="391"/>
      <c r="WEC11" s="391"/>
      <c r="WED11" s="391"/>
      <c r="WEE11" s="391"/>
      <c r="WEF11" s="391"/>
      <c r="WEG11" s="391"/>
      <c r="WEH11" s="391"/>
      <c r="WEI11" s="391"/>
      <c r="WEJ11" s="391"/>
      <c r="WEK11" s="391"/>
      <c r="WEL11" s="391"/>
      <c r="WEM11" s="391"/>
      <c r="WEN11" s="391"/>
      <c r="WEO11" s="391"/>
      <c r="WEP11" s="391"/>
      <c r="WEQ11" s="391"/>
      <c r="WER11" s="391"/>
      <c r="WES11" s="391"/>
      <c r="WET11" s="391"/>
      <c r="WEU11" s="391"/>
      <c r="WEV11" s="391"/>
      <c r="WEW11" s="391"/>
      <c r="WEX11" s="391"/>
      <c r="WEY11" s="391"/>
      <c r="WEZ11" s="391"/>
      <c r="WFA11" s="391"/>
      <c r="WFB11" s="391"/>
      <c r="WFC11" s="391"/>
      <c r="WFD11" s="391"/>
      <c r="WFE11" s="391"/>
      <c r="WFF11" s="391"/>
      <c r="WFG11" s="391"/>
      <c r="WFH11" s="391"/>
      <c r="WFI11" s="391"/>
      <c r="WFJ11" s="391"/>
      <c r="WFK11" s="391"/>
      <c r="WFL11" s="391"/>
      <c r="WFM11" s="391"/>
      <c r="WFN11" s="391"/>
      <c r="WFO11" s="391"/>
      <c r="WFP11" s="391"/>
      <c r="WFQ11" s="391"/>
      <c r="WFR11" s="391"/>
      <c r="WFS11" s="391"/>
      <c r="WFT11" s="391"/>
      <c r="WFU11" s="391"/>
      <c r="WFV11" s="391"/>
      <c r="WFW11" s="391"/>
      <c r="WFX11" s="391"/>
      <c r="WFY11" s="391"/>
      <c r="WFZ11" s="391"/>
      <c r="WGA11" s="391"/>
      <c r="WGB11" s="391"/>
      <c r="WGC11" s="391"/>
      <c r="WGD11" s="391"/>
      <c r="WGE11" s="391"/>
      <c r="WGF11" s="391"/>
      <c r="WGG11" s="391"/>
      <c r="WGH11" s="391"/>
      <c r="WGI11" s="391"/>
      <c r="WGJ11" s="391"/>
      <c r="WGK11" s="391"/>
      <c r="WGL11" s="391"/>
      <c r="WGM11" s="391"/>
      <c r="WGN11" s="391"/>
      <c r="WGO11" s="391"/>
      <c r="WGP11" s="391"/>
      <c r="WGQ11" s="391"/>
      <c r="WGR11" s="391"/>
      <c r="WGS11" s="391"/>
      <c r="WGT11" s="391"/>
      <c r="WGU11" s="391"/>
      <c r="WGV11" s="391"/>
      <c r="WGW11" s="391"/>
      <c r="WGX11" s="391"/>
      <c r="WGY11" s="391"/>
      <c r="WGZ11" s="391"/>
      <c r="WHA11" s="391"/>
      <c r="WHB11" s="391"/>
      <c r="WHC11" s="391"/>
      <c r="WHD11" s="391"/>
      <c r="WHE11" s="391"/>
      <c r="WHF11" s="391"/>
      <c r="WHG11" s="391"/>
      <c r="WHH11" s="391"/>
      <c r="WHI11" s="391"/>
      <c r="WHJ11" s="391"/>
      <c r="WHK11" s="391"/>
      <c r="WHL11" s="391"/>
      <c r="WHM11" s="391"/>
      <c r="WHN11" s="391"/>
      <c r="WHO11" s="391"/>
      <c r="WHP11" s="391"/>
      <c r="WHQ11" s="391"/>
      <c r="WHR11" s="391"/>
      <c r="WHS11" s="391"/>
      <c r="WHT11" s="391"/>
      <c r="WHU11" s="391"/>
      <c r="WHV11" s="391"/>
      <c r="WHW11" s="391"/>
      <c r="WHX11" s="391"/>
      <c r="WHY11" s="391"/>
      <c r="WHZ11" s="391"/>
      <c r="WIA11" s="391"/>
      <c r="WIB11" s="391"/>
      <c r="WIC11" s="391"/>
      <c r="WID11" s="391"/>
      <c r="WIE11" s="391"/>
      <c r="WIF11" s="391"/>
      <c r="WIG11" s="391"/>
      <c r="WIH11" s="391"/>
      <c r="WII11" s="391"/>
      <c r="WIJ11" s="391"/>
      <c r="WIK11" s="391"/>
      <c r="WIL11" s="391"/>
      <c r="WIM11" s="391"/>
      <c r="WIN11" s="391"/>
      <c r="WIO11" s="391"/>
      <c r="WIP11" s="391"/>
      <c r="WIQ11" s="391"/>
      <c r="WIR11" s="391"/>
      <c r="WIS11" s="391"/>
      <c r="WIT11" s="391"/>
      <c r="WIU11" s="391"/>
      <c r="WIV11" s="391"/>
      <c r="WIW11" s="391"/>
      <c r="WIX11" s="391"/>
      <c r="WIY11" s="391"/>
      <c r="WIZ11" s="391"/>
      <c r="WJA11" s="391"/>
      <c r="WJB11" s="391"/>
      <c r="WJC11" s="391"/>
      <c r="WJD11" s="391"/>
      <c r="WJE11" s="391"/>
      <c r="WJF11" s="391"/>
      <c r="WJG11" s="391"/>
      <c r="WJH11" s="391"/>
      <c r="WJI11" s="391"/>
      <c r="WJJ11" s="391"/>
      <c r="WJK11" s="391"/>
      <c r="WJL11" s="391"/>
      <c r="WJM11" s="391"/>
      <c r="WJN11" s="391"/>
      <c r="WJO11" s="391"/>
      <c r="WJP11" s="391"/>
      <c r="WJQ11" s="391"/>
      <c r="WJR11" s="391"/>
      <c r="WJS11" s="391"/>
      <c r="WJT11" s="391"/>
      <c r="WJU11" s="391"/>
      <c r="WJV11" s="391"/>
      <c r="WJW11" s="391"/>
      <c r="WJX11" s="391"/>
      <c r="WJY11" s="391"/>
      <c r="WJZ11" s="391"/>
      <c r="WKA11" s="391"/>
      <c r="WKB11" s="391"/>
      <c r="WKC11" s="391"/>
      <c r="WKD11" s="391"/>
      <c r="WKE11" s="391"/>
      <c r="WKF11" s="391"/>
      <c r="WKG11" s="391"/>
      <c r="WKH11" s="391"/>
      <c r="WKI11" s="391"/>
      <c r="WKJ11" s="391"/>
      <c r="WKK11" s="391"/>
      <c r="WKL11" s="391"/>
      <c r="WKM11" s="391"/>
      <c r="WKN11" s="391"/>
      <c r="WKO11" s="391"/>
      <c r="WKP11" s="391"/>
      <c r="WKQ11" s="391"/>
      <c r="WKR11" s="391"/>
      <c r="WKS11" s="391"/>
      <c r="WKT11" s="391"/>
      <c r="WKU11" s="391"/>
      <c r="WKV11" s="391"/>
      <c r="WKW11" s="391"/>
      <c r="WKX11" s="391"/>
      <c r="WKY11" s="391"/>
      <c r="WKZ11" s="391"/>
      <c r="WLA11" s="391"/>
      <c r="WLB11" s="391"/>
      <c r="WLC11" s="391"/>
      <c r="WLD11" s="391"/>
      <c r="WLE11" s="391"/>
      <c r="WLF11" s="391"/>
      <c r="WLG11" s="391"/>
      <c r="WLH11" s="391"/>
      <c r="WLI11" s="391"/>
      <c r="WLJ11" s="391"/>
      <c r="WLK11" s="391"/>
      <c r="WLL11" s="391"/>
      <c r="WLM11" s="391"/>
      <c r="WLN11" s="391"/>
      <c r="WLO11" s="391"/>
      <c r="WLP11" s="391"/>
      <c r="WLQ11" s="391"/>
      <c r="WLR11" s="391"/>
      <c r="WLS11" s="391"/>
      <c r="WLT11" s="391"/>
      <c r="WLU11" s="391"/>
      <c r="WLV11" s="391"/>
      <c r="WLW11" s="391"/>
      <c r="WLX11" s="391"/>
      <c r="WLY11" s="391"/>
      <c r="WLZ11" s="391"/>
      <c r="WMA11" s="391"/>
      <c r="WMB11" s="391"/>
      <c r="WMC11" s="391"/>
      <c r="WMD11" s="391"/>
      <c r="WME11" s="391"/>
      <c r="WMF11" s="391"/>
      <c r="WMG11" s="391"/>
      <c r="WMH11" s="391"/>
      <c r="WMI11" s="391"/>
      <c r="WMJ11" s="391"/>
      <c r="WMK11" s="391"/>
      <c r="WML11" s="391"/>
      <c r="WMM11" s="391"/>
      <c r="WMN11" s="391"/>
      <c r="WMO11" s="391"/>
      <c r="WMP11" s="391"/>
      <c r="WMQ11" s="391"/>
      <c r="WMR11" s="391"/>
      <c r="WMS11" s="391"/>
      <c r="WMT11" s="391"/>
      <c r="WMU11" s="391"/>
      <c r="WMV11" s="391"/>
      <c r="WMW11" s="391"/>
      <c r="WMX11" s="391"/>
      <c r="WMY11" s="391"/>
      <c r="WMZ11" s="391"/>
      <c r="WNA11" s="391"/>
      <c r="WNB11" s="391"/>
      <c r="WNC11" s="391"/>
      <c r="WND11" s="391"/>
      <c r="WNE11" s="391"/>
      <c r="WNF11" s="391"/>
      <c r="WNG11" s="391"/>
      <c r="WNH11" s="391"/>
      <c r="WNI11" s="391"/>
      <c r="WNJ11" s="391"/>
      <c r="WNK11" s="391"/>
      <c r="WNL11" s="391"/>
      <c r="WNM11" s="391"/>
      <c r="WNN11" s="391"/>
      <c r="WNO11" s="391"/>
      <c r="WNP11" s="391"/>
      <c r="WNQ11" s="391"/>
      <c r="WNR11" s="391"/>
      <c r="WNS11" s="391"/>
      <c r="WNT11" s="391"/>
      <c r="WNU11" s="391"/>
      <c r="WNV11" s="391"/>
      <c r="WNW11" s="391"/>
      <c r="WNX11" s="391"/>
      <c r="WNY11" s="391"/>
      <c r="WNZ11" s="391"/>
      <c r="WOA11" s="391"/>
      <c r="WOB11" s="391"/>
      <c r="WOC11" s="391"/>
      <c r="WOD11" s="391"/>
      <c r="WOE11" s="391"/>
      <c r="WOF11" s="391"/>
      <c r="WOG11" s="391"/>
      <c r="WOH11" s="391"/>
      <c r="WOI11" s="391"/>
      <c r="WOJ11" s="391"/>
      <c r="WOK11" s="391"/>
      <c r="WOL11" s="391"/>
      <c r="WOM11" s="391"/>
      <c r="WON11" s="391"/>
      <c r="WOO11" s="391"/>
      <c r="WOP11" s="391"/>
      <c r="WOQ11" s="391"/>
      <c r="WOR11" s="391"/>
      <c r="WOS11" s="391"/>
      <c r="WOT11" s="391"/>
      <c r="WOU11" s="391"/>
      <c r="WOV11" s="391"/>
      <c r="WOW11" s="391"/>
      <c r="WOX11" s="391"/>
      <c r="WOY11" s="391"/>
      <c r="WOZ11" s="391"/>
      <c r="WPA11" s="391"/>
      <c r="WPB11" s="391"/>
      <c r="WPC11" s="391"/>
      <c r="WPD11" s="391"/>
      <c r="WPE11" s="391"/>
      <c r="WPF11" s="391"/>
      <c r="WPG11" s="391"/>
      <c r="WPH11" s="391"/>
      <c r="WPI11" s="391"/>
      <c r="WPJ11" s="391"/>
      <c r="WPK11" s="391"/>
      <c r="WPL11" s="391"/>
      <c r="WPM11" s="391"/>
      <c r="WPN11" s="391"/>
      <c r="WPO11" s="391"/>
      <c r="WPP11" s="391"/>
      <c r="WPQ11" s="391"/>
      <c r="WPR11" s="391"/>
      <c r="WPS11" s="391"/>
      <c r="WPT11" s="391"/>
      <c r="WPU11" s="391"/>
      <c r="WPV11" s="391"/>
      <c r="WPW11" s="391"/>
      <c r="WPX11" s="391"/>
      <c r="WPY11" s="391"/>
      <c r="WPZ11" s="391"/>
      <c r="WQA11" s="391"/>
      <c r="WQB11" s="391"/>
      <c r="WQC11" s="391"/>
      <c r="WQD11" s="391"/>
      <c r="WQE11" s="391"/>
      <c r="WQF11" s="391"/>
      <c r="WQG11" s="391"/>
      <c r="WQH11" s="391"/>
      <c r="WQI11" s="391"/>
      <c r="WQJ11" s="391"/>
      <c r="WQK11" s="391"/>
      <c r="WQL11" s="391"/>
      <c r="WQM11" s="391"/>
      <c r="WQN11" s="391"/>
      <c r="WQO11" s="391"/>
      <c r="WQP11" s="391"/>
      <c r="WQQ11" s="391"/>
      <c r="WQR11" s="391"/>
      <c r="WQS11" s="391"/>
      <c r="WQT11" s="391"/>
      <c r="WQU11" s="391"/>
      <c r="WQV11" s="391"/>
      <c r="WQW11" s="391"/>
      <c r="WQX11" s="391"/>
      <c r="WQY11" s="391"/>
      <c r="WQZ11" s="391"/>
      <c r="WRA11" s="391"/>
      <c r="WRB11" s="391"/>
      <c r="WRC11" s="391"/>
      <c r="WRD11" s="391"/>
      <c r="WRE11" s="391"/>
      <c r="WRF11" s="391"/>
      <c r="WRG11" s="391"/>
      <c r="WRH11" s="391"/>
      <c r="WRI11" s="391"/>
      <c r="WRJ11" s="391"/>
      <c r="WRK11" s="391"/>
      <c r="WRL11" s="391"/>
      <c r="WRM11" s="391"/>
      <c r="WRN11" s="391"/>
      <c r="WRO11" s="391"/>
      <c r="WRP11" s="391"/>
      <c r="WRQ11" s="391"/>
      <c r="WRR11" s="391"/>
      <c r="WRS11" s="391"/>
      <c r="WRT11" s="391"/>
      <c r="WRU11" s="391"/>
      <c r="WRV11" s="391"/>
      <c r="WRW11" s="391"/>
      <c r="WRX11" s="391"/>
      <c r="WRY11" s="391"/>
      <c r="WRZ11" s="391"/>
      <c r="WSA11" s="391"/>
      <c r="WSB11" s="391"/>
      <c r="WSC11" s="391"/>
      <c r="WSD11" s="391"/>
      <c r="WSE11" s="391"/>
      <c r="WSF11" s="391"/>
      <c r="WSG11" s="391"/>
      <c r="WSH11" s="391"/>
      <c r="WSI11" s="391"/>
      <c r="WSJ11" s="391"/>
      <c r="WSK11" s="391"/>
      <c r="WSL11" s="391"/>
      <c r="WSM11" s="391"/>
      <c r="WSN11" s="391"/>
      <c r="WSO11" s="391"/>
      <c r="WSP11" s="391"/>
      <c r="WSQ11" s="391"/>
      <c r="WSR11" s="391"/>
      <c r="WSS11" s="391"/>
      <c r="WST11" s="391"/>
      <c r="WSU11" s="391"/>
      <c r="WSV11" s="391"/>
      <c r="WSW11" s="391"/>
      <c r="WSX11" s="391"/>
      <c r="WSY11" s="391"/>
      <c r="WSZ11" s="391"/>
      <c r="WTA11" s="391"/>
      <c r="WTB11" s="391"/>
      <c r="WTC11" s="391"/>
      <c r="WTD11" s="391"/>
      <c r="WTE11" s="391"/>
      <c r="WTF11" s="391"/>
      <c r="WTG11" s="391"/>
      <c r="WTH11" s="391"/>
      <c r="WTI11" s="391"/>
      <c r="WTJ11" s="391"/>
      <c r="WTK11" s="391"/>
      <c r="WTL11" s="391"/>
      <c r="WTM11" s="391"/>
      <c r="WTN11" s="391"/>
      <c r="WTO11" s="391"/>
      <c r="WTP11" s="391"/>
      <c r="WTQ11" s="391"/>
      <c r="WTR11" s="391"/>
      <c r="WTS11" s="391"/>
      <c r="WTT11" s="391"/>
      <c r="WTU11" s="391"/>
      <c r="WTV11" s="391"/>
      <c r="WTW11" s="391"/>
      <c r="WTX11" s="391"/>
      <c r="WTY11" s="391"/>
      <c r="WTZ11" s="391"/>
      <c r="WUA11" s="391"/>
      <c r="WUB11" s="391"/>
      <c r="WUC11" s="391"/>
      <c r="WUD11" s="391"/>
      <c r="WUE11" s="391"/>
      <c r="WUF11" s="391"/>
      <c r="WUG11" s="391"/>
      <c r="WUH11" s="391"/>
      <c r="WUI11" s="391"/>
      <c r="WUJ11" s="391"/>
      <c r="WUK11" s="391"/>
      <c r="WUL11" s="391"/>
      <c r="WUM11" s="391"/>
      <c r="WUN11" s="391"/>
      <c r="WUO11" s="391"/>
      <c r="WUP11" s="391"/>
      <c r="WUQ11" s="391"/>
      <c r="WUR11" s="391"/>
      <c r="WUS11" s="391"/>
      <c r="WUT11" s="391"/>
      <c r="WUU11" s="391"/>
      <c r="WUV11" s="391"/>
      <c r="WUW11" s="391"/>
      <c r="WUX11" s="391"/>
      <c r="WUY11" s="391"/>
      <c r="WUZ11" s="391"/>
      <c r="WVA11" s="391"/>
      <c r="WVB11" s="391"/>
      <c r="WVC11" s="391"/>
      <c r="WVD11" s="391"/>
      <c r="WVE11" s="391"/>
      <c r="WVF11" s="391"/>
      <c r="WVG11" s="391"/>
      <c r="WVH11" s="391"/>
      <c r="WVI11" s="391"/>
      <c r="WVJ11" s="391"/>
      <c r="WVK11" s="391"/>
      <c r="WVL11" s="391"/>
      <c r="WVM11" s="391"/>
      <c r="WVN11" s="391"/>
      <c r="WVO11" s="391"/>
      <c r="WVP11" s="391"/>
      <c r="WVQ11" s="391"/>
      <c r="WVR11" s="391"/>
      <c r="WVS11" s="391"/>
      <c r="WVT11" s="391"/>
      <c r="WVU11" s="391"/>
      <c r="WVV11" s="391"/>
      <c r="WVW11" s="391"/>
      <c r="WVX11" s="391"/>
      <c r="WVY11" s="391"/>
      <c r="WVZ11" s="391"/>
      <c r="WWA11" s="391"/>
      <c r="WWB11" s="391"/>
      <c r="WWC11" s="391"/>
      <c r="WWD11" s="391"/>
      <c r="WWE11" s="391"/>
      <c r="WWF11" s="391"/>
      <c r="WWG11" s="391"/>
      <c r="WWH11" s="391"/>
      <c r="WWI11" s="391"/>
      <c r="WWJ11" s="391"/>
      <c r="WWK11" s="391"/>
      <c r="WWL11" s="391"/>
      <c r="WWM11" s="391"/>
      <c r="WWN11" s="391"/>
      <c r="WWO11" s="391"/>
      <c r="WWP11" s="391"/>
      <c r="WWQ11" s="391"/>
      <c r="WWR11" s="391"/>
      <c r="WWS11" s="391"/>
      <c r="WWT11" s="391"/>
      <c r="WWU11" s="391"/>
      <c r="WWV11" s="391"/>
      <c r="WWW11" s="391"/>
      <c r="WWX11" s="391"/>
      <c r="WWY11" s="391"/>
      <c r="WWZ11" s="391"/>
      <c r="WXA11" s="391"/>
      <c r="WXB11" s="391"/>
      <c r="WXC11" s="391"/>
      <c r="WXD11" s="391"/>
      <c r="WXE11" s="391"/>
      <c r="WXF11" s="391"/>
      <c r="WXG11" s="391"/>
      <c r="WXH11" s="391"/>
      <c r="WXI11" s="391"/>
      <c r="WXJ11" s="391"/>
      <c r="WXK11" s="391"/>
      <c r="WXL11" s="391"/>
      <c r="WXM11" s="391"/>
      <c r="WXN11" s="391"/>
      <c r="WXO11" s="391"/>
      <c r="WXP11" s="391"/>
      <c r="WXQ11" s="391"/>
      <c r="WXR11" s="391"/>
      <c r="WXS11" s="391"/>
      <c r="WXT11" s="391"/>
      <c r="WXU11" s="391"/>
      <c r="WXV11" s="391"/>
      <c r="WXW11" s="391"/>
      <c r="WXX11" s="391"/>
      <c r="WXY11" s="391"/>
      <c r="WXZ11" s="391"/>
      <c r="WYA11" s="391"/>
      <c r="WYB11" s="391"/>
      <c r="WYC11" s="391"/>
      <c r="WYD11" s="391"/>
      <c r="WYE11" s="391"/>
      <c r="WYF11" s="391"/>
      <c r="WYG11" s="391"/>
      <c r="WYH11" s="391"/>
      <c r="WYI11" s="391"/>
      <c r="WYJ11" s="391"/>
      <c r="WYK11" s="391"/>
      <c r="WYL11" s="391"/>
      <c r="WYM11" s="391"/>
      <c r="WYN11" s="391"/>
      <c r="WYO11" s="391"/>
      <c r="WYP11" s="391"/>
      <c r="WYQ11" s="391"/>
      <c r="WYR11" s="391"/>
      <c r="WYS11" s="391"/>
      <c r="WYT11" s="391"/>
      <c r="WYU11" s="391"/>
      <c r="WYV11" s="391"/>
      <c r="WYW11" s="391"/>
      <c r="WYX11" s="391"/>
      <c r="WYY11" s="391"/>
      <c r="WYZ11" s="391"/>
      <c r="WZA11" s="391"/>
      <c r="WZB11" s="391"/>
      <c r="WZC11" s="391"/>
      <c r="WZD11" s="391"/>
      <c r="WZE11" s="391"/>
      <c r="WZF11" s="391"/>
      <c r="WZG11" s="391"/>
      <c r="WZH11" s="391"/>
      <c r="WZI11" s="391"/>
      <c r="WZJ11" s="391"/>
      <c r="WZK11" s="391"/>
      <c r="WZL11" s="391"/>
      <c r="WZM11" s="391"/>
      <c r="WZN11" s="391"/>
      <c r="WZO11" s="391"/>
      <c r="WZP11" s="391"/>
      <c r="WZQ11" s="391"/>
      <c r="WZR11" s="391"/>
      <c r="WZS11" s="391"/>
      <c r="WZT11" s="391"/>
      <c r="WZU11" s="391"/>
      <c r="WZV11" s="391"/>
      <c r="WZW11" s="391"/>
      <c r="WZX11" s="391"/>
      <c r="WZY11" s="391"/>
      <c r="WZZ11" s="391"/>
      <c r="XAA11" s="391"/>
      <c r="XAB11" s="391"/>
      <c r="XAC11" s="391"/>
      <c r="XAD11" s="391"/>
      <c r="XAE11" s="391"/>
      <c r="XAF11" s="391"/>
      <c r="XAG11" s="391"/>
      <c r="XAH11" s="391"/>
      <c r="XAI11" s="391"/>
      <c r="XAJ11" s="391"/>
      <c r="XAK11" s="391"/>
      <c r="XAL11" s="391"/>
      <c r="XAM11" s="391"/>
      <c r="XAN11" s="391"/>
      <c r="XAO11" s="391"/>
      <c r="XAP11" s="391"/>
      <c r="XAQ11" s="391"/>
      <c r="XAR11" s="391"/>
      <c r="XAS11" s="391"/>
      <c r="XAT11" s="391"/>
      <c r="XAU11" s="391"/>
      <c r="XAV11" s="391"/>
      <c r="XAW11" s="391"/>
      <c r="XAX11" s="391"/>
      <c r="XAY11" s="391"/>
      <c r="XAZ11" s="391"/>
      <c r="XBA11" s="391"/>
      <c r="XBB11" s="391"/>
      <c r="XBC11" s="391"/>
      <c r="XBD11" s="391"/>
      <c r="XBE11" s="391"/>
      <c r="XBF11" s="391"/>
      <c r="XBG11" s="391"/>
      <c r="XBH11" s="391"/>
      <c r="XBI11" s="391"/>
      <c r="XBJ11" s="391"/>
      <c r="XBK11" s="391"/>
      <c r="XBL11" s="391"/>
      <c r="XBM11" s="391"/>
      <c r="XBN11" s="391"/>
      <c r="XBO11" s="391"/>
      <c r="XBP11" s="391"/>
      <c r="XBQ11" s="391"/>
      <c r="XBR11" s="391"/>
      <c r="XBS11" s="391"/>
      <c r="XBT11" s="391"/>
      <c r="XBU11" s="391"/>
      <c r="XBV11" s="391"/>
      <c r="XBW11" s="391"/>
      <c r="XBX11" s="391"/>
      <c r="XBY11" s="391"/>
      <c r="XBZ11" s="391"/>
      <c r="XCA11" s="391"/>
      <c r="XCB11" s="391"/>
      <c r="XCC11" s="391"/>
      <c r="XCD11" s="391"/>
      <c r="XCE11" s="391"/>
      <c r="XCF11" s="391"/>
      <c r="XCG11" s="391"/>
      <c r="XCH11" s="391"/>
      <c r="XCI11" s="391"/>
      <c r="XCJ11" s="391"/>
      <c r="XCK11" s="391"/>
      <c r="XCL11" s="391"/>
      <c r="XCM11" s="391"/>
      <c r="XCN11" s="391"/>
      <c r="XCO11" s="391"/>
      <c r="XCP11" s="391"/>
      <c r="XCQ11" s="391"/>
      <c r="XCR11" s="391"/>
      <c r="XCS11" s="391"/>
      <c r="XCT11" s="391"/>
      <c r="XCU11" s="391"/>
      <c r="XCV11" s="391"/>
      <c r="XCW11" s="391"/>
      <c r="XCX11" s="391"/>
      <c r="XCY11" s="391"/>
      <c r="XCZ11" s="391"/>
      <c r="XDA11" s="391"/>
      <c r="XDB11" s="391"/>
      <c r="XDC11" s="391"/>
      <c r="XDD11" s="391"/>
      <c r="XDE11" s="391"/>
      <c r="XDF11" s="391"/>
      <c r="XDG11" s="391"/>
      <c r="XDH11" s="391"/>
      <c r="XDI11" s="391"/>
      <c r="XDJ11" s="391"/>
      <c r="XDK11" s="391"/>
      <c r="XDL11" s="391"/>
      <c r="XDM11" s="391"/>
      <c r="XDN11" s="391"/>
      <c r="XDO11" s="391"/>
      <c r="XDP11" s="391"/>
      <c r="XDQ11" s="391"/>
      <c r="XDR11" s="391"/>
      <c r="XDS11" s="391"/>
      <c r="XDT11" s="391"/>
      <c r="XDU11" s="391"/>
      <c r="XDV11" s="391"/>
      <c r="XDW11" s="391"/>
      <c r="XDX11" s="391"/>
      <c r="XDY11" s="391"/>
      <c r="XDZ11" s="391"/>
      <c r="XEA11" s="391"/>
      <c r="XEB11" s="391"/>
      <c r="XEC11" s="391"/>
      <c r="XED11" s="391"/>
      <c r="XEE11" s="391"/>
      <c r="XEF11" s="391"/>
      <c r="XEG11" s="391"/>
      <c r="XEH11" s="391"/>
      <c r="XEI11" s="391"/>
      <c r="XEJ11" s="391"/>
      <c r="XEK11" s="391"/>
      <c r="XEL11" s="391"/>
      <c r="XEM11" s="391"/>
      <c r="XEN11" s="391"/>
      <c r="XEO11" s="391"/>
      <c r="XEP11" s="391"/>
      <c r="XEQ11" s="391"/>
      <c r="XER11" s="391"/>
      <c r="XES11" s="391"/>
      <c r="XET11" s="391"/>
      <c r="XEU11" s="391"/>
      <c r="XEV11" s="391"/>
      <c r="XEW11" s="391"/>
      <c r="XEX11" s="391"/>
      <c r="XEY11" s="391"/>
      <c r="XEZ11" s="391"/>
      <c r="XFA11" s="391"/>
    </row>
    <row r="12" spans="1:16381" s="585" customFormat="1" ht="25.5">
      <c r="A12" s="585" t="str">
        <f t="shared" si="0"/>
        <v>Allianz Klinik-Rente v. 01.12.2012</v>
      </c>
      <c r="B12" s="585">
        <f>ROW()</f>
        <v>12</v>
      </c>
      <c r="C12" s="610" t="s">
        <v>1136</v>
      </c>
      <c r="D12" s="1117">
        <v>41244</v>
      </c>
      <c r="E12" s="611" t="s">
        <v>762</v>
      </c>
      <c r="F12" s="612" t="str">
        <f t="shared" si="1"/>
        <v/>
      </c>
      <c r="G12" s="609" t="str">
        <f t="shared" si="2"/>
        <v xml:space="preserve">TO ermöglicht: doppelten Kostenabzug; </v>
      </c>
      <c r="I12" s="609"/>
      <c r="J12" s="754">
        <v>1</v>
      </c>
      <c r="K12" s="1115"/>
      <c r="L12" s="1115">
        <v>2</v>
      </c>
      <c r="M12" s="1115"/>
      <c r="N12" s="1115"/>
      <c r="O12" s="755" t="s">
        <v>803</v>
      </c>
      <c r="P12" s="139">
        <f t="shared" si="3"/>
        <v>2</v>
      </c>
      <c r="S12" s="585">
        <f>IFERROR(SEARCH(MID(+Fallerfassung!D31,1,5),S$6),1)</f>
        <v>1</v>
      </c>
    </row>
    <row r="13" spans="1:16381" s="585" customFormat="1" ht="25.5">
      <c r="A13" s="585" t="str">
        <f t="shared" si="0"/>
        <v>Allianz Lebensversicherung AG (Klinik-Rente) v. 01.12.2012</v>
      </c>
      <c r="B13" s="585">
        <f>ROW()</f>
        <v>13</v>
      </c>
      <c r="C13" s="610" t="s">
        <v>755</v>
      </c>
      <c r="D13" s="1117">
        <v>41244</v>
      </c>
      <c r="E13" s="611" t="s">
        <v>672</v>
      </c>
      <c r="F13" s="612" t="str">
        <f t="shared" si="1"/>
        <v>Ja</v>
      </c>
      <c r="G13" s="609" t="str">
        <f t="shared" si="2"/>
        <v xml:space="preserve">TO ermöglicht: Tarifwechel; doppelten Kostenabzug; </v>
      </c>
      <c r="I13" s="609"/>
      <c r="J13" s="754"/>
      <c r="K13" s="1115">
        <v>1</v>
      </c>
      <c r="L13" s="1115">
        <v>2</v>
      </c>
      <c r="M13" s="1115"/>
      <c r="N13" s="1115"/>
      <c r="O13" s="757" t="s">
        <v>673</v>
      </c>
      <c r="P13" s="139">
        <f t="shared" si="3"/>
        <v>3</v>
      </c>
      <c r="S13" s="585">
        <f>IFERROR(SEARCH(MID(+Fallerfassung!D32,1,5),S$6),1)</f>
        <v>1</v>
      </c>
    </row>
    <row r="14" spans="1:16381" s="585" customFormat="1" ht="45">
      <c r="A14" s="585" t="str">
        <f t="shared" si="0"/>
        <v>Allianz Lebensversicherung AG v. 01.12.2012</v>
      </c>
      <c r="B14" s="585">
        <f>ROW()</f>
        <v>14</v>
      </c>
      <c r="C14" s="610" t="s">
        <v>671</v>
      </c>
      <c r="D14" s="1117">
        <v>41244</v>
      </c>
      <c r="E14" s="611" t="s">
        <v>752</v>
      </c>
      <c r="F14" s="612" t="str">
        <f t="shared" si="1"/>
        <v>Ja</v>
      </c>
      <c r="G14" s="609" t="str">
        <f t="shared" si="2"/>
        <v>TO ermöglicht: Tarifwechel; doppelten Kostenabzug;  Abweichungen vom gerichtl. festgelegten Ausgleichswert;  Wertteilhabe (z.B. Verzinsung) zwischen EzE und RK geltend machen</v>
      </c>
      <c r="I14" s="609"/>
      <c r="J14" s="755" t="s">
        <v>753</v>
      </c>
      <c r="K14" s="1115">
        <v>1</v>
      </c>
      <c r="L14" s="1115">
        <v>2</v>
      </c>
      <c r="M14" s="1115">
        <v>3</v>
      </c>
      <c r="N14" s="1115">
        <v>4</v>
      </c>
      <c r="O14" s="757"/>
      <c r="P14" s="139">
        <f t="shared" si="3"/>
        <v>10</v>
      </c>
      <c r="S14" s="585">
        <f>IFERROR(SEARCH(MID(+Fallerfassung!D33,1,5),S$6),1)</f>
        <v>1</v>
      </c>
    </row>
    <row r="15" spans="1:16381" s="585" customFormat="1" ht="33.75">
      <c r="A15" s="585" t="str">
        <f t="shared" si="0"/>
        <v>Allianz Lebensversicherung AG v. 01.12.2018</v>
      </c>
      <c r="B15" s="585">
        <f>ROW()</f>
        <v>15</v>
      </c>
      <c r="C15" s="610" t="s">
        <v>671</v>
      </c>
      <c r="D15" s="1117">
        <v>43435</v>
      </c>
      <c r="E15" s="611" t="s">
        <v>1677</v>
      </c>
      <c r="F15" s="612" t="s">
        <v>463</v>
      </c>
      <c r="G15" s="609" t="str">
        <f t="shared" si="2"/>
        <v>TO ermöglicht: Tarifwechel; doppelten Kostenabzug;  Wertteilhabe (z.B. Verzinsung) zwischen EzE und RK geltend machen</v>
      </c>
      <c r="I15" s="609"/>
      <c r="J15" s="755"/>
      <c r="K15" s="1115">
        <v>1</v>
      </c>
      <c r="L15" s="1115">
        <v>2</v>
      </c>
      <c r="M15" s="1115"/>
      <c r="N15" s="1115">
        <v>4</v>
      </c>
      <c r="O15" s="757"/>
      <c r="P15" s="139"/>
    </row>
    <row r="16" spans="1:16381" s="585" customFormat="1" ht="45">
      <c r="A16" s="585" t="str">
        <f t="shared" si="0"/>
        <v>Allianz Lebensversicherung AG v. 01.12.2020</v>
      </c>
      <c r="B16" s="585">
        <f>ROW()</f>
        <v>16</v>
      </c>
      <c r="C16" s="610" t="s">
        <v>671</v>
      </c>
      <c r="D16" s="1117">
        <v>44166</v>
      </c>
      <c r="E16" s="629" t="s">
        <v>808</v>
      </c>
      <c r="F16" s="612" t="str">
        <f t="shared" si="1"/>
        <v/>
      </c>
      <c r="G16" s="609" t="str">
        <f t="shared" si="2"/>
        <v>TO ermöglicht: doppelten Kostenabzug;  Abweichungen vom gerichtl. festgelegten Ausgleichswert;  Wertteilhabe (z.B. Verzinsung) zwischen EzE und RK geltend machen</v>
      </c>
      <c r="I16" s="609"/>
      <c r="J16" s="750"/>
      <c r="K16" s="1115"/>
      <c r="L16" s="1115">
        <v>2</v>
      </c>
      <c r="M16" s="1115">
        <v>3</v>
      </c>
      <c r="N16" s="1115">
        <v>4</v>
      </c>
      <c r="O16" s="751"/>
      <c r="P16" s="139">
        <f t="shared" si="3"/>
        <v>9</v>
      </c>
      <c r="S16" s="585">
        <f>IFERROR(SEARCH(MID(+Fallerfassung!D34,1,5),S$6),1)</f>
        <v>1</v>
      </c>
    </row>
    <row r="17" spans="1:19" s="585" customFormat="1">
      <c r="A17" s="585" t="str">
        <f t="shared" si="0"/>
        <v>Allianz Lebensversicherung AG v. 21.07.2021</v>
      </c>
      <c r="B17" s="585">
        <f>ROW()</f>
        <v>17</v>
      </c>
      <c r="C17" s="610" t="s">
        <v>671</v>
      </c>
      <c r="D17" s="1117">
        <v>44398</v>
      </c>
      <c r="E17" s="611"/>
      <c r="F17" s="612" t="str">
        <f t="shared" si="1"/>
        <v/>
      </c>
      <c r="G17" s="609" t="str">
        <f t="shared" si="2"/>
        <v xml:space="preserve">TO ermöglicht: doppelten Kostenabzug; </v>
      </c>
      <c r="I17" s="609"/>
      <c r="J17" s="754"/>
      <c r="K17" s="1115"/>
      <c r="L17" s="1115">
        <v>2</v>
      </c>
      <c r="M17" s="1115"/>
      <c r="N17" s="1115"/>
      <c r="O17" s="757"/>
      <c r="P17" s="139">
        <f t="shared" si="3"/>
        <v>2</v>
      </c>
      <c r="S17" s="585">
        <f>IFERROR(SEARCH(MID(+Fallerfassung!D35,1,5),S$6),1)</f>
        <v>1</v>
      </c>
    </row>
    <row r="18" spans="1:19" s="585" customFormat="1" ht="45">
      <c r="A18" s="585" t="str">
        <f t="shared" si="0"/>
        <v>Allianz Lebensversicherungs AG v. 01.09.2009</v>
      </c>
      <c r="B18" s="585">
        <f>ROW()</f>
        <v>18</v>
      </c>
      <c r="C18" s="610" t="s">
        <v>1341</v>
      </c>
      <c r="D18" s="1117">
        <v>40057</v>
      </c>
      <c r="E18" s="611" t="s">
        <v>195</v>
      </c>
      <c r="F18" s="612" t="str">
        <f t="shared" si="1"/>
        <v>Ja</v>
      </c>
      <c r="G18" s="609" t="str">
        <f t="shared" si="2"/>
        <v>TO ermöglicht: Tarifwechel; doppelten Kostenabzug;  Abweichungen vom gerichtl. festgelegten Ausgleichswert;  Wertteilhabe (z.B. Verzinsung) zwischen EzE und RK geltend machen</v>
      </c>
      <c r="I18" s="609" t="s">
        <v>1342</v>
      </c>
      <c r="J18" s="750"/>
      <c r="K18" s="1115">
        <v>1</v>
      </c>
      <c r="L18" s="1115">
        <v>2</v>
      </c>
      <c r="M18" s="1115">
        <v>3</v>
      </c>
      <c r="N18" s="1115">
        <v>4</v>
      </c>
      <c r="O18" s="751"/>
      <c r="P18" s="139">
        <f t="shared" si="3"/>
        <v>10</v>
      </c>
      <c r="Q18" s="391"/>
      <c r="R18" s="391"/>
      <c r="S18" s="585">
        <f>IFERROR(SEARCH(MID(+Fallerfassung!D36,1,5),S$6),1)</f>
        <v>1</v>
      </c>
    </row>
    <row r="19" spans="1:19" s="585" customFormat="1" ht="33.75">
      <c r="A19" s="585" t="str">
        <f t="shared" si="0"/>
        <v>Allianz Lebensversicherungs-AG v. 01.07.2010</v>
      </c>
      <c r="B19" s="585">
        <f>ROW()</f>
        <v>19</v>
      </c>
      <c r="C19" s="610" t="s">
        <v>1345</v>
      </c>
      <c r="D19" s="1117">
        <v>40360</v>
      </c>
      <c r="E19" s="611">
        <v>5</v>
      </c>
      <c r="F19" s="612" t="str">
        <f t="shared" si="1"/>
        <v>Ja</v>
      </c>
      <c r="G19" s="609" t="str">
        <f t="shared" si="2"/>
        <v xml:space="preserve">TO ermöglicht: Tarifwechel; doppelten Kostenabzug;  Abweichungen vom gerichtl. festgelegten Ausgleichswert; </v>
      </c>
      <c r="I19" s="609"/>
      <c r="J19" s="750"/>
      <c r="K19" s="1115">
        <v>1</v>
      </c>
      <c r="L19" s="1115">
        <v>2</v>
      </c>
      <c r="M19" s="1115">
        <v>3</v>
      </c>
      <c r="N19" s="1115"/>
      <c r="O19" s="751"/>
      <c r="P19" s="139"/>
      <c r="S19" s="585">
        <f>IFERROR(SEARCH(MID(+Fallerfassung!D37,1,5),S$6),1)</f>
        <v>1</v>
      </c>
    </row>
    <row r="20" spans="1:19" s="585" customFormat="1" ht="45">
      <c r="A20" s="585" t="str">
        <f t="shared" si="0"/>
        <v>Allianz LV v. 01.02.2010</v>
      </c>
      <c r="B20" s="585">
        <f>ROW()</f>
        <v>20</v>
      </c>
      <c r="C20" s="610" t="s">
        <v>1188</v>
      </c>
      <c r="D20" s="1117">
        <v>40210</v>
      </c>
      <c r="E20" s="611">
        <v>5</v>
      </c>
      <c r="F20" s="612" t="str">
        <f t="shared" si="1"/>
        <v>Ja</v>
      </c>
      <c r="G20" s="609" t="str">
        <f t="shared" si="2"/>
        <v>TO ermöglicht: Tarifwechel; doppelten Kostenabzug;  Abweichungen vom gerichtl. festgelegten Ausgleichswert;  Wertteilhabe (z.B. Verzinsung) zwischen EzE und RK geltend machen</v>
      </c>
      <c r="I20" s="609" t="s">
        <v>1346</v>
      </c>
      <c r="J20" s="750"/>
      <c r="K20" s="1115">
        <v>1</v>
      </c>
      <c r="L20" s="1115">
        <v>2</v>
      </c>
      <c r="M20" s="1115">
        <v>3</v>
      </c>
      <c r="N20" s="1115">
        <v>4</v>
      </c>
      <c r="O20" s="751"/>
      <c r="P20" s="139">
        <f t="shared" ref="P20:P27" si="4">SUM(K20:N20)</f>
        <v>10</v>
      </c>
      <c r="S20" s="585">
        <f>IFERROR(SEARCH(MID(+Fallerfassung!D38,1,5),S$6),1)</f>
        <v>1</v>
      </c>
    </row>
    <row r="21" spans="1:19" s="585" customFormat="1" ht="56.25">
      <c r="A21" s="585" t="str">
        <f t="shared" si="0"/>
        <v>Allianz-Pensions-Management e.V. v. 21.12.2009</v>
      </c>
      <c r="B21" s="585">
        <f>ROW()</f>
        <v>21</v>
      </c>
      <c r="C21" s="610" t="s">
        <v>1343</v>
      </c>
      <c r="D21" s="1117">
        <v>40168</v>
      </c>
      <c r="E21" s="611" t="s">
        <v>1198</v>
      </c>
      <c r="F21" s="612" t="str">
        <f t="shared" si="1"/>
        <v/>
      </c>
      <c r="G21" s="609" t="str">
        <f t="shared" si="2"/>
        <v>TO ermöglicht: doppelten Kostenabzug;  Abweichungen vom gerichtl. festgelegten Ausgleichswert;  Wertteilhabe (z.B. Verzinsung) zwischen EzE und RK geltend machen</v>
      </c>
      <c r="I21" s="609" t="s">
        <v>1344</v>
      </c>
      <c r="J21" s="750"/>
      <c r="K21" s="1115"/>
      <c r="L21" s="1115">
        <v>2</v>
      </c>
      <c r="M21" s="1115">
        <v>3</v>
      </c>
      <c r="N21" s="1115">
        <v>4</v>
      </c>
      <c r="O21" s="751"/>
      <c r="P21" s="139">
        <f t="shared" si="4"/>
        <v>9</v>
      </c>
      <c r="Q21" s="391"/>
      <c r="R21" s="391"/>
      <c r="S21" s="391"/>
    </row>
    <row r="22" spans="1:19" s="585" customFormat="1" ht="56.25">
      <c r="A22" s="585" t="str">
        <f t="shared" si="0"/>
        <v>Allianz Pensionskasse v. 01.12.2020</v>
      </c>
      <c r="B22" s="585">
        <f>ROW()</f>
        <v>22</v>
      </c>
      <c r="C22" s="610" t="s">
        <v>1511</v>
      </c>
      <c r="D22" s="1117">
        <v>44166</v>
      </c>
      <c r="E22" s="611" t="s">
        <v>1512</v>
      </c>
      <c r="F22" s="612"/>
      <c r="G22" s="609" t="str">
        <f t="shared" si="2"/>
        <v>TO ermöglicht:  Abweichungen vom gerichtl. festgelegten Ausgleichswert;  Wertteilhabe (z.B. Verzinsung) zwischen EzE und RK geltend machen</v>
      </c>
      <c r="I22" s="609" t="s">
        <v>1513</v>
      </c>
      <c r="J22" s="750"/>
      <c r="K22" s="1115"/>
      <c r="L22" s="1115"/>
      <c r="M22" s="1115">
        <v>3</v>
      </c>
      <c r="N22" s="1115">
        <v>4</v>
      </c>
      <c r="O22" s="751"/>
      <c r="P22" s="139"/>
      <c r="Q22" s="391"/>
      <c r="R22" s="391"/>
      <c r="S22" s="391"/>
    </row>
    <row r="23" spans="1:19" s="585" customFormat="1" ht="33.75">
      <c r="A23" s="585" t="str">
        <f t="shared" si="0"/>
        <v>Alte Leipziger Lebensversicherung auf Gegenseitigkeit v. 01.04.2010</v>
      </c>
      <c r="B23" s="585">
        <f>ROW()</f>
        <v>23</v>
      </c>
      <c r="C23" s="610" t="s">
        <v>946</v>
      </c>
      <c r="D23" s="1117">
        <v>40269</v>
      </c>
      <c r="E23" s="611" t="s">
        <v>947</v>
      </c>
      <c r="F23" s="612" t="str">
        <f t="shared" si="1"/>
        <v>Ja</v>
      </c>
      <c r="G23" s="609" t="str">
        <f t="shared" si="2"/>
        <v>TO ermöglicht: Tarifwechel; doppelten Kostenabzug;  Wertteilhabe (z.B. Verzinsung) zwischen EzE und RK geltend machen</v>
      </c>
      <c r="I23" s="609"/>
      <c r="J23" s="750"/>
      <c r="K23" s="1115">
        <v>1</v>
      </c>
      <c r="L23" s="1115">
        <v>2</v>
      </c>
      <c r="M23" s="1115"/>
      <c r="N23" s="1115">
        <v>4</v>
      </c>
      <c r="O23" s="751"/>
      <c r="P23" s="139">
        <f t="shared" si="4"/>
        <v>7</v>
      </c>
    </row>
    <row r="24" spans="1:19" s="585" customFormat="1">
      <c r="A24" s="585" t="str">
        <f t="shared" si="0"/>
        <v>Alz Chemie v. 05.11.2011</v>
      </c>
      <c r="B24" s="585">
        <f>ROW()</f>
        <v>24</v>
      </c>
      <c r="C24" s="610" t="s">
        <v>1001</v>
      </c>
      <c r="D24" s="1117">
        <v>40852</v>
      </c>
      <c r="E24" s="611" t="s">
        <v>477</v>
      </c>
      <c r="F24" s="612" t="str">
        <f t="shared" si="1"/>
        <v/>
      </c>
      <c r="G24" s="609" t="str">
        <f t="shared" si="2"/>
        <v/>
      </c>
      <c r="I24" s="609"/>
      <c r="J24" s="750"/>
      <c r="K24" s="1115"/>
      <c r="L24" s="1115"/>
      <c r="M24" s="1115"/>
      <c r="N24" s="1115"/>
      <c r="O24" s="751"/>
      <c r="P24" s="139">
        <f t="shared" si="4"/>
        <v>0</v>
      </c>
    </row>
    <row r="25" spans="1:19" s="585" customFormat="1" ht="25.5">
      <c r="A25" s="585" t="str">
        <f t="shared" si="0"/>
        <v>Ärzteversorgung Hessen (LÄK) v. Datum unbekannt</v>
      </c>
      <c r="B25" s="585">
        <f>ROW()</f>
        <v>25</v>
      </c>
      <c r="C25" s="610" t="s">
        <v>1056</v>
      </c>
      <c r="D25" s="1117" t="s">
        <v>1057</v>
      </c>
      <c r="E25" s="611"/>
      <c r="F25" s="612" t="str">
        <f t="shared" si="1"/>
        <v/>
      </c>
      <c r="G25" s="609" t="str">
        <f t="shared" si="2"/>
        <v/>
      </c>
      <c r="I25" s="609"/>
      <c r="J25" s="750"/>
      <c r="K25" s="1115"/>
      <c r="L25" s="1115"/>
      <c r="M25" s="1115"/>
      <c r="N25" s="1115"/>
      <c r="O25" s="751"/>
      <c r="P25" s="139">
        <f t="shared" si="4"/>
        <v>0</v>
      </c>
    </row>
    <row r="26" spans="1:19" s="585" customFormat="1" ht="33.75">
      <c r="A26" s="585" t="str">
        <f t="shared" si="0"/>
        <v>Athora AG Pensionskasse &amp; Lebensversicherung v. 11.09.2019</v>
      </c>
      <c r="B26" s="585">
        <f>ROW()</f>
        <v>26</v>
      </c>
      <c r="C26" s="610" t="s">
        <v>1183</v>
      </c>
      <c r="D26" s="1117">
        <v>43719</v>
      </c>
      <c r="E26" s="611" t="s">
        <v>953</v>
      </c>
      <c r="F26" s="612" t="str">
        <f t="shared" si="1"/>
        <v/>
      </c>
      <c r="G26" s="609" t="str">
        <f t="shared" si="2"/>
        <v>TO ermöglicht: doppelten Kostenabzug;  Wertteilhabe (z.B. Verzinsung) zwischen EzE und RK geltend machen</v>
      </c>
      <c r="I26" s="609"/>
      <c r="J26" s="750"/>
      <c r="K26" s="1115"/>
      <c r="L26" s="1115">
        <v>2</v>
      </c>
      <c r="M26" s="1115"/>
      <c r="N26" s="1115">
        <v>4</v>
      </c>
      <c r="O26" s="751"/>
      <c r="P26" s="139">
        <f t="shared" si="4"/>
        <v>6</v>
      </c>
    </row>
    <row r="27" spans="1:19" s="138" customFormat="1">
      <c r="A27" s="585" t="str">
        <f t="shared" si="0"/>
        <v>Athora Lebensversicherung AG v. 11.09.2019</v>
      </c>
      <c r="B27" s="585">
        <f>ROW()</f>
        <v>27</v>
      </c>
      <c r="C27" s="610" t="s">
        <v>952</v>
      </c>
      <c r="D27" s="1117">
        <v>43719</v>
      </c>
      <c r="E27" s="611" t="s">
        <v>953</v>
      </c>
      <c r="F27" s="612" t="str">
        <f t="shared" si="1"/>
        <v>Ja</v>
      </c>
      <c r="G27" s="609" t="str">
        <f t="shared" si="2"/>
        <v xml:space="preserve">TO ermöglicht: Tarifwechel; </v>
      </c>
      <c r="I27" s="609"/>
      <c r="J27" s="750"/>
      <c r="K27" s="1115">
        <v>1</v>
      </c>
      <c r="L27" s="1115"/>
      <c r="M27" s="1115"/>
      <c r="N27" s="1115"/>
      <c r="O27" s="751"/>
      <c r="P27" s="139">
        <f t="shared" si="4"/>
        <v>1</v>
      </c>
      <c r="Q27" s="585"/>
      <c r="R27" s="585"/>
      <c r="S27" s="585"/>
    </row>
    <row r="28" spans="1:19" s="138" customFormat="1" ht="45">
      <c r="A28" s="585" t="str">
        <f t="shared" si="0"/>
        <v>AXA Leben v. 01.06.2020</v>
      </c>
      <c r="B28" s="585">
        <f>ROW()</f>
        <v>28</v>
      </c>
      <c r="C28" s="610" t="s">
        <v>692</v>
      </c>
      <c r="D28" s="1117">
        <v>43983</v>
      </c>
      <c r="E28" s="611" t="s">
        <v>651</v>
      </c>
      <c r="F28" s="612" t="s">
        <v>463</v>
      </c>
      <c r="G28" s="609" t="str">
        <f t="shared" si="2"/>
        <v>TO ermöglicht: Tarifwechel; doppelten Kostenabzug;  Abweichungen vom gerichtl. festgelegten Ausgleichswert;  Wertteilhabe (z.B. Verzinsung) zwischen EzE und RK geltend machen</v>
      </c>
      <c r="I28" s="609"/>
      <c r="J28" s="756"/>
      <c r="K28" s="1115">
        <v>1</v>
      </c>
      <c r="L28" s="1115">
        <v>2</v>
      </c>
      <c r="M28" s="1115">
        <v>3</v>
      </c>
      <c r="N28" s="1115">
        <v>4</v>
      </c>
      <c r="O28" s="609"/>
      <c r="P28" s="139"/>
      <c r="Q28" s="585"/>
      <c r="R28" s="585"/>
      <c r="S28" s="585"/>
    </row>
    <row r="29" spans="1:19" s="138" customFormat="1" ht="33.75">
      <c r="A29" s="585" t="str">
        <f t="shared" si="0"/>
        <v>AXA Leben v. 01.05.2020</v>
      </c>
      <c r="B29" s="585">
        <f>ROW()</f>
        <v>29</v>
      </c>
      <c r="C29" s="610" t="s">
        <v>692</v>
      </c>
      <c r="D29" s="1117">
        <v>43952</v>
      </c>
      <c r="E29" s="611" t="s">
        <v>651</v>
      </c>
      <c r="F29" s="612" t="s">
        <v>463</v>
      </c>
      <c r="G29" s="609" t="str">
        <f t="shared" si="2"/>
        <v>TO ermöglicht: Tarifwechel; doppelten Kostenabzug;  Wertteilhabe (z.B. Verzinsung) zwischen EzE und RK geltend machen</v>
      </c>
      <c r="I29" s="609"/>
      <c r="J29" s="756"/>
      <c r="K29" s="1115">
        <v>1</v>
      </c>
      <c r="L29" s="1115">
        <v>2</v>
      </c>
      <c r="M29" s="1115"/>
      <c r="N29" s="1115">
        <v>4</v>
      </c>
      <c r="O29" s="609"/>
      <c r="P29" s="139"/>
      <c r="Q29" s="585"/>
      <c r="R29" s="585"/>
      <c r="S29" s="585"/>
    </row>
    <row r="30" spans="1:19" s="138" customFormat="1" ht="45">
      <c r="A30" s="585" t="str">
        <f t="shared" si="0"/>
        <v>AXA Leben v. 01.08.2020</v>
      </c>
      <c r="B30" s="585">
        <f>ROW()</f>
        <v>30</v>
      </c>
      <c r="C30" s="610" t="s">
        <v>692</v>
      </c>
      <c r="D30" s="1117">
        <v>44044</v>
      </c>
      <c r="E30" s="611" t="s">
        <v>667</v>
      </c>
      <c r="F30" s="612" t="str">
        <f t="shared" ref="F30:F77" si="5">IF(K30=1,"Ja","")</f>
        <v>Ja</v>
      </c>
      <c r="G30" s="609" t="str">
        <f t="shared" si="2"/>
        <v xml:space="preserve">TO ermöglicht: Tarifwechel; </v>
      </c>
      <c r="I30" s="609"/>
      <c r="J30" s="756" t="s">
        <v>695</v>
      </c>
      <c r="K30" s="1115">
        <v>1</v>
      </c>
      <c r="L30" s="1115"/>
      <c r="M30" s="1115"/>
      <c r="N30" s="1115"/>
      <c r="O30" s="609"/>
      <c r="P30" s="139">
        <f t="shared" ref="P30:P100" si="6">SUM(K30:N30)</f>
        <v>1</v>
      </c>
      <c r="Q30" s="585"/>
      <c r="R30" s="585"/>
      <c r="S30" s="585"/>
    </row>
    <row r="31" spans="1:19" s="585" customFormat="1" ht="45">
      <c r="A31" s="585" t="str">
        <f t="shared" si="0"/>
        <v>AXA Überbetriebliche Unterstützungskasse e.V. v. 01.01.2018</v>
      </c>
      <c r="B31" s="585">
        <f>ROW()</f>
        <v>31</v>
      </c>
      <c r="C31" s="610" t="s">
        <v>1042</v>
      </c>
      <c r="D31" s="1117">
        <v>43101</v>
      </c>
      <c r="E31" s="611"/>
      <c r="F31" s="612" t="str">
        <f t="shared" si="5"/>
        <v>Ja</v>
      </c>
      <c r="G31" s="609" t="str">
        <f t="shared" si="2"/>
        <v>TO ermöglicht: Tarifwechel; doppelten Kostenabzug;  Abweichungen vom gerichtl. festgelegten Ausgleichswert;  Wertteilhabe (z.B. Verzinsung) zwischen EzE und RK geltend machen</v>
      </c>
      <c r="I31" s="609"/>
      <c r="J31" s="750"/>
      <c r="K31" s="1115">
        <v>1</v>
      </c>
      <c r="L31" s="1115">
        <v>2</v>
      </c>
      <c r="M31" s="1115">
        <v>3</v>
      </c>
      <c r="N31" s="1115">
        <v>4</v>
      </c>
      <c r="O31" s="751"/>
      <c r="P31" s="139">
        <f t="shared" si="6"/>
        <v>10</v>
      </c>
    </row>
    <row r="32" spans="1:19" s="585" customFormat="1">
      <c r="A32" s="585" t="str">
        <f t="shared" si="0"/>
        <v>Baden-Badener Pensionskasse v. 30.11.2009</v>
      </c>
      <c r="B32" s="585">
        <f>ROW()</f>
        <v>32</v>
      </c>
      <c r="C32" s="610" t="s">
        <v>935</v>
      </c>
      <c r="D32" s="1117">
        <v>40147</v>
      </c>
      <c r="E32" s="611"/>
      <c r="F32" s="612" t="str">
        <f t="shared" si="5"/>
        <v/>
      </c>
      <c r="G32" s="609" t="str">
        <f t="shared" si="2"/>
        <v/>
      </c>
      <c r="I32" s="609"/>
      <c r="J32" s="750"/>
      <c r="K32" s="1115"/>
      <c r="L32" s="1115"/>
      <c r="M32" s="1115"/>
      <c r="N32" s="1115"/>
      <c r="O32" s="751"/>
      <c r="P32" s="139">
        <f t="shared" si="6"/>
        <v>0</v>
      </c>
    </row>
    <row r="33" spans="1:19" s="585" customFormat="1" ht="45">
      <c r="A33" s="585" t="str">
        <f t="shared" si="0"/>
        <v>Baloise Lebensversicherung AG Deutschland v. 01.10.2009</v>
      </c>
      <c r="B33" s="585">
        <f>ROW()</f>
        <v>33</v>
      </c>
      <c r="C33" s="610" t="s">
        <v>1350</v>
      </c>
      <c r="D33" s="1117">
        <v>40087</v>
      </c>
      <c r="E33" s="611">
        <v>6</v>
      </c>
      <c r="F33" s="612" t="str">
        <f t="shared" si="5"/>
        <v>Ja</v>
      </c>
      <c r="G33" s="609" t="str">
        <f t="shared" si="2"/>
        <v>TO ermöglicht: Tarifwechel; doppelten Kostenabzug;  Abweichungen vom gerichtl. festgelegten Ausgleichswert;  Wertteilhabe (z.B. Verzinsung) zwischen EzE und RK geltend machen</v>
      </c>
      <c r="I33" s="609"/>
      <c r="J33" s="750"/>
      <c r="K33" s="1115">
        <v>1</v>
      </c>
      <c r="L33" s="1115">
        <v>2</v>
      </c>
      <c r="M33" s="1115">
        <v>3</v>
      </c>
      <c r="N33" s="1115">
        <v>4</v>
      </c>
      <c r="O33" s="751"/>
      <c r="P33" s="139">
        <f t="shared" si="6"/>
        <v>10</v>
      </c>
      <c r="Q33" s="391"/>
      <c r="R33" s="391"/>
      <c r="S33" s="391"/>
    </row>
    <row r="34" spans="1:19" s="585" customFormat="1">
      <c r="A34" s="585" t="str">
        <f t="shared" si="0"/>
        <v>BASF Pensionskasse VVaG v. 01.07.2019</v>
      </c>
      <c r="B34" s="585">
        <f>ROW()</f>
        <v>34</v>
      </c>
      <c r="C34" s="610" t="s">
        <v>986</v>
      </c>
      <c r="D34" s="1117">
        <v>43647</v>
      </c>
      <c r="E34" s="611" t="s">
        <v>987</v>
      </c>
      <c r="F34" s="612" t="str">
        <f t="shared" si="5"/>
        <v/>
      </c>
      <c r="G34" s="609" t="str">
        <f t="shared" si="2"/>
        <v/>
      </c>
      <c r="I34" s="609"/>
      <c r="J34" s="750"/>
      <c r="K34" s="1115"/>
      <c r="L34" s="1115"/>
      <c r="M34" s="1115"/>
      <c r="N34" s="1115"/>
      <c r="O34" s="751"/>
      <c r="P34" s="139">
        <f t="shared" si="6"/>
        <v>0</v>
      </c>
    </row>
    <row r="35" spans="1:19" s="585" customFormat="1">
      <c r="A35" s="585" t="str">
        <f t="shared" si="0"/>
        <v>BASF SE v. 01.07.2019</v>
      </c>
      <c r="B35" s="585">
        <f>ROW()</f>
        <v>35</v>
      </c>
      <c r="C35" s="610" t="s">
        <v>984</v>
      </c>
      <c r="D35" s="1117">
        <v>43647</v>
      </c>
      <c r="E35" s="611" t="s">
        <v>985</v>
      </c>
      <c r="F35" s="612" t="str">
        <f t="shared" si="5"/>
        <v/>
      </c>
      <c r="G35" s="609" t="str">
        <f t="shared" si="2"/>
        <v/>
      </c>
      <c r="I35" s="609"/>
      <c r="J35" s="750"/>
      <c r="K35" s="1115"/>
      <c r="L35" s="1115"/>
      <c r="M35" s="1115"/>
      <c r="N35" s="1115"/>
      <c r="O35" s="751"/>
      <c r="P35" s="139">
        <f t="shared" si="6"/>
        <v>0</v>
      </c>
    </row>
    <row r="36" spans="1:19" s="585" customFormat="1" ht="22.5">
      <c r="A36" s="585" t="str">
        <f>C36&amp;IF(D36=0,""," v. "&amp;TEXT(D36,"TT.MM.JJJ"))</f>
        <v>Bausparkasse Schwäbisch Hall v. 11.12.2018</v>
      </c>
      <c r="B36" s="585">
        <f>ROW()</f>
        <v>36</v>
      </c>
      <c r="C36" s="610" t="s">
        <v>1910</v>
      </c>
      <c r="D36" s="1117">
        <v>43445</v>
      </c>
      <c r="E36" s="611" t="s">
        <v>1911</v>
      </c>
      <c r="F36" s="612"/>
      <c r="G36" s="609" t="str">
        <f t="shared" si="2"/>
        <v>TO ermöglicht:  Wertteilhabe (z.B. Verzinsung) zwischen EzE und RK geltend machen</v>
      </c>
      <c r="I36" s="609"/>
      <c r="J36" s="750"/>
      <c r="K36" s="1115"/>
      <c r="L36" s="1115"/>
      <c r="M36" s="1115"/>
      <c r="N36" s="1115">
        <v>4</v>
      </c>
      <c r="O36" s="751"/>
      <c r="P36" s="139"/>
    </row>
    <row r="37" spans="1:19" s="585" customFormat="1">
      <c r="A37" s="585" t="str">
        <f t="shared" si="0"/>
        <v>Bayerischer Rundfunk Tarifvertrag v. 01.12.2009</v>
      </c>
      <c r="B37" s="585">
        <f>ROW()</f>
        <v>37</v>
      </c>
      <c r="C37" s="610" t="s">
        <v>936</v>
      </c>
      <c r="D37" s="1117">
        <v>40148</v>
      </c>
      <c r="E37" s="611"/>
      <c r="F37" s="612" t="str">
        <f t="shared" si="5"/>
        <v/>
      </c>
      <c r="G37" s="609" t="str">
        <f t="shared" si="2"/>
        <v/>
      </c>
      <c r="I37" s="609"/>
      <c r="J37" s="750"/>
      <c r="K37" s="1115"/>
      <c r="L37" s="1115"/>
      <c r="M37" s="1115"/>
      <c r="N37" s="1115"/>
      <c r="O37" s="751"/>
      <c r="P37" s="139">
        <f t="shared" si="6"/>
        <v>0</v>
      </c>
    </row>
    <row r="38" spans="1:19" s="585" customFormat="1" ht="33.75">
      <c r="A38" s="585" t="str">
        <f t="shared" si="0"/>
        <v>Bayern-Versicherung LV AG v. 12.12.2020</v>
      </c>
      <c r="B38" s="585">
        <f>ROW()</f>
        <v>38</v>
      </c>
      <c r="C38" s="610" t="s">
        <v>1249</v>
      </c>
      <c r="D38" s="1117">
        <v>44177</v>
      </c>
      <c r="E38" s="611"/>
      <c r="F38" s="612" t="str">
        <f t="shared" si="5"/>
        <v>Ja</v>
      </c>
      <c r="G38" s="609" t="str">
        <f t="shared" si="2"/>
        <v xml:space="preserve">TO ermöglicht: Tarifwechel; doppelten Kostenabzug;  Abweichungen vom gerichtl. festgelegten Ausgleichswert; </v>
      </c>
      <c r="I38" s="609"/>
      <c r="J38" s="750"/>
      <c r="K38" s="1115">
        <v>1</v>
      </c>
      <c r="L38" s="1115">
        <v>2</v>
      </c>
      <c r="M38" s="1115">
        <v>3</v>
      </c>
      <c r="N38" s="1115"/>
      <c r="O38" s="751"/>
      <c r="P38" s="139">
        <f t="shared" si="6"/>
        <v>6</v>
      </c>
    </row>
    <row r="39" spans="1:19" s="585" customFormat="1" ht="33.75">
      <c r="A39" s="585" t="str">
        <f>C39&amp;IF(D39=0,""," v. "&amp;TEXT(D39,"TT.MM.JJJ"))</f>
        <v>Bayern-Versicherung LV AG v. 22.10.2022</v>
      </c>
      <c r="B39" s="585">
        <f>ROW()</f>
        <v>39</v>
      </c>
      <c r="C39" s="610" t="s">
        <v>1249</v>
      </c>
      <c r="D39" s="1117">
        <v>44856</v>
      </c>
      <c r="E39" s="611" t="s">
        <v>1612</v>
      </c>
      <c r="F39" s="612" t="str">
        <f t="shared" si="5"/>
        <v>Ja</v>
      </c>
      <c r="G39" s="609" t="str">
        <f t="shared" si="2"/>
        <v>TO ermöglicht: Tarifwechel; doppelten Kostenabzug;  Wertteilhabe (z.B. Verzinsung) zwischen EzE und RK geltend machen</v>
      </c>
      <c r="I39" s="609"/>
      <c r="J39" s="750"/>
      <c r="K39" s="1115">
        <v>1</v>
      </c>
      <c r="L39" s="1115">
        <v>2</v>
      </c>
      <c r="M39" s="1115"/>
      <c r="N39" s="1115">
        <v>4</v>
      </c>
      <c r="O39" s="751"/>
      <c r="P39" s="139"/>
    </row>
    <row r="40" spans="1:19" s="585" customFormat="1" ht="25.5">
      <c r="A40" s="585" t="str">
        <f t="shared" si="0"/>
        <v>BKK Mobil Oil v. 01.09.2009</v>
      </c>
      <c r="B40" s="585">
        <f>ROW()</f>
        <v>40</v>
      </c>
      <c r="C40" s="610" t="s">
        <v>779</v>
      </c>
      <c r="D40" s="1117">
        <v>40057</v>
      </c>
      <c r="E40" s="611" t="s">
        <v>767</v>
      </c>
      <c r="F40" s="612" t="str">
        <f t="shared" si="5"/>
        <v/>
      </c>
      <c r="G40" s="609" t="str">
        <f t="shared" si="2"/>
        <v xml:space="preserve">TO ermöglicht: doppelten Kostenabzug; </v>
      </c>
      <c r="I40" s="609"/>
      <c r="J40" s="750"/>
      <c r="K40" s="1115"/>
      <c r="L40" s="1115">
        <v>2</v>
      </c>
      <c r="M40" s="1115"/>
      <c r="N40" s="1115"/>
      <c r="O40" s="755" t="s">
        <v>803</v>
      </c>
      <c r="P40" s="139">
        <f t="shared" si="6"/>
        <v>2</v>
      </c>
    </row>
    <row r="41" spans="1:19" s="585" customFormat="1" ht="25.5">
      <c r="A41" s="585" t="str">
        <f t="shared" si="0"/>
        <v>BKK VBU 2012 kongruent TO v. 01.11.2012</v>
      </c>
      <c r="B41" s="585">
        <f>ROW()</f>
        <v>41</v>
      </c>
      <c r="C41" s="610" t="s">
        <v>1137</v>
      </c>
      <c r="D41" s="1117">
        <v>41214</v>
      </c>
      <c r="E41" s="611" t="s">
        <v>760</v>
      </c>
      <c r="F41" s="612" t="str">
        <f t="shared" si="5"/>
        <v/>
      </c>
      <c r="G41" s="609" t="str">
        <f t="shared" si="2"/>
        <v xml:space="preserve">TO ermöglicht: doppelten Kostenabzug; </v>
      </c>
      <c r="I41" s="609"/>
      <c r="J41" s="754"/>
      <c r="K41" s="1115"/>
      <c r="L41" s="1115">
        <v>2</v>
      </c>
      <c r="M41" s="1115"/>
      <c r="N41" s="1115"/>
      <c r="O41" s="755" t="s">
        <v>803</v>
      </c>
      <c r="P41" s="139">
        <f t="shared" si="6"/>
        <v>2</v>
      </c>
    </row>
    <row r="42" spans="1:19" s="585" customFormat="1" ht="25.5">
      <c r="A42" s="585" t="str">
        <f t="shared" si="0"/>
        <v>BKK VBU 2012 partiell TO v. 01.11.2012</v>
      </c>
      <c r="B42" s="585">
        <f>ROW()</f>
        <v>42</v>
      </c>
      <c r="C42" s="610" t="s">
        <v>1138</v>
      </c>
      <c r="D42" s="1117">
        <v>41214</v>
      </c>
      <c r="E42" s="611" t="s">
        <v>760</v>
      </c>
      <c r="F42" s="612" t="str">
        <f t="shared" si="5"/>
        <v/>
      </c>
      <c r="G42" s="609" t="str">
        <f t="shared" si="2"/>
        <v xml:space="preserve">TO ermöglicht: doppelten Kostenabzug; </v>
      </c>
      <c r="I42" s="609"/>
      <c r="J42" s="750"/>
      <c r="K42" s="1115"/>
      <c r="L42" s="1115">
        <v>2</v>
      </c>
      <c r="M42" s="1115"/>
      <c r="N42" s="1115"/>
      <c r="O42" s="755" t="s">
        <v>803</v>
      </c>
      <c r="P42" s="139">
        <f t="shared" si="6"/>
        <v>2</v>
      </c>
    </row>
    <row r="43" spans="1:19" s="585" customFormat="1" ht="25.5">
      <c r="A43" s="585" t="str">
        <f t="shared" si="0"/>
        <v>BKK VBU kongruent v. 01.11.2012</v>
      </c>
      <c r="B43" s="585">
        <f>ROW()</f>
        <v>43</v>
      </c>
      <c r="C43" s="610" t="s">
        <v>780</v>
      </c>
      <c r="D43" s="1117">
        <v>41214</v>
      </c>
      <c r="E43" s="611" t="s">
        <v>782</v>
      </c>
      <c r="F43" s="612" t="str">
        <f t="shared" si="5"/>
        <v/>
      </c>
      <c r="G43" s="609" t="str">
        <f t="shared" si="2"/>
        <v xml:space="preserve">TO ermöglicht: doppelten Kostenabzug; </v>
      </c>
      <c r="I43" s="609"/>
      <c r="J43" s="750"/>
      <c r="K43" s="1115"/>
      <c r="L43" s="1115">
        <v>2</v>
      </c>
      <c r="M43" s="1115"/>
      <c r="N43" s="1115"/>
      <c r="O43" s="755" t="s">
        <v>803</v>
      </c>
      <c r="P43" s="139">
        <f t="shared" si="6"/>
        <v>2</v>
      </c>
    </row>
    <row r="44" spans="1:19" s="585" customFormat="1" ht="25.5">
      <c r="A44" s="585" t="str">
        <f t="shared" si="0"/>
        <v>BKK VBU partiell v. 01.11.2012</v>
      </c>
      <c r="B44" s="585">
        <f>ROW()</f>
        <v>44</v>
      </c>
      <c r="C44" s="610" t="s">
        <v>781</v>
      </c>
      <c r="D44" s="1117">
        <v>41214</v>
      </c>
      <c r="E44" s="611" t="s">
        <v>783</v>
      </c>
      <c r="F44" s="612" t="str">
        <f t="shared" si="5"/>
        <v/>
      </c>
      <c r="G44" s="609" t="str">
        <f t="shared" si="2"/>
        <v xml:space="preserve">TO ermöglicht: doppelten Kostenabzug; </v>
      </c>
      <c r="I44" s="609"/>
      <c r="J44" s="754"/>
      <c r="K44" s="1115"/>
      <c r="L44" s="1115">
        <v>2</v>
      </c>
      <c r="M44" s="1115"/>
      <c r="N44" s="1115"/>
      <c r="O44" s="755" t="s">
        <v>803</v>
      </c>
      <c r="P44" s="139">
        <f t="shared" si="6"/>
        <v>2</v>
      </c>
    </row>
    <row r="45" spans="1:19" s="585" customFormat="1" ht="33.75">
      <c r="A45" s="585" t="str">
        <f t="shared" si="0"/>
        <v>Bochumer Verband - Arbeitgeberfinanzierte Versorg. v. 01.09.2009</v>
      </c>
      <c r="B45" s="585">
        <f>ROW()</f>
        <v>45</v>
      </c>
      <c r="C45" s="610" t="s">
        <v>997</v>
      </c>
      <c r="D45" s="1117">
        <v>40057</v>
      </c>
      <c r="E45" s="611" t="s">
        <v>646</v>
      </c>
      <c r="F45" s="612" t="str">
        <f t="shared" si="5"/>
        <v/>
      </c>
      <c r="G45" s="609" t="str">
        <f t="shared" si="2"/>
        <v xml:space="preserve">TO ermöglicht: doppelten Kostenabzug;  Abweichungen vom gerichtl. festgelegten Ausgleichswert; </v>
      </c>
      <c r="I45" s="609"/>
      <c r="J45" s="750"/>
      <c r="K45" s="1115"/>
      <c r="L45" s="1115">
        <v>2</v>
      </c>
      <c r="M45" s="1115">
        <v>3</v>
      </c>
      <c r="N45" s="1115"/>
      <c r="O45" s="751"/>
      <c r="P45" s="139">
        <f t="shared" si="6"/>
        <v>5</v>
      </c>
    </row>
    <row r="46" spans="1:19" s="585" customFormat="1" ht="33.75">
      <c r="A46" s="585" t="str">
        <f t="shared" si="0"/>
        <v>Bochumer Verband - Entgeldumwandlung v. 01.09.2009</v>
      </c>
      <c r="B46" s="585">
        <f>ROW()</f>
        <v>46</v>
      </c>
      <c r="C46" s="610" t="s">
        <v>996</v>
      </c>
      <c r="D46" s="1117">
        <v>40057</v>
      </c>
      <c r="E46" s="611" t="s">
        <v>646</v>
      </c>
      <c r="F46" s="612" t="str">
        <f t="shared" si="5"/>
        <v/>
      </c>
      <c r="G46" s="609" t="str">
        <f t="shared" si="2"/>
        <v xml:space="preserve">TO ermöglicht: doppelten Kostenabzug;  Abweichungen vom gerichtl. festgelegten Ausgleichswert; </v>
      </c>
      <c r="I46" s="609"/>
      <c r="J46" s="750"/>
      <c r="K46" s="1115"/>
      <c r="L46" s="1115">
        <v>2</v>
      </c>
      <c r="M46" s="1115">
        <v>3</v>
      </c>
      <c r="N46" s="1115"/>
      <c r="O46" s="751"/>
      <c r="P46" s="139">
        <f t="shared" si="6"/>
        <v>5</v>
      </c>
    </row>
    <row r="47" spans="1:19" s="585" customFormat="1">
      <c r="A47" s="585" t="str">
        <f t="shared" si="0"/>
        <v>Boehringer Ingelheim KG v. 01.07.2021</v>
      </c>
      <c r="B47" s="585">
        <f>ROW()</f>
        <v>47</v>
      </c>
      <c r="C47" s="610" t="s">
        <v>1251</v>
      </c>
      <c r="D47" s="1117">
        <v>44378</v>
      </c>
      <c r="E47" s="611" t="s">
        <v>767</v>
      </c>
      <c r="F47" s="612" t="str">
        <f t="shared" si="5"/>
        <v/>
      </c>
      <c r="G47" s="609" t="str">
        <f t="shared" si="2"/>
        <v xml:space="preserve">TO ermöglicht: doppelten Kostenabzug; </v>
      </c>
      <c r="I47" s="609"/>
      <c r="J47" s="754"/>
      <c r="K47" s="1115"/>
      <c r="L47" s="1115">
        <v>2</v>
      </c>
      <c r="M47" s="1115"/>
      <c r="N47" s="1115"/>
      <c r="O47" s="755"/>
      <c r="P47" s="139">
        <f t="shared" si="6"/>
        <v>2</v>
      </c>
    </row>
    <row r="48" spans="1:19" s="585" customFormat="1" ht="25.5">
      <c r="A48" s="585" t="str">
        <f t="shared" si="0"/>
        <v>Boge Elastmetall Unterstützungskasse e.V. v. 01.01.2018</v>
      </c>
      <c r="B48" s="585">
        <f>ROW()</f>
        <v>48</v>
      </c>
      <c r="C48" s="610" t="s">
        <v>796</v>
      </c>
      <c r="D48" s="1117">
        <v>43101</v>
      </c>
      <c r="E48" s="611" t="s">
        <v>767</v>
      </c>
      <c r="F48" s="612" t="str">
        <f t="shared" si="5"/>
        <v/>
      </c>
      <c r="G48" s="609" t="str">
        <f t="shared" si="2"/>
        <v xml:space="preserve">TO ermöglicht: doppelten Kostenabzug; </v>
      </c>
      <c r="I48" s="609"/>
      <c r="J48" s="754"/>
      <c r="K48" s="1115"/>
      <c r="L48" s="1115">
        <v>2</v>
      </c>
      <c r="M48" s="1115"/>
      <c r="N48" s="1115"/>
      <c r="O48" s="755" t="s">
        <v>803</v>
      </c>
      <c r="P48" s="139">
        <f t="shared" si="6"/>
        <v>2</v>
      </c>
    </row>
    <row r="49" spans="1:16" s="585" customFormat="1" ht="25.5">
      <c r="A49" s="585" t="str">
        <f t="shared" si="0"/>
        <v>Bombardier_TransportationTO v. 01.09.2009</v>
      </c>
      <c r="B49" s="585">
        <f>ROW()</f>
        <v>49</v>
      </c>
      <c r="C49" s="610" t="s">
        <v>1139</v>
      </c>
      <c r="D49" s="1117">
        <v>40057</v>
      </c>
      <c r="E49" s="611" t="s">
        <v>760</v>
      </c>
      <c r="F49" s="612" t="str">
        <f t="shared" si="5"/>
        <v/>
      </c>
      <c r="G49" s="609" t="str">
        <f t="shared" si="2"/>
        <v xml:space="preserve">TO ermöglicht: doppelten Kostenabzug; </v>
      </c>
      <c r="I49" s="609"/>
      <c r="J49" s="754"/>
      <c r="K49" s="1115"/>
      <c r="L49" s="1115">
        <v>2</v>
      </c>
      <c r="M49" s="1115"/>
      <c r="N49" s="1115"/>
      <c r="O49" s="755" t="s">
        <v>803</v>
      </c>
      <c r="P49" s="139">
        <f t="shared" si="6"/>
        <v>2</v>
      </c>
    </row>
    <row r="50" spans="1:16" s="585" customFormat="1" ht="56.25">
      <c r="A50" s="585" t="str">
        <f t="shared" si="0"/>
        <v>BP Europa SE v. 01.09.2009</v>
      </c>
      <c r="B50" s="585">
        <f>ROW()</f>
        <v>50</v>
      </c>
      <c r="C50" s="610" t="s">
        <v>1525</v>
      </c>
      <c r="D50" s="1117">
        <v>40057</v>
      </c>
      <c r="E50" s="611" t="s">
        <v>760</v>
      </c>
      <c r="F50" s="612"/>
      <c r="G50" s="609" t="str">
        <f t="shared" si="2"/>
        <v xml:space="preserve">TO ermöglicht: doppelten Kostenabzug; </v>
      </c>
      <c r="I50" s="609" t="s">
        <v>1526</v>
      </c>
      <c r="J50" s="754"/>
      <c r="K50" s="1115"/>
      <c r="L50" s="1115">
        <v>2</v>
      </c>
      <c r="M50" s="1115"/>
      <c r="N50" s="1115"/>
      <c r="O50" s="755"/>
      <c r="P50" s="139">
        <f t="shared" si="6"/>
        <v>2</v>
      </c>
    </row>
    <row r="51" spans="1:16" s="585" customFormat="1" ht="33.75">
      <c r="A51" s="585" t="str">
        <f t="shared" si="0"/>
        <v>BVV, Banken Versicherungs Verein v. 01.07.2016</v>
      </c>
      <c r="B51" s="585">
        <f>ROW()</f>
        <v>51</v>
      </c>
      <c r="C51" s="610" t="s">
        <v>1608</v>
      </c>
      <c r="D51" s="1117">
        <v>42552</v>
      </c>
      <c r="E51" s="611" t="s">
        <v>1061</v>
      </c>
      <c r="F51" s="612" t="str">
        <f t="shared" si="5"/>
        <v/>
      </c>
      <c r="G51" s="609" t="str">
        <f t="shared" si="2"/>
        <v>TO ermöglicht: doppelten Kostenabzug;  Wertteilhabe (z.B. Verzinsung) zwischen EzE und RK geltend machen</v>
      </c>
      <c r="I51" s="609" t="str">
        <f>+J51</f>
        <v>OLG FfM 4 UF 49/17</v>
      </c>
      <c r="J51" s="754" t="s">
        <v>738</v>
      </c>
      <c r="K51" s="1115"/>
      <c r="L51" s="1115">
        <v>2</v>
      </c>
      <c r="M51" s="1115"/>
      <c r="N51" s="1115">
        <v>4</v>
      </c>
      <c r="O51" s="755" t="s">
        <v>803</v>
      </c>
      <c r="P51" s="139">
        <f t="shared" si="6"/>
        <v>6</v>
      </c>
    </row>
    <row r="52" spans="1:16" s="585" customFormat="1" ht="22.5">
      <c r="A52" s="585" t="str">
        <f t="shared" si="0"/>
        <v>C &amp; A Services GmbH &amp; Co. OHG v. 01.02.2017</v>
      </c>
      <c r="B52" s="585">
        <f>ROW()</f>
        <v>52</v>
      </c>
      <c r="C52" s="610" t="s">
        <v>1505</v>
      </c>
      <c r="D52" s="1117">
        <v>42767</v>
      </c>
      <c r="E52" s="611" t="s">
        <v>1506</v>
      </c>
      <c r="F52" s="612" t="str">
        <f t="shared" si="5"/>
        <v/>
      </c>
      <c r="G52" s="609" t="str">
        <f t="shared" si="2"/>
        <v>TO ermöglicht:  Wertteilhabe (z.B. Verzinsung) zwischen EzE und RK geltend machen</v>
      </c>
      <c r="I52" s="609"/>
      <c r="J52" s="750"/>
      <c r="K52" s="1115"/>
      <c r="L52" s="1115"/>
      <c r="M52" s="1115"/>
      <c r="N52" s="1115">
        <v>4</v>
      </c>
      <c r="O52" s="759"/>
      <c r="P52" s="139">
        <f t="shared" si="6"/>
        <v>4</v>
      </c>
    </row>
    <row r="53" spans="1:16" s="585" customFormat="1" ht="67.5">
      <c r="A53" s="585" t="str">
        <f t="shared" si="0"/>
        <v>Carl Zeiss AG v. 27.10.2016</v>
      </c>
      <c r="B53" s="585">
        <f>ROW()</f>
        <v>53</v>
      </c>
      <c r="C53" s="610" t="s">
        <v>1515</v>
      </c>
      <c r="D53" s="1117">
        <v>42670</v>
      </c>
      <c r="E53" s="611" t="s">
        <v>477</v>
      </c>
      <c r="F53" s="612"/>
      <c r="G53" s="609" t="str">
        <f t="shared" si="2"/>
        <v/>
      </c>
      <c r="I53" s="609" t="s">
        <v>1516</v>
      </c>
      <c r="J53" s="750"/>
      <c r="K53" s="1115"/>
      <c r="L53" s="1115"/>
      <c r="M53" s="1115"/>
      <c r="N53" s="1115"/>
      <c r="O53" s="759"/>
      <c r="P53" s="139"/>
    </row>
    <row r="54" spans="1:16" s="585" customFormat="1">
      <c r="A54" s="585" t="str">
        <f t="shared" si="0"/>
        <v xml:space="preserve">Continental </v>
      </c>
      <c r="B54" s="585">
        <f>ROW()</f>
        <v>54</v>
      </c>
      <c r="C54" s="610" t="s">
        <v>737</v>
      </c>
      <c r="D54" s="1117"/>
      <c r="E54" s="611"/>
      <c r="F54" s="612" t="str">
        <f t="shared" si="5"/>
        <v>Ja</v>
      </c>
      <c r="G54" s="609" t="str">
        <f t="shared" si="2"/>
        <v xml:space="preserve">TO ermöglicht: Tarifwechel; </v>
      </c>
      <c r="I54" s="609"/>
      <c r="J54" s="750"/>
      <c r="K54" s="1115">
        <v>1</v>
      </c>
      <c r="L54" s="1115"/>
      <c r="M54" s="1115"/>
      <c r="N54" s="1115"/>
      <c r="O54" s="759"/>
      <c r="P54" s="139">
        <f t="shared" si="6"/>
        <v>1</v>
      </c>
    </row>
    <row r="55" spans="1:16" ht="25.5">
      <c r="A55" s="585" t="str">
        <f t="shared" si="0"/>
        <v>COOP eG Gesamr Versorgungsrichtlinie v. 01.09.2009</v>
      </c>
      <c r="B55" s="585">
        <f>ROW()</f>
        <v>55</v>
      </c>
      <c r="C55" s="610" t="s">
        <v>787</v>
      </c>
      <c r="D55" s="1117">
        <v>40057</v>
      </c>
      <c r="E55" s="611" t="s">
        <v>767</v>
      </c>
      <c r="F55" s="612" t="str">
        <f t="shared" si="5"/>
        <v/>
      </c>
      <c r="G55" s="609" t="str">
        <f t="shared" si="2"/>
        <v xml:space="preserve">TO ermöglicht: doppelten Kostenabzug; </v>
      </c>
      <c r="H55" s="585"/>
      <c r="K55" s="1115"/>
      <c r="L55" s="1115">
        <v>2</v>
      </c>
      <c r="M55" s="1115"/>
      <c r="N55" s="1115"/>
      <c r="O55" s="755" t="s">
        <v>803</v>
      </c>
      <c r="P55" s="139">
        <f t="shared" si="6"/>
        <v>2</v>
      </c>
    </row>
    <row r="56" spans="1:16" s="585" customFormat="1" ht="25.5">
      <c r="A56" s="585" t="str">
        <f t="shared" si="0"/>
        <v>COOP Schleswig Holstein Rentenzuschusskasse v. 01.01.2019</v>
      </c>
      <c r="B56" s="585">
        <f>ROW()</f>
        <v>56</v>
      </c>
      <c r="C56" s="610" t="s">
        <v>777</v>
      </c>
      <c r="D56" s="1117">
        <v>43466</v>
      </c>
      <c r="E56" s="611" t="s">
        <v>767</v>
      </c>
      <c r="F56" s="612" t="str">
        <f t="shared" si="5"/>
        <v/>
      </c>
      <c r="G56" s="609" t="str">
        <f t="shared" si="2"/>
        <v xml:space="preserve">TO ermöglicht: doppelten Kostenabzug; </v>
      </c>
      <c r="H56"/>
      <c r="I56" s="609"/>
      <c r="J56" s="750"/>
      <c r="K56" s="1115"/>
      <c r="L56" s="1115">
        <v>2</v>
      </c>
      <c r="M56" s="1115"/>
      <c r="N56" s="1115"/>
      <c r="O56" s="755" t="s">
        <v>803</v>
      </c>
      <c r="P56" s="139">
        <f t="shared" si="6"/>
        <v>2</v>
      </c>
    </row>
    <row r="57" spans="1:16" ht="45">
      <c r="A57" s="585" t="str">
        <f t="shared" si="0"/>
        <v>Cosmos Direkt v. 01.01.2010</v>
      </c>
      <c r="B57" s="585">
        <f>ROW()</f>
        <v>57</v>
      </c>
      <c r="C57" s="610" t="s">
        <v>916</v>
      </c>
      <c r="D57" s="1117">
        <v>40179</v>
      </c>
      <c r="E57" s="611" t="s">
        <v>917</v>
      </c>
      <c r="F57" s="612" t="str">
        <f t="shared" si="5"/>
        <v>Ja</v>
      </c>
      <c r="G57" s="609" t="str">
        <f t="shared" si="2"/>
        <v>TO ermöglicht: Tarifwechel; doppelten Kostenabzug;  Abweichungen vom gerichtl. festgelegten Ausgleichswert;  Wertteilhabe (z.B. Verzinsung) zwischen EzE und RK geltend machen</v>
      </c>
      <c r="H57" s="585"/>
      <c r="K57" s="1115">
        <v>1</v>
      </c>
      <c r="L57" s="1115">
        <v>2</v>
      </c>
      <c r="M57" s="1115">
        <v>3</v>
      </c>
      <c r="N57" s="1115">
        <v>4</v>
      </c>
      <c r="P57" s="139">
        <f t="shared" si="6"/>
        <v>10</v>
      </c>
    </row>
    <row r="58" spans="1:16" s="585" customFormat="1" ht="25.5">
      <c r="A58" s="585" t="str">
        <f t="shared" si="0"/>
        <v>CSM Deutschland GmbH v. 01.07.2021</v>
      </c>
      <c r="B58" s="585">
        <f>ROW()</f>
        <v>58</v>
      </c>
      <c r="C58" s="610" t="s">
        <v>1250</v>
      </c>
      <c r="D58" s="1117">
        <v>44378</v>
      </c>
      <c r="E58" s="611" t="s">
        <v>767</v>
      </c>
      <c r="F58" s="612" t="str">
        <f t="shared" si="5"/>
        <v/>
      </c>
      <c r="G58" s="609" t="str">
        <f t="shared" si="2"/>
        <v xml:space="preserve">TO ermöglicht: doppelten Kostenabzug; </v>
      </c>
      <c r="H58"/>
      <c r="I58" s="609"/>
      <c r="J58" s="754"/>
      <c r="K58" s="1115"/>
      <c r="L58" s="1115">
        <v>2</v>
      </c>
      <c r="M58" s="1115"/>
      <c r="N58" s="1115"/>
      <c r="O58" s="755" t="s">
        <v>803</v>
      </c>
      <c r="P58" s="139">
        <f t="shared" si="6"/>
        <v>2</v>
      </c>
    </row>
    <row r="59" spans="1:16" ht="33.75">
      <c r="A59" s="585" t="str">
        <f t="shared" si="0"/>
        <v>DAG Stiftung Ruhegehaltskasse v. 10.12.2015</v>
      </c>
      <c r="B59" s="585">
        <f>ROW()</f>
        <v>59</v>
      </c>
      <c r="C59" s="610" t="s">
        <v>717</v>
      </c>
      <c r="D59" s="1117">
        <v>42348</v>
      </c>
      <c r="E59" s="611" t="s">
        <v>718</v>
      </c>
      <c r="F59" s="612" t="str">
        <f t="shared" si="5"/>
        <v/>
      </c>
      <c r="G59" s="609" t="str">
        <f t="shared" si="2"/>
        <v xml:space="preserve">TO ermöglicht: doppelten Kostenabzug; </v>
      </c>
      <c r="H59" s="585"/>
      <c r="K59" s="1115"/>
      <c r="L59" s="1115">
        <v>2</v>
      </c>
      <c r="M59" s="1115"/>
      <c r="N59" s="1115"/>
      <c r="O59" s="759" t="s">
        <v>719</v>
      </c>
      <c r="P59" s="139">
        <f t="shared" si="6"/>
        <v>2</v>
      </c>
    </row>
    <row r="60" spans="1:16" ht="33.75">
      <c r="A60" s="585" t="str">
        <f t="shared" si="0"/>
        <v>Daimler Brand &amp; IP Management GmbH &amp; Co.KG v. 01.04.2021</v>
      </c>
      <c r="B60" s="585">
        <f>ROW()</f>
        <v>60</v>
      </c>
      <c r="C60" s="610" t="s">
        <v>1007</v>
      </c>
      <c r="D60" s="1117">
        <v>44287</v>
      </c>
      <c r="E60" s="611" t="s">
        <v>1004</v>
      </c>
      <c r="F60" s="612" t="str">
        <f t="shared" si="5"/>
        <v/>
      </c>
      <c r="G60" s="609" t="str">
        <f t="shared" si="2"/>
        <v>TO ermöglicht: doppelten Kostenabzug;  Wertteilhabe (z.B. Verzinsung) zwischen EzE und RK geltend machen</v>
      </c>
      <c r="I60" s="609" t="s">
        <v>1255</v>
      </c>
      <c r="K60" s="1115"/>
      <c r="L60" s="1115">
        <v>2</v>
      </c>
      <c r="M60" s="1115"/>
      <c r="N60" s="1115">
        <v>4</v>
      </c>
      <c r="P60" s="139">
        <f t="shared" si="6"/>
        <v>6</v>
      </c>
    </row>
    <row r="61" spans="1:16" s="585" customFormat="1" ht="33.75">
      <c r="A61" s="585" t="str">
        <f t="shared" si="0"/>
        <v>Daimler Truck AG v. 01.04.2021</v>
      </c>
      <c r="B61" s="585">
        <f>ROW()</f>
        <v>61</v>
      </c>
      <c r="C61" s="610" t="s">
        <v>1006</v>
      </c>
      <c r="D61" s="1117">
        <v>44287</v>
      </c>
      <c r="E61" s="611" t="s">
        <v>1004</v>
      </c>
      <c r="F61" s="612" t="str">
        <f t="shared" si="5"/>
        <v/>
      </c>
      <c r="G61" s="609" t="str">
        <f t="shared" si="2"/>
        <v>TO ermöglicht: doppelten Kostenabzug;  Wertteilhabe (z.B. Verzinsung) zwischen EzE und RK geltend machen</v>
      </c>
      <c r="H61"/>
      <c r="I61" s="609" t="s">
        <v>1255</v>
      </c>
      <c r="J61" s="750"/>
      <c r="K61" s="1115"/>
      <c r="L61" s="1115">
        <v>2</v>
      </c>
      <c r="M61" s="1115"/>
      <c r="N61" s="1115">
        <v>4</v>
      </c>
      <c r="O61" s="986"/>
      <c r="P61" s="139">
        <f t="shared" si="6"/>
        <v>6</v>
      </c>
    </row>
    <row r="62" spans="1:16" ht="33.75">
      <c r="A62" s="585" t="str">
        <f t="shared" si="0"/>
        <v>Daimler Vorsorge Kapital Teilungsordnung v. 01.04.2021</v>
      </c>
      <c r="B62" s="585">
        <f>ROW()</f>
        <v>62</v>
      </c>
      <c r="C62" s="610" t="s">
        <v>1003</v>
      </c>
      <c r="D62" s="1117">
        <v>44287</v>
      </c>
      <c r="E62" s="611" t="s">
        <v>1004</v>
      </c>
      <c r="F62" s="612" t="str">
        <f t="shared" si="5"/>
        <v/>
      </c>
      <c r="G62" s="609" t="str">
        <f t="shared" si="2"/>
        <v>TO ermöglicht: doppelten Kostenabzug;  Wertteilhabe (z.B. Verzinsung) zwischen EzE und RK geltend machen</v>
      </c>
      <c r="H62" s="585"/>
      <c r="I62" s="609" t="s">
        <v>1255</v>
      </c>
      <c r="K62" s="1115"/>
      <c r="L62" s="1115">
        <v>2</v>
      </c>
      <c r="M62" s="1115"/>
      <c r="N62" s="1115">
        <v>4</v>
      </c>
      <c r="O62" s="986"/>
      <c r="P62" s="139">
        <f t="shared" si="6"/>
        <v>6</v>
      </c>
    </row>
    <row r="63" spans="1:16" ht="33.75">
      <c r="A63" s="585" t="str">
        <f t="shared" si="0"/>
        <v>DAK Hamburg  v. 01.01.2022</v>
      </c>
      <c r="B63" s="585">
        <f>ROW()</f>
        <v>63</v>
      </c>
      <c r="C63" s="610" t="s">
        <v>1173</v>
      </c>
      <c r="D63" s="1117">
        <v>44562</v>
      </c>
      <c r="E63" s="611" t="s">
        <v>1198</v>
      </c>
      <c r="F63" s="612" t="str">
        <f t="shared" si="5"/>
        <v/>
      </c>
      <c r="G63" s="609" t="str">
        <f t="shared" si="2"/>
        <v>TO ermöglicht:  Abweichungen vom gerichtl. festgelegten Ausgleichswert;  Wertteilhabe (z.B. Verzinsung) zwischen EzE und RK geltend machen</v>
      </c>
      <c r="K63" s="1115"/>
      <c r="L63" s="1115"/>
      <c r="M63" s="1115">
        <v>3</v>
      </c>
      <c r="N63" s="1115">
        <v>4</v>
      </c>
      <c r="P63" s="139">
        <f t="shared" si="6"/>
        <v>7</v>
      </c>
    </row>
    <row r="64" spans="1:16" ht="56.25">
      <c r="A64" s="585" t="str">
        <f t="shared" si="0"/>
        <v>DAK Hamburg  v. 10.07.2013</v>
      </c>
      <c r="B64" s="585">
        <f>ROW()</f>
        <v>64</v>
      </c>
      <c r="C64" s="610" t="s">
        <v>1173</v>
      </c>
      <c r="D64" s="1117">
        <v>41465</v>
      </c>
      <c r="E64" s="611" t="s">
        <v>195</v>
      </c>
      <c r="F64" s="612" t="str">
        <f t="shared" si="5"/>
        <v/>
      </c>
      <c r="G64" s="609" t="str">
        <f t="shared" si="2"/>
        <v>TO ermöglicht: doppelten Kostenabzug;  Abweichungen vom gerichtl. festgelegten Ausgleichswert;  Wertteilhabe (z.B. Verzinsung) zwischen EzE und RK geltend machen</v>
      </c>
      <c r="I64" s="609" t="s">
        <v>1174</v>
      </c>
      <c r="K64" s="1115"/>
      <c r="L64" s="1115">
        <v>2</v>
      </c>
      <c r="M64" s="1115">
        <v>3</v>
      </c>
      <c r="N64" s="1115">
        <v>4</v>
      </c>
      <c r="P64" s="139">
        <f t="shared" si="6"/>
        <v>9</v>
      </c>
    </row>
    <row r="65" spans="1:16" s="585" customFormat="1">
      <c r="A65" s="585" t="str">
        <f t="shared" si="0"/>
        <v>Damovo Deutschland GmbH &amp; Co. KG v. 24.08.2009</v>
      </c>
      <c r="B65" s="585">
        <f>ROW()</f>
        <v>65</v>
      </c>
      <c r="C65" s="610" t="s">
        <v>934</v>
      </c>
      <c r="D65" s="1117">
        <v>40049</v>
      </c>
      <c r="E65" s="611"/>
      <c r="F65" s="612" t="str">
        <f t="shared" si="5"/>
        <v/>
      </c>
      <c r="G65" s="609" t="str">
        <f t="shared" si="2"/>
        <v xml:space="preserve">TO ermöglicht: doppelten Kostenabzug; </v>
      </c>
      <c r="H65"/>
      <c r="I65" s="609"/>
      <c r="J65" s="750"/>
      <c r="K65" s="1115"/>
      <c r="L65" s="1115">
        <v>2</v>
      </c>
      <c r="M65" s="1115"/>
      <c r="N65" s="1115"/>
      <c r="O65" s="751"/>
      <c r="P65" s="139">
        <f t="shared" si="6"/>
        <v>2</v>
      </c>
    </row>
    <row r="66" spans="1:16" ht="45">
      <c r="A66" s="585" t="str">
        <f t="shared" si="0"/>
        <v>Debeka Lebensversicherungsverein a.G.  v. 01.08.2020</v>
      </c>
      <c r="B66" s="585">
        <f>ROW()</f>
        <v>66</v>
      </c>
      <c r="C66" s="610" t="s">
        <v>1140</v>
      </c>
      <c r="D66" s="1117">
        <v>44044</v>
      </c>
      <c r="E66" s="611" t="s">
        <v>1009</v>
      </c>
      <c r="F66" s="612" t="str">
        <f t="shared" si="5"/>
        <v>Ja</v>
      </c>
      <c r="G66" s="609" t="str">
        <f t="shared" si="2"/>
        <v>TO ermöglicht: Tarifwechel; doppelten Kostenabzug;  Abweichungen vom gerichtl. festgelegten Ausgleichswert;  Wertteilhabe (z.B. Verzinsung) zwischen EzE und RK geltend machen</v>
      </c>
      <c r="H66" s="585"/>
      <c r="K66" s="1115">
        <v>1</v>
      </c>
      <c r="L66" s="1115">
        <v>2</v>
      </c>
      <c r="M66" s="1115">
        <v>3</v>
      </c>
      <c r="N66" s="1115">
        <v>4</v>
      </c>
      <c r="P66" s="139">
        <f t="shared" si="6"/>
        <v>10</v>
      </c>
    </row>
    <row r="67" spans="1:16" ht="45">
      <c r="A67" s="585" t="str">
        <f t="shared" si="0"/>
        <v>Debeka Lebensversicherungsverein a.G. AltZertG-Verträge v. 01.01.2017</v>
      </c>
      <c r="B67" s="585">
        <f>ROW()</f>
        <v>67</v>
      </c>
      <c r="C67" s="610" t="s">
        <v>1297</v>
      </c>
      <c r="D67" s="1117">
        <v>42736</v>
      </c>
      <c r="E67" s="611" t="s">
        <v>1043</v>
      </c>
      <c r="F67" s="612" t="str">
        <f t="shared" si="5"/>
        <v>Ja</v>
      </c>
      <c r="G67" s="609" t="str">
        <f t="shared" si="2"/>
        <v>TO ermöglicht: Tarifwechel; doppelten Kostenabzug;  Abweichungen vom gerichtl. festgelegten Ausgleichswert;  Wertteilhabe (z.B. Verzinsung) zwischen EzE und RK geltend machen</v>
      </c>
      <c r="K67" s="1115">
        <v>1</v>
      </c>
      <c r="L67" s="1115">
        <v>2</v>
      </c>
      <c r="M67" s="1115">
        <v>3</v>
      </c>
      <c r="N67" s="1115">
        <v>4</v>
      </c>
      <c r="P67" s="139">
        <f t="shared" si="6"/>
        <v>10</v>
      </c>
    </row>
    <row r="68" spans="1:16" ht="22.5">
      <c r="A68" s="585" t="str">
        <f t="shared" si="0"/>
        <v>Debeka ZVK VaG Tarif ZVD 7 v. 79-2021</v>
      </c>
      <c r="B68" s="585">
        <f>ROW()</f>
        <v>68</v>
      </c>
      <c r="C68" s="610" t="s">
        <v>1519</v>
      </c>
      <c r="D68" s="1117" t="s">
        <v>1520</v>
      </c>
      <c r="E68" s="611" t="s">
        <v>1521</v>
      </c>
      <c r="F68" s="612"/>
      <c r="G68" s="609" t="str">
        <f t="shared" si="2"/>
        <v>TO ermöglicht:  Wertteilhabe (z.B. Verzinsung) zwischen EzE und RK geltend machen</v>
      </c>
      <c r="K68" s="1115"/>
      <c r="L68" s="1115"/>
      <c r="M68" s="1115"/>
      <c r="N68" s="1115">
        <v>4</v>
      </c>
      <c r="P68" s="139"/>
    </row>
    <row r="69" spans="1:16" s="585" customFormat="1">
      <c r="A69" s="585" t="str">
        <f t="shared" si="0"/>
        <v>Decadia GmbH v. 16.09.2016</v>
      </c>
      <c r="B69" s="585">
        <f>ROW()</f>
        <v>69</v>
      </c>
      <c r="C69" s="610" t="s">
        <v>1220</v>
      </c>
      <c r="D69" s="1117">
        <v>42629</v>
      </c>
      <c r="E69" s="611">
        <v>5</v>
      </c>
      <c r="F69" s="612" t="str">
        <f t="shared" si="5"/>
        <v/>
      </c>
      <c r="G69" s="609" t="str">
        <f t="shared" si="2"/>
        <v/>
      </c>
      <c r="H69"/>
      <c r="I69" s="609"/>
      <c r="J69" s="750"/>
      <c r="K69" s="1115"/>
      <c r="L69" s="1115"/>
      <c r="M69" s="1115"/>
      <c r="N69" s="1115"/>
      <c r="O69" s="751"/>
      <c r="P69" s="139">
        <f t="shared" si="6"/>
        <v>0</v>
      </c>
    </row>
    <row r="70" spans="1:16" ht="22.5">
      <c r="A70" s="585" t="str">
        <f t="shared" si="0"/>
        <v>Degussa Pensionskasse Marl Troisdorf v. 01.07.2016</v>
      </c>
      <c r="B70" s="585">
        <f>ROW()</f>
        <v>70</v>
      </c>
      <c r="C70" s="610" t="s">
        <v>992</v>
      </c>
      <c r="D70" s="1117">
        <v>42552</v>
      </c>
      <c r="E70" s="611" t="s">
        <v>993</v>
      </c>
      <c r="F70" s="612" t="str">
        <f t="shared" si="5"/>
        <v/>
      </c>
      <c r="G70" s="609" t="str">
        <f t="shared" ref="G70:G75" si="7">IF(SUM(K70:N70)=0,"","TO ermöglicht: "&amp;IF(K70&gt;0,"Tarifwechel; ","")&amp;IF(L70&gt;0,"doppelten Kostenabzug; ","")&amp;IF(M70&gt;0," Abweichungen vom gerichtl. festgelegten Ausgleichswert; ","")&amp;IF(N70&gt;0," Wertteilhabe (z.B. Verzinsung) zwischen EzE und RK geltend machen",""))</f>
        <v>TO ermöglicht:  Wertteilhabe (z.B. Verzinsung) zwischen EzE und RK geltend machen</v>
      </c>
      <c r="K70" s="1115"/>
      <c r="L70" s="1115"/>
      <c r="M70" s="1115"/>
      <c r="N70" s="1115">
        <v>4</v>
      </c>
      <c r="P70" s="139">
        <f t="shared" si="6"/>
        <v>4</v>
      </c>
    </row>
    <row r="71" spans="1:16" ht="22.5">
      <c r="A71" s="585" t="str">
        <f t="shared" si="0"/>
        <v>Degussa Pensionskasse Riester-Tarif v. 01.06.2016</v>
      </c>
      <c r="B71" s="585">
        <f>ROW()</f>
        <v>71</v>
      </c>
      <c r="C71" s="610" t="s">
        <v>990</v>
      </c>
      <c r="D71" s="1117">
        <v>42522</v>
      </c>
      <c r="E71" s="611" t="s">
        <v>991</v>
      </c>
      <c r="F71" s="612" t="str">
        <f t="shared" si="5"/>
        <v/>
      </c>
      <c r="G71" s="609" t="str">
        <f t="shared" si="7"/>
        <v>TO ermöglicht:  Wertteilhabe (z.B. Verzinsung) zwischen EzE und RK geltend machen</v>
      </c>
      <c r="J71" s="754"/>
      <c r="K71" s="1115"/>
      <c r="L71" s="1115"/>
      <c r="M71" s="1115"/>
      <c r="N71" s="1115">
        <v>4</v>
      </c>
      <c r="P71" s="139">
        <f t="shared" si="6"/>
        <v>4</v>
      </c>
    </row>
    <row r="72" spans="1:16" ht="22.5">
      <c r="A72" s="585" t="str">
        <f t="shared" si="0"/>
        <v>Degussa Pensionskasse v. 01.06.2016</v>
      </c>
      <c r="B72" s="585">
        <f>ROW()</f>
        <v>72</v>
      </c>
      <c r="C72" s="610" t="s">
        <v>988</v>
      </c>
      <c r="D72" s="1117">
        <v>42522</v>
      </c>
      <c r="E72" s="611" t="s">
        <v>989</v>
      </c>
      <c r="F72" s="612" t="str">
        <f t="shared" si="5"/>
        <v/>
      </c>
      <c r="G72" s="609" t="str">
        <f t="shared" si="7"/>
        <v>TO ermöglicht:  Wertteilhabe (z.B. Verzinsung) zwischen EzE und RK geltend machen</v>
      </c>
      <c r="H72" s="585"/>
      <c r="K72" s="1115"/>
      <c r="L72" s="1115"/>
      <c r="M72" s="1115"/>
      <c r="N72" s="1115">
        <v>4</v>
      </c>
      <c r="P72" s="139">
        <f t="shared" si="6"/>
        <v>4</v>
      </c>
    </row>
    <row r="73" spans="1:16" ht="22.5">
      <c r="A73" s="585" t="str">
        <f t="shared" si="0"/>
        <v>Degussa UK Leistungsplan RUK v. 01.07.2018</v>
      </c>
      <c r="B73" s="585">
        <f>ROW()</f>
        <v>73</v>
      </c>
      <c r="C73" s="610" t="s">
        <v>1141</v>
      </c>
      <c r="D73" s="1117">
        <v>43282</v>
      </c>
      <c r="E73" s="611" t="s">
        <v>994</v>
      </c>
      <c r="F73" s="612" t="str">
        <f t="shared" si="5"/>
        <v/>
      </c>
      <c r="G73" s="609" t="str">
        <f t="shared" si="7"/>
        <v>TO ermöglicht:  Wertteilhabe (z.B. Verzinsung) zwischen EzE und RK geltend machen</v>
      </c>
      <c r="K73" s="1115"/>
      <c r="L73" s="1115"/>
      <c r="M73" s="1115"/>
      <c r="N73" s="1115">
        <v>4</v>
      </c>
      <c r="P73" s="139">
        <f t="shared" si="6"/>
        <v>4</v>
      </c>
    </row>
    <row r="74" spans="1:16" s="585" customFormat="1" ht="25.5">
      <c r="A74" s="585" t="str">
        <f t="shared" si="0"/>
        <v>Degussa UK Leistungsplan RUK vor 2018</v>
      </c>
      <c r="B74" s="585">
        <f>ROW()</f>
        <v>74</v>
      </c>
      <c r="C74" s="610" t="s">
        <v>995</v>
      </c>
      <c r="D74" s="1117"/>
      <c r="E74" s="611" t="s">
        <v>994</v>
      </c>
      <c r="F74" s="612" t="str">
        <f t="shared" si="5"/>
        <v/>
      </c>
      <c r="G74" s="609" t="str">
        <f t="shared" si="7"/>
        <v>TO ermöglicht:  Wertteilhabe (z.B. Verzinsung) zwischen EzE und RK geltend machen</v>
      </c>
      <c r="H74"/>
      <c r="I74" s="609"/>
      <c r="J74" s="754"/>
      <c r="K74" s="1115"/>
      <c r="L74" s="1115"/>
      <c r="M74" s="1115"/>
      <c r="N74" s="1115">
        <v>4</v>
      </c>
      <c r="O74" s="751"/>
      <c r="P74" s="139">
        <f t="shared" si="6"/>
        <v>4</v>
      </c>
    </row>
    <row r="75" spans="1:16" ht="33.75">
      <c r="A75" s="585" t="str">
        <f t="shared" si="0"/>
        <v>Deka-BonusRente</v>
      </c>
      <c r="B75" s="585">
        <f>ROW()</f>
        <v>75</v>
      </c>
      <c r="C75" s="610" t="s">
        <v>1036</v>
      </c>
      <c r="E75" s="611" t="s">
        <v>651</v>
      </c>
      <c r="F75" s="612" t="str">
        <f t="shared" si="5"/>
        <v>Ja</v>
      </c>
      <c r="G75" s="609" t="str">
        <f t="shared" si="7"/>
        <v>TO ermöglicht: Tarifwechel; doppelten Kostenabzug;  Wertteilhabe (z.B. Verzinsung) zwischen EzE und RK geltend machen</v>
      </c>
      <c r="H75" s="585"/>
      <c r="J75" s="754"/>
      <c r="K75" s="1115">
        <v>1</v>
      </c>
      <c r="L75" s="1115">
        <v>2</v>
      </c>
      <c r="M75" s="1115"/>
      <c r="N75" s="1115">
        <v>4</v>
      </c>
      <c r="O75" s="919" t="s">
        <v>1037</v>
      </c>
      <c r="P75" s="139">
        <f t="shared" si="6"/>
        <v>7</v>
      </c>
    </row>
    <row r="76" spans="1:16" ht="33.75">
      <c r="A76" s="585" t="str">
        <f t="shared" si="0"/>
        <v>Deka-Pensions-Plan v. 16.07.2021</v>
      </c>
      <c r="B76" s="585">
        <f>ROW()</f>
        <v>76</v>
      </c>
      <c r="C76" s="610" t="s">
        <v>2006</v>
      </c>
      <c r="D76" s="1117">
        <v>44393</v>
      </c>
      <c r="E76" s="611" t="s">
        <v>2007</v>
      </c>
      <c r="F76" s="612"/>
      <c r="G76" s="609" t="str">
        <f>IF(SUM(K76:N76)=0,"","TO ermöglicht: "&amp;IF(K76&gt;0,"Tarifwechel; ","")&amp;IF(L76&gt;0,"doppelten Kostenabzug; ","")&amp;IF(M76&gt;0," Abweichungen vom gerichtl. festgelegten Ausgleichswert; ","")&amp;IF(N76&gt;0," Wertteilhabe (z.B. Verzinsung) zwischen EzE und RK geltend machen",""))</f>
        <v>TO ermöglicht: doppelten Kostenabzug;  Wertteilhabe (z.B. Verzinsung) zwischen EzE und RK geltend machen</v>
      </c>
      <c r="H76" s="585"/>
      <c r="J76" s="754"/>
      <c r="K76" s="1115"/>
      <c r="L76" s="1115">
        <v>2</v>
      </c>
      <c r="M76" s="1115"/>
      <c r="N76" s="1115">
        <v>4</v>
      </c>
      <c r="O76" s="919"/>
      <c r="P76" s="139"/>
    </row>
    <row r="77" spans="1:16" ht="33.75">
      <c r="A77" s="585" t="str">
        <f t="shared" si="0"/>
        <v>Deka-ZukunftsPlan</v>
      </c>
      <c r="B77" s="585">
        <f>ROW()</f>
        <v>77</v>
      </c>
      <c r="C77" s="610" t="s">
        <v>1035</v>
      </c>
      <c r="E77" s="611" t="s">
        <v>651</v>
      </c>
      <c r="F77" s="612" t="str">
        <f t="shared" si="5"/>
        <v>Ja</v>
      </c>
      <c r="G77" s="609" t="str">
        <f t="shared" ref="G77:G144" si="8">IF(SUM(K77:N77)=0,"","TO ermöglicht: "&amp;IF(K77&gt;0,"Tarifwechel; ","")&amp;IF(L77&gt;0,"doppelten Kostenabzug; ","")&amp;IF(M77&gt;0," Abweichungen vom gerichtl. festgelegten Ausgleichswert; ","")&amp;IF(N77&gt;0," Wertteilhabe (z.B. Verzinsung) zwischen EzE und RK geltend machen",""))</f>
        <v>TO ermöglicht: Tarifwechel; doppelten Kostenabzug;  Wertteilhabe (z.B. Verzinsung) zwischen EzE und RK geltend machen</v>
      </c>
      <c r="J77" s="754"/>
      <c r="K77" s="1115">
        <v>1</v>
      </c>
      <c r="L77" s="1115">
        <v>2</v>
      </c>
      <c r="M77" s="1115"/>
      <c r="N77" s="1115">
        <v>4</v>
      </c>
      <c r="O77" s="919" t="s">
        <v>1037</v>
      </c>
      <c r="P77" s="139">
        <f t="shared" si="6"/>
        <v>7</v>
      </c>
    </row>
    <row r="78" spans="1:16" ht="90">
      <c r="A78" s="585" t="str">
        <f t="shared" si="0"/>
        <v>Deka-Zukunftsplan und BonusRente v. 01.01.2019</v>
      </c>
      <c r="B78" s="585">
        <f>ROW()</f>
        <v>78</v>
      </c>
      <c r="C78" s="610" t="s">
        <v>1455</v>
      </c>
      <c r="D78" s="1117">
        <v>43466</v>
      </c>
      <c r="E78" s="611" t="s">
        <v>651</v>
      </c>
      <c r="F78" s="612" t="s">
        <v>463</v>
      </c>
      <c r="G78" s="609" t="str">
        <f t="shared" si="8"/>
        <v>TO ermöglicht: Tarifwechel; doppelten Kostenabzug;  Wertteilhabe (z.B. Verzinsung) zwischen EzE und RK geltend machen</v>
      </c>
      <c r="I78" s="609" t="s">
        <v>1456</v>
      </c>
      <c r="J78" s="754"/>
      <c r="K78" s="1115">
        <v>1</v>
      </c>
      <c r="L78" s="1115">
        <v>2</v>
      </c>
      <c r="M78" s="1115"/>
      <c r="N78" s="1115">
        <v>4</v>
      </c>
      <c r="O78" s="919"/>
      <c r="P78" s="139">
        <f t="shared" si="6"/>
        <v>7</v>
      </c>
    </row>
    <row r="79" spans="1:16" ht="33.75">
      <c r="A79" s="585" t="str">
        <f t="shared" si="0"/>
        <v>Delta Lloyd Lebensversicherung</v>
      </c>
      <c r="B79" s="585">
        <f>ROW()</f>
        <v>79</v>
      </c>
      <c r="C79" s="610" t="s">
        <v>711</v>
      </c>
      <c r="E79" s="611" t="s">
        <v>713</v>
      </c>
      <c r="F79" s="612" t="str">
        <f>IF(K79=1,"Ja","")</f>
        <v>Ja</v>
      </c>
      <c r="G79" s="609" t="str">
        <f t="shared" si="8"/>
        <v xml:space="preserve">TO ermöglicht: Tarifwechel; </v>
      </c>
      <c r="K79" s="1115">
        <v>1</v>
      </c>
      <c r="L79" s="1115"/>
      <c r="M79" s="1115"/>
      <c r="N79" s="1115"/>
      <c r="O79" s="759" t="s">
        <v>714</v>
      </c>
      <c r="P79" s="139">
        <f t="shared" si="6"/>
        <v>1</v>
      </c>
    </row>
    <row r="80" spans="1:16" ht="33.75">
      <c r="A80" s="585" t="str">
        <f t="shared" ref="A80:A152" si="9">C80&amp;IF(D80=0,""," v. "&amp;TEXT(D80,"TT.MM.JJJ"))</f>
        <v>Delta Lloyd Pensionskasse</v>
      </c>
      <c r="B80" s="585">
        <f>ROW()</f>
        <v>80</v>
      </c>
      <c r="C80" s="610" t="s">
        <v>710</v>
      </c>
      <c r="E80" s="611" t="s">
        <v>713</v>
      </c>
      <c r="F80" s="612" t="str">
        <f>IF(K80=1,"Ja","")</f>
        <v>Ja</v>
      </c>
      <c r="G80" s="609" t="str">
        <f t="shared" si="8"/>
        <v xml:space="preserve">TO ermöglicht: Tarifwechel; </v>
      </c>
      <c r="K80" s="1115">
        <v>1</v>
      </c>
      <c r="L80" s="1115"/>
      <c r="M80" s="1115"/>
      <c r="N80" s="1115"/>
      <c r="O80" s="759" t="s">
        <v>714</v>
      </c>
      <c r="P80" s="139">
        <f t="shared" si="6"/>
        <v>1</v>
      </c>
    </row>
    <row r="81" spans="1:16" ht="33.75">
      <c r="A81" s="585" t="str">
        <f t="shared" si="9"/>
        <v>Deutsche Ärzteversicherung AG v. 01.05.2020</v>
      </c>
      <c r="B81" s="585">
        <f>ROW()</f>
        <v>81</v>
      </c>
      <c r="C81" s="610" t="s">
        <v>1454</v>
      </c>
      <c r="D81" s="1117">
        <v>43952</v>
      </c>
      <c r="E81" s="611">
        <v>5</v>
      </c>
      <c r="F81" s="612" t="s">
        <v>463</v>
      </c>
      <c r="G81" s="609" t="str">
        <f t="shared" si="8"/>
        <v>TO ermöglicht: Tarifwechel; doppelten Kostenabzug;  Wertteilhabe (z.B. Verzinsung) zwischen EzE und RK geltend machen</v>
      </c>
      <c r="K81" s="1115">
        <v>1</v>
      </c>
      <c r="L81" s="1115">
        <v>2</v>
      </c>
      <c r="M81" s="1115"/>
      <c r="N81" s="1115">
        <v>4</v>
      </c>
      <c r="O81" s="759"/>
      <c r="P81" s="139">
        <f t="shared" si="6"/>
        <v>7</v>
      </c>
    </row>
    <row r="82" spans="1:16">
      <c r="A82" s="585" t="str">
        <f t="shared" si="9"/>
        <v>Deutsche Bank v. 01.04.2016</v>
      </c>
      <c r="B82" s="585">
        <f>ROW()</f>
        <v>82</v>
      </c>
      <c r="C82" s="610" t="s">
        <v>656</v>
      </c>
      <c r="D82" s="1117">
        <v>42461</v>
      </c>
      <c r="E82" s="611" t="s">
        <v>657</v>
      </c>
      <c r="F82" s="612" t="str">
        <f t="shared" ref="F82:F154" si="10">IF(K82=1,"Ja","")</f>
        <v/>
      </c>
      <c r="G82" s="609" t="str">
        <f t="shared" si="8"/>
        <v/>
      </c>
      <c r="K82" s="1115"/>
      <c r="L82" s="1115"/>
      <c r="M82" s="1115"/>
      <c r="N82" s="1115"/>
      <c r="O82" s="609"/>
      <c r="P82" s="139">
        <f t="shared" si="6"/>
        <v>0</v>
      </c>
    </row>
    <row r="83" spans="1:16">
      <c r="A83" s="585" t="str">
        <f t="shared" si="9"/>
        <v>Deutsche Bank v. 01.07.2021</v>
      </c>
      <c r="B83" s="585">
        <f>ROW()</f>
        <v>83</v>
      </c>
      <c r="C83" s="610" t="s">
        <v>656</v>
      </c>
      <c r="D83" s="1117">
        <v>44378</v>
      </c>
      <c r="F83" s="612" t="str">
        <f t="shared" si="10"/>
        <v/>
      </c>
      <c r="G83" s="609" t="str">
        <f t="shared" si="8"/>
        <v xml:space="preserve">TO ermöglicht: doppelten Kostenabzug; </v>
      </c>
      <c r="K83" s="1115"/>
      <c r="L83" s="1115">
        <v>2</v>
      </c>
      <c r="M83" s="1115"/>
      <c r="N83" s="1115"/>
      <c r="P83" s="139">
        <f t="shared" si="6"/>
        <v>2</v>
      </c>
    </row>
    <row r="84" spans="1:16" ht="25.5">
      <c r="A84" s="585" t="str">
        <f t="shared" si="9"/>
        <v>Deutsche Fertighaus Holding UK DFH v. 01.09.2009</v>
      </c>
      <c r="B84" s="585">
        <f>ROW()</f>
        <v>84</v>
      </c>
      <c r="C84" s="610" t="s">
        <v>774</v>
      </c>
      <c r="D84" s="1117">
        <v>40057</v>
      </c>
      <c r="E84" s="611" t="s">
        <v>767</v>
      </c>
      <c r="F84" s="612" t="str">
        <f t="shared" si="10"/>
        <v/>
      </c>
      <c r="G84" s="609" t="str">
        <f t="shared" si="8"/>
        <v xml:space="preserve">TO ermöglicht: doppelten Kostenabzug; </v>
      </c>
      <c r="K84" s="1115"/>
      <c r="L84" s="1115">
        <v>2</v>
      </c>
      <c r="M84" s="1115"/>
      <c r="N84" s="1115"/>
      <c r="O84" s="755" t="s">
        <v>803</v>
      </c>
      <c r="P84" s="139">
        <f t="shared" si="6"/>
        <v>2</v>
      </c>
    </row>
    <row r="85" spans="1:16" ht="22.5">
      <c r="A85" s="585" t="str">
        <f t="shared" si="9"/>
        <v>Deutsche Flugsicherung v. 09.12.2016</v>
      </c>
      <c r="B85" s="585">
        <f>ROW()</f>
        <v>85</v>
      </c>
      <c r="C85" s="610" t="s">
        <v>1256</v>
      </c>
      <c r="D85" s="1117">
        <v>42713</v>
      </c>
      <c r="E85" s="611" t="s">
        <v>196</v>
      </c>
      <c r="F85" s="612" t="str">
        <f t="shared" si="10"/>
        <v/>
      </c>
      <c r="G85" s="609" t="str">
        <f t="shared" si="8"/>
        <v xml:space="preserve">TO ermöglicht:  Abweichungen vom gerichtl. festgelegten Ausgleichswert; </v>
      </c>
      <c r="K85" s="1115"/>
      <c r="L85" s="1115"/>
      <c r="M85" s="1115">
        <v>3</v>
      </c>
      <c r="N85" s="1115"/>
      <c r="O85" s="755"/>
      <c r="P85" s="139">
        <f t="shared" si="6"/>
        <v>3</v>
      </c>
    </row>
    <row r="86" spans="1:16" ht="25.5">
      <c r="A86" s="585" t="str">
        <f t="shared" si="9"/>
        <v>Deutsche See v. 01.09.2009</v>
      </c>
      <c r="B86" s="585">
        <f>ROW()</f>
        <v>86</v>
      </c>
      <c r="C86" s="610" t="s">
        <v>795</v>
      </c>
      <c r="D86" s="1117">
        <v>40057</v>
      </c>
      <c r="E86" s="611" t="s">
        <v>767</v>
      </c>
      <c r="F86" s="612" t="str">
        <f t="shared" si="10"/>
        <v/>
      </c>
      <c r="G86" s="609" t="str">
        <f t="shared" si="8"/>
        <v xml:space="preserve">TO ermöglicht: doppelten Kostenabzug; </v>
      </c>
      <c r="K86" s="1115"/>
      <c r="L86" s="1115">
        <v>2</v>
      </c>
      <c r="M86" s="1115"/>
      <c r="N86" s="1115"/>
      <c r="O86" s="755" t="s">
        <v>803</v>
      </c>
      <c r="P86" s="139">
        <f t="shared" si="6"/>
        <v>2</v>
      </c>
    </row>
    <row r="87" spans="1:16" ht="33.75">
      <c r="A87" s="585" t="str">
        <f t="shared" si="9"/>
        <v>Deutsche Telekom AG v. 01.07.2022</v>
      </c>
      <c r="B87" s="585">
        <f>ROW()</f>
        <v>87</v>
      </c>
      <c r="C87" s="610" t="s">
        <v>1257</v>
      </c>
      <c r="D87" s="1117">
        <v>44743</v>
      </c>
      <c r="F87" s="612" t="str">
        <f t="shared" si="10"/>
        <v/>
      </c>
      <c r="G87" s="609" t="str">
        <f t="shared" si="8"/>
        <v xml:space="preserve">TO ermöglicht: doppelten Kostenabzug;  Abweichungen vom gerichtl. festgelegten Ausgleichswert; </v>
      </c>
      <c r="K87" s="1115"/>
      <c r="L87" s="1115">
        <v>2</v>
      </c>
      <c r="M87" s="1115">
        <v>3</v>
      </c>
      <c r="N87" s="1115"/>
      <c r="P87" s="139">
        <f t="shared" si="6"/>
        <v>5</v>
      </c>
    </row>
    <row r="88" spans="1:16" ht="33.75">
      <c r="A88" s="585" t="str">
        <f t="shared" si="9"/>
        <v>Deutsche Telekom KBV bAV AT v. 19.03.2021</v>
      </c>
      <c r="B88" s="585">
        <f>ROW()</f>
        <v>88</v>
      </c>
      <c r="C88" s="610" t="s">
        <v>1033</v>
      </c>
      <c r="D88" s="1117">
        <v>44274</v>
      </c>
      <c r="F88" s="612" t="str">
        <f t="shared" si="10"/>
        <v/>
      </c>
      <c r="G88" s="609" t="str">
        <f t="shared" si="8"/>
        <v>TO ermöglicht: doppelten Kostenabzug;  Wertteilhabe (z.B. Verzinsung) zwischen EzE und RK geltend machen</v>
      </c>
      <c r="K88" s="1115"/>
      <c r="L88" s="1115">
        <v>2</v>
      </c>
      <c r="M88" s="1115"/>
      <c r="N88" s="1115">
        <v>4</v>
      </c>
      <c r="P88" s="139">
        <f t="shared" si="6"/>
        <v>6</v>
      </c>
    </row>
    <row r="89" spans="1:16" ht="90">
      <c r="A89" s="585" t="str">
        <f t="shared" si="9"/>
        <v>Deutsche Telekom TV Kapitalkontenplan v. 01.02.2022</v>
      </c>
      <c r="B89" s="585">
        <f>ROW()</f>
        <v>89</v>
      </c>
      <c r="C89" s="610" t="s">
        <v>1032</v>
      </c>
      <c r="D89" s="1117">
        <v>44593</v>
      </c>
      <c r="F89" s="612" t="str">
        <f t="shared" si="10"/>
        <v/>
      </c>
      <c r="G89" s="609" t="str">
        <f t="shared" si="8"/>
        <v/>
      </c>
      <c r="I89" s="609" t="s">
        <v>1034</v>
      </c>
      <c r="K89" s="1115"/>
      <c r="L89" s="1115"/>
      <c r="M89" s="1115"/>
      <c r="N89" s="1115"/>
      <c r="P89" s="139">
        <f t="shared" si="6"/>
        <v>0</v>
      </c>
    </row>
    <row r="90" spans="1:16">
      <c r="A90" s="585" t="str">
        <f t="shared" si="9"/>
        <v>Deutsche Welle Tarifvertrag v. 06.12.2009</v>
      </c>
      <c r="B90" s="585">
        <f>ROW()</f>
        <v>90</v>
      </c>
      <c r="C90" s="610" t="s">
        <v>941</v>
      </c>
      <c r="D90" s="1117">
        <v>40153</v>
      </c>
      <c r="F90" s="612" t="str">
        <f t="shared" si="10"/>
        <v/>
      </c>
      <c r="G90" s="609" t="str">
        <f t="shared" si="8"/>
        <v/>
      </c>
      <c r="K90" s="1115"/>
      <c r="L90" s="1115"/>
      <c r="M90" s="1115"/>
      <c r="N90" s="1115"/>
      <c r="P90" s="139">
        <f t="shared" si="6"/>
        <v>0</v>
      </c>
    </row>
    <row r="91" spans="1:16" ht="22.5">
      <c r="A91" s="585" t="str">
        <f t="shared" si="9"/>
        <v>Deutscher Pensionsfonds AG v. 01.01.2013</v>
      </c>
      <c r="B91" s="585">
        <f>ROW()</f>
        <v>91</v>
      </c>
      <c r="C91" s="610" t="s">
        <v>885</v>
      </c>
      <c r="D91" s="1117">
        <v>41275</v>
      </c>
      <c r="F91" s="612" t="str">
        <f t="shared" si="10"/>
        <v>Ja</v>
      </c>
      <c r="G91" s="609" t="str">
        <f t="shared" si="8"/>
        <v>TO ermöglicht: Tarifwechel;  Wertteilhabe (z.B. Verzinsung) zwischen EzE und RK geltend machen</v>
      </c>
      <c r="K91" s="1115">
        <v>1</v>
      </c>
      <c r="L91" s="1115"/>
      <c r="M91" s="1115"/>
      <c r="N91" s="1115">
        <v>4</v>
      </c>
      <c r="P91" s="139">
        <f t="shared" si="6"/>
        <v>5</v>
      </c>
    </row>
    <row r="92" spans="1:16" ht="67.5">
      <c r="A92" s="585" t="str">
        <f t="shared" si="9"/>
        <v>Deutscher Pensionsfonds AG v. 06.12.2020</v>
      </c>
      <c r="B92" s="585">
        <f>ROW()</f>
        <v>92</v>
      </c>
      <c r="C92" s="610" t="s">
        <v>885</v>
      </c>
      <c r="D92" s="1117">
        <v>44171</v>
      </c>
      <c r="E92" s="611" t="s">
        <v>1327</v>
      </c>
      <c r="F92" s="612" t="str">
        <f t="shared" si="10"/>
        <v/>
      </c>
      <c r="G92" s="609" t="str">
        <f t="shared" si="8"/>
        <v>TO ermöglicht: doppelten Kostenabzug;  Abweichungen vom gerichtl. festgelegten Ausgleichswert;  Wertteilhabe (z.B. Verzinsung) zwischen EzE und RK geltend machen</v>
      </c>
      <c r="I92" s="609" t="s">
        <v>1326</v>
      </c>
      <c r="J92" s="754"/>
      <c r="K92" s="1115"/>
      <c r="L92" s="1115">
        <v>2</v>
      </c>
      <c r="M92" s="1115">
        <v>3</v>
      </c>
      <c r="N92" s="1115">
        <v>4</v>
      </c>
      <c r="O92" s="816" t="s">
        <v>886</v>
      </c>
      <c r="P92" s="139">
        <f t="shared" si="6"/>
        <v>9</v>
      </c>
    </row>
    <row r="93" spans="1:16">
      <c r="A93" s="585" t="str">
        <f t="shared" si="9"/>
        <v>Deutschlandradio Tarifvertrag v. 10.12.2009</v>
      </c>
      <c r="B93" s="585">
        <f>ROW()</f>
        <v>93</v>
      </c>
      <c r="C93" s="610" t="s">
        <v>945</v>
      </c>
      <c r="D93" s="1117">
        <v>40157</v>
      </c>
      <c r="F93" s="612" t="str">
        <f t="shared" si="10"/>
        <v/>
      </c>
      <c r="G93" s="609" t="str">
        <f t="shared" si="8"/>
        <v/>
      </c>
      <c r="K93" s="1115"/>
      <c r="L93" s="1115"/>
      <c r="M93" s="1115"/>
      <c r="N93" s="1115"/>
      <c r="P93" s="139">
        <f t="shared" si="6"/>
        <v>0</v>
      </c>
    </row>
    <row r="94" spans="1:16" ht="22.5">
      <c r="A94" s="585" t="str">
        <f t="shared" si="9"/>
        <v>DFS Deutsche Flugsicherung v. 09.12.2016</v>
      </c>
      <c r="B94" s="585">
        <f>ROW()</f>
        <v>94</v>
      </c>
      <c r="C94" s="610" t="s">
        <v>949</v>
      </c>
      <c r="D94" s="1117">
        <v>42713</v>
      </c>
      <c r="E94" s="815" t="s">
        <v>951</v>
      </c>
      <c r="F94" s="612" t="str">
        <f t="shared" si="10"/>
        <v/>
      </c>
      <c r="G94" s="609" t="str">
        <f t="shared" si="8"/>
        <v xml:space="preserve">TO ermöglicht:  Abweichungen vom gerichtl. festgelegten Ausgleichswert; </v>
      </c>
      <c r="J94" s="754"/>
      <c r="K94" s="1115"/>
      <c r="L94" s="1115"/>
      <c r="M94" s="1115">
        <v>3</v>
      </c>
      <c r="N94" s="1115"/>
      <c r="P94" s="139">
        <f t="shared" si="6"/>
        <v>3</v>
      </c>
    </row>
    <row r="95" spans="1:16">
      <c r="A95" s="585" t="str">
        <f t="shared" si="9"/>
        <v>Diamalt v. 01.07.2021</v>
      </c>
      <c r="B95" s="585">
        <f>ROW()</f>
        <v>95</v>
      </c>
      <c r="C95" s="610" t="s">
        <v>1253</v>
      </c>
      <c r="D95" s="1117">
        <v>44378</v>
      </c>
      <c r="E95" s="611" t="s">
        <v>767</v>
      </c>
      <c r="F95" s="612" t="str">
        <f t="shared" si="10"/>
        <v/>
      </c>
      <c r="G95" s="609" t="str">
        <f t="shared" si="8"/>
        <v xml:space="preserve">TO ermöglicht: doppelten Kostenabzug; </v>
      </c>
      <c r="J95" s="754"/>
      <c r="K95" s="1115"/>
      <c r="L95" s="1115">
        <v>2</v>
      </c>
      <c r="M95" s="1115"/>
      <c r="N95" s="1115"/>
      <c r="O95" s="755"/>
      <c r="P95" s="139">
        <f t="shared" si="6"/>
        <v>2</v>
      </c>
    </row>
    <row r="96" spans="1:16" ht="25.5">
      <c r="A96" s="585" t="str">
        <f t="shared" si="9"/>
        <v>DINEA_Gastronomie_GmbH v. 01.07.2012</v>
      </c>
      <c r="B96" s="585">
        <f>ROW()</f>
        <v>96</v>
      </c>
      <c r="C96" s="610" t="s">
        <v>765</v>
      </c>
      <c r="D96" s="1117">
        <v>41091</v>
      </c>
      <c r="E96" s="611" t="s">
        <v>766</v>
      </c>
      <c r="F96" s="612" t="str">
        <f t="shared" si="10"/>
        <v/>
      </c>
      <c r="G96" s="609" t="str">
        <f t="shared" si="8"/>
        <v xml:space="preserve">TO ermöglicht: doppelten Kostenabzug; </v>
      </c>
      <c r="K96" s="1115"/>
      <c r="L96" s="1115">
        <v>2</v>
      </c>
      <c r="M96" s="1115"/>
      <c r="N96" s="1115"/>
      <c r="O96" s="755" t="s">
        <v>803</v>
      </c>
      <c r="P96" s="139">
        <f t="shared" si="6"/>
        <v>2</v>
      </c>
    </row>
    <row r="97" spans="1:16" ht="25.5">
      <c r="A97" s="585" t="str">
        <f t="shared" si="9"/>
        <v>Diversey GmbH &amp; Co. OHG v. 01.01.2010</v>
      </c>
      <c r="B97" s="585">
        <f>ROW()</f>
        <v>97</v>
      </c>
      <c r="C97" s="610" t="s">
        <v>1258</v>
      </c>
      <c r="D97" s="1117">
        <v>40179</v>
      </c>
      <c r="E97" s="611" t="s">
        <v>767</v>
      </c>
      <c r="F97" s="612" t="str">
        <f t="shared" si="10"/>
        <v/>
      </c>
      <c r="G97" s="609" t="str">
        <f t="shared" si="8"/>
        <v xml:space="preserve">TO ermöglicht: doppelten Kostenabzug; </v>
      </c>
      <c r="K97" s="1115"/>
      <c r="L97" s="1115">
        <v>2</v>
      </c>
      <c r="M97" s="1115"/>
      <c r="N97" s="1115"/>
      <c r="O97" s="755" t="s">
        <v>803</v>
      </c>
      <c r="P97" s="139">
        <f t="shared" si="6"/>
        <v>2</v>
      </c>
    </row>
    <row r="98" spans="1:16">
      <c r="A98" s="585" t="str">
        <f t="shared" si="9"/>
        <v>DKB Deutsche Kredit Bank AG</v>
      </c>
      <c r="B98" s="585">
        <f>ROW()</f>
        <v>98</v>
      </c>
      <c r="C98" s="610" t="s">
        <v>2008</v>
      </c>
      <c r="F98" s="612"/>
      <c r="K98" s="1115"/>
      <c r="L98" s="1115"/>
      <c r="M98" s="1115"/>
      <c r="N98" s="1115"/>
      <c r="O98" s="755"/>
      <c r="P98" s="139"/>
    </row>
    <row r="99" spans="1:16" ht="56.25">
      <c r="A99" s="585" t="str">
        <f t="shared" si="9"/>
        <v>DWS Investment GmbH Basisrentenverträge AltZertG v. 01.11.2018</v>
      </c>
      <c r="B99" s="585">
        <f>ROW()</f>
        <v>99</v>
      </c>
      <c r="C99" s="610" t="s">
        <v>1313</v>
      </c>
      <c r="D99" s="1117">
        <v>43405</v>
      </c>
      <c r="E99" s="611">
        <v>5</v>
      </c>
      <c r="F99" s="612" t="str">
        <f t="shared" si="10"/>
        <v>Ja</v>
      </c>
      <c r="G99" s="609" t="str">
        <f t="shared" si="8"/>
        <v>TO ermöglicht: Tarifwechel;  Abweichungen vom gerichtl. festgelegten Ausgleichswert;  Wertteilhabe (z.B. Verzinsung) zwischen EzE und RK geltend machen</v>
      </c>
      <c r="I99" s="609" t="s">
        <v>1314</v>
      </c>
      <c r="K99" s="1115">
        <v>1</v>
      </c>
      <c r="L99" s="1115"/>
      <c r="M99" s="1115">
        <v>3</v>
      </c>
      <c r="N99" s="1115">
        <v>4</v>
      </c>
      <c r="P99" s="139">
        <f t="shared" si="6"/>
        <v>8</v>
      </c>
    </row>
    <row r="100" spans="1:16" ht="38.25">
      <c r="A100" s="585" t="str">
        <f t="shared" si="9"/>
        <v>DWS Investment v. 01.06.2022</v>
      </c>
      <c r="B100" s="585">
        <f>ROW()</f>
        <v>100</v>
      </c>
      <c r="C100" s="610" t="s">
        <v>746</v>
      </c>
      <c r="D100" s="1117">
        <v>44713</v>
      </c>
      <c r="E100" s="611" t="s">
        <v>747</v>
      </c>
      <c r="F100" s="612" t="str">
        <f t="shared" si="10"/>
        <v>Ja</v>
      </c>
      <c r="G100" s="609" t="str">
        <f t="shared" si="8"/>
        <v xml:space="preserve">TO ermöglicht: Tarifwechel; </v>
      </c>
      <c r="K100" s="1115">
        <v>1</v>
      </c>
      <c r="L100" s="1115"/>
      <c r="M100" s="1115"/>
      <c r="N100" s="1115"/>
      <c r="O100" s="755" t="s">
        <v>748</v>
      </c>
      <c r="P100" s="139">
        <f t="shared" si="6"/>
        <v>1</v>
      </c>
    </row>
    <row r="101" spans="1:16" ht="25.5">
      <c r="A101" s="585" t="str">
        <f t="shared" si="9"/>
        <v>EDEKA Handelsgesellschaft Nordbayern-Sachsen-Thüringen mbH v. 01.09.2009</v>
      </c>
      <c r="B101" s="585">
        <f>ROW()</f>
        <v>101</v>
      </c>
      <c r="C101" s="610" t="s">
        <v>798</v>
      </c>
      <c r="D101" s="1117">
        <v>40057</v>
      </c>
      <c r="F101" s="612" t="str">
        <f t="shared" si="10"/>
        <v/>
      </c>
      <c r="G101" s="609" t="str">
        <f t="shared" si="8"/>
        <v xml:space="preserve">TO ermöglicht: doppelten Kostenabzug; </v>
      </c>
      <c r="K101" s="1115"/>
      <c r="L101" s="1115">
        <v>2</v>
      </c>
      <c r="M101" s="1115"/>
      <c r="N101" s="1115"/>
      <c r="O101" s="755" t="s">
        <v>803</v>
      </c>
      <c r="P101" s="139">
        <f t="shared" ref="P101:P174" si="11">SUM(K101:N101)</f>
        <v>2</v>
      </c>
    </row>
    <row r="102" spans="1:16" ht="25.5">
      <c r="A102" s="585" t="str">
        <f t="shared" si="9"/>
        <v>EDEKA Nordbayern-Schsen-Thüringen GmbH v. 01.09.2009</v>
      </c>
      <c r="B102" s="585">
        <f>ROW()</f>
        <v>102</v>
      </c>
      <c r="C102" s="610" t="s">
        <v>1259</v>
      </c>
      <c r="D102" s="1117">
        <v>40057</v>
      </c>
      <c r="E102" s="611" t="s">
        <v>767</v>
      </c>
      <c r="F102" s="612" t="str">
        <f t="shared" si="10"/>
        <v/>
      </c>
      <c r="G102" s="609" t="str">
        <f t="shared" si="8"/>
        <v xml:space="preserve">TO ermöglicht: doppelten Kostenabzug; </v>
      </c>
      <c r="K102" s="1115"/>
      <c r="L102" s="1115">
        <v>2</v>
      </c>
      <c r="M102" s="1115"/>
      <c r="N102" s="1115"/>
      <c r="O102" s="755"/>
      <c r="P102" s="139">
        <f t="shared" si="11"/>
        <v>2</v>
      </c>
    </row>
    <row r="103" spans="1:16" ht="25.5">
      <c r="A103" s="585" t="str">
        <f t="shared" si="9"/>
        <v>EDEKA Rhein-Ruhr R11 R12 v. 01.09.2018</v>
      </c>
      <c r="B103" s="585">
        <f>ROW()</f>
        <v>103</v>
      </c>
      <c r="C103" s="610" t="s">
        <v>800</v>
      </c>
      <c r="D103" s="1117">
        <v>43344</v>
      </c>
      <c r="E103" s="611" t="s">
        <v>767</v>
      </c>
      <c r="F103" s="612" t="str">
        <f t="shared" si="10"/>
        <v/>
      </c>
      <c r="G103" s="609" t="str">
        <f t="shared" si="8"/>
        <v xml:space="preserve">TO ermöglicht: doppelten Kostenabzug; </v>
      </c>
      <c r="K103" s="1115"/>
      <c r="L103" s="1115">
        <v>2</v>
      </c>
      <c r="M103" s="1115"/>
      <c r="N103" s="1115"/>
      <c r="O103" s="755" t="s">
        <v>803</v>
      </c>
      <c r="P103" s="139">
        <f t="shared" si="11"/>
        <v>2</v>
      </c>
    </row>
    <row r="104" spans="1:16" ht="25.5">
      <c r="A104" s="585" t="str">
        <f t="shared" si="9"/>
        <v>EDEKA Süd v. 01.09.2009</v>
      </c>
      <c r="B104" s="585">
        <f>ROW()</f>
        <v>104</v>
      </c>
      <c r="C104" s="610" t="s">
        <v>788</v>
      </c>
      <c r="D104" s="1117">
        <v>40057</v>
      </c>
      <c r="E104" s="611" t="s">
        <v>767</v>
      </c>
      <c r="F104" s="612" t="str">
        <f t="shared" si="10"/>
        <v/>
      </c>
      <c r="G104" s="609" t="str">
        <f t="shared" si="8"/>
        <v xml:space="preserve">TO ermöglicht: doppelten Kostenabzug; </v>
      </c>
      <c r="K104" s="1115"/>
      <c r="L104" s="1115">
        <v>2</v>
      </c>
      <c r="M104" s="1115"/>
      <c r="N104" s="1115"/>
      <c r="O104" s="755" t="s">
        <v>803</v>
      </c>
      <c r="P104" s="139">
        <f t="shared" si="11"/>
        <v>2</v>
      </c>
    </row>
    <row r="105" spans="1:16" ht="25.5">
      <c r="A105" s="585" t="str">
        <f t="shared" si="9"/>
        <v>EDEKA Südwest v. 01.09.2009</v>
      </c>
      <c r="B105" s="585">
        <f>ROW()</f>
        <v>105</v>
      </c>
      <c r="C105" s="610" t="s">
        <v>789</v>
      </c>
      <c r="D105" s="1117">
        <v>40057</v>
      </c>
      <c r="E105" s="611" t="s">
        <v>767</v>
      </c>
      <c r="F105" s="612" t="str">
        <f t="shared" si="10"/>
        <v/>
      </c>
      <c r="G105" s="609" t="str">
        <f t="shared" si="8"/>
        <v xml:space="preserve">TO ermöglicht: doppelten Kostenabzug; </v>
      </c>
      <c r="K105" s="1115"/>
      <c r="L105" s="1115">
        <v>2</v>
      </c>
      <c r="M105" s="1115"/>
      <c r="N105" s="1115"/>
      <c r="O105" s="755" t="s">
        <v>803</v>
      </c>
      <c r="P105" s="139">
        <f t="shared" si="11"/>
        <v>2</v>
      </c>
    </row>
    <row r="106" spans="1:16" ht="25.5">
      <c r="A106" s="585" t="str">
        <f t="shared" si="9"/>
        <v>EDEKA Zentrale Handel und Produktion GmbH v. 01.07.2016</v>
      </c>
      <c r="B106" s="585">
        <f>ROW()</f>
        <v>106</v>
      </c>
      <c r="C106" s="610" t="s">
        <v>797</v>
      </c>
      <c r="D106" s="1117">
        <v>42552</v>
      </c>
      <c r="E106" s="611" t="s">
        <v>767</v>
      </c>
      <c r="F106" s="612" t="str">
        <f t="shared" si="10"/>
        <v/>
      </c>
      <c r="G106" s="609" t="str">
        <f t="shared" si="8"/>
        <v xml:space="preserve">TO ermöglicht: doppelten Kostenabzug; </v>
      </c>
      <c r="K106" s="1115"/>
      <c r="L106" s="1115">
        <v>2</v>
      </c>
      <c r="M106" s="1115"/>
      <c r="N106" s="1115"/>
      <c r="O106" s="755" t="s">
        <v>803</v>
      </c>
      <c r="P106" s="139">
        <f t="shared" si="11"/>
        <v>2</v>
      </c>
    </row>
    <row r="107" spans="1:16" ht="25.5">
      <c r="A107" s="585" t="str">
        <f t="shared" si="9"/>
        <v>Edelweiss GmbH &amp; Co KG (EVO I und II) v. 01.07.2011</v>
      </c>
      <c r="B107" s="585">
        <f>ROW()</f>
        <v>107</v>
      </c>
      <c r="C107" s="610" t="s">
        <v>1260</v>
      </c>
      <c r="D107" s="1117">
        <v>40725</v>
      </c>
      <c r="E107" s="611">
        <v>5</v>
      </c>
      <c r="F107" s="612" t="str">
        <f t="shared" si="10"/>
        <v/>
      </c>
      <c r="G107" s="609" t="str">
        <f t="shared" si="8"/>
        <v xml:space="preserve">TO ermöglicht: doppelten Kostenabzug; </v>
      </c>
      <c r="K107" s="1115"/>
      <c r="L107" s="1115">
        <v>2</v>
      </c>
      <c r="M107" s="1115"/>
      <c r="N107" s="1115"/>
      <c r="O107" s="755"/>
      <c r="P107" s="139">
        <f t="shared" si="11"/>
        <v>2</v>
      </c>
    </row>
    <row r="108" spans="1:16" ht="25.5">
      <c r="A108" s="585" t="str">
        <f t="shared" si="9"/>
        <v>Edelweiss GmbH &amp; Co KG (EVO) v. 22.12.2012</v>
      </c>
      <c r="B108" s="585">
        <f>ROW()</f>
        <v>108</v>
      </c>
      <c r="C108" s="610" t="s">
        <v>793</v>
      </c>
      <c r="D108" s="1117">
        <v>41265</v>
      </c>
      <c r="E108" s="611" t="s">
        <v>767</v>
      </c>
      <c r="F108" s="612" t="str">
        <f t="shared" si="10"/>
        <v/>
      </c>
      <c r="G108" s="609" t="str">
        <f t="shared" si="8"/>
        <v xml:space="preserve">TO ermöglicht: doppelten Kostenabzug; </v>
      </c>
      <c r="J108" s="754"/>
      <c r="K108" s="1115"/>
      <c r="L108" s="1115">
        <v>2</v>
      </c>
      <c r="M108" s="1115"/>
      <c r="N108" s="1115"/>
      <c r="O108" s="755" t="s">
        <v>803</v>
      </c>
      <c r="P108" s="139">
        <f t="shared" si="11"/>
        <v>2</v>
      </c>
    </row>
    <row r="109" spans="1:16" ht="25.5">
      <c r="A109" s="585" t="str">
        <f t="shared" si="9"/>
        <v>Edelweiss GmbH &amp; Co KG (UVO) v. 01.09.2009</v>
      </c>
      <c r="B109" s="585">
        <f>ROW()</f>
        <v>109</v>
      </c>
      <c r="C109" s="610" t="s">
        <v>794</v>
      </c>
      <c r="D109" s="1117">
        <v>40057</v>
      </c>
      <c r="E109" s="611" t="s">
        <v>767</v>
      </c>
      <c r="F109" s="612" t="str">
        <f t="shared" si="10"/>
        <v/>
      </c>
      <c r="G109" s="609" t="str">
        <f t="shared" si="8"/>
        <v xml:space="preserve">TO ermöglicht: doppelten Kostenabzug; </v>
      </c>
      <c r="K109" s="1115"/>
      <c r="L109" s="1115">
        <v>2</v>
      </c>
      <c r="M109" s="1115"/>
      <c r="N109" s="1115"/>
      <c r="O109" s="755" t="s">
        <v>803</v>
      </c>
      <c r="P109" s="139">
        <f t="shared" si="11"/>
        <v>2</v>
      </c>
    </row>
    <row r="110" spans="1:16" ht="33.75">
      <c r="A110" s="585" t="str">
        <f t="shared" si="9"/>
        <v>EGU Ergo Gruppenunterstützungskasse e.V.  v. 12.01.2011</v>
      </c>
      <c r="B110" s="585">
        <f>ROW()</f>
        <v>110</v>
      </c>
      <c r="C110" s="610" t="s">
        <v>1875</v>
      </c>
      <c r="D110" s="1117">
        <v>40555</v>
      </c>
      <c r="E110" s="611" t="s">
        <v>718</v>
      </c>
      <c r="F110" s="612"/>
      <c r="G110" s="609" t="str">
        <f t="shared" si="8"/>
        <v>TO ermöglicht: Tarifwechel;  Wertteilhabe (z.B. Verzinsung) zwischen EzE und RK geltend machen</v>
      </c>
      <c r="I110" s="609" t="s">
        <v>1876</v>
      </c>
      <c r="K110" s="1115">
        <v>1</v>
      </c>
      <c r="L110" s="1115"/>
      <c r="M110" s="1115"/>
      <c r="N110" s="1115">
        <v>4</v>
      </c>
      <c r="O110" s="755"/>
      <c r="P110" s="139">
        <f t="shared" si="11"/>
        <v>5</v>
      </c>
    </row>
    <row r="111" spans="1:16" ht="25.5">
      <c r="A111" s="585" t="str">
        <f t="shared" si="9"/>
        <v>EKN Betriebs AG &amp; Co. oHG: Direktzusagen v. 01.04.2017</v>
      </c>
      <c r="B111" s="585">
        <f>ROW()</f>
        <v>111</v>
      </c>
      <c r="C111" s="610" t="s">
        <v>799</v>
      </c>
      <c r="D111" s="1117">
        <v>42826</v>
      </c>
      <c r="E111" s="611" t="s">
        <v>195</v>
      </c>
      <c r="F111" s="612" t="str">
        <f t="shared" si="10"/>
        <v/>
      </c>
      <c r="G111" s="609" t="str">
        <f t="shared" si="8"/>
        <v/>
      </c>
      <c r="K111" s="1115"/>
      <c r="L111" s="1115"/>
      <c r="M111" s="1115"/>
      <c r="N111" s="1115"/>
      <c r="O111" s="755" t="s">
        <v>803</v>
      </c>
      <c r="P111" s="139">
        <f t="shared" si="11"/>
        <v>0</v>
      </c>
    </row>
    <row r="112" spans="1:16" ht="56.25">
      <c r="A112" s="585" t="str">
        <f t="shared" si="9"/>
        <v>ERGO Unterstützungskasse v. 01.03.2010</v>
      </c>
      <c r="B112" s="585">
        <f>ROW()</f>
        <v>112</v>
      </c>
      <c r="C112" s="610" t="s">
        <v>1205</v>
      </c>
      <c r="D112" s="1117">
        <v>40238</v>
      </c>
      <c r="E112" s="611">
        <v>5</v>
      </c>
      <c r="F112" s="612" t="str">
        <f t="shared" si="10"/>
        <v/>
      </c>
      <c r="G112" s="609" t="str">
        <f t="shared" si="8"/>
        <v/>
      </c>
      <c r="I112" s="609" t="s">
        <v>1206</v>
      </c>
      <c r="K112" s="1115"/>
      <c r="L112" s="1115"/>
      <c r="M112" s="1115"/>
      <c r="N112" s="1115"/>
      <c r="P112" s="139">
        <f t="shared" si="11"/>
        <v>0</v>
      </c>
    </row>
    <row r="113" spans="1:16">
      <c r="A113" s="585" t="str">
        <f t="shared" si="9"/>
        <v>ERGO v. 16.01.2020</v>
      </c>
      <c r="B113" s="585">
        <f>ROW()</f>
        <v>113</v>
      </c>
      <c r="C113" s="610" t="s">
        <v>650</v>
      </c>
      <c r="D113" s="1117">
        <v>43846</v>
      </c>
      <c r="E113" s="611" t="s">
        <v>651</v>
      </c>
      <c r="F113" s="612" t="str">
        <f t="shared" si="10"/>
        <v>Ja</v>
      </c>
      <c r="G113" s="609" t="str">
        <f t="shared" si="8"/>
        <v xml:space="preserve">TO ermöglicht: Tarifwechel; </v>
      </c>
      <c r="K113" s="1115">
        <v>1</v>
      </c>
      <c r="L113" s="1115"/>
      <c r="M113" s="1115"/>
      <c r="N113" s="1115"/>
      <c r="O113" s="609"/>
      <c r="P113" s="139">
        <f t="shared" si="11"/>
        <v>1</v>
      </c>
    </row>
    <row r="114" spans="1:16" ht="45">
      <c r="A114" s="585" t="str">
        <f t="shared" si="9"/>
        <v>ERGO v. 25.02.2020</v>
      </c>
      <c r="B114" s="585">
        <f>ROW()</f>
        <v>114</v>
      </c>
      <c r="C114" s="610" t="s">
        <v>650</v>
      </c>
      <c r="D114" s="1117">
        <v>43886</v>
      </c>
      <c r="F114" s="612" t="str">
        <f t="shared" si="10"/>
        <v/>
      </c>
      <c r="G114" s="609" t="str">
        <f t="shared" si="8"/>
        <v>TO ermöglicht: doppelten Kostenabzug;  Abweichungen vom gerichtl. festgelegten Ausgleichswert;  Wertteilhabe (z.B. Verzinsung) zwischen EzE und RK geltend machen</v>
      </c>
      <c r="K114" s="1115"/>
      <c r="L114" s="1115">
        <v>2</v>
      </c>
      <c r="M114" s="1115">
        <v>3</v>
      </c>
      <c r="N114" s="1115">
        <v>4</v>
      </c>
      <c r="P114" s="139">
        <f t="shared" si="11"/>
        <v>9</v>
      </c>
    </row>
    <row r="115" spans="1:16" ht="56.25">
      <c r="A115" s="585" t="str">
        <f t="shared" si="9"/>
        <v>ERGO Pensionsfonds AG v. 18.08.2021</v>
      </c>
      <c r="B115" s="585">
        <f>ROW()</f>
        <v>115</v>
      </c>
      <c r="C115" s="610" t="s">
        <v>1582</v>
      </c>
      <c r="D115" s="1117">
        <v>44426</v>
      </c>
      <c r="E115" s="611" t="s">
        <v>718</v>
      </c>
      <c r="F115" s="612" t="str">
        <f t="shared" si="10"/>
        <v>Ja</v>
      </c>
      <c r="G115" s="609" t="str">
        <f t="shared" si="8"/>
        <v>TO ermöglicht: Tarifwechel; doppelten Kostenabzug;  Wertteilhabe (z.B. Verzinsung) zwischen EzE und RK geltend machen</v>
      </c>
      <c r="I115" s="609" t="s">
        <v>1583</v>
      </c>
      <c r="K115" s="1115">
        <v>1</v>
      </c>
      <c r="L115" s="1115">
        <v>2</v>
      </c>
      <c r="M115" s="1115"/>
      <c r="N115" s="1115">
        <v>4</v>
      </c>
      <c r="P115" s="139"/>
    </row>
    <row r="116" spans="1:16" ht="33.75">
      <c r="A116" s="585" t="str">
        <f>C116&amp;IF(D116=0,""," v. "&amp;TEXT(D116,"TT.MM.JJJ"))</f>
        <v>ERGO Lebensversicherung AG v. 12.01.2012</v>
      </c>
      <c r="B116" s="585">
        <f>ROW()</f>
        <v>116</v>
      </c>
      <c r="C116" s="610" t="s">
        <v>1584</v>
      </c>
      <c r="D116" s="1117">
        <v>40920</v>
      </c>
      <c r="F116" s="612" t="str">
        <f t="shared" si="10"/>
        <v>Ja</v>
      </c>
      <c r="G116" s="609" t="str">
        <f t="shared" si="8"/>
        <v>TO ermöglicht: Tarifwechel; doppelten Kostenabzug;  Wertteilhabe (z.B. Verzinsung) zwischen EzE und RK geltend machen</v>
      </c>
      <c r="K116" s="1115">
        <v>1</v>
      </c>
      <c r="L116" s="1115">
        <v>2</v>
      </c>
      <c r="M116" s="1115"/>
      <c r="N116" s="1115">
        <v>4</v>
      </c>
      <c r="P116" s="139"/>
    </row>
    <row r="117" spans="1:16" ht="45">
      <c r="A117" s="585" t="str">
        <f t="shared" si="9"/>
        <v>Ernest &amp; Young v. 12.04.2010</v>
      </c>
      <c r="B117" s="585">
        <f>ROW()</f>
        <v>117</v>
      </c>
      <c r="C117" s="610" t="s">
        <v>1058</v>
      </c>
      <c r="D117" s="1117">
        <v>40280</v>
      </c>
      <c r="E117" s="611" t="s">
        <v>1059</v>
      </c>
      <c r="F117" s="612" t="str">
        <f t="shared" si="10"/>
        <v/>
      </c>
      <c r="G117" s="609" t="str">
        <f t="shared" si="8"/>
        <v>TO ermöglicht: doppelten Kostenabzug;  Abweichungen vom gerichtl. festgelegten Ausgleichswert;  Wertteilhabe (z.B. Verzinsung) zwischen EzE und RK geltend machen</v>
      </c>
      <c r="K117" s="1115"/>
      <c r="L117" s="1115">
        <v>2</v>
      </c>
      <c r="M117" s="1115">
        <v>3</v>
      </c>
      <c r="N117" s="1115">
        <v>4</v>
      </c>
      <c r="P117" s="139">
        <f t="shared" si="11"/>
        <v>9</v>
      </c>
    </row>
    <row r="118" spans="1:16" ht="33.75">
      <c r="A118" s="585" t="str">
        <f t="shared" si="9"/>
        <v>Ernest &amp; Young v. 22.07.2016</v>
      </c>
      <c r="B118" s="585">
        <f>ROW()</f>
        <v>118</v>
      </c>
      <c r="C118" s="610" t="s">
        <v>1058</v>
      </c>
      <c r="D118" s="1117">
        <v>42573</v>
      </c>
      <c r="E118" s="611" t="s">
        <v>718</v>
      </c>
      <c r="F118" s="612" t="str">
        <f t="shared" si="10"/>
        <v/>
      </c>
      <c r="G118" s="609" t="str">
        <f t="shared" si="8"/>
        <v>TO ermöglicht: doppelten Kostenabzug;  Wertteilhabe (z.B. Verzinsung) zwischen EzE und RK geltend machen</v>
      </c>
      <c r="K118" s="1115"/>
      <c r="L118" s="1115">
        <v>2</v>
      </c>
      <c r="M118" s="1115"/>
      <c r="N118" s="1115">
        <v>4</v>
      </c>
      <c r="P118" s="139">
        <f t="shared" si="11"/>
        <v>6</v>
      </c>
    </row>
    <row r="119" spans="1:16" ht="22.5">
      <c r="A119" s="585" t="str">
        <f t="shared" si="9"/>
        <v>Essener Verband  v. 10.11.2009</v>
      </c>
      <c r="B119" s="585">
        <f>ROW()</f>
        <v>119</v>
      </c>
      <c r="C119" s="610" t="s">
        <v>1060</v>
      </c>
      <c r="D119" s="1117">
        <v>40127</v>
      </c>
      <c r="E119" s="611" t="s">
        <v>1061</v>
      </c>
      <c r="F119" s="612" t="str">
        <f t="shared" si="10"/>
        <v/>
      </c>
      <c r="G119" s="609" t="str">
        <f t="shared" si="8"/>
        <v>TO ermöglicht:  Wertteilhabe (z.B. Verzinsung) zwischen EzE und RK geltend machen</v>
      </c>
      <c r="K119" s="1115"/>
      <c r="L119" s="1115"/>
      <c r="M119" s="1115"/>
      <c r="N119" s="1115">
        <v>4</v>
      </c>
      <c r="P119" s="139">
        <f t="shared" si="11"/>
        <v>4</v>
      </c>
    </row>
    <row r="120" spans="1:16" ht="45">
      <c r="A120" s="585" t="str">
        <f t="shared" si="9"/>
        <v>Essener Verband Leistungsordnung "A" v. 01.01.2012</v>
      </c>
      <c r="B120" s="585">
        <f>ROW()</f>
        <v>120</v>
      </c>
      <c r="C120" s="610" t="s">
        <v>1164</v>
      </c>
      <c r="D120" s="1117">
        <v>40909</v>
      </c>
      <c r="E120" s="611" t="s">
        <v>197</v>
      </c>
      <c r="F120" s="612" t="str">
        <f t="shared" si="10"/>
        <v/>
      </c>
      <c r="G120" s="609" t="str">
        <f t="shared" si="8"/>
        <v>TO ermöglicht: doppelten Kostenabzug;  Abweichungen vom gerichtl. festgelegten Ausgleichswert;  Wertteilhabe (z.B. Verzinsung) zwischen EzE und RK geltend machen</v>
      </c>
      <c r="K120" s="1115"/>
      <c r="L120" s="1115">
        <v>2</v>
      </c>
      <c r="M120" s="1115">
        <v>3</v>
      </c>
      <c r="N120" s="1115">
        <v>4</v>
      </c>
      <c r="P120" s="139">
        <f t="shared" si="11"/>
        <v>9</v>
      </c>
    </row>
    <row r="121" spans="1:16" ht="45">
      <c r="A121" s="585" t="str">
        <f t="shared" si="9"/>
        <v>Esso Deutschland GmbH v. 09.02.2010</v>
      </c>
      <c r="B121" s="585">
        <f>ROW()</f>
        <v>121</v>
      </c>
      <c r="C121" s="610" t="s">
        <v>1244</v>
      </c>
      <c r="D121" s="1117">
        <v>40218</v>
      </c>
      <c r="E121" s="611" t="s">
        <v>1072</v>
      </c>
      <c r="F121" s="612" t="str">
        <f t="shared" si="10"/>
        <v/>
      </c>
      <c r="G121" s="609" t="str">
        <f t="shared" si="8"/>
        <v xml:space="preserve">TO ermöglicht: doppelten Kostenabzug;  Abweichungen vom gerichtl. festgelegten Ausgleichswert; </v>
      </c>
      <c r="I121" s="609" t="s">
        <v>1248</v>
      </c>
      <c r="K121" s="1115"/>
      <c r="L121" s="1115">
        <v>2</v>
      </c>
      <c r="M121" s="1115">
        <v>3</v>
      </c>
      <c r="N121" s="1115"/>
      <c r="P121" s="139">
        <f t="shared" si="11"/>
        <v>5</v>
      </c>
    </row>
    <row r="122" spans="1:16">
      <c r="A122" s="585" t="str">
        <f t="shared" si="9"/>
        <v>E.ON AG  v. 20.08.2010</v>
      </c>
      <c r="B122" s="585">
        <f>ROW()</f>
        <v>122</v>
      </c>
      <c r="C122" s="610" t="s">
        <v>2009</v>
      </c>
      <c r="D122" s="1117">
        <v>40410</v>
      </c>
      <c r="E122" s="611" t="s">
        <v>2010</v>
      </c>
      <c r="F122" s="612"/>
      <c r="G122" s="609" t="str">
        <f t="shared" si="8"/>
        <v/>
      </c>
      <c r="K122" s="1115"/>
      <c r="L122" s="1115"/>
      <c r="M122" s="1115"/>
      <c r="N122" s="1115"/>
      <c r="P122" s="139"/>
    </row>
    <row r="123" spans="1:16" ht="22.5">
      <c r="A123" s="585" t="str">
        <f t="shared" si="9"/>
        <v>Evonik v. 04.12.2009</v>
      </c>
      <c r="B123" s="585">
        <f>ROW()</f>
        <v>123</v>
      </c>
      <c r="C123" s="610" t="s">
        <v>998</v>
      </c>
      <c r="D123" s="1117">
        <v>40151</v>
      </c>
      <c r="E123" s="611" t="s">
        <v>999</v>
      </c>
      <c r="F123" s="612" t="str">
        <f t="shared" si="10"/>
        <v/>
      </c>
      <c r="G123" s="609" t="str">
        <f t="shared" si="8"/>
        <v>TO ermöglicht:  Wertteilhabe (z.B. Verzinsung) zwischen EzE und RK geltend machen</v>
      </c>
      <c r="K123" s="1115"/>
      <c r="L123" s="1115"/>
      <c r="M123" s="1115"/>
      <c r="N123" s="1115">
        <v>4</v>
      </c>
      <c r="P123" s="139">
        <f t="shared" si="11"/>
        <v>4</v>
      </c>
    </row>
    <row r="124" spans="1:16">
      <c r="A124" s="585" t="str">
        <f t="shared" si="9"/>
        <v>Evonik v. 15.05.2015</v>
      </c>
      <c r="B124" s="585">
        <f>ROW()</f>
        <v>124</v>
      </c>
      <c r="C124" s="610" t="s">
        <v>998</v>
      </c>
      <c r="D124" s="1117">
        <v>42139</v>
      </c>
      <c r="E124" s="611" t="s">
        <v>999</v>
      </c>
      <c r="F124" s="612" t="str">
        <f t="shared" si="10"/>
        <v/>
      </c>
      <c r="G124" s="609" t="str">
        <f t="shared" si="8"/>
        <v/>
      </c>
      <c r="J124" s="754"/>
      <c r="K124" s="1115"/>
      <c r="L124" s="1115"/>
      <c r="M124" s="1115"/>
      <c r="N124" s="1115"/>
      <c r="P124" s="139">
        <f t="shared" si="11"/>
        <v>0</v>
      </c>
    </row>
    <row r="125" spans="1:16" ht="45">
      <c r="A125" s="585" t="str">
        <f t="shared" si="9"/>
        <v>ExxonMobil Central Europe Holding GmbH v. 09.02.2010</v>
      </c>
      <c r="B125" s="585">
        <f>ROW()</f>
        <v>125</v>
      </c>
      <c r="C125" s="610" t="s">
        <v>1243</v>
      </c>
      <c r="D125" s="1117">
        <v>40218</v>
      </c>
      <c r="E125" s="611" t="s">
        <v>1072</v>
      </c>
      <c r="F125" s="612" t="str">
        <f t="shared" si="10"/>
        <v/>
      </c>
      <c r="G125" s="609" t="str">
        <f t="shared" si="8"/>
        <v xml:space="preserve">TO ermöglicht: doppelten Kostenabzug;  Abweichungen vom gerichtl. festgelegten Ausgleichswert; </v>
      </c>
      <c r="I125" s="609" t="s">
        <v>1248</v>
      </c>
      <c r="K125" s="1115"/>
      <c r="L125" s="1115">
        <v>2</v>
      </c>
      <c r="M125" s="1115">
        <v>3</v>
      </c>
      <c r="N125" s="1115"/>
      <c r="P125" s="139">
        <f t="shared" si="11"/>
        <v>5</v>
      </c>
    </row>
    <row r="126" spans="1:16" ht="45">
      <c r="A126" s="585" t="str">
        <f t="shared" si="9"/>
        <v>ExxonMobil Gas Marketing Deuschland GmbH v. 09.02.2010</v>
      </c>
      <c r="B126" s="585">
        <f>ROW()</f>
        <v>126</v>
      </c>
      <c r="C126" s="610" t="s">
        <v>1247</v>
      </c>
      <c r="D126" s="1117">
        <v>40218</v>
      </c>
      <c r="E126" s="611" t="s">
        <v>1072</v>
      </c>
      <c r="F126" s="612" t="str">
        <f t="shared" si="10"/>
        <v/>
      </c>
      <c r="G126" s="609" t="str">
        <f t="shared" si="8"/>
        <v xml:space="preserve">TO ermöglicht: doppelten Kostenabzug;  Abweichungen vom gerichtl. festgelegten Ausgleichswert; </v>
      </c>
      <c r="I126" s="609" t="s">
        <v>1248</v>
      </c>
      <c r="K126" s="1115"/>
      <c r="L126" s="1115">
        <v>2</v>
      </c>
      <c r="M126" s="1115">
        <v>3</v>
      </c>
      <c r="N126" s="1115"/>
      <c r="P126" s="139">
        <f t="shared" si="11"/>
        <v>5</v>
      </c>
    </row>
    <row r="127" spans="1:16" ht="45">
      <c r="A127" s="585" t="str">
        <f t="shared" si="9"/>
        <v>ExxonMobil Pensions-Verwaltungsgesellschaft mbH v. 09.02.2010</v>
      </c>
      <c r="B127" s="585">
        <f>ROW()</f>
        <v>127</v>
      </c>
      <c r="C127" s="610" t="s">
        <v>1245</v>
      </c>
      <c r="D127" s="1117">
        <v>40218</v>
      </c>
      <c r="E127" s="611" t="s">
        <v>1072</v>
      </c>
      <c r="F127" s="612" t="str">
        <f t="shared" si="10"/>
        <v/>
      </c>
      <c r="G127" s="609" t="str">
        <f t="shared" si="8"/>
        <v xml:space="preserve">TO ermöglicht: doppelten Kostenabzug;  Abweichungen vom gerichtl. festgelegten Ausgleichswert; </v>
      </c>
      <c r="I127" s="609" t="s">
        <v>1248</v>
      </c>
      <c r="K127" s="1115"/>
      <c r="L127" s="1115">
        <v>2</v>
      </c>
      <c r="M127" s="1115">
        <v>3</v>
      </c>
      <c r="N127" s="1115"/>
      <c r="P127" s="139">
        <f t="shared" si="11"/>
        <v>5</v>
      </c>
    </row>
    <row r="128" spans="1:16" ht="45">
      <c r="A128" s="585" t="str">
        <f t="shared" si="9"/>
        <v>ExxonMobil Production Deutschland GmbH v. 09.02.2010</v>
      </c>
      <c r="B128" s="585">
        <f>ROW()</f>
        <v>128</v>
      </c>
      <c r="C128" s="610" t="s">
        <v>1246</v>
      </c>
      <c r="D128" s="1117">
        <v>40218</v>
      </c>
      <c r="E128" s="611" t="s">
        <v>1072</v>
      </c>
      <c r="F128" s="612" t="str">
        <f t="shared" si="10"/>
        <v/>
      </c>
      <c r="G128" s="609" t="str">
        <f t="shared" si="8"/>
        <v xml:space="preserve">TO ermöglicht: doppelten Kostenabzug;  Abweichungen vom gerichtl. festgelegten Ausgleichswert; </v>
      </c>
      <c r="I128" s="609" t="s">
        <v>1248</v>
      </c>
      <c r="K128" s="1115"/>
      <c r="L128" s="1115">
        <v>2</v>
      </c>
      <c r="M128" s="1115">
        <v>3</v>
      </c>
      <c r="N128" s="1115"/>
      <c r="P128" s="139">
        <f t="shared" si="11"/>
        <v>5</v>
      </c>
    </row>
    <row r="129" spans="1:16" ht="33.75">
      <c r="A129" s="585" t="str">
        <f t="shared" si="9"/>
        <v>EY Ernest &amp; Young GmbH v. 22.07.2016</v>
      </c>
      <c r="B129" s="585">
        <f>ROW()</f>
        <v>129</v>
      </c>
      <c r="C129" s="610" t="s">
        <v>954</v>
      </c>
      <c r="D129" s="1117">
        <v>42573</v>
      </c>
      <c r="E129" s="611" t="s">
        <v>758</v>
      </c>
      <c r="F129" s="612" t="str">
        <f t="shared" si="10"/>
        <v/>
      </c>
      <c r="G129" s="609" t="str">
        <f t="shared" si="8"/>
        <v>TO ermöglicht: doppelten Kostenabzug;  Wertteilhabe (z.B. Verzinsung) zwischen EzE und RK geltend machen</v>
      </c>
      <c r="K129" s="1115"/>
      <c r="L129" s="1115">
        <v>2</v>
      </c>
      <c r="M129" s="1115"/>
      <c r="N129" s="1115">
        <v>4</v>
      </c>
      <c r="P129" s="139">
        <f t="shared" si="11"/>
        <v>6</v>
      </c>
    </row>
    <row r="130" spans="1:16" ht="45">
      <c r="A130" s="585" t="str">
        <f t="shared" si="9"/>
        <v>Familienfürsorge UK v. 01.01.2011</v>
      </c>
      <c r="B130" s="585">
        <f>ROW()</f>
        <v>130</v>
      </c>
      <c r="C130" s="610" t="s">
        <v>1062</v>
      </c>
      <c r="D130" s="1117">
        <v>40544</v>
      </c>
      <c r="E130" s="611" t="s">
        <v>1063</v>
      </c>
      <c r="F130" s="612" t="str">
        <f t="shared" si="10"/>
        <v/>
      </c>
      <c r="G130" s="609" t="str">
        <f t="shared" si="8"/>
        <v>TO ermöglicht: doppelten Kostenabzug;  Abweichungen vom gerichtl. festgelegten Ausgleichswert;  Wertteilhabe (z.B. Verzinsung) zwischen EzE und RK geltend machen</v>
      </c>
      <c r="K130" s="1115"/>
      <c r="L130" s="1115">
        <v>2</v>
      </c>
      <c r="M130" s="1115">
        <v>3</v>
      </c>
      <c r="N130" s="1115">
        <v>4</v>
      </c>
      <c r="P130" s="139">
        <f t="shared" si="11"/>
        <v>9</v>
      </c>
    </row>
    <row r="131" spans="1:16">
      <c r="A131" s="585" t="str">
        <f t="shared" si="9"/>
        <v>Feuersozietät Berlin Brandenburg AG v. 01.09.2009</v>
      </c>
      <c r="B131" s="585">
        <f>ROW()</f>
        <v>131</v>
      </c>
      <c r="C131" s="610" t="s">
        <v>1064</v>
      </c>
      <c r="D131" s="1117">
        <v>40057</v>
      </c>
      <c r="E131" s="611" t="s">
        <v>1065</v>
      </c>
      <c r="F131" s="612" t="str">
        <f t="shared" si="10"/>
        <v>Ja</v>
      </c>
      <c r="G131" s="609" t="str">
        <f t="shared" si="8"/>
        <v xml:space="preserve">TO ermöglicht: Tarifwechel; </v>
      </c>
      <c r="J131" s="754"/>
      <c r="K131" s="1115">
        <v>1</v>
      </c>
      <c r="L131" s="1115"/>
      <c r="M131" s="1115"/>
      <c r="N131" s="1115"/>
      <c r="P131" s="139">
        <f t="shared" si="11"/>
        <v>1</v>
      </c>
    </row>
    <row r="132" spans="1:16">
      <c r="A132" s="585" t="str">
        <f t="shared" si="9"/>
        <v>FOVERUKA v. 13.12.2016</v>
      </c>
      <c r="B132" s="585">
        <f>ROW()</f>
        <v>132</v>
      </c>
      <c r="C132" s="610" t="s">
        <v>948</v>
      </c>
      <c r="D132" s="1117">
        <v>42717</v>
      </c>
      <c r="F132" s="612" t="str">
        <f t="shared" si="10"/>
        <v/>
      </c>
      <c r="G132" s="609" t="str">
        <f t="shared" si="8"/>
        <v xml:space="preserve">TO ermöglicht: doppelten Kostenabzug; </v>
      </c>
      <c r="K132" s="1115"/>
      <c r="L132" s="1115">
        <v>2</v>
      </c>
      <c r="M132" s="1115"/>
      <c r="N132" s="1115"/>
      <c r="P132" s="139">
        <f t="shared" si="11"/>
        <v>2</v>
      </c>
    </row>
    <row r="133" spans="1:16" ht="33.75">
      <c r="A133" s="585" t="str">
        <f t="shared" si="9"/>
        <v>Frankfurt Münchener Lebensversicherung AG v. 15.7.2017?</v>
      </c>
      <c r="B133" s="585">
        <f>ROW()</f>
        <v>133</v>
      </c>
      <c r="C133" s="585" t="s">
        <v>1595</v>
      </c>
      <c r="D133" s="1117" t="s">
        <v>1596</v>
      </c>
      <c r="E133" s="611" t="s">
        <v>651</v>
      </c>
      <c r="F133" s="612" t="str">
        <f>IF(K133=1,"Ja","")</f>
        <v>Ja</v>
      </c>
      <c r="G133" s="609" t="str">
        <f t="shared" si="8"/>
        <v>TO ermöglicht: Tarifwechel; doppelten Kostenabzug;  Wertteilhabe (z.B. Verzinsung) zwischen EzE und RK geltend machen</v>
      </c>
      <c r="K133" s="1115">
        <v>1</v>
      </c>
      <c r="L133" s="1115">
        <v>2</v>
      </c>
      <c r="M133" s="1115"/>
      <c r="N133" s="1115">
        <v>4</v>
      </c>
      <c r="P133" s="139"/>
    </row>
    <row r="134" spans="1:16" ht="25.5">
      <c r="A134" s="585" t="str">
        <f t="shared" si="9"/>
        <v>Freies Versorgungswerk e.V. v. 01.02.2012</v>
      </c>
      <c r="B134" s="585">
        <f>ROW()</f>
        <v>134</v>
      </c>
      <c r="C134" s="610" t="s">
        <v>734</v>
      </c>
      <c r="D134" s="1117">
        <v>40940</v>
      </c>
      <c r="E134" s="611" t="s">
        <v>735</v>
      </c>
      <c r="F134" s="612" t="str">
        <f t="shared" si="10"/>
        <v/>
      </c>
      <c r="G134" s="609" t="str">
        <f t="shared" si="8"/>
        <v/>
      </c>
      <c r="J134" s="754"/>
      <c r="K134" s="1115"/>
      <c r="L134" s="1115"/>
      <c r="M134" s="1115"/>
      <c r="N134" s="1115"/>
      <c r="O134" s="759" t="s">
        <v>736</v>
      </c>
      <c r="P134" s="139">
        <f t="shared" si="11"/>
        <v>0</v>
      </c>
    </row>
    <row r="135" spans="1:16">
      <c r="A135" s="585" t="str">
        <f t="shared" si="9"/>
        <v>Fresenius v. 01.03.2017</v>
      </c>
      <c r="B135" s="585">
        <f>ROW()</f>
        <v>135</v>
      </c>
      <c r="C135" s="610" t="s">
        <v>1336</v>
      </c>
      <c r="D135" s="1117">
        <v>42795</v>
      </c>
      <c r="F135" s="612" t="str">
        <f t="shared" si="10"/>
        <v/>
      </c>
      <c r="G135" s="609" t="str">
        <f t="shared" si="8"/>
        <v/>
      </c>
      <c r="K135" s="1115"/>
      <c r="L135" s="1115"/>
      <c r="M135" s="1115"/>
      <c r="N135" s="1115"/>
      <c r="P135" s="139">
        <f t="shared" si="11"/>
        <v>0</v>
      </c>
    </row>
    <row r="136" spans="1:16" ht="25.5">
      <c r="A136" s="585" t="str">
        <f t="shared" si="9"/>
        <v>GALERIA Logisitik GmbH v. 01.07.2012</v>
      </c>
      <c r="B136" s="585">
        <f>ROW()</f>
        <v>136</v>
      </c>
      <c r="C136" s="610" t="s">
        <v>1119</v>
      </c>
      <c r="D136" s="1117">
        <v>41091</v>
      </c>
      <c r="E136" s="611" t="s">
        <v>767</v>
      </c>
      <c r="F136" s="612" t="str">
        <f t="shared" si="10"/>
        <v/>
      </c>
      <c r="G136" s="609" t="str">
        <f t="shared" si="8"/>
        <v xml:space="preserve">TO ermöglicht: doppelten Kostenabzug; </v>
      </c>
      <c r="K136" s="1115"/>
      <c r="L136" s="1115">
        <v>2</v>
      </c>
      <c r="M136" s="1115"/>
      <c r="N136" s="1115"/>
      <c r="O136" s="755" t="s">
        <v>803</v>
      </c>
      <c r="P136" s="139">
        <f t="shared" si="11"/>
        <v>2</v>
      </c>
    </row>
    <row r="137" spans="1:16">
      <c r="A137" s="585" t="str">
        <f t="shared" si="9"/>
        <v>GALERIA Personalservice GmbH TO v. 01.07.2012</v>
      </c>
      <c r="B137" s="585">
        <f>ROW()</f>
        <v>137</v>
      </c>
      <c r="C137" s="610" t="s">
        <v>1120</v>
      </c>
      <c r="D137" s="1117">
        <v>41091</v>
      </c>
      <c r="F137" s="612" t="str">
        <f t="shared" si="10"/>
        <v/>
      </c>
      <c r="G137" s="609" t="str">
        <f t="shared" si="8"/>
        <v xml:space="preserve">TO ermöglicht: doppelten Kostenabzug; </v>
      </c>
      <c r="J137" s="754"/>
      <c r="K137" s="1115"/>
      <c r="L137" s="1115">
        <v>2</v>
      </c>
      <c r="M137" s="1115"/>
      <c r="N137" s="1115"/>
      <c r="O137" s="759"/>
      <c r="P137" s="139">
        <f t="shared" si="11"/>
        <v>2</v>
      </c>
    </row>
    <row r="138" spans="1:16" ht="45">
      <c r="A138" s="585" t="str">
        <f t="shared" si="9"/>
        <v>Generali Lebensversicherung AG v. 01.12.2009</v>
      </c>
      <c r="B138" s="585">
        <f>ROW()</f>
        <v>138</v>
      </c>
      <c r="C138" s="610" t="s">
        <v>1067</v>
      </c>
      <c r="D138" s="1117">
        <v>40148</v>
      </c>
      <c r="F138" s="612" t="str">
        <f t="shared" si="10"/>
        <v>Ja</v>
      </c>
      <c r="G138" s="609" t="str">
        <f t="shared" si="8"/>
        <v>TO ermöglicht: Tarifwechel; doppelten Kostenabzug;  Abweichungen vom gerichtl. festgelegten Ausgleichswert;  Wertteilhabe (z.B. Verzinsung) zwischen EzE und RK geltend machen</v>
      </c>
      <c r="J138" s="754" t="s">
        <v>1068</v>
      </c>
      <c r="K138" s="1115">
        <v>1</v>
      </c>
      <c r="L138" s="1115">
        <v>2</v>
      </c>
      <c r="M138" s="1115">
        <v>3</v>
      </c>
      <c r="N138" s="1115">
        <v>4</v>
      </c>
      <c r="P138" s="139">
        <f t="shared" si="11"/>
        <v>10</v>
      </c>
    </row>
    <row r="139" spans="1:16" ht="33.75">
      <c r="A139" s="585" t="str">
        <f>C139&amp;IF(D139=0,""," v. "&amp;TEXT(D139,"TT.MM.JJJ"))</f>
        <v>Generali Pensionsfonds AG v. 07.07.2016</v>
      </c>
      <c r="B139" s="585">
        <f>ROW()</f>
        <v>139</v>
      </c>
      <c r="C139" s="610" t="s">
        <v>1611</v>
      </c>
      <c r="D139" s="1117">
        <v>42558</v>
      </c>
      <c r="E139" s="611" t="s">
        <v>718</v>
      </c>
      <c r="F139" s="612"/>
      <c r="G139" s="609" t="str">
        <f t="shared" si="8"/>
        <v>TO ermöglicht: doppelten Kostenabzug;  Wertteilhabe (z.B. Verzinsung) zwischen EzE und RK geltend machen</v>
      </c>
      <c r="J139" s="754"/>
      <c r="K139" s="1115"/>
      <c r="L139" s="1115">
        <v>2</v>
      </c>
      <c r="M139" s="1115"/>
      <c r="N139" s="1115">
        <v>4</v>
      </c>
      <c r="P139" s="139"/>
    </row>
    <row r="140" spans="1:16" ht="45">
      <c r="A140" s="585" t="str">
        <f>C140&amp;IF(D140=0,""," v. "&amp;TEXT(D140,"TT.MM.JJJ"))</f>
        <v>Generali v. 01.07.2020</v>
      </c>
      <c r="B140" s="585">
        <f>ROW()</f>
        <v>140</v>
      </c>
      <c r="C140" s="610" t="s">
        <v>1066</v>
      </c>
      <c r="D140" s="1117">
        <v>44013</v>
      </c>
      <c r="E140" s="1917"/>
      <c r="F140" s="612" t="str">
        <f t="shared" si="10"/>
        <v>Ja</v>
      </c>
      <c r="G140" s="609" t="str">
        <f t="shared" si="8"/>
        <v>TO ermöglicht: Tarifwechel; doppelten Kostenabzug;  Abweichungen vom gerichtl. festgelegten Ausgleichswert;  Wertteilhabe (z.B. Verzinsung) zwischen EzE und RK geltend machen</v>
      </c>
      <c r="I140" s="609" t="s">
        <v>1841</v>
      </c>
      <c r="K140" s="1115">
        <v>1</v>
      </c>
      <c r="L140" s="1115">
        <v>2</v>
      </c>
      <c r="M140" s="1115">
        <v>3</v>
      </c>
      <c r="N140" s="1115">
        <v>4</v>
      </c>
      <c r="P140" s="139">
        <f t="shared" si="11"/>
        <v>10</v>
      </c>
    </row>
    <row r="141" spans="1:16">
      <c r="A141" s="585" t="str">
        <f>C141&amp;IF(D141=0,""," v. "&amp;TEXT(D141,"TT.MM.JJJ"))</f>
        <v>Generali Lebensversicherungen v. 01.12.2023</v>
      </c>
      <c r="B141" s="585">
        <f>ROW()</f>
        <v>141</v>
      </c>
      <c r="C141" s="610" t="s">
        <v>2021</v>
      </c>
      <c r="D141" s="1117">
        <v>45261</v>
      </c>
      <c r="E141" s="1917" t="s">
        <v>651</v>
      </c>
      <c r="F141" s="612"/>
      <c r="I141" s="609" t="s">
        <v>2022</v>
      </c>
      <c r="K141" s="1115"/>
      <c r="L141" s="1115"/>
      <c r="M141" s="1115"/>
      <c r="N141" s="1115"/>
      <c r="P141" s="139"/>
    </row>
    <row r="142" spans="1:16" ht="33.75">
      <c r="A142" s="585" t="str">
        <f>C142&amp;IF(D142=0,""," v. "&amp;TEXT(D142,"TT.MM.JJJ"))</f>
        <v>Generali Unterstützungskasse e.V. v. 01.08.2021</v>
      </c>
      <c r="B142" s="585">
        <f>ROW()</f>
        <v>142</v>
      </c>
      <c r="C142" s="610" t="s">
        <v>2013</v>
      </c>
      <c r="D142" s="1117">
        <v>44409</v>
      </c>
      <c r="E142" s="1917" t="s">
        <v>718</v>
      </c>
      <c r="F142" s="612"/>
      <c r="G142" s="609" t="str">
        <f t="shared" si="8"/>
        <v>TO ermöglicht: Tarifwechel; doppelten Kostenabzug;  Wertteilhabe (z.B. Verzinsung) zwischen EzE und RK geltend machen</v>
      </c>
      <c r="K142" s="1115">
        <v>1</v>
      </c>
      <c r="L142" s="1115">
        <v>2</v>
      </c>
      <c r="M142" s="1115"/>
      <c r="N142" s="1115">
        <v>4</v>
      </c>
      <c r="P142" s="139"/>
    </row>
    <row r="143" spans="1:16" ht="22.5">
      <c r="A143" s="585" t="str">
        <f t="shared" si="9"/>
        <v>Geno Pensionskasse VVaG, Karlsruhe v. 31.12.2020</v>
      </c>
      <c r="B143" s="585">
        <f>ROW()</f>
        <v>143</v>
      </c>
      <c r="C143" s="610" t="s">
        <v>1022</v>
      </c>
      <c r="D143" s="1117">
        <v>44196</v>
      </c>
      <c r="F143" s="612" t="str">
        <f t="shared" si="10"/>
        <v/>
      </c>
      <c r="G143" s="609" t="str">
        <f t="shared" si="8"/>
        <v xml:space="preserve">TO ermöglicht: doppelten Kostenabzug; </v>
      </c>
      <c r="K143" s="1115"/>
      <c r="L143" s="1115">
        <v>2</v>
      </c>
      <c r="M143" s="1115"/>
      <c r="N143" s="1115"/>
      <c r="P143" s="139">
        <f t="shared" si="11"/>
        <v>2</v>
      </c>
    </row>
    <row r="144" spans="1:16" ht="33.75">
      <c r="A144" s="585" t="str">
        <f t="shared" si="9"/>
        <v>GlaxoSmithKline GmbH &amp; Co KG v. 01.09.2009</v>
      </c>
      <c r="B144" s="585">
        <f>ROW()</f>
        <v>144</v>
      </c>
      <c r="C144" s="610" t="s">
        <v>1069</v>
      </c>
      <c r="D144" s="1117">
        <v>40057</v>
      </c>
      <c r="E144" s="611" t="s">
        <v>1070</v>
      </c>
      <c r="F144" s="612" t="str">
        <f t="shared" si="10"/>
        <v/>
      </c>
      <c r="G144" s="609" t="str">
        <f t="shared" si="8"/>
        <v>TO ermöglicht: doppelten Kostenabzug;  Wertteilhabe (z.B. Verzinsung) zwischen EzE und RK geltend machen</v>
      </c>
      <c r="K144" s="1115"/>
      <c r="L144" s="1115">
        <v>2</v>
      </c>
      <c r="M144" s="1115"/>
      <c r="N144" s="1115">
        <v>4</v>
      </c>
      <c r="O144" s="986"/>
      <c r="P144" s="139">
        <f t="shared" si="11"/>
        <v>6</v>
      </c>
    </row>
    <row r="145" spans="1:16" ht="45">
      <c r="A145" s="585" t="str">
        <f t="shared" si="9"/>
        <v>Gothaer Lebensversicherung AG  v. 19.02.2010</v>
      </c>
      <c r="B145" s="585">
        <f>ROW()</f>
        <v>145</v>
      </c>
      <c r="C145" s="610" t="s">
        <v>816</v>
      </c>
      <c r="D145" s="1117">
        <v>40228</v>
      </c>
      <c r="E145" s="611" t="s">
        <v>817</v>
      </c>
      <c r="F145" s="612" t="str">
        <f t="shared" si="10"/>
        <v>Ja</v>
      </c>
      <c r="G145" s="609" t="str">
        <f t="shared" ref="G145:G210" si="12">IF(SUM(K145:N145)=0,"","TO ermöglicht: "&amp;IF(K145&gt;0,"Tarifwechel; ","")&amp;IF(L145&gt;0,"doppelten Kostenabzug; ","")&amp;IF(M145&gt;0," Abweichungen vom gerichtl. festgelegten Ausgleichswert; ","")&amp;IF(N145&gt;0," Wertteilhabe (z.B. Verzinsung) zwischen EzE und RK geltend machen",""))</f>
        <v>TO ermöglicht: Tarifwechel; doppelten Kostenabzug;  Abweichungen vom gerichtl. festgelegten Ausgleichswert;  Wertteilhabe (z.B. Verzinsung) zwischen EzE und RK geltend machen</v>
      </c>
      <c r="K145" s="1115">
        <v>1</v>
      </c>
      <c r="L145" s="1115">
        <v>2</v>
      </c>
      <c r="M145" s="1115">
        <v>3</v>
      </c>
      <c r="N145" s="1115">
        <v>4</v>
      </c>
      <c r="P145" s="139">
        <f t="shared" si="11"/>
        <v>10</v>
      </c>
    </row>
    <row r="146" spans="1:16" ht="45">
      <c r="A146" s="585" t="str">
        <f t="shared" si="9"/>
        <v>Gothaer Pensionskasse AG v. 10.01.2013</v>
      </c>
      <c r="B146" s="585">
        <f>ROW()</f>
        <v>146</v>
      </c>
      <c r="C146" s="610" t="s">
        <v>1121</v>
      </c>
      <c r="D146" s="1117">
        <v>41284</v>
      </c>
      <c r="E146" s="611">
        <v>5</v>
      </c>
      <c r="F146" s="612" t="str">
        <f t="shared" si="10"/>
        <v>Ja</v>
      </c>
      <c r="G146" s="609" t="str">
        <f t="shared" si="12"/>
        <v>TO ermöglicht: Tarifwechel; doppelten Kostenabzug;  Abweichungen vom gerichtl. festgelegten Ausgleichswert;  Wertteilhabe (z.B. Verzinsung) zwischen EzE und RK geltend machen</v>
      </c>
      <c r="K146" s="1115">
        <v>1</v>
      </c>
      <c r="L146" s="1115">
        <v>2</v>
      </c>
      <c r="M146" s="1115">
        <v>3</v>
      </c>
      <c r="N146" s="1115">
        <v>4</v>
      </c>
      <c r="P146" s="139">
        <f t="shared" si="11"/>
        <v>10</v>
      </c>
    </row>
    <row r="147" spans="1:16" ht="33.75">
      <c r="A147" s="585" t="str">
        <f t="shared" si="9"/>
        <v>Gothaer Pensionskasse AG v. 19.02.2010</v>
      </c>
      <c r="B147" s="585">
        <f>ROW()</f>
        <v>147</v>
      </c>
      <c r="C147" s="610" t="s">
        <v>1121</v>
      </c>
      <c r="D147" s="1117">
        <v>40228</v>
      </c>
      <c r="E147" s="611" t="s">
        <v>134</v>
      </c>
      <c r="F147" s="612" t="str">
        <f t="shared" si="10"/>
        <v/>
      </c>
      <c r="G147" s="609" t="str">
        <f t="shared" si="12"/>
        <v>TO ermöglicht:  Abweichungen vom gerichtl. festgelegten Ausgleichswert;  Wertteilhabe (z.B. Verzinsung) zwischen EzE und RK geltend machen</v>
      </c>
      <c r="K147" s="1115"/>
      <c r="L147" s="1115"/>
      <c r="M147" s="1115">
        <v>3</v>
      </c>
      <c r="N147" s="1115">
        <v>4</v>
      </c>
      <c r="O147" s="986"/>
      <c r="P147" s="139">
        <f t="shared" si="11"/>
        <v>7</v>
      </c>
    </row>
    <row r="148" spans="1:16" ht="33.75">
      <c r="A148" s="585" t="str">
        <f t="shared" si="9"/>
        <v>Hamburger Lebensversicherung AG</v>
      </c>
      <c r="B148" s="585">
        <f>ROW()</f>
        <v>148</v>
      </c>
      <c r="C148" s="610" t="s">
        <v>712</v>
      </c>
      <c r="E148" s="611" t="s">
        <v>713</v>
      </c>
      <c r="F148" s="612" t="str">
        <f t="shared" si="10"/>
        <v>Ja</v>
      </c>
      <c r="G148" s="609" t="str">
        <f t="shared" si="12"/>
        <v xml:space="preserve">TO ermöglicht: Tarifwechel; </v>
      </c>
      <c r="K148" s="1115">
        <v>1</v>
      </c>
      <c r="L148" s="1115"/>
      <c r="M148" s="1115"/>
      <c r="N148" s="1115"/>
      <c r="O148" s="1136" t="s">
        <v>714</v>
      </c>
      <c r="P148" s="139">
        <f t="shared" si="11"/>
        <v>1</v>
      </c>
    </row>
    <row r="149" spans="1:16" ht="45">
      <c r="A149" s="585" t="str">
        <f t="shared" si="9"/>
        <v>Hamburger Pensionskasse v. 01.08.2011</v>
      </c>
      <c r="B149" s="585">
        <f>ROW()</f>
        <v>149</v>
      </c>
      <c r="C149" s="610" t="s">
        <v>645</v>
      </c>
      <c r="D149" s="1117">
        <v>40756</v>
      </c>
      <c r="E149" s="611" t="s">
        <v>1122</v>
      </c>
      <c r="F149" s="612" t="str">
        <f t="shared" si="10"/>
        <v>Ja</v>
      </c>
      <c r="G149" s="609" t="str">
        <f t="shared" si="12"/>
        <v>TO ermöglicht: Tarifwechel; doppelten Kostenabzug;  Abweichungen vom gerichtl. festgelegten Ausgleichswert;  Wertteilhabe (z.B. Verzinsung) zwischen EzE und RK geltend machen</v>
      </c>
      <c r="K149" s="1115">
        <v>1</v>
      </c>
      <c r="L149" s="1115">
        <v>2</v>
      </c>
      <c r="M149" s="1115">
        <v>3</v>
      </c>
      <c r="N149" s="1115">
        <v>4</v>
      </c>
      <c r="O149" s="1136"/>
      <c r="P149" s="139">
        <f t="shared" si="11"/>
        <v>10</v>
      </c>
    </row>
    <row r="150" spans="1:16">
      <c r="A150" s="585" t="str">
        <f t="shared" si="9"/>
        <v>Hamburger Pensionskasse v. 29.04.2021</v>
      </c>
      <c r="B150" s="585">
        <f>ROW()</f>
        <v>150</v>
      </c>
      <c r="C150" s="610" t="s">
        <v>645</v>
      </c>
      <c r="D150" s="1117">
        <v>44315</v>
      </c>
      <c r="E150" s="611" t="s">
        <v>646</v>
      </c>
      <c r="F150" s="612" t="str">
        <f t="shared" si="10"/>
        <v/>
      </c>
      <c r="G150" s="609" t="str">
        <f t="shared" si="12"/>
        <v xml:space="preserve">TO ermöglicht: doppelten Kostenabzug; </v>
      </c>
      <c r="K150" s="1115"/>
      <c r="L150" s="1115">
        <v>2</v>
      </c>
      <c r="M150" s="1115"/>
      <c r="N150" s="1115"/>
      <c r="O150" s="757" t="s">
        <v>653</v>
      </c>
      <c r="P150" s="139">
        <f t="shared" si="11"/>
        <v>2</v>
      </c>
    </row>
    <row r="151" spans="1:16" ht="25.5">
      <c r="A151" s="585" t="str">
        <f t="shared" si="9"/>
        <v>Hamburger Pensionsunterstützungskasse e.V. v. 01.01.2018</v>
      </c>
      <c r="B151" s="585">
        <f>ROW()</f>
        <v>151</v>
      </c>
      <c r="C151" s="610" t="s">
        <v>776</v>
      </c>
      <c r="D151" s="1117">
        <v>43101</v>
      </c>
      <c r="E151" s="611" t="s">
        <v>767</v>
      </c>
      <c r="F151" s="612" t="str">
        <f t="shared" si="10"/>
        <v/>
      </c>
      <c r="G151" s="609" t="str">
        <f t="shared" si="12"/>
        <v xml:space="preserve">TO ermöglicht: doppelten Kostenabzug; </v>
      </c>
      <c r="K151" s="1115"/>
      <c r="L151" s="1115">
        <v>2</v>
      </c>
      <c r="M151" s="1115"/>
      <c r="N151" s="1115"/>
      <c r="O151" s="755" t="s">
        <v>803</v>
      </c>
      <c r="P151" s="139">
        <f t="shared" si="11"/>
        <v>2</v>
      </c>
    </row>
    <row r="152" spans="1:16" ht="28.5">
      <c r="A152" s="585" t="str">
        <f t="shared" si="9"/>
        <v>Hamburger Pensionsunterstützungskasse e.V. v. 01.06.2010</v>
      </c>
      <c r="B152" s="585">
        <f>ROW()</f>
        <v>152</v>
      </c>
      <c r="C152" s="610" t="s">
        <v>776</v>
      </c>
      <c r="D152" s="1117">
        <v>40330</v>
      </c>
      <c r="E152" s="611" t="s">
        <v>767</v>
      </c>
      <c r="F152" s="612" t="str">
        <f t="shared" si="10"/>
        <v/>
      </c>
      <c r="G152" s="609" t="str">
        <f t="shared" si="12"/>
        <v xml:space="preserve">TO ermöglicht: doppelten Kostenabzug; </v>
      </c>
      <c r="J152" s="750" t="s">
        <v>1023</v>
      </c>
      <c r="K152" s="1115"/>
      <c r="L152" s="1115">
        <v>2</v>
      </c>
      <c r="M152" s="1115"/>
      <c r="N152" s="1115"/>
      <c r="O152" s="755" t="s">
        <v>803</v>
      </c>
      <c r="P152" s="139">
        <f t="shared" si="11"/>
        <v>2</v>
      </c>
    </row>
    <row r="153" spans="1:16" ht="25.5">
      <c r="A153" s="585" t="str">
        <f t="shared" ref="A153:A226" si="13">C153&amp;IF(D153=0,""," v. "&amp;TEXT(D153,"TT.MM.JJJ"))</f>
        <v>Hamburger Unterstützungskasse HUK Nr. 1 v. 01.09.2009</v>
      </c>
      <c r="B153" s="585">
        <f>ROW()</f>
        <v>153</v>
      </c>
      <c r="C153" s="1295" t="s">
        <v>772</v>
      </c>
      <c r="D153" s="1117">
        <v>40057</v>
      </c>
      <c r="E153" s="611" t="s">
        <v>767</v>
      </c>
      <c r="F153" s="612" t="str">
        <f t="shared" si="10"/>
        <v/>
      </c>
      <c r="G153" s="609" t="str">
        <f t="shared" si="12"/>
        <v xml:space="preserve">TO ermöglicht: doppelten Kostenabzug; </v>
      </c>
      <c r="J153" s="754"/>
      <c r="K153" s="1115"/>
      <c r="L153" s="1115">
        <v>2</v>
      </c>
      <c r="M153" s="1115"/>
      <c r="N153" s="1115"/>
      <c r="O153" s="755" t="s">
        <v>803</v>
      </c>
      <c r="P153" s="139">
        <f t="shared" si="11"/>
        <v>2</v>
      </c>
    </row>
    <row r="154" spans="1:16" ht="25.5">
      <c r="A154" s="585" t="str">
        <f t="shared" si="13"/>
        <v>Hamburger Unterstützungskasse HUK Nr. 2 v. 01.01.2018</v>
      </c>
      <c r="B154" s="585">
        <f>ROW()</f>
        <v>154</v>
      </c>
      <c r="C154" s="610" t="s">
        <v>773</v>
      </c>
      <c r="D154" s="1117">
        <v>43101</v>
      </c>
      <c r="E154" s="611">
        <v>5.3</v>
      </c>
      <c r="F154" s="612" t="str">
        <f t="shared" si="10"/>
        <v/>
      </c>
      <c r="G154" s="609" t="str">
        <f t="shared" si="12"/>
        <v xml:space="preserve">TO ermöglicht: doppelten Kostenabzug; </v>
      </c>
      <c r="K154" s="1115"/>
      <c r="L154" s="1115">
        <v>2</v>
      </c>
      <c r="M154" s="1115"/>
      <c r="N154" s="1115"/>
      <c r="O154" s="755" t="s">
        <v>803</v>
      </c>
      <c r="P154" s="139">
        <f t="shared" si="11"/>
        <v>2</v>
      </c>
    </row>
    <row r="155" spans="1:16" ht="25.5">
      <c r="A155" s="585" t="str">
        <f t="shared" si="13"/>
        <v>Hamburger Unterstützungskasse HUK v. 01.06.2015</v>
      </c>
      <c r="B155" s="585">
        <f>ROW()</f>
        <v>155</v>
      </c>
      <c r="C155" s="610" t="s">
        <v>771</v>
      </c>
      <c r="D155" s="1117">
        <v>42156</v>
      </c>
      <c r="E155" s="611" t="s">
        <v>767</v>
      </c>
      <c r="F155" s="612" t="str">
        <f t="shared" ref="F155:F228" si="14">IF(K155=1,"Ja","")</f>
        <v/>
      </c>
      <c r="G155" s="609" t="str">
        <f t="shared" si="12"/>
        <v xml:space="preserve">TO ermöglicht: doppelten Kostenabzug; </v>
      </c>
      <c r="K155" s="1115"/>
      <c r="L155" s="1115">
        <v>2</v>
      </c>
      <c r="M155" s="1115"/>
      <c r="N155" s="1115"/>
      <c r="O155" s="755" t="s">
        <v>803</v>
      </c>
      <c r="P155" s="139">
        <f t="shared" si="11"/>
        <v>2</v>
      </c>
    </row>
    <row r="156" spans="1:16">
      <c r="A156" s="585" t="str">
        <f t="shared" si="13"/>
        <v>Hamburger Wasserwerke GmbH v. 01.09.2009</v>
      </c>
      <c r="B156" s="585">
        <f>ROW()</f>
        <v>156</v>
      </c>
      <c r="C156" s="610" t="s">
        <v>1071</v>
      </c>
      <c r="D156" s="1117">
        <v>40057</v>
      </c>
      <c r="E156" s="611" t="s">
        <v>1072</v>
      </c>
      <c r="F156" s="612" t="str">
        <f t="shared" si="14"/>
        <v/>
      </c>
      <c r="G156" s="609" t="str">
        <f t="shared" si="12"/>
        <v xml:space="preserve">TO ermöglicht: doppelten Kostenabzug; </v>
      </c>
      <c r="K156" s="1115"/>
      <c r="L156" s="1115">
        <v>2</v>
      </c>
      <c r="M156" s="1115"/>
      <c r="N156" s="1115"/>
      <c r="P156" s="139">
        <f t="shared" si="11"/>
        <v>2</v>
      </c>
    </row>
    <row r="157" spans="1:16" ht="45">
      <c r="A157" s="585" t="str">
        <f t="shared" si="13"/>
        <v>Hannoversche Lebensversicherung AG v. 01.02.2022</v>
      </c>
      <c r="B157" s="585">
        <f>ROW()</f>
        <v>157</v>
      </c>
      <c r="C157" s="610" t="s">
        <v>1073</v>
      </c>
      <c r="D157" s="1117">
        <v>44593</v>
      </c>
      <c r="E157" s="611" t="s">
        <v>195</v>
      </c>
      <c r="F157" s="612" t="str">
        <f t="shared" si="14"/>
        <v/>
      </c>
      <c r="G157" s="609" t="str">
        <f t="shared" si="12"/>
        <v>TO ermöglicht: doppelten Kostenabzug;  Abweichungen vom gerichtl. festgelegten Ausgleichswert;  Wertteilhabe (z.B. Verzinsung) zwischen EzE und RK geltend machen</v>
      </c>
      <c r="I157" s="754"/>
      <c r="K157" s="1115"/>
      <c r="L157" s="1115">
        <v>2</v>
      </c>
      <c r="M157" s="1115">
        <v>3</v>
      </c>
      <c r="N157" s="1115">
        <v>4</v>
      </c>
      <c r="P157" s="139">
        <f t="shared" si="11"/>
        <v>9</v>
      </c>
    </row>
    <row r="158" spans="1:16" ht="22.5">
      <c r="A158" s="585" t="str">
        <f>C158&amp;IF(D158=0,""," v. "&amp;TEXT(D158,"TT.MM.JJJ"))</f>
        <v>HanseMerkur Lebensversicherung AG v. 01.04.2017</v>
      </c>
      <c r="B158" s="585">
        <f>ROW()</f>
        <v>158</v>
      </c>
      <c r="C158" s="610" t="s">
        <v>1837</v>
      </c>
      <c r="D158" s="1117">
        <v>42826</v>
      </c>
      <c r="E158" s="611" t="s">
        <v>727</v>
      </c>
      <c r="F158" s="612" t="s">
        <v>463</v>
      </c>
      <c r="G158" s="609" t="str">
        <f t="shared" si="12"/>
        <v>TO ermöglicht: Tarifwechel;  Wertteilhabe (z.B. Verzinsung) zwischen EzE und RK geltend machen</v>
      </c>
      <c r="I158" s="754"/>
      <c r="K158" s="1115">
        <v>1</v>
      </c>
      <c r="L158" s="1115"/>
      <c r="M158" s="1115"/>
      <c r="N158" s="1115">
        <v>4</v>
      </c>
      <c r="P158" s="139">
        <f t="shared" si="11"/>
        <v>5</v>
      </c>
    </row>
    <row r="159" spans="1:16" ht="45">
      <c r="A159" s="585" t="str">
        <f t="shared" si="13"/>
        <v>HDI Lebensversicherung AG v. 02.01.2020</v>
      </c>
      <c r="B159" s="585">
        <f>ROW()</f>
        <v>159</v>
      </c>
      <c r="C159" s="610" t="s">
        <v>862</v>
      </c>
      <c r="D159" s="1117">
        <v>43832</v>
      </c>
      <c r="E159" s="611" t="s">
        <v>860</v>
      </c>
      <c r="F159" s="612" t="str">
        <f t="shared" si="14"/>
        <v>Ja</v>
      </c>
      <c r="G159" s="609" t="str">
        <f t="shared" si="12"/>
        <v>TO ermöglicht: Tarifwechel; doppelten Kostenabzug;  Abweichungen vom gerichtl. festgelegten Ausgleichswert;  Wertteilhabe (z.B. Verzinsung) zwischen EzE und RK geltend machen</v>
      </c>
      <c r="K159" s="1115">
        <v>1</v>
      </c>
      <c r="L159" s="1115">
        <v>2</v>
      </c>
      <c r="M159" s="1115">
        <v>3</v>
      </c>
      <c r="N159" s="1115">
        <v>4</v>
      </c>
      <c r="O159" s="755" t="s">
        <v>861</v>
      </c>
      <c r="P159" s="139">
        <f t="shared" si="11"/>
        <v>10</v>
      </c>
    </row>
    <row r="160" spans="1:16" ht="45">
      <c r="A160" s="585" t="str">
        <f t="shared" si="13"/>
        <v>HDI Lebensversicherung AG v. 14.01.2013</v>
      </c>
      <c r="B160" s="585">
        <f>ROW()</f>
        <v>160</v>
      </c>
      <c r="C160" s="610" t="s">
        <v>862</v>
      </c>
      <c r="D160" s="1117">
        <v>41288</v>
      </c>
      <c r="E160" s="611" t="s">
        <v>860</v>
      </c>
      <c r="F160" s="612" t="str">
        <f t="shared" si="14"/>
        <v>Ja</v>
      </c>
      <c r="G160" s="609" t="str">
        <f t="shared" si="12"/>
        <v>TO ermöglicht: Tarifwechel; doppelten Kostenabzug;  Abweichungen vom gerichtl. festgelegten Ausgleichswert;  Wertteilhabe (z.B. Verzinsung) zwischen EzE und RK geltend machen</v>
      </c>
      <c r="K160" s="1115">
        <v>1</v>
      </c>
      <c r="L160" s="1115">
        <v>2</v>
      </c>
      <c r="M160" s="1115">
        <v>3</v>
      </c>
      <c r="N160" s="1115">
        <v>4</v>
      </c>
      <c r="O160" s="755" t="s">
        <v>863</v>
      </c>
      <c r="P160" s="139">
        <f t="shared" si="11"/>
        <v>10</v>
      </c>
    </row>
    <row r="161" spans="1:16" ht="56.25">
      <c r="A161" s="585" t="str">
        <f t="shared" si="13"/>
        <v>HDI Lebensversicherung AG v. ohne Datum</v>
      </c>
      <c r="B161" s="585">
        <f>ROW()</f>
        <v>161</v>
      </c>
      <c r="C161" s="610" t="s">
        <v>862</v>
      </c>
      <c r="D161" s="1117" t="s">
        <v>1074</v>
      </c>
      <c r="E161" s="611" t="s">
        <v>727</v>
      </c>
      <c r="F161" s="612" t="str">
        <f t="shared" si="14"/>
        <v>Ja</v>
      </c>
      <c r="G161" s="609" t="str">
        <f t="shared" si="12"/>
        <v>TO ermöglicht: Tarifwechel; doppelten Kostenabzug;  Abweichungen vom gerichtl. festgelegten Ausgleichswert;  Wertteilhabe (z.B. Verzinsung) zwischen EzE und RK geltend machen</v>
      </c>
      <c r="I161" s="609" t="s">
        <v>1351</v>
      </c>
      <c r="K161" s="1115">
        <v>1</v>
      </c>
      <c r="L161" s="1115">
        <v>2</v>
      </c>
      <c r="M161" s="1115">
        <v>3</v>
      </c>
      <c r="N161" s="1115">
        <v>4</v>
      </c>
      <c r="P161" s="139">
        <f t="shared" si="11"/>
        <v>10</v>
      </c>
    </row>
    <row r="162" spans="1:16">
      <c r="A162" s="585" t="str">
        <f t="shared" si="13"/>
        <v>HDI Pensionskasse v. 01.04.2015</v>
      </c>
      <c r="B162" s="585">
        <f>ROW()</f>
        <v>162</v>
      </c>
      <c r="C162" s="610" t="s">
        <v>726</v>
      </c>
      <c r="D162" s="1117">
        <v>42095</v>
      </c>
      <c r="E162" s="611" t="s">
        <v>727</v>
      </c>
      <c r="F162" s="612" t="str">
        <f t="shared" si="14"/>
        <v>Ja</v>
      </c>
      <c r="G162" s="609" t="str">
        <f t="shared" si="12"/>
        <v xml:space="preserve">TO ermöglicht: Tarifwechel; </v>
      </c>
      <c r="J162" s="754"/>
      <c r="K162" s="1115">
        <v>1</v>
      </c>
      <c r="L162" s="1115"/>
      <c r="M162" s="1115"/>
      <c r="N162" s="1115"/>
      <c r="O162" s="759" t="s">
        <v>728</v>
      </c>
      <c r="P162" s="139">
        <f t="shared" si="11"/>
        <v>1</v>
      </c>
    </row>
    <row r="163" spans="1:16">
      <c r="A163" s="585" t="str">
        <f t="shared" si="13"/>
        <v>HDI Pensionskasse v. 14.01.2013</v>
      </c>
      <c r="B163" s="585">
        <f>ROW()</f>
        <v>163</v>
      </c>
      <c r="C163" s="610" t="s">
        <v>726</v>
      </c>
      <c r="D163" s="1117">
        <v>41288</v>
      </c>
      <c r="E163" s="611" t="s">
        <v>727</v>
      </c>
      <c r="F163" s="612" t="str">
        <f t="shared" si="14"/>
        <v>Ja</v>
      </c>
      <c r="G163" s="609" t="str">
        <f t="shared" si="12"/>
        <v xml:space="preserve">TO ermöglicht: Tarifwechel; doppelten Kostenabzug; </v>
      </c>
      <c r="K163" s="1115">
        <v>1</v>
      </c>
      <c r="L163" s="1115">
        <v>2</v>
      </c>
      <c r="M163" s="1115"/>
      <c r="N163" s="1115"/>
      <c r="O163" s="759" t="s">
        <v>728</v>
      </c>
      <c r="P163" s="139">
        <f t="shared" si="11"/>
        <v>3</v>
      </c>
    </row>
    <row r="164" spans="1:16" ht="45">
      <c r="A164" s="585" t="str">
        <f t="shared" si="13"/>
        <v>Heidelberger Leben v. 01.01.2014</v>
      </c>
      <c r="B164" s="585">
        <f>ROW()</f>
        <v>164</v>
      </c>
      <c r="C164" s="610" t="s">
        <v>933</v>
      </c>
      <c r="D164" s="1117">
        <v>41640</v>
      </c>
      <c r="E164" s="611" t="s">
        <v>917</v>
      </c>
      <c r="F164" s="612" t="str">
        <f t="shared" si="14"/>
        <v>Ja</v>
      </c>
      <c r="G164" s="609" t="str">
        <f t="shared" si="12"/>
        <v>TO ermöglicht: Tarifwechel; doppelten Kostenabzug;  Abweichungen vom gerichtl. festgelegten Ausgleichswert;  Wertteilhabe (z.B. Verzinsung) zwischen EzE und RK geltend machen</v>
      </c>
      <c r="K164" s="1115">
        <v>1</v>
      </c>
      <c r="L164" s="1115">
        <v>2</v>
      </c>
      <c r="M164" s="1115">
        <v>3</v>
      </c>
      <c r="N164" s="1115">
        <v>4</v>
      </c>
      <c r="P164" s="139">
        <f t="shared" si="11"/>
        <v>10</v>
      </c>
    </row>
    <row r="165" spans="1:16" ht="33.75">
      <c r="A165" s="585" t="str">
        <f t="shared" si="13"/>
        <v>Heidelberger Cement AG, Heidelberg v. 23.03.2013</v>
      </c>
      <c r="B165" s="585">
        <f>ROW()</f>
        <v>165</v>
      </c>
      <c r="C165" s="610" t="s">
        <v>1562</v>
      </c>
      <c r="D165" s="1117">
        <v>41356</v>
      </c>
      <c r="E165" s="611">
        <v>5</v>
      </c>
      <c r="F165" s="612"/>
      <c r="G165" s="609" t="str">
        <f t="shared" si="12"/>
        <v/>
      </c>
      <c r="I165" s="609" t="s">
        <v>1564</v>
      </c>
      <c r="K165" s="1115"/>
      <c r="L165" s="1115"/>
      <c r="M165" s="1115"/>
      <c r="N165" s="1115"/>
      <c r="P165" s="139"/>
    </row>
    <row r="166" spans="1:16" ht="25.5">
      <c r="A166" s="585" t="str">
        <f t="shared" si="13"/>
        <v>Helvetia schweizerische Lebensversicherungs-AG v. 01.04.2019</v>
      </c>
      <c r="B166" s="585">
        <f>ROW()</f>
        <v>166</v>
      </c>
      <c r="C166" s="610" t="s">
        <v>1347</v>
      </c>
      <c r="D166" s="1117">
        <v>43556</v>
      </c>
      <c r="E166" s="611">
        <v>5</v>
      </c>
      <c r="F166" s="612" t="str">
        <f t="shared" si="14"/>
        <v>Ja</v>
      </c>
      <c r="G166" s="609" t="str">
        <f t="shared" si="12"/>
        <v xml:space="preserve">TO ermöglicht: Tarifwechel; doppelten Kostenabzug; </v>
      </c>
      <c r="K166" s="1115">
        <v>1</v>
      </c>
      <c r="L166" s="1115">
        <v>2</v>
      </c>
      <c r="M166" s="1115"/>
      <c r="N166" s="1115"/>
      <c r="P166" s="139">
        <f t="shared" si="11"/>
        <v>3</v>
      </c>
    </row>
    <row r="167" spans="1:16" ht="33.75">
      <c r="A167" s="585" t="str">
        <f t="shared" si="13"/>
        <v>Hewlett Packard GmbH Böblingen v. 18.12.2009</v>
      </c>
      <c r="B167" s="585">
        <f>ROW()</f>
        <v>167</v>
      </c>
      <c r="C167" s="610" t="s">
        <v>1075</v>
      </c>
      <c r="D167" s="1117">
        <v>40165</v>
      </c>
      <c r="E167" s="611" t="s">
        <v>651</v>
      </c>
      <c r="F167" s="612" t="str">
        <f t="shared" si="14"/>
        <v/>
      </c>
      <c r="G167" s="609" t="str">
        <f t="shared" si="12"/>
        <v xml:space="preserve">TO ermöglicht: doppelten Kostenabzug;  Abweichungen vom gerichtl. festgelegten Ausgleichswert; </v>
      </c>
      <c r="K167" s="1115"/>
      <c r="L167" s="1115">
        <v>2</v>
      </c>
      <c r="M167" s="1115">
        <v>3</v>
      </c>
      <c r="N167" s="1115"/>
      <c r="P167" s="139">
        <f t="shared" si="11"/>
        <v>5</v>
      </c>
    </row>
    <row r="168" spans="1:16" ht="56.25">
      <c r="A168" s="585" t="str">
        <f t="shared" si="13"/>
        <v>Hoechst Pensionskasse v. 01.01.2022</v>
      </c>
      <c r="B168" s="585">
        <f>ROW()</f>
        <v>168</v>
      </c>
      <c r="C168" s="610" t="s">
        <v>1111</v>
      </c>
      <c r="D168" s="1117">
        <v>44562</v>
      </c>
      <c r="F168" s="612" t="str">
        <f t="shared" si="14"/>
        <v/>
      </c>
      <c r="G168" s="609" t="str">
        <f t="shared" si="12"/>
        <v/>
      </c>
      <c r="I168" s="609" t="s">
        <v>1312</v>
      </c>
      <c r="K168" s="1115"/>
      <c r="L168" s="1115"/>
      <c r="M168" s="1115"/>
      <c r="N168" s="1115"/>
      <c r="P168" s="139">
        <f t="shared" si="11"/>
        <v>0</v>
      </c>
    </row>
    <row r="169" spans="1:16" ht="25.5">
      <c r="A169" s="585" t="str">
        <f t="shared" si="13"/>
        <v>Homann Feinkost GmbH v. 01.09.2009</v>
      </c>
      <c r="B169" s="585">
        <f>ROW()</f>
        <v>169</v>
      </c>
      <c r="C169" s="610" t="s">
        <v>791</v>
      </c>
      <c r="D169" s="1117">
        <v>40057</v>
      </c>
      <c r="E169" s="611" t="s">
        <v>767</v>
      </c>
      <c r="F169" s="612" t="str">
        <f t="shared" si="14"/>
        <v/>
      </c>
      <c r="G169" s="609" t="str">
        <f t="shared" si="12"/>
        <v>TO ermöglicht:  Wertteilhabe (z.B. Verzinsung) zwischen EzE und RK geltend machen</v>
      </c>
      <c r="K169" s="1115"/>
      <c r="L169" s="1115"/>
      <c r="M169" s="1115"/>
      <c r="N169" s="1115">
        <v>4</v>
      </c>
      <c r="O169" s="755" t="s">
        <v>803</v>
      </c>
      <c r="P169" s="139">
        <f t="shared" si="11"/>
        <v>4</v>
      </c>
    </row>
    <row r="170" spans="1:16" ht="45">
      <c r="A170" s="585" t="str">
        <f t="shared" si="13"/>
        <v>HUK-Coburg v. 01.01.2015</v>
      </c>
      <c r="B170" s="585">
        <f>ROW()</f>
        <v>170</v>
      </c>
      <c r="C170" s="610" t="s">
        <v>691</v>
      </c>
      <c r="D170" s="1117">
        <v>42005</v>
      </c>
      <c r="E170" s="611" t="s">
        <v>667</v>
      </c>
      <c r="F170" s="612" t="str">
        <f t="shared" si="14"/>
        <v>Ja</v>
      </c>
      <c r="G170" s="609" t="str">
        <f t="shared" si="12"/>
        <v>TO ermöglicht: Tarifwechel; doppelten Kostenabzug;  Abweichungen vom gerichtl. festgelegten Ausgleichswert;  Wertteilhabe (z.B. Verzinsung) zwischen EzE und RK geltend machen</v>
      </c>
      <c r="K170" s="1115">
        <v>1</v>
      </c>
      <c r="L170" s="1115">
        <v>2</v>
      </c>
      <c r="M170" s="1115">
        <v>3</v>
      </c>
      <c r="N170" s="1115">
        <v>4</v>
      </c>
      <c r="O170" s="755" t="s">
        <v>803</v>
      </c>
      <c r="P170" s="139">
        <f t="shared" si="11"/>
        <v>10</v>
      </c>
    </row>
    <row r="171" spans="1:16" ht="45">
      <c r="A171" s="585" t="str">
        <f t="shared" si="13"/>
        <v>HypoVereinsbank HVB v. 05.10.2016</v>
      </c>
      <c r="B171" s="585">
        <f>ROW()</f>
        <v>171</v>
      </c>
      <c r="C171" s="610" t="s">
        <v>1076</v>
      </c>
      <c r="D171" s="1117">
        <v>42648</v>
      </c>
      <c r="E171" s="611" t="s">
        <v>1077</v>
      </c>
      <c r="F171" s="612" t="str">
        <f t="shared" si="14"/>
        <v/>
      </c>
      <c r="G171" s="609" t="str">
        <f t="shared" si="12"/>
        <v>TO ermöglicht: doppelten Kostenabzug;  Wertteilhabe (z.B. Verzinsung) zwischen EzE und RK geltend machen</v>
      </c>
      <c r="I171" s="609" t="s">
        <v>809</v>
      </c>
      <c r="K171" s="1115"/>
      <c r="L171" s="1115">
        <v>2</v>
      </c>
      <c r="M171" s="1115"/>
      <c r="N171" s="1115">
        <v>4</v>
      </c>
      <c r="P171" s="139">
        <f t="shared" si="11"/>
        <v>6</v>
      </c>
    </row>
    <row r="172" spans="1:16" ht="45">
      <c r="A172" s="585" t="str">
        <f t="shared" si="13"/>
        <v>HypoVereinsbank Unicredit Group v. 05.10.2016</v>
      </c>
      <c r="B172" s="585">
        <f>ROW()</f>
        <v>172</v>
      </c>
      <c r="C172" s="610" t="s">
        <v>1078</v>
      </c>
      <c r="D172" s="1117">
        <v>42648</v>
      </c>
      <c r="E172" s="611" t="s">
        <v>1079</v>
      </c>
      <c r="F172" s="612" t="str">
        <f t="shared" si="14"/>
        <v/>
      </c>
      <c r="G172" s="609" t="str">
        <f t="shared" si="12"/>
        <v>TO ermöglicht: doppelten Kostenabzug;  Abweichungen vom gerichtl. festgelegten Ausgleichswert;  Wertteilhabe (z.B. Verzinsung) zwischen EzE und RK geltend machen</v>
      </c>
      <c r="J172" s="754"/>
      <c r="K172" s="1115"/>
      <c r="L172" s="1115">
        <v>2</v>
      </c>
      <c r="M172" s="1115">
        <v>3</v>
      </c>
      <c r="N172" s="1115">
        <v>4</v>
      </c>
      <c r="P172" s="139">
        <f t="shared" si="11"/>
        <v>9</v>
      </c>
    </row>
    <row r="173" spans="1:16">
      <c r="A173" s="585" t="str">
        <f t="shared" si="13"/>
        <v>IBM v. 01.09.2009</v>
      </c>
      <c r="B173" s="585">
        <f>ROW()</f>
        <v>173</v>
      </c>
      <c r="C173" s="610" t="s">
        <v>1099</v>
      </c>
      <c r="D173" s="1117">
        <v>40057</v>
      </c>
      <c r="E173" s="611" t="s">
        <v>1100</v>
      </c>
      <c r="F173" s="612" t="str">
        <f t="shared" si="14"/>
        <v/>
      </c>
      <c r="G173" s="609" t="str">
        <f t="shared" si="12"/>
        <v xml:space="preserve">TO ermöglicht: doppelten Kostenabzug; </v>
      </c>
      <c r="K173" s="1115"/>
      <c r="L173" s="1115">
        <v>2</v>
      </c>
      <c r="M173" s="1115"/>
      <c r="N173" s="1115"/>
      <c r="P173" s="139">
        <f t="shared" si="11"/>
        <v>2</v>
      </c>
    </row>
    <row r="174" spans="1:16" ht="25.5">
      <c r="A174" s="585" t="str">
        <f t="shared" si="13"/>
        <v>IGLO GmbH v. 01.09.2009</v>
      </c>
      <c r="B174" s="585">
        <f>ROW()</f>
        <v>174</v>
      </c>
      <c r="C174" s="610" t="s">
        <v>792</v>
      </c>
      <c r="D174" s="1117">
        <v>40057</v>
      </c>
      <c r="E174" s="611" t="s">
        <v>767</v>
      </c>
      <c r="F174" s="612" t="str">
        <f t="shared" si="14"/>
        <v/>
      </c>
      <c r="G174" s="609" t="str">
        <f t="shared" si="12"/>
        <v xml:space="preserve">TO ermöglicht: doppelten Kostenabzug; </v>
      </c>
      <c r="K174" s="1115"/>
      <c r="L174" s="1115">
        <v>2</v>
      </c>
      <c r="M174" s="1115"/>
      <c r="N174" s="1115"/>
      <c r="O174" s="755" t="s">
        <v>803</v>
      </c>
      <c r="P174" s="139">
        <f t="shared" si="11"/>
        <v>2</v>
      </c>
    </row>
    <row r="175" spans="1:16" ht="33.75">
      <c r="A175" s="585" t="str">
        <f t="shared" si="13"/>
        <v>Imperial Logistics v. 14.02.2022</v>
      </c>
      <c r="B175" s="585">
        <f>ROW()</f>
        <v>175</v>
      </c>
      <c r="C175" s="610" t="s">
        <v>1123</v>
      </c>
      <c r="D175" s="1117">
        <v>44606</v>
      </c>
      <c r="E175" s="611" t="s">
        <v>875</v>
      </c>
      <c r="F175" s="612" t="str">
        <f t="shared" si="14"/>
        <v/>
      </c>
      <c r="G175" s="609" t="str">
        <f t="shared" si="12"/>
        <v>TO ermöglicht: doppelten Kostenabzug;  Wertteilhabe (z.B. Verzinsung) zwischen EzE und RK geltend machen</v>
      </c>
      <c r="K175" s="1115"/>
      <c r="L175" s="1115">
        <v>2</v>
      </c>
      <c r="M175" s="1115"/>
      <c r="N175" s="1115">
        <v>4</v>
      </c>
      <c r="P175" s="139">
        <f t="shared" ref="P175:P248" si="15">SUM(K175:N175)</f>
        <v>6</v>
      </c>
    </row>
    <row r="176" spans="1:16" ht="56.25">
      <c r="A176" s="585" t="str">
        <f t="shared" si="13"/>
        <v>Ineos Phenol v. 25.09.2009</v>
      </c>
      <c r="B176" s="585">
        <f>ROW()</f>
        <v>176</v>
      </c>
      <c r="C176" s="610" t="s">
        <v>1337</v>
      </c>
      <c r="D176" s="1117">
        <v>40081</v>
      </c>
      <c r="F176" s="612" t="str">
        <f t="shared" si="14"/>
        <v/>
      </c>
      <c r="G176" s="609" t="str">
        <f t="shared" si="12"/>
        <v/>
      </c>
      <c r="I176" s="609" t="s">
        <v>1338</v>
      </c>
      <c r="K176" s="1115"/>
      <c r="L176" s="1115"/>
      <c r="M176" s="1115"/>
      <c r="N176" s="1115"/>
      <c r="P176" s="139">
        <f t="shared" si="15"/>
        <v>0</v>
      </c>
    </row>
    <row r="177" spans="1:16" ht="45">
      <c r="A177" s="585" t="str">
        <f t="shared" si="13"/>
        <v>InterRisk Lebensversicherungs AG Vienna Insurance Group v. 02.08.2012</v>
      </c>
      <c r="B177" s="585">
        <f>ROW()</f>
        <v>177</v>
      </c>
      <c r="C177" s="610" t="s">
        <v>1597</v>
      </c>
      <c r="D177" s="1117">
        <v>41123</v>
      </c>
      <c r="E177" s="611" t="s">
        <v>651</v>
      </c>
      <c r="F177" s="612" t="str">
        <f t="shared" si="14"/>
        <v>Ja</v>
      </c>
      <c r="G177" s="609" t="str">
        <f t="shared" si="12"/>
        <v>TO ermöglicht: Tarifwechel; doppelten Kostenabzug;  Abweichungen vom gerichtl. festgelegten Ausgleichswert;  Wertteilhabe (z.B. Verzinsung) zwischen EzE und RK geltend machen</v>
      </c>
      <c r="I177" s="609" t="s">
        <v>1598</v>
      </c>
      <c r="K177" s="1115">
        <v>1</v>
      </c>
      <c r="L177" s="1115">
        <v>2</v>
      </c>
      <c r="M177" s="1115">
        <v>3</v>
      </c>
      <c r="N177" s="1115">
        <v>4</v>
      </c>
      <c r="P177" s="139"/>
    </row>
    <row r="178" spans="1:16" ht="22.5">
      <c r="A178" s="585" t="str">
        <f>C178&amp;IF(D178=0,""," v. "&amp;TEXT(D178,"TT.MM.JJJ"))</f>
        <v>KfW Bankengruppe zu VO 2000</v>
      </c>
      <c r="B178" s="585">
        <f>ROW()</f>
        <v>178</v>
      </c>
      <c r="C178" s="610" t="s">
        <v>2011</v>
      </c>
      <c r="E178" s="611" t="s">
        <v>1072</v>
      </c>
      <c r="F178" s="612"/>
      <c r="G178" s="609" t="str">
        <f t="shared" si="12"/>
        <v>TO ermöglicht:  Wertteilhabe (z.B. Verzinsung) zwischen EzE und RK geltend machen</v>
      </c>
      <c r="K178" s="1115"/>
      <c r="L178" s="1115"/>
      <c r="M178" s="1115"/>
      <c r="N178" s="1115">
        <v>4</v>
      </c>
      <c r="P178" s="139"/>
    </row>
    <row r="179" spans="1:16" ht="38.25">
      <c r="A179" s="585" t="str">
        <f>C179&amp;IF(D179=0,""," v. "&amp;TEXT(D179,"TT.MM.JJJ"))</f>
        <v>KfW Bankengruppe betrieblichen Zusatzversorgung durch Entgeltumwandlung</v>
      </c>
      <c r="C179" s="610" t="s">
        <v>2012</v>
      </c>
      <c r="E179" s="611" t="s">
        <v>1072</v>
      </c>
      <c r="F179" s="612"/>
      <c r="G179" s="609" t="str">
        <f t="shared" si="12"/>
        <v>TO ermöglicht:  Wertteilhabe (z.B. Verzinsung) zwischen EzE und RK geltend machen</v>
      </c>
      <c r="K179" s="1115"/>
      <c r="L179" s="1115"/>
      <c r="M179" s="1115"/>
      <c r="N179" s="1115">
        <v>4</v>
      </c>
      <c r="P179" s="139"/>
    </row>
    <row r="180" spans="1:16" ht="33.75">
      <c r="A180" s="585" t="str">
        <f t="shared" si="13"/>
        <v>KKH - Teilungsregeln für den Versorgungsausgleich v. 26.05.2011</v>
      </c>
      <c r="B180" s="585">
        <f>ROW()</f>
        <v>180</v>
      </c>
      <c r="C180" s="751" t="s">
        <v>801</v>
      </c>
      <c r="D180" s="1117">
        <v>40689</v>
      </c>
      <c r="E180" s="611" t="s">
        <v>802</v>
      </c>
      <c r="F180" s="612" t="str">
        <f t="shared" si="14"/>
        <v/>
      </c>
      <c r="G180" s="609" t="str">
        <f t="shared" si="12"/>
        <v>TO ermöglicht: doppelten Kostenabzug;  Wertteilhabe (z.B. Verzinsung) zwischen EzE und RK geltend machen</v>
      </c>
      <c r="K180" s="1116"/>
      <c r="L180" s="1115">
        <v>2</v>
      </c>
      <c r="M180" s="1115"/>
      <c r="N180" s="1115">
        <v>4</v>
      </c>
      <c r="O180" s="755" t="s">
        <v>803</v>
      </c>
      <c r="P180" s="139">
        <f t="shared" si="15"/>
        <v>6</v>
      </c>
    </row>
    <row r="181" spans="1:16" ht="45">
      <c r="A181" s="585" t="str">
        <f t="shared" si="13"/>
        <v>Kölner Pensionskasse v. 01.01.2016</v>
      </c>
      <c r="B181" s="585">
        <f>ROW()</f>
        <v>181</v>
      </c>
      <c r="C181" s="610" t="s">
        <v>1334</v>
      </c>
      <c r="D181" s="1117">
        <v>42370</v>
      </c>
      <c r="F181" s="612" t="str">
        <f t="shared" si="14"/>
        <v>Ja</v>
      </c>
      <c r="G181" s="609" t="str">
        <f t="shared" si="12"/>
        <v>TO ermöglicht: Tarifwechel; doppelten Kostenabzug;  Abweichungen vom gerichtl. festgelegten Ausgleichswert;  Wertteilhabe (z.B. Verzinsung) zwischen EzE und RK geltend machen</v>
      </c>
      <c r="K181" s="1115">
        <v>1</v>
      </c>
      <c r="L181" s="1115">
        <v>2</v>
      </c>
      <c r="M181" s="1115">
        <v>3</v>
      </c>
      <c r="N181" s="1115">
        <v>4</v>
      </c>
      <c r="P181" s="139">
        <f t="shared" si="15"/>
        <v>10</v>
      </c>
    </row>
    <row r="182" spans="1:16" ht="33.75">
      <c r="A182" s="585" t="str">
        <f t="shared" si="13"/>
        <v>Kordoba TO KAVP TMA FHL v. 14.12.2010</v>
      </c>
      <c r="B182" s="585">
        <f>ROW()</f>
        <v>182</v>
      </c>
      <c r="C182" s="610" t="s">
        <v>1124</v>
      </c>
      <c r="D182" s="1117">
        <v>40526</v>
      </c>
      <c r="F182" s="612" t="str">
        <f t="shared" si="14"/>
        <v/>
      </c>
      <c r="G182" s="609" t="str">
        <f t="shared" si="12"/>
        <v>TO ermöglicht: doppelten Kostenabzug;  Wertteilhabe (z.B. Verzinsung) zwischen EzE und RK geltend machen</v>
      </c>
      <c r="K182" s="1115"/>
      <c r="L182" s="1115">
        <v>2</v>
      </c>
      <c r="M182" s="1115"/>
      <c r="N182" s="1115">
        <v>4</v>
      </c>
      <c r="P182" s="139">
        <f t="shared" si="15"/>
        <v>6</v>
      </c>
    </row>
    <row r="183" spans="1:16" ht="33.75">
      <c r="A183" s="585" t="str">
        <f t="shared" si="13"/>
        <v>LandesBank Berlin v. 22.03.2010</v>
      </c>
      <c r="B183" s="585">
        <f>ROW()</f>
        <v>183</v>
      </c>
      <c r="C183" s="610" t="s">
        <v>1080</v>
      </c>
      <c r="D183" s="1117">
        <v>40259</v>
      </c>
      <c r="F183" s="612" t="str">
        <f t="shared" si="14"/>
        <v/>
      </c>
      <c r="G183" s="609" t="str">
        <f t="shared" si="12"/>
        <v>TO ermöglicht: doppelten Kostenabzug;  Wertteilhabe (z.B. Verzinsung) zwischen EzE und RK geltend machen</v>
      </c>
      <c r="K183" s="1115"/>
      <c r="L183" s="1115">
        <v>2</v>
      </c>
      <c r="M183" s="1115"/>
      <c r="N183" s="1115">
        <v>4</v>
      </c>
      <c r="P183" s="139">
        <f t="shared" si="15"/>
        <v>6</v>
      </c>
    </row>
    <row r="184" spans="1:16" ht="78.75">
      <c r="A184" s="585" t="str">
        <f t="shared" si="13"/>
        <v>Landesbank Berlin v. 17.09.2021</v>
      </c>
      <c r="B184" s="585">
        <f>ROW()</f>
        <v>184</v>
      </c>
      <c r="C184" s="610" t="s">
        <v>1606</v>
      </c>
      <c r="D184" s="1117">
        <v>44456</v>
      </c>
      <c r="E184" s="611" t="s">
        <v>1129</v>
      </c>
      <c r="F184" s="612" t="str">
        <f t="shared" si="14"/>
        <v/>
      </c>
      <c r="G184" s="609" t="str">
        <f t="shared" si="12"/>
        <v>TO ermöglicht: doppelten Kostenabzug;  Wertteilhabe (z.B. Verzinsung) zwischen EzE und RK geltend machen</v>
      </c>
      <c r="I184" s="609" t="s">
        <v>1607</v>
      </c>
      <c r="K184" s="1115"/>
      <c r="L184" s="1115">
        <v>2</v>
      </c>
      <c r="M184" s="1115"/>
      <c r="N184" s="1115">
        <v>4</v>
      </c>
      <c r="P184" s="139">
        <f t="shared" si="15"/>
        <v>6</v>
      </c>
    </row>
    <row r="185" spans="1:16" ht="25.5">
      <c r="A185" s="585" t="str">
        <f t="shared" si="13"/>
        <v>Landesbank BW (Kapitalkontenplan 2005) TO  v. 02.05.2015</v>
      </c>
      <c r="B185" s="585">
        <f>ROW()</f>
        <v>185</v>
      </c>
      <c r="C185" s="610" t="s">
        <v>1307</v>
      </c>
      <c r="D185" s="1117">
        <v>42126</v>
      </c>
      <c r="E185" s="611">
        <v>5</v>
      </c>
      <c r="F185" s="612" t="str">
        <f t="shared" si="14"/>
        <v/>
      </c>
      <c r="G185" s="609" t="str">
        <f t="shared" si="12"/>
        <v xml:space="preserve">TO ermöglicht: doppelten Kostenabzug; </v>
      </c>
      <c r="K185" s="1115"/>
      <c r="L185" s="1115">
        <v>2</v>
      </c>
      <c r="M185" s="1115"/>
      <c r="N185" s="1115"/>
      <c r="P185" s="139">
        <f t="shared" si="15"/>
        <v>2</v>
      </c>
    </row>
    <row r="186" spans="1:16" ht="45">
      <c r="A186" s="585" t="str">
        <f t="shared" si="13"/>
        <v>Lebensversicherung von 1871 a.G. München v. 01.09.2009</v>
      </c>
      <c r="B186" s="585">
        <f>ROW()</f>
        <v>186</v>
      </c>
      <c r="C186" s="610" t="s">
        <v>1162</v>
      </c>
      <c r="D186" s="1117">
        <v>40057</v>
      </c>
      <c r="E186" s="611" t="s">
        <v>1161</v>
      </c>
      <c r="F186" s="612" t="str">
        <f t="shared" si="14"/>
        <v>Ja</v>
      </c>
      <c r="G186" s="609" t="str">
        <f t="shared" si="12"/>
        <v>TO ermöglicht: Tarifwechel; doppelten Kostenabzug;  Abweichungen vom gerichtl. festgelegten Ausgleichswert;  Wertteilhabe (z.B. Verzinsung) zwischen EzE und RK geltend machen</v>
      </c>
      <c r="K186" s="1115">
        <v>1</v>
      </c>
      <c r="L186" s="1115">
        <v>2</v>
      </c>
      <c r="M186" s="1115">
        <v>3</v>
      </c>
      <c r="N186" s="1115">
        <v>4</v>
      </c>
      <c r="P186" s="139">
        <f t="shared" si="15"/>
        <v>10</v>
      </c>
    </row>
    <row r="187" spans="1:16" ht="38.25">
      <c r="A187" s="585" t="str">
        <f t="shared" si="13"/>
        <v>LPV Lebensversicherung AG PBV-Bestandssegment, Bestandssystem Köln v. 01.09.2023</v>
      </c>
      <c r="B187" s="585">
        <f>ROW()</f>
        <v>187</v>
      </c>
      <c r="C187" s="610" t="s">
        <v>1791</v>
      </c>
      <c r="D187" s="1117">
        <v>45170</v>
      </c>
      <c r="E187" s="611" t="s">
        <v>651</v>
      </c>
      <c r="F187" s="612"/>
      <c r="G187" s="609" t="str">
        <f t="shared" si="12"/>
        <v>TO ermöglicht:  Wertteilhabe (z.B. Verzinsung) zwischen EzE und RK geltend machen</v>
      </c>
      <c r="K187" s="1115"/>
      <c r="L187" s="1115"/>
      <c r="M187" s="1115"/>
      <c r="N187" s="1115">
        <v>4</v>
      </c>
      <c r="P187" s="139"/>
    </row>
    <row r="188" spans="1:16" ht="25.5">
      <c r="A188" s="585" t="str">
        <f t="shared" si="13"/>
        <v>LPV Lebensversicherung AG PBV-Bestandssegment v. 01.09.2023</v>
      </c>
      <c r="B188" s="585">
        <f>ROW()</f>
        <v>188</v>
      </c>
      <c r="C188" s="610" t="s">
        <v>1789</v>
      </c>
      <c r="D188" s="1117">
        <v>45170</v>
      </c>
      <c r="E188" s="611" t="s">
        <v>1790</v>
      </c>
      <c r="F188" s="612" t="s">
        <v>463</v>
      </c>
      <c r="G188" s="609" t="str">
        <f t="shared" si="12"/>
        <v>TO ermöglicht: Tarifwechel;  Wertteilhabe (z.B. Verzinsung) zwischen EzE und RK geltend machen</v>
      </c>
      <c r="K188" s="1115">
        <v>1</v>
      </c>
      <c r="L188" s="1115"/>
      <c r="M188" s="1115"/>
      <c r="N188" s="1115">
        <v>4</v>
      </c>
      <c r="P188" s="139"/>
    </row>
    <row r="189" spans="1:16" ht="45">
      <c r="A189" s="585" t="str">
        <f t="shared" si="13"/>
        <v>Lufthansa Group TO  v. 28.06.2018</v>
      </c>
      <c r="B189" s="585">
        <f>ROW()</f>
        <v>189</v>
      </c>
      <c r="C189" s="610" t="s">
        <v>1315</v>
      </c>
      <c r="D189" s="1117">
        <v>43279</v>
      </c>
      <c r="E189" s="611" t="s">
        <v>1316</v>
      </c>
      <c r="F189" s="612" t="str">
        <f t="shared" si="14"/>
        <v/>
      </c>
      <c r="G189" s="609" t="str">
        <f t="shared" si="12"/>
        <v>TO ermöglicht: doppelten Kostenabzug;  Abweichungen vom gerichtl. festgelegten Ausgleichswert;  Wertteilhabe (z.B. Verzinsung) zwischen EzE und RK geltend machen</v>
      </c>
      <c r="K189" s="1115"/>
      <c r="L189" s="1115">
        <v>2</v>
      </c>
      <c r="M189" s="1115">
        <v>3</v>
      </c>
      <c r="N189" s="1115">
        <v>4</v>
      </c>
      <c r="P189" s="139">
        <f t="shared" si="15"/>
        <v>9</v>
      </c>
    </row>
    <row r="190" spans="1:16" ht="33.75">
      <c r="A190" s="585" t="str">
        <f t="shared" si="13"/>
        <v>Lufthansa Group Versorgungskasse Kabine e.V. v. 01.01.2012</v>
      </c>
      <c r="B190" s="585">
        <f>ROW()</f>
        <v>190</v>
      </c>
      <c r="C190" s="610" t="s">
        <v>1317</v>
      </c>
      <c r="D190" s="1117">
        <v>40909</v>
      </c>
      <c r="E190" s="611">
        <v>5</v>
      </c>
      <c r="F190" s="612" t="str">
        <f t="shared" si="14"/>
        <v>Ja</v>
      </c>
      <c r="G190" s="609" t="str">
        <f t="shared" si="12"/>
        <v>TO ermöglicht: Tarifwechel; doppelten Kostenabzug;  Wertteilhabe (z.B. Verzinsung) zwischen EzE und RK geltend machen</v>
      </c>
      <c r="K190" s="1115">
        <v>1</v>
      </c>
      <c r="L190" s="1115">
        <v>2</v>
      </c>
      <c r="M190" s="1115"/>
      <c r="N190" s="1115">
        <v>4</v>
      </c>
      <c r="P190" s="139">
        <f t="shared" si="15"/>
        <v>7</v>
      </c>
    </row>
    <row r="191" spans="1:16" ht="33.75">
      <c r="A191" s="585" t="str">
        <f t="shared" si="13"/>
        <v>LVM Lebens- und Rentenversicherungen (privat) v. 01.10.2009</v>
      </c>
      <c r="B191" s="585">
        <f>ROW()</f>
        <v>191</v>
      </c>
      <c r="C191" s="610" t="s">
        <v>1081</v>
      </c>
      <c r="D191" s="1117">
        <v>40087</v>
      </c>
      <c r="E191" s="611" t="s">
        <v>663</v>
      </c>
      <c r="F191" s="612" t="str">
        <f t="shared" si="14"/>
        <v>Ja</v>
      </c>
      <c r="G191" s="609" t="str">
        <f t="shared" si="12"/>
        <v>TO ermöglicht: Tarifwechel; doppelten Kostenabzug;  Wertteilhabe (z.B. Verzinsung) zwischen EzE und RK geltend machen</v>
      </c>
      <c r="K191" s="1115">
        <v>1</v>
      </c>
      <c r="L191" s="1115">
        <v>2</v>
      </c>
      <c r="M191" s="1115"/>
      <c r="N191" s="1115">
        <v>4</v>
      </c>
      <c r="P191" s="139">
        <f t="shared" si="15"/>
        <v>7</v>
      </c>
    </row>
    <row r="192" spans="1:16" ht="45">
      <c r="A192" s="585" t="str">
        <f t="shared" si="13"/>
        <v>LVM Lebensversicherungs-AG v. 01.07.2017</v>
      </c>
      <c r="B192" s="585">
        <f>ROW()</f>
        <v>192</v>
      </c>
      <c r="C192" s="610" t="s">
        <v>1323</v>
      </c>
      <c r="D192" s="1117">
        <v>42917</v>
      </c>
      <c r="E192" s="611">
        <v>5</v>
      </c>
      <c r="F192" s="612" t="str">
        <f t="shared" si="14"/>
        <v/>
      </c>
      <c r="G192" s="609" t="str">
        <f t="shared" si="12"/>
        <v>TO ermöglicht: doppelten Kostenabzug;  Abweichungen vom gerichtl. festgelegten Ausgleichswert;  Wertteilhabe (z.B. Verzinsung) zwischen EzE und RK geltend machen</v>
      </c>
      <c r="K192" s="1115"/>
      <c r="L192" s="1115">
        <v>2</v>
      </c>
      <c r="M192" s="1115">
        <v>3</v>
      </c>
      <c r="N192" s="1115">
        <v>4</v>
      </c>
      <c r="P192" s="139">
        <f t="shared" si="15"/>
        <v>9</v>
      </c>
    </row>
    <row r="193" spans="1:16" ht="33.75">
      <c r="A193" s="585" t="str">
        <f t="shared" si="13"/>
        <v>LVM Pensionsfonds v. 01.09.2009</v>
      </c>
      <c r="B193" s="585">
        <f>ROW()</f>
        <v>193</v>
      </c>
      <c r="C193" s="610" t="s">
        <v>1082</v>
      </c>
      <c r="D193" s="1117">
        <v>40057</v>
      </c>
      <c r="E193" s="611" t="s">
        <v>1083</v>
      </c>
      <c r="F193" s="612" t="str">
        <f t="shared" si="14"/>
        <v>Ja</v>
      </c>
      <c r="G193" s="609" t="str">
        <f t="shared" si="12"/>
        <v>TO ermöglicht: Tarifwechel; doppelten Kostenabzug;  Wertteilhabe (z.B. Verzinsung) zwischen EzE und RK geltend machen</v>
      </c>
      <c r="K193" s="1115">
        <v>1</v>
      </c>
      <c r="L193" s="1115">
        <v>2</v>
      </c>
      <c r="M193" s="1115"/>
      <c r="N193" s="1115">
        <v>4</v>
      </c>
      <c r="P193" s="139">
        <f t="shared" si="15"/>
        <v>7</v>
      </c>
    </row>
    <row r="194" spans="1:16" ht="33.75">
      <c r="A194" s="585" t="str">
        <f t="shared" si="13"/>
        <v>LVM Pensionsplan V v. 01.01.2010</v>
      </c>
      <c r="B194" s="585">
        <f>ROW()</f>
        <v>194</v>
      </c>
      <c r="C194" s="610" t="s">
        <v>1084</v>
      </c>
      <c r="D194" s="1117">
        <v>40179</v>
      </c>
      <c r="E194" s="611" t="s">
        <v>1085</v>
      </c>
      <c r="F194" s="612" t="str">
        <f t="shared" si="14"/>
        <v>Ja</v>
      </c>
      <c r="G194" s="609" t="str">
        <f t="shared" si="12"/>
        <v>TO ermöglicht: Tarifwechel; doppelten Kostenabzug;  Wertteilhabe (z.B. Verzinsung) zwischen EzE und RK geltend machen</v>
      </c>
      <c r="K194" s="1115">
        <v>1</v>
      </c>
      <c r="L194" s="1115">
        <v>2</v>
      </c>
      <c r="M194" s="1115"/>
      <c r="N194" s="1115">
        <v>4</v>
      </c>
      <c r="P194" s="139">
        <f t="shared" si="15"/>
        <v>7</v>
      </c>
    </row>
    <row r="195" spans="1:16" ht="33.75">
      <c r="A195" s="585" t="str">
        <f t="shared" si="13"/>
        <v>LVM Unterstützungskasse v. 01.03.2010</v>
      </c>
      <c r="B195" s="585">
        <f>ROW()</f>
        <v>195</v>
      </c>
      <c r="C195" s="610" t="s">
        <v>1086</v>
      </c>
      <c r="D195" s="1117">
        <v>40238</v>
      </c>
      <c r="E195" s="611" t="s">
        <v>1048</v>
      </c>
      <c r="F195" s="612" t="str">
        <f t="shared" si="14"/>
        <v>Ja</v>
      </c>
      <c r="G195" s="609" t="str">
        <f t="shared" si="12"/>
        <v>TO ermöglicht: Tarifwechel; doppelten Kostenabzug;  Wertteilhabe (z.B. Verzinsung) zwischen EzE und RK geltend machen</v>
      </c>
      <c r="K195" s="1115">
        <v>1</v>
      </c>
      <c r="L195" s="1115">
        <v>2</v>
      </c>
      <c r="M195" s="1115"/>
      <c r="N195" s="1115">
        <v>4</v>
      </c>
      <c r="P195" s="139">
        <f t="shared" si="15"/>
        <v>7</v>
      </c>
    </row>
    <row r="196" spans="1:16" ht="33.75">
      <c r="A196" s="585" t="str">
        <f t="shared" si="13"/>
        <v>LVM Unterstützungskasse v. 01.09.2009</v>
      </c>
      <c r="B196" s="585">
        <f>ROW()</f>
        <v>196</v>
      </c>
      <c r="C196" s="610" t="s">
        <v>1086</v>
      </c>
      <c r="D196" s="1117">
        <v>40057</v>
      </c>
      <c r="F196" s="612" t="str">
        <f t="shared" si="14"/>
        <v>Ja</v>
      </c>
      <c r="G196" s="609" t="str">
        <f t="shared" si="12"/>
        <v>TO ermöglicht: Tarifwechel; doppelten Kostenabzug;  Wertteilhabe (z.B. Verzinsung) zwischen EzE und RK geltend machen</v>
      </c>
      <c r="K196" s="1115">
        <v>1</v>
      </c>
      <c r="L196" s="1115">
        <v>2</v>
      </c>
      <c r="M196" s="1115"/>
      <c r="N196" s="1115">
        <v>4</v>
      </c>
      <c r="P196" s="139">
        <f t="shared" si="15"/>
        <v>7</v>
      </c>
    </row>
    <row r="197" spans="1:16" ht="33.75">
      <c r="A197" s="585" t="str">
        <f t="shared" si="13"/>
        <v>LVM Versicherung (Direktversicherung) v. 01.10.2009</v>
      </c>
      <c r="B197" s="585">
        <f>ROW()</f>
        <v>197</v>
      </c>
      <c r="C197" s="610" t="s">
        <v>1087</v>
      </c>
      <c r="D197" s="1117">
        <v>40087</v>
      </c>
      <c r="E197" s="611" t="s">
        <v>663</v>
      </c>
      <c r="F197" s="612" t="str">
        <f t="shared" si="14"/>
        <v>Ja</v>
      </c>
      <c r="G197" s="609" t="str">
        <f t="shared" si="12"/>
        <v>TO ermöglicht: Tarifwechel; doppelten Kostenabzug;  Wertteilhabe (z.B. Verzinsung) zwischen EzE und RK geltend machen</v>
      </c>
      <c r="H197" s="391"/>
      <c r="J197" s="754"/>
      <c r="K197" s="1115">
        <v>1</v>
      </c>
      <c r="L197" s="1115">
        <v>2</v>
      </c>
      <c r="M197" s="1115"/>
      <c r="N197" s="1115">
        <v>4</v>
      </c>
      <c r="P197" s="139">
        <f t="shared" si="15"/>
        <v>7</v>
      </c>
    </row>
    <row r="198" spans="1:16" ht="33.75">
      <c r="A198" s="585" t="str">
        <f t="shared" si="13"/>
        <v>LVM Versicherung v. 01.07.2017</v>
      </c>
      <c r="B198" s="585">
        <f>ROW()</f>
        <v>198</v>
      </c>
      <c r="C198" s="610" t="s">
        <v>661</v>
      </c>
      <c r="D198" s="1117">
        <v>42917</v>
      </c>
      <c r="E198" s="611" t="s">
        <v>663</v>
      </c>
      <c r="F198" s="612" t="str">
        <f t="shared" si="14"/>
        <v/>
      </c>
      <c r="G198" s="609" t="str">
        <f t="shared" si="12"/>
        <v>TO ermöglicht: doppelten Kostenabzug;  Wertteilhabe (z.B. Verzinsung) zwischen EzE und RK geltend machen</v>
      </c>
      <c r="K198" s="1115"/>
      <c r="L198" s="1115">
        <v>2</v>
      </c>
      <c r="M198" s="1115"/>
      <c r="N198" s="1115">
        <v>4</v>
      </c>
      <c r="O198" s="757" t="s">
        <v>662</v>
      </c>
      <c r="P198" s="139">
        <f t="shared" si="15"/>
        <v>6</v>
      </c>
    </row>
    <row r="199" spans="1:16" ht="22.5">
      <c r="A199" s="585" t="str">
        <f t="shared" si="13"/>
        <v>MAN (KBV BAV MEV) v. 01.09.2009</v>
      </c>
      <c r="B199" s="585">
        <f>ROW()</f>
        <v>199</v>
      </c>
      <c r="C199" s="610" t="s">
        <v>1088</v>
      </c>
      <c r="D199" s="1117">
        <v>40057</v>
      </c>
      <c r="E199" s="611" t="s">
        <v>651</v>
      </c>
      <c r="F199" s="612" t="str">
        <f t="shared" si="14"/>
        <v/>
      </c>
      <c r="G199" s="609" t="str">
        <f t="shared" si="12"/>
        <v>TO ermöglicht:  Wertteilhabe (z.B. Verzinsung) zwischen EzE und RK geltend machen</v>
      </c>
      <c r="H199" s="391"/>
      <c r="K199" s="1115"/>
      <c r="L199" s="1115"/>
      <c r="M199" s="1115"/>
      <c r="N199" s="1115">
        <v>4</v>
      </c>
      <c r="P199" s="139">
        <f t="shared" si="15"/>
        <v>4</v>
      </c>
    </row>
    <row r="200" spans="1:16" ht="90">
      <c r="A200" s="585" t="str">
        <f t="shared" si="13"/>
        <v>MAN (KBV BAV MEV) v. 04.04.2011</v>
      </c>
      <c r="B200" s="585">
        <f>ROW()</f>
        <v>200</v>
      </c>
      <c r="C200" s="610" t="s">
        <v>1088</v>
      </c>
      <c r="D200" s="1117">
        <v>40637</v>
      </c>
      <c r="E200" s="611" t="s">
        <v>1352</v>
      </c>
      <c r="F200" s="612" t="str">
        <f t="shared" si="14"/>
        <v/>
      </c>
      <c r="G200" s="609" t="str">
        <f t="shared" si="12"/>
        <v>TO ermöglicht:  Wertteilhabe (z.B. Verzinsung) zwischen EzE und RK geltend machen</v>
      </c>
      <c r="H200" s="391"/>
      <c r="I200" s="609" t="s">
        <v>1353</v>
      </c>
      <c r="K200" s="1115"/>
      <c r="L200" s="1115"/>
      <c r="M200" s="1115"/>
      <c r="N200" s="1115">
        <v>4</v>
      </c>
      <c r="P200" s="139">
        <f t="shared" si="15"/>
        <v>4</v>
      </c>
    </row>
    <row r="201" spans="1:16" ht="90">
      <c r="A201" s="585" t="str">
        <f t="shared" si="13"/>
        <v>MAN (KBV BAV MEV) v. 15.03.2011</v>
      </c>
      <c r="B201" s="585">
        <f>ROW()</f>
        <v>201</v>
      </c>
      <c r="C201" s="610" t="s">
        <v>1088</v>
      </c>
      <c r="D201" s="1117">
        <v>40617</v>
      </c>
      <c r="E201" s="611" t="s">
        <v>1352</v>
      </c>
      <c r="F201" s="612" t="str">
        <f t="shared" si="14"/>
        <v/>
      </c>
      <c r="G201" s="609" t="str">
        <f t="shared" si="12"/>
        <v>TO ermöglicht:  Wertteilhabe (z.B. Verzinsung) zwischen EzE und RK geltend machen</v>
      </c>
      <c r="H201" s="391"/>
      <c r="I201" s="609" t="s">
        <v>1353</v>
      </c>
      <c r="K201" s="1115"/>
      <c r="L201" s="1115"/>
      <c r="M201" s="1115"/>
      <c r="N201" s="1115">
        <v>4</v>
      </c>
      <c r="P201" s="139">
        <f t="shared" si="15"/>
        <v>4</v>
      </c>
    </row>
    <row r="202" spans="1:16" ht="25.5">
      <c r="A202" s="585" t="str">
        <f t="shared" si="13"/>
        <v>Marktkauf Gruppen-Unterstützungskasse e.V. v. 01.01.2018</v>
      </c>
      <c r="B202" s="585">
        <f>ROW()</f>
        <v>202</v>
      </c>
      <c r="C202" s="610" t="s">
        <v>775</v>
      </c>
      <c r="D202" s="1117">
        <v>43101</v>
      </c>
      <c r="E202" s="611" t="s">
        <v>767</v>
      </c>
      <c r="F202" s="612" t="str">
        <f t="shared" si="14"/>
        <v/>
      </c>
      <c r="G202" s="609" t="str">
        <f t="shared" si="12"/>
        <v xml:space="preserve">TO ermöglicht: doppelten Kostenabzug; </v>
      </c>
      <c r="H202" s="391"/>
      <c r="J202" s="754"/>
      <c r="K202" s="1115"/>
      <c r="L202" s="1115">
        <v>2</v>
      </c>
      <c r="M202" s="1115"/>
      <c r="N202" s="1115"/>
      <c r="P202" s="139">
        <f t="shared" si="15"/>
        <v>2</v>
      </c>
    </row>
    <row r="203" spans="1:16" ht="101.25">
      <c r="A203" s="585" t="str">
        <f t="shared" si="13"/>
        <v>Mecklenburgische LV AG v. 01.06.2013</v>
      </c>
      <c r="B203" s="585">
        <f>ROW()</f>
        <v>203</v>
      </c>
      <c r="C203" s="610" t="s">
        <v>1529</v>
      </c>
      <c r="D203" s="1117">
        <v>41426</v>
      </c>
      <c r="E203" s="611" t="s">
        <v>651</v>
      </c>
      <c r="F203" s="612"/>
      <c r="G203" s="609" t="str">
        <f t="shared" si="12"/>
        <v xml:space="preserve">TO ermöglicht: doppelten Kostenabzug; </v>
      </c>
      <c r="H203" s="391"/>
      <c r="I203" s="609" t="s">
        <v>1530</v>
      </c>
      <c r="J203" s="754"/>
      <c r="K203" s="1115"/>
      <c r="L203" s="1115">
        <v>2</v>
      </c>
      <c r="M203" s="1115"/>
      <c r="N203" s="1115"/>
      <c r="P203" s="139"/>
    </row>
    <row r="204" spans="1:16">
      <c r="A204" s="585" t="str">
        <f t="shared" si="13"/>
        <v>MEDA Pharma GmbH v. 02.11.2009</v>
      </c>
      <c r="B204" s="585">
        <f>ROW()</f>
        <v>204</v>
      </c>
      <c r="C204" s="610" t="s">
        <v>1000</v>
      </c>
      <c r="D204" s="1117">
        <v>40119</v>
      </c>
      <c r="E204" s="611" t="s">
        <v>999</v>
      </c>
      <c r="F204" s="612" t="str">
        <f t="shared" si="14"/>
        <v/>
      </c>
      <c r="G204" s="609" t="str">
        <f t="shared" si="12"/>
        <v xml:space="preserve">TO ermöglicht: doppelten Kostenabzug; </v>
      </c>
      <c r="H204" s="391"/>
      <c r="K204" s="1115"/>
      <c r="L204" s="1115">
        <v>2</v>
      </c>
      <c r="M204" s="1115"/>
      <c r="N204" s="1115"/>
      <c r="P204" s="139">
        <f t="shared" si="15"/>
        <v>2</v>
      </c>
    </row>
    <row r="205" spans="1:16">
      <c r="A205" s="585" t="str">
        <f t="shared" si="13"/>
        <v>Mercedes Benz AG v. 01.04.2021</v>
      </c>
      <c r="B205" s="585">
        <f>ROW()</f>
        <v>205</v>
      </c>
      <c r="C205" s="610" t="s">
        <v>1005</v>
      </c>
      <c r="D205" s="1117">
        <v>44287</v>
      </c>
      <c r="E205" s="611" t="s">
        <v>1004</v>
      </c>
      <c r="F205" s="612" t="str">
        <f t="shared" si="14"/>
        <v/>
      </c>
      <c r="G205" s="609" t="str">
        <f t="shared" si="12"/>
        <v xml:space="preserve">TO ermöglicht: doppelten Kostenabzug; </v>
      </c>
      <c r="H205" s="391"/>
      <c r="J205" s="754"/>
      <c r="K205" s="1115"/>
      <c r="L205" s="1115">
        <v>2</v>
      </c>
      <c r="M205" s="1115"/>
      <c r="N205" s="1115"/>
      <c r="P205" s="139">
        <f t="shared" si="15"/>
        <v>2</v>
      </c>
    </row>
    <row r="206" spans="1:16" ht="22.5">
      <c r="A206" s="585" t="str">
        <f t="shared" si="13"/>
        <v>Metall-Rente v. 01.09.2009</v>
      </c>
      <c r="B206" s="585">
        <f>ROW()</f>
        <v>206</v>
      </c>
      <c r="C206" s="610" t="s">
        <v>696</v>
      </c>
      <c r="D206" s="1117">
        <v>40057</v>
      </c>
      <c r="E206" s="611" t="s">
        <v>715</v>
      </c>
      <c r="F206" s="612" t="str">
        <f t="shared" si="14"/>
        <v>Ja</v>
      </c>
      <c r="G206" s="609" t="str">
        <f t="shared" si="12"/>
        <v xml:space="preserve">TO ermöglicht: Tarifwechel; doppelten Kostenabzug; </v>
      </c>
      <c r="H206" s="391"/>
      <c r="J206" s="754"/>
      <c r="K206" s="1115">
        <v>1</v>
      </c>
      <c r="L206" s="1115">
        <v>2</v>
      </c>
      <c r="M206" s="1115"/>
      <c r="N206" s="1115"/>
      <c r="O206" s="757" t="s">
        <v>716</v>
      </c>
      <c r="P206" s="139">
        <f t="shared" si="15"/>
        <v>3</v>
      </c>
    </row>
    <row r="207" spans="1:16" ht="25.5">
      <c r="A207" s="585" t="str">
        <f t="shared" si="13"/>
        <v>METRO Cash Carry_Deutschland v. 01.07.2012</v>
      </c>
      <c r="B207" s="585">
        <f>ROW()</f>
        <v>207</v>
      </c>
      <c r="C207" s="610" t="s">
        <v>1132</v>
      </c>
      <c r="D207" s="1117">
        <v>41091</v>
      </c>
      <c r="E207" s="611" t="s">
        <v>767</v>
      </c>
      <c r="F207" s="612" t="str">
        <f t="shared" si="14"/>
        <v/>
      </c>
      <c r="G207" s="609" t="str">
        <f t="shared" si="12"/>
        <v/>
      </c>
      <c r="H207" s="391"/>
      <c r="J207" s="754"/>
      <c r="K207" s="1115"/>
      <c r="L207" s="1115"/>
      <c r="M207" s="1115"/>
      <c r="N207" s="1115"/>
      <c r="O207" s="755" t="s">
        <v>803</v>
      </c>
      <c r="P207" s="139">
        <f t="shared" si="15"/>
        <v>0</v>
      </c>
    </row>
    <row r="208" spans="1:16" ht="25.5">
      <c r="A208" s="585" t="str">
        <f t="shared" si="13"/>
        <v>METRO_AG_ASKO v. 01.09.2009</v>
      </c>
      <c r="B208" s="585">
        <f>ROW()</f>
        <v>208</v>
      </c>
      <c r="C208" s="610" t="s">
        <v>786</v>
      </c>
      <c r="D208" s="1117">
        <v>40057</v>
      </c>
      <c r="E208" s="611" t="s">
        <v>767</v>
      </c>
      <c r="F208" s="612" t="str">
        <f t="shared" si="14"/>
        <v/>
      </c>
      <c r="G208" s="609" t="str">
        <f t="shared" si="12"/>
        <v/>
      </c>
      <c r="H208" s="391"/>
      <c r="K208" s="1115"/>
      <c r="L208" s="1115"/>
      <c r="M208" s="1115"/>
      <c r="N208" s="1115"/>
      <c r="O208" s="755" t="s">
        <v>803</v>
      </c>
      <c r="P208" s="139">
        <f t="shared" si="15"/>
        <v>0</v>
      </c>
    </row>
    <row r="209" spans="1:16" ht="25.5">
      <c r="A209" s="585" t="str">
        <f t="shared" si="13"/>
        <v>METRO_AG_EPP_FPP v. 01.07.2012</v>
      </c>
      <c r="B209" s="585">
        <f>ROW()</f>
        <v>209</v>
      </c>
      <c r="C209" s="610" t="s">
        <v>769</v>
      </c>
      <c r="D209" s="1117">
        <v>41091</v>
      </c>
      <c r="E209" s="611" t="s">
        <v>767</v>
      </c>
      <c r="F209" s="612" t="str">
        <f t="shared" si="14"/>
        <v/>
      </c>
      <c r="G209" s="609" t="str">
        <f t="shared" si="12"/>
        <v/>
      </c>
      <c r="H209" s="391"/>
      <c r="K209" s="1115"/>
      <c r="L209" s="1115"/>
      <c r="M209" s="1115"/>
      <c r="N209" s="1115"/>
      <c r="O209" s="755" t="s">
        <v>803</v>
      </c>
      <c r="P209" s="139">
        <f t="shared" si="15"/>
        <v>0</v>
      </c>
    </row>
    <row r="210" spans="1:16">
      <c r="A210" s="585" t="str">
        <f t="shared" si="13"/>
        <v>Mitteldeutscher Rundfunk Tarifvertrag v. 02.12.2009</v>
      </c>
      <c r="B210" s="585">
        <f>ROW()</f>
        <v>210</v>
      </c>
      <c r="C210" s="610" t="s">
        <v>937</v>
      </c>
      <c r="D210" s="1117">
        <v>40149</v>
      </c>
      <c r="F210" s="612" t="str">
        <f t="shared" si="14"/>
        <v/>
      </c>
      <c r="G210" s="609" t="str">
        <f t="shared" si="12"/>
        <v/>
      </c>
      <c r="H210" s="391"/>
      <c r="K210" s="1115"/>
      <c r="L210" s="1115"/>
      <c r="M210" s="1115"/>
      <c r="N210" s="1115"/>
      <c r="P210" s="139">
        <f t="shared" si="15"/>
        <v>0</v>
      </c>
    </row>
    <row r="211" spans="1:16">
      <c r="A211" s="585" t="str">
        <f t="shared" si="13"/>
        <v>Mobil Oil BKK v. 01.01.2019</v>
      </c>
      <c r="B211" s="585">
        <f>ROW()</f>
        <v>211</v>
      </c>
      <c r="C211" s="610" t="s">
        <v>1125</v>
      </c>
      <c r="D211" s="1117">
        <v>43466</v>
      </c>
      <c r="F211" s="612" t="str">
        <f t="shared" si="14"/>
        <v/>
      </c>
      <c r="G211" s="609" t="str">
        <f t="shared" ref="G211:G274" si="16">IF(SUM(K211:N211)=0,"","TO ermöglicht: "&amp;IF(K211&gt;0,"Tarifwechel; ","")&amp;IF(L211&gt;0,"doppelten Kostenabzug; ","")&amp;IF(M211&gt;0," Abweichungen vom gerichtl. festgelegten Ausgleichswert; ","")&amp;IF(N211&gt;0," Wertteilhabe (z.B. Verzinsung) zwischen EzE und RK geltend machen",""))</f>
        <v/>
      </c>
      <c r="H211" s="391"/>
      <c r="K211" s="1115"/>
      <c r="L211" s="1115"/>
      <c r="M211" s="1115"/>
      <c r="N211" s="1115"/>
      <c r="P211" s="139">
        <f t="shared" si="15"/>
        <v>0</v>
      </c>
    </row>
    <row r="212" spans="1:16" ht="45">
      <c r="A212" s="585" t="str">
        <f>C212&amp;IF(D212=0,""," v. "&amp;TEXT(D212,"TT.MM.JJJ"))</f>
        <v>Münchener Rückversicherungs-Gesellschaft AG  v. 01.10.2021</v>
      </c>
      <c r="B212" s="585">
        <f>ROW()</f>
        <v>212</v>
      </c>
      <c r="C212" s="610" t="s">
        <v>1838</v>
      </c>
      <c r="D212" s="1117">
        <v>44470</v>
      </c>
      <c r="E212" s="611">
        <v>6</v>
      </c>
      <c r="F212" s="612"/>
      <c r="G212" s="609" t="str">
        <f t="shared" si="16"/>
        <v/>
      </c>
      <c r="H212" s="391"/>
      <c r="I212" s="609" t="s">
        <v>1839</v>
      </c>
      <c r="K212" s="1115"/>
      <c r="L212" s="1115"/>
      <c r="M212" s="1115"/>
      <c r="N212" s="1115"/>
      <c r="P212" s="139"/>
    </row>
    <row r="213" spans="1:16">
      <c r="A213" s="585" t="str">
        <f t="shared" si="13"/>
        <v>Nestlé PK Tarif Baustein L v. 22.09.2010</v>
      </c>
      <c r="B213" s="585">
        <f>ROW()</f>
        <v>213</v>
      </c>
      <c r="C213" s="610" t="s">
        <v>684</v>
      </c>
      <c r="D213" s="1117">
        <v>40443</v>
      </c>
      <c r="F213" s="612" t="str">
        <f t="shared" si="14"/>
        <v/>
      </c>
      <c r="G213" s="609" t="str">
        <f t="shared" si="16"/>
        <v/>
      </c>
      <c r="H213" s="391"/>
      <c r="K213" s="1115"/>
      <c r="L213" s="1115"/>
      <c r="M213" s="1115"/>
      <c r="N213" s="1115"/>
      <c r="O213" s="757" t="s">
        <v>683</v>
      </c>
      <c r="P213" s="139">
        <f t="shared" si="15"/>
        <v>0</v>
      </c>
    </row>
    <row r="214" spans="1:16">
      <c r="A214" s="585" t="str">
        <f t="shared" si="13"/>
        <v>Nestlé PK Tarif Vorsorgekonto v. 21.09.2010</v>
      </c>
      <c r="B214" s="585">
        <f>ROW()</f>
        <v>214</v>
      </c>
      <c r="C214" s="610" t="s">
        <v>682</v>
      </c>
      <c r="D214" s="1117">
        <v>40442</v>
      </c>
      <c r="F214" s="612" t="str">
        <f t="shared" si="14"/>
        <v/>
      </c>
      <c r="G214" s="609" t="str">
        <f t="shared" si="16"/>
        <v/>
      </c>
      <c r="H214" s="391"/>
      <c r="K214" s="1115"/>
      <c r="L214" s="1115"/>
      <c r="M214" s="1115"/>
      <c r="N214" s="1115"/>
      <c r="O214" s="757" t="s">
        <v>683</v>
      </c>
      <c r="P214" s="139">
        <f t="shared" si="15"/>
        <v>0</v>
      </c>
    </row>
    <row r="215" spans="1:16">
      <c r="A215" s="585" t="str">
        <f t="shared" si="13"/>
        <v>Netto Direktzusagen v. 05.01.2019</v>
      </c>
      <c r="B215" s="585">
        <f>ROW()</f>
        <v>215</v>
      </c>
      <c r="C215" s="610" t="s">
        <v>1126</v>
      </c>
      <c r="D215" s="1117">
        <v>43470</v>
      </c>
      <c r="F215" s="612" t="str">
        <f t="shared" si="14"/>
        <v/>
      </c>
      <c r="G215" s="609" t="str">
        <f t="shared" si="16"/>
        <v/>
      </c>
      <c r="H215" s="391"/>
      <c r="K215" s="1115"/>
      <c r="L215" s="1115"/>
      <c r="M215" s="1115"/>
      <c r="N215" s="1115"/>
      <c r="P215" s="139">
        <f t="shared" si="15"/>
        <v>0</v>
      </c>
    </row>
    <row r="216" spans="1:16" ht="45">
      <c r="A216" s="585" t="str">
        <f t="shared" si="13"/>
        <v>Netto_Direktzusagen v. 01.05.2019</v>
      </c>
      <c r="B216" s="585">
        <f>ROW()</f>
        <v>216</v>
      </c>
      <c r="C216" s="610" t="s">
        <v>784</v>
      </c>
      <c r="D216" s="1117">
        <v>43586</v>
      </c>
      <c r="E216" s="611" t="s">
        <v>767</v>
      </c>
      <c r="F216" s="612" t="str">
        <f t="shared" si="14"/>
        <v/>
      </c>
      <c r="G216" s="609" t="str">
        <f t="shared" si="16"/>
        <v>TO ermöglicht: doppelten Kostenabzug;  Abweichungen vom gerichtl. festgelegten Ausgleichswert;  Wertteilhabe (z.B. Verzinsung) zwischen EzE und RK geltend machen</v>
      </c>
      <c r="H216" s="391"/>
      <c r="K216" s="1115"/>
      <c r="L216" s="1115">
        <v>2</v>
      </c>
      <c r="M216" s="1115">
        <v>3</v>
      </c>
      <c r="N216" s="1115">
        <v>4</v>
      </c>
      <c r="O216" s="755" t="s">
        <v>803</v>
      </c>
      <c r="P216" s="139">
        <f t="shared" si="15"/>
        <v>9</v>
      </c>
    </row>
    <row r="217" spans="1:16" ht="25.5">
      <c r="A217" s="585" t="str">
        <f t="shared" si="13"/>
        <v>Neue Bayerische Beamten Lebensversicherung AG v. 01.01.2013</v>
      </c>
      <c r="B217" s="585">
        <f>ROW()</f>
        <v>217</v>
      </c>
      <c r="C217" s="610" t="s">
        <v>918</v>
      </c>
      <c r="D217" s="1117">
        <v>41275</v>
      </c>
      <c r="E217" s="611" t="s">
        <v>919</v>
      </c>
      <c r="F217" s="612" t="str">
        <f t="shared" si="14"/>
        <v>Ja</v>
      </c>
      <c r="G217" s="609" t="str">
        <f t="shared" si="16"/>
        <v xml:space="preserve">TO ermöglicht: Tarifwechel; </v>
      </c>
      <c r="H217" s="391"/>
      <c r="K217" s="1115">
        <v>1</v>
      </c>
      <c r="L217" s="1115"/>
      <c r="M217" s="1115"/>
      <c r="N217" s="1115"/>
      <c r="P217" s="139">
        <f t="shared" si="15"/>
        <v>1</v>
      </c>
    </row>
    <row r="218" spans="1:16" ht="45">
      <c r="A218" s="585" t="str">
        <f t="shared" si="13"/>
        <v>Neue Leben v. 01.08.2018</v>
      </c>
      <c r="B218" s="585">
        <f>ROW()</f>
        <v>218</v>
      </c>
      <c r="C218" s="610" t="s">
        <v>674</v>
      </c>
      <c r="D218" s="1117">
        <v>43313</v>
      </c>
      <c r="E218" s="611" t="s">
        <v>675</v>
      </c>
      <c r="F218" s="612" t="str">
        <f t="shared" si="14"/>
        <v>Ja</v>
      </c>
      <c r="G218" s="609" t="str">
        <f t="shared" si="16"/>
        <v>TO ermöglicht: Tarifwechel; doppelten Kostenabzug;  Abweichungen vom gerichtl. festgelegten Ausgleichswert;  Wertteilhabe (z.B. Verzinsung) zwischen EzE und RK geltend machen</v>
      </c>
      <c r="H218" s="391"/>
      <c r="K218" s="1115">
        <v>1</v>
      </c>
      <c r="L218" s="1115">
        <v>2</v>
      </c>
      <c r="M218" s="1115">
        <v>3</v>
      </c>
      <c r="N218" s="1115">
        <v>4</v>
      </c>
      <c r="O218" s="757" t="s">
        <v>676</v>
      </c>
      <c r="P218" s="139">
        <f t="shared" si="15"/>
        <v>10</v>
      </c>
    </row>
    <row r="219" spans="1:16" ht="45">
      <c r="A219" s="585" t="str">
        <f t="shared" si="13"/>
        <v>Neue Leben v. 07.10.2012</v>
      </c>
      <c r="B219" s="585">
        <f>ROW()</f>
        <v>219</v>
      </c>
      <c r="C219" s="610" t="s">
        <v>674</v>
      </c>
      <c r="D219" s="1117">
        <v>41189</v>
      </c>
      <c r="E219" s="611" t="s">
        <v>1089</v>
      </c>
      <c r="F219" s="612" t="str">
        <f t="shared" si="14"/>
        <v>Ja</v>
      </c>
      <c r="G219" s="609" t="str">
        <f t="shared" si="16"/>
        <v>TO ermöglicht: Tarifwechel; doppelten Kostenabzug;  Abweichungen vom gerichtl. festgelegten Ausgleichswert;  Wertteilhabe (z.B. Verzinsung) zwischen EzE und RK geltend machen</v>
      </c>
      <c r="H219" s="391"/>
      <c r="K219" s="1115">
        <v>1</v>
      </c>
      <c r="L219" s="1115">
        <v>2</v>
      </c>
      <c r="M219" s="1115">
        <v>3</v>
      </c>
      <c r="N219" s="1115">
        <v>4</v>
      </c>
      <c r="O219" s="757"/>
      <c r="P219" s="139">
        <f t="shared" si="15"/>
        <v>10</v>
      </c>
    </row>
    <row r="220" spans="1:16">
      <c r="A220" s="585" t="str">
        <f t="shared" si="13"/>
        <v>Norddeutscher Rundfunk Tarifvertrag v. 07.12.2009</v>
      </c>
      <c r="B220" s="585">
        <f>ROW()</f>
        <v>220</v>
      </c>
      <c r="C220" s="610" t="s">
        <v>942</v>
      </c>
      <c r="D220" s="1117">
        <v>40154</v>
      </c>
      <c r="F220" s="612" t="str">
        <f t="shared" si="14"/>
        <v/>
      </c>
      <c r="G220" s="609" t="str">
        <f t="shared" si="16"/>
        <v/>
      </c>
      <c r="H220" s="391"/>
      <c r="K220" s="1115"/>
      <c r="L220" s="1115"/>
      <c r="M220" s="1115"/>
      <c r="N220" s="1115"/>
      <c r="P220" s="139">
        <f t="shared" si="15"/>
        <v>0</v>
      </c>
    </row>
    <row r="221" spans="1:16" ht="33.75">
      <c r="A221" s="585" t="str">
        <f t="shared" si="13"/>
        <v>Nordostdeutsche Energiewirtschaft Unterstützungskasse v. 30.03.2020</v>
      </c>
      <c r="B221" s="585">
        <f>ROW()</f>
        <v>221</v>
      </c>
      <c r="C221" s="610" t="s">
        <v>1200</v>
      </c>
      <c r="D221" s="1117">
        <v>43920</v>
      </c>
      <c r="E221" s="611" t="s">
        <v>1198</v>
      </c>
      <c r="F221" s="612" t="str">
        <f t="shared" si="14"/>
        <v/>
      </c>
      <c r="G221" s="609" t="str">
        <f t="shared" si="16"/>
        <v>TO ermöglicht: doppelten Kostenabzug;  Wertteilhabe (z.B. Verzinsung) zwischen EzE und RK geltend machen</v>
      </c>
      <c r="H221" s="391"/>
      <c r="I221" s="609" t="s">
        <v>1199</v>
      </c>
      <c r="K221" s="1115"/>
      <c r="L221" s="1115">
        <v>2</v>
      </c>
      <c r="M221" s="1115"/>
      <c r="N221" s="1115">
        <v>4</v>
      </c>
      <c r="P221" s="139">
        <f t="shared" si="15"/>
        <v>6</v>
      </c>
    </row>
    <row r="222" spans="1:16" ht="25.5">
      <c r="A222" s="585" t="str">
        <f t="shared" si="13"/>
        <v>Nordsee GmbH v. 01.09.2009</v>
      </c>
      <c r="B222" s="585">
        <f>ROW()</f>
        <v>222</v>
      </c>
      <c r="C222" s="610" t="s">
        <v>790</v>
      </c>
      <c r="D222" s="1117">
        <v>40057</v>
      </c>
      <c r="E222" s="611" t="s">
        <v>767</v>
      </c>
      <c r="F222" s="612" t="str">
        <f t="shared" si="14"/>
        <v/>
      </c>
      <c r="G222" s="609" t="str">
        <f t="shared" si="16"/>
        <v/>
      </c>
      <c r="H222" s="391"/>
      <c r="J222" s="754"/>
      <c r="K222" s="1115"/>
      <c r="L222" s="1115"/>
      <c r="M222" s="1115"/>
      <c r="N222" s="1115"/>
      <c r="O222" s="755" t="s">
        <v>803</v>
      </c>
      <c r="P222" s="139">
        <f t="shared" si="15"/>
        <v>0</v>
      </c>
    </row>
    <row r="223" spans="1:16" ht="22.5">
      <c r="A223" s="585" t="str">
        <f t="shared" si="13"/>
        <v>Nürnberger Lebensversicherung AG v. 01.01.2022</v>
      </c>
      <c r="B223" s="585">
        <f>ROW()</f>
        <v>223</v>
      </c>
      <c r="C223" s="610" t="s">
        <v>928</v>
      </c>
      <c r="D223" s="1117">
        <v>44562</v>
      </c>
      <c r="E223" s="611" t="s">
        <v>924</v>
      </c>
      <c r="F223" s="612" t="str">
        <f t="shared" si="14"/>
        <v/>
      </c>
      <c r="G223" s="609" t="str">
        <f t="shared" si="16"/>
        <v>TO ermöglicht:  Wertteilhabe (z.B. Verzinsung) zwischen EzE und RK geltend machen</v>
      </c>
      <c r="H223" s="391"/>
      <c r="K223" s="1115"/>
      <c r="L223" s="1115"/>
      <c r="M223" s="1115"/>
      <c r="N223" s="1115">
        <v>4</v>
      </c>
      <c r="P223" s="139">
        <f t="shared" si="15"/>
        <v>4</v>
      </c>
    </row>
    <row r="224" spans="1:16" ht="22.5">
      <c r="A224" s="585" t="str">
        <f t="shared" si="13"/>
        <v>Nürnberger Pensionskasse AG v. 01.01.2022</v>
      </c>
      <c r="B224" s="585">
        <f>ROW()</f>
        <v>224</v>
      </c>
      <c r="C224" s="610" t="s">
        <v>923</v>
      </c>
      <c r="D224" s="1117">
        <v>44562</v>
      </c>
      <c r="E224" s="611" t="s">
        <v>924</v>
      </c>
      <c r="F224" s="612" t="str">
        <f t="shared" si="14"/>
        <v/>
      </c>
      <c r="G224" s="609" t="str">
        <f t="shared" si="16"/>
        <v>TO ermöglicht:  Wertteilhabe (z.B. Verzinsung) zwischen EzE und RK geltend machen</v>
      </c>
      <c r="H224" s="391"/>
      <c r="J224" s="754"/>
      <c r="K224" s="1115"/>
      <c r="L224" s="1115"/>
      <c r="M224" s="1115"/>
      <c r="N224" s="1115">
        <v>4</v>
      </c>
      <c r="P224" s="139">
        <f t="shared" si="15"/>
        <v>4</v>
      </c>
    </row>
    <row r="225" spans="1:16" ht="22.5">
      <c r="A225" s="585" t="str">
        <f t="shared" si="13"/>
        <v>Nürnberger Pensionskasse AG v. 01.05.2010</v>
      </c>
      <c r="B225" s="585">
        <f>ROW()</f>
        <v>225</v>
      </c>
      <c r="C225" s="610" t="s">
        <v>923</v>
      </c>
      <c r="D225" s="1117">
        <v>40299</v>
      </c>
      <c r="E225" s="611" t="s">
        <v>924</v>
      </c>
      <c r="F225" s="612" t="str">
        <f t="shared" si="14"/>
        <v>Ja</v>
      </c>
      <c r="G225" s="609" t="str">
        <f t="shared" si="16"/>
        <v>TO ermöglicht: Tarifwechel;  Wertteilhabe (z.B. Verzinsung) zwischen EzE und RK geltend machen</v>
      </c>
      <c r="H225" s="391"/>
      <c r="J225" s="754"/>
      <c r="K225" s="1115">
        <v>1</v>
      </c>
      <c r="L225" s="1115"/>
      <c r="M225" s="1115"/>
      <c r="N225" s="1115">
        <v>4</v>
      </c>
      <c r="P225" s="139">
        <f t="shared" si="15"/>
        <v>5</v>
      </c>
    </row>
    <row r="226" spans="1:16" ht="33.75">
      <c r="A226" s="585" t="str">
        <f t="shared" si="13"/>
        <v>Nürnberger überbetriebliche Versorgungskasse e.V. v. 01.01.2022</v>
      </c>
      <c r="B226" s="585">
        <f>ROW()</f>
        <v>226</v>
      </c>
      <c r="C226" s="610" t="s">
        <v>925</v>
      </c>
      <c r="D226" s="1117">
        <v>44562</v>
      </c>
      <c r="E226" s="611" t="s">
        <v>1198</v>
      </c>
      <c r="F226" s="612" t="str">
        <f t="shared" si="14"/>
        <v/>
      </c>
      <c r="G226" s="609" t="str">
        <f t="shared" si="16"/>
        <v>TO ermöglicht: doppelten Kostenabzug;  Wertteilhabe (z.B. Verzinsung) zwischen EzE und RK geltend machen</v>
      </c>
      <c r="H226" s="391"/>
      <c r="J226" s="754"/>
      <c r="K226" s="1115"/>
      <c r="L226" s="1115">
        <v>2</v>
      </c>
      <c r="M226" s="1115"/>
      <c r="N226" s="1115">
        <v>4</v>
      </c>
      <c r="P226" s="139">
        <f t="shared" si="15"/>
        <v>6</v>
      </c>
    </row>
    <row r="227" spans="1:16" ht="33.75">
      <c r="A227" s="585" t="str">
        <f t="shared" ref="A227:A297" si="17">C227&amp;IF(D227=0,""," v. "&amp;TEXT(D227,"TT.MM.JJJ"))</f>
        <v>Nürnberger überbetriebliche Versorgungskasse e.V. v. 06.12.2018</v>
      </c>
      <c r="B227" s="585">
        <f>ROW()</f>
        <v>227</v>
      </c>
      <c r="C227" s="610" t="s">
        <v>925</v>
      </c>
      <c r="D227" s="1117">
        <v>43440</v>
      </c>
      <c r="E227" s="611" t="s">
        <v>926</v>
      </c>
      <c r="F227" s="612" t="str">
        <f t="shared" si="14"/>
        <v>Ja</v>
      </c>
      <c r="G227" s="609" t="str">
        <f t="shared" si="16"/>
        <v xml:space="preserve">TO ermöglicht: Tarifwechel; doppelten Kostenabzug;  Abweichungen vom gerichtl. festgelegten Ausgleichswert; </v>
      </c>
      <c r="H227" s="391"/>
      <c r="K227" s="1115">
        <v>1</v>
      </c>
      <c r="L227" s="1115">
        <v>2</v>
      </c>
      <c r="M227" s="1115">
        <v>3</v>
      </c>
      <c r="N227" s="1115"/>
      <c r="P227" s="139">
        <f t="shared" si="15"/>
        <v>6</v>
      </c>
    </row>
    <row r="228" spans="1:16" ht="25.5">
      <c r="A228" s="585" t="str">
        <f t="shared" si="17"/>
        <v>Nürnberger überbetriebliche Versorgungskasse e.V. v. 18.12.2009</v>
      </c>
      <c r="B228" s="585">
        <f>ROW()</f>
        <v>228</v>
      </c>
      <c r="C228" s="610" t="s">
        <v>925</v>
      </c>
      <c r="D228" s="1117">
        <v>40165</v>
      </c>
      <c r="E228" s="611" t="s">
        <v>924</v>
      </c>
      <c r="F228" s="612" t="str">
        <f t="shared" si="14"/>
        <v>Ja</v>
      </c>
      <c r="G228" s="609" t="str">
        <f t="shared" si="16"/>
        <v>TO ermöglicht: Tarifwechel;  Wertteilhabe (z.B. Verzinsung) zwischen EzE und RK geltend machen</v>
      </c>
      <c r="H228" s="391"/>
      <c r="J228" s="754"/>
      <c r="K228" s="1115">
        <v>1</v>
      </c>
      <c r="L228" s="1115"/>
      <c r="M228" s="1115"/>
      <c r="N228" s="1115">
        <v>4</v>
      </c>
      <c r="P228" s="139">
        <f t="shared" si="15"/>
        <v>5</v>
      </c>
    </row>
    <row r="229" spans="1:16" ht="45">
      <c r="A229" s="585" t="str">
        <f t="shared" si="17"/>
        <v>ÖBAV Unterstützungskasse e.V.  v. 01.05.2018</v>
      </c>
      <c r="B229" s="585">
        <f>ROW()</f>
        <v>229</v>
      </c>
      <c r="C229" s="610" t="s">
        <v>893</v>
      </c>
      <c r="D229" s="1117">
        <v>43221</v>
      </c>
      <c r="E229" s="611" t="s">
        <v>894</v>
      </c>
      <c r="F229" s="612" t="str">
        <f t="shared" ref="F229:F299" si="18">IF(K229=1,"Ja","")</f>
        <v>Ja</v>
      </c>
      <c r="G229" s="609" t="str">
        <f t="shared" si="16"/>
        <v>TO ermöglicht: Tarifwechel; doppelten Kostenabzug;  Abweichungen vom gerichtl. festgelegten Ausgleichswert;  Wertteilhabe (z.B. Verzinsung) zwischen EzE und RK geltend machen</v>
      </c>
      <c r="H229" s="391"/>
      <c r="J229" s="67"/>
      <c r="K229" s="1115">
        <v>1</v>
      </c>
      <c r="L229" s="1115">
        <v>2</v>
      </c>
      <c r="M229" s="1115">
        <v>3</v>
      </c>
      <c r="N229" s="1115">
        <v>4</v>
      </c>
      <c r="P229" s="139">
        <f t="shared" si="15"/>
        <v>10</v>
      </c>
    </row>
    <row r="230" spans="1:16" ht="45">
      <c r="A230" s="585" t="str">
        <f t="shared" si="17"/>
        <v>Opel Direktversicherung Hannoversche v. 01.01.2010</v>
      </c>
      <c r="B230" s="585">
        <f>ROW()</f>
        <v>230</v>
      </c>
      <c r="C230" s="610" t="s">
        <v>1127</v>
      </c>
      <c r="D230" s="1117">
        <v>40179</v>
      </c>
      <c r="E230" s="611" t="s">
        <v>1090</v>
      </c>
      <c r="F230" s="612" t="str">
        <f t="shared" si="18"/>
        <v/>
      </c>
      <c r="G230" s="609" t="str">
        <f t="shared" si="16"/>
        <v>TO ermöglicht:  Wertteilhabe (z.B. Verzinsung) zwischen EzE und RK geltend machen</v>
      </c>
      <c r="H230" s="391"/>
      <c r="I230" s="609" t="s">
        <v>1354</v>
      </c>
      <c r="J230" s="67"/>
      <c r="K230" s="1115"/>
      <c r="L230" s="1115"/>
      <c r="M230" s="1115"/>
      <c r="N230" s="1115">
        <v>4</v>
      </c>
      <c r="P230" s="139">
        <f t="shared" si="15"/>
        <v>4</v>
      </c>
    </row>
    <row r="231" spans="1:16">
      <c r="A231" s="585" t="str">
        <f t="shared" si="17"/>
        <v>Opel GmbH v. 16.08.2018</v>
      </c>
      <c r="B231" s="585">
        <f>ROW()</f>
        <v>231</v>
      </c>
      <c r="C231" s="610" t="s">
        <v>1532</v>
      </c>
      <c r="D231" s="1117">
        <v>43328</v>
      </c>
      <c r="E231" s="611" t="s">
        <v>651</v>
      </c>
      <c r="F231" s="612"/>
      <c r="G231" s="609" t="str">
        <f t="shared" si="16"/>
        <v xml:space="preserve">TO ermöglicht: doppelten Kostenabzug; </v>
      </c>
      <c r="H231" s="391"/>
      <c r="J231" s="67"/>
      <c r="K231" s="1115"/>
      <c r="L231" s="1115">
        <v>2</v>
      </c>
      <c r="M231" s="1115"/>
      <c r="N231" s="1115"/>
      <c r="P231" s="139"/>
    </row>
    <row r="232" spans="1:16">
      <c r="A232" s="585" t="str">
        <f t="shared" si="17"/>
        <v>Osram v. 30.04.2012</v>
      </c>
      <c r="B232" s="585">
        <f>ROW()</f>
        <v>232</v>
      </c>
      <c r="C232" s="610" t="s">
        <v>1873</v>
      </c>
      <c r="D232" s="1117">
        <v>41029</v>
      </c>
      <c r="E232" s="611" t="s">
        <v>1874</v>
      </c>
      <c r="F232" s="612"/>
      <c r="G232" s="609" t="str">
        <f t="shared" si="16"/>
        <v/>
      </c>
      <c r="H232" s="391"/>
      <c r="J232" s="67"/>
      <c r="K232" s="1115"/>
      <c r="L232" s="1115"/>
      <c r="M232" s="1115"/>
      <c r="N232" s="1115"/>
      <c r="P232" s="139"/>
    </row>
    <row r="233" spans="1:16" ht="33.75">
      <c r="A233" s="585" t="str">
        <f t="shared" si="17"/>
        <v>PB Lebensversicherung AG v. 01.01.2017</v>
      </c>
      <c r="B233" s="585">
        <f>ROW()</f>
        <v>233</v>
      </c>
      <c r="C233" s="610" t="s">
        <v>666</v>
      </c>
      <c r="D233" s="1117">
        <v>42736</v>
      </c>
      <c r="E233" s="611" t="s">
        <v>667</v>
      </c>
      <c r="F233" s="612" t="str">
        <f t="shared" si="18"/>
        <v>Ja</v>
      </c>
      <c r="G233" s="609" t="str">
        <f t="shared" si="16"/>
        <v>TO ermöglicht: Tarifwechel; doppelten Kostenabzug;  Wertteilhabe (z.B. Verzinsung) zwischen EzE und RK geltend machen</v>
      </c>
      <c r="H233" s="391"/>
      <c r="J233" s="67"/>
      <c r="K233" s="1115">
        <v>1</v>
      </c>
      <c r="L233" s="1115">
        <v>2</v>
      </c>
      <c r="M233" s="1115"/>
      <c r="N233" s="1115">
        <v>4</v>
      </c>
      <c r="O233" s="757" t="s">
        <v>668</v>
      </c>
      <c r="P233" s="139">
        <f t="shared" si="15"/>
        <v>7</v>
      </c>
    </row>
    <row r="234" spans="1:16" ht="33.75">
      <c r="A234" s="585" t="str">
        <f t="shared" si="17"/>
        <v>PB Lebensversicherung AG v. 01.03.2010</v>
      </c>
      <c r="B234" s="585">
        <f>ROW()</f>
        <v>234</v>
      </c>
      <c r="C234" s="610" t="s">
        <v>666</v>
      </c>
      <c r="D234" s="1117">
        <v>40238</v>
      </c>
      <c r="E234" s="611" t="s">
        <v>1091</v>
      </c>
      <c r="F234" s="612" t="str">
        <f t="shared" si="18"/>
        <v>Ja</v>
      </c>
      <c r="G234" s="609" t="str">
        <f t="shared" si="16"/>
        <v>TO ermöglicht: Tarifwechel; doppelten Kostenabzug;  Wertteilhabe (z.B. Verzinsung) zwischen EzE und RK geltend machen</v>
      </c>
      <c r="H234" s="391"/>
      <c r="K234" s="1115">
        <v>1</v>
      </c>
      <c r="L234" s="1115">
        <v>2</v>
      </c>
      <c r="M234" s="1115"/>
      <c r="N234" s="1115">
        <v>4</v>
      </c>
      <c r="O234" s="755"/>
      <c r="P234" s="139">
        <f t="shared" si="15"/>
        <v>7</v>
      </c>
    </row>
    <row r="235" spans="1:16" ht="33.75">
      <c r="A235" s="585" t="str">
        <f t="shared" si="17"/>
        <v>PB Lebensversicherung AG v. 01.10.2019</v>
      </c>
      <c r="B235" s="585">
        <f>ROW()</f>
        <v>235</v>
      </c>
      <c r="C235" s="610" t="s">
        <v>666</v>
      </c>
      <c r="D235" s="1117">
        <v>43739</v>
      </c>
      <c r="E235" s="611" t="s">
        <v>858</v>
      </c>
      <c r="F235" s="612" t="str">
        <f t="shared" si="18"/>
        <v>Ja</v>
      </c>
      <c r="G235" s="609" t="str">
        <f t="shared" si="16"/>
        <v>TO ermöglicht: Tarifwechel; doppelten Kostenabzug;  Wertteilhabe (z.B. Verzinsung) zwischen EzE und RK geltend machen</v>
      </c>
      <c r="H235" s="391"/>
      <c r="J235" s="754"/>
      <c r="K235" s="1115">
        <v>1</v>
      </c>
      <c r="L235" s="1115">
        <v>2</v>
      </c>
      <c r="M235" s="1115"/>
      <c r="N235" s="1115">
        <v>4</v>
      </c>
      <c r="O235" s="755" t="s">
        <v>859</v>
      </c>
      <c r="P235" s="139">
        <f t="shared" si="15"/>
        <v>7</v>
      </c>
    </row>
    <row r="236" spans="1:16" ht="33.75">
      <c r="A236" s="585" t="str">
        <f t="shared" si="17"/>
        <v>PB Lebensversicherung v. 01.03.2010</v>
      </c>
      <c r="B236" s="585">
        <f>ROW()</f>
        <v>236</v>
      </c>
      <c r="C236" s="610" t="s">
        <v>1113</v>
      </c>
      <c r="D236" s="1117">
        <v>40238</v>
      </c>
      <c r="E236" s="611" t="s">
        <v>739</v>
      </c>
      <c r="F236" s="612" t="str">
        <f t="shared" si="18"/>
        <v>Ja</v>
      </c>
      <c r="G236" s="609" t="str">
        <f t="shared" si="16"/>
        <v>TO ermöglicht: Tarifwechel; doppelten Kostenabzug;  Wertteilhabe (z.B. Verzinsung) zwischen EzE und RK geltend machen</v>
      </c>
      <c r="H236" s="391"/>
      <c r="J236" s="754"/>
      <c r="K236" s="1115">
        <v>1</v>
      </c>
      <c r="L236" s="1115">
        <v>2</v>
      </c>
      <c r="M236" s="1115"/>
      <c r="N236" s="1115">
        <v>4</v>
      </c>
      <c r="O236" s="755" t="s">
        <v>676</v>
      </c>
      <c r="P236" s="139">
        <f t="shared" si="15"/>
        <v>7</v>
      </c>
    </row>
    <row r="237" spans="1:16" ht="33.75">
      <c r="A237" s="585" t="str">
        <f t="shared" si="17"/>
        <v>PB Pensionsfonds AG v. 01.01.2010</v>
      </c>
      <c r="B237" s="585">
        <f>ROW()</f>
        <v>237</v>
      </c>
      <c r="C237" s="610" t="s">
        <v>1092</v>
      </c>
      <c r="D237" s="1117">
        <v>40179</v>
      </c>
      <c r="E237" s="611" t="s">
        <v>1093</v>
      </c>
      <c r="F237" s="612" t="str">
        <f t="shared" si="18"/>
        <v>Ja</v>
      </c>
      <c r="G237" s="609" t="str">
        <f t="shared" si="16"/>
        <v>TO ermöglicht: Tarifwechel; doppelten Kostenabzug;  Wertteilhabe (z.B. Verzinsung) zwischen EzE und RK geltend machen</v>
      </c>
      <c r="H237" s="391"/>
      <c r="J237" s="754"/>
      <c r="K237" s="1115">
        <v>1</v>
      </c>
      <c r="L237" s="1115">
        <v>2</v>
      </c>
      <c r="M237" s="1115"/>
      <c r="N237" s="1115">
        <v>4</v>
      </c>
      <c r="O237" s="755"/>
      <c r="P237" s="139">
        <f t="shared" si="15"/>
        <v>7</v>
      </c>
    </row>
    <row r="238" spans="1:16" ht="33.75">
      <c r="A238" s="585" t="str">
        <f t="shared" si="17"/>
        <v>PB Pensionsfonds v. 01.04.2015</v>
      </c>
      <c r="B238" s="585">
        <f>ROW()</f>
        <v>238</v>
      </c>
      <c r="C238" s="610" t="s">
        <v>699</v>
      </c>
      <c r="D238" s="1117">
        <v>42095</v>
      </c>
      <c r="E238" s="611" t="s">
        <v>700</v>
      </c>
      <c r="F238" s="612" t="str">
        <f t="shared" si="18"/>
        <v>Ja</v>
      </c>
      <c r="G238" s="609" t="str">
        <f t="shared" si="16"/>
        <v>TO ermöglicht: Tarifwechel; doppelten Kostenabzug;  Wertteilhabe (z.B. Verzinsung) zwischen EzE und RK geltend machen</v>
      </c>
      <c r="H238" s="391"/>
      <c r="K238" s="1115">
        <v>1</v>
      </c>
      <c r="L238" s="1115">
        <v>2</v>
      </c>
      <c r="M238" s="1115"/>
      <c r="N238" s="1115">
        <v>4</v>
      </c>
      <c r="O238" s="757" t="s">
        <v>701</v>
      </c>
      <c r="P238" s="139">
        <f t="shared" si="15"/>
        <v>7</v>
      </c>
    </row>
    <row r="239" spans="1:16" ht="45">
      <c r="A239" s="585" t="str">
        <f t="shared" si="17"/>
        <v>Pensionskasse der Deutschen Wirtschaft v. 29.09.2016</v>
      </c>
      <c r="B239" s="585">
        <f>ROW()</f>
        <v>239</v>
      </c>
      <c r="C239" s="610" t="s">
        <v>1348</v>
      </c>
      <c r="D239" s="1117">
        <v>42642</v>
      </c>
      <c r="E239" s="611" t="s">
        <v>1316</v>
      </c>
      <c r="F239" s="612" t="str">
        <f t="shared" si="18"/>
        <v/>
      </c>
      <c r="G239" s="609" t="str">
        <f t="shared" si="16"/>
        <v>TO ermöglicht:  Wertteilhabe (z.B. Verzinsung) zwischen EzE und RK geltend machen</v>
      </c>
      <c r="H239" s="391"/>
      <c r="I239" s="609" t="s">
        <v>1349</v>
      </c>
      <c r="K239" s="1115"/>
      <c r="L239" s="1115"/>
      <c r="M239" s="1115"/>
      <c r="N239" s="1115">
        <v>4</v>
      </c>
      <c r="P239" s="139">
        <f t="shared" si="15"/>
        <v>4</v>
      </c>
    </row>
    <row r="240" spans="1:16" ht="25.5">
      <c r="A240" s="585" t="str">
        <f t="shared" si="17"/>
        <v>Pensionskasse des Schornsteinfegerhandwerks</v>
      </c>
      <c r="B240" s="585">
        <f>ROW()</f>
        <v>240</v>
      </c>
      <c r="C240" s="610" t="s">
        <v>678</v>
      </c>
      <c r="E240" s="611" t="s">
        <v>681</v>
      </c>
      <c r="F240" s="612" t="str">
        <f t="shared" si="18"/>
        <v/>
      </c>
      <c r="G240" s="609" t="str">
        <f t="shared" si="16"/>
        <v/>
      </c>
      <c r="H240" s="391"/>
      <c r="J240" s="754"/>
      <c r="K240" s="1115"/>
      <c r="L240" s="1115"/>
      <c r="M240" s="1115"/>
      <c r="N240" s="1115"/>
      <c r="O240" s="757" t="s">
        <v>679</v>
      </c>
      <c r="P240" s="139">
        <f t="shared" si="15"/>
        <v>0</v>
      </c>
    </row>
    <row r="241" spans="1:16" ht="25.5">
      <c r="A241" s="585" t="str">
        <f t="shared" si="17"/>
        <v>PensionsSicherungsVerein PSV v. 03.05.2017</v>
      </c>
      <c r="B241" s="585">
        <f>ROW()</f>
        <v>241</v>
      </c>
      <c r="C241" s="610" t="s">
        <v>740</v>
      </c>
      <c r="D241" s="1117">
        <v>42858</v>
      </c>
      <c r="E241" s="611" t="s">
        <v>741</v>
      </c>
      <c r="F241" s="612" t="str">
        <f t="shared" si="18"/>
        <v/>
      </c>
      <c r="G241" s="609" t="str">
        <f t="shared" si="16"/>
        <v/>
      </c>
      <c r="H241" s="391"/>
      <c r="K241" s="1115"/>
      <c r="L241" s="1115"/>
      <c r="M241" s="1115"/>
      <c r="N241" s="1115"/>
      <c r="O241" s="755" t="s">
        <v>742</v>
      </c>
      <c r="P241" s="139">
        <f t="shared" si="15"/>
        <v>0</v>
      </c>
    </row>
    <row r="242" spans="1:16" ht="33.75">
      <c r="A242" s="585" t="str">
        <f t="shared" si="17"/>
        <v>Philip Morris GmbH v. 30.10.1919</v>
      </c>
      <c r="B242" s="585">
        <f>ROW()</f>
        <v>242</v>
      </c>
      <c r="C242" s="610" t="s">
        <v>1304</v>
      </c>
      <c r="D242" s="1117">
        <v>7243</v>
      </c>
      <c r="E242" s="629">
        <v>44962</v>
      </c>
      <c r="F242" s="612" t="str">
        <f t="shared" si="18"/>
        <v/>
      </c>
      <c r="G242" s="609" t="str">
        <f t="shared" si="16"/>
        <v xml:space="preserve">TO ermöglicht: doppelten Kostenabzug; </v>
      </c>
      <c r="H242" s="391"/>
      <c r="I242" s="609" t="s">
        <v>1305</v>
      </c>
      <c r="K242" s="1115"/>
      <c r="L242" s="1115">
        <v>2</v>
      </c>
      <c r="M242" s="1115"/>
      <c r="N242" s="1115"/>
      <c r="P242" s="139">
        <f t="shared" si="15"/>
        <v>2</v>
      </c>
    </row>
    <row r="243" spans="1:16" ht="33.75">
      <c r="A243" s="585" t="str">
        <f t="shared" si="17"/>
        <v>Presse-Versorgung (Allianz) v. 01.12.2012</v>
      </c>
      <c r="B243" s="585">
        <f>ROW()</f>
        <v>243</v>
      </c>
      <c r="C243" s="610" t="s">
        <v>732</v>
      </c>
      <c r="D243" s="1117">
        <v>41244</v>
      </c>
      <c r="E243" s="611" t="s">
        <v>1094</v>
      </c>
      <c r="F243" s="612" t="str">
        <f t="shared" si="18"/>
        <v>Ja</v>
      </c>
      <c r="G243" s="609" t="str">
        <f t="shared" si="16"/>
        <v>TO ermöglicht: Tarifwechel; doppelten Kostenabzug;  Wertteilhabe (z.B. Verzinsung) zwischen EzE und RK geltend machen</v>
      </c>
      <c r="H243" s="391"/>
      <c r="K243" s="1115">
        <v>1</v>
      </c>
      <c r="L243" s="1115">
        <v>2</v>
      </c>
      <c r="M243" s="1115"/>
      <c r="N243" s="1115">
        <v>4</v>
      </c>
      <c r="O243" s="759" t="s">
        <v>733</v>
      </c>
      <c r="P243" s="139">
        <f t="shared" si="15"/>
        <v>7</v>
      </c>
    </row>
    <row r="244" spans="1:16" ht="33.75">
      <c r="A244" s="585" t="str">
        <f t="shared" si="17"/>
        <v>Pro bAV Pensionskasse AG v. 27.08.2018</v>
      </c>
      <c r="B244" s="585">
        <f>ROW()</f>
        <v>244</v>
      </c>
      <c r="C244" s="610" t="s">
        <v>1128</v>
      </c>
      <c r="D244" s="1117">
        <v>43339</v>
      </c>
      <c r="E244" s="611" t="s">
        <v>1129</v>
      </c>
      <c r="F244" s="612" t="str">
        <f t="shared" si="18"/>
        <v>Ja</v>
      </c>
      <c r="G244" s="609" t="str">
        <f t="shared" si="16"/>
        <v xml:space="preserve">TO ermöglicht: Tarifwechel; doppelten Kostenabzug;  Abweichungen vom gerichtl. festgelegten Ausgleichswert; </v>
      </c>
      <c r="H244" s="391"/>
      <c r="K244" s="1115">
        <v>1</v>
      </c>
      <c r="L244" s="1115">
        <v>2</v>
      </c>
      <c r="M244" s="1115">
        <v>3</v>
      </c>
      <c r="N244" s="1115"/>
      <c r="O244" s="755"/>
      <c r="P244" s="139">
        <f t="shared" si="15"/>
        <v>6</v>
      </c>
    </row>
    <row r="245" spans="1:16">
      <c r="A245" s="585" t="str">
        <f t="shared" si="17"/>
        <v>probAV v. 06.08.2018</v>
      </c>
      <c r="B245" s="585">
        <f>ROW()</f>
        <v>245</v>
      </c>
      <c r="C245" s="610" t="s">
        <v>874</v>
      </c>
      <c r="D245" s="1117">
        <v>43318</v>
      </c>
      <c r="E245" s="611" t="s">
        <v>667</v>
      </c>
      <c r="F245" s="612" t="str">
        <f t="shared" si="18"/>
        <v>Ja</v>
      </c>
      <c r="G245" s="609" t="str">
        <f t="shared" si="16"/>
        <v xml:space="preserve">TO ermöglicht: Tarifwechel; </v>
      </c>
      <c r="H245" s="391"/>
      <c r="K245" s="1115">
        <v>1</v>
      </c>
      <c r="L245" s="1115"/>
      <c r="M245" s="1115"/>
      <c r="N245" s="1115"/>
      <c r="O245" s="755" t="s">
        <v>878</v>
      </c>
      <c r="P245" s="139">
        <f t="shared" si="15"/>
        <v>1</v>
      </c>
    </row>
    <row r="246" spans="1:16" ht="33.75">
      <c r="A246" s="585" t="str">
        <f t="shared" si="17"/>
        <v>Provinzial Düsseldorf v. 20.04.2021</v>
      </c>
      <c r="B246" s="585">
        <f>ROW()</f>
        <v>246</v>
      </c>
      <c r="C246" s="610" t="s">
        <v>829</v>
      </c>
      <c r="D246" s="1117">
        <v>44306</v>
      </c>
      <c r="E246" s="611" t="s">
        <v>830</v>
      </c>
      <c r="F246" s="612" t="str">
        <f t="shared" si="18"/>
        <v>Ja</v>
      </c>
      <c r="G246" s="609" t="str">
        <f t="shared" si="16"/>
        <v>TO ermöglicht: Tarifwechel; doppelten Kostenabzug;  Wertteilhabe (z.B. Verzinsung) zwischen EzE und RK geltend machen</v>
      </c>
      <c r="H246" s="391"/>
      <c r="K246" s="1115">
        <v>1</v>
      </c>
      <c r="L246" s="1115">
        <v>2</v>
      </c>
      <c r="M246" s="1115"/>
      <c r="N246" s="1115">
        <v>4</v>
      </c>
      <c r="O246" s="755" t="s">
        <v>831</v>
      </c>
      <c r="P246" s="139">
        <f t="shared" si="15"/>
        <v>7</v>
      </c>
    </row>
    <row r="247" spans="1:16" ht="33.75">
      <c r="A247" s="585" t="str">
        <f t="shared" si="17"/>
        <v>Provinzial Lebensversicherungen v. 03.05.2010</v>
      </c>
      <c r="B247" s="585">
        <f>ROW()</f>
        <v>247</v>
      </c>
      <c r="C247" s="610" t="s">
        <v>1355</v>
      </c>
      <c r="D247" s="1117">
        <v>40301</v>
      </c>
      <c r="E247" s="611" t="s">
        <v>1356</v>
      </c>
      <c r="F247" s="612" t="str">
        <f t="shared" si="18"/>
        <v>Ja</v>
      </c>
      <c r="G247" s="609" t="str">
        <f t="shared" si="16"/>
        <v>TO ermöglicht: Tarifwechel; doppelten Kostenabzug;  Wertteilhabe (z.B. Verzinsung) zwischen EzE und RK geltend machen</v>
      </c>
      <c r="H247" s="391"/>
      <c r="K247" s="1115">
        <v>1</v>
      </c>
      <c r="L247" s="1115">
        <v>2</v>
      </c>
      <c r="M247" s="1115"/>
      <c r="N247" s="1115">
        <v>4</v>
      </c>
      <c r="O247" s="755"/>
      <c r="P247" s="139">
        <f t="shared" si="15"/>
        <v>7</v>
      </c>
    </row>
    <row r="248" spans="1:16" ht="33.75">
      <c r="A248" s="585" t="str">
        <f t="shared" si="17"/>
        <v>Provinzial LV Hannover v. 01.05.2016</v>
      </c>
      <c r="B248" s="585">
        <f>ROW()</f>
        <v>248</v>
      </c>
      <c r="C248" s="610" t="s">
        <v>743</v>
      </c>
      <c r="D248" s="1117">
        <v>42491</v>
      </c>
      <c r="E248" s="611" t="s">
        <v>744</v>
      </c>
      <c r="F248" s="612" t="str">
        <f t="shared" si="18"/>
        <v>Ja</v>
      </c>
      <c r="G248" s="609" t="str">
        <f t="shared" si="16"/>
        <v>TO ermöglicht: Tarifwechel; doppelten Kostenabzug;  Wertteilhabe (z.B. Verzinsung) zwischen EzE und RK geltend machen</v>
      </c>
      <c r="H248" s="391"/>
      <c r="K248" s="1115">
        <v>1</v>
      </c>
      <c r="L248" s="1115">
        <v>2</v>
      </c>
      <c r="M248" s="1115"/>
      <c r="N248" s="1115">
        <v>4</v>
      </c>
      <c r="O248" s="755" t="s">
        <v>745</v>
      </c>
      <c r="P248" s="139">
        <f t="shared" si="15"/>
        <v>7</v>
      </c>
    </row>
    <row r="249" spans="1:16" ht="33.75">
      <c r="A249" s="585" t="str">
        <f t="shared" si="17"/>
        <v>Provinzial LV v. 01.01.2017</v>
      </c>
      <c r="B249" s="585">
        <f>ROW()</f>
        <v>249</v>
      </c>
      <c r="C249" s="610" t="s">
        <v>1095</v>
      </c>
      <c r="D249" s="1117">
        <v>42736</v>
      </c>
      <c r="E249" s="611" t="s">
        <v>665</v>
      </c>
      <c r="F249" s="612" t="str">
        <f t="shared" si="18"/>
        <v>Ja</v>
      </c>
      <c r="G249" s="609" t="str">
        <f t="shared" si="16"/>
        <v>TO ermöglicht: Tarifwechel; doppelten Kostenabzug;  Wertteilhabe (z.B. Verzinsung) zwischen EzE und RK geltend machen</v>
      </c>
      <c r="H249" s="391"/>
      <c r="J249" s="758" t="s">
        <v>751</v>
      </c>
      <c r="K249" s="1115">
        <v>1</v>
      </c>
      <c r="L249" s="1115">
        <v>2</v>
      </c>
      <c r="M249" s="1115"/>
      <c r="N249" s="1115">
        <v>4</v>
      </c>
      <c r="P249" s="139">
        <f t="shared" ref="P249:P272" si="19">SUM(K249:N249)</f>
        <v>7</v>
      </c>
    </row>
    <row r="250" spans="1:16" ht="33.75">
      <c r="A250" s="585" t="str">
        <f t="shared" si="17"/>
        <v>Provinzial NordWest LV v. 01.01.2017</v>
      </c>
      <c r="B250" s="585">
        <f>ROW()</f>
        <v>250</v>
      </c>
      <c r="C250" s="610" t="s">
        <v>1130</v>
      </c>
      <c r="D250" s="1117">
        <v>42736</v>
      </c>
      <c r="E250" s="611" t="s">
        <v>1114</v>
      </c>
      <c r="F250" s="612" t="str">
        <f t="shared" si="18"/>
        <v>Ja</v>
      </c>
      <c r="G250" s="609" t="str">
        <f t="shared" si="16"/>
        <v>TO ermöglicht: Tarifwechel; doppelten Kostenabzug;  Wertteilhabe (z.B. Verzinsung) zwischen EzE und RK geltend machen</v>
      </c>
      <c r="H250" s="391"/>
      <c r="K250" s="1115">
        <v>1</v>
      </c>
      <c r="L250" s="1115">
        <v>2</v>
      </c>
      <c r="M250" s="1115"/>
      <c r="N250" s="1115">
        <v>4</v>
      </c>
      <c r="P250" s="139">
        <f t="shared" si="19"/>
        <v>7</v>
      </c>
    </row>
    <row r="251" spans="1:16" ht="45">
      <c r="A251" s="585" t="str">
        <f t="shared" si="17"/>
        <v>Provinzial v. 01.01.2022</v>
      </c>
      <c r="B251" s="585">
        <f>ROW()</f>
        <v>251</v>
      </c>
      <c r="C251" s="610" t="s">
        <v>1325</v>
      </c>
      <c r="D251" s="1117">
        <v>44562</v>
      </c>
      <c r="E251" s="611" t="s">
        <v>1096</v>
      </c>
      <c r="F251" s="612" t="str">
        <f t="shared" si="18"/>
        <v>Ja</v>
      </c>
      <c r="G251" s="609" t="str">
        <f t="shared" si="16"/>
        <v>TO ermöglicht: Tarifwechel; doppelten Kostenabzug;  Wertteilhabe (z.B. Verzinsung) zwischen EzE und RK geltend machen</v>
      </c>
      <c r="H251" s="391"/>
      <c r="I251" s="609" t="s">
        <v>1324</v>
      </c>
      <c r="J251" s="754"/>
      <c r="K251" s="1115">
        <v>1</v>
      </c>
      <c r="L251" s="1115">
        <v>2</v>
      </c>
      <c r="M251" s="1115"/>
      <c r="N251" s="1115">
        <v>4</v>
      </c>
      <c r="O251" s="757" t="s">
        <v>664</v>
      </c>
      <c r="P251" s="139">
        <f t="shared" si="19"/>
        <v>7</v>
      </c>
    </row>
    <row r="252" spans="1:16" ht="33.75">
      <c r="A252" s="585" t="str">
        <f t="shared" si="17"/>
        <v>Proxalto Lebensversicherung v. 01.07.2022</v>
      </c>
      <c r="B252" s="585">
        <f>ROW()</f>
        <v>252</v>
      </c>
      <c r="C252" s="610" t="s">
        <v>872</v>
      </c>
      <c r="D252" s="1117">
        <v>44743</v>
      </c>
      <c r="E252" s="611" t="s">
        <v>1020</v>
      </c>
      <c r="F252" s="612" t="str">
        <f t="shared" si="18"/>
        <v>Ja</v>
      </c>
      <c r="G252" s="609" t="str">
        <f t="shared" si="16"/>
        <v>TO ermöglicht: Tarifwechel; doppelten Kostenabzug;  Wertteilhabe (z.B. Verzinsung) zwischen EzE und RK geltend machen</v>
      </c>
      <c r="H252" s="391"/>
      <c r="J252" s="754"/>
      <c r="K252" s="1115">
        <v>1</v>
      </c>
      <c r="L252" s="1115">
        <v>2</v>
      </c>
      <c r="M252" s="1115"/>
      <c r="N252" s="1115">
        <v>4</v>
      </c>
      <c r="P252" s="139">
        <f t="shared" si="19"/>
        <v>7</v>
      </c>
    </row>
    <row r="253" spans="1:16" ht="33.75">
      <c r="A253" s="585" t="str">
        <f t="shared" si="17"/>
        <v>Proxalto Lebensversicherung v. 05.04.2019</v>
      </c>
      <c r="B253" s="585">
        <f>ROW()</f>
        <v>253</v>
      </c>
      <c r="C253" s="610" t="s">
        <v>872</v>
      </c>
      <c r="D253" s="1117">
        <v>43560</v>
      </c>
      <c r="E253" s="611" t="s">
        <v>873</v>
      </c>
      <c r="F253" s="612" t="str">
        <f t="shared" si="18"/>
        <v>Ja</v>
      </c>
      <c r="G253" s="609" t="str">
        <f t="shared" si="16"/>
        <v>TO ermöglicht: Tarifwechel; doppelten Kostenabzug;  Wertteilhabe (z.B. Verzinsung) zwischen EzE und RK geltend machen</v>
      </c>
      <c r="H253" s="391"/>
      <c r="K253" s="1115">
        <v>1</v>
      </c>
      <c r="L253" s="1115">
        <v>2</v>
      </c>
      <c r="M253" s="1115"/>
      <c r="N253" s="1115">
        <v>4</v>
      </c>
      <c r="P253" s="139">
        <f t="shared" si="19"/>
        <v>7</v>
      </c>
    </row>
    <row r="254" spans="1:16" ht="25.5">
      <c r="A254" s="585" t="str">
        <f t="shared" si="17"/>
        <v>PSVAG (Pensions Sicherungs Verein) v. 03.05.2017</v>
      </c>
      <c r="B254" s="585">
        <f>ROW()</f>
        <v>254</v>
      </c>
      <c r="C254" s="610" t="s">
        <v>891</v>
      </c>
      <c r="D254" s="1117">
        <v>42858</v>
      </c>
      <c r="E254" s="815" t="s">
        <v>892</v>
      </c>
      <c r="F254" s="612" t="str">
        <f t="shared" si="18"/>
        <v/>
      </c>
      <c r="G254" s="609" t="str">
        <f t="shared" si="16"/>
        <v xml:space="preserve">TO ermöglicht: doppelten Kostenabzug; </v>
      </c>
      <c r="H254" s="391"/>
      <c r="K254" s="1115"/>
      <c r="L254" s="1115">
        <v>2</v>
      </c>
      <c r="M254" s="1115"/>
      <c r="N254" s="1115"/>
      <c r="O254" s="755" t="s">
        <v>742</v>
      </c>
      <c r="P254" s="139">
        <f t="shared" si="19"/>
        <v>2</v>
      </c>
    </row>
    <row r="255" spans="1:16">
      <c r="A255" s="585" t="str">
        <f t="shared" si="17"/>
        <v>R+V ebensversicherung AG</v>
      </c>
      <c r="B255" s="585">
        <f>ROW()</f>
        <v>255</v>
      </c>
      <c r="C255" s="610" t="s">
        <v>648</v>
      </c>
      <c r="F255" s="612" t="str">
        <f t="shared" si="18"/>
        <v/>
      </c>
      <c r="G255" s="609" t="str">
        <f t="shared" si="16"/>
        <v/>
      </c>
      <c r="H255" s="391"/>
      <c r="K255" s="1115"/>
      <c r="L255" s="1115"/>
      <c r="M255" s="1115"/>
      <c r="N255" s="1115"/>
      <c r="O255" s="757"/>
      <c r="P255" s="139">
        <f t="shared" si="19"/>
        <v>0</v>
      </c>
    </row>
    <row r="256" spans="1:16" ht="25.5">
      <c r="A256" s="585" t="str">
        <f t="shared" si="17"/>
        <v>R+V ebensversicherung AG v. 01.03.2020</v>
      </c>
      <c r="B256" s="585">
        <f>ROW()</f>
        <v>256</v>
      </c>
      <c r="C256" s="610" t="s">
        <v>648</v>
      </c>
      <c r="D256" s="1117">
        <v>43891</v>
      </c>
      <c r="E256" s="611" t="s">
        <v>649</v>
      </c>
      <c r="F256" s="612" t="str">
        <f t="shared" si="18"/>
        <v/>
      </c>
      <c r="G256" s="609" t="str">
        <f t="shared" si="16"/>
        <v xml:space="preserve">TO ermöglicht: doppelten Kostenabzug; </v>
      </c>
      <c r="H256" s="391"/>
      <c r="I256" s="609" t="s">
        <v>1219</v>
      </c>
      <c r="K256" s="1115"/>
      <c r="L256" s="1115">
        <v>2</v>
      </c>
      <c r="M256" s="1115"/>
      <c r="N256" s="1115"/>
      <c r="O256" s="757" t="s">
        <v>655</v>
      </c>
      <c r="P256" s="139">
        <f t="shared" si="19"/>
        <v>2</v>
      </c>
    </row>
    <row r="257" spans="1:16">
      <c r="A257" s="585" t="str">
        <f t="shared" si="17"/>
        <v>Radio Bremen Tarifvertrag v. 03.12.2009</v>
      </c>
      <c r="B257" s="585">
        <f>ROW()</f>
        <v>257</v>
      </c>
      <c r="C257" s="610" t="s">
        <v>938</v>
      </c>
      <c r="D257" s="1117">
        <v>40150</v>
      </c>
      <c r="F257" s="612" t="str">
        <f t="shared" si="18"/>
        <v/>
      </c>
      <c r="G257" s="609" t="str">
        <f t="shared" si="16"/>
        <v xml:space="preserve">TO ermöglicht: doppelten Kostenabzug; </v>
      </c>
      <c r="H257" s="391"/>
      <c r="K257" s="1115"/>
      <c r="L257" s="1115">
        <v>2</v>
      </c>
      <c r="M257" s="1115"/>
      <c r="N257" s="1115"/>
      <c r="P257" s="139">
        <f t="shared" si="19"/>
        <v>2</v>
      </c>
    </row>
    <row r="258" spans="1:16" ht="25.5">
      <c r="A258" s="585" t="str">
        <f t="shared" si="17"/>
        <v>Real Unterstützungskasse v. 01.01.2018</v>
      </c>
      <c r="B258" s="585">
        <f>ROW()</f>
        <v>258</v>
      </c>
      <c r="C258" s="610" t="s">
        <v>785</v>
      </c>
      <c r="D258" s="1117">
        <v>43101</v>
      </c>
      <c r="E258" s="611" t="s">
        <v>767</v>
      </c>
      <c r="F258" s="612" t="str">
        <f t="shared" si="18"/>
        <v/>
      </c>
      <c r="G258" s="609" t="str">
        <f t="shared" si="16"/>
        <v xml:space="preserve">TO ermöglicht: doppelten Kostenabzug; </v>
      </c>
      <c r="H258" s="391"/>
      <c r="K258" s="1115"/>
      <c r="L258" s="1115">
        <v>2</v>
      </c>
      <c r="M258" s="1115"/>
      <c r="N258" s="1115"/>
      <c r="O258" s="755" t="s">
        <v>803</v>
      </c>
      <c r="P258" s="139">
        <f t="shared" si="19"/>
        <v>2</v>
      </c>
    </row>
    <row r="259" spans="1:16" ht="25.5">
      <c r="A259" s="585" t="str">
        <f t="shared" si="17"/>
        <v>real_Group_Holding_GmbH v. 01.07.2012</v>
      </c>
      <c r="B259" s="585">
        <f>ROW()</f>
        <v>259</v>
      </c>
      <c r="C259" s="610" t="s">
        <v>763</v>
      </c>
      <c r="D259" s="1117">
        <v>41091</v>
      </c>
      <c r="E259" s="611" t="s">
        <v>764</v>
      </c>
      <c r="F259" s="612" t="str">
        <f t="shared" si="18"/>
        <v/>
      </c>
      <c r="G259" s="609" t="str">
        <f t="shared" si="16"/>
        <v xml:space="preserve">TO ermöglicht: doppelten Kostenabzug; </v>
      </c>
      <c r="H259" s="391"/>
      <c r="J259" s="754"/>
      <c r="K259" s="1115"/>
      <c r="L259" s="1115">
        <v>2</v>
      </c>
      <c r="M259" s="1115"/>
      <c r="N259" s="1115"/>
      <c r="O259" s="755" t="s">
        <v>803</v>
      </c>
      <c r="P259" s="139">
        <f t="shared" si="19"/>
        <v>2</v>
      </c>
    </row>
    <row r="260" spans="1:16" ht="25.5">
      <c r="A260" s="585" t="str">
        <f t="shared" si="17"/>
        <v>real_SB_Warenhaus_GmbH v. 01.07.2012</v>
      </c>
      <c r="B260" s="585">
        <f>ROW()</f>
        <v>260</v>
      </c>
      <c r="C260" s="610" t="s">
        <v>768</v>
      </c>
      <c r="D260" s="1117">
        <v>41091</v>
      </c>
      <c r="E260" s="611" t="s">
        <v>767</v>
      </c>
      <c r="F260" s="612" t="str">
        <f t="shared" si="18"/>
        <v/>
      </c>
      <c r="G260" s="609" t="str">
        <f t="shared" si="16"/>
        <v/>
      </c>
      <c r="H260" s="391"/>
      <c r="K260" s="1115"/>
      <c r="L260" s="1115"/>
      <c r="M260" s="1115"/>
      <c r="N260" s="1115"/>
      <c r="O260" s="755" t="s">
        <v>803</v>
      </c>
      <c r="P260" s="139">
        <f t="shared" si="19"/>
        <v>0</v>
      </c>
    </row>
    <row r="261" spans="1:16" ht="25.5">
      <c r="A261" s="585" t="str">
        <f t="shared" si="17"/>
        <v>REWE Unterstützungskasse e.V. v. 01.01.2018</v>
      </c>
      <c r="B261" s="585">
        <f>ROW()</f>
        <v>261</v>
      </c>
      <c r="C261" s="610" t="s">
        <v>778</v>
      </c>
      <c r="D261" s="1117">
        <v>43101</v>
      </c>
      <c r="E261" s="611" t="s">
        <v>767</v>
      </c>
      <c r="F261" s="612" t="str">
        <f t="shared" si="18"/>
        <v/>
      </c>
      <c r="G261" s="609" t="str">
        <f t="shared" si="16"/>
        <v xml:space="preserve">TO ermöglicht: doppelten Kostenabzug; </v>
      </c>
      <c r="H261" s="391"/>
      <c r="J261" s="754" t="s">
        <v>660</v>
      </c>
      <c r="K261" s="1115"/>
      <c r="L261" s="1115">
        <v>2</v>
      </c>
      <c r="M261" s="1115"/>
      <c r="N261" s="1115"/>
      <c r="O261" s="755" t="s">
        <v>803</v>
      </c>
      <c r="P261" s="139">
        <f t="shared" si="19"/>
        <v>2</v>
      </c>
    </row>
    <row r="262" spans="1:16" ht="25.5">
      <c r="A262" s="585" t="str">
        <f t="shared" si="17"/>
        <v>REWE Unterstützungskasse e.V. v. 01.01.2018</v>
      </c>
      <c r="B262" s="585">
        <f>ROW()</f>
        <v>262</v>
      </c>
      <c r="C262" s="610" t="s">
        <v>778</v>
      </c>
      <c r="D262" s="1117">
        <v>43101</v>
      </c>
      <c r="E262" s="611" t="s">
        <v>767</v>
      </c>
      <c r="F262" s="612" t="str">
        <f t="shared" si="18"/>
        <v/>
      </c>
      <c r="G262" s="609" t="str">
        <f t="shared" si="16"/>
        <v/>
      </c>
      <c r="H262" s="391"/>
      <c r="K262" s="1115"/>
      <c r="L262" s="1115"/>
      <c r="M262" s="1115"/>
      <c r="N262" s="1115"/>
      <c r="O262" s="755" t="s">
        <v>803</v>
      </c>
      <c r="P262" s="139">
        <f t="shared" si="19"/>
        <v>0</v>
      </c>
    </row>
    <row r="263" spans="1:16" ht="25.5">
      <c r="A263" s="585" t="str">
        <f t="shared" si="17"/>
        <v>Rheinmetall KBV TO Rheinmetall Plus 1.0 v. 21.11.2022</v>
      </c>
      <c r="B263" s="585">
        <f>ROW()</f>
        <v>263</v>
      </c>
      <c r="C263" s="585" t="s">
        <v>1870</v>
      </c>
      <c r="D263" s="1117">
        <v>44886</v>
      </c>
      <c r="E263" s="611" t="s">
        <v>1871</v>
      </c>
      <c r="F263" s="612"/>
      <c r="G263" s="609" t="str">
        <f t="shared" si="16"/>
        <v/>
      </c>
      <c r="H263" s="391"/>
      <c r="K263" s="1115"/>
      <c r="L263" s="1115"/>
      <c r="M263" s="1115"/>
      <c r="N263" s="1115"/>
      <c r="O263" s="755"/>
      <c r="P263" s="139"/>
    </row>
    <row r="264" spans="1:16" ht="22.5">
      <c r="A264" s="585" t="str">
        <f t="shared" si="17"/>
        <v>Rheinmetall KBV TO Rheinmetall Plus 2.0 v. 21.11.2022</v>
      </c>
      <c r="B264" s="585">
        <f>ROW()</f>
        <v>264</v>
      </c>
      <c r="C264" s="585" t="s">
        <v>1872</v>
      </c>
      <c r="D264" s="1117">
        <v>44886</v>
      </c>
      <c r="E264" s="611" t="s">
        <v>1316</v>
      </c>
      <c r="F264" s="612"/>
      <c r="G264" s="609" t="str">
        <f t="shared" si="16"/>
        <v/>
      </c>
      <c r="H264" s="391"/>
      <c r="K264" s="1115"/>
      <c r="L264" s="1115"/>
      <c r="M264" s="1115"/>
      <c r="N264" s="1115"/>
      <c r="O264" s="755"/>
      <c r="P264" s="139"/>
    </row>
    <row r="265" spans="1:16" ht="22.5">
      <c r="A265" s="585" t="str">
        <f t="shared" si="17"/>
        <v>Roche Diagnostics GmbH v. 27.09.2011</v>
      </c>
      <c r="B265" s="585">
        <f>ROW()</f>
        <v>265</v>
      </c>
      <c r="C265" s="610" t="s">
        <v>1306</v>
      </c>
      <c r="D265" s="1117">
        <v>40813</v>
      </c>
      <c r="E265" s="611" t="s">
        <v>477</v>
      </c>
      <c r="F265" s="612" t="str">
        <f t="shared" si="18"/>
        <v/>
      </c>
      <c r="G265" s="609" t="str">
        <f t="shared" si="16"/>
        <v>TO ermöglicht:  Wertteilhabe (z.B. Verzinsung) zwischen EzE und RK geltend machen</v>
      </c>
      <c r="H265" s="391"/>
      <c r="K265" s="1115"/>
      <c r="L265" s="1115"/>
      <c r="M265" s="1115"/>
      <c r="N265" s="1115">
        <v>4</v>
      </c>
      <c r="P265" s="139">
        <f t="shared" si="19"/>
        <v>4</v>
      </c>
    </row>
    <row r="266" spans="1:16" ht="45">
      <c r="A266" s="585" t="str">
        <f t="shared" si="17"/>
        <v>Rosenheimer Unterstützungskasse v. 01.05.2022</v>
      </c>
      <c r="B266" s="585">
        <f>ROW()</f>
        <v>266</v>
      </c>
      <c r="C266" s="610" t="s">
        <v>1335</v>
      </c>
      <c r="D266" s="1117">
        <v>44682</v>
      </c>
      <c r="E266" s="611" t="s">
        <v>718</v>
      </c>
      <c r="F266" s="612" t="str">
        <f t="shared" si="18"/>
        <v>Ja</v>
      </c>
      <c r="G266" s="609" t="str">
        <f t="shared" si="16"/>
        <v>TO ermöglicht: Tarifwechel; doppelten Kostenabzug;  Abweichungen vom gerichtl. festgelegten Ausgleichswert;  Wertteilhabe (z.B. Verzinsung) zwischen EzE und RK geltend machen</v>
      </c>
      <c r="H266" s="391"/>
      <c r="I266" s="609" t="s">
        <v>1333</v>
      </c>
      <c r="K266" s="1115">
        <v>1</v>
      </c>
      <c r="L266" s="1115">
        <v>2</v>
      </c>
      <c r="M266" s="1115">
        <v>3</v>
      </c>
      <c r="N266" s="1115">
        <v>4</v>
      </c>
      <c r="P266" s="139">
        <f t="shared" si="19"/>
        <v>10</v>
      </c>
    </row>
    <row r="267" spans="1:16" ht="25.5">
      <c r="A267" s="585" t="str">
        <f t="shared" si="17"/>
        <v>Rundfunk Berlin-Brandenburg Tarifvertrag v. 08.12.2009</v>
      </c>
      <c r="B267" s="585">
        <f>ROW()</f>
        <v>267</v>
      </c>
      <c r="C267" s="610" t="s">
        <v>943</v>
      </c>
      <c r="D267" s="1117">
        <v>40155</v>
      </c>
      <c r="F267" s="612" t="str">
        <f t="shared" si="18"/>
        <v/>
      </c>
      <c r="G267" s="609" t="str">
        <f t="shared" si="16"/>
        <v/>
      </c>
      <c r="H267" s="391"/>
      <c r="J267" s="754"/>
      <c r="K267" s="1115"/>
      <c r="L267" s="1115"/>
      <c r="M267" s="1115"/>
      <c r="N267" s="1115"/>
      <c r="P267" s="139">
        <f t="shared" si="19"/>
        <v>0</v>
      </c>
    </row>
    <row r="268" spans="1:16">
      <c r="A268" s="585" t="str">
        <f t="shared" si="17"/>
        <v>Saarländischer Rundfunk Tarifvertrag v. 04.12.2009</v>
      </c>
      <c r="B268" s="585">
        <f>ROW()</f>
        <v>268</v>
      </c>
      <c r="C268" s="610" t="s">
        <v>939</v>
      </c>
      <c r="D268" s="1117">
        <v>40151</v>
      </c>
      <c r="F268" s="612" t="str">
        <f t="shared" si="18"/>
        <v/>
      </c>
      <c r="G268" s="609" t="str">
        <f t="shared" si="16"/>
        <v/>
      </c>
      <c r="H268" s="391"/>
      <c r="J268" s="754"/>
      <c r="K268" s="1115"/>
      <c r="L268" s="1115"/>
      <c r="M268" s="1115"/>
      <c r="N268" s="1115"/>
      <c r="P268" s="139">
        <f t="shared" si="19"/>
        <v>0</v>
      </c>
    </row>
    <row r="269" spans="1:16">
      <c r="A269" s="585" t="str">
        <f>C269&amp;IF(D269=0,""," v. "&amp;TEXT(D269,"TT.MM.JJJ"))</f>
        <v>Schroff GmbH v. 13.09.2010</v>
      </c>
      <c r="B269" s="585">
        <f>ROW()</f>
        <v>269</v>
      </c>
      <c r="C269" s="1295" t="s">
        <v>1918</v>
      </c>
      <c r="D269" s="1117">
        <v>40434</v>
      </c>
      <c r="E269" s="611" t="s">
        <v>1919</v>
      </c>
      <c r="F269" s="612"/>
      <c r="G269" s="609" t="str">
        <f t="shared" si="16"/>
        <v/>
      </c>
      <c r="H269" s="391"/>
      <c r="J269" s="754"/>
      <c r="K269" s="1115"/>
      <c r="L269" s="1115"/>
      <c r="M269" s="1115"/>
      <c r="N269" s="1115"/>
      <c r="P269" s="139"/>
    </row>
    <row r="270" spans="1:16" ht="33.75">
      <c r="A270" s="585" t="str">
        <f t="shared" si="17"/>
        <v>Secunda Unterstützungskasse für den Mittelstand v. 01.01.2010</v>
      </c>
      <c r="B270" s="585">
        <f>ROW()</f>
        <v>270</v>
      </c>
      <c r="C270" s="1295" t="s">
        <v>757</v>
      </c>
      <c r="D270" s="1117">
        <v>40179</v>
      </c>
      <c r="E270" s="611" t="s">
        <v>758</v>
      </c>
      <c r="F270" s="612" t="str">
        <f t="shared" si="18"/>
        <v/>
      </c>
      <c r="G270" s="609" t="str">
        <f t="shared" si="16"/>
        <v>TO ermöglicht: doppelten Kostenabzug;  Wertteilhabe (z.B. Verzinsung) zwischen EzE und RK geltend machen</v>
      </c>
      <c r="H270" s="391"/>
      <c r="J270" s="754"/>
      <c r="K270" s="1115"/>
      <c r="L270" s="1115">
        <v>2</v>
      </c>
      <c r="M270" s="1115"/>
      <c r="N270" s="1115">
        <v>4</v>
      </c>
      <c r="O270" s="755" t="s">
        <v>759</v>
      </c>
      <c r="P270" s="139">
        <f t="shared" si="19"/>
        <v>6</v>
      </c>
    </row>
    <row r="271" spans="1:16">
      <c r="A271" s="585" t="str">
        <f t="shared" si="17"/>
        <v>SelbstHilfe PK Caritas v. 01.01.2014</v>
      </c>
      <c r="B271" s="585">
        <f>ROW()</f>
        <v>271</v>
      </c>
      <c r="C271" s="610" t="s">
        <v>704</v>
      </c>
      <c r="D271" s="1117">
        <v>41640</v>
      </c>
      <c r="E271" s="611" t="s">
        <v>705</v>
      </c>
      <c r="F271" s="612" t="str">
        <f t="shared" si="18"/>
        <v>Ja</v>
      </c>
      <c r="G271" s="609" t="str">
        <f t="shared" si="16"/>
        <v xml:space="preserve">TO ermöglicht: Tarifwechel; </v>
      </c>
      <c r="H271" s="391"/>
      <c r="K271" s="1115">
        <v>1</v>
      </c>
      <c r="L271" s="1115"/>
      <c r="M271" s="1115"/>
      <c r="N271" s="1115"/>
      <c r="O271" s="759" t="s">
        <v>706</v>
      </c>
      <c r="P271" s="139">
        <f t="shared" si="19"/>
        <v>1</v>
      </c>
    </row>
    <row r="272" spans="1:16">
      <c r="A272" s="585" t="str">
        <f t="shared" si="17"/>
        <v>Sera-Zusage v. 01.07.2021</v>
      </c>
      <c r="B272" s="585">
        <f>ROW()</f>
        <v>272</v>
      </c>
      <c r="C272" s="610" t="s">
        <v>1254</v>
      </c>
      <c r="D272" s="1117">
        <v>44378</v>
      </c>
      <c r="E272" s="611" t="s">
        <v>767</v>
      </c>
      <c r="F272" s="612" t="str">
        <f t="shared" si="18"/>
        <v/>
      </c>
      <c r="G272" s="609" t="str">
        <f t="shared" si="16"/>
        <v xml:space="preserve">TO ermöglicht: doppelten Kostenabzug; </v>
      </c>
      <c r="H272" s="391"/>
      <c r="J272" s="754"/>
      <c r="K272" s="1115"/>
      <c r="L272" s="1115">
        <v>2</v>
      </c>
      <c r="M272" s="1115"/>
      <c r="N272" s="1115"/>
      <c r="O272" s="755"/>
      <c r="P272" s="139">
        <f t="shared" si="19"/>
        <v>2</v>
      </c>
    </row>
    <row r="273" spans="1:16" ht="45">
      <c r="A273" s="585" t="str">
        <f t="shared" si="17"/>
        <v>Signal Iduna a.G. v. 01.05.2022</v>
      </c>
      <c r="B273" s="585">
        <f>ROW()</f>
        <v>273</v>
      </c>
      <c r="C273" s="610" t="s">
        <v>1358</v>
      </c>
      <c r="D273" s="1117">
        <v>44682</v>
      </c>
      <c r="E273" s="611">
        <v>5</v>
      </c>
      <c r="F273" s="612" t="str">
        <f t="shared" si="18"/>
        <v/>
      </c>
      <c r="G273" s="609" t="str">
        <f t="shared" si="16"/>
        <v>TO ermöglicht: doppelten Kostenabzug;  Abweichungen vom gerichtl. festgelegten Ausgleichswert;  Wertteilhabe (z.B. Verzinsung) zwischen EzE und RK geltend machen</v>
      </c>
      <c r="H273" s="391"/>
      <c r="I273" s="609" t="s">
        <v>1357</v>
      </c>
      <c r="K273" s="1115"/>
      <c r="L273" s="1115">
        <v>2</v>
      </c>
      <c r="M273" s="1115">
        <v>3</v>
      </c>
      <c r="N273" s="1115">
        <v>4</v>
      </c>
      <c r="P273" s="139"/>
    </row>
    <row r="274" spans="1:16" ht="45">
      <c r="A274" s="585" t="str">
        <f t="shared" si="17"/>
        <v>Signal Iduna AG v. 01.05.2022</v>
      </c>
      <c r="B274" s="585">
        <f>ROW()</f>
        <v>274</v>
      </c>
      <c r="C274" s="610" t="s">
        <v>1359</v>
      </c>
      <c r="D274" s="1117">
        <v>44682</v>
      </c>
      <c r="E274" s="611">
        <v>5</v>
      </c>
      <c r="F274" s="612" t="str">
        <f t="shared" si="18"/>
        <v/>
      </c>
      <c r="G274" s="609" t="str">
        <f t="shared" si="16"/>
        <v>TO ermöglicht: doppelten Kostenabzug;  Abweichungen vom gerichtl. festgelegten Ausgleichswert;  Wertteilhabe (z.B. Verzinsung) zwischen EzE und RK geltend machen</v>
      </c>
      <c r="H274" s="391"/>
      <c r="I274" s="609" t="s">
        <v>1357</v>
      </c>
      <c r="K274" s="1115"/>
      <c r="L274" s="1115">
        <v>2</v>
      </c>
      <c r="M274" s="1115">
        <v>3</v>
      </c>
      <c r="N274" s="1115">
        <v>4</v>
      </c>
      <c r="P274" s="139"/>
    </row>
    <row r="275" spans="1:16" ht="33.75">
      <c r="A275" s="585" t="str">
        <f t="shared" si="17"/>
        <v>Signal Iduna Pensionskass AG v. 01.05.2022</v>
      </c>
      <c r="B275" s="585">
        <f>ROW()</f>
        <v>275</v>
      </c>
      <c r="C275" s="610" t="s">
        <v>1360</v>
      </c>
      <c r="D275" s="1117">
        <v>44682</v>
      </c>
      <c r="E275" s="611">
        <v>5</v>
      </c>
      <c r="F275" s="612" t="str">
        <f t="shared" si="18"/>
        <v/>
      </c>
      <c r="G275" s="609" t="str">
        <f t="shared" ref="G275:G338" si="20">IF(SUM(K275:N275)=0,"","TO ermöglicht: "&amp;IF(K275&gt;0,"Tarifwechel; ","")&amp;IF(L275&gt;0,"doppelten Kostenabzug; ","")&amp;IF(M275&gt;0," Abweichungen vom gerichtl. festgelegten Ausgleichswert; ","")&amp;IF(N275&gt;0," Wertteilhabe (z.B. Verzinsung) zwischen EzE und RK geltend machen",""))</f>
        <v>TO ermöglicht:  Wertteilhabe (z.B. Verzinsung) zwischen EzE und RK geltend machen</v>
      </c>
      <c r="H275" s="391"/>
      <c r="I275" s="609" t="s">
        <v>1357</v>
      </c>
      <c r="K275" s="1115"/>
      <c r="L275" s="1115"/>
      <c r="M275" s="1115"/>
      <c r="N275" s="1115">
        <v>4</v>
      </c>
      <c r="P275" s="139"/>
    </row>
    <row r="276" spans="1:16" ht="45">
      <c r="A276" s="585" t="str">
        <f t="shared" si="17"/>
        <v>Signal Iduna v. 01.01.2010</v>
      </c>
      <c r="B276" s="585">
        <f>ROW()</f>
        <v>276</v>
      </c>
      <c r="C276" s="610" t="s">
        <v>1098</v>
      </c>
      <c r="D276" s="1117">
        <v>40179</v>
      </c>
      <c r="E276" s="611" t="s">
        <v>1043</v>
      </c>
      <c r="F276" s="612" t="str">
        <f t="shared" si="18"/>
        <v>Ja</v>
      </c>
      <c r="G276" s="609" t="str">
        <f t="shared" si="20"/>
        <v>TO ermöglicht: Tarifwechel;  Abweichungen vom gerichtl. festgelegten Ausgleichswert;  Wertteilhabe (z.B. Verzinsung) zwischen EzE und RK geltend machen</v>
      </c>
      <c r="H276" s="391"/>
      <c r="K276" s="1115">
        <v>1</v>
      </c>
      <c r="L276" s="1115"/>
      <c r="M276" s="1115">
        <v>3</v>
      </c>
      <c r="N276" s="1115">
        <v>4</v>
      </c>
      <c r="P276" s="139">
        <f t="shared" ref="P276:P328" si="21">SUM(K276:N276)</f>
        <v>8</v>
      </c>
    </row>
    <row r="277" spans="1:16" ht="45">
      <c r="A277" s="585" t="str">
        <f t="shared" si="17"/>
        <v>Sparkassen Pensionskasse AG v. 01.05.2021</v>
      </c>
      <c r="B277" s="585">
        <f>ROW()</f>
        <v>277</v>
      </c>
      <c r="C277" s="610" t="s">
        <v>1131</v>
      </c>
      <c r="D277" s="1117">
        <v>44317</v>
      </c>
      <c r="E277" s="611" t="s">
        <v>1302</v>
      </c>
      <c r="F277" s="612" t="str">
        <f t="shared" si="18"/>
        <v>Ja</v>
      </c>
      <c r="G277" s="609" t="str">
        <f t="shared" si="20"/>
        <v>TO ermöglicht: Tarifwechel; doppelten Kostenabzug;  Abweichungen vom gerichtl. festgelegten Ausgleichswert;  Wertteilhabe (z.B. Verzinsung) zwischen EzE und RK geltend machen</v>
      </c>
      <c r="H277" s="391"/>
      <c r="J277" s="754"/>
      <c r="K277" s="1115">
        <v>1</v>
      </c>
      <c r="L277" s="1115">
        <v>2</v>
      </c>
      <c r="M277" s="1115">
        <v>3</v>
      </c>
      <c r="N277" s="1115">
        <v>4</v>
      </c>
      <c r="P277" s="139">
        <f t="shared" si="21"/>
        <v>10</v>
      </c>
    </row>
    <row r="278" spans="1:16" ht="45">
      <c r="A278" s="585" t="str">
        <f t="shared" si="17"/>
        <v>Sparkassen Pensionskasse AG v. 11.04.2016</v>
      </c>
      <c r="B278" s="585">
        <f>ROW()</f>
        <v>278</v>
      </c>
      <c r="C278" s="610" t="s">
        <v>1131</v>
      </c>
      <c r="D278" s="1117">
        <v>42471</v>
      </c>
      <c r="E278" s="611" t="s">
        <v>876</v>
      </c>
      <c r="F278" s="612" t="str">
        <f t="shared" si="18"/>
        <v>Ja</v>
      </c>
      <c r="G278" s="609" t="str">
        <f t="shared" si="20"/>
        <v>TO ermöglicht: Tarifwechel; doppelten Kostenabzug;  Abweichungen vom gerichtl. festgelegten Ausgleichswert;  Wertteilhabe (z.B. Verzinsung) zwischen EzE und RK geltend machen</v>
      </c>
      <c r="H278" s="391"/>
      <c r="J278" s="754"/>
      <c r="K278" s="1115">
        <v>1</v>
      </c>
      <c r="L278" s="1115">
        <v>2</v>
      </c>
      <c r="M278" s="1115">
        <v>3</v>
      </c>
      <c r="N278" s="1115">
        <v>4</v>
      </c>
      <c r="P278" s="139">
        <f t="shared" si="21"/>
        <v>10</v>
      </c>
    </row>
    <row r="279" spans="1:16" ht="38.25">
      <c r="A279" s="585" t="str">
        <f t="shared" si="17"/>
        <v>Sparkassen-Versicherung private AV v. 01.06.2017</v>
      </c>
      <c r="B279" s="585">
        <f>ROW()</f>
        <v>279</v>
      </c>
      <c r="C279" s="610" t="s">
        <v>1301</v>
      </c>
      <c r="D279" s="1117">
        <v>42887</v>
      </c>
      <c r="E279" s="611" t="s">
        <v>659</v>
      </c>
      <c r="F279" s="612" t="str">
        <f t="shared" si="18"/>
        <v>Ja</v>
      </c>
      <c r="G279" s="609" t="str">
        <f t="shared" si="20"/>
        <v xml:space="preserve">TO ermöglicht: Tarifwechel; doppelten Kostenabzug; </v>
      </c>
      <c r="H279" s="391"/>
      <c r="J279" s="754"/>
      <c r="K279" s="1115">
        <v>1</v>
      </c>
      <c r="L279" s="1115">
        <v>2</v>
      </c>
      <c r="M279" s="1115"/>
      <c r="N279" s="1115"/>
      <c r="O279" s="757" t="s">
        <v>658</v>
      </c>
      <c r="P279" s="139">
        <f t="shared" si="21"/>
        <v>3</v>
      </c>
    </row>
    <row r="280" spans="1:16" ht="38.25">
      <c r="A280" s="585" t="str">
        <f>C280&amp;IF(D280=0,""," v. "&amp;TEXT(D280,"TT.MM.JJJ"))</f>
        <v>Sparkassen-Versicherung private AV v. 01.05.2023</v>
      </c>
      <c r="B280" s="585">
        <f>ROW()</f>
        <v>280</v>
      </c>
      <c r="C280" s="610" t="s">
        <v>1301</v>
      </c>
      <c r="D280" s="1117">
        <v>45047</v>
      </c>
      <c r="E280" s="611" t="s">
        <v>659</v>
      </c>
      <c r="F280" s="612" t="s">
        <v>463</v>
      </c>
      <c r="G280" s="609" t="str">
        <f t="shared" si="20"/>
        <v>TO ermöglicht: Tarifwechel; doppelten Kostenabzug;  Wertteilhabe (z.B. Verzinsung) zwischen EzE und RK geltend machen</v>
      </c>
      <c r="H280" s="391"/>
      <c r="J280" s="754"/>
      <c r="K280" s="1115">
        <v>1</v>
      </c>
      <c r="L280" s="1115">
        <v>2</v>
      </c>
      <c r="M280" s="1115"/>
      <c r="N280" s="1115">
        <v>4</v>
      </c>
      <c r="O280" s="757"/>
      <c r="P280" s="139">
        <f t="shared" si="21"/>
        <v>7</v>
      </c>
    </row>
    <row r="281" spans="1:16">
      <c r="A281" s="585" t="str">
        <f t="shared" si="17"/>
        <v>Standard Life v. 30.06.2011</v>
      </c>
      <c r="B281" s="585">
        <f>ROW()</f>
        <v>281</v>
      </c>
      <c r="C281" s="610" t="s">
        <v>1041</v>
      </c>
      <c r="D281" s="1117">
        <v>40724</v>
      </c>
      <c r="E281" s="611" t="s">
        <v>917</v>
      </c>
      <c r="F281" s="612" t="str">
        <f t="shared" si="18"/>
        <v>Ja</v>
      </c>
      <c r="G281" s="609" t="str">
        <f t="shared" si="20"/>
        <v xml:space="preserve">TO ermöglicht: Tarifwechel; </v>
      </c>
      <c r="H281" s="391"/>
      <c r="K281" s="1115">
        <v>1</v>
      </c>
      <c r="L281" s="1115"/>
      <c r="M281" s="1115"/>
      <c r="N281" s="1115"/>
      <c r="P281" s="139">
        <f t="shared" si="21"/>
        <v>1</v>
      </c>
    </row>
    <row r="282" spans="1:16" ht="22.5">
      <c r="A282" s="585" t="str">
        <f>C282&amp;IF(D282=0,""," v. "&amp;TEXT(D282,"TT.MM.JJJ"))</f>
        <v>Stuttgarter Lebensversicherung s.G.</v>
      </c>
      <c r="B282" s="585">
        <f>ROW()</f>
        <v>282</v>
      </c>
      <c r="C282" s="610" t="s">
        <v>1920</v>
      </c>
      <c r="E282" s="611" t="s">
        <v>1921</v>
      </c>
      <c r="F282" s="612" t="str">
        <f t="shared" si="18"/>
        <v>Ja</v>
      </c>
      <c r="G282" s="609" t="str">
        <f t="shared" si="20"/>
        <v>TO ermöglicht: Tarifwechel;  Wertteilhabe (z.B. Verzinsung) zwischen EzE und RK geltend machen</v>
      </c>
      <c r="H282" s="391"/>
      <c r="K282" s="1115">
        <v>1</v>
      </c>
      <c r="L282" s="1115"/>
      <c r="M282" s="1115"/>
      <c r="N282" s="1115">
        <v>4</v>
      </c>
      <c r="P282" s="139">
        <f t="shared" si="21"/>
        <v>5</v>
      </c>
    </row>
    <row r="283" spans="1:16">
      <c r="A283" s="585" t="str">
        <f t="shared" si="17"/>
        <v>Südwestrundfunk Tarifvertrag v. 09.12.2009</v>
      </c>
      <c r="B283" s="585">
        <f>ROW()</f>
        <v>283</v>
      </c>
      <c r="C283" s="610" t="s">
        <v>944</v>
      </c>
      <c r="D283" s="1117">
        <v>40156</v>
      </c>
      <c r="F283" s="612" t="str">
        <f t="shared" si="18"/>
        <v/>
      </c>
      <c r="G283" s="609" t="str">
        <f t="shared" si="20"/>
        <v/>
      </c>
      <c r="H283" s="391"/>
      <c r="K283" s="1115"/>
      <c r="L283" s="1115"/>
      <c r="M283" s="1115"/>
      <c r="N283" s="1115"/>
      <c r="P283" s="139">
        <f t="shared" si="21"/>
        <v>0</v>
      </c>
    </row>
    <row r="284" spans="1:16" ht="45">
      <c r="A284" s="585" t="str">
        <f t="shared" si="17"/>
        <v>SutorBank v. 01.05.2022</v>
      </c>
      <c r="B284" s="585">
        <f>ROW()</f>
        <v>284</v>
      </c>
      <c r="C284" s="610" t="s">
        <v>1331</v>
      </c>
      <c r="D284" s="1117">
        <v>44682</v>
      </c>
      <c r="E284" s="611" t="s">
        <v>1332</v>
      </c>
      <c r="F284" s="612" t="str">
        <f t="shared" si="18"/>
        <v>Ja</v>
      </c>
      <c r="G284" s="609" t="str">
        <f t="shared" si="20"/>
        <v>TO ermöglicht: Tarifwechel; doppelten Kostenabzug;  Abweichungen vom gerichtl. festgelegten Ausgleichswert;  Wertteilhabe (z.B. Verzinsung) zwischen EzE und RK geltend machen</v>
      </c>
      <c r="H284" s="391"/>
      <c r="I284" s="609" t="s">
        <v>1333</v>
      </c>
      <c r="K284" s="1115">
        <v>1</v>
      </c>
      <c r="L284" s="1115">
        <v>2</v>
      </c>
      <c r="M284" s="1115">
        <v>3</v>
      </c>
      <c r="N284" s="1115">
        <v>4</v>
      </c>
      <c r="P284" s="139">
        <f t="shared" si="21"/>
        <v>10</v>
      </c>
    </row>
    <row r="285" spans="1:16" ht="22.5">
      <c r="A285" s="585" t="str">
        <f t="shared" si="17"/>
        <v>Swiss Life AG v. 01.11.2013</v>
      </c>
      <c r="B285" s="585">
        <f>ROW()</f>
        <v>285</v>
      </c>
      <c r="C285" s="610" t="s">
        <v>669</v>
      </c>
      <c r="D285" s="1117">
        <v>41579</v>
      </c>
      <c r="E285" s="611" t="s">
        <v>702</v>
      </c>
      <c r="F285" s="612" t="str">
        <f t="shared" si="18"/>
        <v>Ja</v>
      </c>
      <c r="G285" s="609" t="str">
        <f t="shared" si="20"/>
        <v>TO ermöglicht: Tarifwechel;  Wertteilhabe (z.B. Verzinsung) zwischen EzE und RK geltend machen</v>
      </c>
      <c r="H285" s="391"/>
      <c r="K285" s="1115">
        <v>1</v>
      </c>
      <c r="L285" s="1115"/>
      <c r="M285" s="1115"/>
      <c r="N285" s="1115">
        <v>4</v>
      </c>
      <c r="O285" s="759" t="s">
        <v>703</v>
      </c>
      <c r="P285" s="139">
        <f t="shared" si="21"/>
        <v>5</v>
      </c>
    </row>
    <row r="286" spans="1:16" ht="45">
      <c r="A286" s="585" t="str">
        <f t="shared" si="17"/>
        <v>Swiss Life AG v. 16.12.2014</v>
      </c>
      <c r="B286" s="585">
        <f>ROW()</f>
        <v>286</v>
      </c>
      <c r="C286" s="610" t="s">
        <v>669</v>
      </c>
      <c r="D286" s="1117">
        <v>41989</v>
      </c>
      <c r="E286" s="611" t="s">
        <v>667</v>
      </c>
      <c r="F286" s="612" t="str">
        <f t="shared" si="18"/>
        <v>Ja</v>
      </c>
      <c r="G286" s="609" t="str">
        <f t="shared" si="20"/>
        <v>TO ermöglicht: Tarifwechel; doppelten Kostenabzug;  Abweichungen vom gerichtl. festgelegten Ausgleichswert;  Wertteilhabe (z.B. Verzinsung) zwischen EzE und RK geltend machen</v>
      </c>
      <c r="H286" s="391"/>
      <c r="I286" s="609" t="s">
        <v>1328</v>
      </c>
      <c r="K286" s="1115">
        <v>1</v>
      </c>
      <c r="L286" s="1115">
        <v>2</v>
      </c>
      <c r="M286" s="1115">
        <v>3</v>
      </c>
      <c r="N286" s="1115">
        <v>4</v>
      </c>
      <c r="O286" s="757" t="s">
        <v>670</v>
      </c>
      <c r="P286" s="139">
        <f t="shared" si="21"/>
        <v>10</v>
      </c>
    </row>
    <row r="287" spans="1:16" ht="45">
      <c r="A287" s="585" t="str">
        <f t="shared" si="17"/>
        <v>SwissLife Pensionskasse v. 23.09.2014</v>
      </c>
      <c r="B287" s="585">
        <f>ROW()</f>
        <v>287</v>
      </c>
      <c r="C287" s="610" t="s">
        <v>1329</v>
      </c>
      <c r="D287" s="1117">
        <v>41905</v>
      </c>
      <c r="E287" s="611">
        <v>6</v>
      </c>
      <c r="F287" s="612" t="str">
        <f t="shared" si="18"/>
        <v>Ja</v>
      </c>
      <c r="G287" s="609" t="str">
        <f t="shared" si="20"/>
        <v>TO ermöglicht: Tarifwechel;  Wertteilhabe (z.B. Verzinsung) zwischen EzE und RK geltend machen</v>
      </c>
      <c r="H287" s="391"/>
      <c r="I287" s="609" t="s">
        <v>1328</v>
      </c>
      <c r="K287" s="1115">
        <v>1</v>
      </c>
      <c r="L287" s="1115"/>
      <c r="M287" s="1115"/>
      <c r="N287" s="1115">
        <v>4</v>
      </c>
      <c r="P287" s="139">
        <f t="shared" si="21"/>
        <v>5</v>
      </c>
    </row>
    <row r="288" spans="1:16" ht="45">
      <c r="A288" s="585" t="str">
        <f t="shared" si="17"/>
        <v>SwissLife Unterstützungskasse v. 02.11.2010</v>
      </c>
      <c r="B288" s="585">
        <f>ROW()</f>
        <v>288</v>
      </c>
      <c r="C288" s="610" t="s">
        <v>1330</v>
      </c>
      <c r="D288" s="1117">
        <v>40484</v>
      </c>
      <c r="E288" s="611" t="s">
        <v>1198</v>
      </c>
      <c r="F288" s="612" t="str">
        <f t="shared" si="18"/>
        <v/>
      </c>
      <c r="G288" s="609" t="str">
        <f t="shared" si="20"/>
        <v>TO ermöglicht: doppelten Kostenabzug;  Abweichungen vom gerichtl. festgelegten Ausgleichswert;  Wertteilhabe (z.B. Verzinsung) zwischen EzE und RK geltend machen</v>
      </c>
      <c r="H288" s="391"/>
      <c r="K288" s="1115"/>
      <c r="L288" s="1115">
        <v>2</v>
      </c>
      <c r="M288" s="1115">
        <v>3</v>
      </c>
      <c r="N288" s="1115">
        <v>4</v>
      </c>
      <c r="P288" s="139">
        <f t="shared" si="21"/>
        <v>9</v>
      </c>
    </row>
    <row r="289" spans="1:16" ht="45">
      <c r="A289" s="585" t="str">
        <f t="shared" si="17"/>
        <v>Targo Lebensversicherung AG v. 01.09.2013</v>
      </c>
      <c r="B289" s="585">
        <f>ROW()</f>
        <v>289</v>
      </c>
      <c r="C289" s="610" t="s">
        <v>725</v>
      </c>
      <c r="D289" s="1117">
        <v>41518</v>
      </c>
      <c r="E289" s="611" t="s">
        <v>890</v>
      </c>
      <c r="F289" s="612" t="str">
        <f t="shared" si="18"/>
        <v>Ja</v>
      </c>
      <c r="G289" s="609" t="str">
        <f t="shared" si="20"/>
        <v>TO ermöglicht: Tarifwechel; doppelten Kostenabzug;  Abweichungen vom gerichtl. festgelegten Ausgleichswert;  Wertteilhabe (z.B. Verzinsung) zwischen EzE und RK geltend machen</v>
      </c>
      <c r="H289" s="391"/>
      <c r="J289" s="754"/>
      <c r="K289" s="1115">
        <v>1</v>
      </c>
      <c r="L289" s="1115">
        <v>2</v>
      </c>
      <c r="M289" s="1115">
        <v>3</v>
      </c>
      <c r="N289" s="1115">
        <v>4</v>
      </c>
      <c r="O289" s="609"/>
      <c r="P289" s="139">
        <f t="shared" si="21"/>
        <v>10</v>
      </c>
    </row>
    <row r="290" spans="1:16">
      <c r="A290" s="585" t="str">
        <f t="shared" si="17"/>
        <v>Test</v>
      </c>
      <c r="B290" s="585">
        <f>ROW()</f>
        <v>290</v>
      </c>
      <c r="C290" s="610" t="s">
        <v>920</v>
      </c>
      <c r="F290" s="612" t="str">
        <f t="shared" si="18"/>
        <v/>
      </c>
      <c r="G290" s="609" t="str">
        <f t="shared" si="20"/>
        <v/>
      </c>
      <c r="H290" s="391"/>
      <c r="J290" s="67"/>
      <c r="K290" s="1115"/>
      <c r="L290" s="1115"/>
      <c r="M290" s="1115"/>
      <c r="N290" s="1115"/>
      <c r="P290" s="139">
        <f t="shared" si="21"/>
        <v>0</v>
      </c>
    </row>
    <row r="291" spans="1:16">
      <c r="A291" s="585" t="str">
        <f t="shared" si="17"/>
        <v>Ulmer Spatz v. 01.07.2021</v>
      </c>
      <c r="B291" s="585">
        <f>ROW()</f>
        <v>291</v>
      </c>
      <c r="C291" s="610" t="s">
        <v>1252</v>
      </c>
      <c r="D291" s="1117">
        <v>44378</v>
      </c>
      <c r="E291" s="611" t="s">
        <v>767</v>
      </c>
      <c r="F291" s="612" t="str">
        <f t="shared" si="18"/>
        <v/>
      </c>
      <c r="G291" s="609" t="str">
        <f t="shared" si="20"/>
        <v xml:space="preserve">TO ermöglicht: doppelten Kostenabzug; </v>
      </c>
      <c r="H291" s="391"/>
      <c r="J291" s="754"/>
      <c r="K291" s="1115"/>
      <c r="L291" s="1115">
        <v>2</v>
      </c>
      <c r="M291" s="1115"/>
      <c r="N291" s="1115"/>
      <c r="O291" s="755"/>
      <c r="P291" s="139">
        <f t="shared" si="21"/>
        <v>2</v>
      </c>
    </row>
    <row r="292" spans="1:16" ht="45">
      <c r="A292" s="585" t="str">
        <f t="shared" si="17"/>
        <v>UMU-Unterstützungskasse mittelständischer Unternehmen e.V. v. 01.12.2013</v>
      </c>
      <c r="B292" s="585">
        <f>ROW()</f>
        <v>292</v>
      </c>
      <c r="C292" s="610" t="s">
        <v>950</v>
      </c>
      <c r="D292" s="1117">
        <v>41609</v>
      </c>
      <c r="E292" s="611" t="s">
        <v>917</v>
      </c>
      <c r="F292" s="612" t="str">
        <f t="shared" si="18"/>
        <v>Ja</v>
      </c>
      <c r="G292" s="609" t="str">
        <f t="shared" si="20"/>
        <v>TO ermöglicht: Tarifwechel; doppelten Kostenabzug;  Abweichungen vom gerichtl. festgelegten Ausgleichswert;  Wertteilhabe (z.B. Verzinsung) zwischen EzE und RK geltend machen</v>
      </c>
      <c r="H292" s="391"/>
      <c r="K292" s="1115">
        <v>1</v>
      </c>
      <c r="L292" s="1115">
        <v>2</v>
      </c>
      <c r="M292" s="1115">
        <v>3</v>
      </c>
      <c r="N292" s="1115">
        <v>4</v>
      </c>
      <c r="P292" s="139">
        <f t="shared" si="21"/>
        <v>10</v>
      </c>
    </row>
    <row r="293" spans="1:16" ht="22.5">
      <c r="A293" s="585" t="str">
        <f t="shared" si="17"/>
        <v>Unilever v. 01.06.2016</v>
      </c>
      <c r="B293" s="585">
        <f>ROW()</f>
        <v>293</v>
      </c>
      <c r="C293" s="610" t="s">
        <v>720</v>
      </c>
      <c r="D293" s="1117">
        <v>42522</v>
      </c>
      <c r="E293" s="611" t="s">
        <v>721</v>
      </c>
      <c r="F293" s="612" t="str">
        <f t="shared" si="18"/>
        <v/>
      </c>
      <c r="G293" s="609" t="str">
        <f t="shared" si="20"/>
        <v/>
      </c>
      <c r="H293" s="391"/>
      <c r="K293" s="1115"/>
      <c r="L293" s="1115"/>
      <c r="M293" s="1115"/>
      <c r="N293" s="1115"/>
      <c r="O293" s="759" t="s">
        <v>722</v>
      </c>
      <c r="P293" s="139">
        <f t="shared" si="21"/>
        <v>0</v>
      </c>
    </row>
    <row r="294" spans="1:16" ht="67.5">
      <c r="A294" s="585" t="str">
        <f t="shared" si="17"/>
        <v>Union Investment Privatfonds GmbH v. 01.01.2021</v>
      </c>
      <c r="B294" s="585">
        <f>ROW()</f>
        <v>294</v>
      </c>
      <c r="C294" s="610" t="s">
        <v>1133</v>
      </c>
      <c r="D294" s="1117">
        <v>44197</v>
      </c>
      <c r="E294" s="611" t="s">
        <v>651</v>
      </c>
      <c r="F294" s="612" t="str">
        <f t="shared" si="18"/>
        <v>Ja</v>
      </c>
      <c r="G294" s="609" t="str">
        <f t="shared" si="20"/>
        <v>TO ermöglicht: Tarifwechel;  Abweichungen vom gerichtl. festgelegten Ausgleichswert;  Wertteilhabe (z.B. Verzinsung) zwischen EzE und RK geltend machen</v>
      </c>
      <c r="H294" s="391"/>
      <c r="I294" s="1296" t="s">
        <v>1507</v>
      </c>
      <c r="J294" s="754"/>
      <c r="K294" s="1115">
        <v>1</v>
      </c>
      <c r="L294" s="1115"/>
      <c r="M294" s="1115">
        <v>3</v>
      </c>
      <c r="N294" s="1115">
        <v>4</v>
      </c>
      <c r="O294" s="757" t="s">
        <v>654</v>
      </c>
      <c r="P294" s="139">
        <f t="shared" si="21"/>
        <v>8</v>
      </c>
    </row>
    <row r="295" spans="1:16" ht="38.25">
      <c r="A295" s="585" t="str">
        <f t="shared" si="17"/>
        <v>Unterstützungskasse der nordostdeutschen Energiewirtschaft e.V. v. 30.03.2020</v>
      </c>
      <c r="B295" s="585">
        <f>ROW()</f>
        <v>295</v>
      </c>
      <c r="C295" s="610" t="s">
        <v>921</v>
      </c>
      <c r="D295" s="1117">
        <v>43920</v>
      </c>
      <c r="E295" s="611" t="s">
        <v>922</v>
      </c>
      <c r="F295" s="612" t="str">
        <f t="shared" si="18"/>
        <v/>
      </c>
      <c r="G295" s="609" t="str">
        <f t="shared" si="20"/>
        <v/>
      </c>
      <c r="H295" s="391"/>
      <c r="K295" s="1115"/>
      <c r="L295" s="1115"/>
      <c r="M295" s="1115"/>
      <c r="N295" s="1115"/>
      <c r="P295" s="139">
        <f t="shared" si="21"/>
        <v>0</v>
      </c>
    </row>
    <row r="296" spans="1:16" ht="45">
      <c r="A296" s="585" t="str">
        <f t="shared" si="17"/>
        <v>VdVA Unterstützungskasse v. 01.01.2022</v>
      </c>
      <c r="B296" s="585">
        <f>ROW()</f>
        <v>296</v>
      </c>
      <c r="C296" s="610" t="s">
        <v>888</v>
      </c>
      <c r="D296" s="1117">
        <v>44562</v>
      </c>
      <c r="E296" s="815" t="s">
        <v>889</v>
      </c>
      <c r="F296" s="612" t="str">
        <f t="shared" si="18"/>
        <v/>
      </c>
      <c r="G296" s="609" t="str">
        <f t="shared" si="20"/>
        <v>TO ermöglicht: doppelten Kostenabzug;  Wertteilhabe (z.B. Verzinsung) zwischen EzE und RK geltend machen</v>
      </c>
      <c r="H296" s="391"/>
      <c r="I296" s="609" t="s">
        <v>2001</v>
      </c>
      <c r="K296" s="1115"/>
      <c r="L296" s="1115">
        <v>2</v>
      </c>
      <c r="M296" s="1115"/>
      <c r="N296" s="1115">
        <v>4</v>
      </c>
      <c r="O296" s="755" t="s">
        <v>887</v>
      </c>
      <c r="P296" s="139">
        <f t="shared" si="21"/>
        <v>6</v>
      </c>
    </row>
    <row r="297" spans="1:16" ht="38.25">
      <c r="A297" s="585" t="str">
        <f t="shared" si="17"/>
        <v>Vereinigte Postversicherung VVaG  v. 11.07.2022</v>
      </c>
      <c r="B297" s="585">
        <f>ROW()</f>
        <v>297</v>
      </c>
      <c r="C297" s="610" t="s">
        <v>961</v>
      </c>
      <c r="D297" s="1117">
        <v>44753</v>
      </c>
      <c r="E297" s="611" t="s">
        <v>964</v>
      </c>
      <c r="F297" s="612" t="str">
        <f t="shared" si="18"/>
        <v>Ja</v>
      </c>
      <c r="G297" s="609" t="str">
        <f t="shared" si="20"/>
        <v>TO ermöglicht: Tarifwechel; doppelten Kostenabzug;  Wertteilhabe (z.B. Verzinsung) zwischen EzE und RK geltend machen</v>
      </c>
      <c r="H297" s="391"/>
      <c r="K297" s="1115">
        <v>1</v>
      </c>
      <c r="L297" s="1115">
        <v>2</v>
      </c>
      <c r="M297" s="1115"/>
      <c r="N297" s="1115">
        <v>4</v>
      </c>
      <c r="P297" s="139">
        <f t="shared" si="21"/>
        <v>7</v>
      </c>
    </row>
    <row r="298" spans="1:16" ht="25.5">
      <c r="A298" s="585" t="str">
        <f t="shared" ref="A298:A366" si="22">C298&amp;IF(D298=0,""," v. "&amp;TEXT(D298,"TT.MM.JJJ"))</f>
        <v>Vereinigte Postversicherung VVaG für Direktversicherungen v. 11.07.2022</v>
      </c>
      <c r="B298" s="585">
        <f>ROW()</f>
        <v>298</v>
      </c>
      <c r="C298" s="610" t="s">
        <v>958</v>
      </c>
      <c r="D298" s="1117">
        <v>44753</v>
      </c>
      <c r="E298" s="611" t="s">
        <v>955</v>
      </c>
      <c r="F298" s="612" t="str">
        <f t="shared" si="18"/>
        <v/>
      </c>
      <c r="G298" s="609" t="str">
        <f t="shared" si="20"/>
        <v/>
      </c>
      <c r="H298" s="391"/>
      <c r="K298" s="1115"/>
      <c r="L298" s="1115"/>
      <c r="M298" s="1115"/>
      <c r="N298" s="1115"/>
      <c r="P298" s="139">
        <f t="shared" si="21"/>
        <v>0</v>
      </c>
    </row>
    <row r="299" spans="1:16" ht="25.5">
      <c r="A299" s="585" t="str">
        <f t="shared" si="22"/>
        <v>Versorgungsanstalt der Deutschen Bundespost v. 05.10.2010</v>
      </c>
      <c r="B299" s="585">
        <f>ROW()</f>
        <v>299</v>
      </c>
      <c r="C299" s="610" t="s">
        <v>731</v>
      </c>
      <c r="D299" s="1117">
        <v>40456</v>
      </c>
      <c r="E299" s="611" t="s">
        <v>729</v>
      </c>
      <c r="F299" s="612" t="str">
        <f t="shared" si="18"/>
        <v/>
      </c>
      <c r="G299" s="609" t="str">
        <f t="shared" si="20"/>
        <v/>
      </c>
      <c r="H299" s="391"/>
      <c r="K299" s="1115"/>
      <c r="L299" s="1115"/>
      <c r="M299" s="1115"/>
      <c r="N299" s="1115"/>
      <c r="O299" s="759" t="s">
        <v>730</v>
      </c>
      <c r="P299" s="139">
        <f t="shared" si="21"/>
        <v>0</v>
      </c>
    </row>
    <row r="300" spans="1:16" ht="25.5">
      <c r="A300" s="585" t="str">
        <f t="shared" si="22"/>
        <v>Versorgungsanstalt der Kaminkehrergesellen</v>
      </c>
      <c r="B300" s="585">
        <f>ROW()</f>
        <v>300</v>
      </c>
      <c r="C300" s="610" t="s">
        <v>677</v>
      </c>
      <c r="E300" s="611" t="s">
        <v>680</v>
      </c>
      <c r="F300" s="612" t="str">
        <f t="shared" ref="F300:F363" si="23">IF(K300=1,"Ja","")</f>
        <v/>
      </c>
      <c r="G300" s="609" t="str">
        <f t="shared" si="20"/>
        <v/>
      </c>
      <c r="H300" s="391"/>
      <c r="K300" s="1115"/>
      <c r="L300" s="1115"/>
      <c r="M300" s="1115"/>
      <c r="N300" s="1115"/>
      <c r="O300" s="757" t="s">
        <v>679</v>
      </c>
      <c r="P300" s="139">
        <f t="shared" si="21"/>
        <v>0</v>
      </c>
    </row>
    <row r="301" spans="1:16" ht="33.75">
      <c r="B301" s="585">
        <f>ROW()</f>
        <v>301</v>
      </c>
      <c r="C301" s="610" t="s">
        <v>1999</v>
      </c>
      <c r="D301" s="1117">
        <v>43891</v>
      </c>
      <c r="E301" s="611" t="s">
        <v>2000</v>
      </c>
      <c r="F301" s="612"/>
      <c r="G301" s="609" t="str">
        <f t="shared" si="20"/>
        <v>TO ermöglicht: doppelten Kostenabzug;  Wertteilhabe (z.B. Verzinsung) zwischen EzE und RK geltend machen</v>
      </c>
      <c r="H301" s="391"/>
      <c r="I301" s="609" t="s">
        <v>2002</v>
      </c>
      <c r="K301" s="1115"/>
      <c r="L301" s="1115">
        <v>2</v>
      </c>
      <c r="M301" s="1115"/>
      <c r="N301" s="1115">
        <v>4</v>
      </c>
      <c r="O301" s="757"/>
      <c r="P301" s="139"/>
    </row>
    <row r="302" spans="1:16" ht="33.75">
      <c r="A302" s="585" t="str">
        <f t="shared" si="22"/>
        <v>Versorgungswerk der Wohnungswirtschaft (VDW) v. 01.01.2018</v>
      </c>
      <c r="B302" s="585">
        <f>ROW()</f>
        <v>302</v>
      </c>
      <c r="C302" s="610" t="s">
        <v>770</v>
      </c>
      <c r="D302" s="1117">
        <v>43101</v>
      </c>
      <c r="E302" s="611" t="s">
        <v>767</v>
      </c>
      <c r="F302" s="612" t="str">
        <f t="shared" si="23"/>
        <v/>
      </c>
      <c r="G302" s="609" t="str">
        <f t="shared" si="20"/>
        <v>TO ermöglicht: doppelten Kostenabzug;  Wertteilhabe (z.B. Verzinsung) zwischen EzE und RK geltend machen</v>
      </c>
      <c r="H302" s="391"/>
      <c r="K302" s="1115"/>
      <c r="L302" s="1115">
        <v>2</v>
      </c>
      <c r="M302" s="1115"/>
      <c r="N302" s="1115">
        <v>4</v>
      </c>
      <c r="O302" s="755" t="s">
        <v>803</v>
      </c>
      <c r="P302" s="139">
        <f t="shared" si="21"/>
        <v>6</v>
      </c>
    </row>
    <row r="303" spans="1:16" ht="22.5">
      <c r="A303" s="585" t="str">
        <f t="shared" si="22"/>
        <v>Vertreterversorgungswerk der Allianz Beratungs- und Vertreibs AG v. 13.12.2010</v>
      </c>
      <c r="B303" s="585">
        <f>ROW()</f>
        <v>303</v>
      </c>
      <c r="C303" s="975" t="s">
        <v>1181</v>
      </c>
      <c r="D303" s="1117">
        <v>40525</v>
      </c>
      <c r="E303" s="611" t="s">
        <v>1182</v>
      </c>
      <c r="F303" s="612" t="str">
        <f t="shared" si="23"/>
        <v/>
      </c>
      <c r="G303" s="609" t="str">
        <f t="shared" si="20"/>
        <v/>
      </c>
      <c r="H303" s="391"/>
      <c r="K303" s="1115"/>
      <c r="L303" s="1115"/>
      <c r="M303" s="1115"/>
      <c r="N303" s="1115"/>
      <c r="P303" s="139">
        <f t="shared" si="21"/>
        <v>0</v>
      </c>
    </row>
    <row r="304" spans="1:16" ht="33.75">
      <c r="A304" s="585" t="str">
        <f t="shared" si="22"/>
        <v>Victoria LV AG v. 16.01.2020</v>
      </c>
      <c r="B304" s="585">
        <f>ROW()</f>
        <v>304</v>
      </c>
      <c r="C304" s="975" t="s">
        <v>1594</v>
      </c>
      <c r="D304" s="1117">
        <v>43846</v>
      </c>
      <c r="E304" s="611" t="s">
        <v>651</v>
      </c>
      <c r="F304" s="612"/>
      <c r="G304" s="609" t="str">
        <f t="shared" si="20"/>
        <v>TO ermöglicht: Tarifwechel; doppelten Kostenabzug;  Wertteilhabe (z.B. Verzinsung) zwischen EzE und RK geltend machen</v>
      </c>
      <c r="H304" s="391"/>
      <c r="K304" s="1115">
        <v>1</v>
      </c>
      <c r="L304" s="1115">
        <v>2</v>
      </c>
      <c r="M304" s="1115"/>
      <c r="N304" s="1115">
        <v>4</v>
      </c>
      <c r="P304" s="139"/>
    </row>
    <row r="305" spans="1:16" ht="45">
      <c r="A305" s="585" t="str">
        <f t="shared" si="22"/>
        <v>Vodafone v. 01.04.2019</v>
      </c>
      <c r="B305" s="585">
        <f>ROW()</f>
        <v>305</v>
      </c>
      <c r="C305" s="610" t="s">
        <v>1039</v>
      </c>
      <c r="D305" s="1117">
        <v>43556</v>
      </c>
      <c r="F305" s="612" t="str">
        <f t="shared" si="23"/>
        <v/>
      </c>
      <c r="G305" s="609" t="str">
        <f t="shared" si="20"/>
        <v>TO ermöglicht: doppelten Kostenabzug;  Abweichungen vom gerichtl. festgelegten Ausgleichswert;  Wertteilhabe (z.B. Verzinsung) zwischen EzE und RK geltend machen</v>
      </c>
      <c r="H305" s="391"/>
      <c r="J305" s="754"/>
      <c r="K305" s="1115"/>
      <c r="L305" s="1115">
        <v>2</v>
      </c>
      <c r="M305" s="1115">
        <v>3</v>
      </c>
      <c r="N305" s="1115">
        <v>4</v>
      </c>
      <c r="P305" s="139">
        <f t="shared" si="21"/>
        <v>9</v>
      </c>
    </row>
    <row r="306" spans="1:16" ht="45">
      <c r="A306" s="585" t="str">
        <f t="shared" si="22"/>
        <v>VolkswohlBund</v>
      </c>
      <c r="B306" s="585">
        <f>ROW()</f>
        <v>306</v>
      </c>
      <c r="C306" s="610" t="s">
        <v>756</v>
      </c>
      <c r="E306" s="611" t="s">
        <v>697</v>
      </c>
      <c r="F306" s="612" t="str">
        <f t="shared" si="23"/>
        <v>Ja</v>
      </c>
      <c r="G306" s="609" t="str">
        <f t="shared" si="20"/>
        <v>TO ermöglicht: Tarifwechel; doppelten Kostenabzug;  Abweichungen vom gerichtl. festgelegten Ausgleichswert;  Wertteilhabe (z.B. Verzinsung) zwischen EzE und RK geltend machen</v>
      </c>
      <c r="H306" s="391"/>
      <c r="J306" s="754"/>
      <c r="K306" s="1115">
        <v>1</v>
      </c>
      <c r="L306" s="1115">
        <v>2</v>
      </c>
      <c r="M306" s="1115">
        <v>3</v>
      </c>
      <c r="N306" s="1115">
        <v>4</v>
      </c>
      <c r="O306" s="759" t="s">
        <v>698</v>
      </c>
      <c r="P306" s="139">
        <f t="shared" si="21"/>
        <v>10</v>
      </c>
    </row>
    <row r="307" spans="1:16" ht="22.5">
      <c r="A307" s="585" t="str">
        <f t="shared" si="22"/>
        <v>Vorwerk v. 04.07.1905</v>
      </c>
      <c r="B307" s="585">
        <f>ROW()</f>
        <v>307</v>
      </c>
      <c r="C307" s="610" t="s">
        <v>1877</v>
      </c>
      <c r="D307" s="1919" t="s">
        <v>1878</v>
      </c>
      <c r="E307" s="611" t="s">
        <v>1879</v>
      </c>
      <c r="F307" s="612"/>
      <c r="G307" s="609" t="str">
        <f t="shared" si="20"/>
        <v>TO ermöglicht:  Wertteilhabe (z.B. Verzinsung) zwischen EzE und RK geltend machen</v>
      </c>
      <c r="H307" s="391"/>
      <c r="I307" s="609" t="s">
        <v>1880</v>
      </c>
      <c r="J307" s="754"/>
      <c r="K307" s="1115"/>
      <c r="L307" s="1115"/>
      <c r="M307" s="1115"/>
      <c r="N307" s="1115">
        <v>4</v>
      </c>
      <c r="O307" s="759"/>
      <c r="P307" s="139"/>
    </row>
    <row r="308" spans="1:16" ht="45">
      <c r="A308" s="585" t="str">
        <f t="shared" si="22"/>
        <v>VPV Allgemeine Versicherungs AG  v. 11.07.2022</v>
      </c>
      <c r="B308" s="585">
        <f>ROW()</f>
        <v>308</v>
      </c>
      <c r="C308" s="610" t="s">
        <v>960</v>
      </c>
      <c r="D308" s="1117">
        <v>44753</v>
      </c>
      <c r="E308" s="611" t="s">
        <v>963</v>
      </c>
      <c r="F308" s="612" t="str">
        <f t="shared" si="23"/>
        <v>Ja</v>
      </c>
      <c r="G308" s="609" t="str">
        <f t="shared" si="20"/>
        <v>TO ermöglicht: Tarifwechel; doppelten Kostenabzug;  Abweichungen vom gerichtl. festgelegten Ausgleichswert;  Wertteilhabe (z.B. Verzinsung) zwischen EzE und RK geltend machen</v>
      </c>
      <c r="H308" s="391"/>
      <c r="K308" s="1115">
        <v>1</v>
      </c>
      <c r="L308" s="1115">
        <v>2</v>
      </c>
      <c r="M308" s="1115">
        <v>3</v>
      </c>
      <c r="N308" s="1115">
        <v>4</v>
      </c>
      <c r="P308" s="139">
        <f t="shared" si="21"/>
        <v>10</v>
      </c>
    </row>
    <row r="309" spans="1:16" ht="45">
      <c r="A309" s="585" t="str">
        <f t="shared" si="22"/>
        <v>VPV Allgemeine Versicherungs AG für Direktversicherungen v. 11.07.2022</v>
      </c>
      <c r="B309" s="585">
        <f>ROW()</f>
        <v>309</v>
      </c>
      <c r="C309" s="610" t="s">
        <v>957</v>
      </c>
      <c r="D309" s="1117">
        <v>44753</v>
      </c>
      <c r="E309" s="611" t="s">
        <v>955</v>
      </c>
      <c r="F309" s="612" t="str">
        <f t="shared" si="23"/>
        <v>Ja</v>
      </c>
      <c r="G309" s="609" t="str">
        <f t="shared" si="20"/>
        <v>TO ermöglicht: Tarifwechel; doppelten Kostenabzug;  Abweichungen vom gerichtl. festgelegten Ausgleichswert;  Wertteilhabe (z.B. Verzinsung) zwischen EzE und RK geltend machen</v>
      </c>
      <c r="H309" s="391"/>
      <c r="J309" s="754"/>
      <c r="K309" s="1115">
        <v>1</v>
      </c>
      <c r="L309" s="1115">
        <v>2</v>
      </c>
      <c r="M309" s="1115">
        <v>3</v>
      </c>
      <c r="N309" s="1115">
        <v>4</v>
      </c>
      <c r="P309" s="139">
        <f t="shared" si="21"/>
        <v>10</v>
      </c>
    </row>
    <row r="310" spans="1:16" ht="45">
      <c r="A310" s="585" t="str">
        <f t="shared" si="22"/>
        <v>VPV Lebensversicherungs AG  v. 11.07.2022</v>
      </c>
      <c r="B310" s="585">
        <f>ROW()</f>
        <v>310</v>
      </c>
      <c r="C310" s="610" t="s">
        <v>959</v>
      </c>
      <c r="D310" s="1117">
        <v>44753</v>
      </c>
      <c r="E310" s="611" t="s">
        <v>962</v>
      </c>
      <c r="F310" s="612" t="str">
        <f t="shared" si="23"/>
        <v>Ja</v>
      </c>
      <c r="G310" s="609" t="str">
        <f t="shared" si="20"/>
        <v>TO ermöglicht: Tarifwechel; doppelten Kostenabzug;  Abweichungen vom gerichtl. festgelegten Ausgleichswert;  Wertteilhabe (z.B. Verzinsung) zwischen EzE und RK geltend machen</v>
      </c>
      <c r="H310" s="391"/>
      <c r="K310" s="1115">
        <v>1</v>
      </c>
      <c r="L310" s="1115">
        <v>2</v>
      </c>
      <c r="M310" s="1115">
        <v>3</v>
      </c>
      <c r="N310" s="1115">
        <v>4</v>
      </c>
      <c r="P310" s="139">
        <f t="shared" si="21"/>
        <v>10</v>
      </c>
    </row>
    <row r="311" spans="1:16" ht="45">
      <c r="A311" s="585" t="str">
        <f t="shared" si="22"/>
        <v>VPV Lebensversicherungs AG für Direktversicherungen v. 11.07.2022</v>
      </c>
      <c r="B311" s="585">
        <f>ROW()</f>
        <v>311</v>
      </c>
      <c r="C311" s="610" t="s">
        <v>956</v>
      </c>
      <c r="D311" s="1117">
        <v>44753</v>
      </c>
      <c r="E311" s="611" t="s">
        <v>955</v>
      </c>
      <c r="F311" s="612" t="str">
        <f t="shared" si="23"/>
        <v>Ja</v>
      </c>
      <c r="G311" s="609" t="str">
        <f t="shared" si="20"/>
        <v>TO ermöglicht: Tarifwechel; doppelten Kostenabzug;  Abweichungen vom gerichtl. festgelegten Ausgleichswert;  Wertteilhabe (z.B. Verzinsung) zwischen EzE und RK geltend machen</v>
      </c>
      <c r="H311" s="391"/>
      <c r="K311" s="1115">
        <v>1</v>
      </c>
      <c r="L311" s="1115">
        <v>2</v>
      </c>
      <c r="M311" s="1115">
        <v>3</v>
      </c>
      <c r="N311" s="1115">
        <v>4</v>
      </c>
      <c r="P311" s="139">
        <f t="shared" si="21"/>
        <v>10</v>
      </c>
    </row>
    <row r="312" spans="1:16" ht="45">
      <c r="A312" s="585" t="str">
        <f t="shared" si="22"/>
        <v>VRK Lebensversicherung v. 01.01.2015</v>
      </c>
      <c r="B312" s="585">
        <f>ROW()</f>
        <v>312</v>
      </c>
      <c r="C312" s="610" t="s">
        <v>1160</v>
      </c>
      <c r="D312" s="1117">
        <v>42005</v>
      </c>
      <c r="E312" s="611" t="s">
        <v>1161</v>
      </c>
      <c r="F312" s="612" t="str">
        <f t="shared" si="23"/>
        <v>Ja</v>
      </c>
      <c r="G312" s="609" t="str">
        <f t="shared" si="20"/>
        <v>TO ermöglicht: Tarifwechel; doppelten Kostenabzug;  Abweichungen vom gerichtl. festgelegten Ausgleichswert;  Wertteilhabe (z.B. Verzinsung) zwischen EzE und RK geltend machen</v>
      </c>
      <c r="H312" s="391"/>
      <c r="K312" s="1115">
        <v>1</v>
      </c>
      <c r="L312" s="1115">
        <v>2</v>
      </c>
      <c r="M312" s="1115">
        <v>3</v>
      </c>
      <c r="N312" s="1115">
        <v>4</v>
      </c>
      <c r="P312" s="139">
        <f t="shared" si="21"/>
        <v>10</v>
      </c>
    </row>
    <row r="313" spans="1:16">
      <c r="A313" s="585" t="str">
        <f t="shared" si="22"/>
        <v>VW  v. 01.12.2017</v>
      </c>
      <c r="B313" s="585">
        <f>ROW()</f>
        <v>313</v>
      </c>
      <c r="C313" s="610" t="s">
        <v>1002</v>
      </c>
      <c r="D313" s="1117">
        <v>43070</v>
      </c>
      <c r="F313" s="612" t="str">
        <f t="shared" si="23"/>
        <v/>
      </c>
      <c r="G313" s="609" t="str">
        <f t="shared" si="20"/>
        <v/>
      </c>
      <c r="H313" s="391"/>
      <c r="K313" s="1115"/>
      <c r="L313" s="1115"/>
      <c r="M313" s="1115"/>
      <c r="N313" s="1115"/>
      <c r="P313" s="139">
        <f t="shared" si="21"/>
        <v>0</v>
      </c>
    </row>
    <row r="314" spans="1:16" ht="33.75">
      <c r="A314" s="585" t="str">
        <f t="shared" si="22"/>
        <v>Vorwerk &amp; Co.KG v. 31.08.2012</v>
      </c>
      <c r="B314" s="585">
        <f>ROW()</f>
        <v>314</v>
      </c>
      <c r="C314" s="610" t="s">
        <v>1867</v>
      </c>
      <c r="D314" s="1117">
        <v>41152</v>
      </c>
      <c r="E314" s="611" t="s">
        <v>1868</v>
      </c>
      <c r="F314" s="612"/>
      <c r="G314" s="609" t="str">
        <f t="shared" si="20"/>
        <v>TO ermöglicht: doppelten Kostenabzug;  Wertteilhabe (z.B. Verzinsung) zwischen EzE und RK geltend machen</v>
      </c>
      <c r="H314" s="391"/>
      <c r="K314" s="1115"/>
      <c r="L314" s="1115">
        <v>2</v>
      </c>
      <c r="M314" s="1115"/>
      <c r="N314" s="1115">
        <v>4</v>
      </c>
      <c r="P314" s="139"/>
    </row>
    <row r="315" spans="1:16">
      <c r="A315" s="585" t="str">
        <f t="shared" si="22"/>
        <v>WDR TO  v. 01.03.2022</v>
      </c>
      <c r="B315" s="585">
        <f>ROW()</f>
        <v>315</v>
      </c>
      <c r="C315" s="610" t="s">
        <v>1097</v>
      </c>
      <c r="D315" s="1117">
        <v>44621</v>
      </c>
      <c r="F315" s="612" t="str">
        <f t="shared" si="23"/>
        <v/>
      </c>
      <c r="G315" s="609" t="str">
        <f t="shared" si="20"/>
        <v xml:space="preserve">TO ermöglicht: doppelten Kostenabzug; </v>
      </c>
      <c r="H315" s="391"/>
      <c r="K315" s="1115"/>
      <c r="L315" s="1115">
        <v>2</v>
      </c>
      <c r="M315" s="1115"/>
      <c r="N315" s="1115"/>
      <c r="P315" s="139">
        <f t="shared" si="21"/>
        <v>2</v>
      </c>
    </row>
    <row r="316" spans="1:16" ht="33.75">
      <c r="A316" s="585" t="str">
        <f t="shared" si="22"/>
        <v>Westdeutscher Rundfunk Tarifvertrag v. 05.12.2009</v>
      </c>
      <c r="B316" s="585">
        <f>ROW()</f>
        <v>316</v>
      </c>
      <c r="C316" s="610" t="s">
        <v>940</v>
      </c>
      <c r="D316" s="1117">
        <v>40152</v>
      </c>
      <c r="F316" s="612" t="str">
        <f t="shared" si="23"/>
        <v/>
      </c>
      <c r="G316" s="609" t="str">
        <f t="shared" si="20"/>
        <v>TO ermöglicht:  Abweichungen vom gerichtl. festgelegten Ausgleichswert;  Wertteilhabe (z.B. Verzinsung) zwischen EzE und RK geltend machen</v>
      </c>
      <c r="H316" s="391"/>
      <c r="K316" s="1115"/>
      <c r="L316" s="1115"/>
      <c r="M316" s="1115">
        <v>3</v>
      </c>
      <c r="N316" s="1115">
        <v>4</v>
      </c>
      <c r="P316" s="139">
        <f t="shared" si="21"/>
        <v>7</v>
      </c>
    </row>
    <row r="317" spans="1:16" ht="33.75">
      <c r="A317" s="585" t="str">
        <f t="shared" si="22"/>
        <v>Württembergische Lebensversicherung AG v. 01.07.2020</v>
      </c>
      <c r="B317" s="585">
        <f>ROW()</f>
        <v>317</v>
      </c>
      <c r="C317" s="610" t="s">
        <v>1514</v>
      </c>
      <c r="D317" s="1117">
        <v>44013</v>
      </c>
      <c r="E317" s="611" t="s">
        <v>651</v>
      </c>
      <c r="F317" s="612"/>
      <c r="G317" s="609" t="str">
        <f t="shared" si="20"/>
        <v>TO ermöglicht: doppelten Kostenabzug;  Wertteilhabe (z.B. Verzinsung) zwischen EzE und RK geltend machen</v>
      </c>
      <c r="H317" s="391"/>
      <c r="K317" s="1115"/>
      <c r="L317" s="1115">
        <v>2</v>
      </c>
      <c r="M317" s="1115"/>
      <c r="N317" s="1115">
        <v>4</v>
      </c>
      <c r="P317" s="139"/>
    </row>
    <row r="318" spans="1:16" ht="45">
      <c r="A318" s="585" t="str">
        <f t="shared" si="22"/>
        <v>Wüstenrot &amp; Württembergische DC Pensionszusagen durch Gehaltsumwandlung v. ohne Datum</v>
      </c>
      <c r="B318" s="585">
        <f>ROW()</f>
        <v>318</v>
      </c>
      <c r="C318" s="610" t="s">
        <v>1185</v>
      </c>
      <c r="D318" s="1117" t="s">
        <v>1074</v>
      </c>
      <c r="E318" s="611">
        <v>5</v>
      </c>
      <c r="F318" s="612" t="str">
        <f t="shared" si="23"/>
        <v/>
      </c>
      <c r="G318" s="609" t="str">
        <f t="shared" si="20"/>
        <v>TO ermöglicht: doppelten Kostenabzug;  Abweichungen vom gerichtl. festgelegten Ausgleichswert;  Wertteilhabe (z.B. Verzinsung) zwischen EzE und RK geltend machen</v>
      </c>
      <c r="H318" s="391"/>
      <c r="K318" s="1115"/>
      <c r="L318" s="1115">
        <v>2</v>
      </c>
      <c r="M318" s="1115">
        <v>3</v>
      </c>
      <c r="N318" s="1115">
        <v>4</v>
      </c>
      <c r="P318" s="139">
        <f t="shared" si="21"/>
        <v>9</v>
      </c>
    </row>
    <row r="319" spans="1:16" ht="45">
      <c r="A319" s="585" t="str">
        <f t="shared" si="22"/>
        <v>Wüstenrot &amp; Württembergische Pensionskasse v. ohne Datum</v>
      </c>
      <c r="B319" s="585">
        <f>ROW()</f>
        <v>319</v>
      </c>
      <c r="C319" s="610" t="s">
        <v>1187</v>
      </c>
      <c r="D319" s="1117" t="s">
        <v>1074</v>
      </c>
      <c r="E319" s="611" t="s">
        <v>1184</v>
      </c>
      <c r="F319" s="612" t="str">
        <f t="shared" si="23"/>
        <v>Ja</v>
      </c>
      <c r="G319" s="609" t="str">
        <f t="shared" si="20"/>
        <v>TO ermöglicht: Tarifwechel; doppelten Kostenabzug;  Abweichungen vom gerichtl. festgelegten Ausgleichswert;  Wertteilhabe (z.B. Verzinsung) zwischen EzE und RK geltend machen</v>
      </c>
      <c r="H319" s="391"/>
      <c r="K319" s="1115">
        <v>1</v>
      </c>
      <c r="L319" s="1115">
        <v>2</v>
      </c>
      <c r="M319" s="1115">
        <v>3</v>
      </c>
      <c r="N319" s="1115">
        <v>4</v>
      </c>
      <c r="P319" s="139">
        <f t="shared" si="21"/>
        <v>10</v>
      </c>
    </row>
    <row r="320" spans="1:16" ht="45">
      <c r="A320" s="585" t="str">
        <f t="shared" si="22"/>
        <v>Wüstenrot &amp; Württembergische Pensionszusage LHB v. ohne Datum</v>
      </c>
      <c r="B320" s="585">
        <f>ROW()</f>
        <v>320</v>
      </c>
      <c r="C320" s="610" t="s">
        <v>1186</v>
      </c>
      <c r="D320" s="1117" t="s">
        <v>1074</v>
      </c>
      <c r="E320" s="611">
        <v>5</v>
      </c>
      <c r="F320" s="612" t="str">
        <f t="shared" si="23"/>
        <v/>
      </c>
      <c r="G320" s="609" t="str">
        <f t="shared" si="20"/>
        <v>TO ermöglicht: doppelten Kostenabzug;  Abweichungen vom gerichtl. festgelegten Ausgleichswert;  Wertteilhabe (z.B. Verzinsung) zwischen EzE und RK geltend machen</v>
      </c>
      <c r="H320" s="391"/>
      <c r="K320" s="1115"/>
      <c r="L320" s="1115">
        <v>2</v>
      </c>
      <c r="M320" s="1115">
        <v>3</v>
      </c>
      <c r="N320" s="1115">
        <v>4</v>
      </c>
      <c r="P320" s="139">
        <f t="shared" si="21"/>
        <v>9</v>
      </c>
    </row>
    <row r="321" spans="1:16" ht="45">
      <c r="A321" s="585" t="str">
        <f t="shared" si="22"/>
        <v>WWK v. 01.08.2014</v>
      </c>
      <c r="B321" s="585">
        <f>ROW()</f>
        <v>321</v>
      </c>
      <c r="C321" s="610" t="s">
        <v>1010</v>
      </c>
      <c r="D321" s="1117">
        <v>41852</v>
      </c>
      <c r="E321" s="611" t="s">
        <v>1009</v>
      </c>
      <c r="F321" s="612" t="str">
        <f t="shared" si="23"/>
        <v>Ja</v>
      </c>
      <c r="G321" s="609" t="str">
        <f t="shared" si="20"/>
        <v>TO ermöglicht: Tarifwechel; doppelten Kostenabzug;  Abweichungen vom gerichtl. festgelegten Ausgleichswert;  Wertteilhabe (z.B. Verzinsung) zwischen EzE und RK geltend machen</v>
      </c>
      <c r="H321" s="391"/>
      <c r="K321" s="1115">
        <v>1</v>
      </c>
      <c r="L321" s="1115">
        <v>2</v>
      </c>
      <c r="M321" s="1115">
        <v>3</v>
      </c>
      <c r="N321" s="1115">
        <v>4</v>
      </c>
      <c r="P321" s="139">
        <f t="shared" si="21"/>
        <v>10</v>
      </c>
    </row>
    <row r="322" spans="1:16" ht="33.75">
      <c r="A322" s="585" t="str">
        <f t="shared" si="22"/>
        <v>ZF Friedrichshafen ZF-Rente v. 02.11.2010</v>
      </c>
      <c r="B322" s="585">
        <f>ROW()</f>
        <v>322</v>
      </c>
      <c r="C322" s="610" t="s">
        <v>1225</v>
      </c>
      <c r="D322" s="1117">
        <v>40484</v>
      </c>
      <c r="E322" s="611" t="s">
        <v>196</v>
      </c>
      <c r="F322" s="612" t="str">
        <f t="shared" si="23"/>
        <v/>
      </c>
      <c r="G322" s="609" t="str">
        <f t="shared" si="20"/>
        <v>TO ermöglicht: doppelten Kostenabzug;  Wertteilhabe (z.B. Verzinsung) zwischen EzE und RK geltend machen</v>
      </c>
      <c r="H322" s="391"/>
      <c r="K322" s="1115"/>
      <c r="L322" s="1115">
        <v>2</v>
      </c>
      <c r="M322" s="1115"/>
      <c r="N322" s="1115">
        <v>4</v>
      </c>
      <c r="P322" s="139">
        <f t="shared" si="21"/>
        <v>6</v>
      </c>
    </row>
    <row r="323" spans="1:16" ht="25.5">
      <c r="A323" s="585" t="str">
        <f t="shared" si="22"/>
        <v>ZF-MP Altersversorgung e.V. beitragsorientierte Versorgungezusage v. 01.06.2011</v>
      </c>
      <c r="B323" s="585">
        <f>ROW()</f>
        <v>323</v>
      </c>
      <c r="C323" s="610" t="s">
        <v>1226</v>
      </c>
      <c r="D323" s="1117">
        <v>40695</v>
      </c>
      <c r="E323" s="611" t="s">
        <v>195</v>
      </c>
      <c r="F323" s="612" t="str">
        <f t="shared" si="23"/>
        <v/>
      </c>
      <c r="G323" s="609" t="str">
        <f t="shared" si="20"/>
        <v xml:space="preserve">TO ermöglicht: doppelten Kostenabzug; </v>
      </c>
      <c r="H323" s="391"/>
      <c r="K323" s="1115"/>
      <c r="L323" s="1115">
        <v>2</v>
      </c>
      <c r="M323" s="1115"/>
      <c r="N323" s="1115"/>
      <c r="P323" s="139">
        <f t="shared" si="21"/>
        <v>2</v>
      </c>
    </row>
    <row r="324" spans="1:16" ht="45">
      <c r="A324" s="585" t="str">
        <f t="shared" si="22"/>
        <v>Zurich  v. 01.02.2013</v>
      </c>
      <c r="B324" s="585">
        <f>ROW()</f>
        <v>324</v>
      </c>
      <c r="C324" s="610" t="s">
        <v>1303</v>
      </c>
      <c r="D324" s="1117">
        <v>41306</v>
      </c>
      <c r="E324" s="611">
        <v>5</v>
      </c>
      <c r="F324" s="612" t="str">
        <f t="shared" si="23"/>
        <v/>
      </c>
      <c r="G324" s="609" t="str">
        <f t="shared" si="20"/>
        <v>TO ermöglicht: doppelten Kostenabzug;  Abweichungen vom gerichtl. festgelegten Ausgleichswert;  Wertteilhabe (z.B. Verzinsung) zwischen EzE und RK geltend machen</v>
      </c>
      <c r="H324" s="391"/>
      <c r="K324" s="1115"/>
      <c r="L324" s="1115">
        <v>2</v>
      </c>
      <c r="M324" s="1115">
        <v>3</v>
      </c>
      <c r="N324" s="1115">
        <v>4</v>
      </c>
      <c r="P324" s="139">
        <f t="shared" si="21"/>
        <v>9</v>
      </c>
    </row>
    <row r="325" spans="1:16" ht="33.75">
      <c r="A325" s="585" t="str">
        <f t="shared" si="22"/>
        <v>Zurich Deutsche Herold Unterstützungskasse v. 19.05.2016</v>
      </c>
      <c r="B325" s="585">
        <f>ROW()</f>
        <v>325</v>
      </c>
      <c r="C325" s="610" t="s">
        <v>1224</v>
      </c>
      <c r="D325" s="1117">
        <v>42509</v>
      </c>
      <c r="E325" s="611" t="s">
        <v>1198</v>
      </c>
      <c r="F325" s="612" t="str">
        <f t="shared" si="23"/>
        <v>Ja</v>
      </c>
      <c r="G325" s="609" t="str">
        <f t="shared" si="20"/>
        <v>TO ermöglicht: Tarifwechel; doppelten Kostenabzug;  Wertteilhabe (z.B. Verzinsung) zwischen EzE und RK geltend machen</v>
      </c>
      <c r="H325" s="391"/>
      <c r="K325" s="1115">
        <v>1</v>
      </c>
      <c r="L325" s="1115">
        <v>2</v>
      </c>
      <c r="M325" s="1115"/>
      <c r="N325" s="1115">
        <v>4</v>
      </c>
      <c r="P325" s="139">
        <f t="shared" si="21"/>
        <v>7</v>
      </c>
    </row>
    <row r="326" spans="1:16" ht="45">
      <c r="A326" s="585" t="str">
        <f t="shared" si="22"/>
        <v>Zurich Deutscher Herold v. 01.01.2015</v>
      </c>
      <c r="B326" s="585">
        <f>ROW()</f>
        <v>326</v>
      </c>
      <c r="C326" s="610" t="s">
        <v>707</v>
      </c>
      <c r="D326" s="1117">
        <v>42005</v>
      </c>
      <c r="E326" s="611" t="s">
        <v>723</v>
      </c>
      <c r="F326" s="612" t="str">
        <f t="shared" si="23"/>
        <v>Ja</v>
      </c>
      <c r="G326" s="609" t="str">
        <f t="shared" si="20"/>
        <v>TO ermöglicht: Tarifwechel; doppelten Kostenabzug;  Abweichungen vom gerichtl. festgelegten Ausgleichswert;  Wertteilhabe (z.B. Verzinsung) zwischen EzE und RK geltend machen</v>
      </c>
      <c r="H326" s="391"/>
      <c r="K326" s="1115">
        <v>1</v>
      </c>
      <c r="L326" s="1115">
        <v>2</v>
      </c>
      <c r="M326" s="1115">
        <v>3</v>
      </c>
      <c r="N326" s="1115">
        <v>4</v>
      </c>
      <c r="O326" s="759" t="s">
        <v>724</v>
      </c>
      <c r="P326" s="139">
        <f t="shared" si="21"/>
        <v>10</v>
      </c>
    </row>
    <row r="327" spans="1:16" ht="22.5">
      <c r="A327" s="585" t="str">
        <f t="shared" si="22"/>
        <v>Zurich Deutscher Herold v. 19.05.2016</v>
      </c>
      <c r="B327" s="585">
        <f>ROW()</f>
        <v>327</v>
      </c>
      <c r="C327" s="610" t="s">
        <v>707</v>
      </c>
      <c r="D327" s="1117">
        <v>42509</v>
      </c>
      <c r="E327" s="611" t="s">
        <v>708</v>
      </c>
      <c r="F327" s="612" t="str">
        <f t="shared" si="23"/>
        <v>Ja</v>
      </c>
      <c r="G327" s="609" t="str">
        <f t="shared" si="20"/>
        <v xml:space="preserve">TO ermöglicht: Tarifwechel; doppelten Kostenabzug; </v>
      </c>
      <c r="H327" s="391"/>
      <c r="K327" s="1115">
        <v>1</v>
      </c>
      <c r="L327" s="1115">
        <v>2</v>
      </c>
      <c r="M327" s="1115"/>
      <c r="N327" s="1115"/>
      <c r="O327" s="759" t="s">
        <v>709</v>
      </c>
      <c r="P327" s="139">
        <f t="shared" si="21"/>
        <v>3</v>
      </c>
    </row>
    <row r="328" spans="1:16" ht="22.5">
      <c r="A328" s="585" t="str">
        <f t="shared" si="22"/>
        <v>Zweite real SB Warenhaus GmbH v. 01.07.2012</v>
      </c>
      <c r="B328" s="585">
        <f>ROW()</f>
        <v>328</v>
      </c>
      <c r="C328" s="975" t="s">
        <v>1142</v>
      </c>
      <c r="D328" s="1117">
        <v>41091</v>
      </c>
      <c r="E328" s="611" t="s">
        <v>767</v>
      </c>
      <c r="F328" s="612" t="str">
        <f t="shared" si="23"/>
        <v>Ja</v>
      </c>
      <c r="G328" s="609" t="str">
        <f t="shared" si="20"/>
        <v xml:space="preserve">TO ermöglicht: Tarifwechel; </v>
      </c>
      <c r="H328" s="391"/>
      <c r="K328" s="1115">
        <v>1</v>
      </c>
      <c r="L328" s="1115"/>
      <c r="M328" s="1115"/>
      <c r="N328" s="1115"/>
      <c r="O328" s="759" t="s">
        <v>803</v>
      </c>
      <c r="P328" s="139">
        <f t="shared" si="21"/>
        <v>1</v>
      </c>
    </row>
    <row r="329" spans="1:16">
      <c r="A329" s="585" t="str">
        <f t="shared" si="22"/>
        <v/>
      </c>
      <c r="B329" s="585">
        <f>ROW()</f>
        <v>329</v>
      </c>
      <c r="F329" s="612" t="str">
        <f t="shared" si="23"/>
        <v/>
      </c>
      <c r="G329" s="609" t="str">
        <f t="shared" si="20"/>
        <v/>
      </c>
      <c r="H329" s="391"/>
      <c r="K329" s="1115"/>
      <c r="L329" s="1115"/>
      <c r="M329" s="1115"/>
      <c r="N329" s="1115"/>
      <c r="P329" s="139">
        <f t="shared" ref="P329:P350" si="24">SUM(K329:N329)</f>
        <v>0</v>
      </c>
    </row>
    <row r="330" spans="1:16">
      <c r="A330" s="585" t="str">
        <f t="shared" si="22"/>
        <v/>
      </c>
      <c r="B330" s="585">
        <f>ROW()</f>
        <v>330</v>
      </c>
      <c r="F330" s="612" t="str">
        <f t="shared" si="23"/>
        <v/>
      </c>
      <c r="G330" s="609" t="str">
        <f t="shared" si="20"/>
        <v/>
      </c>
      <c r="H330" s="391"/>
      <c r="K330" s="1115"/>
      <c r="L330" s="1115"/>
      <c r="M330" s="1115"/>
      <c r="N330" s="1115"/>
      <c r="P330" s="139">
        <f t="shared" si="24"/>
        <v>0</v>
      </c>
    </row>
    <row r="331" spans="1:16">
      <c r="A331" s="585" t="str">
        <f t="shared" si="22"/>
        <v/>
      </c>
      <c r="B331" s="585">
        <f>ROW()</f>
        <v>331</v>
      </c>
      <c r="F331" s="612" t="str">
        <f t="shared" si="23"/>
        <v/>
      </c>
      <c r="G331" s="609" t="str">
        <f t="shared" si="20"/>
        <v/>
      </c>
      <c r="H331" s="391"/>
      <c r="K331" s="1115"/>
      <c r="L331" s="1115"/>
      <c r="M331" s="1115"/>
      <c r="N331" s="1115"/>
      <c r="P331" s="139">
        <f t="shared" si="24"/>
        <v>0</v>
      </c>
    </row>
    <row r="332" spans="1:16">
      <c r="A332" s="585" t="str">
        <f t="shared" si="22"/>
        <v/>
      </c>
      <c r="B332" s="585">
        <f>ROW()</f>
        <v>332</v>
      </c>
      <c r="F332" s="612" t="str">
        <f t="shared" si="23"/>
        <v/>
      </c>
      <c r="G332" s="609" t="str">
        <f t="shared" si="20"/>
        <v/>
      </c>
      <c r="H332" s="391"/>
      <c r="K332" s="1115"/>
      <c r="L332" s="1115"/>
      <c r="M332" s="1115"/>
      <c r="N332" s="1115"/>
      <c r="P332" s="139">
        <f t="shared" si="24"/>
        <v>0</v>
      </c>
    </row>
    <row r="333" spans="1:16">
      <c r="A333" s="585" t="str">
        <f t="shared" si="22"/>
        <v/>
      </c>
      <c r="B333" s="585">
        <f>ROW()</f>
        <v>333</v>
      </c>
      <c r="F333" s="612" t="str">
        <f t="shared" si="23"/>
        <v/>
      </c>
      <c r="G333" s="609" t="str">
        <f t="shared" si="20"/>
        <v/>
      </c>
      <c r="H333" s="391"/>
      <c r="K333" s="1115"/>
      <c r="L333" s="1115"/>
      <c r="M333" s="1115"/>
      <c r="N333" s="1115"/>
      <c r="P333" s="139">
        <f t="shared" si="24"/>
        <v>0</v>
      </c>
    </row>
    <row r="334" spans="1:16">
      <c r="A334" s="585" t="str">
        <f t="shared" si="22"/>
        <v/>
      </c>
      <c r="B334" s="585">
        <f>ROW()</f>
        <v>334</v>
      </c>
      <c r="F334" s="612" t="str">
        <f t="shared" si="23"/>
        <v/>
      </c>
      <c r="G334" s="609" t="str">
        <f t="shared" si="20"/>
        <v/>
      </c>
      <c r="H334" s="391"/>
      <c r="K334" s="1115"/>
      <c r="L334" s="1115"/>
      <c r="M334" s="1115"/>
      <c r="N334" s="1115"/>
      <c r="P334" s="139">
        <f t="shared" si="24"/>
        <v>0</v>
      </c>
    </row>
    <row r="335" spans="1:16">
      <c r="A335" s="585" t="str">
        <f t="shared" si="22"/>
        <v/>
      </c>
      <c r="B335" s="585">
        <f>ROW()</f>
        <v>335</v>
      </c>
      <c r="F335" s="612" t="str">
        <f t="shared" si="23"/>
        <v/>
      </c>
      <c r="G335" s="609" t="str">
        <f t="shared" si="20"/>
        <v/>
      </c>
      <c r="H335" s="391"/>
      <c r="K335" s="1115"/>
      <c r="L335" s="1115"/>
      <c r="M335" s="1115"/>
      <c r="N335" s="1115"/>
      <c r="P335" s="139">
        <f t="shared" si="24"/>
        <v>0</v>
      </c>
    </row>
    <row r="336" spans="1:16">
      <c r="A336" s="585" t="str">
        <f t="shared" si="22"/>
        <v/>
      </c>
      <c r="B336" s="585">
        <f>ROW()</f>
        <v>336</v>
      </c>
      <c r="F336" s="612" t="str">
        <f t="shared" si="23"/>
        <v/>
      </c>
      <c r="G336" s="609" t="str">
        <f t="shared" si="20"/>
        <v/>
      </c>
      <c r="H336" s="391"/>
      <c r="K336" s="1115"/>
      <c r="L336" s="1115"/>
      <c r="M336" s="1115"/>
      <c r="N336" s="1115"/>
      <c r="P336" s="139">
        <f t="shared" si="24"/>
        <v>0</v>
      </c>
    </row>
    <row r="337" spans="1:16">
      <c r="A337" s="585" t="str">
        <f t="shared" si="22"/>
        <v/>
      </c>
      <c r="B337" s="585">
        <f>ROW()</f>
        <v>337</v>
      </c>
      <c r="F337" s="612" t="str">
        <f t="shared" si="23"/>
        <v/>
      </c>
      <c r="G337" s="609" t="str">
        <f t="shared" si="20"/>
        <v/>
      </c>
      <c r="H337" s="391"/>
      <c r="K337" s="1115"/>
      <c r="L337" s="1115"/>
      <c r="M337" s="1115"/>
      <c r="N337" s="1115"/>
      <c r="P337" s="139">
        <f t="shared" si="24"/>
        <v>0</v>
      </c>
    </row>
    <row r="338" spans="1:16">
      <c r="A338" s="585" t="str">
        <f t="shared" si="22"/>
        <v/>
      </c>
      <c r="B338" s="585">
        <f>ROW()</f>
        <v>338</v>
      </c>
      <c r="F338" s="612" t="str">
        <f t="shared" si="23"/>
        <v/>
      </c>
      <c r="G338" s="609" t="str">
        <f t="shared" si="20"/>
        <v/>
      </c>
      <c r="H338" s="391"/>
      <c r="K338" s="1115"/>
      <c r="L338" s="1115"/>
      <c r="M338" s="1115"/>
      <c r="N338" s="1115"/>
      <c r="P338" s="139">
        <f t="shared" si="24"/>
        <v>0</v>
      </c>
    </row>
    <row r="339" spans="1:16">
      <c r="A339" s="585" t="str">
        <f t="shared" si="22"/>
        <v/>
      </c>
      <c r="B339" s="585">
        <f>ROW()</f>
        <v>339</v>
      </c>
      <c r="F339" s="612" t="str">
        <f t="shared" si="23"/>
        <v/>
      </c>
      <c r="G339" s="609" t="str">
        <f t="shared" ref="G339:G348" si="25">IF(SUM(K339:N339)=0,"","TO ermöglicht: "&amp;IF(K339&gt;0,"Tarifwechel; ","")&amp;IF(L339&gt;0,"doppelten Kostenabzug; ","")&amp;IF(M339&gt;0," Abweichungen vom gerichtl. festgelegten Ausgleichswert; ","")&amp;IF(N339&gt;0," Wertteilhabe (z.B. Verzinsung) zwischen EzE und RK geltend machen",""))</f>
        <v/>
      </c>
      <c r="H339" s="391"/>
      <c r="K339" s="1115"/>
      <c r="L339" s="1115"/>
      <c r="M339" s="1115"/>
      <c r="N339" s="1115"/>
      <c r="P339" s="139">
        <f t="shared" si="24"/>
        <v>0</v>
      </c>
    </row>
    <row r="340" spans="1:16">
      <c r="A340" s="585" t="str">
        <f t="shared" si="22"/>
        <v/>
      </c>
      <c r="B340" s="585">
        <f>ROW()</f>
        <v>340</v>
      </c>
      <c r="F340" s="612" t="str">
        <f t="shared" si="23"/>
        <v/>
      </c>
      <c r="G340" s="609" t="str">
        <f t="shared" si="25"/>
        <v/>
      </c>
      <c r="H340" s="391"/>
      <c r="K340" s="1115"/>
      <c r="L340" s="1115"/>
      <c r="M340" s="1115"/>
      <c r="N340" s="1115"/>
      <c r="P340" s="139">
        <f t="shared" si="24"/>
        <v>0</v>
      </c>
    </row>
    <row r="341" spans="1:16">
      <c r="A341" s="585" t="str">
        <f t="shared" si="22"/>
        <v/>
      </c>
      <c r="B341" s="585">
        <f>ROW()</f>
        <v>341</v>
      </c>
      <c r="F341" s="612" t="str">
        <f t="shared" si="23"/>
        <v/>
      </c>
      <c r="G341" s="609" t="str">
        <f t="shared" si="25"/>
        <v/>
      </c>
      <c r="H341" s="391"/>
      <c r="K341" s="1115"/>
      <c r="L341" s="1115"/>
      <c r="M341" s="1115"/>
      <c r="N341" s="1115"/>
      <c r="P341" s="139">
        <f t="shared" si="24"/>
        <v>0</v>
      </c>
    </row>
    <row r="342" spans="1:16">
      <c r="A342" s="585" t="str">
        <f t="shared" si="22"/>
        <v/>
      </c>
      <c r="B342" s="585">
        <f>ROW()</f>
        <v>342</v>
      </c>
      <c r="F342" s="612" t="str">
        <f t="shared" si="23"/>
        <v/>
      </c>
      <c r="G342" s="609" t="str">
        <f t="shared" si="25"/>
        <v/>
      </c>
      <c r="H342" s="391"/>
      <c r="K342" s="1115"/>
      <c r="L342" s="1115"/>
      <c r="M342" s="1115"/>
      <c r="N342" s="1115"/>
      <c r="P342" s="139">
        <f t="shared" si="24"/>
        <v>0</v>
      </c>
    </row>
    <row r="343" spans="1:16">
      <c r="A343" s="585" t="str">
        <f t="shared" si="22"/>
        <v/>
      </c>
      <c r="B343" s="585">
        <f>ROW()</f>
        <v>343</v>
      </c>
      <c r="F343" s="612" t="str">
        <f t="shared" si="23"/>
        <v/>
      </c>
      <c r="G343" s="609" t="str">
        <f t="shared" si="25"/>
        <v/>
      </c>
      <c r="H343" s="391"/>
      <c r="K343" s="1115"/>
      <c r="L343" s="1115"/>
      <c r="M343" s="1115"/>
      <c r="N343" s="1115"/>
      <c r="P343" s="139">
        <f t="shared" si="24"/>
        <v>0</v>
      </c>
    </row>
    <row r="344" spans="1:16">
      <c r="A344" s="585" t="str">
        <f t="shared" si="22"/>
        <v/>
      </c>
      <c r="B344" s="585">
        <f>ROW()</f>
        <v>344</v>
      </c>
      <c r="F344" s="612" t="str">
        <f t="shared" si="23"/>
        <v/>
      </c>
      <c r="G344" s="609" t="str">
        <f t="shared" si="25"/>
        <v/>
      </c>
      <c r="H344" s="391"/>
      <c r="K344" s="1115"/>
      <c r="L344" s="1115"/>
      <c r="M344" s="1115"/>
      <c r="N344" s="1115"/>
      <c r="P344" s="139">
        <f t="shared" si="24"/>
        <v>0</v>
      </c>
    </row>
    <row r="345" spans="1:16">
      <c r="A345" s="585" t="str">
        <f t="shared" si="22"/>
        <v/>
      </c>
      <c r="B345" s="585">
        <f>ROW()</f>
        <v>345</v>
      </c>
      <c r="F345" s="612" t="str">
        <f t="shared" si="23"/>
        <v/>
      </c>
      <c r="G345" s="609" t="str">
        <f t="shared" si="25"/>
        <v/>
      </c>
      <c r="H345" s="391"/>
      <c r="K345" s="1115"/>
      <c r="L345" s="1115"/>
      <c r="M345" s="1115"/>
      <c r="N345" s="1115"/>
      <c r="P345" s="139">
        <f t="shared" si="24"/>
        <v>0</v>
      </c>
    </row>
    <row r="346" spans="1:16">
      <c r="A346" s="585" t="str">
        <f t="shared" si="22"/>
        <v/>
      </c>
      <c r="B346" s="585">
        <f>ROW()</f>
        <v>346</v>
      </c>
      <c r="F346" s="612" t="str">
        <f t="shared" si="23"/>
        <v/>
      </c>
      <c r="G346" s="609" t="str">
        <f t="shared" si="25"/>
        <v/>
      </c>
      <c r="H346" s="391"/>
      <c r="K346" s="1115"/>
      <c r="L346" s="1115"/>
      <c r="M346" s="1115"/>
      <c r="N346" s="1115"/>
      <c r="P346" s="139">
        <f t="shared" si="24"/>
        <v>0</v>
      </c>
    </row>
    <row r="347" spans="1:16">
      <c r="A347" s="585" t="str">
        <f t="shared" si="22"/>
        <v/>
      </c>
      <c r="B347" s="585">
        <f>ROW()</f>
        <v>347</v>
      </c>
      <c r="F347" s="612" t="str">
        <f t="shared" si="23"/>
        <v/>
      </c>
      <c r="G347" s="609" t="str">
        <f t="shared" si="25"/>
        <v/>
      </c>
      <c r="H347" s="391"/>
      <c r="K347" s="1115"/>
      <c r="L347" s="1115"/>
      <c r="M347" s="1115"/>
      <c r="N347" s="1115"/>
      <c r="P347" s="139">
        <f t="shared" si="24"/>
        <v>0</v>
      </c>
    </row>
    <row r="348" spans="1:16">
      <c r="A348" s="585" t="str">
        <f t="shared" si="22"/>
        <v/>
      </c>
      <c r="B348" s="585">
        <f>ROW()</f>
        <v>348</v>
      </c>
      <c r="F348" s="612" t="str">
        <f t="shared" si="23"/>
        <v/>
      </c>
      <c r="G348" s="609" t="str">
        <f t="shared" si="25"/>
        <v/>
      </c>
      <c r="H348" s="391"/>
      <c r="K348" s="1115"/>
      <c r="L348" s="1115"/>
      <c r="M348" s="1115"/>
      <c r="N348" s="1115"/>
      <c r="P348" s="139">
        <f t="shared" si="24"/>
        <v>0</v>
      </c>
    </row>
    <row r="349" spans="1:16">
      <c r="A349" s="585" t="str">
        <f t="shared" si="22"/>
        <v/>
      </c>
      <c r="F349" s="612" t="str">
        <f t="shared" si="23"/>
        <v/>
      </c>
      <c r="H349" s="391"/>
      <c r="K349" s="1115"/>
      <c r="L349" s="1115"/>
      <c r="M349" s="1115"/>
      <c r="N349" s="1115"/>
      <c r="P349" s="139">
        <f t="shared" si="24"/>
        <v>0</v>
      </c>
    </row>
    <row r="350" spans="1:16">
      <c r="A350" s="585" t="str">
        <f t="shared" si="22"/>
        <v/>
      </c>
      <c r="F350" s="612" t="str">
        <f t="shared" si="23"/>
        <v/>
      </c>
      <c r="H350" s="391"/>
      <c r="K350" s="1115"/>
      <c r="L350" s="1115"/>
      <c r="M350" s="1115"/>
      <c r="N350" s="1115"/>
      <c r="P350" s="139">
        <f t="shared" si="24"/>
        <v>0</v>
      </c>
    </row>
    <row r="351" spans="1:16">
      <c r="A351" s="585" t="str">
        <f t="shared" si="22"/>
        <v/>
      </c>
      <c r="F351" s="612" t="str">
        <f t="shared" si="23"/>
        <v/>
      </c>
      <c r="H351" s="391"/>
      <c r="K351" s="1115"/>
      <c r="L351" s="1115"/>
      <c r="M351" s="1115"/>
      <c r="N351" s="1115"/>
    </row>
    <row r="352" spans="1:16">
      <c r="A352" s="585" t="str">
        <f t="shared" si="22"/>
        <v/>
      </c>
      <c r="F352" s="612" t="str">
        <f t="shared" si="23"/>
        <v/>
      </c>
      <c r="H352" s="391"/>
      <c r="K352" s="1115"/>
      <c r="L352" s="1115"/>
      <c r="M352" s="1115"/>
      <c r="N352" s="1115"/>
    </row>
    <row r="353" spans="1:14">
      <c r="A353" s="585" t="str">
        <f t="shared" si="22"/>
        <v/>
      </c>
      <c r="F353" s="612" t="str">
        <f t="shared" si="23"/>
        <v/>
      </c>
      <c r="H353" s="391"/>
      <c r="K353" s="1115"/>
      <c r="L353" s="1115"/>
      <c r="M353" s="1115"/>
      <c r="N353" s="1115"/>
    </row>
    <row r="354" spans="1:14">
      <c r="A354" s="585" t="str">
        <f t="shared" si="22"/>
        <v/>
      </c>
      <c r="F354" s="612" t="str">
        <f t="shared" si="23"/>
        <v/>
      </c>
      <c r="H354" s="391"/>
      <c r="K354" s="1115"/>
      <c r="L354" s="1115"/>
      <c r="M354" s="1115"/>
      <c r="N354" s="1115"/>
    </row>
    <row r="355" spans="1:14">
      <c r="A355" s="585" t="str">
        <f t="shared" si="22"/>
        <v/>
      </c>
      <c r="F355" s="612" t="str">
        <f t="shared" si="23"/>
        <v/>
      </c>
      <c r="H355" s="391"/>
      <c r="K355" s="1115"/>
      <c r="L355" s="1115"/>
      <c r="M355" s="1115"/>
      <c r="N355" s="1115"/>
    </row>
    <row r="356" spans="1:14">
      <c r="A356" s="585" t="str">
        <f t="shared" si="22"/>
        <v/>
      </c>
      <c r="F356" s="612" t="str">
        <f t="shared" si="23"/>
        <v/>
      </c>
      <c r="H356" s="391"/>
      <c r="K356" s="1115"/>
      <c r="L356" s="1115"/>
      <c r="M356" s="1115"/>
      <c r="N356" s="1115"/>
    </row>
    <row r="357" spans="1:14">
      <c r="A357" s="585" t="str">
        <f t="shared" si="22"/>
        <v/>
      </c>
      <c r="F357" s="612" t="str">
        <f t="shared" si="23"/>
        <v/>
      </c>
      <c r="H357" s="391"/>
      <c r="K357" s="1115"/>
      <c r="L357" s="1115"/>
      <c r="M357" s="1115"/>
      <c r="N357" s="1115"/>
    </row>
    <row r="358" spans="1:14">
      <c r="A358" s="585" t="str">
        <f t="shared" si="22"/>
        <v/>
      </c>
      <c r="F358" s="612" t="str">
        <f t="shared" si="23"/>
        <v/>
      </c>
      <c r="H358" s="391"/>
      <c r="K358" s="1115"/>
      <c r="L358" s="1115"/>
      <c r="M358" s="1115"/>
      <c r="N358" s="1115"/>
    </row>
    <row r="359" spans="1:14">
      <c r="A359" s="585" t="str">
        <f t="shared" si="22"/>
        <v/>
      </c>
      <c r="F359" s="612" t="str">
        <f t="shared" si="23"/>
        <v/>
      </c>
      <c r="H359" s="391"/>
      <c r="K359" s="1115"/>
      <c r="L359" s="1115"/>
      <c r="M359" s="1115"/>
      <c r="N359" s="1115"/>
    </row>
    <row r="360" spans="1:14">
      <c r="A360" s="585" t="str">
        <f t="shared" si="22"/>
        <v/>
      </c>
      <c r="F360" s="612" t="str">
        <f t="shared" si="23"/>
        <v/>
      </c>
      <c r="H360" s="391"/>
      <c r="K360" s="1115"/>
      <c r="L360" s="1115"/>
      <c r="M360" s="1115"/>
      <c r="N360" s="1115"/>
    </row>
    <row r="361" spans="1:14">
      <c r="A361" s="585" t="str">
        <f t="shared" si="22"/>
        <v/>
      </c>
      <c r="F361" s="612" t="str">
        <f t="shared" si="23"/>
        <v/>
      </c>
      <c r="H361" s="391"/>
      <c r="K361" s="1115"/>
      <c r="L361" s="1115"/>
      <c r="M361" s="1115"/>
      <c r="N361" s="1115"/>
    </row>
    <row r="362" spans="1:14">
      <c r="A362" s="585" t="str">
        <f t="shared" si="22"/>
        <v/>
      </c>
      <c r="F362" s="612" t="str">
        <f t="shared" si="23"/>
        <v/>
      </c>
    </row>
    <row r="363" spans="1:14">
      <c r="A363" s="585" t="str">
        <f t="shared" si="22"/>
        <v/>
      </c>
      <c r="F363" s="612" t="str">
        <f t="shared" si="23"/>
        <v/>
      </c>
    </row>
    <row r="364" spans="1:14">
      <c r="A364" s="585" t="str">
        <f t="shared" si="22"/>
        <v/>
      </c>
      <c r="F364" s="612" t="s">
        <v>463</v>
      </c>
    </row>
    <row r="365" spans="1:14">
      <c r="A365" s="585" t="str">
        <f t="shared" si="22"/>
        <v/>
      </c>
      <c r="F365" s="612" t="s">
        <v>463</v>
      </c>
    </row>
    <row r="366" spans="1:14">
      <c r="A366" s="585" t="str">
        <f t="shared" si="22"/>
        <v/>
      </c>
      <c r="F366" s="612" t="s">
        <v>463</v>
      </c>
    </row>
    <row r="367" spans="1:14">
      <c r="A367" s="585" t="str">
        <f t="shared" ref="A367:A430" si="26">C367&amp;IF(D367=0,""," v. "&amp;TEXT(D367,"TT.MM.JJJ"))</f>
        <v/>
      </c>
      <c r="F367" s="612" t="s">
        <v>463</v>
      </c>
    </row>
    <row r="368" spans="1:14">
      <c r="A368" s="585" t="str">
        <f t="shared" si="26"/>
        <v/>
      </c>
      <c r="F368" s="612" t="s">
        <v>463</v>
      </c>
    </row>
    <row r="369" spans="1:6">
      <c r="A369" s="585" t="str">
        <f t="shared" si="26"/>
        <v/>
      </c>
      <c r="F369" s="612" t="s">
        <v>463</v>
      </c>
    </row>
    <row r="370" spans="1:6">
      <c r="A370" s="585" t="str">
        <f t="shared" si="26"/>
        <v/>
      </c>
      <c r="F370" s="612" t="s">
        <v>463</v>
      </c>
    </row>
    <row r="371" spans="1:6">
      <c r="A371" s="585" t="str">
        <f t="shared" si="26"/>
        <v/>
      </c>
      <c r="F371" s="612" t="s">
        <v>463</v>
      </c>
    </row>
    <row r="372" spans="1:6">
      <c r="A372" s="585" t="str">
        <f t="shared" si="26"/>
        <v/>
      </c>
      <c r="F372" s="612" t="s">
        <v>463</v>
      </c>
    </row>
    <row r="373" spans="1:6">
      <c r="A373" s="585" t="str">
        <f t="shared" si="26"/>
        <v/>
      </c>
      <c r="F373" s="612" t="s">
        <v>463</v>
      </c>
    </row>
    <row r="374" spans="1:6">
      <c r="A374" s="585" t="str">
        <f t="shared" si="26"/>
        <v/>
      </c>
      <c r="F374" s="612" t="s">
        <v>463</v>
      </c>
    </row>
    <row r="375" spans="1:6">
      <c r="A375" s="585" t="str">
        <f t="shared" si="26"/>
        <v/>
      </c>
      <c r="F375" s="612" t="s">
        <v>463</v>
      </c>
    </row>
    <row r="376" spans="1:6">
      <c r="A376" s="585" t="str">
        <f t="shared" si="26"/>
        <v/>
      </c>
      <c r="F376" s="612" t="s">
        <v>463</v>
      </c>
    </row>
    <row r="377" spans="1:6">
      <c r="A377" s="585" t="str">
        <f t="shared" si="26"/>
        <v/>
      </c>
      <c r="F377" s="612" t="s">
        <v>463</v>
      </c>
    </row>
    <row r="378" spans="1:6">
      <c r="A378" s="585" t="str">
        <f t="shared" si="26"/>
        <v/>
      </c>
      <c r="F378" s="612" t="s">
        <v>463</v>
      </c>
    </row>
    <row r="379" spans="1:6">
      <c r="A379" s="585" t="str">
        <f t="shared" si="26"/>
        <v/>
      </c>
      <c r="F379" s="612" t="s">
        <v>463</v>
      </c>
    </row>
    <row r="380" spans="1:6">
      <c r="A380" s="585" t="str">
        <f t="shared" si="26"/>
        <v/>
      </c>
      <c r="F380" s="612" t="s">
        <v>463</v>
      </c>
    </row>
    <row r="381" spans="1:6">
      <c r="A381" s="585" t="str">
        <f t="shared" si="26"/>
        <v/>
      </c>
      <c r="F381" s="612" t="s">
        <v>463</v>
      </c>
    </row>
    <row r="382" spans="1:6">
      <c r="A382" s="585" t="str">
        <f t="shared" si="26"/>
        <v/>
      </c>
      <c r="F382" s="612" t="s">
        <v>463</v>
      </c>
    </row>
    <row r="383" spans="1:6">
      <c r="A383" s="585" t="str">
        <f t="shared" si="26"/>
        <v/>
      </c>
      <c r="F383" s="612" t="s">
        <v>463</v>
      </c>
    </row>
    <row r="384" spans="1:6">
      <c r="A384" s="585" t="str">
        <f t="shared" si="26"/>
        <v/>
      </c>
      <c r="F384" s="612" t="s">
        <v>463</v>
      </c>
    </row>
    <row r="385" spans="1:6">
      <c r="A385" s="585" t="str">
        <f t="shared" si="26"/>
        <v/>
      </c>
      <c r="F385" s="612" t="s">
        <v>463</v>
      </c>
    </row>
    <row r="386" spans="1:6">
      <c r="A386" s="585" t="str">
        <f t="shared" si="26"/>
        <v/>
      </c>
      <c r="F386" s="612" t="s">
        <v>463</v>
      </c>
    </row>
    <row r="387" spans="1:6">
      <c r="A387" s="585" t="str">
        <f t="shared" si="26"/>
        <v/>
      </c>
      <c r="F387" s="612" t="s">
        <v>463</v>
      </c>
    </row>
    <row r="388" spans="1:6">
      <c r="A388" s="585" t="str">
        <f t="shared" si="26"/>
        <v/>
      </c>
      <c r="F388" s="612" t="s">
        <v>463</v>
      </c>
    </row>
    <row r="389" spans="1:6">
      <c r="A389" s="585" t="str">
        <f t="shared" si="26"/>
        <v/>
      </c>
      <c r="F389" s="612" t="s">
        <v>463</v>
      </c>
    </row>
    <row r="390" spans="1:6">
      <c r="A390" s="585" t="str">
        <f t="shared" si="26"/>
        <v/>
      </c>
      <c r="F390" s="612" t="s">
        <v>463</v>
      </c>
    </row>
    <row r="391" spans="1:6">
      <c r="A391" s="585" t="str">
        <f t="shared" si="26"/>
        <v/>
      </c>
      <c r="F391" s="612" t="s">
        <v>463</v>
      </c>
    </row>
    <row r="392" spans="1:6">
      <c r="A392" s="585" t="str">
        <f t="shared" si="26"/>
        <v/>
      </c>
      <c r="F392" s="612" t="s">
        <v>463</v>
      </c>
    </row>
    <row r="393" spans="1:6">
      <c r="A393" s="585" t="str">
        <f t="shared" si="26"/>
        <v/>
      </c>
      <c r="F393" s="612" t="s">
        <v>463</v>
      </c>
    </row>
    <row r="394" spans="1:6">
      <c r="A394" s="585" t="str">
        <f t="shared" si="26"/>
        <v/>
      </c>
      <c r="F394" s="612" t="s">
        <v>463</v>
      </c>
    </row>
    <row r="395" spans="1:6">
      <c r="A395" s="585" t="str">
        <f t="shared" si="26"/>
        <v/>
      </c>
      <c r="F395" s="612" t="s">
        <v>463</v>
      </c>
    </row>
    <row r="396" spans="1:6">
      <c r="A396" s="585" t="str">
        <f t="shared" si="26"/>
        <v/>
      </c>
      <c r="F396" s="612" t="s">
        <v>463</v>
      </c>
    </row>
    <row r="397" spans="1:6">
      <c r="A397" s="585" t="str">
        <f t="shared" si="26"/>
        <v/>
      </c>
      <c r="F397" s="612" t="s">
        <v>463</v>
      </c>
    </row>
    <row r="398" spans="1:6">
      <c r="A398" s="585" t="str">
        <f t="shared" si="26"/>
        <v/>
      </c>
      <c r="F398" s="612" t="s">
        <v>463</v>
      </c>
    </row>
    <row r="399" spans="1:6">
      <c r="A399" s="585" t="str">
        <f t="shared" si="26"/>
        <v/>
      </c>
      <c r="F399" s="612" t="s">
        <v>463</v>
      </c>
    </row>
    <row r="400" spans="1:6">
      <c r="A400" s="585" t="str">
        <f t="shared" si="26"/>
        <v/>
      </c>
      <c r="F400" s="612" t="s">
        <v>463</v>
      </c>
    </row>
    <row r="401" spans="1:6">
      <c r="A401" s="585" t="str">
        <f t="shared" si="26"/>
        <v/>
      </c>
      <c r="F401" s="612" t="s">
        <v>463</v>
      </c>
    </row>
    <row r="402" spans="1:6">
      <c r="A402" s="585" t="str">
        <f t="shared" si="26"/>
        <v/>
      </c>
      <c r="F402" s="612" t="s">
        <v>463</v>
      </c>
    </row>
    <row r="403" spans="1:6">
      <c r="A403" s="585" t="str">
        <f t="shared" si="26"/>
        <v/>
      </c>
      <c r="F403" s="612" t="s">
        <v>463</v>
      </c>
    </row>
    <row r="404" spans="1:6">
      <c r="A404" s="585" t="str">
        <f t="shared" si="26"/>
        <v/>
      </c>
      <c r="F404" s="612" t="s">
        <v>463</v>
      </c>
    </row>
    <row r="405" spans="1:6">
      <c r="A405" s="585" t="str">
        <f t="shared" si="26"/>
        <v/>
      </c>
      <c r="F405" s="612" t="s">
        <v>463</v>
      </c>
    </row>
    <row r="406" spans="1:6">
      <c r="A406" s="585" t="str">
        <f t="shared" si="26"/>
        <v/>
      </c>
      <c r="F406" s="612" t="s">
        <v>463</v>
      </c>
    </row>
    <row r="407" spans="1:6">
      <c r="A407" s="585" t="str">
        <f t="shared" si="26"/>
        <v/>
      </c>
      <c r="F407" s="612" t="s">
        <v>463</v>
      </c>
    </row>
    <row r="408" spans="1:6">
      <c r="A408" s="585" t="str">
        <f t="shared" si="26"/>
        <v/>
      </c>
      <c r="F408" s="612" t="s">
        <v>463</v>
      </c>
    </row>
    <row r="409" spans="1:6">
      <c r="A409" s="585" t="str">
        <f t="shared" si="26"/>
        <v/>
      </c>
      <c r="F409" s="612" t="s">
        <v>463</v>
      </c>
    </row>
    <row r="410" spans="1:6">
      <c r="A410" s="585" t="str">
        <f t="shared" si="26"/>
        <v/>
      </c>
      <c r="F410" s="612" t="s">
        <v>463</v>
      </c>
    </row>
    <row r="411" spans="1:6">
      <c r="A411" s="585" t="str">
        <f t="shared" si="26"/>
        <v/>
      </c>
      <c r="F411" s="612" t="s">
        <v>463</v>
      </c>
    </row>
    <row r="412" spans="1:6">
      <c r="A412" s="585" t="str">
        <f t="shared" si="26"/>
        <v/>
      </c>
      <c r="F412" s="612" t="s">
        <v>463</v>
      </c>
    </row>
    <row r="413" spans="1:6">
      <c r="A413" s="585" t="str">
        <f t="shared" si="26"/>
        <v/>
      </c>
      <c r="F413" s="612" t="s">
        <v>463</v>
      </c>
    </row>
    <row r="414" spans="1:6">
      <c r="A414" s="585" t="str">
        <f t="shared" si="26"/>
        <v/>
      </c>
      <c r="F414" s="612" t="s">
        <v>463</v>
      </c>
    </row>
    <row r="415" spans="1:6">
      <c r="A415" s="585" t="str">
        <f t="shared" si="26"/>
        <v/>
      </c>
      <c r="F415" s="612" t="s">
        <v>463</v>
      </c>
    </row>
    <row r="416" spans="1:6">
      <c r="A416" s="585" t="str">
        <f t="shared" si="26"/>
        <v/>
      </c>
      <c r="F416" s="612" t="s">
        <v>463</v>
      </c>
    </row>
    <row r="417" spans="1:6">
      <c r="A417" s="585" t="str">
        <f t="shared" si="26"/>
        <v/>
      </c>
      <c r="F417" s="612" t="s">
        <v>463</v>
      </c>
    </row>
    <row r="418" spans="1:6">
      <c r="A418" s="585" t="str">
        <f t="shared" si="26"/>
        <v/>
      </c>
      <c r="F418" s="612" t="s">
        <v>463</v>
      </c>
    </row>
    <row r="419" spans="1:6">
      <c r="A419" s="585" t="str">
        <f t="shared" si="26"/>
        <v/>
      </c>
      <c r="F419" s="612" t="s">
        <v>463</v>
      </c>
    </row>
    <row r="420" spans="1:6">
      <c r="A420" s="585" t="str">
        <f t="shared" si="26"/>
        <v/>
      </c>
      <c r="F420" s="612" t="s">
        <v>463</v>
      </c>
    </row>
    <row r="421" spans="1:6">
      <c r="A421" s="585" t="str">
        <f t="shared" si="26"/>
        <v/>
      </c>
      <c r="F421" s="612" t="s">
        <v>463</v>
      </c>
    </row>
    <row r="422" spans="1:6">
      <c r="A422" s="585" t="str">
        <f t="shared" si="26"/>
        <v/>
      </c>
      <c r="F422" s="612" t="s">
        <v>463</v>
      </c>
    </row>
    <row r="423" spans="1:6">
      <c r="A423" s="585" t="str">
        <f t="shared" si="26"/>
        <v/>
      </c>
      <c r="F423" s="612" t="s">
        <v>463</v>
      </c>
    </row>
    <row r="424" spans="1:6">
      <c r="A424" s="585" t="str">
        <f t="shared" si="26"/>
        <v/>
      </c>
      <c r="F424" s="612" t="s">
        <v>463</v>
      </c>
    </row>
    <row r="425" spans="1:6">
      <c r="A425" s="585" t="str">
        <f t="shared" si="26"/>
        <v/>
      </c>
      <c r="F425" s="612" t="s">
        <v>463</v>
      </c>
    </row>
    <row r="426" spans="1:6">
      <c r="A426" s="585" t="str">
        <f t="shared" si="26"/>
        <v/>
      </c>
      <c r="F426" s="612" t="s">
        <v>463</v>
      </c>
    </row>
    <row r="427" spans="1:6">
      <c r="A427" s="585" t="str">
        <f t="shared" si="26"/>
        <v/>
      </c>
      <c r="F427" s="612" t="s">
        <v>463</v>
      </c>
    </row>
    <row r="428" spans="1:6">
      <c r="A428" s="585" t="str">
        <f t="shared" si="26"/>
        <v/>
      </c>
      <c r="F428" s="612" t="s">
        <v>463</v>
      </c>
    </row>
    <row r="429" spans="1:6">
      <c r="A429" s="585" t="str">
        <f t="shared" si="26"/>
        <v/>
      </c>
      <c r="F429" s="612" t="s">
        <v>463</v>
      </c>
    </row>
    <row r="430" spans="1:6">
      <c r="A430" s="585" t="str">
        <f t="shared" si="26"/>
        <v/>
      </c>
      <c r="F430" s="612" t="s">
        <v>463</v>
      </c>
    </row>
    <row r="431" spans="1:6">
      <c r="A431" s="585" t="str">
        <f t="shared" ref="A431:A475" si="27">C431&amp;IF(D431=0,""," v. "&amp;TEXT(D431,"TT.MM.JJJ"))</f>
        <v/>
      </c>
      <c r="F431" s="612" t="s">
        <v>463</v>
      </c>
    </row>
    <row r="432" spans="1:6">
      <c r="A432" s="585" t="str">
        <f t="shared" si="27"/>
        <v/>
      </c>
      <c r="F432" s="612" t="s">
        <v>463</v>
      </c>
    </row>
    <row r="433" spans="1:6">
      <c r="A433" s="585" t="str">
        <f t="shared" si="27"/>
        <v/>
      </c>
      <c r="F433" s="612" t="s">
        <v>463</v>
      </c>
    </row>
    <row r="434" spans="1:6">
      <c r="A434" s="585" t="str">
        <f t="shared" si="27"/>
        <v/>
      </c>
      <c r="F434" s="612" t="s">
        <v>463</v>
      </c>
    </row>
    <row r="435" spans="1:6">
      <c r="A435" s="585" t="str">
        <f t="shared" si="27"/>
        <v/>
      </c>
      <c r="F435" s="612" t="s">
        <v>463</v>
      </c>
    </row>
    <row r="436" spans="1:6">
      <c r="A436" s="585" t="str">
        <f t="shared" si="27"/>
        <v/>
      </c>
      <c r="F436" s="612" t="s">
        <v>463</v>
      </c>
    </row>
    <row r="437" spans="1:6">
      <c r="A437" s="585" t="str">
        <f t="shared" si="27"/>
        <v/>
      </c>
      <c r="F437" s="612" t="s">
        <v>463</v>
      </c>
    </row>
    <row r="438" spans="1:6">
      <c r="A438" s="585" t="str">
        <f t="shared" si="27"/>
        <v/>
      </c>
      <c r="F438" s="612" t="s">
        <v>463</v>
      </c>
    </row>
    <row r="439" spans="1:6">
      <c r="A439" s="585" t="str">
        <f t="shared" si="27"/>
        <v/>
      </c>
      <c r="F439" s="612" t="s">
        <v>463</v>
      </c>
    </row>
    <row r="440" spans="1:6">
      <c r="A440" s="585" t="str">
        <f t="shared" si="27"/>
        <v/>
      </c>
      <c r="F440" s="612" t="s">
        <v>463</v>
      </c>
    </row>
    <row r="441" spans="1:6">
      <c r="A441" s="585" t="str">
        <f t="shared" si="27"/>
        <v/>
      </c>
    </row>
    <row r="442" spans="1:6">
      <c r="A442" s="585" t="str">
        <f t="shared" si="27"/>
        <v/>
      </c>
    </row>
    <row r="443" spans="1:6">
      <c r="A443" s="585" t="str">
        <f t="shared" si="27"/>
        <v/>
      </c>
    </row>
    <row r="444" spans="1:6">
      <c r="A444" s="585" t="str">
        <f t="shared" si="27"/>
        <v/>
      </c>
    </row>
    <row r="445" spans="1:6">
      <c r="A445" s="585" t="str">
        <f t="shared" si="27"/>
        <v/>
      </c>
    </row>
    <row r="446" spans="1:6">
      <c r="A446" s="585" t="str">
        <f t="shared" si="27"/>
        <v/>
      </c>
    </row>
    <row r="447" spans="1:6">
      <c r="A447" s="585" t="str">
        <f t="shared" si="27"/>
        <v/>
      </c>
    </row>
    <row r="448" spans="1:6">
      <c r="A448" s="585" t="str">
        <f t="shared" si="27"/>
        <v/>
      </c>
    </row>
    <row r="449" spans="1:1">
      <c r="A449" s="585" t="str">
        <f t="shared" si="27"/>
        <v/>
      </c>
    </row>
    <row r="450" spans="1:1">
      <c r="A450" s="585" t="str">
        <f t="shared" si="27"/>
        <v/>
      </c>
    </row>
    <row r="451" spans="1:1">
      <c r="A451" s="585" t="str">
        <f t="shared" si="27"/>
        <v/>
      </c>
    </row>
    <row r="452" spans="1:1">
      <c r="A452" s="585" t="str">
        <f t="shared" si="27"/>
        <v/>
      </c>
    </row>
    <row r="453" spans="1:1">
      <c r="A453" s="585" t="str">
        <f t="shared" si="27"/>
        <v/>
      </c>
    </row>
    <row r="454" spans="1:1">
      <c r="A454" s="585" t="str">
        <f t="shared" si="27"/>
        <v/>
      </c>
    </row>
    <row r="455" spans="1:1">
      <c r="A455" s="585" t="str">
        <f t="shared" si="27"/>
        <v/>
      </c>
    </row>
    <row r="456" spans="1:1">
      <c r="A456" s="585" t="str">
        <f t="shared" si="27"/>
        <v/>
      </c>
    </row>
    <row r="457" spans="1:1">
      <c r="A457" s="585" t="str">
        <f t="shared" si="27"/>
        <v/>
      </c>
    </row>
    <row r="458" spans="1:1">
      <c r="A458" s="585" t="str">
        <f t="shared" si="27"/>
        <v/>
      </c>
    </row>
    <row r="459" spans="1:1">
      <c r="A459" s="585" t="str">
        <f t="shared" si="27"/>
        <v/>
      </c>
    </row>
    <row r="460" spans="1:1">
      <c r="A460" s="585" t="str">
        <f t="shared" si="27"/>
        <v/>
      </c>
    </row>
    <row r="461" spans="1:1">
      <c r="A461" s="585" t="str">
        <f t="shared" si="27"/>
        <v/>
      </c>
    </row>
    <row r="462" spans="1:1">
      <c r="A462" s="585" t="str">
        <f t="shared" si="27"/>
        <v/>
      </c>
    </row>
    <row r="463" spans="1:1">
      <c r="A463" s="585" t="str">
        <f t="shared" si="27"/>
        <v/>
      </c>
    </row>
    <row r="464" spans="1:1">
      <c r="A464" s="585" t="str">
        <f t="shared" si="27"/>
        <v/>
      </c>
    </row>
    <row r="465" spans="1:1">
      <c r="A465" s="585" t="str">
        <f t="shared" si="27"/>
        <v/>
      </c>
    </row>
    <row r="466" spans="1:1">
      <c r="A466" s="585" t="str">
        <f t="shared" si="27"/>
        <v/>
      </c>
    </row>
    <row r="467" spans="1:1">
      <c r="A467" s="585" t="str">
        <f t="shared" si="27"/>
        <v/>
      </c>
    </row>
    <row r="468" spans="1:1">
      <c r="A468" s="585" t="str">
        <f t="shared" si="27"/>
        <v/>
      </c>
    </row>
    <row r="469" spans="1:1">
      <c r="A469" s="585" t="str">
        <f t="shared" si="27"/>
        <v/>
      </c>
    </row>
    <row r="470" spans="1:1">
      <c r="A470" s="585" t="str">
        <f t="shared" si="27"/>
        <v/>
      </c>
    </row>
    <row r="471" spans="1:1">
      <c r="A471" s="585" t="str">
        <f t="shared" si="27"/>
        <v/>
      </c>
    </row>
    <row r="472" spans="1:1">
      <c r="A472" s="585" t="str">
        <f t="shared" si="27"/>
        <v/>
      </c>
    </row>
    <row r="473" spans="1:1">
      <c r="A473" s="585" t="str">
        <f t="shared" si="27"/>
        <v/>
      </c>
    </row>
    <row r="474" spans="1:1">
      <c r="A474" s="585" t="str">
        <f t="shared" si="27"/>
        <v/>
      </c>
    </row>
    <row r="475" spans="1:1">
      <c r="A475" s="585" t="str">
        <f t="shared" si="27"/>
        <v/>
      </c>
    </row>
  </sheetData>
  <sheetProtection algorithmName="SHA-512" hashValue="1u7K5oVtjwNRu4X+eNxot5o/ewNd82k5Dow6PmiuGsYTa7I15d++OcLBznG5IURlEFZqu2aF/jT4Owcl+SZqIA==" saltValue="i10lFS7xaJe5ncW0A4BgcA==" spinCount="100000" sheet="1" objects="1" scenarios="1" formatColumns="0" autoFilter="0"/>
  <sortState xmlns:xlrd2="http://schemas.microsoft.com/office/spreadsheetml/2017/richdata2" ref="A6:P328">
    <sortCondition ref="A6:A328"/>
  </sortState>
  <mergeCells count="4">
    <mergeCell ref="C2:G2"/>
    <mergeCell ref="C1:G1"/>
    <mergeCell ref="S6:AJ6"/>
    <mergeCell ref="F4:F5"/>
  </mergeCells>
  <hyperlinks>
    <hyperlink ref="O150" r:id="rId1" display="https://hpv-versorgungsausgleich.de/fileadmin/nd_hpv-versorgungsausgleich/download/gd/avb_f.pdf" xr:uid="{0CAF4EB1-D042-471C-A976-88E69BD14EC9}"/>
    <hyperlink ref="O294" r:id="rId2" display="https://www.union-investment.de/Magnolia/Shared/Broschueren/a2f040e1f7e49c74c587b3f78cdd0856.0.0/Teilungsordnung_Januar_2021.pdf" xr:uid="{768F8DDB-3B7E-4F9A-86F5-FC17B3640A58}"/>
    <hyperlink ref="O256" r:id="rId3" display="https://www.ruv.de/dam/privatkunden/downloads/teilungsordnungen/RVL_AG_TO_20200301.pdf" xr:uid="{134ABBDA-4438-4A41-AC72-EB5DA8D77952}"/>
    <hyperlink ref="O279" r:id="rId4" display="https://www.sparkassenversicherung.de/export/sites/svag/_resources/download_galerien/service/daten/72-337-0617.pdf" xr:uid="{E47C21EE-7C97-4BD3-8754-F59D5F1231EB}"/>
    <hyperlink ref="O198" r:id="rId5" display="https://www.lvm.de/cms/061637b8-3f2b-4571-93b4-3d4d4480acb4/081-teilungsordnung-lebensversicherung-rentenversicherung-l272.pdf" xr:uid="{3514757A-7A5B-4C05-892A-FBD2817D092E}"/>
    <hyperlink ref="O251" r:id="rId6" display="https://www.provinzial.de/export/sites/pvn/_resources/download/privat_vorsorge/teilungsordnung/Teilungsordnung_Nord.pdf" xr:uid="{1EAC1DA7-5FDA-4638-BF82-6901F4892B06}"/>
    <hyperlink ref="O233" r:id="rId7" display="https://www.pb-versicherung.de/documents/Teilungsordnung PB Lebensversicherung Ja-1.pdf" xr:uid="{EA73524D-1568-44C7-99D5-7D38E1C1FADA}"/>
    <hyperlink ref="O286" r:id="rId8" display="https://silo.tips/download/stand-swiss-life-ag-niederlassung-fr-deutschland-im-folgenden-swiss-life-ag-teil" xr:uid="{FD6D0C59-E7DE-4765-A29D-657EE2FA2DF0}"/>
    <hyperlink ref="O13" r:id="rId9" display="https://www.allianz.de/content/dam/onemarketing/azde/azd/teilungsordnung/krklas122012.pdf" xr:uid="{39A4B1FE-9DE7-4EB8-9A36-1C9340047F9E}"/>
    <hyperlink ref="O218" r:id="rId10" display="https://www.neueleben.de/static/files/Service/Teilungsordnung_nl_20180801.pdf" xr:uid="{69E48D76-8457-4177-BB21-F02FC236F9A3}"/>
    <hyperlink ref="O300" r:id="rId11" display="C:\Users\Hau%C3%9F\Downloads\Satzung 2017.pdf" xr:uid="{80CB60E6-3CEA-4E3E-83A5-0987A2E2FEA6}"/>
    <hyperlink ref="O240" r:id="rId12" display="C:\Users\Hau%C3%9F\Downloads\Satzung 2017.pdf" xr:uid="{376E70F1-FEC5-41AE-983F-6EB86AC146AD}"/>
    <hyperlink ref="O214" r:id="rId13" xr:uid="{0601567F-81B5-4D85-B157-A3B916501EE4}"/>
    <hyperlink ref="O213" r:id="rId14" xr:uid="{3F5C39E3-49F5-4115-B100-26760A7B266A}"/>
    <hyperlink ref="O37" r:id="rId15" display="Teilungsordnung" xr:uid="{367E893B-863A-4F9B-B2FC-5A5C53812E64}"/>
    <hyperlink ref="O306" r:id="rId16" display="https://druckstuecke.volkswohl-bund.de/api/products/411/documents/Teilungsordnung_Direktversicherung_und_private_Altersversorgung_.pdf" xr:uid="{62ECAE6D-9107-4A43-B7FF-5E4FCEE0B154}"/>
    <hyperlink ref="O238" r:id="rId17" xr:uid="{ACFCF1CC-9BCE-4620-8BB4-34A0D1FD3A98}"/>
    <hyperlink ref="O285" r:id="rId18" display="https://docplayer.org/7085059-Stand-november-2013-swiss-life-ag-teilungsordnung-zum-versorgungsausgleich-inhaltsverzeichnis-praeambel-1-anwendungsbereich.html" xr:uid="{6E20BDE1-291B-4820-AF21-5A62B107C5C3}"/>
    <hyperlink ref="O271" r:id="rId19" display="https://docplayer.org/15092608-Besondere-versicherungsbedingungen-teilungsordnung.html" xr:uid="{035C2F26-832E-494E-9A5C-4198002305BE}"/>
    <hyperlink ref="O327" r:id="rId20" display="https://docplayer.org/23644504-Teilungsordnung-versorgungstraeger-zurich-deutscher-herold-ueberbetriebliche-unterstuetzungskasse-e-v-zdhuk-1-anwendungsbereich.html" xr:uid="{EFD8926F-0372-4000-A552-57667003CCC6}"/>
    <hyperlink ref="O79" r:id="rId21" display="https://docplayer.org/898437-Taetigkeitsplan-fuer-die-teilung-von-lebensversicherungen-auf-grundlage-des-gesetzes-zur-strukturreform-des-versorgungsausgleichs-teilungsordnung.html" xr:uid="{2EEA17E1-C2BE-4385-BF33-AE0821DD4658}"/>
    <hyperlink ref="O80" r:id="rId22" display="https://docplayer.org/898437-Taetigkeitsplan-fuer-die-teilung-von-lebensversicherungen-auf-grundlage-des-gesetzes-zur-strukturreform-des-versorgungsausgleichs-teilungsordnung.html" xr:uid="{E6B669DE-6E52-4B7B-B67E-A225F37555E9}"/>
    <hyperlink ref="O148" r:id="rId23" display="https://docplayer.org/898437-Taetigkeitsplan-fuer-die-teilung-von-lebensversicherungen-auf-grundlage-des-gesetzes-zur-strukturreform-des-versorgungsausgleichs-teilungsordnung.html" xr:uid="{B9F0ADDC-0BE0-4E51-97CE-2872D463ACE4}"/>
    <hyperlink ref="O206" r:id="rId24" xr:uid="{00F0F99B-12B5-4477-8C52-CAB96BCF9334}"/>
    <hyperlink ref="O59" r:id="rId25" display="https://docplayer.org/30893347-Teilungsordnung-inhaltsverzeichnis-vorwort-1-anwendungsbereich-2-form-des-versorgungsausgleichs-3-bestimmung-des-ausgleichswertes.html" xr:uid="{4E7FD4C2-722B-4B6E-84B8-EEBFE3E867AC}"/>
    <hyperlink ref="O293" r:id="rId26" display="https://docplayer.org/23644555-Teilungsordnung-der-unilever-deutschland-gruppe-stand.html" xr:uid="{6B93B06B-3AE0-4663-9923-788558901C03}"/>
    <hyperlink ref="O326" r:id="rId27" display="https://docplayer.org/6126612-Ordnung-fuer-die-interne-und-externe-teilung-von-lebensversicherungsvertraegen-aufgrund-des-gesetzes-ueber-den-versorgungsausgleich.html" xr:uid="{448A95FC-2775-461B-9208-256C76302D21}"/>
    <hyperlink ref="O162" r:id="rId28" display="https://docplayer.org/8153720-Hdi-pensionskasse-ag-pbpk-bestandssegment.html" xr:uid="{C44A750E-62DF-497A-A5FE-A496E8CA222F}"/>
    <hyperlink ref="O299" r:id="rId29" display="https://docplayer.org/6838556-Richtlinie-zum-versorgungsausgleich-gemaess-58a-abs-1-vaps-richtl-versausgl-der-versorgungsanstalt-der-deutschen-bundespost.html" xr:uid="{35B15B41-69AC-4912-AA39-C8104DB25B78}"/>
    <hyperlink ref="O243" r:id="rId30" display="https://docplayer.org/42705354-Allianz-lebensversicherungs-ag-vertragsgesellschaft-der-presse-versorgung.html" xr:uid="{689563E7-CE72-4E09-A66D-0B602175D71B}"/>
    <hyperlink ref="O134" r:id="rId31" xr:uid="{D39ADF8A-1AE9-4FB2-9981-FAA0B63F454B}"/>
    <hyperlink ref="O236" r:id="rId32" display="https://www.neueleben.de/static/files/Service/Teilungsordnung_nl_20180801.pdf" xr:uid="{7B8D193B-02D0-4069-B641-C4EF9821E53F}"/>
    <hyperlink ref="O241" r:id="rId33" display="https://www.psvag.de/fileadmin/doc/220/rechtliche_grundlagen/teilungsordnung.pdf" xr:uid="{368EA091-768B-4449-B08C-C4B1FB38573F}"/>
    <hyperlink ref="O248" r:id="rId34" display="https://www.vgh.de/export/sites/vgh/_resources/downloads/pdf/privat_versicherungen/vorsorgeundvermoegen/Teilungsordnung_PH_01.05.2016.pdf" xr:uid="{265E1CA3-90B5-4852-90BB-643E679415C5}"/>
    <hyperlink ref="O100" r:id="rId35" display="https://www.dws.de/de-DE/AssetDownload/Index/?filename=Teilungsordnung%20DWS%20Investment%20GmbH%202022%2006.pdf&amp;assetGuid=52ca4b21-2d03-4c79-9442-da45c9531d53&amp;source=DWS" xr:uid="{0E937C4B-4B27-421A-80C9-DE4AB5D5633C}"/>
    <hyperlink ref="J249" r:id="rId36" xr:uid="{F62ECF11-C075-488D-8D7C-75AC76199A5A}"/>
    <hyperlink ref="J14" r:id="rId37" xr:uid="{CA557E38-B026-448D-8397-286C7B63B107}"/>
    <hyperlink ref="O270" r:id="rId38" display="https://druckstuecke.volkswohl-bund.de/api/products/412/documents/Teilungsordnung_Unterst%C3%BCtzungskassen_BOLZ_.pdf" xr:uid="{3125B8F4-9A52-4748-BB64-6D4B6F46EA8F}"/>
    <hyperlink ref="O8" r:id="rId39" display="http://www.hpv-versorgungsausgleich.de/index.php?id=4779" xr:uid="{4DB1EAD1-8C91-4D78-83B9-6CD6AE618511}"/>
    <hyperlink ref="O10" r:id="rId40" display="http://www.hpv-versorgungsausgleich.de/index.php?id=4779" xr:uid="{993A39F1-E214-4685-B253-8642D15D44BB}"/>
    <hyperlink ref="O12" r:id="rId41" display="http://www.hpv-versorgungsausgleich.de/index.php?id=4779" xr:uid="{528D569B-22DC-491E-B219-EF638CB8E185}"/>
    <hyperlink ref="O40" r:id="rId42" display="http://www.hpv-versorgungsausgleich.de/index.php?id=4779" xr:uid="{01D4B421-D2CD-4FA4-9A91-AECBDE089002}"/>
    <hyperlink ref="O18:O28" r:id="rId43" display="http://www.hpv-versorgungsausgleich.de/index.php?id=4779" xr:uid="{A734958E-560B-4206-B507-8D892DC50DC5}"/>
    <hyperlink ref="O5:O33" r:id="rId44" display="http://www.hpv-versorgungsausgleich.de/index.php?id=4779" xr:uid="{BC0B1D4B-6BD8-43D5-ABD4-CDD1F3D61DEC}"/>
    <hyperlink ref="O38:O40" r:id="rId45" display="http://www.hpv-versorgungsausgleich.de/index.php?id=4779" xr:uid="{ADDC0EC5-B50D-4F01-96F4-AD76C84F9F24}"/>
    <hyperlink ref="O43:O55" r:id="rId46" display="http://www.hpv-versorgungsausgleich.de/index.php?id=4779" xr:uid="{36E8DF4A-9A24-473B-A86F-64F9E0E301E4}"/>
    <hyperlink ref="O111" r:id="rId47" display="http://www.hpv-versorgungsausgleich.de/index.php?id=4779" xr:uid="{FA9F7EC7-CAD2-4E4C-B558-2328ACE66EAD}"/>
    <hyperlink ref="O136" r:id="rId48" display="http://www.hpv-versorgungsausgleich.de/index.php?id=4779" xr:uid="{A83E358A-04F3-4646-8AAE-4C42F5C89DC0}"/>
    <hyperlink ref="O64:O69" r:id="rId49" display="http://www.hpv-versorgungsausgleich.de/index.php?id=4779" xr:uid="{AA3F4B1E-3357-4C43-8390-427AED3AF8C6}"/>
    <hyperlink ref="O72:O73" r:id="rId50" display="http://www.hpv-versorgungsausgleich.de/index.php?id=4779" xr:uid="{55E34C0B-E5FB-4F3C-A592-8020298D25E6}"/>
    <hyperlink ref="O79:O83" r:id="rId51" display="http://www.hpv-versorgungsausgleich.de/index.php?id=4779" xr:uid="{468655A1-8F25-4605-84D8-0BBE231D5294}"/>
    <hyperlink ref="O216" r:id="rId52" display="http://www.hpv-versorgungsausgleich.de/index.php?id=4779" xr:uid="{1818DEB4-B1D9-4A04-9A3D-ECB249CBD565}"/>
    <hyperlink ref="O222" r:id="rId53" display="http://www.hpv-versorgungsausgleich.de/index.php?id=4779" xr:uid="{69D80E22-42E2-4952-9718-3262881677B6}"/>
    <hyperlink ref="O102:O109" r:id="rId54" display="http://www.hpv-versorgungsausgleich.de/index.php?id=4779" xr:uid="{16C58223-98C9-4756-8483-CACC046F4278}"/>
    <hyperlink ref="O302" r:id="rId55" display="http://www.hpv-versorgungsausgleich.de/index.php?id=4779" xr:uid="{F2F9784D-7CB8-4A71-B10D-BDD1C2D2E695}"/>
    <hyperlink ref="O328" r:id="rId56" display="http://www.hpv-versorgungsausgleich.de/index.php?id=4779" xr:uid="{7B69C7D2-E74E-485B-914F-F8F7D1E9945E}"/>
    <hyperlink ref="O246" r:id="rId57" display="C:\Users\Hau%C3%9F\Downloads\leben-u-rente_alle-produkte_angaben-provinzial-teilungsordnung_pr-lebensversicherung.pdf" xr:uid="{52389196-DB28-4A5E-9822-D23B698D7C5A}"/>
    <hyperlink ref="O235" r:id="rId58" display="https://www.pb-versicherung.de/documents/Teilungsordnung PB Lebensversicherung Ok.pdf" xr:uid="{E3148DD9-903C-4172-B3A2-6BFB4CD93DF3}"/>
    <hyperlink ref="O163" r:id="rId59" display="http://www.hpv-versorgungsausgleich.de/index.php?id=4779" xr:uid="{71F46660-5647-44E2-8068-0760DA7F34C4}"/>
    <hyperlink ref="O160" r:id="rId60" display="C:\Users\Hau%C3%9F\Downloads\Teilungsordnung_HDI-Lebensversicherung_AG.pdf" xr:uid="{ECCED91D-8569-44AF-BB8F-6A5EF69A3B5F}"/>
    <hyperlink ref="O159" r:id="rId61" display="https://www.hdi.de/downloads/de/privatkunden/service/Telungsordnung_HLV_2020.pdf" xr:uid="{0627C112-FF6F-4C22-9E56-D1A04CBEC4CE}"/>
    <hyperlink ref="O245" r:id="rId62" display="https://flgruppe.de/wp-content/uploads/2021/03/Teilungsordnung_Pro_bAV_Pensionskasse_AG_27.08.2018_.pdf" xr:uid="{0FC7C55B-1194-4614-887C-3FE0B13387A4}"/>
    <hyperlink ref="O92" r:id="rId63" display="https://www.deutscher-pensionsfonds.com/-/media/project/zwp/deutscher-pensionsfonds/docs/dpag-teilungsordnung-pensionsfonds-3-63_2021_11.pdf" xr:uid="{7E9D4A05-3388-4343-8025-3392A2594EA0}"/>
    <hyperlink ref="O296" r:id="rId64" display="https://www.vdva-unterstuetzungskasse.de/rmedia/media/vdva_unterstuetzungskasse/dokumente_3/vdva-teilungsordnung_to-bolz.pdf" xr:uid="{418FD86F-D0E4-424F-9B8E-282038787FFE}"/>
    <hyperlink ref="O254" r:id="rId65" display="https://www.psvag.de/fileadmin/doc/220/rechtliche_grundlagen/teilungsordnung.pdf" xr:uid="{BE070D42-7984-4141-BE6D-869280C3C719}"/>
    <hyperlink ref="O75" r:id="rId66" display="https://www.yumpu.com/de/document/read/2556832/seite-1-von-4-teilungsordnung-der-dekabank-fur-" xr:uid="{FE1C3497-24D2-49B5-8365-EA6DABDFF63F}"/>
    <hyperlink ref="O77" r:id="rId67" display="https://www.yumpu.com/de/document/read/2556832/seite-1-von-4-teilungsordnung-der-dekabank-fur-" xr:uid="{337FD72D-D877-4ECA-91E4-D33D95D990F6}"/>
  </hyperlinks>
  <printOptions horizontalCentered="1"/>
  <pageMargins left="0.11811023622047245" right="0.11811023622047245" top="0.39370078740157483" bottom="0.39370078740157483" header="0.31496062992125984" footer="0.31496062992125984"/>
  <pageSetup paperSize="9" scale="76" fitToHeight="13" orientation="portrait"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0"/>
  <dimension ref="A1:DU102"/>
  <sheetViews>
    <sheetView workbookViewId="0">
      <pane xSplit="22" ySplit="1" topLeftCell="W41" activePane="bottomRight" state="frozen"/>
      <selection pane="topRight" activeCell="W1" sqref="W1"/>
      <selection pane="bottomLeft" activeCell="A2" sqref="A2"/>
      <selection pane="bottomRight" sqref="A1:XFD1048576"/>
    </sheetView>
  </sheetViews>
  <sheetFormatPr baseColWidth="10" defaultColWidth="11.125" defaultRowHeight="14.25"/>
  <cols>
    <col min="1" max="1" width="2.625" style="2349" customWidth="1"/>
    <col min="2" max="22" width="6.125" hidden="1" customWidth="1"/>
    <col min="23" max="24" width="6.125" style="2339" customWidth="1"/>
    <col min="25" max="119" width="6.125" customWidth="1"/>
    <col min="120" max="125" width="6.625" customWidth="1"/>
  </cols>
  <sheetData>
    <row r="1" spans="1:125" s="2346" customFormat="1" ht="30" customHeight="1">
      <c r="A1" s="2350"/>
      <c r="B1" s="2346">
        <v>1900</v>
      </c>
      <c r="C1" s="2346">
        <v>1901</v>
      </c>
      <c r="D1" s="2346">
        <v>1902</v>
      </c>
      <c r="E1" s="2346">
        <v>1903</v>
      </c>
      <c r="F1" s="2346">
        <v>1904</v>
      </c>
      <c r="G1" s="2346">
        <v>1905</v>
      </c>
      <c r="H1" s="2346">
        <v>1906</v>
      </c>
      <c r="I1" s="2346">
        <v>1907</v>
      </c>
      <c r="J1" s="2346">
        <v>1908</v>
      </c>
      <c r="K1" s="2346">
        <v>1909</v>
      </c>
      <c r="L1" s="2346">
        <v>1910</v>
      </c>
      <c r="M1" s="2346">
        <v>1911</v>
      </c>
      <c r="N1" s="2346">
        <v>1912</v>
      </c>
      <c r="O1" s="2346">
        <v>1913</v>
      </c>
      <c r="P1" s="2346">
        <v>1914</v>
      </c>
      <c r="Q1" s="2346">
        <v>1915</v>
      </c>
      <c r="R1" s="2346">
        <v>1916</v>
      </c>
      <c r="S1" s="2346">
        <v>1917</v>
      </c>
      <c r="T1" s="2346">
        <v>1918</v>
      </c>
      <c r="U1" s="2346">
        <v>1919</v>
      </c>
      <c r="V1" s="2346">
        <v>1920</v>
      </c>
      <c r="W1" s="2347">
        <v>1921</v>
      </c>
      <c r="X1" s="2347">
        <v>1922</v>
      </c>
      <c r="Y1" s="2346">
        <v>1923</v>
      </c>
      <c r="Z1" s="2346">
        <v>1924</v>
      </c>
      <c r="AA1" s="2346">
        <v>1925</v>
      </c>
      <c r="AB1" s="2346">
        <v>1926</v>
      </c>
      <c r="AC1" s="2346">
        <v>1927</v>
      </c>
      <c r="AD1" s="2346">
        <v>1928</v>
      </c>
      <c r="AE1" s="2346">
        <v>1929</v>
      </c>
      <c r="AF1" s="2346">
        <v>1930</v>
      </c>
      <c r="AG1" s="2346">
        <v>1931</v>
      </c>
      <c r="AH1" s="2346">
        <v>1932</v>
      </c>
      <c r="AI1" s="2346">
        <v>1933</v>
      </c>
      <c r="AJ1" s="2346">
        <v>1934</v>
      </c>
      <c r="AK1" s="2346">
        <v>1935</v>
      </c>
      <c r="AL1" s="2346">
        <v>1936</v>
      </c>
      <c r="AM1" s="2346">
        <v>1937</v>
      </c>
      <c r="AN1" s="2346">
        <v>1938</v>
      </c>
      <c r="AO1" s="2346">
        <v>1939</v>
      </c>
      <c r="AP1" s="2346">
        <v>1940</v>
      </c>
      <c r="AQ1" s="2346">
        <v>1941</v>
      </c>
      <c r="AR1" s="2346">
        <v>1942</v>
      </c>
      <c r="AS1" s="2346">
        <v>1943</v>
      </c>
      <c r="AT1" s="2346">
        <v>1944</v>
      </c>
      <c r="AU1" s="2346">
        <v>1945</v>
      </c>
      <c r="AV1" s="2346">
        <v>1946</v>
      </c>
      <c r="AW1" s="2346">
        <v>1947</v>
      </c>
      <c r="AX1" s="2346">
        <v>1948</v>
      </c>
      <c r="AY1" s="2346">
        <v>1949</v>
      </c>
      <c r="AZ1" s="2346">
        <v>1950</v>
      </c>
      <c r="BA1" s="2346">
        <v>1951</v>
      </c>
      <c r="BB1" s="2346">
        <v>1952</v>
      </c>
      <c r="BC1" s="2346">
        <v>1953</v>
      </c>
      <c r="BD1" s="2346">
        <v>1954</v>
      </c>
      <c r="BE1" s="2346">
        <v>1955</v>
      </c>
      <c r="BF1" s="2346">
        <v>1956</v>
      </c>
      <c r="BG1" s="2346">
        <v>1957</v>
      </c>
      <c r="BH1" s="2346">
        <v>1958</v>
      </c>
      <c r="BI1" s="2346">
        <v>1959</v>
      </c>
      <c r="BJ1" s="2346">
        <v>1960</v>
      </c>
      <c r="BK1" s="2346">
        <v>1961</v>
      </c>
      <c r="BL1" s="2346">
        <v>1962</v>
      </c>
      <c r="BM1" s="2346">
        <v>1963</v>
      </c>
      <c r="BN1" s="2346">
        <v>1964</v>
      </c>
      <c r="BO1" s="2346">
        <v>1965</v>
      </c>
      <c r="BP1" s="2346">
        <v>1966</v>
      </c>
      <c r="BQ1" s="2346">
        <v>1967</v>
      </c>
      <c r="BR1" s="2346">
        <v>1968</v>
      </c>
      <c r="BS1" s="2346">
        <v>1969</v>
      </c>
      <c r="BT1" s="2346">
        <v>1970</v>
      </c>
      <c r="BU1" s="2346">
        <v>1971</v>
      </c>
      <c r="BV1" s="2346">
        <v>1972</v>
      </c>
      <c r="BW1" s="2346">
        <v>1973</v>
      </c>
      <c r="BX1" s="2346">
        <v>1974</v>
      </c>
      <c r="BY1" s="2346">
        <v>1975</v>
      </c>
      <c r="BZ1" s="2346">
        <v>1976</v>
      </c>
      <c r="CA1" s="2346">
        <v>1977</v>
      </c>
      <c r="CB1" s="2346">
        <v>1978</v>
      </c>
      <c r="CC1" s="2346">
        <v>1979</v>
      </c>
      <c r="CD1" s="2346">
        <v>1980</v>
      </c>
      <c r="CE1" s="2346">
        <v>1981</v>
      </c>
      <c r="CF1" s="2346">
        <v>1982</v>
      </c>
      <c r="CG1" s="2346">
        <v>1983</v>
      </c>
      <c r="CH1" s="2346">
        <v>1984</v>
      </c>
      <c r="CI1" s="2346">
        <v>1985</v>
      </c>
      <c r="CJ1" s="2346">
        <v>1986</v>
      </c>
      <c r="CK1" s="2346">
        <v>1987</v>
      </c>
      <c r="CL1" s="2346">
        <v>1988</v>
      </c>
      <c r="CM1" s="2346">
        <v>1989</v>
      </c>
      <c r="CN1" s="2346">
        <v>1990</v>
      </c>
      <c r="CO1" s="2346">
        <v>1991</v>
      </c>
      <c r="CP1" s="2346">
        <v>1992</v>
      </c>
      <c r="CQ1" s="2346">
        <v>1993</v>
      </c>
      <c r="CR1" s="2346">
        <v>1994</v>
      </c>
      <c r="CS1" s="2346">
        <v>1995</v>
      </c>
      <c r="CT1" s="2346">
        <v>1996</v>
      </c>
      <c r="CU1" s="2346">
        <v>1997</v>
      </c>
      <c r="CV1" s="2346">
        <v>1998</v>
      </c>
      <c r="CW1" s="2346">
        <v>1999</v>
      </c>
      <c r="CX1" s="2346">
        <v>2000</v>
      </c>
      <c r="CY1" s="2346">
        <v>2001</v>
      </c>
      <c r="CZ1" s="2346">
        <v>2002</v>
      </c>
      <c r="DA1" s="2346">
        <v>2003</v>
      </c>
      <c r="DB1" s="2346">
        <v>2004</v>
      </c>
      <c r="DC1" s="2346">
        <v>2005</v>
      </c>
      <c r="DD1" s="2346">
        <v>2006</v>
      </c>
      <c r="DE1" s="2346">
        <v>2007</v>
      </c>
      <c r="DF1" s="2346">
        <v>2008</v>
      </c>
      <c r="DG1" s="2346">
        <v>2009</v>
      </c>
      <c r="DH1" s="2346">
        <v>2010</v>
      </c>
      <c r="DI1" s="2346">
        <v>2011</v>
      </c>
      <c r="DJ1" s="2346">
        <v>2012</v>
      </c>
      <c r="DK1" s="2346">
        <v>2013</v>
      </c>
      <c r="DL1" s="2346">
        <v>2014</v>
      </c>
      <c r="DM1" s="2346">
        <v>2015</v>
      </c>
      <c r="DN1" s="2346">
        <v>2016</v>
      </c>
      <c r="DO1" s="2346">
        <v>2017</v>
      </c>
      <c r="DP1" s="2346">
        <v>2018</v>
      </c>
      <c r="DQ1" s="2346">
        <v>2019</v>
      </c>
      <c r="DR1" s="2346">
        <v>2020</v>
      </c>
      <c r="DS1" s="2346">
        <v>2021</v>
      </c>
      <c r="DT1" s="2346">
        <v>2022</v>
      </c>
      <c r="DU1" s="2346">
        <v>2023</v>
      </c>
    </row>
    <row r="2" spans="1:125">
      <c r="A2" s="2348">
        <v>0</v>
      </c>
      <c r="B2" s="137"/>
      <c r="C2" s="137"/>
      <c r="D2" s="137"/>
      <c r="E2" s="137"/>
      <c r="F2" s="137"/>
      <c r="G2" s="137"/>
      <c r="H2" s="137"/>
      <c r="I2" s="137"/>
      <c r="J2" s="137"/>
      <c r="K2" s="137"/>
      <c r="L2" s="137"/>
      <c r="M2" s="137"/>
      <c r="N2" s="137"/>
      <c r="O2" s="137"/>
      <c r="P2" s="137"/>
      <c r="Q2" s="137"/>
      <c r="R2" s="137"/>
      <c r="S2" s="137"/>
      <c r="T2" s="137"/>
      <c r="U2" s="137"/>
      <c r="V2" s="137"/>
      <c r="W2" s="2342">
        <v>100000</v>
      </c>
      <c r="X2" s="2342">
        <v>100000</v>
      </c>
      <c r="Y2" s="137">
        <v>100000</v>
      </c>
      <c r="Z2" s="137">
        <v>100000</v>
      </c>
      <c r="AA2" s="137">
        <v>100000</v>
      </c>
      <c r="AB2" s="137">
        <v>100000</v>
      </c>
      <c r="AC2" s="137">
        <v>100000</v>
      </c>
      <c r="AD2" s="137">
        <v>100000</v>
      </c>
      <c r="AE2" s="137">
        <v>100000</v>
      </c>
      <c r="AF2" s="137">
        <v>100000</v>
      </c>
      <c r="AG2" s="137">
        <v>100000</v>
      </c>
      <c r="AH2" s="137">
        <v>100000</v>
      </c>
      <c r="AI2" s="137">
        <v>100000</v>
      </c>
      <c r="AJ2" s="137">
        <v>100000</v>
      </c>
      <c r="AK2" s="137">
        <v>100000</v>
      </c>
      <c r="AL2" s="137">
        <v>100000</v>
      </c>
      <c r="AM2" s="137">
        <v>100000</v>
      </c>
      <c r="AN2" s="137">
        <v>100000</v>
      </c>
      <c r="AO2" s="137">
        <v>100000</v>
      </c>
      <c r="AP2" s="137">
        <v>100000</v>
      </c>
      <c r="AQ2" s="137">
        <v>100000</v>
      </c>
      <c r="AR2" s="137">
        <v>100000</v>
      </c>
      <c r="AS2" s="137">
        <v>100000</v>
      </c>
      <c r="AT2" s="137">
        <v>100000</v>
      </c>
      <c r="AU2" s="137">
        <v>100000</v>
      </c>
      <c r="AV2" s="137">
        <v>100000</v>
      </c>
      <c r="AW2" s="137">
        <v>100000</v>
      </c>
      <c r="AX2" s="137">
        <v>100000</v>
      </c>
      <c r="AY2" s="137">
        <v>100000</v>
      </c>
      <c r="AZ2" s="137">
        <v>100000</v>
      </c>
      <c r="BA2" s="137">
        <v>100000</v>
      </c>
      <c r="BB2" s="137">
        <v>100000</v>
      </c>
      <c r="BC2" s="137">
        <v>100000</v>
      </c>
      <c r="BD2" s="137">
        <v>100000</v>
      </c>
      <c r="BE2" s="137">
        <v>100000</v>
      </c>
      <c r="BF2" s="137">
        <v>100000</v>
      </c>
      <c r="BG2" s="137">
        <v>100000</v>
      </c>
      <c r="BH2" s="137">
        <v>100000</v>
      </c>
      <c r="BI2" s="137">
        <v>100000</v>
      </c>
      <c r="BJ2" s="137">
        <v>100000</v>
      </c>
      <c r="BK2" s="137">
        <v>100000</v>
      </c>
      <c r="BL2" s="137">
        <v>100000</v>
      </c>
      <c r="BM2" s="137">
        <v>100000</v>
      </c>
      <c r="BN2" s="137">
        <v>100000</v>
      </c>
      <c r="BO2" s="137">
        <v>100000</v>
      </c>
      <c r="BP2" s="137">
        <v>100000</v>
      </c>
      <c r="BQ2" s="137">
        <v>100000</v>
      </c>
      <c r="BR2" s="137">
        <v>100000</v>
      </c>
      <c r="BS2" s="137">
        <v>100000</v>
      </c>
      <c r="BT2" s="137">
        <v>100000</v>
      </c>
      <c r="BU2" s="137">
        <v>100000</v>
      </c>
      <c r="BV2" s="137">
        <v>100000</v>
      </c>
      <c r="BW2" s="137">
        <v>100000</v>
      </c>
      <c r="BX2" s="137">
        <v>100000</v>
      </c>
      <c r="BY2" s="137">
        <v>100000</v>
      </c>
      <c r="BZ2" s="137">
        <v>100000</v>
      </c>
      <c r="CA2" s="137">
        <v>100000</v>
      </c>
      <c r="CB2" s="137">
        <v>100000</v>
      </c>
      <c r="CC2" s="137">
        <v>100000</v>
      </c>
      <c r="CD2" s="137">
        <v>100000</v>
      </c>
      <c r="CE2" s="137">
        <v>100000</v>
      </c>
      <c r="CF2" s="137">
        <v>100000</v>
      </c>
      <c r="CG2" s="137">
        <v>100000</v>
      </c>
      <c r="CH2" s="137">
        <v>100000</v>
      </c>
      <c r="CI2" s="137">
        <v>100000</v>
      </c>
      <c r="CJ2" s="137">
        <v>100000</v>
      </c>
      <c r="CK2" s="137">
        <v>100000</v>
      </c>
      <c r="CL2" s="137">
        <v>100000</v>
      </c>
      <c r="CM2" s="137">
        <v>100000</v>
      </c>
      <c r="CN2" s="137">
        <v>100000</v>
      </c>
      <c r="CO2" s="137">
        <v>100000</v>
      </c>
      <c r="CP2" s="137">
        <v>100000</v>
      </c>
      <c r="CQ2" s="137">
        <v>100000</v>
      </c>
      <c r="CR2" s="137">
        <v>100000</v>
      </c>
      <c r="CS2" s="137">
        <v>100000</v>
      </c>
      <c r="CT2" s="137">
        <v>100000</v>
      </c>
      <c r="CU2" s="137">
        <v>100000</v>
      </c>
      <c r="CV2" s="137">
        <v>100000</v>
      </c>
      <c r="CW2" s="137">
        <v>100000</v>
      </c>
      <c r="CX2" s="137">
        <v>100000</v>
      </c>
      <c r="CY2" s="137">
        <v>100000</v>
      </c>
      <c r="CZ2" s="137">
        <v>100000</v>
      </c>
      <c r="DA2" s="137">
        <v>100000</v>
      </c>
      <c r="DB2" s="137">
        <v>100000</v>
      </c>
      <c r="DC2" s="137">
        <v>100000</v>
      </c>
      <c r="DD2" s="137">
        <v>100000</v>
      </c>
      <c r="DE2" s="137">
        <v>100000</v>
      </c>
      <c r="DF2" s="137">
        <v>100000</v>
      </c>
      <c r="DG2" s="137">
        <v>100000</v>
      </c>
      <c r="DH2" s="137">
        <v>100000</v>
      </c>
      <c r="DI2" s="137">
        <v>100000</v>
      </c>
      <c r="DJ2" s="137">
        <v>100000</v>
      </c>
      <c r="DK2" s="137">
        <v>100000</v>
      </c>
      <c r="DL2" s="137">
        <v>100000</v>
      </c>
      <c r="DM2" s="137">
        <v>100000</v>
      </c>
      <c r="DN2" s="137">
        <v>100000</v>
      </c>
      <c r="DO2" s="137">
        <v>100000</v>
      </c>
      <c r="DP2" s="137">
        <f>(G_Kohorte_F!DP2+G_Kohorte_M!DP2)/2</f>
        <v>100000</v>
      </c>
      <c r="DQ2" s="137">
        <f>(G_Kohorte_F!DQ2+G_Kohorte_M!DQ2)/2</f>
        <v>100000</v>
      </c>
      <c r="DR2" s="137">
        <f>(G_Kohorte_F!DR2+G_Kohorte_M!DR2)/2</f>
        <v>100000</v>
      </c>
      <c r="DS2" s="137">
        <f>(G_Kohorte_F!DS2+G_Kohorte_M!DS2)/2</f>
        <v>100000</v>
      </c>
      <c r="DT2" s="137">
        <f>(G_Kohorte_F!DT2+G_Kohorte_M!DT2)/2</f>
        <v>100000</v>
      </c>
      <c r="DU2" s="137">
        <f>(G_Kohorte_F!DU2+G_Kohorte_M!DU2)/2</f>
        <v>100000</v>
      </c>
    </row>
    <row r="3" spans="1:125">
      <c r="A3" s="2348">
        <v>1</v>
      </c>
      <c r="B3" s="137"/>
      <c r="C3" s="137"/>
      <c r="D3" s="137"/>
      <c r="E3" s="137"/>
      <c r="F3" s="137"/>
      <c r="G3" s="137"/>
      <c r="H3" s="137"/>
      <c r="I3" s="137"/>
      <c r="J3" s="137"/>
      <c r="K3" s="137"/>
      <c r="L3" s="137"/>
      <c r="M3" s="137"/>
      <c r="N3" s="137"/>
      <c r="O3" s="137"/>
      <c r="P3" s="137"/>
      <c r="Q3" s="137"/>
      <c r="R3" s="137"/>
      <c r="S3" s="137"/>
      <c r="T3" s="137"/>
      <c r="U3" s="137"/>
      <c r="V3" s="137"/>
      <c r="W3" s="2342">
        <v>86672</v>
      </c>
      <c r="X3" s="2342">
        <v>87100</v>
      </c>
      <c r="Y3" s="137">
        <v>86850</v>
      </c>
      <c r="Z3" s="137">
        <v>89150</v>
      </c>
      <c r="AA3" s="137">
        <v>89500</v>
      </c>
      <c r="AB3" s="137">
        <v>89850</v>
      </c>
      <c r="AC3" s="137">
        <v>90350</v>
      </c>
      <c r="AD3" s="137">
        <v>91100</v>
      </c>
      <c r="AE3" s="137">
        <v>90501</v>
      </c>
      <c r="AF3" s="137">
        <v>91585.5</v>
      </c>
      <c r="AG3" s="137">
        <v>91894.5</v>
      </c>
      <c r="AH3" s="137">
        <v>92100</v>
      </c>
      <c r="AI3" s="137">
        <v>92350</v>
      </c>
      <c r="AJ3" s="137">
        <v>93400</v>
      </c>
      <c r="AK3" s="137">
        <v>93189.5</v>
      </c>
      <c r="AL3" s="137">
        <v>93400</v>
      </c>
      <c r="AM3" s="137">
        <v>93574</v>
      </c>
      <c r="AN3" s="137">
        <v>93967.5</v>
      </c>
      <c r="AO3" s="137">
        <v>93841</v>
      </c>
      <c r="AP3" s="137">
        <v>93841</v>
      </c>
      <c r="AQ3" s="137">
        <v>93841</v>
      </c>
      <c r="AR3" s="137">
        <v>93841</v>
      </c>
      <c r="AS3" s="137">
        <v>93225.1</v>
      </c>
      <c r="AT3" s="137">
        <v>92301.25</v>
      </c>
      <c r="AU3" s="137">
        <v>90761.5</v>
      </c>
      <c r="AV3" s="137">
        <v>90889</v>
      </c>
      <c r="AW3" s="137">
        <v>90889</v>
      </c>
      <c r="AX3" s="137">
        <v>92673</v>
      </c>
      <c r="AY3" s="137">
        <v>94457</v>
      </c>
      <c r="AZ3" s="137">
        <v>94457</v>
      </c>
      <c r="BA3" s="137">
        <v>94457</v>
      </c>
      <c r="BB3" s="137">
        <v>95091.383568757883</v>
      </c>
      <c r="BC3" s="137">
        <v>95283.584103461064</v>
      </c>
      <c r="BD3" s="137">
        <v>95659.960407440856</v>
      </c>
      <c r="BE3" s="137">
        <v>95710.406384744885</v>
      </c>
      <c r="BF3" s="137">
        <v>96027.228951182449</v>
      </c>
      <c r="BG3" s="137">
        <v>96091.779843695156</v>
      </c>
      <c r="BH3" s="137">
        <v>96312.030082233425</v>
      </c>
      <c r="BI3" s="137">
        <v>96441.103033548163</v>
      </c>
      <c r="BJ3" s="137">
        <v>96561.278250814066</v>
      </c>
      <c r="BK3" s="137">
        <v>96813.771872334997</v>
      </c>
      <c r="BL3" s="137">
        <v>97056.827927848528</v>
      </c>
      <c r="BM3" s="137">
        <v>97247.492827081878</v>
      </c>
      <c r="BN3" s="137">
        <v>97484.827592588932</v>
      </c>
      <c r="BO3" s="137">
        <v>97620.566203456881</v>
      </c>
      <c r="BP3" s="137">
        <v>97695.551591638883</v>
      </c>
      <c r="BQ3" s="137">
        <v>97746.370524491766</v>
      </c>
      <c r="BR3" s="137">
        <v>97815.674735775829</v>
      </c>
      <c r="BS3" s="137">
        <v>97745.326178516145</v>
      </c>
      <c r="BT3" s="137">
        <v>97773.27582964304</v>
      </c>
      <c r="BU3" s="137">
        <v>97823.237806628429</v>
      </c>
      <c r="BV3" s="137">
        <v>97879.328414118325</v>
      </c>
      <c r="BW3" s="137">
        <v>97917.725309912232</v>
      </c>
      <c r="BX3" s="137">
        <v>98009.141927216813</v>
      </c>
      <c r="BY3" s="137">
        <v>98124.11934150217</v>
      </c>
      <c r="BZ3" s="137">
        <v>98370.07447491854</v>
      </c>
      <c r="CA3" s="137">
        <v>98521.059659232051</v>
      </c>
      <c r="CB3" s="137">
        <v>98578.451557733933</v>
      </c>
      <c r="CC3" s="137">
        <v>98688.28412745893</v>
      </c>
      <c r="CD3" s="137">
        <v>98749.445658638055</v>
      </c>
      <c r="CE3" s="137">
        <v>98820.346746970084</v>
      </c>
      <c r="CF3" s="137">
        <v>98914.169363233261</v>
      </c>
      <c r="CG3" s="137">
        <v>98979.611524526583</v>
      </c>
      <c r="CH3" s="137">
        <v>99034.229456769768</v>
      </c>
      <c r="CI3" s="137">
        <v>99092.033150683492</v>
      </c>
      <c r="CJ3" s="137">
        <v>99134.220527184661</v>
      </c>
      <c r="CK3" s="137">
        <v>99165.211028230973</v>
      </c>
      <c r="CL3" s="137">
        <v>99238.039184140944</v>
      </c>
      <c r="CM3" s="137">
        <v>99254.429313817149</v>
      </c>
      <c r="CN3" s="137">
        <v>99295.426093055692</v>
      </c>
      <c r="CO3" s="137">
        <v>99346.735758759198</v>
      </c>
      <c r="CP3" s="137">
        <v>99394.688279374852</v>
      </c>
      <c r="CQ3" s="137">
        <v>99437.33666896791</v>
      </c>
      <c r="CR3" s="137">
        <v>99450.216509153121</v>
      </c>
      <c r="CS3" s="137">
        <v>99479.221083186829</v>
      </c>
      <c r="CT3" s="137">
        <v>99501.126362194598</v>
      </c>
      <c r="CU3" s="137">
        <v>99522.246773279971</v>
      </c>
      <c r="CV3" s="137">
        <v>99538.193494849227</v>
      </c>
      <c r="CW3" s="137">
        <v>99551.234555579926</v>
      </c>
      <c r="CX3" s="137">
        <v>99573.615903579368</v>
      </c>
      <c r="CY3" s="137">
        <v>99575.522344303739</v>
      </c>
      <c r="CZ3" s="137">
        <v>99579.663928224414</v>
      </c>
      <c r="DA3" s="137">
        <v>99573.958910564688</v>
      </c>
      <c r="DB3" s="137">
        <v>99595.046766867221</v>
      </c>
      <c r="DC3" s="137">
        <v>99617.634654003603</v>
      </c>
      <c r="DD3" s="137">
        <v>99615.019670207403</v>
      </c>
      <c r="DE3" s="137">
        <v>99616.782153496315</v>
      </c>
      <c r="DF3" s="137">
        <v>99650.872962758236</v>
      </c>
      <c r="DG3" s="137">
        <v>99649.172807328388</v>
      </c>
      <c r="DH3" s="137">
        <v>99654.519301015738</v>
      </c>
      <c r="DI3" s="137">
        <v>99644.200130965764</v>
      </c>
      <c r="DJ3" s="137">
        <v>99674.573904996214</v>
      </c>
      <c r="DK3" s="137">
        <v>99677.528467660042</v>
      </c>
      <c r="DL3" s="137">
        <v>99674.148365179775</v>
      </c>
      <c r="DM3" s="137">
        <v>99672.855473056552</v>
      </c>
      <c r="DN3" s="137">
        <v>99660.09547876686</v>
      </c>
      <c r="DO3" s="137">
        <v>99674.47273895386</v>
      </c>
      <c r="DP3" s="137">
        <f>(G_Kohorte_F!DP3+G_Kohorte_M!DP3)/2</f>
        <v>99685.100519500294</v>
      </c>
      <c r="DQ3" s="137">
        <f>(G_Kohorte_F!DQ3+G_Kohorte_M!DQ3)/2</f>
        <v>99682.823866248887</v>
      </c>
      <c r="DR3" s="137">
        <f>(G_Kohorte_F!DR3+G_Kohorte_M!DR3)/2</f>
        <v>99700.188512776804</v>
      </c>
      <c r="DS3" s="137">
        <f>(G_Kohorte_F!DS3+G_Kohorte_M!DS3)/2</f>
        <v>99696.942891694023</v>
      </c>
      <c r="DT3" s="137">
        <f>(G_Kohorte_F!DT3+G_Kohorte_M!DT3)/2</f>
        <v>99709.85417485662</v>
      </c>
      <c r="DU3" s="137">
        <f>(G_Kohorte_F!DU3+G_Kohorte_M!DU3)/2</f>
        <v>99722.206692135995</v>
      </c>
    </row>
    <row r="4" spans="1:125">
      <c r="A4" s="2348">
        <v>2</v>
      </c>
      <c r="B4" s="137"/>
      <c r="C4" s="137"/>
      <c r="D4" s="137"/>
      <c r="E4" s="137"/>
      <c r="F4" s="137"/>
      <c r="G4" s="137"/>
      <c r="H4" s="137"/>
      <c r="I4" s="137"/>
      <c r="J4" s="137"/>
      <c r="K4" s="137"/>
      <c r="L4" s="137"/>
      <c r="M4" s="137"/>
      <c r="N4" s="137"/>
      <c r="O4" s="137"/>
      <c r="P4" s="137"/>
      <c r="Q4" s="137"/>
      <c r="R4" s="137"/>
      <c r="S4" s="137"/>
      <c r="T4" s="137"/>
      <c r="U4" s="137"/>
      <c r="V4" s="137"/>
      <c r="W4" s="2342">
        <v>85010.5</v>
      </c>
      <c r="X4" s="2342">
        <v>85397</v>
      </c>
      <c r="Y4" s="137">
        <v>85499.401500000007</v>
      </c>
      <c r="Z4" s="137">
        <v>87763.487499999988</v>
      </c>
      <c r="AA4" s="137">
        <v>88108.073000000004</v>
      </c>
      <c r="AB4" s="137">
        <v>88562.025955765232</v>
      </c>
      <c r="AC4" s="137">
        <v>89295.892715391761</v>
      </c>
      <c r="AD4" s="137">
        <v>89965.441924278406</v>
      </c>
      <c r="AE4" s="137">
        <v>89635.196490603717</v>
      </c>
      <c r="AF4" s="137">
        <v>90741.831507821189</v>
      </c>
      <c r="AG4" s="137">
        <v>91091.371075000003</v>
      </c>
      <c r="AH4" s="137">
        <v>91294.997499999998</v>
      </c>
      <c r="AI4" s="137">
        <v>91542.837</v>
      </c>
      <c r="AJ4" s="137">
        <v>92677.154247075741</v>
      </c>
      <c r="AK4" s="137">
        <v>92490.623503613228</v>
      </c>
      <c r="AL4" s="137">
        <v>92718.001083004419</v>
      </c>
      <c r="AM4" s="137">
        <v>92932.928176362082</v>
      </c>
      <c r="AN4" s="137">
        <v>93310.268252937603</v>
      </c>
      <c r="AO4" s="137">
        <v>93184.665704883562</v>
      </c>
      <c r="AP4" s="137">
        <v>93184.665704883562</v>
      </c>
      <c r="AQ4" s="137">
        <v>93184.665704883562</v>
      </c>
      <c r="AR4" s="137">
        <v>93119.032275371923</v>
      </c>
      <c r="AS4" s="137">
        <v>92410.127360544662</v>
      </c>
      <c r="AT4" s="137">
        <v>91333.084245645965</v>
      </c>
      <c r="AU4" s="137">
        <v>89862.926517500004</v>
      </c>
      <c r="AV4" s="137">
        <v>89989.106360000005</v>
      </c>
      <c r="AW4" s="137">
        <v>90165.292785606856</v>
      </c>
      <c r="AX4" s="137">
        <v>92313.664380000002</v>
      </c>
      <c r="AY4" s="137">
        <v>94090.684359999999</v>
      </c>
      <c r="AZ4" s="137">
        <v>94090.684359999999</v>
      </c>
      <c r="BA4" s="137">
        <v>94118.354488310724</v>
      </c>
      <c r="BB4" s="137">
        <v>94770.351315016887</v>
      </c>
      <c r="BC4" s="137">
        <v>94995.943609024223</v>
      </c>
      <c r="BD4" s="137">
        <v>95360.36570894238</v>
      </c>
      <c r="BE4" s="137">
        <v>95431.773857401524</v>
      </c>
      <c r="BF4" s="137">
        <v>95745.571431460354</v>
      </c>
      <c r="BG4" s="137">
        <v>95838.487758162315</v>
      </c>
      <c r="BH4" s="137">
        <v>96054.788203795761</v>
      </c>
      <c r="BI4" s="137">
        <v>96209.947389307024</v>
      </c>
      <c r="BJ4" s="137">
        <v>96341.011285784349</v>
      </c>
      <c r="BK4" s="137">
        <v>96601.48786242702</v>
      </c>
      <c r="BL4" s="137">
        <v>96860.217123328446</v>
      </c>
      <c r="BM4" s="137">
        <v>97072.77433186867</v>
      </c>
      <c r="BN4" s="137">
        <v>97307.883236813766</v>
      </c>
      <c r="BO4" s="137">
        <v>97453.149782023451</v>
      </c>
      <c r="BP4" s="137">
        <v>97532.483169204235</v>
      </c>
      <c r="BQ4" s="137">
        <v>97593.489484019781</v>
      </c>
      <c r="BR4" s="137">
        <v>97648.884541156411</v>
      </c>
      <c r="BS4" s="137">
        <v>97599.232751224394</v>
      </c>
      <c r="BT4" s="137">
        <v>97639.394288690499</v>
      </c>
      <c r="BU4" s="137">
        <v>97696.567953758349</v>
      </c>
      <c r="BV4" s="137">
        <v>97762.921908280987</v>
      </c>
      <c r="BW4" s="137">
        <v>97801.018169431089</v>
      </c>
      <c r="BX4" s="137">
        <v>97893.823373867839</v>
      </c>
      <c r="BY4" s="137">
        <v>98019.955646555725</v>
      </c>
      <c r="BZ4" s="137">
        <v>98269.139554052002</v>
      </c>
      <c r="CA4" s="137">
        <v>98421.349212967354</v>
      </c>
      <c r="CB4" s="137">
        <v>98483.083623794446</v>
      </c>
      <c r="CC4" s="137">
        <v>98596.607139135682</v>
      </c>
      <c r="CD4" s="137">
        <v>98659.700320897915</v>
      </c>
      <c r="CE4" s="137">
        <v>98730.736546165543</v>
      </c>
      <c r="CF4" s="137">
        <v>98830.678598532017</v>
      </c>
      <c r="CG4" s="137">
        <v>98900.345712143884</v>
      </c>
      <c r="CH4" s="137">
        <v>98954.299507711752</v>
      </c>
      <c r="CI4" s="137">
        <v>99023.201692051836</v>
      </c>
      <c r="CJ4" s="137">
        <v>99060.706140409777</v>
      </c>
      <c r="CK4" s="137">
        <v>99098.919265650387</v>
      </c>
      <c r="CL4" s="137">
        <v>99175.397482042841</v>
      </c>
      <c r="CM4" s="137">
        <v>99191.0875082274</v>
      </c>
      <c r="CN4" s="137">
        <v>99237.474759754768</v>
      </c>
      <c r="CO4" s="137">
        <v>99294.409822899703</v>
      </c>
      <c r="CP4" s="137">
        <v>99342.404847555823</v>
      </c>
      <c r="CQ4" s="137">
        <v>99384.801972942078</v>
      </c>
      <c r="CR4" s="137">
        <v>99401.060312812653</v>
      </c>
      <c r="CS4" s="137">
        <v>99439.037120139983</v>
      </c>
      <c r="CT4" s="137">
        <v>99454.314074216905</v>
      </c>
      <c r="CU4" s="137">
        <v>99480.881457748124</v>
      </c>
      <c r="CV4" s="137">
        <v>99500.130302588906</v>
      </c>
      <c r="CW4" s="137">
        <v>99509.331617884396</v>
      </c>
      <c r="CX4" s="137">
        <v>99535.121837230981</v>
      </c>
      <c r="CY4" s="137">
        <v>99533.948572859226</v>
      </c>
      <c r="CZ4" s="137">
        <v>99541.186520697986</v>
      </c>
      <c r="DA4" s="137">
        <v>99538.960254025791</v>
      </c>
      <c r="DB4" s="137">
        <v>99565.68893162976</v>
      </c>
      <c r="DC4" s="137">
        <v>99583.477700734016</v>
      </c>
      <c r="DD4" s="137">
        <v>99584.142907810223</v>
      </c>
      <c r="DE4" s="137">
        <v>99587.622077596927</v>
      </c>
      <c r="DF4" s="137">
        <v>99621.912195576631</v>
      </c>
      <c r="DG4" s="137">
        <v>99617.295149768819</v>
      </c>
      <c r="DH4" s="137">
        <v>99629.997034471045</v>
      </c>
      <c r="DI4" s="137">
        <v>99617.139731951305</v>
      </c>
      <c r="DJ4" s="137">
        <v>99648.065787360305</v>
      </c>
      <c r="DK4" s="137">
        <v>99653.318410935855</v>
      </c>
      <c r="DL4" s="137">
        <v>99647.284088188608</v>
      </c>
      <c r="DM4" s="137">
        <v>99646.633440114092</v>
      </c>
      <c r="DN4" s="137">
        <v>99633.685972023814</v>
      </c>
      <c r="DO4" s="137">
        <v>99650.265382229045</v>
      </c>
      <c r="DP4" s="137">
        <f>(G_Kohorte_F!DP4+G_Kohorte_M!DP4)/2</f>
        <v>99663.658589199302</v>
      </c>
      <c r="DQ4" s="137">
        <f>(G_Kohorte_F!DQ4+G_Kohorte_M!DQ4)/2</f>
        <v>99663.128124843512</v>
      </c>
      <c r="DR4" s="137">
        <f>(G_Kohorte_F!DR4+G_Kohorte_M!DR4)/2</f>
        <v>99678.308693479499</v>
      </c>
      <c r="DS4" s="137">
        <f>(G_Kohorte_F!DS4+G_Kohorte_M!DS4)/2</f>
        <v>99678.087073856004</v>
      </c>
      <c r="DT4" s="137">
        <f>(G_Kohorte_F!DT4+G_Kohorte_M!DT4)/2</f>
        <v>99691.783485355263</v>
      </c>
      <c r="DU4" s="137">
        <f>(G_Kohorte_F!DU4+G_Kohorte_M!DU4)/2</f>
        <v>99704.888406653161</v>
      </c>
    </row>
    <row r="5" spans="1:125">
      <c r="A5" s="2348">
        <v>3</v>
      </c>
      <c r="B5" s="137"/>
      <c r="C5" s="137"/>
      <c r="D5" s="137"/>
      <c r="E5" s="137"/>
      <c r="F5" s="137"/>
      <c r="G5" s="137"/>
      <c r="H5" s="137"/>
      <c r="I5" s="137"/>
      <c r="J5" s="137"/>
      <c r="K5" s="137"/>
      <c r="L5" s="137"/>
      <c r="M5" s="137"/>
      <c r="N5" s="137"/>
      <c r="O5" s="137"/>
      <c r="P5" s="137"/>
      <c r="Q5" s="137"/>
      <c r="R5" s="137"/>
      <c r="S5" s="137"/>
      <c r="T5" s="137"/>
      <c r="U5" s="137"/>
      <c r="V5" s="137"/>
      <c r="W5" s="2342">
        <v>84076.5</v>
      </c>
      <c r="X5" s="2342">
        <v>84881</v>
      </c>
      <c r="Y5" s="137">
        <v>84982.528553229989</v>
      </c>
      <c r="Z5" s="137">
        <v>87232.85624683999</v>
      </c>
      <c r="AA5" s="137">
        <v>87542.004324952199</v>
      </c>
      <c r="AB5" s="137">
        <v>88058.876578287978</v>
      </c>
      <c r="AC5" s="137">
        <v>88717.792210997868</v>
      </c>
      <c r="AD5" s="137">
        <v>89485.781242476776</v>
      </c>
      <c r="AE5" s="137">
        <v>89224.150836509449</v>
      </c>
      <c r="AF5" s="137">
        <v>90357.337162154785</v>
      </c>
      <c r="AG5" s="137">
        <v>90705.400419711092</v>
      </c>
      <c r="AH5" s="137">
        <v>90908.125223830008</v>
      </c>
      <c r="AI5" s="137">
        <v>91091.134275730205</v>
      </c>
      <c r="AJ5" s="137">
        <v>92196.652497623771</v>
      </c>
      <c r="AK5" s="137">
        <v>92061.845729914392</v>
      </c>
      <c r="AL5" s="137">
        <v>92315.852117311573</v>
      </c>
      <c r="AM5" s="137">
        <v>92502.171167434048</v>
      </c>
      <c r="AN5" s="137">
        <v>92877.765712098844</v>
      </c>
      <c r="AO5" s="137">
        <v>92752.755379416049</v>
      </c>
      <c r="AP5" s="137">
        <v>92752.755379416049</v>
      </c>
      <c r="AQ5" s="137">
        <v>92709.564346869302</v>
      </c>
      <c r="AR5" s="137">
        <v>92579.527605153693</v>
      </c>
      <c r="AS5" s="137">
        <v>91767.7131902642</v>
      </c>
      <c r="AT5" s="137">
        <v>90851.428589365591</v>
      </c>
      <c r="AU5" s="137">
        <v>89389.116775684553</v>
      </c>
      <c r="AV5" s="137">
        <v>89679.447937285644</v>
      </c>
      <c r="AW5" s="137">
        <v>89957.626961724207</v>
      </c>
      <c r="AX5" s="137">
        <v>92101.015332034207</v>
      </c>
      <c r="AY5" s="137">
        <v>93873.907320696395</v>
      </c>
      <c r="AZ5" s="137">
        <v>93923.055328809103</v>
      </c>
      <c r="BA5" s="137">
        <v>93957.480980896435</v>
      </c>
      <c r="BB5" s="137">
        <v>94611.913995575102</v>
      </c>
      <c r="BC5" s="137">
        <v>94839.91701364622</v>
      </c>
      <c r="BD5" s="137">
        <v>95219.235224852499</v>
      </c>
      <c r="BE5" s="137">
        <v>95288.924800928595</v>
      </c>
      <c r="BF5" s="137">
        <v>95616.688666709495</v>
      </c>
      <c r="BG5" s="137">
        <v>95703.064519038628</v>
      </c>
      <c r="BH5" s="137">
        <v>95930.398066366237</v>
      </c>
      <c r="BI5" s="137">
        <v>96091.116651013872</v>
      </c>
      <c r="BJ5" s="137">
        <v>96219.702322725905</v>
      </c>
      <c r="BK5" s="137">
        <v>96489.988543122046</v>
      </c>
      <c r="BL5" s="137">
        <v>96757.673163559986</v>
      </c>
      <c r="BM5" s="137">
        <v>96973.124516202137</v>
      </c>
      <c r="BN5" s="137">
        <v>97207.015400265198</v>
      </c>
      <c r="BO5" s="137">
        <v>97364.366157096025</v>
      </c>
      <c r="BP5" s="137">
        <v>97442.179103860501</v>
      </c>
      <c r="BQ5" s="137">
        <v>97498.540480190975</v>
      </c>
      <c r="BR5" s="137">
        <v>97563.406502045822</v>
      </c>
      <c r="BS5" s="137">
        <v>97514.12729129431</v>
      </c>
      <c r="BT5" s="137">
        <v>97562.745104611968</v>
      </c>
      <c r="BU5" s="137">
        <v>97619.605610043509</v>
      </c>
      <c r="BV5" s="137">
        <v>97683.644946343469</v>
      </c>
      <c r="BW5" s="137">
        <v>97729.483005793445</v>
      </c>
      <c r="BX5" s="137">
        <v>97826.633171112058</v>
      </c>
      <c r="BY5" s="137">
        <v>97955.402659361047</v>
      </c>
      <c r="BZ5" s="137">
        <v>98204.816503714042</v>
      </c>
      <c r="CA5" s="137">
        <v>98361.520636920584</v>
      </c>
      <c r="CB5" s="137">
        <v>98427.020550937203</v>
      </c>
      <c r="CC5" s="137">
        <v>98539.536865740432</v>
      </c>
      <c r="CD5" s="137">
        <v>98609.437300854246</v>
      </c>
      <c r="CE5" s="137">
        <v>98683.707743814753</v>
      </c>
      <c r="CF5" s="137">
        <v>98784.583499442437</v>
      </c>
      <c r="CG5" s="137">
        <v>98855.180878009909</v>
      </c>
      <c r="CH5" s="137">
        <v>98910.684321491804</v>
      </c>
      <c r="CI5" s="137">
        <v>98980.927152902921</v>
      </c>
      <c r="CJ5" s="137">
        <v>99015.116547048645</v>
      </c>
      <c r="CK5" s="137">
        <v>99059.626477481783</v>
      </c>
      <c r="CL5" s="137">
        <v>99136.770618998184</v>
      </c>
      <c r="CM5" s="137">
        <v>99152.752030834919</v>
      </c>
      <c r="CN5" s="137">
        <v>99207.148497275251</v>
      </c>
      <c r="CO5" s="137">
        <v>99261.396090767201</v>
      </c>
      <c r="CP5" s="137">
        <v>99308.287725215341</v>
      </c>
      <c r="CQ5" s="137">
        <v>99354.389625607553</v>
      </c>
      <c r="CR5" s="137">
        <v>99375.361956864741</v>
      </c>
      <c r="CS5" s="137">
        <v>99412.012441035025</v>
      </c>
      <c r="CT5" s="137">
        <v>99427.277609206896</v>
      </c>
      <c r="CU5" s="137">
        <v>99455.958845047877</v>
      </c>
      <c r="CV5" s="137">
        <v>99474.403903464292</v>
      </c>
      <c r="CW5" s="137">
        <v>99486.322104304767</v>
      </c>
      <c r="CX5" s="137">
        <v>99517.501411949313</v>
      </c>
      <c r="CY5" s="137">
        <v>99513.020260930673</v>
      </c>
      <c r="CZ5" s="137">
        <v>99521.257935473026</v>
      </c>
      <c r="DA5" s="137">
        <v>99520.03261400781</v>
      </c>
      <c r="DB5" s="137">
        <v>99548.805499581969</v>
      </c>
      <c r="DC5" s="137">
        <v>99563.69528086533</v>
      </c>
      <c r="DD5" s="137">
        <v>99565.565296073095</v>
      </c>
      <c r="DE5" s="137">
        <v>99571.108437277071</v>
      </c>
      <c r="DF5" s="137">
        <v>99605.268163401692</v>
      </c>
      <c r="DG5" s="137">
        <v>99601.110714362774</v>
      </c>
      <c r="DH5" s="137">
        <v>99615.060036727678</v>
      </c>
      <c r="DI5" s="137">
        <v>99607.208673926652</v>
      </c>
      <c r="DJ5" s="137">
        <v>99634.20196088207</v>
      </c>
      <c r="DK5" s="137">
        <v>99638.432359147846</v>
      </c>
      <c r="DL5" s="137">
        <v>99632.968366708781</v>
      </c>
      <c r="DM5" s="137">
        <v>99632.660178834674</v>
      </c>
      <c r="DN5" s="137">
        <v>99619.551522680267</v>
      </c>
      <c r="DO5" s="137">
        <v>99637.842762577871</v>
      </c>
      <c r="DP5" s="137">
        <f>(G_Kohorte_F!DP5+G_Kohorte_M!DP5)/2</f>
        <v>99653.53908440136</v>
      </c>
      <c r="DQ5" s="137">
        <f>(G_Kohorte_F!DQ5+G_Kohorte_M!DQ5)/2</f>
        <v>99651.171895243431</v>
      </c>
      <c r="DR5" s="137">
        <f>(G_Kohorte_F!DR5+G_Kohorte_M!DR5)/2</f>
        <v>99664.451976625278</v>
      </c>
      <c r="DS5" s="137">
        <f>(G_Kohorte_F!DS5+G_Kohorte_M!DS5)/2</f>
        <v>99664.803288353403</v>
      </c>
      <c r="DT5" s="137">
        <f>(G_Kohorte_F!DT5+G_Kohorte_M!DT5)/2</f>
        <v>99679.046988579328</v>
      </c>
      <c r="DU5" s="137">
        <f>(G_Kohorte_F!DU5+G_Kohorte_M!DU5)/2</f>
        <v>99692.676636453398</v>
      </c>
    </row>
    <row r="6" spans="1:125">
      <c r="A6" s="2348">
        <v>4</v>
      </c>
      <c r="B6" s="137"/>
      <c r="C6" s="137"/>
      <c r="D6" s="137"/>
      <c r="E6" s="137"/>
      <c r="F6" s="137"/>
      <c r="G6" s="137"/>
      <c r="H6" s="137"/>
      <c r="I6" s="137"/>
      <c r="J6" s="137"/>
      <c r="K6" s="137"/>
      <c r="L6" s="137"/>
      <c r="M6" s="137"/>
      <c r="N6" s="137"/>
      <c r="O6" s="137"/>
      <c r="P6" s="137"/>
      <c r="Q6" s="137"/>
      <c r="R6" s="137"/>
      <c r="S6" s="137"/>
      <c r="T6" s="137"/>
      <c r="U6" s="137"/>
      <c r="V6" s="137"/>
      <c r="W6" s="2342">
        <v>83755</v>
      </c>
      <c r="X6" s="2342">
        <v>84556</v>
      </c>
      <c r="Y6" s="137">
        <v>84657.319307707337</v>
      </c>
      <c r="Z6" s="137">
        <v>86878.070447437785</v>
      </c>
      <c r="AA6" s="137">
        <v>87199.471154330924</v>
      </c>
      <c r="AB6" s="137">
        <v>87666.067497324184</v>
      </c>
      <c r="AC6" s="137">
        <v>88365.374363801297</v>
      </c>
      <c r="AD6" s="137">
        <v>89180.011710136227</v>
      </c>
      <c r="AE6" s="137">
        <v>88942.514354139857</v>
      </c>
      <c r="AF6" s="137">
        <v>90072.083765683987</v>
      </c>
      <c r="AG6" s="137">
        <v>90419.053322129563</v>
      </c>
      <c r="AH6" s="137">
        <v>90573.808883647871</v>
      </c>
      <c r="AI6" s="137">
        <v>90739.484391103862</v>
      </c>
      <c r="AJ6" s="137">
        <v>91878.067539488038</v>
      </c>
      <c r="AK6" s="137">
        <v>91764.18995733124</v>
      </c>
      <c r="AL6" s="137">
        <v>91996.739006262651</v>
      </c>
      <c r="AM6" s="137">
        <v>92182.409794082341</v>
      </c>
      <c r="AN6" s="137">
        <v>92556.709304697026</v>
      </c>
      <c r="AO6" s="137">
        <v>92432.140646389526</v>
      </c>
      <c r="AP6" s="137">
        <v>92400.07917308688</v>
      </c>
      <c r="AQ6" s="137">
        <v>92308.984794508433</v>
      </c>
      <c r="AR6" s="137">
        <v>92099.51380364917</v>
      </c>
      <c r="AS6" s="137">
        <v>91413.851323413197</v>
      </c>
      <c r="AT6" s="137">
        <v>90501.146463592857</v>
      </c>
      <c r="AU6" s="137">
        <v>89164.195561827481</v>
      </c>
      <c r="AV6" s="137">
        <v>89519.085030662041</v>
      </c>
      <c r="AW6" s="137">
        <v>89796.764385087241</v>
      </c>
      <c r="AX6" s="137">
        <v>91936.285989604134</v>
      </c>
      <c r="AY6" s="137">
        <v>93751.476686017035</v>
      </c>
      <c r="AZ6" s="137">
        <v>93805.006399830585</v>
      </c>
      <c r="BA6" s="137">
        <v>93850.19479324446</v>
      </c>
      <c r="BB6" s="137">
        <v>94505.027488527776</v>
      </c>
      <c r="BC6" s="137">
        <v>94735.450057651062</v>
      </c>
      <c r="BD6" s="137">
        <v>95116.747334453481</v>
      </c>
      <c r="BE6" s="137">
        <v>95199.239717473858</v>
      </c>
      <c r="BF6" s="137">
        <v>95518.755855210766</v>
      </c>
      <c r="BG6" s="137">
        <v>95609.884921569406</v>
      </c>
      <c r="BH6" s="137">
        <v>95838.095159173827</v>
      </c>
      <c r="BI6" s="137">
        <v>96007.267129345928</v>
      </c>
      <c r="BJ6" s="137">
        <v>96139.638093882735</v>
      </c>
      <c r="BK6" s="137">
        <v>96414.050960305642</v>
      </c>
      <c r="BL6" s="137">
        <v>96681.036488954705</v>
      </c>
      <c r="BM6" s="137">
        <v>96894.776567217021</v>
      </c>
      <c r="BN6" s="137">
        <v>97132.248225831572</v>
      </c>
      <c r="BO6" s="137">
        <v>97291.622476478355</v>
      </c>
      <c r="BP6" s="137">
        <v>97368.153046268504</v>
      </c>
      <c r="BQ6" s="137">
        <v>97426.698966006734</v>
      </c>
      <c r="BR6" s="137">
        <v>97492.50860882143</v>
      </c>
      <c r="BS6" s="137">
        <v>97444.691709162493</v>
      </c>
      <c r="BT6" s="137">
        <v>97500.881087524816</v>
      </c>
      <c r="BU6" s="137">
        <v>97558.111501244333</v>
      </c>
      <c r="BV6" s="137">
        <v>97626.554915520188</v>
      </c>
      <c r="BW6" s="137">
        <v>97672.598948945903</v>
      </c>
      <c r="BX6" s="137">
        <v>97772.735676271026</v>
      </c>
      <c r="BY6" s="137">
        <v>97902.601212583773</v>
      </c>
      <c r="BZ6" s="137">
        <v>98155.378764338297</v>
      </c>
      <c r="CA6" s="137">
        <v>98313.718640523279</v>
      </c>
      <c r="CB6" s="137">
        <v>98381.662231563503</v>
      </c>
      <c r="CC6" s="137">
        <v>98494.919549998944</v>
      </c>
      <c r="CD6" s="137">
        <v>98571.929113747203</v>
      </c>
      <c r="CE6" s="137">
        <v>98646.358026077069</v>
      </c>
      <c r="CF6" s="137">
        <v>98751.377720573801</v>
      </c>
      <c r="CG6" s="137">
        <v>98822.149026237079</v>
      </c>
      <c r="CH6" s="137">
        <v>98879.736024695958</v>
      </c>
      <c r="CI6" s="137">
        <v>98948.247788799548</v>
      </c>
      <c r="CJ6" s="137">
        <v>98983.645568863401</v>
      </c>
      <c r="CK6" s="137">
        <v>99024.256850156511</v>
      </c>
      <c r="CL6" s="137">
        <v>99107.533629751037</v>
      </c>
      <c r="CM6" s="137">
        <v>99125.107890008687</v>
      </c>
      <c r="CN6" s="137">
        <v>99181.665728230495</v>
      </c>
      <c r="CO6" s="137">
        <v>99238.833517486957</v>
      </c>
      <c r="CP6" s="137">
        <v>99285.11094171906</v>
      </c>
      <c r="CQ6" s="137">
        <v>99332.815162894534</v>
      </c>
      <c r="CR6" s="137">
        <v>99355.943784106115</v>
      </c>
      <c r="CS6" s="137">
        <v>99392.939762663023</v>
      </c>
      <c r="CT6" s="137">
        <v>99409.118663625137</v>
      </c>
      <c r="CU6" s="137">
        <v>99436.742550747527</v>
      </c>
      <c r="CV6" s="137">
        <v>99454.866596525273</v>
      </c>
      <c r="CW6" s="137">
        <v>99466.921615573752</v>
      </c>
      <c r="CX6" s="137">
        <v>99500.840304183541</v>
      </c>
      <c r="CY6" s="137">
        <v>99496.973184672912</v>
      </c>
      <c r="CZ6" s="137">
        <v>99507.29439003185</v>
      </c>
      <c r="DA6" s="137">
        <v>99505.488278591831</v>
      </c>
      <c r="DB6" s="137">
        <v>99533.633179916797</v>
      </c>
      <c r="DC6" s="137">
        <v>99549.231291542295</v>
      </c>
      <c r="DD6" s="137">
        <v>99553.877325803158</v>
      </c>
      <c r="DE6" s="137">
        <v>99557.108727335872</v>
      </c>
      <c r="DF6" s="137">
        <v>99594.8563112353</v>
      </c>
      <c r="DG6" s="137">
        <v>99587.529421789106</v>
      </c>
      <c r="DH6" s="137">
        <v>99603.132295058196</v>
      </c>
      <c r="DI6" s="137">
        <v>99594.355124969763</v>
      </c>
      <c r="DJ6" s="137">
        <v>99622.328927589726</v>
      </c>
      <c r="DK6" s="137">
        <v>99627.859497448779</v>
      </c>
      <c r="DL6" s="137">
        <v>99623.664908402236</v>
      </c>
      <c r="DM6" s="137">
        <v>99620.38623005405</v>
      </c>
      <c r="DN6" s="137">
        <v>99609.4567386079</v>
      </c>
      <c r="DO6" s="137">
        <v>99627.321390579367</v>
      </c>
      <c r="DP6" s="137">
        <f>(G_Kohorte_F!DP6+G_Kohorte_M!DP6)/2</f>
        <v>99642.457866893572</v>
      </c>
      <c r="DQ6" s="137">
        <f>(G_Kohorte_F!DQ6+G_Kohorte_M!DQ6)/2</f>
        <v>99640.469725028641</v>
      </c>
      <c r="DR6" s="137">
        <f>(G_Kohorte_F!DR6+G_Kohorte_M!DR6)/2</f>
        <v>99654.185430361191</v>
      </c>
      <c r="DS6" s="137">
        <f>(G_Kohorte_F!DS6+G_Kohorte_M!DS6)/2</f>
        <v>99654.956069917316</v>
      </c>
      <c r="DT6" s="137">
        <f>(G_Kohorte_F!DT6+G_Kohorte_M!DT6)/2</f>
        <v>99669.600489353674</v>
      </c>
      <c r="DU6" s="137">
        <f>(G_Kohorte_F!DU6+G_Kohorte_M!DU6)/2</f>
        <v>99683.614545078075</v>
      </c>
    </row>
    <row r="7" spans="1:125">
      <c r="A7" s="2348">
        <v>5</v>
      </c>
      <c r="B7" s="137"/>
      <c r="C7" s="137"/>
      <c r="D7" s="137"/>
      <c r="E7" s="137"/>
      <c r="F7" s="137"/>
      <c r="G7" s="137"/>
      <c r="H7" s="137"/>
      <c r="I7" s="137"/>
      <c r="J7" s="137"/>
      <c r="K7" s="137"/>
      <c r="L7" s="137"/>
      <c r="M7" s="137"/>
      <c r="N7" s="137"/>
      <c r="O7" s="137"/>
      <c r="P7" s="137"/>
      <c r="Q7" s="137"/>
      <c r="R7" s="137"/>
      <c r="S7" s="137"/>
      <c r="T7" s="137"/>
      <c r="U7" s="137"/>
      <c r="V7" s="137"/>
      <c r="W7" s="2342">
        <v>83503</v>
      </c>
      <c r="X7" s="2342">
        <v>84301.5</v>
      </c>
      <c r="Y7" s="137">
        <v>84386.752132727372</v>
      </c>
      <c r="Z7" s="137">
        <v>86604.10128744418</v>
      </c>
      <c r="AA7" s="137">
        <v>86886.179041499767</v>
      </c>
      <c r="AB7" s="137">
        <v>87378.901551539137</v>
      </c>
      <c r="AC7" s="137">
        <v>88116.402942719695</v>
      </c>
      <c r="AD7" s="137">
        <v>88947.846067462058</v>
      </c>
      <c r="AE7" s="137">
        <v>88710.972350486132</v>
      </c>
      <c r="AF7" s="137">
        <v>89837.581952475448</v>
      </c>
      <c r="AG7" s="137">
        <v>90144.966542266993</v>
      </c>
      <c r="AH7" s="137">
        <v>90285.212826519113</v>
      </c>
      <c r="AI7" s="137">
        <v>90481.064807747025</v>
      </c>
      <c r="AJ7" s="137">
        <v>91633.264022401403</v>
      </c>
      <c r="AK7" s="137">
        <v>91502.958822498767</v>
      </c>
      <c r="AL7" s="137">
        <v>91734.842157841253</v>
      </c>
      <c r="AM7" s="137">
        <v>91919.98194784543</v>
      </c>
      <c r="AN7" s="137">
        <v>92293.217809607013</v>
      </c>
      <c r="AO7" s="137">
        <v>92142.696154277568</v>
      </c>
      <c r="AP7" s="137">
        <v>92071.28030191733</v>
      </c>
      <c r="AQ7" s="137">
        <v>91914.818910234288</v>
      </c>
      <c r="AR7" s="137">
        <v>91851.066751239152</v>
      </c>
      <c r="AS7" s="137">
        <v>91167.271593899699</v>
      </c>
      <c r="AT7" s="137">
        <v>90341.789885813574</v>
      </c>
      <c r="AU7" s="137">
        <v>89039.5330396512</v>
      </c>
      <c r="AV7" s="137">
        <v>89393.901338187192</v>
      </c>
      <c r="AW7" s="137">
        <v>89671.190450672118</v>
      </c>
      <c r="AX7" s="137">
        <v>91839.932561747497</v>
      </c>
      <c r="AY7" s="137">
        <v>93655.886094974616</v>
      </c>
      <c r="AZ7" s="137">
        <v>93714.799600266764</v>
      </c>
      <c r="BA7" s="137">
        <v>93770.341885720351</v>
      </c>
      <c r="BB7" s="137">
        <v>94424.133328342723</v>
      </c>
      <c r="BC7" s="137">
        <v>94653.518044722354</v>
      </c>
      <c r="BD7" s="137">
        <v>95038.62434637628</v>
      </c>
      <c r="BE7" s="137">
        <v>95123.503072683132</v>
      </c>
      <c r="BF7" s="137">
        <v>95445.432362072024</v>
      </c>
      <c r="BG7" s="137">
        <v>95536.656152209631</v>
      </c>
      <c r="BH7" s="137">
        <v>95775.107002594421</v>
      </c>
      <c r="BI7" s="137">
        <v>95939.732448563242</v>
      </c>
      <c r="BJ7" s="137">
        <v>96073.02555673648</v>
      </c>
      <c r="BK7" s="137">
        <v>96347.254178680523</v>
      </c>
      <c r="BL7" s="137">
        <v>96616.385562629002</v>
      </c>
      <c r="BM7" s="137">
        <v>96827.519391177397</v>
      </c>
      <c r="BN7" s="137">
        <v>97067.825557232718</v>
      </c>
      <c r="BO7" s="137">
        <v>97224.90956115126</v>
      </c>
      <c r="BP7" s="137">
        <v>97305.567705547612</v>
      </c>
      <c r="BQ7" s="137">
        <v>97367.865734850871</v>
      </c>
      <c r="BR7" s="137">
        <v>97432.896938963298</v>
      </c>
      <c r="BS7" s="137">
        <v>97393.192354299768</v>
      </c>
      <c r="BT7" s="137">
        <v>97449.70476675281</v>
      </c>
      <c r="BU7" s="137">
        <v>97506.002827415214</v>
      </c>
      <c r="BV7" s="137">
        <v>97578.886644818485</v>
      </c>
      <c r="BW7" s="137">
        <v>97625.446921096533</v>
      </c>
      <c r="BX7" s="137">
        <v>97728.072372001261</v>
      </c>
      <c r="BY7" s="137">
        <v>97857.655488701188</v>
      </c>
      <c r="BZ7" s="137">
        <v>98116.081022504077</v>
      </c>
      <c r="CA7" s="137">
        <v>98277.670272439456</v>
      </c>
      <c r="CB7" s="137">
        <v>98346.485008359799</v>
      </c>
      <c r="CC7" s="137">
        <v>98463.811003986513</v>
      </c>
      <c r="CD7" s="137">
        <v>98540.35269273266</v>
      </c>
      <c r="CE7" s="137">
        <v>98616.095518309536</v>
      </c>
      <c r="CF7" s="137">
        <v>98722.1538167986</v>
      </c>
      <c r="CG7" s="137">
        <v>98796.96996736963</v>
      </c>
      <c r="CH7" s="137">
        <v>98852.407679751341</v>
      </c>
      <c r="CI7" s="137">
        <v>98923.060554853437</v>
      </c>
      <c r="CJ7" s="137">
        <v>98958.568554160142</v>
      </c>
      <c r="CK7" s="137">
        <v>99000.176677550015</v>
      </c>
      <c r="CL7" s="137">
        <v>99084.367055144074</v>
      </c>
      <c r="CM7" s="137">
        <v>99103.528156941888</v>
      </c>
      <c r="CN7" s="137">
        <v>99160.755073542241</v>
      </c>
      <c r="CO7" s="137">
        <v>99219.805574244063</v>
      </c>
      <c r="CP7" s="137">
        <v>99267.910019310715</v>
      </c>
      <c r="CQ7" s="137">
        <v>99315.92289366413</v>
      </c>
      <c r="CR7" s="137">
        <v>99339.986352921842</v>
      </c>
      <c r="CS7" s="137">
        <v>99377.541503755405</v>
      </c>
      <c r="CT7" s="137">
        <v>99394.240130395308</v>
      </c>
      <c r="CU7" s="137">
        <v>99424.067783579871</v>
      </c>
      <c r="CV7" s="137">
        <v>99440.963683194394</v>
      </c>
      <c r="CW7" s="137">
        <v>99453.816753886596</v>
      </c>
      <c r="CX7" s="137">
        <v>99487.117836758727</v>
      </c>
      <c r="CY7" s="137">
        <v>99485.238906790299</v>
      </c>
      <c r="CZ7" s="137">
        <v>99495.234995509236</v>
      </c>
      <c r="DA7" s="137">
        <v>99491.938104259127</v>
      </c>
      <c r="DB7" s="137">
        <v>99521.136650645494</v>
      </c>
      <c r="DC7" s="137">
        <v>99536.549468172539</v>
      </c>
      <c r="DD7" s="137">
        <v>99541.350369468768</v>
      </c>
      <c r="DE7" s="137">
        <v>99545.718584883274</v>
      </c>
      <c r="DF7" s="137">
        <v>99584.277582005976</v>
      </c>
      <c r="DG7" s="137">
        <v>99578.731416529394</v>
      </c>
      <c r="DH7" s="137">
        <v>99592.341411132365</v>
      </c>
      <c r="DI7" s="137">
        <v>99583.431512563257</v>
      </c>
      <c r="DJ7" s="137">
        <v>99612.261998428512</v>
      </c>
      <c r="DK7" s="137">
        <v>99618.908375731582</v>
      </c>
      <c r="DL7" s="137">
        <v>99612.509039592231</v>
      </c>
      <c r="DM7" s="137">
        <v>99609.609440085536</v>
      </c>
      <c r="DN7" s="137">
        <v>99599.657308597438</v>
      </c>
      <c r="DO7" s="137">
        <v>99618.408410760574</v>
      </c>
      <c r="DP7" s="137">
        <f>(G_Kohorte_F!DP7+G_Kohorte_M!DP7)/2</f>
        <v>99633.790095627744</v>
      </c>
      <c r="DQ7" s="137">
        <f>(G_Kohorte_F!DQ7+G_Kohorte_M!DQ7)/2</f>
        <v>99632.151422197043</v>
      </c>
      <c r="DR7" s="137">
        <f>(G_Kohorte_F!DR7+G_Kohorte_M!DR7)/2</f>
        <v>99646.201068919938</v>
      </c>
      <c r="DS7" s="137">
        <f>(G_Kohorte_F!DS7+G_Kohorte_M!DS7)/2</f>
        <v>99647.293393300031</v>
      </c>
      <c r="DT7" s="137">
        <f>(G_Kohorte_F!DT7+G_Kohorte_M!DT7)/2</f>
        <v>99662.24537461318</v>
      </c>
      <c r="DU7" s="137">
        <f>(G_Kohorte_F!DU7+G_Kohorte_M!DU7)/2</f>
        <v>99676.554647564175</v>
      </c>
    </row>
    <row r="8" spans="1:125">
      <c r="A8" s="2348">
        <v>6</v>
      </c>
      <c r="B8" s="137"/>
      <c r="C8" s="137"/>
      <c r="D8" s="137"/>
      <c r="E8" s="137"/>
      <c r="F8" s="137"/>
      <c r="G8" s="137"/>
      <c r="H8" s="137"/>
      <c r="I8" s="137"/>
      <c r="J8" s="137"/>
      <c r="K8" s="137"/>
      <c r="L8" s="137"/>
      <c r="M8" s="137"/>
      <c r="N8" s="137"/>
      <c r="O8" s="137"/>
      <c r="P8" s="137"/>
      <c r="Q8" s="137"/>
      <c r="R8" s="137"/>
      <c r="S8" s="137"/>
      <c r="T8" s="137"/>
      <c r="U8" s="137"/>
      <c r="V8" s="137"/>
      <c r="W8" s="2342">
        <v>83311</v>
      </c>
      <c r="X8" s="2342">
        <v>84095</v>
      </c>
      <c r="Y8" s="137">
        <v>84170.661319775536</v>
      </c>
      <c r="Z8" s="137">
        <v>86351.463002595148</v>
      </c>
      <c r="AA8" s="137">
        <v>86641.97005350329</v>
      </c>
      <c r="AB8" s="137">
        <v>87167.650792056389</v>
      </c>
      <c r="AC8" s="137">
        <v>87919.561628058495</v>
      </c>
      <c r="AD8" s="137">
        <v>88749.141778034347</v>
      </c>
      <c r="AE8" s="137">
        <v>88512.800584918528</v>
      </c>
      <c r="AF8" s="137">
        <v>89603.929626912286</v>
      </c>
      <c r="AG8" s="137">
        <v>89898.428106609295</v>
      </c>
      <c r="AH8" s="137">
        <v>90064.613737832158</v>
      </c>
      <c r="AI8" s="137">
        <v>90274.262319088797</v>
      </c>
      <c r="AJ8" s="137">
        <v>91409.532056240685</v>
      </c>
      <c r="AK8" s="137">
        <v>91279.551932270959</v>
      </c>
      <c r="AL8" s="137">
        <v>91510.866452504473</v>
      </c>
      <c r="AM8" s="137">
        <v>91695.552463719971</v>
      </c>
      <c r="AN8" s="137">
        <v>92045.344486096277</v>
      </c>
      <c r="AO8" s="137">
        <v>91861.486787300499</v>
      </c>
      <c r="AP8" s="137">
        <v>91734.092600605072</v>
      </c>
      <c r="AQ8" s="137">
        <v>91727.546594711719</v>
      </c>
      <c r="AR8" s="137">
        <v>91663.926305685745</v>
      </c>
      <c r="AS8" s="137">
        <v>91046.13934487183</v>
      </c>
      <c r="AT8" s="137">
        <v>90242.541345434205</v>
      </c>
      <c r="AU8" s="137">
        <v>88941.732235316987</v>
      </c>
      <c r="AV8" s="137">
        <v>89295.690179887286</v>
      </c>
      <c r="AW8" s="137">
        <v>89595.731435958558</v>
      </c>
      <c r="AX8" s="137">
        <v>91766.727906097018</v>
      </c>
      <c r="AY8" s="137">
        <v>93578.095992266579</v>
      </c>
      <c r="AZ8" s="137">
        <v>93641.66615224845</v>
      </c>
      <c r="BA8" s="137">
        <v>93699.64317728857</v>
      </c>
      <c r="BB8" s="137">
        <v>94352.620202898077</v>
      </c>
      <c r="BC8" s="137">
        <v>94592.634663708348</v>
      </c>
      <c r="BD8" s="137">
        <v>94976.408046606084</v>
      </c>
      <c r="BE8" s="137">
        <v>95058.605871529391</v>
      </c>
      <c r="BF8" s="137">
        <v>95383.67063582316</v>
      </c>
      <c r="BG8" s="137">
        <v>95476.324476947048</v>
      </c>
      <c r="BH8" s="137">
        <v>95717.167808619546</v>
      </c>
      <c r="BI8" s="137">
        <v>95884.163841520698</v>
      </c>
      <c r="BJ8" s="137">
        <v>96016.599818807605</v>
      </c>
      <c r="BK8" s="137">
        <v>96288.029922482616</v>
      </c>
      <c r="BL8" s="137">
        <v>96556.85746915765</v>
      </c>
      <c r="BM8" s="137">
        <v>96772.438754541668</v>
      </c>
      <c r="BN8" s="137">
        <v>97005.592751843957</v>
      </c>
      <c r="BO8" s="137">
        <v>97168.240559603408</v>
      </c>
      <c r="BP8" s="137">
        <v>97251.028255139827</v>
      </c>
      <c r="BQ8" s="137">
        <v>97316.027987843627</v>
      </c>
      <c r="BR8" s="137">
        <v>97383.098309235822</v>
      </c>
      <c r="BS8" s="137">
        <v>97341.508766587212</v>
      </c>
      <c r="BT8" s="137">
        <v>97403.231767884412</v>
      </c>
      <c r="BU8" s="137">
        <v>97461.158347500925</v>
      </c>
      <c r="BV8" s="137">
        <v>97539.472550909937</v>
      </c>
      <c r="BW8" s="137">
        <v>97582.897628480307</v>
      </c>
      <c r="BX8" s="137">
        <v>97690.46721670909</v>
      </c>
      <c r="BY8" s="137">
        <v>97820.28185696897</v>
      </c>
      <c r="BZ8" s="137">
        <v>98079.354750004437</v>
      </c>
      <c r="CA8" s="137">
        <v>98246.12904883294</v>
      </c>
      <c r="CB8" s="137">
        <v>98317.981476685964</v>
      </c>
      <c r="CC8" s="137">
        <v>98433.5867444045</v>
      </c>
      <c r="CD8" s="137">
        <v>98516.281067639429</v>
      </c>
      <c r="CE8" s="137">
        <v>98591.037421801579</v>
      </c>
      <c r="CF8" s="137">
        <v>98696.656404540365</v>
      </c>
      <c r="CG8" s="137">
        <v>98772.782472277308</v>
      </c>
      <c r="CH8" s="137">
        <v>98827.788015787897</v>
      </c>
      <c r="CI8" s="137">
        <v>98898.846504492743</v>
      </c>
      <c r="CJ8" s="137">
        <v>98934.945302531531</v>
      </c>
      <c r="CK8" s="137">
        <v>98981.43284786705</v>
      </c>
      <c r="CL8" s="137">
        <v>99068.044099608131</v>
      </c>
      <c r="CM8" s="137">
        <v>99083.934980344871</v>
      </c>
      <c r="CN8" s="137">
        <v>99143.687394829409</v>
      </c>
      <c r="CO8" s="137">
        <v>99207.253148355871</v>
      </c>
      <c r="CP8" s="137">
        <v>99254.65469017993</v>
      </c>
      <c r="CQ8" s="137">
        <v>99304.854988853753</v>
      </c>
      <c r="CR8" s="137">
        <v>99328.805884853762</v>
      </c>
      <c r="CS8" s="137">
        <v>99365.91327092392</v>
      </c>
      <c r="CT8" s="137">
        <v>99381.780372157504</v>
      </c>
      <c r="CU8" s="137">
        <v>99410.682071485076</v>
      </c>
      <c r="CV8" s="137">
        <v>99427.443704904435</v>
      </c>
      <c r="CW8" s="137">
        <v>99442.007629739936</v>
      </c>
      <c r="CX8" s="137">
        <v>99477.096241274354</v>
      </c>
      <c r="CY8" s="137">
        <v>99474.213072855942</v>
      </c>
      <c r="CZ8" s="137">
        <v>99484.243616478445</v>
      </c>
      <c r="DA8" s="137">
        <v>99482.585089150089</v>
      </c>
      <c r="DB8" s="137">
        <v>99511.019957345998</v>
      </c>
      <c r="DC8" s="137">
        <v>99525.388050140813</v>
      </c>
      <c r="DD8" s="137">
        <v>99529.138150743849</v>
      </c>
      <c r="DE8" s="137">
        <v>99535.403655087401</v>
      </c>
      <c r="DF8" s="137">
        <v>99576.190986019312</v>
      </c>
      <c r="DG8" s="137">
        <v>99570.649961108313</v>
      </c>
      <c r="DH8" s="137">
        <v>99583.438604812429</v>
      </c>
      <c r="DI8" s="137">
        <v>99573.194307738187</v>
      </c>
      <c r="DJ8" s="137">
        <v>99603.565398750099</v>
      </c>
      <c r="DK8" s="137">
        <v>99611.090091763312</v>
      </c>
      <c r="DL8" s="137">
        <v>99604.538710617169</v>
      </c>
      <c r="DM8" s="137">
        <v>99600.798853446468</v>
      </c>
      <c r="DN8" s="137">
        <v>99592.626658316149</v>
      </c>
      <c r="DO8" s="137">
        <v>99611.054674436222</v>
      </c>
      <c r="DP8" s="137">
        <f>(G_Kohorte_F!DP8+G_Kohorte_M!DP8)/2</f>
        <v>99626.727388288709</v>
      </c>
      <c r="DQ8" s="137">
        <f>(G_Kohorte_F!DQ8+G_Kohorte_M!DQ8)/2</f>
        <v>99625.369299575337</v>
      </c>
      <c r="DR8" s="137">
        <f>(G_Kohorte_F!DR8+G_Kohorte_M!DR8)/2</f>
        <v>99639.687213998579</v>
      </c>
      <c r="DS8" s="137">
        <f>(G_Kohorte_F!DS8+G_Kohorte_M!DS8)/2</f>
        <v>99641.038137261465</v>
      </c>
      <c r="DT8" s="137">
        <f>(G_Kohorte_F!DT8+G_Kohorte_M!DT8)/2</f>
        <v>99656.237503860088</v>
      </c>
      <c r="DU8" s="137">
        <f>(G_Kohorte_F!DU8+G_Kohorte_M!DU8)/2</f>
        <v>99670.784381189689</v>
      </c>
    </row>
    <row r="9" spans="1:125">
      <c r="A9" s="2348">
        <v>7</v>
      </c>
      <c r="B9" s="137"/>
      <c r="C9" s="137"/>
      <c r="D9" s="137"/>
      <c r="E9" s="137"/>
      <c r="F9" s="137"/>
      <c r="G9" s="137"/>
      <c r="H9" s="137"/>
      <c r="I9" s="137"/>
      <c r="J9" s="137"/>
      <c r="K9" s="137"/>
      <c r="L9" s="137"/>
      <c r="M9" s="137"/>
      <c r="N9" s="137"/>
      <c r="O9" s="137"/>
      <c r="P9" s="137"/>
      <c r="Q9" s="137"/>
      <c r="R9" s="137"/>
      <c r="S9" s="137"/>
      <c r="T9" s="137"/>
      <c r="U9" s="137"/>
      <c r="V9" s="137"/>
      <c r="W9" s="2342">
        <v>83143</v>
      </c>
      <c r="X9" s="2342">
        <v>83908.5</v>
      </c>
      <c r="Y9" s="137">
        <v>83957.702884419472</v>
      </c>
      <c r="Z9" s="137">
        <v>86129.940640123765</v>
      </c>
      <c r="AA9" s="137">
        <v>86450.794085888163</v>
      </c>
      <c r="AB9" s="137">
        <v>86989.932344480927</v>
      </c>
      <c r="AC9" s="137">
        <v>87740.310822893225</v>
      </c>
      <c r="AD9" s="137">
        <v>88568.19367102762</v>
      </c>
      <c r="AE9" s="137">
        <v>88302.700279088021</v>
      </c>
      <c r="AF9" s="137">
        <v>89380.298364253104</v>
      </c>
      <c r="AG9" s="137">
        <v>89697.953370430754</v>
      </c>
      <c r="AH9" s="137">
        <v>89876.707877569075</v>
      </c>
      <c r="AI9" s="137">
        <v>90073.060686862882</v>
      </c>
      <c r="AJ9" s="137">
        <v>91205.790131324466</v>
      </c>
      <c r="AK9" s="137">
        <v>91076.106544141774</v>
      </c>
      <c r="AL9" s="137">
        <v>91306.902878356967</v>
      </c>
      <c r="AM9" s="137">
        <v>91470.737834288884</v>
      </c>
      <c r="AN9" s="137">
        <v>91788.900838122892</v>
      </c>
      <c r="AO9" s="137">
        <v>91554.37623521348</v>
      </c>
      <c r="AP9" s="137">
        <v>91582.986580840166</v>
      </c>
      <c r="AQ9" s="137">
        <v>91576.454769338365</v>
      </c>
      <c r="AR9" s="137">
        <v>91565.575113229846</v>
      </c>
      <c r="AS9" s="137">
        <v>90962.482979349181</v>
      </c>
      <c r="AT9" s="137">
        <v>90159.634917813994</v>
      </c>
      <c r="AU9" s="137">
        <v>88860.036389330984</v>
      </c>
      <c r="AV9" s="137">
        <v>89231.214024556655</v>
      </c>
      <c r="AW9" s="137">
        <v>89534.547736303546</v>
      </c>
      <c r="AX9" s="137">
        <v>91705.400254258682</v>
      </c>
      <c r="AY9" s="137">
        <v>93517.359489977636</v>
      </c>
      <c r="AZ9" s="137">
        <v>93579.596878643759</v>
      </c>
      <c r="BA9" s="137">
        <v>93642.037372564489</v>
      </c>
      <c r="BB9" s="137">
        <v>94299.852919854427</v>
      </c>
      <c r="BC9" s="137">
        <v>94540.509389343497</v>
      </c>
      <c r="BD9" s="137">
        <v>94919.011690317886</v>
      </c>
      <c r="BE9" s="137">
        <v>95003.799767839519</v>
      </c>
      <c r="BF9" s="137">
        <v>95332.470118854922</v>
      </c>
      <c r="BG9" s="137">
        <v>95422.769552109021</v>
      </c>
      <c r="BH9" s="137">
        <v>95665.922654381036</v>
      </c>
      <c r="BI9" s="137">
        <v>95833.147094801519</v>
      </c>
      <c r="BJ9" s="137">
        <v>95964.939296337951</v>
      </c>
      <c r="BK9" s="137">
        <v>96233.794241513198</v>
      </c>
      <c r="BL9" s="137">
        <v>96501.546081630455</v>
      </c>
      <c r="BM9" s="137">
        <v>96718.934416552627</v>
      </c>
      <c r="BN9" s="137">
        <v>96952.997591906285</v>
      </c>
      <c r="BO9" s="137">
        <v>97113.033348861223</v>
      </c>
      <c r="BP9" s="137">
        <v>97197.951220155694</v>
      </c>
      <c r="BQ9" s="137">
        <v>97271.161877226608</v>
      </c>
      <c r="BR9" s="137">
        <v>97338.572675164469</v>
      </c>
      <c r="BS9" s="137">
        <v>97298.273703860614</v>
      </c>
      <c r="BT9" s="137">
        <v>97361.603787986242</v>
      </c>
      <c r="BU9" s="137">
        <v>97421.026698546106</v>
      </c>
      <c r="BV9" s="137">
        <v>97501.764903817922</v>
      </c>
      <c r="BW9" s="137">
        <v>97547.830010394391</v>
      </c>
      <c r="BX9" s="137">
        <v>97659.230292808134</v>
      </c>
      <c r="BY9" s="137">
        <v>97788.718858838634</v>
      </c>
      <c r="BZ9" s="137">
        <v>98049.55326421783</v>
      </c>
      <c r="CA9" s="137">
        <v>98220.247185777393</v>
      </c>
      <c r="CB9" s="137">
        <v>98293.227539017535</v>
      </c>
      <c r="CC9" s="137">
        <v>98408.375417948148</v>
      </c>
      <c r="CD9" s="137">
        <v>98494.086526670522</v>
      </c>
      <c r="CE9" s="137">
        <v>98569.636246614915</v>
      </c>
      <c r="CF9" s="137">
        <v>98672.458421155083</v>
      </c>
      <c r="CG9" s="137">
        <v>98753.300348514284</v>
      </c>
      <c r="CH9" s="137">
        <v>98806.875514058396</v>
      </c>
      <c r="CI9" s="137">
        <v>98879.951303587179</v>
      </c>
      <c r="CJ9" s="137">
        <v>98915.615386695572</v>
      </c>
      <c r="CK9" s="137">
        <v>98965.442680363485</v>
      </c>
      <c r="CL9" s="137">
        <v>99052.350188838027</v>
      </c>
      <c r="CM9" s="137">
        <v>99067.435908970045</v>
      </c>
      <c r="CN9" s="137">
        <v>99128.482068149737</v>
      </c>
      <c r="CO9" s="137">
        <v>99194.130149327349</v>
      </c>
      <c r="CP9" s="137">
        <v>99242.407887660811</v>
      </c>
      <c r="CQ9" s="137">
        <v>99292.263311355753</v>
      </c>
      <c r="CR9" s="137">
        <v>99314.23902641944</v>
      </c>
      <c r="CS9" s="137">
        <v>99355.03415102158</v>
      </c>
      <c r="CT9" s="137">
        <v>99369.324238609493</v>
      </c>
      <c r="CU9" s="137">
        <v>99401.878017895418</v>
      </c>
      <c r="CV9" s="137">
        <v>99416.428454666428</v>
      </c>
      <c r="CW9" s="137">
        <v>99430.743701756233</v>
      </c>
      <c r="CX9" s="137">
        <v>99469.532640100544</v>
      </c>
      <c r="CY9" s="137">
        <v>99465.153107272607</v>
      </c>
      <c r="CZ9" s="137">
        <v>99473.907320648999</v>
      </c>
      <c r="DA9" s="137">
        <v>99474.431806164124</v>
      </c>
      <c r="DB9" s="137">
        <v>99500.181493626573</v>
      </c>
      <c r="DC9" s="137">
        <v>99516.904263659439</v>
      </c>
      <c r="DD9" s="137">
        <v>99522.265282074804</v>
      </c>
      <c r="DE9" s="137">
        <v>99527.305137318763</v>
      </c>
      <c r="DF9" s="137">
        <v>99569.194477438839</v>
      </c>
      <c r="DG9" s="137">
        <v>99562.742389851221</v>
      </c>
      <c r="DH9" s="137">
        <v>99573.701392083894</v>
      </c>
      <c r="DI9" s="137">
        <v>99564.707075177139</v>
      </c>
      <c r="DJ9" s="137">
        <v>99593.978887614096</v>
      </c>
      <c r="DK9" s="137">
        <v>99603.767768936144</v>
      </c>
      <c r="DL9" s="137">
        <v>99598.251183888729</v>
      </c>
      <c r="DM9" s="137">
        <v>99593.02585456302</v>
      </c>
      <c r="DN9" s="137">
        <v>99586.089438889307</v>
      </c>
      <c r="DO9" s="137">
        <v>99604.771991500762</v>
      </c>
      <c r="DP9" s="137">
        <f>(G_Kohorte_F!DP9+G_Kohorte_M!DP9)/2</f>
        <v>99620.689517666207</v>
      </c>
      <c r="DQ9" s="137">
        <f>(G_Kohorte_F!DQ9+G_Kohorte_M!DQ9)/2</f>
        <v>99619.567625277123</v>
      </c>
      <c r="DR9" s="137">
        <f>(G_Kohorte_F!DR9+G_Kohorte_M!DR9)/2</f>
        <v>99634.11150375256</v>
      </c>
      <c r="DS9" s="137">
        <f>(G_Kohorte_F!DS9+G_Kohorte_M!DS9)/2</f>
        <v>99635.680389165238</v>
      </c>
      <c r="DT9" s="137">
        <f>(G_Kohorte_F!DT9+G_Kohorte_M!DT9)/2</f>
        <v>99651.088392579084</v>
      </c>
      <c r="DU9" s="137">
        <f>(G_Kohorte_F!DU9+G_Kohorte_M!DU9)/2</f>
        <v>99665.835786587486</v>
      </c>
    </row>
    <row r="10" spans="1:125">
      <c r="A10" s="2348">
        <v>8</v>
      </c>
      <c r="B10" s="137"/>
      <c r="C10" s="137"/>
      <c r="D10" s="137"/>
      <c r="E10" s="137"/>
      <c r="F10" s="137"/>
      <c r="G10" s="137"/>
      <c r="H10" s="137"/>
      <c r="I10" s="137"/>
      <c r="J10" s="137"/>
      <c r="K10" s="137"/>
      <c r="L10" s="137"/>
      <c r="M10" s="137"/>
      <c r="N10" s="137"/>
      <c r="O10" s="137"/>
      <c r="P10" s="137"/>
      <c r="Q10" s="137"/>
      <c r="R10" s="137"/>
      <c r="S10" s="137"/>
      <c r="T10" s="137"/>
      <c r="U10" s="137"/>
      <c r="V10" s="137"/>
      <c r="W10" s="2342">
        <v>82985.5</v>
      </c>
      <c r="X10" s="2342">
        <v>83736.5</v>
      </c>
      <c r="Y10" s="137">
        <v>83790.089003916219</v>
      </c>
      <c r="Z10" s="137">
        <v>85983.759122610456</v>
      </c>
      <c r="AA10" s="137">
        <v>86292.307198998591</v>
      </c>
      <c r="AB10" s="137">
        <v>86830.450339234114</v>
      </c>
      <c r="AC10" s="137">
        <v>87579.454016837757</v>
      </c>
      <c r="AD10" s="137">
        <v>88373.669781096178</v>
      </c>
      <c r="AE10" s="137">
        <v>88117.575076846086</v>
      </c>
      <c r="AF10" s="137">
        <v>89210.739951935917</v>
      </c>
      <c r="AG10" s="137">
        <v>89532.324176287992</v>
      </c>
      <c r="AH10" s="137">
        <v>89701.756982236126</v>
      </c>
      <c r="AI10" s="137">
        <v>89897.736275041389</v>
      </c>
      <c r="AJ10" s="137">
        <v>91028.252446422237</v>
      </c>
      <c r="AK10" s="137">
        <v>90898.827050012085</v>
      </c>
      <c r="AL10" s="137">
        <v>91111.398828360194</v>
      </c>
      <c r="AM10" s="137">
        <v>91248.173992778437</v>
      </c>
      <c r="AN10" s="137">
        <v>91520.897898778523</v>
      </c>
      <c r="AO10" s="137">
        <v>91426.458196783264</v>
      </c>
      <c r="AP10" s="137">
        <v>91455.031412743265</v>
      </c>
      <c r="AQ10" s="137">
        <v>91475.98103240857</v>
      </c>
      <c r="AR10" s="137">
        <v>91493.853273275541</v>
      </c>
      <c r="AS10" s="137">
        <v>90891.243118297367</v>
      </c>
      <c r="AT10" s="137">
        <v>90089.041737881082</v>
      </c>
      <c r="AU10" s="137">
        <v>88805.028719514652</v>
      </c>
      <c r="AV10" s="137">
        <v>89177.393460606778</v>
      </c>
      <c r="AW10" s="137">
        <v>89481.482495578661</v>
      </c>
      <c r="AX10" s="137">
        <v>91653.726284697856</v>
      </c>
      <c r="AY10" s="137">
        <v>93463.845392806164</v>
      </c>
      <c r="AZ10" s="137">
        <v>93525.081891076872</v>
      </c>
      <c r="BA10" s="137">
        <v>93592.419007541088</v>
      </c>
      <c r="BB10" s="137">
        <v>94244.971353003551</v>
      </c>
      <c r="BC10" s="137">
        <v>94494.615016903175</v>
      </c>
      <c r="BD10" s="137">
        <v>94870.250204836731</v>
      </c>
      <c r="BE10" s="137">
        <v>94955.161586242786</v>
      </c>
      <c r="BF10" s="137">
        <v>95284.254936253754</v>
      </c>
      <c r="BG10" s="137">
        <v>95380.376147443851</v>
      </c>
      <c r="BH10" s="137">
        <v>95617.561450760637</v>
      </c>
      <c r="BI10" s="137">
        <v>95784.904011351377</v>
      </c>
      <c r="BJ10" s="137">
        <v>95914.692269605264</v>
      </c>
      <c r="BK10" s="137">
        <v>96189.301329908776</v>
      </c>
      <c r="BL10" s="137">
        <v>96453.880349826868</v>
      </c>
      <c r="BM10" s="137">
        <v>96669.852631225018</v>
      </c>
      <c r="BN10" s="137">
        <v>96907.583453419298</v>
      </c>
      <c r="BO10" s="137">
        <v>97066.141287006874</v>
      </c>
      <c r="BP10" s="137">
        <v>97154.781033795531</v>
      </c>
      <c r="BQ10" s="137">
        <v>97230.246398544754</v>
      </c>
      <c r="BR10" s="137">
        <v>97297.127313845558</v>
      </c>
      <c r="BS10" s="137">
        <v>97260.473775597668</v>
      </c>
      <c r="BT10" s="137">
        <v>97324.272315019349</v>
      </c>
      <c r="BU10" s="137">
        <v>97386.221540360202</v>
      </c>
      <c r="BV10" s="137">
        <v>97467.149139722373</v>
      </c>
      <c r="BW10" s="137">
        <v>97514.953203206096</v>
      </c>
      <c r="BX10" s="137">
        <v>97628.154718543548</v>
      </c>
      <c r="BY10" s="137">
        <v>97759.506609017961</v>
      </c>
      <c r="BZ10" s="137">
        <v>98025.351894414023</v>
      </c>
      <c r="CA10" s="137">
        <v>98196.233349911039</v>
      </c>
      <c r="CB10" s="137">
        <v>98269.300509767665</v>
      </c>
      <c r="CC10" s="137">
        <v>98386.242589031637</v>
      </c>
      <c r="CD10" s="137">
        <v>98474.250172887405</v>
      </c>
      <c r="CE10" s="137">
        <v>98545.976405750902</v>
      </c>
      <c r="CF10" s="137">
        <v>98651.970405451095</v>
      </c>
      <c r="CG10" s="137">
        <v>98731.053321074578</v>
      </c>
      <c r="CH10" s="137">
        <v>98791.047865939792</v>
      </c>
      <c r="CI10" s="137">
        <v>98864.635541939497</v>
      </c>
      <c r="CJ10" s="137">
        <v>98899.312556155768</v>
      </c>
      <c r="CK10" s="137">
        <v>98949.776751601021</v>
      </c>
      <c r="CL10" s="137">
        <v>99037.63486024976</v>
      </c>
      <c r="CM10" s="137">
        <v>99056.133267423691</v>
      </c>
      <c r="CN10" s="137">
        <v>99116.115666857891</v>
      </c>
      <c r="CO10" s="137">
        <v>99181.892282385437</v>
      </c>
      <c r="CP10" s="137">
        <v>99229.433655189277</v>
      </c>
      <c r="CQ10" s="137">
        <v>99282.171983387059</v>
      </c>
      <c r="CR10" s="137">
        <v>99305.574115015348</v>
      </c>
      <c r="CS10" s="137">
        <v>99343.557378110316</v>
      </c>
      <c r="CT10" s="137">
        <v>99358.003163864341</v>
      </c>
      <c r="CU10" s="137">
        <v>99393.524555492535</v>
      </c>
      <c r="CV10" s="137">
        <v>99406.437743151211</v>
      </c>
      <c r="CW10" s="137">
        <v>99422.069135043101</v>
      </c>
      <c r="CX10" s="137">
        <v>99460.179544075363</v>
      </c>
      <c r="CY10" s="137">
        <v>99457.328059513355</v>
      </c>
      <c r="CZ10" s="137">
        <v>99464.394443481957</v>
      </c>
      <c r="DA10" s="137">
        <v>99467.928106146544</v>
      </c>
      <c r="DB10" s="137">
        <v>99492.175618105772</v>
      </c>
      <c r="DC10" s="137">
        <v>99506.250527642114</v>
      </c>
      <c r="DD10" s="137">
        <v>99516.201080510538</v>
      </c>
      <c r="DE10" s="137">
        <v>99520.556908124097</v>
      </c>
      <c r="DF10" s="137">
        <v>99562.743592363156</v>
      </c>
      <c r="DG10" s="137">
        <v>99556.489140844467</v>
      </c>
      <c r="DH10" s="137">
        <v>99567.08948507825</v>
      </c>
      <c r="DI10" s="137">
        <v>99556.778600517602</v>
      </c>
      <c r="DJ10" s="137">
        <v>99587.176074346586</v>
      </c>
      <c r="DK10" s="137">
        <v>99597.396921157328</v>
      </c>
      <c r="DL10" s="137">
        <v>99590.394759201256</v>
      </c>
      <c r="DM10" s="137">
        <v>99586.932396589589</v>
      </c>
      <c r="DN10" s="137">
        <v>99580.231110647408</v>
      </c>
      <c r="DO10" s="137">
        <v>99599.138174610343</v>
      </c>
      <c r="DP10" s="137">
        <f>(G_Kohorte_F!DP10+G_Kohorte_M!DP10)/2</f>
        <v>99615.27177246529</v>
      </c>
      <c r="DQ10" s="137">
        <f>(G_Kohorte_F!DQ10+G_Kohorte_M!DQ10)/2</f>
        <v>99614.358499445691</v>
      </c>
      <c r="DR10" s="137">
        <f>(G_Kohorte_F!DR10+G_Kohorte_M!DR10)/2</f>
        <v>99629.102082846744</v>
      </c>
      <c r="DS10" s="137">
        <f>(G_Kohorte_F!DS10+G_Kohorte_M!DS10)/2</f>
        <v>99630.863723733841</v>
      </c>
      <c r="DT10" s="137">
        <f>(G_Kohorte_F!DT10+G_Kohorte_M!DT10)/2</f>
        <v>99646.456349532193</v>
      </c>
      <c r="DU10" s="137">
        <f>(G_Kohorte_F!DU10+G_Kohorte_M!DU10)/2</f>
        <v>99661.381295062354</v>
      </c>
    </row>
    <row r="11" spans="1:125">
      <c r="A11" s="2348">
        <v>9</v>
      </c>
      <c r="B11" s="137"/>
      <c r="C11" s="137"/>
      <c r="D11" s="137"/>
      <c r="E11" s="137"/>
      <c r="F11" s="137"/>
      <c r="G11" s="137"/>
      <c r="H11" s="137"/>
      <c r="I11" s="137"/>
      <c r="J11" s="137"/>
      <c r="K11" s="137"/>
      <c r="L11" s="137"/>
      <c r="M11" s="137"/>
      <c r="N11" s="137"/>
      <c r="O11" s="137"/>
      <c r="P11" s="137"/>
      <c r="Q11" s="137"/>
      <c r="R11" s="137"/>
      <c r="S11" s="137"/>
      <c r="T11" s="137"/>
      <c r="U11" s="137"/>
      <c r="V11" s="137"/>
      <c r="W11" s="2342">
        <v>82835</v>
      </c>
      <c r="X11" s="2342">
        <v>83591.5</v>
      </c>
      <c r="Y11" s="137">
        <v>83666.151961027383</v>
      </c>
      <c r="Z11" s="137">
        <v>85846.335205638679</v>
      </c>
      <c r="AA11" s="137">
        <v>86154.396958502766</v>
      </c>
      <c r="AB11" s="137">
        <v>86691.673057904147</v>
      </c>
      <c r="AC11" s="137">
        <v>87411.822089303692</v>
      </c>
      <c r="AD11" s="137">
        <v>88212.19090928798</v>
      </c>
      <c r="AE11" s="137">
        <v>87971.888284699497</v>
      </c>
      <c r="AF11" s="137">
        <v>89067.102281831249</v>
      </c>
      <c r="AG11" s="137">
        <v>89380.389154339588</v>
      </c>
      <c r="AH11" s="137">
        <v>89549.513047315384</v>
      </c>
      <c r="AI11" s="137">
        <v>89745.168580335361</v>
      </c>
      <c r="AJ11" s="137">
        <v>90873.75751489932</v>
      </c>
      <c r="AK11" s="137">
        <v>90729.130703224801</v>
      </c>
      <c r="AL11" s="137">
        <v>90918.108551906043</v>
      </c>
      <c r="AM11" s="137">
        <v>91015.876086655146</v>
      </c>
      <c r="AN11" s="137">
        <v>91405.354745397621</v>
      </c>
      <c r="AO11" s="137">
        <v>91311.042266672215</v>
      </c>
      <c r="AP11" s="137">
        <v>91364.368603953801</v>
      </c>
      <c r="AQ11" s="137">
        <v>91413.428566152841</v>
      </c>
      <c r="AR11" s="137">
        <v>91431.287837764889</v>
      </c>
      <c r="AS11" s="137">
        <v>90829.096249384049</v>
      </c>
      <c r="AT11" s="137">
        <v>90040.899326690298</v>
      </c>
      <c r="AU11" s="137">
        <v>88758.808699310277</v>
      </c>
      <c r="AV11" s="137">
        <v>89131.920227355789</v>
      </c>
      <c r="AW11" s="137">
        <v>89440.649927963852</v>
      </c>
      <c r="AX11" s="137">
        <v>91608.457499720345</v>
      </c>
      <c r="AY11" s="137">
        <v>93417.210283162291</v>
      </c>
      <c r="AZ11" s="137">
        <v>93483.20371340643</v>
      </c>
      <c r="BA11" s="137">
        <v>93548.150712713963</v>
      </c>
      <c r="BB11" s="137">
        <v>94202.251283860402</v>
      </c>
      <c r="BC11" s="137">
        <v>94448.477153013024</v>
      </c>
      <c r="BD11" s="137">
        <v>94826.313267975682</v>
      </c>
      <c r="BE11" s="137">
        <v>94912.515283230954</v>
      </c>
      <c r="BF11" s="137">
        <v>95243.453880948669</v>
      </c>
      <c r="BG11" s="137">
        <v>95338.107778877908</v>
      </c>
      <c r="BH11" s="137">
        <v>95573.844464863854</v>
      </c>
      <c r="BI11" s="137">
        <v>95740.478056429885</v>
      </c>
      <c r="BJ11" s="137">
        <v>95871.599714427837</v>
      </c>
      <c r="BK11" s="137">
        <v>96147.097794361965</v>
      </c>
      <c r="BL11" s="137">
        <v>96408.422160218703</v>
      </c>
      <c r="BM11" s="137">
        <v>96627.600532774755</v>
      </c>
      <c r="BN11" s="137">
        <v>96867.040112756455</v>
      </c>
      <c r="BO11" s="137">
        <v>97032.032964111451</v>
      </c>
      <c r="BP11" s="137">
        <v>97119.421320802358</v>
      </c>
      <c r="BQ11" s="137">
        <v>97194.992982156371</v>
      </c>
      <c r="BR11" s="137">
        <v>97266.166907885286</v>
      </c>
      <c r="BS11" s="137">
        <v>97228.556502744439</v>
      </c>
      <c r="BT11" s="137">
        <v>97290.082208517269</v>
      </c>
      <c r="BU11" s="137">
        <v>97356.09731674545</v>
      </c>
      <c r="BV11" s="137">
        <v>97437.88232491797</v>
      </c>
      <c r="BW11" s="137">
        <v>97489.268171112111</v>
      </c>
      <c r="BX11" s="137">
        <v>97603.233984705526</v>
      </c>
      <c r="BY11" s="137">
        <v>97736.240027425578</v>
      </c>
      <c r="BZ11" s="137">
        <v>98002.999070234844</v>
      </c>
      <c r="CA11" s="137">
        <v>98172.967751537915</v>
      </c>
      <c r="CB11" s="137">
        <v>98247.26871647907</v>
      </c>
      <c r="CC11" s="137">
        <v>98367.891772778719</v>
      </c>
      <c r="CD11" s="137">
        <v>98454.593214858731</v>
      </c>
      <c r="CE11" s="137">
        <v>98520.983751768843</v>
      </c>
      <c r="CF11" s="137">
        <v>98632.392802346993</v>
      </c>
      <c r="CG11" s="137">
        <v>98712.623485257529</v>
      </c>
      <c r="CH11" s="137">
        <v>98776.352373052796</v>
      </c>
      <c r="CI11" s="137">
        <v>98850.031525938248</v>
      </c>
      <c r="CJ11" s="137">
        <v>98886.346904665988</v>
      </c>
      <c r="CK11" s="137">
        <v>98936.307602975925</v>
      </c>
      <c r="CL11" s="137">
        <v>99027.134088706604</v>
      </c>
      <c r="CM11" s="137">
        <v>99043.768033251312</v>
      </c>
      <c r="CN11" s="137">
        <v>99104.635859454342</v>
      </c>
      <c r="CO11" s="137">
        <v>99168.815864294578</v>
      </c>
      <c r="CP11" s="137">
        <v>99220.060433719307</v>
      </c>
      <c r="CQ11" s="137">
        <v>99272.811044104048</v>
      </c>
      <c r="CR11" s="137">
        <v>99295.42498322048</v>
      </c>
      <c r="CS11" s="137">
        <v>99330.043993004263</v>
      </c>
      <c r="CT11" s="137">
        <v>99348.899238087353</v>
      </c>
      <c r="CU11" s="137">
        <v>99384.43892314937</v>
      </c>
      <c r="CV11" s="137">
        <v>99398.329670712556</v>
      </c>
      <c r="CW11" s="137">
        <v>99412.16135649741</v>
      </c>
      <c r="CX11" s="137">
        <v>99453.495075318977</v>
      </c>
      <c r="CY11" s="137">
        <v>99450.328685219167</v>
      </c>
      <c r="CZ11" s="137">
        <v>99454.852221952242</v>
      </c>
      <c r="DA11" s="137">
        <v>99458.798833147477</v>
      </c>
      <c r="DB11" s="137">
        <v>99483.88625032673</v>
      </c>
      <c r="DC11" s="137">
        <v>99501.273891116725</v>
      </c>
      <c r="DD11" s="137">
        <v>99509.591392986476</v>
      </c>
      <c r="DE11" s="137">
        <v>99512.382640557247</v>
      </c>
      <c r="DF11" s="137">
        <v>99555.596064173908</v>
      </c>
      <c r="DG11" s="137">
        <v>99547.936272506064</v>
      </c>
      <c r="DH11" s="137">
        <v>99559.691351142916</v>
      </c>
      <c r="DI11" s="137">
        <v>99550.729195413704</v>
      </c>
      <c r="DJ11" s="137">
        <v>99580.792929678777</v>
      </c>
      <c r="DK11" s="137">
        <v>99590.843376034507</v>
      </c>
      <c r="DL11" s="137">
        <v>99584.441107078237</v>
      </c>
      <c r="DM11" s="137">
        <v>99581.204580013698</v>
      </c>
      <c r="DN11" s="137">
        <v>99574.720836255292</v>
      </c>
      <c r="DO11" s="137">
        <v>99593.835734133681</v>
      </c>
      <c r="DP11" s="137">
        <f>(G_Kohorte_F!DP11+G_Kohorte_M!DP11)/2</f>
        <v>99610.169479453849</v>
      </c>
      <c r="DQ11" s="137">
        <f>(G_Kohorte_F!DQ11+G_Kohorte_M!DQ11)/2</f>
        <v>99609.449590290606</v>
      </c>
      <c r="DR11" s="137">
        <f>(G_Kohorte_F!DR11+G_Kohorte_M!DR11)/2</f>
        <v>99624.378405886819</v>
      </c>
      <c r="DS11" s="137">
        <f>(G_Kohorte_F!DS11+G_Kohorte_M!DS11)/2</f>
        <v>99626.318947000575</v>
      </c>
      <c r="DT11" s="137">
        <f>(G_Kohorte_F!DT11+G_Kohorte_M!DT11)/2</f>
        <v>99642.08302809624</v>
      </c>
      <c r="DU11" s="137">
        <f>(G_Kohorte_F!DU11+G_Kohorte_M!DU11)/2</f>
        <v>99657.172967610386</v>
      </c>
    </row>
    <row r="12" spans="1:125">
      <c r="A12" s="2348">
        <v>10</v>
      </c>
      <c r="B12" s="137"/>
      <c r="C12" s="137"/>
      <c r="D12" s="137"/>
      <c r="E12" s="137"/>
      <c r="F12" s="137"/>
      <c r="G12" s="137"/>
      <c r="H12" s="137"/>
      <c r="I12" s="137"/>
      <c r="J12" s="137"/>
      <c r="K12" s="137"/>
      <c r="L12" s="137"/>
      <c r="M12" s="137"/>
      <c r="N12" s="137"/>
      <c r="O12" s="137"/>
      <c r="P12" s="137"/>
      <c r="Q12" s="137"/>
      <c r="R12" s="137"/>
      <c r="S12" s="137"/>
      <c r="T12" s="137"/>
      <c r="U12" s="137"/>
      <c r="V12" s="137"/>
      <c r="W12" s="2342">
        <v>82709</v>
      </c>
      <c r="X12" s="2342">
        <v>83483.5</v>
      </c>
      <c r="Y12" s="137">
        <v>83549.592803134845</v>
      </c>
      <c r="Z12" s="137">
        <v>85726.713419705891</v>
      </c>
      <c r="AA12" s="137">
        <v>86034.351925558789</v>
      </c>
      <c r="AB12" s="137">
        <v>86547.007182598027</v>
      </c>
      <c r="AC12" s="137">
        <v>87272.578174617316</v>
      </c>
      <c r="AD12" s="137">
        <v>88085.035043758195</v>
      </c>
      <c r="AE12" s="137">
        <v>87848.413428394677</v>
      </c>
      <c r="AF12" s="137">
        <v>88935.321007899824</v>
      </c>
      <c r="AG12" s="137">
        <v>89248.147940064518</v>
      </c>
      <c r="AH12" s="137">
        <v>89417.002747217164</v>
      </c>
      <c r="AI12" s="137">
        <v>89612.376574418828</v>
      </c>
      <c r="AJ12" s="137">
        <v>90725.841040477244</v>
      </c>
      <c r="AK12" s="137">
        <v>90561.318008697737</v>
      </c>
      <c r="AL12" s="137">
        <v>90716.311594230356</v>
      </c>
      <c r="AM12" s="137">
        <v>90905.982664548355</v>
      </c>
      <c r="AN12" s="137">
        <v>91294.994822509223</v>
      </c>
      <c r="AO12" s="137">
        <v>91224.476574414715</v>
      </c>
      <c r="AP12" s="137">
        <v>91306.4720365947</v>
      </c>
      <c r="AQ12" s="137">
        <v>91355.500983899823</v>
      </c>
      <c r="AR12" s="137">
        <v>91373.348119649338</v>
      </c>
      <c r="AS12" s="137">
        <v>90781.412031729647</v>
      </c>
      <c r="AT12" s="137">
        <v>89996.823474173289</v>
      </c>
      <c r="AU12" s="137">
        <v>88717.879668909678</v>
      </c>
      <c r="AV12" s="137">
        <v>89089.367950266344</v>
      </c>
      <c r="AW12" s="137">
        <v>89397.850836093261</v>
      </c>
      <c r="AX12" s="137">
        <v>91566.968059911334</v>
      </c>
      <c r="AY12" s="137">
        <v>93374.515922082413</v>
      </c>
      <c r="AZ12" s="137">
        <v>93442.11045451455</v>
      </c>
      <c r="BA12" s="137">
        <v>93509.594434036931</v>
      </c>
      <c r="BB12" s="137">
        <v>94161.2208157391</v>
      </c>
      <c r="BC12" s="137">
        <v>94410.838977156192</v>
      </c>
      <c r="BD12" s="137">
        <v>94786.586704601927</v>
      </c>
      <c r="BE12" s="137">
        <v>94874.0080291552</v>
      </c>
      <c r="BF12" s="137">
        <v>95205.980788161221</v>
      </c>
      <c r="BG12" s="137">
        <v>95299.845299140608</v>
      </c>
      <c r="BH12" s="137">
        <v>95534.866264133423</v>
      </c>
      <c r="BI12" s="137">
        <v>95701.515446794132</v>
      </c>
      <c r="BJ12" s="137">
        <v>95831.752753342822</v>
      </c>
      <c r="BK12" s="137">
        <v>96109.120662801404</v>
      </c>
      <c r="BL12" s="137">
        <v>96371.61291465367</v>
      </c>
      <c r="BM12" s="137">
        <v>96590.735758932889</v>
      </c>
      <c r="BN12" s="137">
        <v>96833.913220437506</v>
      </c>
      <c r="BO12" s="137">
        <v>97002.313285024124</v>
      </c>
      <c r="BP12" s="137">
        <v>97088.48246931062</v>
      </c>
      <c r="BQ12" s="137">
        <v>97166.741295829357</v>
      </c>
      <c r="BR12" s="137">
        <v>97234.535718936473</v>
      </c>
      <c r="BS12" s="137">
        <v>97199.985678304482</v>
      </c>
      <c r="BT12" s="137">
        <v>97263.116701544059</v>
      </c>
      <c r="BU12" s="137">
        <v>97331.909183009426</v>
      </c>
      <c r="BV12" s="137">
        <v>97414.272788128903</v>
      </c>
      <c r="BW12" s="137">
        <v>97467.782374397793</v>
      </c>
      <c r="BX12" s="137">
        <v>97579.255669597624</v>
      </c>
      <c r="BY12" s="137">
        <v>97713.996181402385</v>
      </c>
      <c r="BZ12" s="137">
        <v>97984.637287149148</v>
      </c>
      <c r="CA12" s="137">
        <v>98154.018827120599</v>
      </c>
      <c r="CB12" s="137">
        <v>98227.295275416516</v>
      </c>
      <c r="CC12" s="137">
        <v>98348.711666937073</v>
      </c>
      <c r="CD12" s="137">
        <v>98439.698114812549</v>
      </c>
      <c r="CE12" s="137">
        <v>98502.922426423131</v>
      </c>
      <c r="CF12" s="137">
        <v>98617.070066702232</v>
      </c>
      <c r="CG12" s="137">
        <v>98698.759238895829</v>
      </c>
      <c r="CH12" s="137">
        <v>98763.311391638228</v>
      </c>
      <c r="CI12" s="137">
        <v>98835.121558303174</v>
      </c>
      <c r="CJ12" s="137">
        <v>98874.287996535873</v>
      </c>
      <c r="CK12" s="137">
        <v>98923.597149208188</v>
      </c>
      <c r="CL12" s="137">
        <v>99016.612415631418</v>
      </c>
      <c r="CM12" s="137">
        <v>99033.80618484084</v>
      </c>
      <c r="CN12" s="137">
        <v>99093.418239613879</v>
      </c>
      <c r="CO12" s="137">
        <v>99157.375873414712</v>
      </c>
      <c r="CP12" s="137">
        <v>99210.46607510504</v>
      </c>
      <c r="CQ12" s="137">
        <v>99264.741641898523</v>
      </c>
      <c r="CR12" s="137">
        <v>99286.150219418298</v>
      </c>
      <c r="CS12" s="137">
        <v>99322.193357536133</v>
      </c>
      <c r="CT12" s="137">
        <v>99340.430345040397</v>
      </c>
      <c r="CU12" s="137">
        <v>99376.332792229485</v>
      </c>
      <c r="CV12" s="137">
        <v>99390.459162865387</v>
      </c>
      <c r="CW12" s="137">
        <v>99405.240162287519</v>
      </c>
      <c r="CX12" s="137">
        <v>99446.310376213223</v>
      </c>
      <c r="CY12" s="137">
        <v>99442.214094216804</v>
      </c>
      <c r="CZ12" s="137">
        <v>99447.852355997107</v>
      </c>
      <c r="DA12" s="137">
        <v>99451.020398203924</v>
      </c>
      <c r="DB12" s="137">
        <v>99475.276756073436</v>
      </c>
      <c r="DC12" s="137">
        <v>99494.645083483425</v>
      </c>
      <c r="DD12" s="137">
        <v>99502.396905738977</v>
      </c>
      <c r="DE12" s="137">
        <v>99505.857174310804</v>
      </c>
      <c r="DF12" s="137">
        <v>99548.913575664264</v>
      </c>
      <c r="DG12" s="137">
        <v>99541.412215786579</v>
      </c>
      <c r="DH12" s="137">
        <v>99553.143704490736</v>
      </c>
      <c r="DI12" s="137">
        <v>99544.214999781732</v>
      </c>
      <c r="DJ12" s="137">
        <v>99574.468547986675</v>
      </c>
      <c r="DK12" s="137">
        <v>99584.761234074133</v>
      </c>
      <c r="DL12" s="137">
        <v>99578.586376127816</v>
      </c>
      <c r="DM12" s="137">
        <v>99575.568444423581</v>
      </c>
      <c r="DN12" s="137">
        <v>99569.295395904061</v>
      </c>
      <c r="DO12" s="137">
        <v>99588.611694443331</v>
      </c>
      <c r="DP12" s="137">
        <f>(G_Kohorte_F!DP12+G_Kohorte_M!DP12)/2</f>
        <v>99605.139513472095</v>
      </c>
      <c r="DQ12" s="137">
        <f>(G_Kohorte_F!DQ12+G_Kohorte_M!DQ12)/2</f>
        <v>99604.607272457433</v>
      </c>
      <c r="DR12" s="137">
        <f>(G_Kohorte_F!DR12+G_Kohorte_M!DR12)/2</f>
        <v>99619.715930876118</v>
      </c>
      <c r="DS12" s="137">
        <f>(G_Kohorte_F!DS12+G_Kohorte_M!DS12)/2</f>
        <v>99621.830279031841</v>
      </c>
      <c r="DT12" s="137">
        <f>(G_Kohorte_F!DT12+G_Kohorte_M!DT12)/2</f>
        <v>99637.761031552538</v>
      </c>
      <c r="DU12" s="137">
        <f>(G_Kohorte_F!DU12+G_Kohorte_M!DU12)/2</f>
        <v>99653.011462170776</v>
      </c>
    </row>
    <row r="13" spans="1:125">
      <c r="A13" s="2348">
        <v>11</v>
      </c>
      <c r="B13" s="137"/>
      <c r="C13" s="137"/>
      <c r="D13" s="137"/>
      <c r="E13" s="137"/>
      <c r="F13" s="137"/>
      <c r="G13" s="137"/>
      <c r="H13" s="137"/>
      <c r="I13" s="137"/>
      <c r="J13" s="137"/>
      <c r="K13" s="137"/>
      <c r="L13" s="137"/>
      <c r="M13" s="137"/>
      <c r="N13" s="137"/>
      <c r="O13" s="137"/>
      <c r="P13" s="137"/>
      <c r="Q13" s="137"/>
      <c r="R13" s="137"/>
      <c r="S13" s="137"/>
      <c r="T13" s="137"/>
      <c r="U13" s="137"/>
      <c r="V13" s="137"/>
      <c r="W13" s="2342">
        <v>82614.5</v>
      </c>
      <c r="X13" s="2342">
        <v>83380.5</v>
      </c>
      <c r="Y13" s="137">
        <v>83446.537937301968</v>
      </c>
      <c r="Z13" s="137">
        <v>85620.952285380437</v>
      </c>
      <c r="AA13" s="137">
        <v>85907.229177881643</v>
      </c>
      <c r="AB13" s="137">
        <v>86424.930661770501</v>
      </c>
      <c r="AC13" s="137">
        <v>87161.19403519269</v>
      </c>
      <c r="AD13" s="137">
        <v>87975.577589996305</v>
      </c>
      <c r="AE13" s="137">
        <v>87733.358146927203</v>
      </c>
      <c r="AF13" s="137">
        <v>88818.826490070234</v>
      </c>
      <c r="AG13" s="137">
        <v>89131.246638812197</v>
      </c>
      <c r="AH13" s="137">
        <v>89299.864606813877</v>
      </c>
      <c r="AI13" s="137">
        <v>89483.250220866903</v>
      </c>
      <c r="AJ13" s="137">
        <v>90577.275612611294</v>
      </c>
      <c r="AK13" s="137">
        <v>90383.369767824697</v>
      </c>
      <c r="AL13" s="137">
        <v>90609.526376263151</v>
      </c>
      <c r="AM13" s="137">
        <v>90798.974412270691</v>
      </c>
      <c r="AN13" s="137">
        <v>91210.616612357466</v>
      </c>
      <c r="AO13" s="137">
        <v>91171.231137014562</v>
      </c>
      <c r="AP13" s="137">
        <v>91253.178689374239</v>
      </c>
      <c r="AQ13" s="137">
        <v>91302.179093488317</v>
      </c>
      <c r="AR13" s="137">
        <v>91328.62497858025</v>
      </c>
      <c r="AS13" s="137">
        <v>90741.390462743351</v>
      </c>
      <c r="AT13" s="137">
        <v>89958.178034480283</v>
      </c>
      <c r="AU13" s="137">
        <v>88680.909516879474</v>
      </c>
      <c r="AV13" s="137">
        <v>89052.144771134597</v>
      </c>
      <c r="AW13" s="137">
        <v>89358.252836024069</v>
      </c>
      <c r="AX13" s="137">
        <v>91532.418751109304</v>
      </c>
      <c r="AY13" s="137">
        <v>93337.897619518451</v>
      </c>
      <c r="AZ13" s="137">
        <v>93409.439757512446</v>
      </c>
      <c r="BA13" s="137">
        <v>93473.472702181432</v>
      </c>
      <c r="BB13" s="137">
        <v>94127.940342695307</v>
      </c>
      <c r="BC13" s="137">
        <v>94379.01055417872</v>
      </c>
      <c r="BD13" s="137">
        <v>94748.93769025775</v>
      </c>
      <c r="BE13" s="137">
        <v>94837.598338505733</v>
      </c>
      <c r="BF13" s="137">
        <v>95169.258084727946</v>
      </c>
      <c r="BG13" s="137">
        <v>95262.836192942661</v>
      </c>
      <c r="BH13" s="137">
        <v>95497.079006499611</v>
      </c>
      <c r="BI13" s="137">
        <v>95661.23237794431</v>
      </c>
      <c r="BJ13" s="137">
        <v>95795.231805744261</v>
      </c>
      <c r="BK13" s="137">
        <v>96072.716980656667</v>
      </c>
      <c r="BL13" s="137">
        <v>96338.506224830679</v>
      </c>
      <c r="BM13" s="137">
        <v>96561.269735374139</v>
      </c>
      <c r="BN13" s="137">
        <v>96807.746900399448</v>
      </c>
      <c r="BO13" s="137">
        <v>96973.563631601908</v>
      </c>
      <c r="BP13" s="137">
        <v>97061.729633647366</v>
      </c>
      <c r="BQ13" s="137">
        <v>97141.178889400966</v>
      </c>
      <c r="BR13" s="137">
        <v>97210.17657470527</v>
      </c>
      <c r="BS13" s="137">
        <v>97175.639705170077</v>
      </c>
      <c r="BT13" s="137">
        <v>97236.547634036513</v>
      </c>
      <c r="BU13" s="137">
        <v>97311.040451548004</v>
      </c>
      <c r="BV13" s="137">
        <v>97394.956868669396</v>
      </c>
      <c r="BW13" s="137">
        <v>97448.411107378721</v>
      </c>
      <c r="BX13" s="137">
        <v>97561.615738684253</v>
      </c>
      <c r="BY13" s="137">
        <v>97696.118827578626</v>
      </c>
      <c r="BZ13" s="137">
        <v>97964.825553084869</v>
      </c>
      <c r="CA13" s="137">
        <v>98137.57625466559</v>
      </c>
      <c r="CB13" s="137">
        <v>98211.986509953102</v>
      </c>
      <c r="CC13" s="137">
        <v>98331.358000575536</v>
      </c>
      <c r="CD13" s="137">
        <v>98423.847755201117</v>
      </c>
      <c r="CE13" s="137">
        <v>98488.578061157197</v>
      </c>
      <c r="CF13" s="137">
        <v>98601.630974033804</v>
      </c>
      <c r="CG13" s="137">
        <v>98683.519290326774</v>
      </c>
      <c r="CH13" s="137">
        <v>98751.492047026666</v>
      </c>
      <c r="CI13" s="137">
        <v>98822.217714392435</v>
      </c>
      <c r="CJ13" s="137">
        <v>98862.807839059678</v>
      </c>
      <c r="CK13" s="137">
        <v>98911.531837985589</v>
      </c>
      <c r="CL13" s="137">
        <v>99006.527362294262</v>
      </c>
      <c r="CM13" s="137">
        <v>99022.88839968745</v>
      </c>
      <c r="CN13" s="137">
        <v>99083.614870816833</v>
      </c>
      <c r="CO13" s="137">
        <v>99148.628273318609</v>
      </c>
      <c r="CP13" s="137">
        <v>99200.422205338269</v>
      </c>
      <c r="CQ13" s="137">
        <v>99257.267264138412</v>
      </c>
      <c r="CR13" s="137">
        <v>99276.94300168191</v>
      </c>
      <c r="CS13" s="137">
        <v>99314.815479686134</v>
      </c>
      <c r="CT13" s="137">
        <v>99333.380138376408</v>
      </c>
      <c r="CU13" s="137">
        <v>99367.017183789139</v>
      </c>
      <c r="CV13" s="137">
        <v>99382.651138702291</v>
      </c>
      <c r="CW13" s="137">
        <v>99397.194546220213</v>
      </c>
      <c r="CX13" s="137">
        <v>99437.6528342768</v>
      </c>
      <c r="CY13" s="137">
        <v>99435.81550558313</v>
      </c>
      <c r="CZ13" s="137">
        <v>99441.387294175744</v>
      </c>
      <c r="DA13" s="137">
        <v>99445.33856444752</v>
      </c>
      <c r="DB13" s="137">
        <v>99468.916761527275</v>
      </c>
      <c r="DC13" s="137">
        <v>99487.147465469869</v>
      </c>
      <c r="DD13" s="137">
        <v>99495.760373656827</v>
      </c>
      <c r="DE13" s="137">
        <v>99499.639201287559</v>
      </c>
      <c r="DF13" s="137">
        <v>99541.901242976426</v>
      </c>
      <c r="DG13" s="137">
        <v>99535.316351400557</v>
      </c>
      <c r="DH13" s="137">
        <v>99548.117408580729</v>
      </c>
      <c r="DI13" s="137">
        <v>99538.292926433307</v>
      </c>
      <c r="DJ13" s="137">
        <v>99567.997164176806</v>
      </c>
      <c r="DK13" s="137">
        <v>99578.527024010895</v>
      </c>
      <c r="DL13" s="137">
        <v>99572.581601842336</v>
      </c>
      <c r="DM13" s="137">
        <v>99569.784348368514</v>
      </c>
      <c r="DN13" s="137">
        <v>99563.724133558542</v>
      </c>
      <c r="DO13" s="137">
        <v>99583.243981602121</v>
      </c>
      <c r="DP13" s="137">
        <f>(G_Kohorte_F!DP13+G_Kohorte_M!DP13)/2</f>
        <v>99599.968067306094</v>
      </c>
      <c r="DQ13" s="137">
        <f>(G_Kohorte_F!DQ13+G_Kohorte_M!DQ13)/2</f>
        <v>99599.625726418046</v>
      </c>
      <c r="DR13" s="137">
        <f>(G_Kohorte_F!DR13+G_Kohorte_M!DR13)/2</f>
        <v>99614.91648740627</v>
      </c>
      <c r="DS13" s="137">
        <f>(G_Kohorte_F!DS13+G_Kohorte_M!DS13)/2</f>
        <v>99617.206941976503</v>
      </c>
      <c r="DT13" s="137">
        <f>(G_Kohorte_F!DT13+G_Kohorte_M!DT13)/2</f>
        <v>99633.306665919983</v>
      </c>
      <c r="DU13" s="137">
        <f>(G_Kohorte_F!DU13+G_Kohorte_M!DU13)/2</f>
        <v>99648.719902800047</v>
      </c>
    </row>
    <row r="14" spans="1:125">
      <c r="A14" s="2348">
        <v>12</v>
      </c>
      <c r="B14" s="137"/>
      <c r="C14" s="137"/>
      <c r="D14" s="137"/>
      <c r="E14" s="137"/>
      <c r="F14" s="137"/>
      <c r="G14" s="137"/>
      <c r="H14" s="137"/>
      <c r="I14" s="137"/>
      <c r="J14" s="137"/>
      <c r="K14" s="137"/>
      <c r="L14" s="137"/>
      <c r="M14" s="137"/>
      <c r="N14" s="137"/>
      <c r="O14" s="137"/>
      <c r="P14" s="137"/>
      <c r="Q14" s="137"/>
      <c r="R14" s="137"/>
      <c r="S14" s="137"/>
      <c r="T14" s="137"/>
      <c r="U14" s="137"/>
      <c r="V14" s="137"/>
      <c r="W14" s="2342">
        <v>82521.5</v>
      </c>
      <c r="X14" s="2342">
        <v>83286.5</v>
      </c>
      <c r="Y14" s="137">
        <v>83352.366011044534</v>
      </c>
      <c r="Z14" s="137">
        <v>85505.204774936356</v>
      </c>
      <c r="AA14" s="137">
        <v>85796.372389088094</v>
      </c>
      <c r="AB14" s="137">
        <v>86324.014463694504</v>
      </c>
      <c r="AC14" s="137">
        <v>87062.100888105721</v>
      </c>
      <c r="AD14" s="137">
        <v>87870.149507037655</v>
      </c>
      <c r="AE14" s="137">
        <v>87628.225155686232</v>
      </c>
      <c r="AF14" s="137">
        <v>88712.377943637141</v>
      </c>
      <c r="AG14" s="137">
        <v>89024.426471207553</v>
      </c>
      <c r="AH14" s="137">
        <v>89182.123885999899</v>
      </c>
      <c r="AI14" s="137">
        <v>89349.186965206114</v>
      </c>
      <c r="AJ14" s="137">
        <v>90414.424355828931</v>
      </c>
      <c r="AK14" s="137">
        <v>90279.237036276289</v>
      </c>
      <c r="AL14" s="137">
        <v>90505.133115998207</v>
      </c>
      <c r="AM14" s="137">
        <v>90716.834747685818</v>
      </c>
      <c r="AN14" s="137">
        <v>91158.290153683658</v>
      </c>
      <c r="AO14" s="137">
        <v>91118.929696234743</v>
      </c>
      <c r="AP14" s="137">
        <v>91200.830187327607</v>
      </c>
      <c r="AQ14" s="137">
        <v>91257.175472267001</v>
      </c>
      <c r="AR14" s="137">
        <v>91289.699039873434</v>
      </c>
      <c r="AS14" s="137">
        <v>90701.552407756797</v>
      </c>
      <c r="AT14" s="137">
        <v>89919.455661085216</v>
      </c>
      <c r="AU14" s="137">
        <v>88641.67710856082</v>
      </c>
      <c r="AV14" s="137">
        <v>89018.062367094375</v>
      </c>
      <c r="AW14" s="137">
        <v>89323.219557901146</v>
      </c>
      <c r="AX14" s="137">
        <v>91497.728140906664</v>
      </c>
      <c r="AY14" s="137">
        <v>93303.896010813114</v>
      </c>
      <c r="AZ14" s="137">
        <v>93372.775936719438</v>
      </c>
      <c r="BA14" s="137">
        <v>93441.345821231575</v>
      </c>
      <c r="BB14" s="137">
        <v>94095.567917639069</v>
      </c>
      <c r="BC14" s="137">
        <v>94344.778629697874</v>
      </c>
      <c r="BD14" s="137">
        <v>94712.660446603317</v>
      </c>
      <c r="BE14" s="137">
        <v>94802.646767161612</v>
      </c>
      <c r="BF14" s="137">
        <v>95132.223801983142</v>
      </c>
      <c r="BG14" s="137">
        <v>95230.824581339431</v>
      </c>
      <c r="BH14" s="137">
        <v>95464.076600249449</v>
      </c>
      <c r="BI14" s="137">
        <v>95628.357032995453</v>
      </c>
      <c r="BJ14" s="137">
        <v>95764.038293383957</v>
      </c>
      <c r="BK14" s="137">
        <v>96041.212746990699</v>
      </c>
      <c r="BL14" s="137">
        <v>96310.222249973827</v>
      </c>
      <c r="BM14" s="137">
        <v>96533.646474815861</v>
      </c>
      <c r="BN14" s="137">
        <v>96778.342404219438</v>
      </c>
      <c r="BO14" s="137">
        <v>96944.286235991342</v>
      </c>
      <c r="BP14" s="137">
        <v>97035.492677949864</v>
      </c>
      <c r="BQ14" s="137">
        <v>97115.616247311948</v>
      </c>
      <c r="BR14" s="137">
        <v>97187.321991279576</v>
      </c>
      <c r="BS14" s="137">
        <v>97151.138966827581</v>
      </c>
      <c r="BT14" s="137">
        <v>97211.196118431399</v>
      </c>
      <c r="BU14" s="137">
        <v>97289.633296090833</v>
      </c>
      <c r="BV14" s="137">
        <v>97375.524490537093</v>
      </c>
      <c r="BW14" s="137">
        <v>97431.711371631041</v>
      </c>
      <c r="BX14" s="137">
        <v>97542.251332474028</v>
      </c>
      <c r="BY14" s="137">
        <v>97681.202125210286</v>
      </c>
      <c r="BZ14" s="137">
        <v>97944.670041567151</v>
      </c>
      <c r="CA14" s="137">
        <v>98122.889446003159</v>
      </c>
      <c r="CB14" s="137">
        <v>98193.223105509591</v>
      </c>
      <c r="CC14" s="137">
        <v>98312.216510507045</v>
      </c>
      <c r="CD14" s="137">
        <v>98407.89844516234</v>
      </c>
      <c r="CE14" s="137">
        <v>98473.830990520495</v>
      </c>
      <c r="CF14" s="137">
        <v>98584.596801277818</v>
      </c>
      <c r="CG14" s="137">
        <v>98668.80313012065</v>
      </c>
      <c r="CH14" s="137">
        <v>98738.908709270458</v>
      </c>
      <c r="CI14" s="137">
        <v>98811.381000719499</v>
      </c>
      <c r="CJ14" s="137">
        <v>98850.906475589916</v>
      </c>
      <c r="CK14" s="137">
        <v>98899.766230887588</v>
      </c>
      <c r="CL14" s="137">
        <v>98994.356821655558</v>
      </c>
      <c r="CM14" s="137">
        <v>99012.035152845056</v>
      </c>
      <c r="CN14" s="137">
        <v>99071.47771505604</v>
      </c>
      <c r="CO14" s="137">
        <v>99137.10880123105</v>
      </c>
      <c r="CP14" s="137">
        <v>99188.099170369562</v>
      </c>
      <c r="CQ14" s="137">
        <v>99246.462491825921</v>
      </c>
      <c r="CR14" s="137">
        <v>99266.707943982241</v>
      </c>
      <c r="CS14" s="137">
        <v>99307.182152860682</v>
      </c>
      <c r="CT14" s="137">
        <v>99323.752928566828</v>
      </c>
      <c r="CU14" s="137">
        <v>99358.92249774831</v>
      </c>
      <c r="CV14" s="137">
        <v>99373.596377572991</v>
      </c>
      <c r="CW14" s="137">
        <v>99390.596599487573</v>
      </c>
      <c r="CX14" s="137">
        <v>99428.959450073991</v>
      </c>
      <c r="CY14" s="137">
        <v>99429.79584491998</v>
      </c>
      <c r="CZ14" s="137">
        <v>99434.980599334303</v>
      </c>
      <c r="DA14" s="137">
        <v>99437.004696251373</v>
      </c>
      <c r="DB14" s="137">
        <v>99460.697949599649</v>
      </c>
      <c r="DC14" s="137">
        <v>99479.631270191443</v>
      </c>
      <c r="DD14" s="137">
        <v>99487.745154887263</v>
      </c>
      <c r="DE14" s="137">
        <v>99491.970854057319</v>
      </c>
      <c r="DF14" s="137">
        <v>99534.871176482993</v>
      </c>
      <c r="DG14" s="137">
        <v>99529.920552969081</v>
      </c>
      <c r="DH14" s="137">
        <v>99541.408326310659</v>
      </c>
      <c r="DI14" s="137">
        <v>99531.147874764865</v>
      </c>
      <c r="DJ14" s="137">
        <v>99561.108449393403</v>
      </c>
      <c r="DK14" s="137">
        <v>99571.886800499036</v>
      </c>
      <c r="DL14" s="137">
        <v>99566.181925730489</v>
      </c>
      <c r="DM14" s="137">
        <v>99563.616173539165</v>
      </c>
      <c r="DN14" s="137">
        <v>99557.779371404948</v>
      </c>
      <c r="DO14" s="137">
        <v>99577.512991225114</v>
      </c>
      <c r="DP14" s="137">
        <f>(G_Kohorte_F!DP14+G_Kohorte_M!DP14)/2</f>
        <v>99594.443328285968</v>
      </c>
      <c r="DQ14" s="137">
        <f>(G_Kohorte_F!DQ14+G_Kohorte_M!DQ14)/2</f>
        <v>99594.300683653026</v>
      </c>
      <c r="DR14" s="137">
        <f>(G_Kohorte_F!DR14+G_Kohorte_M!DR14)/2</f>
        <v>99609.783042728726</v>
      </c>
      <c r="DS14" s="137">
        <f>(G_Kohorte_F!DS14+G_Kohorte_M!DS14)/2</f>
        <v>99612.258911047014</v>
      </c>
      <c r="DT14" s="137">
        <f>(G_Kohorte_F!DT14+G_Kohorte_M!DT14)/2</f>
        <v>99628.536632566262</v>
      </c>
      <c r="DU14" s="137">
        <f>(G_Kohorte_F!DU14+G_Kohorte_M!DU14)/2</f>
        <v>99644.121476617816</v>
      </c>
    </row>
    <row r="15" spans="1:125">
      <c r="A15" s="2348">
        <v>13</v>
      </c>
      <c r="B15" s="137"/>
      <c r="C15" s="137"/>
      <c r="D15" s="137"/>
      <c r="E15" s="137"/>
      <c r="F15" s="137"/>
      <c r="G15" s="137"/>
      <c r="H15" s="137"/>
      <c r="I15" s="137"/>
      <c r="J15" s="137"/>
      <c r="K15" s="137"/>
      <c r="L15" s="137"/>
      <c r="M15" s="137"/>
      <c r="N15" s="137"/>
      <c r="O15" s="137"/>
      <c r="P15" s="137"/>
      <c r="Q15" s="137"/>
      <c r="R15" s="137"/>
      <c r="S15" s="137"/>
      <c r="T15" s="137"/>
      <c r="U15" s="137"/>
      <c r="V15" s="137"/>
      <c r="W15" s="2342">
        <v>82433</v>
      </c>
      <c r="X15" s="2342">
        <v>83197</v>
      </c>
      <c r="Y15" s="137">
        <v>83235.891438944556</v>
      </c>
      <c r="Z15" s="137">
        <v>85385.699873433303</v>
      </c>
      <c r="AA15" s="137">
        <v>85685.033692741214</v>
      </c>
      <c r="AB15" s="137">
        <v>86220.607185025772</v>
      </c>
      <c r="AC15" s="137">
        <v>86949.114909177893</v>
      </c>
      <c r="AD15" s="137">
        <v>87756.10838328251</v>
      </c>
      <c r="AE15" s="137">
        <v>87514.502546648611</v>
      </c>
      <c r="AF15" s="137">
        <v>88597.234399441746</v>
      </c>
      <c r="AG15" s="137">
        <v>88897.32595956765</v>
      </c>
      <c r="AH15" s="137">
        <v>89037.418388156526</v>
      </c>
      <c r="AI15" s="137">
        <v>89175.224075920167</v>
      </c>
      <c r="AJ15" s="137">
        <v>90312.931029932704</v>
      </c>
      <c r="AK15" s="137">
        <v>90177.9072805006</v>
      </c>
      <c r="AL15" s="137">
        <v>90428.393984465496</v>
      </c>
      <c r="AM15" s="137">
        <v>90663.426488207784</v>
      </c>
      <c r="AN15" s="137">
        <v>91104.622294385626</v>
      </c>
      <c r="AO15" s="137">
        <v>91065.287325952231</v>
      </c>
      <c r="AP15" s="137">
        <v>91158.286803088442</v>
      </c>
      <c r="AQ15" s="137">
        <v>91215.951107283472</v>
      </c>
      <c r="AR15" s="137">
        <v>91252.27841028641</v>
      </c>
      <c r="AS15" s="137">
        <v>90663.232502929546</v>
      </c>
      <c r="AT15" s="137">
        <v>89882.290318281419</v>
      </c>
      <c r="AU15" s="137">
        <v>88606.29622901167</v>
      </c>
      <c r="AV15" s="137">
        <v>88982.605080243855</v>
      </c>
      <c r="AW15" s="137">
        <v>89288.789815324475</v>
      </c>
      <c r="AX15" s="137">
        <v>91467.135053548453</v>
      </c>
      <c r="AY15" s="137">
        <v>93268.46892841364</v>
      </c>
      <c r="AZ15" s="137">
        <v>93339.248584189249</v>
      </c>
      <c r="BA15" s="137">
        <v>93404.85652703009</v>
      </c>
      <c r="BB15" s="137">
        <v>94060.176668294094</v>
      </c>
      <c r="BC15" s="137">
        <v>94308.088891214196</v>
      </c>
      <c r="BD15" s="137">
        <v>94677.391707602219</v>
      </c>
      <c r="BE15" s="137">
        <v>94768.630180185835</v>
      </c>
      <c r="BF15" s="137">
        <v>95101.771315358579</v>
      </c>
      <c r="BG15" s="137">
        <v>95195.659176365836</v>
      </c>
      <c r="BH15" s="137">
        <v>95426.449093866366</v>
      </c>
      <c r="BI15" s="137">
        <v>95595.030921944621</v>
      </c>
      <c r="BJ15" s="137">
        <v>95728.688880717353</v>
      </c>
      <c r="BK15" s="137">
        <v>96013.1863861577</v>
      </c>
      <c r="BL15" s="137">
        <v>96280.397527077381</v>
      </c>
      <c r="BM15" s="137">
        <v>96503.827971743798</v>
      </c>
      <c r="BN15" s="137">
        <v>96748.100428063393</v>
      </c>
      <c r="BO15" s="137">
        <v>96916.325440518151</v>
      </c>
      <c r="BP15" s="137">
        <v>97009.658289673651</v>
      </c>
      <c r="BQ15" s="137">
        <v>97091.486503655498</v>
      </c>
      <c r="BR15" s="137">
        <v>97162.833608377536</v>
      </c>
      <c r="BS15" s="137">
        <v>97129.473855555101</v>
      </c>
      <c r="BT15" s="137">
        <v>97189.480680912442</v>
      </c>
      <c r="BU15" s="137">
        <v>97268.982593928129</v>
      </c>
      <c r="BV15" s="137">
        <v>97357.468557355125</v>
      </c>
      <c r="BW15" s="137">
        <v>97412.522311113149</v>
      </c>
      <c r="BX15" s="137">
        <v>97524.92963118339</v>
      </c>
      <c r="BY15" s="137">
        <v>97663.27751443864</v>
      </c>
      <c r="BZ15" s="137">
        <v>97928.154709836992</v>
      </c>
      <c r="CA15" s="137">
        <v>98107.158848362247</v>
      </c>
      <c r="CB15" s="137">
        <v>98177.501629377075</v>
      </c>
      <c r="CC15" s="137">
        <v>98294.914452331679</v>
      </c>
      <c r="CD15" s="137">
        <v>98391.083282523134</v>
      </c>
      <c r="CE15" s="137">
        <v>98457.403364469181</v>
      </c>
      <c r="CF15" s="137">
        <v>98571.781791341724</v>
      </c>
      <c r="CG15" s="137">
        <v>98656.136154799722</v>
      </c>
      <c r="CH15" s="137">
        <v>98724.579650072366</v>
      </c>
      <c r="CI15" s="137">
        <v>98799.291332953057</v>
      </c>
      <c r="CJ15" s="137">
        <v>98837.597591371072</v>
      </c>
      <c r="CK15" s="137">
        <v>98887.47434946656</v>
      </c>
      <c r="CL15" s="137">
        <v>98981.27334567724</v>
      </c>
      <c r="CM15" s="137">
        <v>98998.767697678035</v>
      </c>
      <c r="CN15" s="137">
        <v>99060.82035548627</v>
      </c>
      <c r="CO15" s="137">
        <v>99127.98700983233</v>
      </c>
      <c r="CP15" s="137">
        <v>99177.086145169334</v>
      </c>
      <c r="CQ15" s="137">
        <v>99235.555211217434</v>
      </c>
      <c r="CR15" s="137">
        <v>99256.3218950999</v>
      </c>
      <c r="CS15" s="137">
        <v>99297.562569372545</v>
      </c>
      <c r="CT15" s="137">
        <v>99316.105356462707</v>
      </c>
      <c r="CU15" s="137">
        <v>99349.875204639073</v>
      </c>
      <c r="CV15" s="137">
        <v>99363.70939780114</v>
      </c>
      <c r="CW15" s="137">
        <v>99380.47100373001</v>
      </c>
      <c r="CX15" s="137">
        <v>99421.506497394163</v>
      </c>
      <c r="CY15" s="137">
        <v>99422.082598629233</v>
      </c>
      <c r="CZ15" s="137">
        <v>99426.153605429907</v>
      </c>
      <c r="DA15" s="137">
        <v>99428.844535529715</v>
      </c>
      <c r="DB15" s="137">
        <v>99454.501740050444</v>
      </c>
      <c r="DC15" s="137">
        <v>99471.983654885495</v>
      </c>
      <c r="DD15" s="137">
        <v>99478.894539277302</v>
      </c>
      <c r="DE15" s="137">
        <v>99485.37202362009</v>
      </c>
      <c r="DF15" s="137">
        <v>99527.509824095876</v>
      </c>
      <c r="DG15" s="137">
        <v>99523.25666524109</v>
      </c>
      <c r="DH15" s="137">
        <v>99533.246594871482</v>
      </c>
      <c r="DI15" s="137">
        <v>99523.277509699954</v>
      </c>
      <c r="DJ15" s="137">
        <v>99553.515968860389</v>
      </c>
      <c r="DK15" s="137">
        <v>99564.563890904727</v>
      </c>
      <c r="DL15" s="137">
        <v>99559.120143557404</v>
      </c>
      <c r="DM15" s="137">
        <v>99556.805836711806</v>
      </c>
      <c r="DN15" s="137">
        <v>99551.211851989894</v>
      </c>
      <c r="DO15" s="137">
        <v>99571.177918857487</v>
      </c>
      <c r="DP15" s="137">
        <f>(G_Kohorte_F!DP15+G_Kohorte_M!DP15)/2</f>
        <v>99588.332665002992</v>
      </c>
      <c r="DQ15" s="137">
        <f>(G_Kohorte_F!DQ15+G_Kohorte_M!DQ15)/2</f>
        <v>99588.407441132702</v>
      </c>
      <c r="DR15" s="137">
        <f>(G_Kohorte_F!DR15+G_Kohorte_M!DR15)/2</f>
        <v>99604.098508730356</v>
      </c>
      <c r="DS15" s="137">
        <f>(G_Kohorte_F!DS15+G_Kohorte_M!DS15)/2</f>
        <v>99606.776488737727</v>
      </c>
      <c r="DT15" s="137">
        <f>(G_Kohorte_F!DT15+G_Kohorte_M!DT15)/2</f>
        <v>99623.248337591969</v>
      </c>
      <c r="DU15" s="137">
        <f>(G_Kohorte_F!DU15+G_Kohorte_M!DU15)/2</f>
        <v>99639.019747344108</v>
      </c>
    </row>
    <row r="16" spans="1:125">
      <c r="A16" s="2348">
        <v>14</v>
      </c>
      <c r="B16" s="137"/>
      <c r="C16" s="137"/>
      <c r="D16" s="137"/>
      <c r="E16" s="137"/>
      <c r="F16" s="137"/>
      <c r="G16" s="137"/>
      <c r="H16" s="137"/>
      <c r="I16" s="137"/>
      <c r="J16" s="137"/>
      <c r="K16" s="137"/>
      <c r="L16" s="137"/>
      <c r="M16" s="137"/>
      <c r="N16" s="137"/>
      <c r="O16" s="137"/>
      <c r="P16" s="137"/>
      <c r="Q16" s="137"/>
      <c r="R16" s="137"/>
      <c r="S16" s="137"/>
      <c r="T16" s="137"/>
      <c r="U16" s="137"/>
      <c r="V16" s="137"/>
      <c r="W16" s="2342">
        <v>82341.5</v>
      </c>
      <c r="X16" s="2342">
        <v>83070.5</v>
      </c>
      <c r="Y16" s="137">
        <v>83111.298272962595</v>
      </c>
      <c r="Z16" s="137">
        <v>85270.416264744184</v>
      </c>
      <c r="AA16" s="137">
        <v>85577.111791092349</v>
      </c>
      <c r="AB16" s="137">
        <v>86104.196047172183</v>
      </c>
      <c r="AC16" s="137">
        <v>86831.720749866479</v>
      </c>
      <c r="AD16" s="137">
        <v>87637.619992151507</v>
      </c>
      <c r="AE16" s="137">
        <v>87396.343637543789</v>
      </c>
      <c r="AF16" s="137">
        <v>88465.640510955258</v>
      </c>
      <c r="AG16" s="137">
        <v>88747.283401792258</v>
      </c>
      <c r="AH16" s="137">
        <v>88857.068824957678</v>
      </c>
      <c r="AI16" s="137">
        <v>89072.88068470209</v>
      </c>
      <c r="AJ16" s="137">
        <v>90209.273139666155</v>
      </c>
      <c r="AK16" s="137">
        <v>90099.675162323954</v>
      </c>
      <c r="AL16" s="137">
        <v>90369.752954191092</v>
      </c>
      <c r="AM16" s="137">
        <v>90604.632000946469</v>
      </c>
      <c r="AN16" s="137">
        <v>91045.542050591903</v>
      </c>
      <c r="AO16" s="137">
        <v>91018.388336393517</v>
      </c>
      <c r="AP16" s="137">
        <v>91113.346113731444</v>
      </c>
      <c r="AQ16" s="137">
        <v>91175.576825613811</v>
      </c>
      <c r="AR16" s="137">
        <v>91211.086665632654</v>
      </c>
      <c r="AS16" s="137">
        <v>90623.373330815419</v>
      </c>
      <c r="AT16" s="137">
        <v>89844.096257772355</v>
      </c>
      <c r="AU16" s="137">
        <v>88568.439302824729</v>
      </c>
      <c r="AV16" s="137">
        <v>88945.42524751366</v>
      </c>
      <c r="AW16" s="137">
        <v>89251.497247328181</v>
      </c>
      <c r="AX16" s="137">
        <v>91426.970343792636</v>
      </c>
      <c r="AY16" s="137">
        <v>93234.072964832099</v>
      </c>
      <c r="AZ16" s="137">
        <v>93303.886705736077</v>
      </c>
      <c r="BA16" s="137">
        <v>93370.352829049662</v>
      </c>
      <c r="BB16" s="137">
        <v>94022.743087752431</v>
      </c>
      <c r="BC16" s="137">
        <v>94271.378159565153</v>
      </c>
      <c r="BD16" s="137">
        <v>94640.532035801851</v>
      </c>
      <c r="BE16" s="137">
        <v>94732.354832461075</v>
      </c>
      <c r="BF16" s="137">
        <v>95065.077238797297</v>
      </c>
      <c r="BG16" s="137">
        <v>95158.574827878067</v>
      </c>
      <c r="BH16" s="137">
        <v>95390.035900181974</v>
      </c>
      <c r="BI16" s="137">
        <v>95560.832716950099</v>
      </c>
      <c r="BJ16" s="137">
        <v>95696.87908439929</v>
      </c>
      <c r="BK16" s="137">
        <v>95981.399925961334</v>
      </c>
      <c r="BL16" s="137">
        <v>96250.501132340665</v>
      </c>
      <c r="BM16" s="137">
        <v>96473.834776065749</v>
      </c>
      <c r="BN16" s="137">
        <v>96717.655767622535</v>
      </c>
      <c r="BO16" s="137">
        <v>96889.208658302989</v>
      </c>
      <c r="BP16" s="137">
        <v>96980.912154248246</v>
      </c>
      <c r="BQ16" s="137">
        <v>97066.534770181315</v>
      </c>
      <c r="BR16" s="137">
        <v>97139.09410806527</v>
      </c>
      <c r="BS16" s="137">
        <v>97105.365626157698</v>
      </c>
      <c r="BT16" s="137">
        <v>97165.708179677094</v>
      </c>
      <c r="BU16" s="137">
        <v>97246.195134602051</v>
      </c>
      <c r="BV16" s="137">
        <v>97336.240275420088</v>
      </c>
      <c r="BW16" s="137">
        <v>97391.94200010132</v>
      </c>
      <c r="BX16" s="137">
        <v>97506.231354415431</v>
      </c>
      <c r="BY16" s="137">
        <v>97644.696490015311</v>
      </c>
      <c r="BZ16" s="137">
        <v>97907.634841157269</v>
      </c>
      <c r="CA16" s="137">
        <v>98089.877017811086</v>
      </c>
      <c r="CB16" s="137">
        <v>98160.148950981136</v>
      </c>
      <c r="CC16" s="137">
        <v>98277.709710313997</v>
      </c>
      <c r="CD16" s="137">
        <v>98373.017698931639</v>
      </c>
      <c r="CE16" s="137">
        <v>98441.118092333811</v>
      </c>
      <c r="CF16" s="137">
        <v>98555.799530245553</v>
      </c>
      <c r="CG16" s="137">
        <v>98642.599307059863</v>
      </c>
      <c r="CH16" s="137">
        <v>98705.913409735629</v>
      </c>
      <c r="CI16" s="137">
        <v>98786.198428237753</v>
      </c>
      <c r="CJ16" s="137">
        <v>98824.391412758458</v>
      </c>
      <c r="CK16" s="137">
        <v>98872.936273756379</v>
      </c>
      <c r="CL16" s="137">
        <v>98965.271214753739</v>
      </c>
      <c r="CM16" s="137">
        <v>98986.883881549613</v>
      </c>
      <c r="CN16" s="137">
        <v>99051.591411540008</v>
      </c>
      <c r="CO16" s="137">
        <v>99117.177782581231</v>
      </c>
      <c r="CP16" s="137">
        <v>99163.040817199028</v>
      </c>
      <c r="CQ16" s="137">
        <v>99224.548141248961</v>
      </c>
      <c r="CR16" s="137">
        <v>99247.132834766468</v>
      </c>
      <c r="CS16" s="137">
        <v>99287.842182319931</v>
      </c>
      <c r="CT16" s="137">
        <v>99306.390491731159</v>
      </c>
      <c r="CU16" s="137">
        <v>99341.738260831073</v>
      </c>
      <c r="CV16" s="137">
        <v>99349.949782792828</v>
      </c>
      <c r="CW16" s="137">
        <v>99372.322815019754</v>
      </c>
      <c r="CX16" s="137">
        <v>99413.08891360923</v>
      </c>
      <c r="CY16" s="137">
        <v>99413.99444087813</v>
      </c>
      <c r="CZ16" s="137">
        <v>99415.632953771914</v>
      </c>
      <c r="DA16" s="137">
        <v>99419.291582882375</v>
      </c>
      <c r="DB16" s="137">
        <v>99446.1067690864</v>
      </c>
      <c r="DC16" s="137">
        <v>99462.859475076286</v>
      </c>
      <c r="DD16" s="137">
        <v>99470.471092650056</v>
      </c>
      <c r="DE16" s="137">
        <v>99476.466380889484</v>
      </c>
      <c r="DF16" s="137">
        <v>99518.185581426369</v>
      </c>
      <c r="DG16" s="137">
        <v>99513.651525812515</v>
      </c>
      <c r="DH16" s="137">
        <v>99523.977336522832</v>
      </c>
      <c r="DI16" s="137">
        <v>99514.333967527811</v>
      </c>
      <c r="DJ16" s="137">
        <v>99544.883199866541</v>
      </c>
      <c r="DK16" s="137">
        <v>99556.232816712087</v>
      </c>
      <c r="DL16" s="137">
        <v>99551.081506158807</v>
      </c>
      <c r="DM16" s="137">
        <v>99549.048936246894</v>
      </c>
      <c r="DN16" s="137">
        <v>99543.727204395691</v>
      </c>
      <c r="DO16" s="137">
        <v>99563.954010382426</v>
      </c>
      <c r="DP16" s="137">
        <f>(G_Kohorte_F!DP16+G_Kohorte_M!DP16)/2</f>
        <v>99581.360636413374</v>
      </c>
      <c r="DQ16" s="137">
        <f>(G_Kohorte_F!DQ16+G_Kohorte_M!DQ16)/2</f>
        <v>99581.67960615395</v>
      </c>
      <c r="DR16" s="137">
        <f>(G_Kohorte_F!DR16+G_Kohorte_M!DR16)/2</f>
        <v>99597.605192599673</v>
      </c>
      <c r="DS16" s="137">
        <f>(G_Kohorte_F!DS16+G_Kohorte_M!DS16)/2</f>
        <v>99600.510441842329</v>
      </c>
      <c r="DT16" s="137">
        <f>(G_Kohorte_F!DT16+G_Kohorte_M!DT16)/2</f>
        <v>99617.199749407591</v>
      </c>
      <c r="DU16" s="137">
        <f>(G_Kohorte_F!DU16+G_Kohorte_M!DU16)/2</f>
        <v>99633.181113068917</v>
      </c>
    </row>
    <row r="17" spans="1:125">
      <c r="A17" s="2348">
        <v>15</v>
      </c>
      <c r="B17" s="137"/>
      <c r="C17" s="137"/>
      <c r="D17" s="137"/>
      <c r="E17" s="137"/>
      <c r="F17" s="137"/>
      <c r="G17" s="137"/>
      <c r="H17" s="137"/>
      <c r="I17" s="137"/>
      <c r="J17" s="137"/>
      <c r="K17" s="137"/>
      <c r="L17" s="137"/>
      <c r="M17" s="137"/>
      <c r="N17" s="137"/>
      <c r="O17" s="137"/>
      <c r="P17" s="137"/>
      <c r="Q17" s="137"/>
      <c r="R17" s="137"/>
      <c r="S17" s="137"/>
      <c r="T17" s="137"/>
      <c r="U17" s="137"/>
      <c r="V17" s="137"/>
      <c r="W17" s="2342">
        <v>82207</v>
      </c>
      <c r="X17" s="2342">
        <v>82938</v>
      </c>
      <c r="Y17" s="137">
        <v>82989.319589749008</v>
      </c>
      <c r="Z17" s="137">
        <v>85152.575956254033</v>
      </c>
      <c r="AA17" s="137">
        <v>85451.494828914903</v>
      </c>
      <c r="AB17" s="137">
        <v>85977.799436674934</v>
      </c>
      <c r="AC17" s="137">
        <v>86704.257053076813</v>
      </c>
      <c r="AD17" s="137">
        <v>87508.966127501801</v>
      </c>
      <c r="AE17" s="137">
        <v>87255.21950834665</v>
      </c>
      <c r="AF17" s="137">
        <v>88303.290947444009</v>
      </c>
      <c r="AG17" s="137">
        <v>88551.84837100259</v>
      </c>
      <c r="AH17" s="137">
        <v>88741.741696368044</v>
      </c>
      <c r="AI17" s="137">
        <v>88957.286811749014</v>
      </c>
      <c r="AJ17" s="137">
        <v>90120.712430420142</v>
      </c>
      <c r="AK17" s="137">
        <v>90033.60729705228</v>
      </c>
      <c r="AL17" s="137">
        <v>90303.48607335164</v>
      </c>
      <c r="AM17" s="137">
        <v>90538.191723938158</v>
      </c>
      <c r="AN17" s="137">
        <v>90992.157120030024</v>
      </c>
      <c r="AO17" s="137">
        <v>90971.054514302901</v>
      </c>
      <c r="AP17" s="137">
        <v>91067.302515583666</v>
      </c>
      <c r="AQ17" s="137">
        <v>91129.241793699373</v>
      </c>
      <c r="AR17" s="137">
        <v>91165.630926120037</v>
      </c>
      <c r="AS17" s="137">
        <v>90574.587240799883</v>
      </c>
      <c r="AT17" s="137">
        <v>89795.410800954502</v>
      </c>
      <c r="AU17" s="137">
        <v>88527.774559416415</v>
      </c>
      <c r="AV17" s="137">
        <v>88907.42513850554</v>
      </c>
      <c r="AW17" s="137">
        <v>89211.522103275172</v>
      </c>
      <c r="AX17" s="137">
        <v>91384.616199667973</v>
      </c>
      <c r="AY17" s="137">
        <v>93194.869634719988</v>
      </c>
      <c r="AZ17" s="137">
        <v>93260.759175649437</v>
      </c>
      <c r="BA17" s="137">
        <v>93326.607248239307</v>
      </c>
      <c r="BB17" s="137">
        <v>93978.930449426902</v>
      </c>
      <c r="BC17" s="137">
        <v>94227.171375439124</v>
      </c>
      <c r="BD17" s="137">
        <v>94599.875944745989</v>
      </c>
      <c r="BE17" s="137">
        <v>94686.942425494548</v>
      </c>
      <c r="BF17" s="137">
        <v>95022.712614751319</v>
      </c>
      <c r="BG17" s="137">
        <v>95115.261610066576</v>
      </c>
      <c r="BH17" s="137">
        <v>95351.263027006527</v>
      </c>
      <c r="BI17" s="137">
        <v>95523.84992967124</v>
      </c>
      <c r="BJ17" s="137">
        <v>95658.905634974828</v>
      </c>
      <c r="BK17" s="137">
        <v>95941.198294061833</v>
      </c>
      <c r="BL17" s="137">
        <v>96215.876826862499</v>
      </c>
      <c r="BM17" s="137">
        <v>96436.982808068322</v>
      </c>
      <c r="BN17" s="137">
        <v>96683.912966021802</v>
      </c>
      <c r="BO17" s="137">
        <v>96855.453399008053</v>
      </c>
      <c r="BP17" s="137">
        <v>96948.467205965251</v>
      </c>
      <c r="BQ17" s="137">
        <v>97038.333934591792</v>
      </c>
      <c r="BR17" s="137">
        <v>97109.46589356169</v>
      </c>
      <c r="BS17" s="137">
        <v>97080.231130076601</v>
      </c>
      <c r="BT17" s="137">
        <v>97140.423956620012</v>
      </c>
      <c r="BU17" s="137">
        <v>97221.028534915153</v>
      </c>
      <c r="BV17" s="137">
        <v>97313.742758052234</v>
      </c>
      <c r="BW17" s="137">
        <v>97367.918233656965</v>
      </c>
      <c r="BX17" s="137">
        <v>97485.128583440339</v>
      </c>
      <c r="BY17" s="137">
        <v>97624.708703087323</v>
      </c>
      <c r="BZ17" s="137">
        <v>97879.189568731614</v>
      </c>
      <c r="CA17" s="137">
        <v>98071.398217806389</v>
      </c>
      <c r="CB17" s="137">
        <v>98139.710247905692</v>
      </c>
      <c r="CC17" s="137">
        <v>98258.048826826154</v>
      </c>
      <c r="CD17" s="137">
        <v>98353.700487346126</v>
      </c>
      <c r="CE17" s="137">
        <v>98420.907527297677</v>
      </c>
      <c r="CF17" s="137">
        <v>98537.269637042089</v>
      </c>
      <c r="CG17" s="137">
        <v>98624.883538295559</v>
      </c>
      <c r="CH17" s="137">
        <v>98687.323407325021</v>
      </c>
      <c r="CI17" s="137">
        <v>98768.741896303662</v>
      </c>
      <c r="CJ17" s="137">
        <v>98806.383139986254</v>
      </c>
      <c r="CK17" s="137">
        <v>98857.182352832373</v>
      </c>
      <c r="CL17" s="137">
        <v>98949.504451504225</v>
      </c>
      <c r="CM17" s="137">
        <v>98972.730955945153</v>
      </c>
      <c r="CN17" s="137">
        <v>99037.301838876621</v>
      </c>
      <c r="CO17" s="137">
        <v>99103.127148947518</v>
      </c>
      <c r="CP17" s="137">
        <v>99149.135140043334</v>
      </c>
      <c r="CQ17" s="137">
        <v>99211.992965184676</v>
      </c>
      <c r="CR17" s="137">
        <v>99231.012072843092</v>
      </c>
      <c r="CS17" s="137">
        <v>99276.052865879901</v>
      </c>
      <c r="CT17" s="137">
        <v>99293.298103513371</v>
      </c>
      <c r="CU17" s="137">
        <v>99331.440571343235</v>
      </c>
      <c r="CV17" s="137">
        <v>99339.823982260146</v>
      </c>
      <c r="CW17" s="137">
        <v>99361.381026768853</v>
      </c>
      <c r="CX17" s="137">
        <v>99400.823818091798</v>
      </c>
      <c r="CY17" s="137">
        <v>99403.707598556866</v>
      </c>
      <c r="CZ17" s="137">
        <v>99404.888974150032</v>
      </c>
      <c r="DA17" s="137">
        <v>99407.391134571255</v>
      </c>
      <c r="DB17" s="137">
        <v>99435.316132960405</v>
      </c>
      <c r="DC17" s="137">
        <v>99452.655149511891</v>
      </c>
      <c r="DD17" s="137">
        <v>99457.930024266199</v>
      </c>
      <c r="DE17" s="137">
        <v>99466.061498786017</v>
      </c>
      <c r="DF17" s="137">
        <v>99506.604535910155</v>
      </c>
      <c r="DG17" s="137">
        <v>99502.470513704902</v>
      </c>
      <c r="DH17" s="137">
        <v>99513.181209603048</v>
      </c>
      <c r="DI17" s="137">
        <v>99503.911290427495</v>
      </c>
      <c r="DJ17" s="137">
        <v>99534.816983384138</v>
      </c>
      <c r="DK17" s="137">
        <v>99546.51290824762</v>
      </c>
      <c r="DL17" s="137">
        <v>99541.697493413521</v>
      </c>
      <c r="DM17" s="137">
        <v>99539.988674562614</v>
      </c>
      <c r="DN17" s="137">
        <v>99534.980018460599</v>
      </c>
      <c r="DO17" s="137">
        <v>99555.506779393691</v>
      </c>
      <c r="DP17" s="137">
        <f>(G_Kohorte_F!DP17+G_Kohorte_M!DP17)/2</f>
        <v>99573.203351097967</v>
      </c>
      <c r="DQ17" s="137">
        <f>(G_Kohorte_F!DQ17+G_Kohorte_M!DQ17)/2</f>
        <v>99573.803593392178</v>
      </c>
      <c r="DR17" s="137">
        <f>(G_Kohorte_F!DR17+G_Kohorte_M!DR17)/2</f>
        <v>99589.999423755682</v>
      </c>
      <c r="DS17" s="137">
        <f>(G_Kohorte_F!DS17+G_Kohorte_M!DS17)/2</f>
        <v>99593.165413750248</v>
      </c>
      <c r="DT17" s="137">
        <f>(G_Kohorte_F!DT17+G_Kohorte_M!DT17)/2</f>
        <v>99610.105459992061</v>
      </c>
      <c r="DU17" s="137">
        <f>(G_Kohorte_F!DU17+G_Kohorte_M!DU17)/2</f>
        <v>99626.32905277182</v>
      </c>
    </row>
    <row r="18" spans="1:125">
      <c r="A18" s="2348">
        <v>16</v>
      </c>
      <c r="B18" s="137"/>
      <c r="C18" s="137"/>
      <c r="D18" s="137"/>
      <c r="E18" s="137"/>
      <c r="F18" s="137"/>
      <c r="G18" s="137"/>
      <c r="H18" s="137"/>
      <c r="I18" s="137"/>
      <c r="J18" s="137"/>
      <c r="K18" s="137"/>
      <c r="L18" s="137"/>
      <c r="M18" s="137"/>
      <c r="N18" s="137"/>
      <c r="O18" s="137"/>
      <c r="P18" s="137"/>
      <c r="Q18" s="137"/>
      <c r="R18" s="137"/>
      <c r="S18" s="137"/>
      <c r="T18" s="137"/>
      <c r="U18" s="137"/>
      <c r="V18" s="137"/>
      <c r="W18" s="2342">
        <v>82067.5</v>
      </c>
      <c r="X18" s="2342">
        <v>82800.5</v>
      </c>
      <c r="Y18" s="137">
        <v>82858.557040454893</v>
      </c>
      <c r="Z18" s="137">
        <v>85010.96565425364</v>
      </c>
      <c r="AA18" s="137">
        <v>85309.399219130108</v>
      </c>
      <c r="AB18" s="137">
        <v>85834.816414672037</v>
      </c>
      <c r="AC18" s="137">
        <v>86560.067730662995</v>
      </c>
      <c r="AD18" s="137">
        <v>87348.869639515877</v>
      </c>
      <c r="AE18" s="137">
        <v>87073.832334721956</v>
      </c>
      <c r="AF18" s="137">
        <v>88076.533145714609</v>
      </c>
      <c r="AG18" s="137">
        <v>88414.393225165782</v>
      </c>
      <c r="AH18" s="137">
        <v>88603.963316821901</v>
      </c>
      <c r="AI18" s="137">
        <v>88852.803172523971</v>
      </c>
      <c r="AJ18" s="137">
        <v>90043.395210123839</v>
      </c>
      <c r="AK18" s="137">
        <v>89956.373509938247</v>
      </c>
      <c r="AL18" s="137">
        <v>90226.019566897114</v>
      </c>
      <c r="AM18" s="137">
        <v>90474.764013193577</v>
      </c>
      <c r="AN18" s="137">
        <v>90934.655085434206</v>
      </c>
      <c r="AO18" s="137">
        <v>90911.005702469149</v>
      </c>
      <c r="AP18" s="137">
        <v>91009.15702141542</v>
      </c>
      <c r="AQ18" s="137">
        <v>91068.840600497642</v>
      </c>
      <c r="AR18" s="137">
        <v>91108.233634021162</v>
      </c>
      <c r="AS18" s="137">
        <v>90520.165907663453</v>
      </c>
      <c r="AT18" s="137">
        <v>89744.258231550572</v>
      </c>
      <c r="AU18" s="137">
        <v>88480.433937844369</v>
      </c>
      <c r="AV18" s="137">
        <v>88857.155666355902</v>
      </c>
      <c r="AW18" s="137">
        <v>89163.245723757835</v>
      </c>
      <c r="AX18" s="137">
        <v>91335.910498073994</v>
      </c>
      <c r="AY18" s="137">
        <v>93147.157044084684</v>
      </c>
      <c r="AZ18" s="137">
        <v>93212.327616416092</v>
      </c>
      <c r="BA18" s="137">
        <v>93278.647577209209</v>
      </c>
      <c r="BB18" s="137">
        <v>93929.606260910557</v>
      </c>
      <c r="BC18" s="137">
        <v>94176.2259654339</v>
      </c>
      <c r="BD18" s="137">
        <v>94546.90847169375</v>
      </c>
      <c r="BE18" s="137">
        <v>94630.063685347879</v>
      </c>
      <c r="BF18" s="137">
        <v>94968.800110811862</v>
      </c>
      <c r="BG18" s="137">
        <v>95062.356863999623</v>
      </c>
      <c r="BH18" s="137">
        <v>95302.423266141763</v>
      </c>
      <c r="BI18" s="137">
        <v>95473.268012003085</v>
      </c>
      <c r="BJ18" s="137">
        <v>95607.596696917171</v>
      </c>
      <c r="BK18" s="137">
        <v>95888.726257588642</v>
      </c>
      <c r="BL18" s="137">
        <v>96163.449114630057</v>
      </c>
      <c r="BM18" s="137">
        <v>96389.623517266125</v>
      </c>
      <c r="BN18" s="137">
        <v>96637.903375328111</v>
      </c>
      <c r="BO18" s="137">
        <v>96810.839185124001</v>
      </c>
      <c r="BP18" s="137">
        <v>96904.736763382622</v>
      </c>
      <c r="BQ18" s="137">
        <v>97000.630163076377</v>
      </c>
      <c r="BR18" s="137">
        <v>97071.286704191501</v>
      </c>
      <c r="BS18" s="137">
        <v>97046.986261241749</v>
      </c>
      <c r="BT18" s="137">
        <v>97107.174980072654</v>
      </c>
      <c r="BU18" s="137">
        <v>97188.836734078373</v>
      </c>
      <c r="BV18" s="137">
        <v>97281.755673329841</v>
      </c>
      <c r="BW18" s="137">
        <v>97338.759257878672</v>
      </c>
      <c r="BX18" s="137">
        <v>97456.522351412161</v>
      </c>
      <c r="BY18" s="137">
        <v>97593.449406983331</v>
      </c>
      <c r="BZ18" s="137">
        <v>97853.305752952292</v>
      </c>
      <c r="CA18" s="137">
        <v>98042.865004233754</v>
      </c>
      <c r="CB18" s="137">
        <v>98111.939619752142</v>
      </c>
      <c r="CC18" s="137">
        <v>98229.609817857068</v>
      </c>
      <c r="CD18" s="137">
        <v>98323.83111659206</v>
      </c>
      <c r="CE18" s="137">
        <v>98398.377807646524</v>
      </c>
      <c r="CF18" s="137">
        <v>98513.532640593592</v>
      </c>
      <c r="CG18" s="137">
        <v>98599.973952704866</v>
      </c>
      <c r="CH18" s="137">
        <v>98665.788866326329</v>
      </c>
      <c r="CI18" s="137">
        <v>98749.577122543415</v>
      </c>
      <c r="CJ18" s="137">
        <v>98785.133758846598</v>
      </c>
      <c r="CK18" s="137">
        <v>98836.809835162654</v>
      </c>
      <c r="CL18" s="137">
        <v>98928.347808244318</v>
      </c>
      <c r="CM18" s="137">
        <v>98954.234064473654</v>
      </c>
      <c r="CN18" s="137">
        <v>99021.027420805302</v>
      </c>
      <c r="CO18" s="137">
        <v>99087.836784007479</v>
      </c>
      <c r="CP18" s="137">
        <v>99132.15856279619</v>
      </c>
      <c r="CQ18" s="137">
        <v>99194.377535629072</v>
      </c>
      <c r="CR18" s="137">
        <v>99212.892665759486</v>
      </c>
      <c r="CS18" s="137">
        <v>99261.611867437663</v>
      </c>
      <c r="CT18" s="137">
        <v>99282.709125064997</v>
      </c>
      <c r="CU18" s="137">
        <v>99315.969815820936</v>
      </c>
      <c r="CV18" s="137">
        <v>99325.169954440251</v>
      </c>
      <c r="CW18" s="137">
        <v>99348.525746204745</v>
      </c>
      <c r="CX18" s="137">
        <v>99386.80698046257</v>
      </c>
      <c r="CY18" s="137">
        <v>99389.865763497233</v>
      </c>
      <c r="CZ18" s="137">
        <v>99391.366299434158</v>
      </c>
      <c r="DA18" s="137">
        <v>99391.99240726298</v>
      </c>
      <c r="DB18" s="137">
        <v>99422.914491420117</v>
      </c>
      <c r="DC18" s="137">
        <v>99440.819773231473</v>
      </c>
      <c r="DD18" s="137">
        <v>99442.591341220075</v>
      </c>
      <c r="DE18" s="137">
        <v>99451.925723140739</v>
      </c>
      <c r="DF18" s="137">
        <v>99492.943800280467</v>
      </c>
      <c r="DG18" s="137">
        <v>99489.274289378824</v>
      </c>
      <c r="DH18" s="137">
        <v>99500.43221102799</v>
      </c>
      <c r="DI18" s="137">
        <v>99491.596450267461</v>
      </c>
      <c r="DJ18" s="137">
        <v>99522.916714252176</v>
      </c>
      <c r="DK18" s="137">
        <v>99535.01571903631</v>
      </c>
      <c r="DL18" s="137">
        <v>99530.591508200232</v>
      </c>
      <c r="DM18" s="137">
        <v>99529.259892093454</v>
      </c>
      <c r="DN18" s="137">
        <v>99524.616279416194</v>
      </c>
      <c r="DO18" s="137">
        <v>99545.492909000459</v>
      </c>
      <c r="DP18" s="137">
        <f>(G_Kohorte_F!DP18+G_Kohorte_M!DP18)/2</f>
        <v>99563.527890560566</v>
      </c>
      <c r="DQ18" s="137">
        <f>(G_Kohorte_F!DQ18+G_Kohorte_M!DQ18)/2</f>
        <v>99564.456615246163</v>
      </c>
      <c r="DR18" s="137">
        <f>(G_Kohorte_F!DR18+G_Kohorte_M!DR18)/2</f>
        <v>99580.966144113278</v>
      </c>
      <c r="DS18" s="137">
        <f>(G_Kohorte_F!DS18+G_Kohorte_M!DS18)/2</f>
        <v>99584.436720407481</v>
      </c>
      <c r="DT18" s="137">
        <f>(G_Kohorte_F!DT18+G_Kohorte_M!DT18)/2</f>
        <v>99601.669793104287</v>
      </c>
      <c r="DU18" s="137">
        <f>(G_Kohorte_F!DU18+G_Kohorte_M!DU18)/2</f>
        <v>99618.176635797921</v>
      </c>
    </row>
    <row r="19" spans="1:125">
      <c r="A19" s="2348">
        <v>17</v>
      </c>
      <c r="B19" s="137"/>
      <c r="C19" s="137"/>
      <c r="D19" s="137"/>
      <c r="E19" s="137"/>
      <c r="F19" s="137"/>
      <c r="G19" s="137"/>
      <c r="H19" s="137"/>
      <c r="I19" s="137"/>
      <c r="J19" s="137"/>
      <c r="K19" s="137"/>
      <c r="L19" s="137"/>
      <c r="M19" s="137"/>
      <c r="N19" s="137"/>
      <c r="O19" s="137"/>
      <c r="P19" s="137"/>
      <c r="Q19" s="137"/>
      <c r="R19" s="137"/>
      <c r="S19" s="137"/>
      <c r="T19" s="137"/>
      <c r="U19" s="137"/>
      <c r="V19" s="137"/>
      <c r="W19" s="2342">
        <v>81912.5</v>
      </c>
      <c r="X19" s="2342">
        <v>82651</v>
      </c>
      <c r="Y19" s="137">
        <v>82701.73096841498</v>
      </c>
      <c r="Z19" s="137">
        <v>84849.981547982665</v>
      </c>
      <c r="AA19" s="137">
        <v>85147.869684813661</v>
      </c>
      <c r="AB19" s="137">
        <v>85672.271595151833</v>
      </c>
      <c r="AC19" s="137">
        <v>86379.76102041456</v>
      </c>
      <c r="AD19" s="137">
        <v>87142.078741272795</v>
      </c>
      <c r="AE19" s="137">
        <v>86813.079086246085</v>
      </c>
      <c r="AF19" s="137">
        <v>87915.231146196908</v>
      </c>
      <c r="AG19" s="137">
        <v>88252.479826385999</v>
      </c>
      <c r="AH19" s="137">
        <v>88481.223195364495</v>
      </c>
      <c r="AI19" s="137">
        <v>88765.944116479746</v>
      </c>
      <c r="AJ19" s="137">
        <v>89955.363073746237</v>
      </c>
      <c r="AK19" s="137">
        <v>89868.436113288801</v>
      </c>
      <c r="AL19" s="137">
        <v>90150.385603861592</v>
      </c>
      <c r="AM19" s="137">
        <v>90404.863817421123</v>
      </c>
      <c r="AN19" s="137">
        <v>90867.578975934739</v>
      </c>
      <c r="AO19" s="137">
        <v>90846.308069242004</v>
      </c>
      <c r="AP19" s="137">
        <v>90944.215573878275</v>
      </c>
      <c r="AQ19" s="137">
        <v>90998.641881484466</v>
      </c>
      <c r="AR19" s="137">
        <v>91042.852000531246</v>
      </c>
      <c r="AS19" s="137">
        <v>90452.390327713423</v>
      </c>
      <c r="AT19" s="137">
        <v>89679.177591682237</v>
      </c>
      <c r="AU19" s="137">
        <v>88419.216619187704</v>
      </c>
      <c r="AV19" s="137">
        <v>88792.754950003859</v>
      </c>
      <c r="AW19" s="137">
        <v>89099.623984643389</v>
      </c>
      <c r="AX19" s="137">
        <v>91269.171981996071</v>
      </c>
      <c r="AY19" s="137">
        <v>93079.207600941285</v>
      </c>
      <c r="AZ19" s="137">
        <v>93140.081839331629</v>
      </c>
      <c r="BA19" s="137">
        <v>93203.088039515715</v>
      </c>
      <c r="BB19" s="137">
        <v>93860.260853403859</v>
      </c>
      <c r="BC19" s="137">
        <v>94096.314591094691</v>
      </c>
      <c r="BD19" s="137">
        <v>94467.265193274419</v>
      </c>
      <c r="BE19" s="137">
        <v>94544.531496416734</v>
      </c>
      <c r="BF19" s="137">
        <v>94887.319255775132</v>
      </c>
      <c r="BG19" s="137">
        <v>94986.486085384589</v>
      </c>
      <c r="BH19" s="137">
        <v>95223.216638614031</v>
      </c>
      <c r="BI19" s="137">
        <v>95396.197677918943</v>
      </c>
      <c r="BJ19" s="137">
        <v>95529.542402827763</v>
      </c>
      <c r="BK19" s="137">
        <v>95810.523785801692</v>
      </c>
      <c r="BL19" s="137">
        <v>96093.540391741582</v>
      </c>
      <c r="BM19" s="137">
        <v>96318.969150867153</v>
      </c>
      <c r="BN19" s="137">
        <v>96572.593369220544</v>
      </c>
      <c r="BO19" s="137">
        <v>96751.906705131463</v>
      </c>
      <c r="BP19" s="137">
        <v>96844.713801424601</v>
      </c>
      <c r="BQ19" s="137">
        <v>96943.627961840306</v>
      </c>
      <c r="BR19" s="137">
        <v>97021.668410929764</v>
      </c>
      <c r="BS19" s="137">
        <v>97002.99236232361</v>
      </c>
      <c r="BT19" s="137">
        <v>97061.217590395419</v>
      </c>
      <c r="BU19" s="137">
        <v>97147.173914103303</v>
      </c>
      <c r="BV19" s="137">
        <v>97240.199161062788</v>
      </c>
      <c r="BW19" s="137">
        <v>97300.959560162679</v>
      </c>
      <c r="BX19" s="137">
        <v>97416.507064222649</v>
      </c>
      <c r="BY19" s="137">
        <v>97550.936755345494</v>
      </c>
      <c r="BZ19" s="137">
        <v>97816.306993822014</v>
      </c>
      <c r="CA19" s="137">
        <v>98000.802604049881</v>
      </c>
      <c r="CB19" s="137">
        <v>98072.146993713337</v>
      </c>
      <c r="CC19" s="137">
        <v>98190.178129780863</v>
      </c>
      <c r="CD19" s="137">
        <v>98284.114331789213</v>
      </c>
      <c r="CE19" s="137">
        <v>98361.92435762813</v>
      </c>
      <c r="CF19" s="137">
        <v>98482.80514478551</v>
      </c>
      <c r="CG19" s="137">
        <v>98568.169923095906</v>
      </c>
      <c r="CH19" s="137">
        <v>98634.136315844313</v>
      </c>
      <c r="CI19" s="137">
        <v>98717.103889468039</v>
      </c>
      <c r="CJ19" s="137">
        <v>98755.318548756026</v>
      </c>
      <c r="CK19" s="137">
        <v>98809.235574089122</v>
      </c>
      <c r="CL19" s="137">
        <v>98903.723401252588</v>
      </c>
      <c r="CM19" s="137">
        <v>98931.756699081277</v>
      </c>
      <c r="CN19" s="137">
        <v>98996.622187538582</v>
      </c>
      <c r="CO19" s="137">
        <v>99065.144625479705</v>
      </c>
      <c r="CP19" s="137">
        <v>99110.779808152758</v>
      </c>
      <c r="CQ19" s="137">
        <v>99174.772566507731</v>
      </c>
      <c r="CR19" s="137">
        <v>99191.202145447154</v>
      </c>
      <c r="CS19" s="137">
        <v>99244.212296255224</v>
      </c>
      <c r="CT19" s="137">
        <v>99264.177599986317</v>
      </c>
      <c r="CU19" s="137">
        <v>99295.017914684053</v>
      </c>
      <c r="CV19" s="137">
        <v>99305.723996773741</v>
      </c>
      <c r="CW19" s="137">
        <v>99327.822322698237</v>
      </c>
      <c r="CX19" s="137">
        <v>99367.706969457591</v>
      </c>
      <c r="CY19" s="137">
        <v>99369.551840536034</v>
      </c>
      <c r="CZ19" s="137">
        <v>99374.348347229286</v>
      </c>
      <c r="DA19" s="137">
        <v>99374.580712221359</v>
      </c>
      <c r="DB19" s="137">
        <v>99406.347406910296</v>
      </c>
      <c r="DC19" s="137">
        <v>99420.838265427854</v>
      </c>
      <c r="DD19" s="137">
        <v>99425.340814312629</v>
      </c>
      <c r="DE19" s="137">
        <v>99435.251217759505</v>
      </c>
      <c r="DF19" s="137">
        <v>99476.820918324825</v>
      </c>
      <c r="DG19" s="137">
        <v>99473.69109076864</v>
      </c>
      <c r="DH19" s="137">
        <v>99485.368993734548</v>
      </c>
      <c r="DI19" s="137">
        <v>99477.038247898992</v>
      </c>
      <c r="DJ19" s="137">
        <v>99508.840929996761</v>
      </c>
      <c r="DK19" s="137">
        <v>99521.40936713983</v>
      </c>
      <c r="DL19" s="137">
        <v>99517.4410350002</v>
      </c>
      <c r="DM19" s="137">
        <v>99516.549119331743</v>
      </c>
      <c r="DN19" s="137">
        <v>99512.331380739051</v>
      </c>
      <c r="DO19" s="137">
        <v>99533.61630879929</v>
      </c>
      <c r="DP19" s="137">
        <f>(G_Kohorte_F!DP19+G_Kohorte_M!DP19)/2</f>
        <v>99552.046473548777</v>
      </c>
      <c r="DQ19" s="137">
        <f>(G_Kohorte_F!DQ19+G_Kohorte_M!DQ19)/2</f>
        <v>99553.355974047066</v>
      </c>
      <c r="DR19" s="137">
        <f>(G_Kohorte_F!DR19+G_Kohorte_M!DR19)/2</f>
        <v>99570.231715310714</v>
      </c>
      <c r="DS19" s="137">
        <f>(G_Kohorte_F!DS19+G_Kohorte_M!DS19)/2</f>
        <v>99574.058196100174</v>
      </c>
      <c r="DT19" s="137">
        <f>(G_Kohorte_F!DT19+G_Kohorte_M!DT19)/2</f>
        <v>99591.633799795687</v>
      </c>
      <c r="DU19" s="137">
        <f>(G_Kohorte_F!DU19+G_Kohorte_M!DU19)/2</f>
        <v>99608.47194219142</v>
      </c>
    </row>
    <row r="20" spans="1:125">
      <c r="A20" s="2348">
        <v>18</v>
      </c>
      <c r="B20" s="137"/>
      <c r="C20" s="137"/>
      <c r="D20" s="137"/>
      <c r="E20" s="137"/>
      <c r="F20" s="137"/>
      <c r="G20" s="137"/>
      <c r="H20" s="137"/>
      <c r="I20" s="137"/>
      <c r="J20" s="137"/>
      <c r="K20" s="137"/>
      <c r="L20" s="137"/>
      <c r="M20" s="137"/>
      <c r="N20" s="137"/>
      <c r="O20" s="137"/>
      <c r="P20" s="137"/>
      <c r="Q20" s="137"/>
      <c r="R20" s="137"/>
      <c r="S20" s="137"/>
      <c r="T20" s="137"/>
      <c r="U20" s="137"/>
      <c r="V20" s="137"/>
      <c r="W20" s="2342">
        <v>81757.5</v>
      </c>
      <c r="X20" s="2342">
        <v>82490.5</v>
      </c>
      <c r="Y20" s="137">
        <v>82541.12491833925</v>
      </c>
      <c r="Z20" s="137">
        <v>84685.126440687862</v>
      </c>
      <c r="AA20" s="137">
        <v>84982.453881463647</v>
      </c>
      <c r="AB20" s="137">
        <v>85489.17298286999</v>
      </c>
      <c r="AC20" s="137">
        <v>86169.981096288044</v>
      </c>
      <c r="AD20" s="137">
        <v>86837.293582938219</v>
      </c>
      <c r="AE20" s="137">
        <v>86628.21074146335</v>
      </c>
      <c r="AF20" s="137">
        <v>87727.959770444373</v>
      </c>
      <c r="AG20" s="137">
        <v>88111.743283991236</v>
      </c>
      <c r="AH20" s="137">
        <v>88383.267135682894</v>
      </c>
      <c r="AI20" s="137">
        <v>88667.688959535124</v>
      </c>
      <c r="AJ20" s="137">
        <v>89855.779853835644</v>
      </c>
      <c r="AK20" s="137">
        <v>89782.504066681897</v>
      </c>
      <c r="AL20" s="137">
        <v>90070.257345162667</v>
      </c>
      <c r="AM20" s="137">
        <v>90331.520680892761</v>
      </c>
      <c r="AN20" s="137">
        <v>90789.95630041667</v>
      </c>
      <c r="AO20" s="137">
        <v>90773.156048268662</v>
      </c>
      <c r="AP20" s="137">
        <v>90869.627721308614</v>
      </c>
      <c r="AQ20" s="137">
        <v>90923.42788493415</v>
      </c>
      <c r="AR20" s="137">
        <v>90969.642428429681</v>
      </c>
      <c r="AS20" s="137">
        <v>90377.598129186546</v>
      </c>
      <c r="AT20" s="137">
        <v>89602.353252255634</v>
      </c>
      <c r="AU20" s="137">
        <v>88351.480180633458</v>
      </c>
      <c r="AV20" s="137">
        <v>88712.701156651368</v>
      </c>
      <c r="AW20" s="137">
        <v>89029.76973138559</v>
      </c>
      <c r="AX20" s="137">
        <v>91191.334654198319</v>
      </c>
      <c r="AY20" s="137">
        <v>92996.046358871274</v>
      </c>
      <c r="AZ20" s="137">
        <v>93057.725247040202</v>
      </c>
      <c r="BA20" s="137">
        <v>93115.147176071041</v>
      </c>
      <c r="BB20" s="137">
        <v>93768.04361029109</v>
      </c>
      <c r="BC20" s="137">
        <v>94004.142861402273</v>
      </c>
      <c r="BD20" s="137">
        <v>94372.964820297784</v>
      </c>
      <c r="BE20" s="137">
        <v>94452.082092498254</v>
      </c>
      <c r="BF20" s="137">
        <v>94804.033225156483</v>
      </c>
      <c r="BG20" s="137">
        <v>94898.97884692048</v>
      </c>
      <c r="BH20" s="137">
        <v>95131.460870343552</v>
      </c>
      <c r="BI20" s="137">
        <v>95304.125251346035</v>
      </c>
      <c r="BJ20" s="137">
        <v>95442.387070773329</v>
      </c>
      <c r="BK20" s="137">
        <v>95731.059579878012</v>
      </c>
      <c r="BL20" s="137">
        <v>96013.444523299026</v>
      </c>
      <c r="BM20" s="137">
        <v>96241.967838770477</v>
      </c>
      <c r="BN20" s="137">
        <v>96496.348629071421</v>
      </c>
      <c r="BO20" s="137">
        <v>96680.57025573554</v>
      </c>
      <c r="BP20" s="137">
        <v>96779.984947162127</v>
      </c>
      <c r="BQ20" s="137">
        <v>96883.214211556609</v>
      </c>
      <c r="BR20" s="137">
        <v>96964.340763567714</v>
      </c>
      <c r="BS20" s="137">
        <v>96949.522822666419</v>
      </c>
      <c r="BT20" s="137">
        <v>97010.212456905603</v>
      </c>
      <c r="BU20" s="137">
        <v>97097.288738494419</v>
      </c>
      <c r="BV20" s="137">
        <v>97191.988594402821</v>
      </c>
      <c r="BW20" s="137">
        <v>97250.475421233408</v>
      </c>
      <c r="BX20" s="137">
        <v>97364.206951684348</v>
      </c>
      <c r="BY20" s="137">
        <v>97501.640303838329</v>
      </c>
      <c r="BZ20" s="137">
        <v>97771.735120235593</v>
      </c>
      <c r="CA20" s="137">
        <v>97952.575755157479</v>
      </c>
      <c r="CB20" s="137">
        <v>98024.295535353172</v>
      </c>
      <c r="CC20" s="137">
        <v>98148.421150978582</v>
      </c>
      <c r="CD20" s="137">
        <v>98241.359486489411</v>
      </c>
      <c r="CE20" s="137">
        <v>98316.255292406655</v>
      </c>
      <c r="CF20" s="137">
        <v>98438.885481826495</v>
      </c>
      <c r="CG20" s="137">
        <v>98532.39715241456</v>
      </c>
      <c r="CH20" s="137">
        <v>98597.534375174757</v>
      </c>
      <c r="CI20" s="137">
        <v>98680.008998362333</v>
      </c>
      <c r="CJ20" s="137">
        <v>98720.195343972067</v>
      </c>
      <c r="CK20" s="137">
        <v>98778.977019877886</v>
      </c>
      <c r="CL20" s="137">
        <v>98874.987981213606</v>
      </c>
      <c r="CM20" s="137">
        <v>98904.121086359781</v>
      </c>
      <c r="CN20" s="137">
        <v>98973.342087900819</v>
      </c>
      <c r="CO20" s="137">
        <v>99038.56238365591</v>
      </c>
      <c r="CP20" s="137">
        <v>99085.122998666047</v>
      </c>
      <c r="CQ20" s="137">
        <v>99149.32689363294</v>
      </c>
      <c r="CR20" s="137">
        <v>99166.249672483682</v>
      </c>
      <c r="CS20" s="137">
        <v>99220.042986783898</v>
      </c>
      <c r="CT20" s="137">
        <v>99242.931710496865</v>
      </c>
      <c r="CU20" s="137">
        <v>99274.996234711027</v>
      </c>
      <c r="CV20" s="137">
        <v>99282.952079835435</v>
      </c>
      <c r="CW20" s="137">
        <v>99306.994659442484</v>
      </c>
      <c r="CX20" s="137">
        <v>99348.108493522945</v>
      </c>
      <c r="CY20" s="137">
        <v>99348.637909000856</v>
      </c>
      <c r="CZ20" s="137">
        <v>99356.470689059643</v>
      </c>
      <c r="DA20" s="137">
        <v>99354.045014932984</v>
      </c>
      <c r="DB20" s="137">
        <v>99385.331103433273</v>
      </c>
      <c r="DC20" s="137">
        <v>99400.070677018055</v>
      </c>
      <c r="DD20" s="137">
        <v>99405.256510104053</v>
      </c>
      <c r="DE20" s="137">
        <v>99415.827177342377</v>
      </c>
      <c r="DF20" s="137">
        <v>99458.029431523668</v>
      </c>
      <c r="DG20" s="137">
        <v>99455.518756306177</v>
      </c>
      <c r="DH20" s="137">
        <v>99467.793677696638</v>
      </c>
      <c r="DI20" s="137">
        <v>99460.042995934491</v>
      </c>
      <c r="DJ20" s="137">
        <v>99492.400000038266</v>
      </c>
      <c r="DK20" s="137">
        <v>99505.508303083363</v>
      </c>
      <c r="DL20" s="137">
        <v>99502.064563200591</v>
      </c>
      <c r="DM20" s="137">
        <v>99501.678750072548</v>
      </c>
      <c r="DN20" s="137">
        <v>99497.951627211718</v>
      </c>
      <c r="DO20" s="137">
        <v>99519.707053004095</v>
      </c>
      <c r="DP20" s="137">
        <f>(G_Kohorte_F!DP20+G_Kohorte_M!DP20)/2</f>
        <v>99538.588466123299</v>
      </c>
      <c r="DQ20" s="137">
        <f>(G_Kohorte_F!DQ20+G_Kohorte_M!DQ20)/2</f>
        <v>99540.336669766839</v>
      </c>
      <c r="DR20" s="137">
        <f>(G_Kohorte_F!DR20+G_Kohorte_M!DR20)/2</f>
        <v>99557.634466417134</v>
      </c>
      <c r="DS20" s="137">
        <f>(G_Kohorte_F!DS20+G_Kohorte_M!DS20)/2</f>
        <v>99561.871530464472</v>
      </c>
      <c r="DT20" s="137">
        <f>(G_Kohorte_F!DT20+G_Kohorte_M!DT20)/2</f>
        <v>99579.842431437166</v>
      </c>
      <c r="DU20" s="137">
        <f>(G_Kohorte_F!DU20+G_Kohorte_M!DU20)/2</f>
        <v>99597.063137463512</v>
      </c>
    </row>
    <row r="21" spans="1:125">
      <c r="A21" s="2348">
        <v>19</v>
      </c>
      <c r="B21" s="137"/>
      <c r="C21" s="137"/>
      <c r="D21" s="137"/>
      <c r="E21" s="137"/>
      <c r="F21" s="137"/>
      <c r="G21" s="137"/>
      <c r="H21" s="137"/>
      <c r="I21" s="137"/>
      <c r="J21" s="137"/>
      <c r="K21" s="137"/>
      <c r="L21" s="137"/>
      <c r="M21" s="137"/>
      <c r="N21" s="137"/>
      <c r="O21" s="137"/>
      <c r="P21" s="137"/>
      <c r="Q21" s="137"/>
      <c r="R21" s="137"/>
      <c r="S21" s="137"/>
      <c r="T21" s="137"/>
      <c r="U21" s="137"/>
      <c r="V21" s="137"/>
      <c r="W21" s="2342">
        <v>81579.5</v>
      </c>
      <c r="X21" s="2342">
        <v>82311.5</v>
      </c>
      <c r="Y21" s="137">
        <v>82361.771626677626</v>
      </c>
      <c r="Z21" s="137">
        <v>84501.028395112255</v>
      </c>
      <c r="AA21" s="137">
        <v>84779.257198769774</v>
      </c>
      <c r="AB21" s="137">
        <v>85256.866215657661</v>
      </c>
      <c r="AC21" s="137">
        <v>85832.806401400157</v>
      </c>
      <c r="AD21" s="137">
        <v>86620.85552418197</v>
      </c>
      <c r="AE21" s="137">
        <v>86412.304938442801</v>
      </c>
      <c r="AF21" s="137">
        <v>87564.150669140043</v>
      </c>
      <c r="AG21" s="137">
        <v>88001.515591249161</v>
      </c>
      <c r="AH21" s="137">
        <v>88272.656878578011</v>
      </c>
      <c r="AI21" s="137">
        <v>88556.741744539671</v>
      </c>
      <c r="AJ21" s="137">
        <v>89759.353908500081</v>
      </c>
      <c r="AK21" s="137">
        <v>89690.868586882629</v>
      </c>
      <c r="AL21" s="137">
        <v>89976.090154531106</v>
      </c>
      <c r="AM21" s="137">
        <v>90239.681141265304</v>
      </c>
      <c r="AN21" s="137">
        <v>90693.63328583652</v>
      </c>
      <c r="AO21" s="137">
        <v>90679.216097197379</v>
      </c>
      <c r="AP21" s="137">
        <v>90778.923625277443</v>
      </c>
      <c r="AQ21" s="137">
        <v>90829.477567407535</v>
      </c>
      <c r="AR21" s="137">
        <v>90876.31612743673</v>
      </c>
      <c r="AS21" s="137">
        <v>90285.398731943045</v>
      </c>
      <c r="AT21" s="137">
        <v>89508.556243764178</v>
      </c>
      <c r="AU21" s="137">
        <v>88263.444054452732</v>
      </c>
      <c r="AV21" s="137">
        <v>88618.803763666307</v>
      </c>
      <c r="AW21" s="137">
        <v>88938.825664134594</v>
      </c>
      <c r="AX21" s="137">
        <v>91092.161790963815</v>
      </c>
      <c r="AY21" s="137">
        <v>92895.796619289627</v>
      </c>
      <c r="AZ21" s="137">
        <v>92957.158258084557</v>
      </c>
      <c r="BA21" s="137">
        <v>92999.628412168851</v>
      </c>
      <c r="BB21" s="137">
        <v>93651.968013973907</v>
      </c>
      <c r="BC21" s="137">
        <v>93884.155583701373</v>
      </c>
      <c r="BD21" s="137">
        <v>94258.263091875851</v>
      </c>
      <c r="BE21" s="137">
        <v>94346.270540776895</v>
      </c>
      <c r="BF21" s="137">
        <v>94693.065608157543</v>
      </c>
      <c r="BG21" s="137">
        <v>94783.72437264098</v>
      </c>
      <c r="BH21" s="137">
        <v>95015.462168610597</v>
      </c>
      <c r="BI21" s="137">
        <v>95190.183085779456</v>
      </c>
      <c r="BJ21" s="137">
        <v>95333.204434842191</v>
      </c>
      <c r="BK21" s="137">
        <v>95627.326000253248</v>
      </c>
      <c r="BL21" s="137">
        <v>95915.288202072508</v>
      </c>
      <c r="BM21" s="137">
        <v>96147.126777356578</v>
      </c>
      <c r="BN21" s="137">
        <v>96402.009808460512</v>
      </c>
      <c r="BO21" s="137">
        <v>96593.367761509668</v>
      </c>
      <c r="BP21" s="137">
        <v>96705.5813297805</v>
      </c>
      <c r="BQ21" s="137">
        <v>96809.849392690259</v>
      </c>
      <c r="BR21" s="137">
        <v>96897.538247093296</v>
      </c>
      <c r="BS21" s="137">
        <v>96878.41257136807</v>
      </c>
      <c r="BT21" s="137">
        <v>96945.361031262844</v>
      </c>
      <c r="BU21" s="137">
        <v>97028.004525635508</v>
      </c>
      <c r="BV21" s="137">
        <v>97119.188407296751</v>
      </c>
      <c r="BW21" s="137">
        <v>97179.235788290767</v>
      </c>
      <c r="BX21" s="137">
        <v>97294.581065868319</v>
      </c>
      <c r="BY21" s="137">
        <v>97430.719470305718</v>
      </c>
      <c r="BZ21" s="137">
        <v>97695.791274294999</v>
      </c>
      <c r="CA21" s="137">
        <v>97878.739335613674</v>
      </c>
      <c r="CB21" s="137">
        <v>97948.62618963205</v>
      </c>
      <c r="CC21" s="137">
        <v>98075.219591945497</v>
      </c>
      <c r="CD21" s="137">
        <v>98176.754453321817</v>
      </c>
      <c r="CE21" s="137">
        <v>98252.350142928597</v>
      </c>
      <c r="CF21" s="137">
        <v>98375.339193485328</v>
      </c>
      <c r="CG21" s="137">
        <v>98472.931555353905</v>
      </c>
      <c r="CH21" s="137">
        <v>98542.099118789221</v>
      </c>
      <c r="CI21" s="137">
        <v>98632.317509521963</v>
      </c>
      <c r="CJ21" s="137">
        <v>98675.941576543672</v>
      </c>
      <c r="CK21" s="137">
        <v>98733.862140789075</v>
      </c>
      <c r="CL21" s="137">
        <v>98834.893286979001</v>
      </c>
      <c r="CM21" s="137">
        <v>98866.750356278004</v>
      </c>
      <c r="CN21" s="137">
        <v>98937.498318711238</v>
      </c>
      <c r="CO21" s="137">
        <v>99001.026180737739</v>
      </c>
      <c r="CP21" s="137">
        <v>99049.284401430312</v>
      </c>
      <c r="CQ21" s="137">
        <v>99114.193510965881</v>
      </c>
      <c r="CR21" s="137">
        <v>99133.827202473272</v>
      </c>
      <c r="CS21" s="137">
        <v>99191.210728093574</v>
      </c>
      <c r="CT21" s="137">
        <v>99215.63610029273</v>
      </c>
      <c r="CU21" s="137">
        <v>99244.961604198936</v>
      </c>
      <c r="CV21" s="137">
        <v>99253.823044187098</v>
      </c>
      <c r="CW21" s="137">
        <v>99277.727121618387</v>
      </c>
      <c r="CX21" s="137">
        <v>99320.092069065897</v>
      </c>
      <c r="CY21" s="137">
        <v>99322.884340652032</v>
      </c>
      <c r="CZ21" s="137">
        <v>99331.692334591251</v>
      </c>
      <c r="DA21" s="137">
        <v>99324.338113379563</v>
      </c>
      <c r="DB21" s="137">
        <v>99360.986375997061</v>
      </c>
      <c r="DC21" s="137">
        <v>99376.513500826448</v>
      </c>
      <c r="DD21" s="137">
        <v>99382.462172841333</v>
      </c>
      <c r="DE21" s="137">
        <v>99393.770508241287</v>
      </c>
      <c r="DF21" s="137">
        <v>99436.679754460289</v>
      </c>
      <c r="DG21" s="137">
        <v>99434.861380654998</v>
      </c>
      <c r="DH21" s="137">
        <v>99447.804415701772</v>
      </c>
      <c r="DI21" s="137">
        <v>99440.703099996084</v>
      </c>
      <c r="DJ21" s="137">
        <v>99473.680889301206</v>
      </c>
      <c r="DK21" s="137">
        <v>99487.394334679877</v>
      </c>
      <c r="DL21" s="137">
        <v>99484.538964748397</v>
      </c>
      <c r="DM21" s="137">
        <v>99484.720894213984</v>
      </c>
      <c r="DN21" s="137">
        <v>99481.544651904682</v>
      </c>
      <c r="DO21" s="137">
        <v>99503.822286316456</v>
      </c>
      <c r="DP21" s="137">
        <f>(G_Kohorte_F!DP21+G_Kohorte_M!DP21)/2</f>
        <v>99523.21006272774</v>
      </c>
      <c r="DQ21" s="137">
        <f>(G_Kohorte_F!DQ21+G_Kohorte_M!DQ21)/2</f>
        <v>99525.450845711384</v>
      </c>
      <c r="DR21" s="137">
        <f>(G_Kohorte_F!DR21+G_Kohorte_M!DR21)/2</f>
        <v>99543.222658811894</v>
      </c>
      <c r="DS21" s="137">
        <f>(G_Kohorte_F!DS21+G_Kohorte_M!DS21)/2</f>
        <v>99547.921343029113</v>
      </c>
      <c r="DT21" s="137">
        <f>(G_Kohorte_F!DT21+G_Kohorte_M!DT21)/2</f>
        <v>99566.336824517435</v>
      </c>
      <c r="DU21" s="137">
        <f>(G_Kohorte_F!DU21+G_Kohorte_M!DU21)/2</f>
        <v>99583.988046956423</v>
      </c>
    </row>
    <row r="22" spans="1:125">
      <c r="A22" s="2348">
        <v>20</v>
      </c>
      <c r="B22" s="137"/>
      <c r="C22" s="137"/>
      <c r="D22" s="137"/>
      <c r="E22" s="137"/>
      <c r="F22" s="137"/>
      <c r="G22" s="137"/>
      <c r="H22" s="137"/>
      <c r="I22" s="137"/>
      <c r="J22" s="137"/>
      <c r="K22" s="137"/>
      <c r="L22" s="137"/>
      <c r="M22" s="137"/>
      <c r="N22" s="137"/>
      <c r="O22" s="137"/>
      <c r="P22" s="137"/>
      <c r="Q22" s="137"/>
      <c r="R22" s="137"/>
      <c r="S22" s="137"/>
      <c r="T22" s="137"/>
      <c r="U22" s="137"/>
      <c r="V22" s="137"/>
      <c r="W22" s="2342">
        <v>81388</v>
      </c>
      <c r="X22" s="2342">
        <v>82118</v>
      </c>
      <c r="Y22" s="137">
        <v>82168.200093913532</v>
      </c>
      <c r="Z22" s="137">
        <v>84282.464490049344</v>
      </c>
      <c r="AA22" s="137">
        <v>84530.100977383729</v>
      </c>
      <c r="AB22" s="137">
        <v>84896.02472566544</v>
      </c>
      <c r="AC22" s="137">
        <v>85581.035979098029</v>
      </c>
      <c r="AD22" s="137">
        <v>86366.731518148968</v>
      </c>
      <c r="AE22" s="137">
        <v>86222.352420457959</v>
      </c>
      <c r="AF22" s="137">
        <v>87442.402064815105</v>
      </c>
      <c r="AG22" s="137">
        <v>87879.162030007894</v>
      </c>
      <c r="AH22" s="137">
        <v>88149.877691661939</v>
      </c>
      <c r="AI22" s="137">
        <v>88445.534401865298</v>
      </c>
      <c r="AJ22" s="137">
        <v>89651.652294050858</v>
      </c>
      <c r="AK22" s="137">
        <v>89591.963022046519</v>
      </c>
      <c r="AL22" s="137">
        <v>89871.882857371136</v>
      </c>
      <c r="AM22" s="137">
        <v>90130.425019103248</v>
      </c>
      <c r="AN22" s="137">
        <v>90584.946193008422</v>
      </c>
      <c r="AO22" s="137">
        <v>90574.176900950406</v>
      </c>
      <c r="AP22" s="137">
        <v>90670.774211890501</v>
      </c>
      <c r="AQ22" s="137">
        <v>90723.441562892083</v>
      </c>
      <c r="AR22" s="137">
        <v>90770.123679443597</v>
      </c>
      <c r="AS22" s="137">
        <v>90181.478813578433</v>
      </c>
      <c r="AT22" s="137">
        <v>89411.245438226557</v>
      </c>
      <c r="AU22" s="137">
        <v>88161.528480473047</v>
      </c>
      <c r="AV22" s="137">
        <v>88514.275084190449</v>
      </c>
      <c r="AW22" s="137">
        <v>88840.078832475658</v>
      </c>
      <c r="AX22" s="137">
        <v>90992.391065110191</v>
      </c>
      <c r="AY22" s="137">
        <v>92795.570829198507</v>
      </c>
      <c r="AZ22" s="137">
        <v>92846.151997326539</v>
      </c>
      <c r="BA22" s="137">
        <v>92880.259610116191</v>
      </c>
      <c r="BB22" s="137">
        <v>93532.223575894866</v>
      </c>
      <c r="BC22" s="137">
        <v>93765.79131107268</v>
      </c>
      <c r="BD22" s="137">
        <v>94152.952412931219</v>
      </c>
      <c r="BE22" s="137">
        <v>94232.913255157269</v>
      </c>
      <c r="BF22" s="137">
        <v>94579.755239448248</v>
      </c>
      <c r="BG22" s="137">
        <v>94670.657357197342</v>
      </c>
      <c r="BH22" s="137">
        <v>94899.984018650517</v>
      </c>
      <c r="BI22" s="137">
        <v>95080.569373804072</v>
      </c>
      <c r="BJ22" s="137">
        <v>95230.983517556568</v>
      </c>
      <c r="BK22" s="137">
        <v>95523.505207343638</v>
      </c>
      <c r="BL22" s="137">
        <v>95813.636375432921</v>
      </c>
      <c r="BM22" s="137">
        <v>96054.070569123898</v>
      </c>
      <c r="BN22" s="137">
        <v>96308.496645614097</v>
      </c>
      <c r="BO22" s="137">
        <v>96516.51620175202</v>
      </c>
      <c r="BP22" s="137">
        <v>96632.828167353669</v>
      </c>
      <c r="BQ22" s="137">
        <v>96735.487190243832</v>
      </c>
      <c r="BR22" s="137">
        <v>96825.283745845605</v>
      </c>
      <c r="BS22" s="137">
        <v>96812.7372930618</v>
      </c>
      <c r="BT22" s="137">
        <v>96878.406290086888</v>
      </c>
      <c r="BU22" s="137">
        <v>96947.914769535739</v>
      </c>
      <c r="BV22" s="137">
        <v>97037.261385356731</v>
      </c>
      <c r="BW22" s="137">
        <v>97103.070070035727</v>
      </c>
      <c r="BX22" s="137">
        <v>97219.049647666281</v>
      </c>
      <c r="BY22" s="137">
        <v>97357.534528234333</v>
      </c>
      <c r="BZ22" s="137">
        <v>97625.035976621555</v>
      </c>
      <c r="CA22" s="137">
        <v>97802.141160378844</v>
      </c>
      <c r="CB22" s="137">
        <v>97880.069154027093</v>
      </c>
      <c r="CC22" s="137">
        <v>98012.451134340488</v>
      </c>
      <c r="CD22" s="137">
        <v>98114.432515602486</v>
      </c>
      <c r="CE22" s="137">
        <v>98187.468197446738</v>
      </c>
      <c r="CF22" s="137">
        <v>98318.76851953796</v>
      </c>
      <c r="CG22" s="137">
        <v>98416.795088129962</v>
      </c>
      <c r="CH22" s="137">
        <v>98488.872331956532</v>
      </c>
      <c r="CI22" s="137">
        <v>98587.991854656691</v>
      </c>
      <c r="CJ22" s="137">
        <v>98634.740884791667</v>
      </c>
      <c r="CK22" s="137">
        <v>98688.485015129656</v>
      </c>
      <c r="CL22" s="137">
        <v>98797.005544074724</v>
      </c>
      <c r="CM22" s="137">
        <v>98833.430759070325</v>
      </c>
      <c r="CN22" s="137">
        <v>98902.377570415192</v>
      </c>
      <c r="CO22" s="137">
        <v>98963.895090704842</v>
      </c>
      <c r="CP22" s="137">
        <v>99016.458780736953</v>
      </c>
      <c r="CQ22" s="137">
        <v>99082.438931320561</v>
      </c>
      <c r="CR22" s="137">
        <v>99103.907494424493</v>
      </c>
      <c r="CS22" s="137">
        <v>99159.416260958242</v>
      </c>
      <c r="CT22" s="137">
        <v>99184.706967898193</v>
      </c>
      <c r="CU22" s="137">
        <v>99216.767367935099</v>
      </c>
      <c r="CV22" s="137">
        <v>99225.093783545599</v>
      </c>
      <c r="CW22" s="137">
        <v>99250.251050923864</v>
      </c>
      <c r="CX22" s="137">
        <v>99291.779676713486</v>
      </c>
      <c r="CY22" s="137">
        <v>99292.654652644735</v>
      </c>
      <c r="CZ22" s="137">
        <v>99300.255280023455</v>
      </c>
      <c r="DA22" s="137">
        <v>99296.897316173476</v>
      </c>
      <c r="DB22" s="137">
        <v>99334.410697018029</v>
      </c>
      <c r="DC22" s="137">
        <v>99350.784003381807</v>
      </c>
      <c r="DD22" s="137">
        <v>99357.552482710365</v>
      </c>
      <c r="DE22" s="137">
        <v>99369.654166269116</v>
      </c>
      <c r="DF22" s="137">
        <v>99413.32407128904</v>
      </c>
      <c r="DG22" s="137">
        <v>99412.250832040532</v>
      </c>
      <c r="DH22" s="137">
        <v>99425.913606902555</v>
      </c>
      <c r="DI22" s="137">
        <v>99419.512053894228</v>
      </c>
      <c r="DJ22" s="137">
        <v>99453.159061429076</v>
      </c>
      <c r="DK22" s="137">
        <v>99467.525477411633</v>
      </c>
      <c r="DL22" s="137">
        <v>99465.305355730961</v>
      </c>
      <c r="DM22" s="137">
        <v>99466.100354930866</v>
      </c>
      <c r="DN22" s="137">
        <v>99463.511396972914</v>
      </c>
      <c r="DO22" s="137">
        <v>99486.352709309707</v>
      </c>
      <c r="DP22" s="137">
        <f>(G_Kohorte_F!DP22+G_Kohorte_M!DP22)/2</f>
        <v>99506.287477742517</v>
      </c>
      <c r="DQ22" s="137">
        <f>(G_Kohorte_F!DQ22+G_Kohorte_M!DQ22)/2</f>
        <v>99509.060676963156</v>
      </c>
      <c r="DR22" s="137">
        <f>(G_Kohorte_F!DR22+G_Kohorte_M!DR22)/2</f>
        <v>99527.344965765573</v>
      </c>
      <c r="DS22" s="137">
        <f>(G_Kohorte_F!DS22+G_Kohorte_M!DS22)/2</f>
        <v>99532.543279939026</v>
      </c>
      <c r="DT22" s="137">
        <f>(G_Kohorte_F!DT22+G_Kohorte_M!DT22)/2</f>
        <v>99551.440095200407</v>
      </c>
      <c r="DU22" s="137">
        <f>(G_Kohorte_F!DU22+G_Kohorte_M!DU22)/2</f>
        <v>99569.557704243285</v>
      </c>
    </row>
    <row r="23" spans="1:125">
      <c r="A23" s="2348">
        <v>21</v>
      </c>
      <c r="B23" s="137"/>
      <c r="C23" s="137"/>
      <c r="D23" s="137"/>
      <c r="E23" s="137"/>
      <c r="F23" s="137"/>
      <c r="G23" s="137"/>
      <c r="H23" s="137"/>
      <c r="I23" s="137"/>
      <c r="J23" s="137"/>
      <c r="K23" s="137"/>
      <c r="L23" s="137"/>
      <c r="M23" s="137"/>
      <c r="N23" s="137"/>
      <c r="O23" s="137"/>
      <c r="P23" s="137"/>
      <c r="Q23" s="137"/>
      <c r="R23" s="137"/>
      <c r="S23" s="137"/>
      <c r="T23" s="137"/>
      <c r="U23" s="137"/>
      <c r="V23" s="137"/>
      <c r="W23" s="2342">
        <v>81184</v>
      </c>
      <c r="X23" s="2342">
        <v>81912.5</v>
      </c>
      <c r="Y23" s="137">
        <v>81941.606894494529</v>
      </c>
      <c r="Z23" s="137">
        <v>84018.224417253368</v>
      </c>
      <c r="AA23" s="137">
        <v>84148.526391525171</v>
      </c>
      <c r="AB23" s="137">
        <v>84611.326836290435</v>
      </c>
      <c r="AC23" s="137">
        <v>85294.071563154212</v>
      </c>
      <c r="AD23" s="137">
        <v>86149.551612565148</v>
      </c>
      <c r="AE23" s="137">
        <v>86092.233306174167</v>
      </c>
      <c r="AF23" s="137">
        <v>87310.376429442302</v>
      </c>
      <c r="AG23" s="137">
        <v>87746.480378792767</v>
      </c>
      <c r="AH23" s="137">
        <v>88032.154950713782</v>
      </c>
      <c r="AI23" s="137">
        <v>88334.265066359192</v>
      </c>
      <c r="AJ23" s="137">
        <v>89537.270389358353</v>
      </c>
      <c r="AK23" s="137">
        <v>89479.788913151278</v>
      </c>
      <c r="AL23" s="137">
        <v>89750.478882873897</v>
      </c>
      <c r="AM23" s="137">
        <v>90016.659837962157</v>
      </c>
      <c r="AN23" s="137">
        <v>90472.907335669734</v>
      </c>
      <c r="AO23" s="137">
        <v>90459.532028364949</v>
      </c>
      <c r="AP23" s="137">
        <v>90564.476559679577</v>
      </c>
      <c r="AQ23" s="137">
        <v>90611.826022964786</v>
      </c>
      <c r="AR23" s="137">
        <v>90669.086779152567</v>
      </c>
      <c r="AS23" s="137">
        <v>90077.06509349306</v>
      </c>
      <c r="AT23" s="137">
        <v>89315.303001317705</v>
      </c>
      <c r="AU23" s="137">
        <v>88060.110668083391</v>
      </c>
      <c r="AV23" s="137">
        <v>88409.209928305645</v>
      </c>
      <c r="AW23" s="137">
        <v>88741.867320880527</v>
      </c>
      <c r="AX23" s="137">
        <v>90899.626143619098</v>
      </c>
      <c r="AY23" s="137">
        <v>92689.541480842279</v>
      </c>
      <c r="AZ23" s="137">
        <v>92732.353733535594</v>
      </c>
      <c r="BA23" s="137">
        <v>92760.719756267616</v>
      </c>
      <c r="BB23" s="137">
        <v>93419.000275341183</v>
      </c>
      <c r="BC23" s="137">
        <v>93662.247733203083</v>
      </c>
      <c r="BD23" s="137">
        <v>94043.081319290504</v>
      </c>
      <c r="BE23" s="137">
        <v>94124.012789033644</v>
      </c>
      <c r="BF23" s="137">
        <v>94466.188635892293</v>
      </c>
      <c r="BG23" s="137">
        <v>94557.19816051118</v>
      </c>
      <c r="BH23" s="137">
        <v>94797.386465610209</v>
      </c>
      <c r="BI23" s="137">
        <v>94978.398008577235</v>
      </c>
      <c r="BJ23" s="137">
        <v>95132.111579729113</v>
      </c>
      <c r="BK23" s="137">
        <v>95434.030283340035</v>
      </c>
      <c r="BL23" s="137">
        <v>95722.191458452959</v>
      </c>
      <c r="BM23" s="137">
        <v>95969.205861154362</v>
      </c>
      <c r="BN23" s="137">
        <v>96228.838197603531</v>
      </c>
      <c r="BO23" s="137">
        <v>96444.670214807935</v>
      </c>
      <c r="BP23" s="137">
        <v>96560.638640608653</v>
      </c>
      <c r="BQ23" s="137">
        <v>96661.612750535423</v>
      </c>
      <c r="BR23" s="137">
        <v>96757.234066592166</v>
      </c>
      <c r="BS23" s="137">
        <v>96740.089239867724</v>
      </c>
      <c r="BT23" s="137">
        <v>96803.601862425974</v>
      </c>
      <c r="BU23" s="137">
        <v>96874.641335000633</v>
      </c>
      <c r="BV23" s="137">
        <v>96968.909513233273</v>
      </c>
      <c r="BW23" s="137">
        <v>97031.251894219313</v>
      </c>
      <c r="BX23" s="137">
        <v>97154.94417001144</v>
      </c>
      <c r="BY23" s="137">
        <v>97286.779822903307</v>
      </c>
      <c r="BZ23" s="137">
        <v>97555.406604348711</v>
      </c>
      <c r="CA23" s="137">
        <v>97734.578389036498</v>
      </c>
      <c r="CB23" s="137">
        <v>97816.027494601716</v>
      </c>
      <c r="CC23" s="137">
        <v>97950.677142657863</v>
      </c>
      <c r="CD23" s="137">
        <v>98048.659379782039</v>
      </c>
      <c r="CE23" s="137">
        <v>98127.95973439404</v>
      </c>
      <c r="CF23" s="137">
        <v>98263.576863833339</v>
      </c>
      <c r="CG23" s="137">
        <v>98365.155843055414</v>
      </c>
      <c r="CH23" s="137">
        <v>98441.938380549487</v>
      </c>
      <c r="CI23" s="137">
        <v>98549.553488557111</v>
      </c>
      <c r="CJ23" s="137">
        <v>98592.199027989176</v>
      </c>
      <c r="CK23" s="137">
        <v>98646.245456990262</v>
      </c>
      <c r="CL23" s="137">
        <v>98760.055805073833</v>
      </c>
      <c r="CM23" s="137">
        <v>98797.06971062097</v>
      </c>
      <c r="CN23" s="137">
        <v>98864.052496014076</v>
      </c>
      <c r="CO23" s="137">
        <v>98927.385295727232</v>
      </c>
      <c r="CP23" s="137">
        <v>98985.551637147262</v>
      </c>
      <c r="CQ23" s="137">
        <v>99053.490422607836</v>
      </c>
      <c r="CR23" s="137">
        <v>99070.017185977165</v>
      </c>
      <c r="CS23" s="137">
        <v>99126.349687641632</v>
      </c>
      <c r="CT23" s="137">
        <v>99154.356256211089</v>
      </c>
      <c r="CU23" s="137">
        <v>99186.842155207589</v>
      </c>
      <c r="CV23" s="137">
        <v>99196.299202602269</v>
      </c>
      <c r="CW23" s="137">
        <v>99221.883454082956</v>
      </c>
      <c r="CX23" s="137">
        <v>99263.107841035948</v>
      </c>
      <c r="CY23" s="137">
        <v>99264.326184252539</v>
      </c>
      <c r="CZ23" s="137">
        <v>99270.673786258631</v>
      </c>
      <c r="DA23" s="137">
        <v>99268.246940907411</v>
      </c>
      <c r="DB23" s="137">
        <v>99306.648068442271</v>
      </c>
      <c r="DC23" s="137">
        <v>99323.890783196854</v>
      </c>
      <c r="DD23" s="137">
        <v>99331.501784461085</v>
      </c>
      <c r="DE23" s="137">
        <v>99344.419409697148</v>
      </c>
      <c r="DF23" s="137">
        <v>99388.87195113409</v>
      </c>
      <c r="DG23" s="137">
        <v>99388.565700277657</v>
      </c>
      <c r="DH23" s="137">
        <v>99402.969977594155</v>
      </c>
      <c r="DI23" s="137">
        <v>99397.289597062947</v>
      </c>
      <c r="DJ23" s="137">
        <v>99431.626561127341</v>
      </c>
      <c r="DK23" s="137">
        <v>99446.666824050917</v>
      </c>
      <c r="DL23" s="137">
        <v>99445.102662661666</v>
      </c>
      <c r="DM23" s="137">
        <v>99446.521026284769</v>
      </c>
      <c r="DN23" s="137">
        <v>99444.538484348072</v>
      </c>
      <c r="DO23" s="137">
        <v>99467.961979515065</v>
      </c>
      <c r="DP23" s="137">
        <f>(G_Kohorte_F!DP23+G_Kohorte_M!DP23)/2</f>
        <v>99488.462127259685</v>
      </c>
      <c r="DQ23" s="137">
        <f>(G_Kohorte_F!DQ23+G_Kohorte_M!DQ23)/2</f>
        <v>99491.785970809913</v>
      </c>
      <c r="DR23" s="137">
        <f>(G_Kohorte_F!DR23+G_Kohorte_M!DR23)/2</f>
        <v>99510.60041348997</v>
      </c>
      <c r="DS23" s="137">
        <f>(G_Kohorte_F!DS23+G_Kohorte_M!DS23)/2</f>
        <v>99516.316162369971</v>
      </c>
      <c r="DT23" s="137">
        <f>(G_Kohorte_F!DT23+G_Kohorte_M!DT23)/2</f>
        <v>99535.711619851209</v>
      </c>
      <c r="DU23" s="137">
        <f>(G_Kohorte_F!DU23+G_Kohorte_M!DU23)/2</f>
        <v>99554.312677467213</v>
      </c>
    </row>
    <row r="24" spans="1:125">
      <c r="A24" s="2348">
        <v>22</v>
      </c>
      <c r="B24" s="137"/>
      <c r="C24" s="137"/>
      <c r="D24" s="137"/>
      <c r="E24" s="137"/>
      <c r="F24" s="137"/>
      <c r="G24" s="137"/>
      <c r="H24" s="137"/>
      <c r="I24" s="137"/>
      <c r="J24" s="137"/>
      <c r="K24" s="137"/>
      <c r="L24" s="137"/>
      <c r="M24" s="137"/>
      <c r="N24" s="137"/>
      <c r="O24" s="137"/>
      <c r="P24" s="137"/>
      <c r="Q24" s="137"/>
      <c r="R24" s="137"/>
      <c r="S24" s="137"/>
      <c r="T24" s="137"/>
      <c r="U24" s="137"/>
      <c r="V24" s="137"/>
      <c r="W24" s="2342">
        <v>80971.5</v>
      </c>
      <c r="X24" s="2342">
        <v>81675.5</v>
      </c>
      <c r="Y24" s="137">
        <v>81672.887980006286</v>
      </c>
      <c r="Z24" s="137">
        <v>83621.292371430114</v>
      </c>
      <c r="AA24" s="137">
        <v>83843.988789100797</v>
      </c>
      <c r="AB24" s="137">
        <v>84305.104290894611</v>
      </c>
      <c r="AC24" s="137">
        <v>85062.564931835092</v>
      </c>
      <c r="AD24" s="137">
        <v>86011.825259426303</v>
      </c>
      <c r="AE24" s="137">
        <v>85954.587943668521</v>
      </c>
      <c r="AF24" s="137">
        <v>87170.716465806996</v>
      </c>
      <c r="AG24" s="137">
        <v>87623.049272287812</v>
      </c>
      <c r="AH24" s="137">
        <v>87912.533164063381</v>
      </c>
      <c r="AI24" s="137">
        <v>88218.559989868212</v>
      </c>
      <c r="AJ24" s="137">
        <v>89423.944767414025</v>
      </c>
      <c r="AK24" s="137">
        <v>89354.318702310251</v>
      </c>
      <c r="AL24" s="137">
        <v>89632.424160358321</v>
      </c>
      <c r="AM24" s="137">
        <v>89904.450200480758</v>
      </c>
      <c r="AN24" s="137">
        <v>90364.212313340278</v>
      </c>
      <c r="AO24" s="137">
        <v>90355.207197047843</v>
      </c>
      <c r="AP24" s="137">
        <v>90443.136270618124</v>
      </c>
      <c r="AQ24" s="137">
        <v>90508.059686489534</v>
      </c>
      <c r="AR24" s="137">
        <v>90559.315039924491</v>
      </c>
      <c r="AS24" s="137">
        <v>89977.86301316836</v>
      </c>
      <c r="AT24" s="137">
        <v>89217.246794983308</v>
      </c>
      <c r="AU24" s="137">
        <v>87961.193938590004</v>
      </c>
      <c r="AV24" s="137">
        <v>88311.302239335375</v>
      </c>
      <c r="AW24" s="137">
        <v>88647.553964914128</v>
      </c>
      <c r="AX24" s="137">
        <v>90792.221825049317</v>
      </c>
      <c r="AY24" s="137">
        <v>92581.218484904821</v>
      </c>
      <c r="AZ24" s="137">
        <v>92619.85458242966</v>
      </c>
      <c r="BA24" s="137">
        <v>92648.906022954863</v>
      </c>
      <c r="BB24" s="137">
        <v>93316.222010439262</v>
      </c>
      <c r="BC24" s="137">
        <v>93558.070328736183</v>
      </c>
      <c r="BD24" s="137">
        <v>93942.623356716169</v>
      </c>
      <c r="BE24" s="137">
        <v>94013.503212309559</v>
      </c>
      <c r="BF24" s="137">
        <v>94363.277154606418</v>
      </c>
      <c r="BG24" s="137">
        <v>94454.305306053429</v>
      </c>
      <c r="BH24" s="137">
        <v>94699.958003239037</v>
      </c>
      <c r="BI24" s="137">
        <v>94884.985085982044</v>
      </c>
      <c r="BJ24" s="137">
        <v>95040.521040376014</v>
      </c>
      <c r="BK24" s="137">
        <v>95345.503661154857</v>
      </c>
      <c r="BL24" s="137">
        <v>95637.638348473643</v>
      </c>
      <c r="BM24" s="137">
        <v>95894.51769159222</v>
      </c>
      <c r="BN24" s="137">
        <v>96155.998927306617</v>
      </c>
      <c r="BO24" s="137">
        <v>96375.753060123767</v>
      </c>
      <c r="BP24" s="137">
        <v>96492.503938512527</v>
      </c>
      <c r="BQ24" s="137">
        <v>96594.275387213187</v>
      </c>
      <c r="BR24" s="137">
        <v>96687.893947935721</v>
      </c>
      <c r="BS24" s="137">
        <v>96664.747640080735</v>
      </c>
      <c r="BT24" s="137">
        <v>96731.127313594799</v>
      </c>
      <c r="BU24" s="137">
        <v>96801.750553694728</v>
      </c>
      <c r="BV24" s="137">
        <v>96903.431322929784</v>
      </c>
      <c r="BW24" s="137">
        <v>96963.177751157345</v>
      </c>
      <c r="BX24" s="137">
        <v>97083.483375037526</v>
      </c>
      <c r="BY24" s="137">
        <v>97230.21335071107</v>
      </c>
      <c r="BZ24" s="137">
        <v>97491.522693642823</v>
      </c>
      <c r="CA24" s="137">
        <v>97673.401888146662</v>
      </c>
      <c r="CB24" s="137">
        <v>97751.037575167575</v>
      </c>
      <c r="CC24" s="137">
        <v>97891.934546641482</v>
      </c>
      <c r="CD24" s="137">
        <v>97995.25275474081</v>
      </c>
      <c r="CE24" s="137">
        <v>98074.81635678286</v>
      </c>
      <c r="CF24" s="137">
        <v>98215.555138983167</v>
      </c>
      <c r="CG24" s="137">
        <v>98319.108992905793</v>
      </c>
      <c r="CH24" s="137">
        <v>98401.281471163835</v>
      </c>
      <c r="CI24" s="137">
        <v>98508.017738950846</v>
      </c>
      <c r="CJ24" s="137">
        <v>98552.129957490964</v>
      </c>
      <c r="CK24" s="137">
        <v>98610.490270818409</v>
      </c>
      <c r="CL24" s="137">
        <v>98722.747192598676</v>
      </c>
      <c r="CM24" s="137">
        <v>98755.94271228576</v>
      </c>
      <c r="CN24" s="137">
        <v>98829.042267966695</v>
      </c>
      <c r="CO24" s="137">
        <v>98896.399776973121</v>
      </c>
      <c r="CP24" s="137">
        <v>98955.705542752301</v>
      </c>
      <c r="CQ24" s="137">
        <v>99019.239013846527</v>
      </c>
      <c r="CR24" s="137">
        <v>99040.961870539875</v>
      </c>
      <c r="CS24" s="137">
        <v>99097.571829477121</v>
      </c>
      <c r="CT24" s="137">
        <v>99126.767581109103</v>
      </c>
      <c r="CU24" s="137">
        <v>99157.397870766741</v>
      </c>
      <c r="CV24" s="137">
        <v>99168.437638759555</v>
      </c>
      <c r="CW24" s="137">
        <v>99194.09443993133</v>
      </c>
      <c r="CX24" s="137">
        <v>99233.025891001947</v>
      </c>
      <c r="CY24" s="137">
        <v>99233.685339976451</v>
      </c>
      <c r="CZ24" s="137">
        <v>99240.974859577618</v>
      </c>
      <c r="DA24" s="137">
        <v>99239.466400439851</v>
      </c>
      <c r="DB24" s="137">
        <v>99278.743140294566</v>
      </c>
      <c r="DC24" s="137">
        <v>99296.844408161589</v>
      </c>
      <c r="DD24" s="137">
        <v>99305.287692339247</v>
      </c>
      <c r="DE24" s="137">
        <v>99319.011937372474</v>
      </c>
      <c r="DF24" s="137">
        <v>99364.238491788143</v>
      </c>
      <c r="DG24" s="137">
        <v>99364.691177577013</v>
      </c>
      <c r="DH24" s="137">
        <v>99379.82978596742</v>
      </c>
      <c r="DI24" s="137">
        <v>99374.863910908112</v>
      </c>
      <c r="DJ24" s="137">
        <v>99409.884713829742</v>
      </c>
      <c r="DK24" s="137">
        <v>99425.593475403934</v>
      </c>
      <c r="DL24" s="137">
        <v>99424.669694293028</v>
      </c>
      <c r="DM24" s="137">
        <v>99426.706666600177</v>
      </c>
      <c r="DN24" s="137">
        <v>99425.32650278548</v>
      </c>
      <c r="DO24" s="137">
        <v>99449.328462129546</v>
      </c>
      <c r="DP24" s="137">
        <f>(G_Kohorte_F!DP24+G_Kohorte_M!DP24)/2</f>
        <v>99470.390794759442</v>
      </c>
      <c r="DQ24" s="137">
        <f>(G_Kohorte_F!DQ24+G_Kohorte_M!DQ24)/2</f>
        <v>99474.262513137874</v>
      </c>
      <c r="DR24" s="137">
        <f>(G_Kohorte_F!DR24+G_Kohorte_M!DR24)/2</f>
        <v>99493.604595904893</v>
      </c>
      <c r="DS24" s="137">
        <f>(G_Kohorte_F!DS24+G_Kohorte_M!DS24)/2</f>
        <v>99499.835862011518</v>
      </c>
      <c r="DT24" s="137">
        <f>(G_Kohorte_F!DT24+G_Kohorte_M!DT24)/2</f>
        <v>99519.728284723242</v>
      </c>
      <c r="DU24" s="137">
        <f>(G_Kohorte_F!DU24+G_Kohorte_M!DU24)/2</f>
        <v>99538.811456558557</v>
      </c>
    </row>
    <row r="25" spans="1:125">
      <c r="A25" s="2348">
        <v>23</v>
      </c>
      <c r="B25" s="137"/>
      <c r="C25" s="137"/>
      <c r="D25" s="137"/>
      <c r="E25" s="137"/>
      <c r="F25" s="137"/>
      <c r="G25" s="137"/>
      <c r="H25" s="137"/>
      <c r="I25" s="137"/>
      <c r="J25" s="137"/>
      <c r="K25" s="137"/>
      <c r="L25" s="137"/>
      <c r="M25" s="137"/>
      <c r="N25" s="137"/>
      <c r="O25" s="137"/>
      <c r="P25" s="137"/>
      <c r="Q25" s="137"/>
      <c r="R25" s="137"/>
      <c r="S25" s="137"/>
      <c r="T25" s="137"/>
      <c r="U25" s="137"/>
      <c r="V25" s="137"/>
      <c r="W25" s="2342">
        <v>80740.5</v>
      </c>
      <c r="X25" s="2342">
        <v>81411.5</v>
      </c>
      <c r="Y25" s="137">
        <v>81292.313760579098</v>
      </c>
      <c r="Z25" s="137">
        <v>83312.823686126023</v>
      </c>
      <c r="AA25" s="137">
        <v>83534.83667727084</v>
      </c>
      <c r="AB25" s="137">
        <v>84087.147334436537</v>
      </c>
      <c r="AC25" s="137">
        <v>84921.144913663535</v>
      </c>
      <c r="AD25" s="137">
        <v>85868.777425246386</v>
      </c>
      <c r="AE25" s="137">
        <v>85811.623967117368</v>
      </c>
      <c r="AF25" s="137">
        <v>87041.838580906246</v>
      </c>
      <c r="AG25" s="137">
        <v>87496.665745975857</v>
      </c>
      <c r="AH25" s="137">
        <v>87792.002760610048</v>
      </c>
      <c r="AI25" s="137">
        <v>88098.869570023206</v>
      </c>
      <c r="AJ25" s="137">
        <v>89308.869130962485</v>
      </c>
      <c r="AK25" s="137">
        <v>89235.162406201678</v>
      </c>
      <c r="AL25" s="137">
        <v>89520.197882379784</v>
      </c>
      <c r="AM25" s="137">
        <v>89791.195292439268</v>
      </c>
      <c r="AN25" s="137">
        <v>90257.510411794778</v>
      </c>
      <c r="AO25" s="137">
        <v>90246.854147851991</v>
      </c>
      <c r="AP25" s="137">
        <v>90339.583323352243</v>
      </c>
      <c r="AQ25" s="137">
        <v>90405.868879412854</v>
      </c>
      <c r="AR25" s="137">
        <v>90456.702349397267</v>
      </c>
      <c r="AS25" s="137">
        <v>89882.073055940709</v>
      </c>
      <c r="AT25" s="137">
        <v>89116.592509957001</v>
      </c>
      <c r="AU25" s="137">
        <v>87859.144442041623</v>
      </c>
      <c r="AV25" s="137">
        <v>88213.699086217443</v>
      </c>
      <c r="AW25" s="137">
        <v>88552.102993074135</v>
      </c>
      <c r="AX25" s="137">
        <v>90688.671241807475</v>
      </c>
      <c r="AY25" s="137">
        <v>92474.596183780843</v>
      </c>
      <c r="AZ25" s="137">
        <v>92510.321543660684</v>
      </c>
      <c r="BA25" s="137">
        <v>92554.817462225561</v>
      </c>
      <c r="BB25" s="137">
        <v>93223.263236245228</v>
      </c>
      <c r="BC25" s="137">
        <v>93459.25824016906</v>
      </c>
      <c r="BD25" s="137">
        <v>93842.840784781642</v>
      </c>
      <c r="BE25" s="137">
        <v>93915.022840236925</v>
      </c>
      <c r="BF25" s="137">
        <v>94259.581971978085</v>
      </c>
      <c r="BG25" s="137">
        <v>94356.85044101454</v>
      </c>
      <c r="BH25" s="137">
        <v>94612.904552252265</v>
      </c>
      <c r="BI25" s="137">
        <v>94804.196373025668</v>
      </c>
      <c r="BJ25" s="137">
        <v>94956.26070915148</v>
      </c>
      <c r="BK25" s="137">
        <v>95261.495023193769</v>
      </c>
      <c r="BL25" s="137">
        <v>95558.59441438358</v>
      </c>
      <c r="BM25" s="137">
        <v>95823.808707382414</v>
      </c>
      <c r="BN25" s="137">
        <v>96087.637147341389</v>
      </c>
      <c r="BO25" s="137">
        <v>96309.00539505799</v>
      </c>
      <c r="BP25" s="137">
        <v>96424.912770262628</v>
      </c>
      <c r="BQ25" s="137">
        <v>96524.948052340362</v>
      </c>
      <c r="BR25" s="137">
        <v>96615.262387875468</v>
      </c>
      <c r="BS25" s="137">
        <v>96592.738051649678</v>
      </c>
      <c r="BT25" s="137">
        <v>96662.522736902174</v>
      </c>
      <c r="BU25" s="137">
        <v>96734.141443977482</v>
      </c>
      <c r="BV25" s="137">
        <v>96837.769975425894</v>
      </c>
      <c r="BW25" s="137">
        <v>96899.925517522832</v>
      </c>
      <c r="BX25" s="137">
        <v>97020.861378138274</v>
      </c>
      <c r="BY25" s="137">
        <v>97173.892949935165</v>
      </c>
      <c r="BZ25" s="137">
        <v>97430.103328651225</v>
      </c>
      <c r="CA25" s="137">
        <v>97615.05107335496</v>
      </c>
      <c r="CB25" s="137">
        <v>97699.423736327706</v>
      </c>
      <c r="CC25" s="137">
        <v>97836.514709077426</v>
      </c>
      <c r="CD25" s="137">
        <v>97945.914101515198</v>
      </c>
      <c r="CE25" s="137">
        <v>98023.583898971701</v>
      </c>
      <c r="CF25" s="137">
        <v>98172.358099673263</v>
      </c>
      <c r="CG25" s="137">
        <v>98278.679048839782</v>
      </c>
      <c r="CH25" s="137">
        <v>98355.898527276513</v>
      </c>
      <c r="CI25" s="137">
        <v>98469.438429092406</v>
      </c>
      <c r="CJ25" s="137">
        <v>98514.852148310514</v>
      </c>
      <c r="CK25" s="137">
        <v>98572.924924675128</v>
      </c>
      <c r="CL25" s="137">
        <v>98686.48298391953</v>
      </c>
      <c r="CM25" s="137">
        <v>98716.946304400859</v>
      </c>
      <c r="CN25" s="137">
        <v>98796.928559372784</v>
      </c>
      <c r="CO25" s="137">
        <v>98868.433685890632</v>
      </c>
      <c r="CP25" s="137">
        <v>98926.963377157415</v>
      </c>
      <c r="CQ25" s="137">
        <v>98985.767253231694</v>
      </c>
      <c r="CR25" s="137">
        <v>99010.483831026912</v>
      </c>
      <c r="CS25" s="137">
        <v>99068.019878304345</v>
      </c>
      <c r="CT25" s="137">
        <v>99099.022602907091</v>
      </c>
      <c r="CU25" s="137">
        <v>99127.597341328597</v>
      </c>
      <c r="CV25" s="137">
        <v>99141.486814526696</v>
      </c>
      <c r="CW25" s="137">
        <v>99161.630913381407</v>
      </c>
      <c r="CX25" s="137">
        <v>99202.149574212483</v>
      </c>
      <c r="CY25" s="137">
        <v>99203.746548717434</v>
      </c>
      <c r="CZ25" s="137">
        <v>99211.93893205456</v>
      </c>
      <c r="DA25" s="137">
        <v>99211.311603823502</v>
      </c>
      <c r="DB25" s="137">
        <v>99251.428507896446</v>
      </c>
      <c r="DC25" s="137">
        <v>99270.354498602625</v>
      </c>
      <c r="DD25" s="137">
        <v>99279.597616780156</v>
      </c>
      <c r="DE25" s="137">
        <v>99294.097589975048</v>
      </c>
      <c r="DF25" s="137">
        <v>99340.06882550061</v>
      </c>
      <c r="DG25" s="137">
        <v>99341.252155623806</v>
      </c>
      <c r="DH25" s="137">
        <v>99357.098269952578</v>
      </c>
      <c r="DI25" s="137">
        <v>99352.821159386775</v>
      </c>
      <c r="DJ25" s="137">
        <v>99388.50141501255</v>
      </c>
      <c r="DK25" s="137">
        <v>99404.844316354953</v>
      </c>
      <c r="DL25" s="137">
        <v>99404.539089801561</v>
      </c>
      <c r="DM25" s="137">
        <v>99407.173787126871</v>
      </c>
      <c r="DN25" s="137">
        <v>99406.376192238298</v>
      </c>
      <c r="DO25" s="137">
        <v>99430.937764642789</v>
      </c>
      <c r="DP25" s="137">
        <f>(G_Kohorte_F!DP25+G_Kohorte_M!DP25)/2</f>
        <v>99452.544352990473</v>
      </c>
      <c r="DQ25" s="137">
        <f>(G_Kohorte_F!DQ25+G_Kohorte_M!DQ25)/2</f>
        <v>99456.946818546421</v>
      </c>
      <c r="DR25" s="137">
        <f>(G_Kohorte_F!DR25+G_Kohorte_M!DR25)/2</f>
        <v>99476.800217697979</v>
      </c>
      <c r="DS25" s="137">
        <f>(G_Kohorte_F!DS25+G_Kohorte_M!DS25)/2</f>
        <v>99483.531536618975</v>
      </c>
      <c r="DT25" s="137">
        <f>(G_Kohorte_F!DT25+G_Kohorte_M!DT25)/2</f>
        <v>99503.906200381723</v>
      </c>
      <c r="DU25" s="137">
        <f>(G_Kohorte_F!DU25+G_Kohorte_M!DU25)/2</f>
        <v>99523.457486976462</v>
      </c>
    </row>
    <row r="26" spans="1:125">
      <c r="A26" s="2348">
        <v>24</v>
      </c>
      <c r="B26" s="137"/>
      <c r="C26" s="137"/>
      <c r="D26" s="137"/>
      <c r="E26" s="137"/>
      <c r="F26" s="137"/>
      <c r="G26" s="137"/>
      <c r="H26" s="137"/>
      <c r="I26" s="137"/>
      <c r="J26" s="137"/>
      <c r="K26" s="137"/>
      <c r="L26" s="137"/>
      <c r="M26" s="137"/>
      <c r="N26" s="137"/>
      <c r="O26" s="137"/>
      <c r="P26" s="137"/>
      <c r="Q26" s="137"/>
      <c r="R26" s="137"/>
      <c r="S26" s="137"/>
      <c r="T26" s="137"/>
      <c r="U26" s="137"/>
      <c r="V26" s="137"/>
      <c r="W26" s="2342">
        <v>80478</v>
      </c>
      <c r="X26" s="2342">
        <v>81030.5</v>
      </c>
      <c r="Y26" s="137">
        <v>80993.378282096004</v>
      </c>
      <c r="Z26" s="137">
        <v>83006.296012680599</v>
      </c>
      <c r="AA26" s="137">
        <v>83318.779156632925</v>
      </c>
      <c r="AB26" s="137">
        <v>83943.606640332466</v>
      </c>
      <c r="AC26" s="137">
        <v>84776.176428944047</v>
      </c>
      <c r="AD26" s="137">
        <v>85722.139835138529</v>
      </c>
      <c r="AE26" s="137">
        <v>85684.849598962261</v>
      </c>
      <c r="AF26" s="137">
        <v>86913.187888769666</v>
      </c>
      <c r="AG26" s="137">
        <v>87376.621681027478</v>
      </c>
      <c r="AH26" s="137">
        <v>87670.354560841166</v>
      </c>
      <c r="AI26" s="137">
        <v>87979.52867292297</v>
      </c>
      <c r="AJ26" s="137">
        <v>89195.233913170188</v>
      </c>
      <c r="AK26" s="137">
        <v>89126.929517567318</v>
      </c>
      <c r="AL26" s="137">
        <v>89414.758830470004</v>
      </c>
      <c r="AM26" s="137">
        <v>89685.330269208716</v>
      </c>
      <c r="AN26" s="137">
        <v>90146.808657463174</v>
      </c>
      <c r="AO26" s="137">
        <v>90144.24624629521</v>
      </c>
      <c r="AP26" s="137">
        <v>90237.698535506555</v>
      </c>
      <c r="AQ26" s="137">
        <v>90305.420364377438</v>
      </c>
      <c r="AR26" s="137">
        <v>90355.800463658408</v>
      </c>
      <c r="AS26" s="137">
        <v>89788.971960624418</v>
      </c>
      <c r="AT26" s="137">
        <v>89025.899392716354</v>
      </c>
      <c r="AU26" s="137">
        <v>87766.773804538185</v>
      </c>
      <c r="AV26" s="137">
        <v>88115.772575773721</v>
      </c>
      <c r="AW26" s="137">
        <v>88452.753361059134</v>
      </c>
      <c r="AX26" s="137">
        <v>90587.190470788177</v>
      </c>
      <c r="AY26" s="137">
        <v>92374.476977919257</v>
      </c>
      <c r="AZ26" s="137">
        <v>92422.286485512042</v>
      </c>
      <c r="BA26" s="137">
        <v>92464.067711702548</v>
      </c>
      <c r="BB26" s="137">
        <v>93129.264838671603</v>
      </c>
      <c r="BC26" s="137">
        <v>93362.523347120121</v>
      </c>
      <c r="BD26" s="137">
        <v>93745.248598626174</v>
      </c>
      <c r="BE26" s="137">
        <v>93820.763912234455</v>
      </c>
      <c r="BF26" s="137">
        <v>94168.159614976292</v>
      </c>
      <c r="BG26" s="137">
        <v>94267.837203828036</v>
      </c>
      <c r="BH26" s="137">
        <v>94528.317639642686</v>
      </c>
      <c r="BI26" s="137">
        <v>94721.83787663377</v>
      </c>
      <c r="BJ26" s="137">
        <v>94876.573012617126</v>
      </c>
      <c r="BK26" s="137">
        <v>95191.795890287205</v>
      </c>
      <c r="BL26" s="137">
        <v>95490.884941088676</v>
      </c>
      <c r="BM26" s="137">
        <v>95758.914477482394</v>
      </c>
      <c r="BN26" s="137">
        <v>96019.698879859308</v>
      </c>
      <c r="BO26" s="137">
        <v>96240.18934118496</v>
      </c>
      <c r="BP26" s="137">
        <v>96357.419750432076</v>
      </c>
      <c r="BQ26" s="137">
        <v>96451.39993226729</v>
      </c>
      <c r="BR26" s="137">
        <v>96544.647387390462</v>
      </c>
      <c r="BS26" s="137">
        <v>96526.049632306516</v>
      </c>
      <c r="BT26" s="137">
        <v>96596.599094837205</v>
      </c>
      <c r="BU26" s="137">
        <v>96675.719200494525</v>
      </c>
      <c r="BV26" s="137">
        <v>96773.325961391543</v>
      </c>
      <c r="BW26" s="137">
        <v>96834.890191877945</v>
      </c>
      <c r="BX26" s="137">
        <v>96962.162724066045</v>
      </c>
      <c r="BY26" s="137">
        <v>97120.070745136618</v>
      </c>
      <c r="BZ26" s="137">
        <v>97373.117310254194</v>
      </c>
      <c r="CA26" s="137">
        <v>97559.488750266173</v>
      </c>
      <c r="CB26" s="137">
        <v>97650.399378644186</v>
      </c>
      <c r="CC26" s="137">
        <v>97782.394915374578</v>
      </c>
      <c r="CD26" s="137">
        <v>97898.33977143935</v>
      </c>
      <c r="CE26" s="137">
        <v>97979.880743715941</v>
      </c>
      <c r="CF26" s="137">
        <v>98130.752286834235</v>
      </c>
      <c r="CG26" s="137">
        <v>98236.304789451737</v>
      </c>
      <c r="CH26" s="137">
        <v>98314.603722287458</v>
      </c>
      <c r="CI26" s="137">
        <v>98433.251872830791</v>
      </c>
      <c r="CJ26" s="137">
        <v>98479.6967588806</v>
      </c>
      <c r="CK26" s="137">
        <v>98532.793006734602</v>
      </c>
      <c r="CL26" s="137">
        <v>98647.340687497912</v>
      </c>
      <c r="CM26" s="137">
        <v>98683.792031369725</v>
      </c>
      <c r="CN26" s="137">
        <v>98761.731815619918</v>
      </c>
      <c r="CO26" s="137">
        <v>98831.757079292976</v>
      </c>
      <c r="CP26" s="137">
        <v>98896.770143852453</v>
      </c>
      <c r="CQ26" s="137">
        <v>98957.72874513868</v>
      </c>
      <c r="CR26" s="137">
        <v>98979.187025419422</v>
      </c>
      <c r="CS26" s="137">
        <v>99041.650695239281</v>
      </c>
      <c r="CT26" s="137">
        <v>99069.300787102809</v>
      </c>
      <c r="CU26" s="137">
        <v>99098.310144460251</v>
      </c>
      <c r="CV26" s="137">
        <v>99113.589221787755</v>
      </c>
      <c r="CW26" s="137">
        <v>99131.007355125359</v>
      </c>
      <c r="CX26" s="137">
        <v>99172.422046346299</v>
      </c>
      <c r="CY26" s="137">
        <v>99174.903780198641</v>
      </c>
      <c r="CZ26" s="137">
        <v>99183.948513859475</v>
      </c>
      <c r="DA26" s="137">
        <v>99184.153748272234</v>
      </c>
      <c r="DB26" s="137">
        <v>99225.06464557146</v>
      </c>
      <c r="DC26" s="137">
        <v>99244.770845972351</v>
      </c>
      <c r="DD26" s="137">
        <v>99254.771036586011</v>
      </c>
      <c r="DE26" s="137">
        <v>99270.005774796358</v>
      </c>
      <c r="DF26" s="137">
        <v>99316.682666408669</v>
      </c>
      <c r="DG26" s="137">
        <v>99318.558883897116</v>
      </c>
      <c r="DH26" s="137">
        <v>99335.076419366043</v>
      </c>
      <c r="DI26" s="137">
        <v>99331.453352724973</v>
      </c>
      <c r="DJ26" s="137">
        <v>99367.74922770432</v>
      </c>
      <c r="DK26" s="137">
        <v>99384.695470096689</v>
      </c>
      <c r="DL26" s="137">
        <v>99384.979172148189</v>
      </c>
      <c r="DM26" s="137">
        <v>99388.18320398443</v>
      </c>
      <c r="DN26" s="137">
        <v>99387.940962685476</v>
      </c>
      <c r="DO26" s="137">
        <v>99413.036189497449</v>
      </c>
      <c r="DP26" s="137">
        <f>(G_Kohorte_F!DP26+G_Kohorte_M!DP26)/2</f>
        <v>99435.162147341442</v>
      </c>
      <c r="DQ26" s="137">
        <f>(G_Kohorte_F!DQ26+G_Kohorte_M!DQ26)/2</f>
        <v>99440.071436201193</v>
      </c>
      <c r="DR26" s="137">
        <f>(G_Kohorte_F!DR26+G_Kohorte_M!DR26)/2</f>
        <v>99460.413292970159</v>
      </c>
      <c r="DS26" s="137">
        <f>(G_Kohorte_F!DS26+G_Kohorte_M!DS26)/2</f>
        <v>99467.622733298529</v>
      </c>
      <c r="DT26" s="137">
        <f>(G_Kohorte_F!DT26+G_Kohorte_M!DT26)/2</f>
        <v>99488.4586831083</v>
      </c>
      <c r="DU26" s="137">
        <f>(G_Kohorte_F!DU26+G_Kohorte_M!DU26)/2</f>
        <v>99508.458017448327</v>
      </c>
    </row>
    <row r="27" spans="1:125">
      <c r="A27" s="2348">
        <v>25</v>
      </c>
      <c r="B27" s="137"/>
      <c r="C27" s="137"/>
      <c r="D27" s="137"/>
      <c r="E27" s="137"/>
      <c r="F27" s="137"/>
      <c r="G27" s="137"/>
      <c r="H27" s="137"/>
      <c r="I27" s="137"/>
      <c r="J27" s="137"/>
      <c r="K27" s="137"/>
      <c r="L27" s="137"/>
      <c r="M27" s="137"/>
      <c r="N27" s="137"/>
      <c r="O27" s="137"/>
      <c r="P27" s="137"/>
      <c r="Q27" s="137"/>
      <c r="R27" s="137"/>
      <c r="S27" s="137"/>
      <c r="T27" s="137"/>
      <c r="U27" s="137"/>
      <c r="V27" s="137"/>
      <c r="W27" s="2342">
        <v>80098.5</v>
      </c>
      <c r="X27" s="2342">
        <v>80736.5</v>
      </c>
      <c r="Y27" s="137">
        <v>80699.52035270966</v>
      </c>
      <c r="Z27" s="137">
        <v>82793.852876799458</v>
      </c>
      <c r="AA27" s="137">
        <v>83173.294630765624</v>
      </c>
      <c r="AB27" s="137">
        <v>83797.000581452041</v>
      </c>
      <c r="AC27" s="137">
        <v>84628.111992569509</v>
      </c>
      <c r="AD27" s="137">
        <v>85601.309914890589</v>
      </c>
      <c r="AE27" s="137">
        <v>85562.911200697476</v>
      </c>
      <c r="AF27" s="137">
        <v>86795.79310276825</v>
      </c>
      <c r="AG27" s="137">
        <v>87253.438082775363</v>
      </c>
      <c r="AH27" s="137">
        <v>87553.251152770972</v>
      </c>
      <c r="AI27" s="137">
        <v>87867.653190811368</v>
      </c>
      <c r="AJ27" s="137">
        <v>89087.005068965518</v>
      </c>
      <c r="AK27" s="137">
        <v>89015.436225505546</v>
      </c>
      <c r="AL27" s="137">
        <v>89311.93072550965</v>
      </c>
      <c r="AM27" s="137">
        <v>89581.456954973371</v>
      </c>
      <c r="AN27" s="137">
        <v>90047.77060761585</v>
      </c>
      <c r="AO27" s="137">
        <v>90041.514089650285</v>
      </c>
      <c r="AP27" s="137">
        <v>90136.877244517236</v>
      </c>
      <c r="AQ27" s="137">
        <v>90209.008496360504</v>
      </c>
      <c r="AR27" s="137">
        <v>90255.39679885935</v>
      </c>
      <c r="AS27" s="137">
        <v>89693.645386319899</v>
      </c>
      <c r="AT27" s="137">
        <v>88936.50554250725</v>
      </c>
      <c r="AU27" s="137">
        <v>87674.610236034787</v>
      </c>
      <c r="AV27" s="137">
        <v>88013.335374114889</v>
      </c>
      <c r="AW27" s="137">
        <v>88354.817019638387</v>
      </c>
      <c r="AX27" s="137">
        <v>90494.824957909907</v>
      </c>
      <c r="AY27" s="137">
        <v>92285.887150844035</v>
      </c>
      <c r="AZ27" s="137">
        <v>92338.147348784725</v>
      </c>
      <c r="BA27" s="137">
        <v>92374.336060481175</v>
      </c>
      <c r="BB27" s="137">
        <v>93038.939086686412</v>
      </c>
      <c r="BC27" s="137">
        <v>93267.309871247009</v>
      </c>
      <c r="BD27" s="137">
        <v>93654.87535405776</v>
      </c>
      <c r="BE27" s="137">
        <v>93728.271782948563</v>
      </c>
      <c r="BF27" s="137">
        <v>94084.636233883328</v>
      </c>
      <c r="BG27" s="137">
        <v>94184.832585699623</v>
      </c>
      <c r="BH27" s="137">
        <v>94449.629333897057</v>
      </c>
      <c r="BI27" s="137">
        <v>94644.625090559377</v>
      </c>
      <c r="BJ27" s="137">
        <v>94802.715181617212</v>
      </c>
      <c r="BK27" s="137">
        <v>95119.378278729855</v>
      </c>
      <c r="BL27" s="137">
        <v>95420.625938948491</v>
      </c>
      <c r="BM27" s="137">
        <v>95688.884376499584</v>
      </c>
      <c r="BN27" s="137">
        <v>95952.49629638152</v>
      </c>
      <c r="BO27" s="137">
        <v>96174.1089496528</v>
      </c>
      <c r="BP27" s="137">
        <v>96289.124265872437</v>
      </c>
      <c r="BQ27" s="137">
        <v>96385.69396841999</v>
      </c>
      <c r="BR27" s="137">
        <v>96476.281703036235</v>
      </c>
      <c r="BS27" s="137">
        <v>96458.964367802342</v>
      </c>
      <c r="BT27" s="137">
        <v>96533.459334990097</v>
      </c>
      <c r="BU27" s="137">
        <v>96608.945403047037</v>
      </c>
      <c r="BV27" s="137">
        <v>96716.83658872862</v>
      </c>
      <c r="BW27" s="137">
        <v>96777.320900752558</v>
      </c>
      <c r="BX27" s="137">
        <v>96907.303527099008</v>
      </c>
      <c r="BY27" s="137">
        <v>97058.520469345618</v>
      </c>
      <c r="BZ27" s="137">
        <v>97320.171127384776</v>
      </c>
      <c r="CA27" s="137">
        <v>97507.341288001277</v>
      </c>
      <c r="CB27" s="137">
        <v>97604.131351624528</v>
      </c>
      <c r="CC27" s="137">
        <v>97734.124344524011</v>
      </c>
      <c r="CD27" s="137">
        <v>97852.219801435014</v>
      </c>
      <c r="CE27" s="137">
        <v>97940.470022697787</v>
      </c>
      <c r="CF27" s="137">
        <v>98090.300643204493</v>
      </c>
      <c r="CG27" s="137">
        <v>98199.218994311188</v>
      </c>
      <c r="CH27" s="137">
        <v>98275.287735587626</v>
      </c>
      <c r="CI27" s="137">
        <v>98394.303602871165</v>
      </c>
      <c r="CJ27" s="137">
        <v>98440.222624245478</v>
      </c>
      <c r="CK27" s="137">
        <v>98496.710860842344</v>
      </c>
      <c r="CL27" s="137">
        <v>98611.630625354941</v>
      </c>
      <c r="CM27" s="137">
        <v>98651.429329502265</v>
      </c>
      <c r="CN27" s="137">
        <v>98729.459925486211</v>
      </c>
      <c r="CO27" s="137">
        <v>98800.77208997398</v>
      </c>
      <c r="CP27" s="137">
        <v>98864.659587545772</v>
      </c>
      <c r="CQ27" s="137">
        <v>98924.174083174308</v>
      </c>
      <c r="CR27" s="137">
        <v>98947.299544932786</v>
      </c>
      <c r="CS27" s="137">
        <v>99012.874077142507</v>
      </c>
      <c r="CT27" s="137">
        <v>99038.215834889823</v>
      </c>
      <c r="CU27" s="137">
        <v>99069.800526405743</v>
      </c>
      <c r="CV27" s="137">
        <v>99083.283861543605</v>
      </c>
      <c r="CW27" s="137">
        <v>99101.581444801413</v>
      </c>
      <c r="CX27" s="137">
        <v>99143.838668335593</v>
      </c>
      <c r="CY27" s="137">
        <v>99147.15320221422</v>
      </c>
      <c r="CZ27" s="137">
        <v>99157.000637541583</v>
      </c>
      <c r="DA27" s="137">
        <v>99157.990568756737</v>
      </c>
      <c r="DB27" s="137">
        <v>99199.650018003595</v>
      </c>
      <c r="DC27" s="137">
        <v>99220.092460508022</v>
      </c>
      <c r="DD27" s="137">
        <v>99230.807529961283</v>
      </c>
      <c r="DE27" s="137">
        <v>99246.736541857535</v>
      </c>
      <c r="DF27" s="137">
        <v>99294.080486774983</v>
      </c>
      <c r="DG27" s="137">
        <v>99296.612283799244</v>
      </c>
      <c r="DH27" s="137">
        <v>99313.765487097931</v>
      </c>
      <c r="DI27" s="137">
        <v>99310.75205422494</v>
      </c>
      <c r="DJ27" s="137">
        <v>99347.632224132554</v>
      </c>
      <c r="DK27" s="137">
        <v>99365.151572919043</v>
      </c>
      <c r="DL27" s="137">
        <v>99365.995094627855</v>
      </c>
      <c r="DM27" s="137">
        <v>99369.740596937481</v>
      </c>
      <c r="DN27" s="137">
        <v>99370.026909350883</v>
      </c>
      <c r="DO27" s="137">
        <v>99395.630234908051</v>
      </c>
      <c r="DP27" s="137">
        <f>(G_Kohorte_F!DP27+G_Kohorte_M!DP27)/2</f>
        <v>99418.25101696729</v>
      </c>
      <c r="DQ27" s="137">
        <f>(G_Kohorte_F!DQ27+G_Kohorte_M!DQ27)/2</f>
        <v>99423.643519836987</v>
      </c>
      <c r="DR27" s="137">
        <f>(G_Kohorte_F!DR27+G_Kohorte_M!DR27)/2</f>
        <v>99444.451288010518</v>
      </c>
      <c r="DS27" s="137">
        <f>(G_Kohorte_F!DS27+G_Kohorte_M!DS27)/2</f>
        <v>99452.117139912181</v>
      </c>
      <c r="DT27" s="137">
        <f>(G_Kohorte_F!DT27+G_Kohorte_M!DT27)/2</f>
        <v>99473.393637137866</v>
      </c>
      <c r="DU27" s="137">
        <f>(G_Kohorte_F!DU27+G_Kohorte_M!DU27)/2</f>
        <v>99493.821138065367</v>
      </c>
    </row>
    <row r="28" spans="1:125">
      <c r="A28" s="2348">
        <v>26</v>
      </c>
      <c r="B28" s="137"/>
      <c r="C28" s="137"/>
      <c r="D28" s="137"/>
      <c r="E28" s="137"/>
      <c r="F28" s="137"/>
      <c r="G28" s="137"/>
      <c r="H28" s="137"/>
      <c r="I28" s="137"/>
      <c r="J28" s="137"/>
      <c r="K28" s="137"/>
      <c r="L28" s="137"/>
      <c r="M28" s="137"/>
      <c r="N28" s="137"/>
      <c r="O28" s="137"/>
      <c r="P28" s="137"/>
      <c r="Q28" s="137"/>
      <c r="R28" s="137"/>
      <c r="S28" s="137"/>
      <c r="T28" s="137"/>
      <c r="U28" s="137"/>
      <c r="V28" s="137"/>
      <c r="W28" s="2342">
        <v>79814.5</v>
      </c>
      <c r="X28" s="2342">
        <v>80451</v>
      </c>
      <c r="Y28" s="137">
        <v>80497.835193965351</v>
      </c>
      <c r="Z28" s="137">
        <v>82646.384860615974</v>
      </c>
      <c r="AA28" s="137">
        <v>83025.177503597763</v>
      </c>
      <c r="AB28" s="137">
        <v>83647.741936849401</v>
      </c>
      <c r="AC28" s="137">
        <v>84508.719639758812</v>
      </c>
      <c r="AD28" s="137">
        <v>85481.377539972644</v>
      </c>
      <c r="AE28" s="137">
        <v>85446.646354759025</v>
      </c>
      <c r="AF28" s="137">
        <v>86676.924126174927</v>
      </c>
      <c r="AG28" s="137">
        <v>87137.017340013947</v>
      </c>
      <c r="AH28" s="137">
        <v>87438.78774787829</v>
      </c>
      <c r="AI28" s="137">
        <v>87759.111184314679</v>
      </c>
      <c r="AJ28" s="137">
        <v>88975.970642927379</v>
      </c>
      <c r="AK28" s="137">
        <v>88915.469668496575</v>
      </c>
      <c r="AL28" s="137">
        <v>89207.847553488537</v>
      </c>
      <c r="AM28" s="137">
        <v>89483.237228338985</v>
      </c>
      <c r="AN28" s="137">
        <v>89949.872582587966</v>
      </c>
      <c r="AO28" s="137">
        <v>89939.031607782163</v>
      </c>
      <c r="AP28" s="137">
        <v>90035.599439580837</v>
      </c>
      <c r="AQ28" s="137">
        <v>90114.915270345402</v>
      </c>
      <c r="AR28" s="137">
        <v>90153.462108367879</v>
      </c>
      <c r="AS28" s="137">
        <v>89605.229559587489</v>
      </c>
      <c r="AT28" s="137">
        <v>88845.836259984397</v>
      </c>
      <c r="AU28" s="137">
        <v>87575.16171623813</v>
      </c>
      <c r="AV28" s="137">
        <v>87920.494714054134</v>
      </c>
      <c r="AW28" s="137">
        <v>88259.277256329951</v>
      </c>
      <c r="AX28" s="137">
        <v>90407.657280713669</v>
      </c>
      <c r="AY28" s="137">
        <v>92202.506374740275</v>
      </c>
      <c r="AZ28" s="137">
        <v>92253.125364492604</v>
      </c>
      <c r="BA28" s="137">
        <v>92284.566102296536</v>
      </c>
      <c r="BB28" s="137">
        <v>92948.931951009581</v>
      </c>
      <c r="BC28" s="137">
        <v>93177.648280970927</v>
      </c>
      <c r="BD28" s="137">
        <v>93565.026502562803</v>
      </c>
      <c r="BE28" s="137">
        <v>93642.62082026033</v>
      </c>
      <c r="BF28" s="137">
        <v>94001.593313118909</v>
      </c>
      <c r="BG28" s="137">
        <v>94102.939324195031</v>
      </c>
      <c r="BH28" s="137">
        <v>94376.132518734928</v>
      </c>
      <c r="BI28" s="137">
        <v>94573.029234841728</v>
      </c>
      <c r="BJ28" s="137">
        <v>94735.073895476002</v>
      </c>
      <c r="BK28" s="137">
        <v>95051.094118876616</v>
      </c>
      <c r="BL28" s="137">
        <v>95352.098179385939</v>
      </c>
      <c r="BM28" s="137">
        <v>95624.266336295288</v>
      </c>
      <c r="BN28" s="137">
        <v>95885.130770602234</v>
      </c>
      <c r="BO28" s="137">
        <v>96099.846266247783</v>
      </c>
      <c r="BP28" s="137">
        <v>96217.277083179943</v>
      </c>
      <c r="BQ28" s="137">
        <v>96314.178342814208</v>
      </c>
      <c r="BR28" s="137">
        <v>96411.302387957054</v>
      </c>
      <c r="BS28" s="137">
        <v>96397.945312342126</v>
      </c>
      <c r="BT28" s="137">
        <v>96472.879586078867</v>
      </c>
      <c r="BU28" s="137">
        <v>96551.526175549399</v>
      </c>
      <c r="BV28" s="137">
        <v>96658.86716956395</v>
      </c>
      <c r="BW28" s="137">
        <v>96722.506572993036</v>
      </c>
      <c r="BX28" s="137">
        <v>96854.104441303047</v>
      </c>
      <c r="BY28" s="137">
        <v>97007.863975844841</v>
      </c>
      <c r="BZ28" s="137">
        <v>97270.660562742793</v>
      </c>
      <c r="CA28" s="137">
        <v>97456.668141644055</v>
      </c>
      <c r="CB28" s="137">
        <v>97555.780842482563</v>
      </c>
      <c r="CC28" s="137">
        <v>97694.156479118727</v>
      </c>
      <c r="CD28" s="137">
        <v>97809.123399537086</v>
      </c>
      <c r="CE28" s="137">
        <v>97897.627386565553</v>
      </c>
      <c r="CF28" s="137">
        <v>98050.525137219578</v>
      </c>
      <c r="CG28" s="137">
        <v>98159.918850289352</v>
      </c>
      <c r="CH28" s="137">
        <v>98237.019315149169</v>
      </c>
      <c r="CI28" s="137">
        <v>98357.718490402083</v>
      </c>
      <c r="CJ28" s="137">
        <v>98401.268779596227</v>
      </c>
      <c r="CK28" s="137">
        <v>98459.733880133921</v>
      </c>
      <c r="CL28" s="137">
        <v>98576.536128025618</v>
      </c>
      <c r="CM28" s="137">
        <v>98616.935430203623</v>
      </c>
      <c r="CN28" s="137">
        <v>98698.937818431994</v>
      </c>
      <c r="CO28" s="137">
        <v>98769.62675389208</v>
      </c>
      <c r="CP28" s="137">
        <v>98834.701476627495</v>
      </c>
      <c r="CQ28" s="137">
        <v>98892.948414501472</v>
      </c>
      <c r="CR28" s="137">
        <v>98917.077869307221</v>
      </c>
      <c r="CS28" s="137">
        <v>98984.473237685044</v>
      </c>
      <c r="CT28" s="137">
        <v>99006.187116150861</v>
      </c>
      <c r="CU28" s="137">
        <v>99039.518453299024</v>
      </c>
      <c r="CV28" s="137">
        <v>99053.858783628821</v>
      </c>
      <c r="CW28" s="137">
        <v>99072.991344760376</v>
      </c>
      <c r="CX28" s="137">
        <v>99116.048919096414</v>
      </c>
      <c r="CY28" s="137">
        <v>99120.155308467482</v>
      </c>
      <c r="CZ28" s="137">
        <v>99130.766487736793</v>
      </c>
      <c r="DA28" s="137">
        <v>99132.503562358062</v>
      </c>
      <c r="DB28" s="137">
        <v>99174.876011221379</v>
      </c>
      <c r="DC28" s="137">
        <v>99196.020288302039</v>
      </c>
      <c r="DD28" s="137">
        <v>99207.417354921854</v>
      </c>
      <c r="DE28" s="137">
        <v>99224.009113568638</v>
      </c>
      <c r="DF28" s="137">
        <v>99271.990089373372</v>
      </c>
      <c r="DG28" s="137">
        <v>99275.148615504309</v>
      </c>
      <c r="DH28" s="137">
        <v>99292.900948060182</v>
      </c>
      <c r="DI28" s="137">
        <v>99290.472364193527</v>
      </c>
      <c r="DJ28" s="137">
        <v>99327.913245554068</v>
      </c>
      <c r="DK28" s="137">
        <v>99345.982967930715</v>
      </c>
      <c r="DL28" s="137">
        <v>99347.364492998546</v>
      </c>
      <c r="DM28" s="137">
        <v>99351.630677630863</v>
      </c>
      <c r="DN28" s="137">
        <v>99352.425555786729</v>
      </c>
      <c r="DO28" s="137">
        <v>99378.517974475806</v>
      </c>
      <c r="DP28" s="137">
        <f>(G_Kohorte_F!DP28+G_Kohorte_M!DP28)/2</f>
        <v>99401.615363322664</v>
      </c>
      <c r="DQ28" s="137">
        <f>(G_Kohorte_F!DQ28+G_Kohorte_M!DQ28)/2</f>
        <v>99407.473630080989</v>
      </c>
      <c r="DR28" s="137">
        <f>(G_Kohorte_F!DR28+G_Kohorte_M!DR28)/2</f>
        <v>99428.730709134863</v>
      </c>
      <c r="DS28" s="137">
        <f>(G_Kohorte_F!DS28+G_Kohorte_M!DS28)/2</f>
        <v>99436.837004511501</v>
      </c>
      <c r="DT28" s="137">
        <f>(G_Kohorte_F!DT28+G_Kohorte_M!DT28)/2</f>
        <v>99458.538853351085</v>
      </c>
      <c r="DU28" s="137">
        <f>(G_Kohorte_F!DU28+G_Kohorte_M!DU28)/2</f>
        <v>99479.380001519821</v>
      </c>
    </row>
    <row r="29" spans="1:125">
      <c r="A29" s="2348">
        <v>27</v>
      </c>
      <c r="B29" s="137"/>
      <c r="C29" s="137"/>
      <c r="D29" s="137"/>
      <c r="E29" s="137"/>
      <c r="F29" s="137"/>
      <c r="G29" s="137"/>
      <c r="H29" s="137"/>
      <c r="I29" s="137"/>
      <c r="J29" s="137"/>
      <c r="K29" s="137"/>
      <c r="L29" s="137"/>
      <c r="M29" s="137"/>
      <c r="N29" s="137"/>
      <c r="O29" s="137"/>
      <c r="P29" s="137"/>
      <c r="Q29" s="137"/>
      <c r="R29" s="137"/>
      <c r="S29" s="137"/>
      <c r="T29" s="137"/>
      <c r="U29" s="137"/>
      <c r="V29" s="137"/>
      <c r="W29" s="2342">
        <v>79538.5</v>
      </c>
      <c r="X29" s="2342">
        <v>80254</v>
      </c>
      <c r="Y29" s="137">
        <v>80351.726353405335</v>
      </c>
      <c r="Z29" s="137">
        <v>82496.294409005757</v>
      </c>
      <c r="AA29" s="137">
        <v>82874.425522616832</v>
      </c>
      <c r="AB29" s="137">
        <v>83528.601612711078</v>
      </c>
      <c r="AC29" s="137">
        <v>84384.343072253687</v>
      </c>
      <c r="AD29" s="137">
        <v>85354.418825675413</v>
      </c>
      <c r="AE29" s="137">
        <v>85328.60635276942</v>
      </c>
      <c r="AF29" s="137">
        <v>86556.910324145458</v>
      </c>
      <c r="AG29" s="137">
        <v>87019.217320667842</v>
      </c>
      <c r="AH29" s="137">
        <v>87328.192635468353</v>
      </c>
      <c r="AI29" s="137">
        <v>87648.059500364092</v>
      </c>
      <c r="AJ29" s="137">
        <v>88865.967562482168</v>
      </c>
      <c r="AK29" s="137">
        <v>88807.512518216274</v>
      </c>
      <c r="AL29" s="137">
        <v>89108.935013577197</v>
      </c>
      <c r="AM29" s="137">
        <v>89383.375981202465</v>
      </c>
      <c r="AN29" s="137">
        <v>89853.847943183267</v>
      </c>
      <c r="AO29" s="137">
        <v>89839.034679942182</v>
      </c>
      <c r="AP29" s="137">
        <v>89938.660279427029</v>
      </c>
      <c r="AQ29" s="137">
        <v>90019.544450285379</v>
      </c>
      <c r="AR29" s="137">
        <v>90061.233318436105</v>
      </c>
      <c r="AS29" s="137">
        <v>89509.906106546012</v>
      </c>
      <c r="AT29" s="137">
        <v>88748.595830821025</v>
      </c>
      <c r="AU29" s="137">
        <v>87476.440554602625</v>
      </c>
      <c r="AV29" s="137">
        <v>87823.636740519985</v>
      </c>
      <c r="AW29" s="137">
        <v>88179.958825100708</v>
      </c>
      <c r="AX29" s="137">
        <v>90323.850825657311</v>
      </c>
      <c r="AY29" s="137">
        <v>92116.666273055933</v>
      </c>
      <c r="AZ29" s="137">
        <v>92163.08488654044</v>
      </c>
      <c r="BA29" s="137">
        <v>92193.472891394311</v>
      </c>
      <c r="BB29" s="137">
        <v>92860.237693882431</v>
      </c>
      <c r="BC29" s="137">
        <v>93092.97379994634</v>
      </c>
      <c r="BD29" s="137">
        <v>93478.840711883298</v>
      </c>
      <c r="BE29" s="137">
        <v>93558.723149422411</v>
      </c>
      <c r="BF29" s="137">
        <v>93918.751518134843</v>
      </c>
      <c r="BG29" s="137">
        <v>94027.09344877227</v>
      </c>
      <c r="BH29" s="137">
        <v>94301.969611608642</v>
      </c>
      <c r="BI29" s="137">
        <v>94502.512053823477</v>
      </c>
      <c r="BJ29" s="137">
        <v>94665.122080241315</v>
      </c>
      <c r="BK29" s="137">
        <v>94982.525620381464</v>
      </c>
      <c r="BL29" s="137">
        <v>95283.743427430178</v>
      </c>
      <c r="BM29" s="137">
        <v>95557.382825316396</v>
      </c>
      <c r="BN29" s="137">
        <v>95813.22694024205</v>
      </c>
      <c r="BO29" s="137">
        <v>96023.98046898935</v>
      </c>
      <c r="BP29" s="137">
        <v>96148.515157329253</v>
      </c>
      <c r="BQ29" s="137">
        <v>96250.593851264872</v>
      </c>
      <c r="BR29" s="137">
        <v>96349.225069705761</v>
      </c>
      <c r="BS29" s="137">
        <v>96339.862792572851</v>
      </c>
      <c r="BT29" s="137">
        <v>96415.330861231618</v>
      </c>
      <c r="BU29" s="137">
        <v>96498.010475544957</v>
      </c>
      <c r="BV29" s="137">
        <v>96601.220662102831</v>
      </c>
      <c r="BW29" s="137">
        <v>96668.3255439926</v>
      </c>
      <c r="BX29" s="137">
        <v>96804.765652648231</v>
      </c>
      <c r="BY29" s="137">
        <v>96957.638029779264</v>
      </c>
      <c r="BZ29" s="137">
        <v>97222.963543380989</v>
      </c>
      <c r="CA29" s="137">
        <v>97407.033230453308</v>
      </c>
      <c r="CB29" s="137">
        <v>97510.305226454104</v>
      </c>
      <c r="CC29" s="137">
        <v>97651.699844193266</v>
      </c>
      <c r="CD29" s="137">
        <v>97764.44170510961</v>
      </c>
      <c r="CE29" s="137">
        <v>97855.497761333128</v>
      </c>
      <c r="CF29" s="137">
        <v>98007.294553437358</v>
      </c>
      <c r="CG29" s="137">
        <v>98116.078354284487</v>
      </c>
      <c r="CH29" s="137">
        <v>98197.464170293242</v>
      </c>
      <c r="CI29" s="137">
        <v>98319.290243700816</v>
      </c>
      <c r="CJ29" s="137">
        <v>98363.175265076512</v>
      </c>
      <c r="CK29" s="137">
        <v>98425.316986070044</v>
      </c>
      <c r="CL29" s="137">
        <v>98545.646694834053</v>
      </c>
      <c r="CM29" s="137">
        <v>98583.122182186955</v>
      </c>
      <c r="CN29" s="137">
        <v>98666.720218112416</v>
      </c>
      <c r="CO29" s="137">
        <v>98736.793903952494</v>
      </c>
      <c r="CP29" s="137">
        <v>98804.884130646795</v>
      </c>
      <c r="CQ29" s="137">
        <v>98864.749721592336</v>
      </c>
      <c r="CR29" s="137">
        <v>98886.048067866417</v>
      </c>
      <c r="CS29" s="137">
        <v>98948.72762368765</v>
      </c>
      <c r="CT29" s="137">
        <v>98975.38692357234</v>
      </c>
      <c r="CU29" s="137">
        <v>99009.567067695447</v>
      </c>
      <c r="CV29" s="137">
        <v>99024.738684408367</v>
      </c>
      <c r="CW29" s="137">
        <v>99044.681508470356</v>
      </c>
      <c r="CX29" s="137">
        <v>99088.516184961365</v>
      </c>
      <c r="CY29" s="137">
        <v>99093.391983287322</v>
      </c>
      <c r="CZ29" s="137">
        <v>99104.745763380546</v>
      </c>
      <c r="DA29" s="137">
        <v>99107.209677436476</v>
      </c>
      <c r="DB29" s="137">
        <v>99150.276028619206</v>
      </c>
      <c r="DC29" s="137">
        <v>99172.103728181071</v>
      </c>
      <c r="DD29" s="137">
        <v>99184.165393216448</v>
      </c>
      <c r="DE29" s="137">
        <v>99201.403299722966</v>
      </c>
      <c r="DF29" s="137">
        <v>99250.005568542299</v>
      </c>
      <c r="DG29" s="137">
        <v>99253.768123341375</v>
      </c>
      <c r="DH29" s="137">
        <v>99272.106880868465</v>
      </c>
      <c r="DI29" s="137">
        <v>99270.251156118669</v>
      </c>
      <c r="DJ29" s="137">
        <v>99308.241385174246</v>
      </c>
      <c r="DK29" s="137">
        <v>99326.850623623672</v>
      </c>
      <c r="DL29" s="137">
        <v>99328.759864854132</v>
      </c>
      <c r="DM29" s="137">
        <v>99333.537073163403</v>
      </c>
      <c r="DN29" s="137">
        <v>99334.831290685863</v>
      </c>
      <c r="DO29" s="137">
        <v>99361.40411845324</v>
      </c>
      <c r="DP29" s="137">
        <f>(G_Kohorte_F!DP29+G_Kohorte_M!DP29)/2</f>
        <v>99384.969878222095</v>
      </c>
      <c r="DQ29" s="137">
        <f>(G_Kohorte_F!DQ29+G_Kohorte_M!DQ29)/2</f>
        <v>99391.286151560053</v>
      </c>
      <c r="DR29" s="137">
        <f>(G_Kohorte_F!DR29+G_Kohorte_M!DR29)/2</f>
        <v>99412.985265022784</v>
      </c>
      <c r="DS29" s="137">
        <f>(G_Kohorte_F!DS29+G_Kohorte_M!DS29)/2</f>
        <v>99421.525076724953</v>
      </c>
      <c r="DT29" s="137">
        <f>(G_Kohorte_F!DT29+G_Kohorte_M!DT29)/2</f>
        <v>99443.645782744963</v>
      </c>
      <c r="DU29" s="137">
        <f>(G_Kohorte_F!DU29+G_Kohorte_M!DU29)/2</f>
        <v>99464.894468259852</v>
      </c>
    </row>
    <row r="30" spans="1:125">
      <c r="A30" s="2348">
        <v>28</v>
      </c>
      <c r="B30" s="137"/>
      <c r="C30" s="137"/>
      <c r="D30" s="137"/>
      <c r="E30" s="137"/>
      <c r="F30" s="137"/>
      <c r="G30" s="137"/>
      <c r="H30" s="137"/>
      <c r="I30" s="137"/>
      <c r="J30" s="137"/>
      <c r="K30" s="137"/>
      <c r="L30" s="137"/>
      <c r="M30" s="137"/>
      <c r="N30" s="137"/>
      <c r="O30" s="137"/>
      <c r="P30" s="137"/>
      <c r="Q30" s="137"/>
      <c r="R30" s="137"/>
      <c r="S30" s="137"/>
      <c r="T30" s="137"/>
      <c r="U30" s="137"/>
      <c r="V30" s="137"/>
      <c r="W30" s="2342">
        <v>79329.5</v>
      </c>
      <c r="X30" s="2342">
        <v>80107</v>
      </c>
      <c r="Y30" s="137">
        <v>80204.234797521072</v>
      </c>
      <c r="Z30" s="137">
        <v>82344.790271441569</v>
      </c>
      <c r="AA30" s="137">
        <v>82750.474158108176</v>
      </c>
      <c r="AB30" s="137">
        <v>83408.100610285648</v>
      </c>
      <c r="AC30" s="137">
        <v>84266.713902976713</v>
      </c>
      <c r="AD30" s="137">
        <v>85235.145582832454</v>
      </c>
      <c r="AE30" s="137">
        <v>85206.260258693117</v>
      </c>
      <c r="AF30" s="137">
        <v>86445.166185167385</v>
      </c>
      <c r="AG30" s="137">
        <v>86903.528378900417</v>
      </c>
      <c r="AH30" s="137">
        <v>87210.907812028367</v>
      </c>
      <c r="AI30" s="137">
        <v>87537.150080370717</v>
      </c>
      <c r="AJ30" s="137">
        <v>88760.906812385816</v>
      </c>
      <c r="AK30" s="137">
        <v>88704.36930960037</v>
      </c>
      <c r="AL30" s="137">
        <v>89010.273901755252</v>
      </c>
      <c r="AM30" s="137">
        <v>89284.927399767053</v>
      </c>
      <c r="AN30" s="137">
        <v>89753.31829872058</v>
      </c>
      <c r="AO30" s="137">
        <v>89734.113614044938</v>
      </c>
      <c r="AP30" s="137">
        <v>89844.252862390917</v>
      </c>
      <c r="AQ30" s="137">
        <v>89923.077208087852</v>
      </c>
      <c r="AR30" s="137">
        <v>89958.266206755419</v>
      </c>
      <c r="AS30" s="137">
        <v>89407.187091329397</v>
      </c>
      <c r="AT30" s="137">
        <v>88653.879488917912</v>
      </c>
      <c r="AU30" s="137">
        <v>87385.034091854744</v>
      </c>
      <c r="AV30" s="137">
        <v>87737.14724596517</v>
      </c>
      <c r="AW30" s="137">
        <v>88095.696171082425</v>
      </c>
      <c r="AX30" s="137">
        <v>90240.729331907351</v>
      </c>
      <c r="AY30" s="137">
        <v>92030.764717508602</v>
      </c>
      <c r="AZ30" s="137">
        <v>92063.162256155629</v>
      </c>
      <c r="BA30" s="137">
        <v>92104.059658845581</v>
      </c>
      <c r="BB30" s="137">
        <v>92772.897488847142</v>
      </c>
      <c r="BC30" s="137">
        <v>93012.485959751502</v>
      </c>
      <c r="BD30" s="137">
        <v>93397.0156948402</v>
      </c>
      <c r="BE30" s="137">
        <v>93474.579470662458</v>
      </c>
      <c r="BF30" s="137">
        <v>93839.465473835138</v>
      </c>
      <c r="BG30" s="137">
        <v>93950.116957452992</v>
      </c>
      <c r="BH30" s="137">
        <v>94231.589200746253</v>
      </c>
      <c r="BI30" s="137">
        <v>94427.969150271354</v>
      </c>
      <c r="BJ30" s="137">
        <v>94595.362733910966</v>
      </c>
      <c r="BK30" s="137">
        <v>94915.366474626004</v>
      </c>
      <c r="BL30" s="137">
        <v>95216.865240547515</v>
      </c>
      <c r="BM30" s="137">
        <v>95483.991722893377</v>
      </c>
      <c r="BN30" s="137">
        <v>95738.614393572236</v>
      </c>
      <c r="BO30" s="137">
        <v>95956.868819453026</v>
      </c>
      <c r="BP30" s="137">
        <v>96082.29716984235</v>
      </c>
      <c r="BQ30" s="137">
        <v>96184.815958973253</v>
      </c>
      <c r="BR30" s="137">
        <v>96284.24647679078</v>
      </c>
      <c r="BS30" s="137">
        <v>96277.76986854244</v>
      </c>
      <c r="BT30" s="137">
        <v>96357.236497929756</v>
      </c>
      <c r="BU30" s="137">
        <v>96446.538590673183</v>
      </c>
      <c r="BV30" s="137">
        <v>96544.883426636079</v>
      </c>
      <c r="BW30" s="137">
        <v>96610.808417163658</v>
      </c>
      <c r="BX30" s="137">
        <v>96755.131492985412</v>
      </c>
      <c r="BY30" s="137">
        <v>96908.729308247988</v>
      </c>
      <c r="BZ30" s="137">
        <v>97175.098002626037</v>
      </c>
      <c r="CA30" s="137">
        <v>97359.281368258235</v>
      </c>
      <c r="CB30" s="137">
        <v>97467.152659874788</v>
      </c>
      <c r="CC30" s="137">
        <v>97609.964616294819</v>
      </c>
      <c r="CD30" s="137">
        <v>97722.018510620022</v>
      </c>
      <c r="CE30" s="137">
        <v>97813.155149141137</v>
      </c>
      <c r="CF30" s="137">
        <v>97961.698828233843</v>
      </c>
      <c r="CG30" s="137">
        <v>98069.805265938601</v>
      </c>
      <c r="CH30" s="137">
        <v>98156.75636646917</v>
      </c>
      <c r="CI30" s="137">
        <v>98284.641508186774</v>
      </c>
      <c r="CJ30" s="137">
        <v>98326.650108307338</v>
      </c>
      <c r="CK30" s="137">
        <v>98387.258377564227</v>
      </c>
      <c r="CL30" s="137">
        <v>98509.48969670845</v>
      </c>
      <c r="CM30" s="137">
        <v>98549.022248814726</v>
      </c>
      <c r="CN30" s="137">
        <v>98634.226658594285</v>
      </c>
      <c r="CO30" s="137">
        <v>98705.392652994022</v>
      </c>
      <c r="CP30" s="137">
        <v>98773.722392550204</v>
      </c>
      <c r="CQ30" s="137">
        <v>98833.446752301446</v>
      </c>
      <c r="CR30" s="137">
        <v>98851.745254831272</v>
      </c>
      <c r="CS30" s="137">
        <v>98916.762094790975</v>
      </c>
      <c r="CT30" s="137">
        <v>98944.289516890043</v>
      </c>
      <c r="CU30" s="137">
        <v>98979.31034623197</v>
      </c>
      <c r="CV30" s="137">
        <v>98995.30584961205</v>
      </c>
      <c r="CW30" s="137">
        <v>99016.052005939171</v>
      </c>
      <c r="CX30" s="137">
        <v>99060.65759311369</v>
      </c>
      <c r="CY30" s="137">
        <v>99066.297176075692</v>
      </c>
      <c r="CZ30" s="137">
        <v>99078.388647164524</v>
      </c>
      <c r="DA30" s="137">
        <v>99081.57493267575</v>
      </c>
      <c r="DB30" s="137">
        <v>99125.331205063529</v>
      </c>
      <c r="DC30" s="137">
        <v>99147.838743920292</v>
      </c>
      <c r="DD30" s="137">
        <v>99160.56201786203</v>
      </c>
      <c r="DE30" s="137">
        <v>99178.443448040896</v>
      </c>
      <c r="DF30" s="137">
        <v>99227.657816053223</v>
      </c>
      <c r="DG30" s="137">
        <v>99232.024052164779</v>
      </c>
      <c r="DH30" s="137">
        <v>99250.949045292218</v>
      </c>
      <c r="DI30" s="137">
        <v>99249.666409553596</v>
      </c>
      <c r="DJ30" s="137">
        <v>99288.206326514453</v>
      </c>
      <c r="DK30" s="137">
        <v>99307.355688922078</v>
      </c>
      <c r="DL30" s="137">
        <v>99309.79355860682</v>
      </c>
      <c r="DM30" s="137">
        <v>99315.082976906284</v>
      </c>
      <c r="DN30" s="137">
        <v>99316.877875273698</v>
      </c>
      <c r="DO30" s="137">
        <v>99343.932590678975</v>
      </c>
      <c r="DP30" s="137">
        <f>(G_Kohorte_F!DP30+G_Kohorte_M!DP30)/2</f>
        <v>99367.968375773708</v>
      </c>
      <c r="DQ30" s="137">
        <f>(G_Kohorte_F!DQ30+G_Kohorte_M!DQ30)/2</f>
        <v>99374.744560117528</v>
      </c>
      <c r="DR30" s="137">
        <f>(G_Kohorte_F!DR30+G_Kohorte_M!DR30)/2</f>
        <v>99396.887753887946</v>
      </c>
      <c r="DS30" s="137">
        <f>(G_Kohorte_F!DS30+G_Kohorte_M!DS30)/2</f>
        <v>99405.863272454153</v>
      </c>
      <c r="DT30" s="137">
        <f>(G_Kohorte_F!DT30+G_Kohorte_M!DT30)/2</f>
        <v>99428.405146962352</v>
      </c>
      <c r="DU30" s="137">
        <f>(G_Kohorte_F!DU30+G_Kohorte_M!DU30)/2</f>
        <v>99450.063817721864</v>
      </c>
    </row>
    <row r="31" spans="1:125">
      <c r="A31" s="2348">
        <v>29</v>
      </c>
      <c r="B31" s="137"/>
      <c r="C31" s="137"/>
      <c r="D31" s="137"/>
      <c r="E31" s="137"/>
      <c r="F31" s="137"/>
      <c r="G31" s="137"/>
      <c r="H31" s="137"/>
      <c r="I31" s="137"/>
      <c r="J31" s="137"/>
      <c r="K31" s="137"/>
      <c r="L31" s="137"/>
      <c r="M31" s="137"/>
      <c r="N31" s="137"/>
      <c r="O31" s="137"/>
      <c r="P31" s="137"/>
      <c r="Q31" s="137"/>
      <c r="R31" s="137"/>
      <c r="S31" s="137"/>
      <c r="T31" s="137"/>
      <c r="U31" s="137"/>
      <c r="V31" s="137"/>
      <c r="W31" s="2342">
        <v>79181</v>
      </c>
      <c r="X31" s="2342">
        <v>79957</v>
      </c>
      <c r="Y31" s="137">
        <v>80054.15352691419</v>
      </c>
      <c r="Z31" s="137">
        <v>82223.569934630359</v>
      </c>
      <c r="AA31" s="137">
        <v>82636.181859444056</v>
      </c>
      <c r="AB31" s="137">
        <v>83287.592895342343</v>
      </c>
      <c r="AC31" s="137">
        <v>84148.080087047798</v>
      </c>
      <c r="AD31" s="137">
        <v>85119.035317635309</v>
      </c>
      <c r="AE31" s="137">
        <v>85083.571666640753</v>
      </c>
      <c r="AF31" s="137">
        <v>86332.353901396185</v>
      </c>
      <c r="AG31" s="137">
        <v>86782.683857693366</v>
      </c>
      <c r="AH31" s="137">
        <v>87092.891539476957</v>
      </c>
      <c r="AI31" s="137">
        <v>87428.319801912468</v>
      </c>
      <c r="AJ31" s="137">
        <v>88660.181203778891</v>
      </c>
      <c r="AK31" s="137">
        <v>88596.490721538328</v>
      </c>
      <c r="AL31" s="137">
        <v>88914.084544021956</v>
      </c>
      <c r="AM31" s="137">
        <v>89186.208432059793</v>
      </c>
      <c r="AN31" s="137">
        <v>89654.788754675625</v>
      </c>
      <c r="AO31" s="137">
        <v>89633.104444727098</v>
      </c>
      <c r="AP31" s="137">
        <v>89747.183044094112</v>
      </c>
      <c r="AQ31" s="137">
        <v>89822.818756906825</v>
      </c>
      <c r="AR31" s="137">
        <v>89857.070826065057</v>
      </c>
      <c r="AS31" s="137">
        <v>89313.590057906084</v>
      </c>
      <c r="AT31" s="137">
        <v>88558.493236214723</v>
      </c>
      <c r="AU31" s="137">
        <v>87291.174511231497</v>
      </c>
      <c r="AV31" s="137">
        <v>87650.00800655401</v>
      </c>
      <c r="AW31" s="137">
        <v>88005.171802907891</v>
      </c>
      <c r="AX31" s="137">
        <v>90155.051546862756</v>
      </c>
      <c r="AY31" s="137">
        <v>91935.436347227747</v>
      </c>
      <c r="AZ31" s="137">
        <v>91978.349392123622</v>
      </c>
      <c r="BA31" s="137">
        <v>92013.290283799288</v>
      </c>
      <c r="BB31" s="137">
        <v>92686.440182331644</v>
      </c>
      <c r="BC31" s="137">
        <v>92923.885376787817</v>
      </c>
      <c r="BD31" s="137">
        <v>93311.549220394983</v>
      </c>
      <c r="BE31" s="137">
        <v>93389.22341903692</v>
      </c>
      <c r="BF31" s="137">
        <v>93764.218589722077</v>
      </c>
      <c r="BG31" s="137">
        <v>93872.319159178762</v>
      </c>
      <c r="BH31" s="137">
        <v>94160.677529520326</v>
      </c>
      <c r="BI31" s="137">
        <v>94356.900898258536</v>
      </c>
      <c r="BJ31" s="137">
        <v>94523.54220541066</v>
      </c>
      <c r="BK31" s="137">
        <v>94842.25337926326</v>
      </c>
      <c r="BL31" s="137">
        <v>95144.208050586458</v>
      </c>
      <c r="BM31" s="137">
        <v>95403.928780280781</v>
      </c>
      <c r="BN31" s="137">
        <v>95665.775484829137</v>
      </c>
      <c r="BO31" s="137">
        <v>95887.334325984979</v>
      </c>
      <c r="BP31" s="137">
        <v>96013.596028121479</v>
      </c>
      <c r="BQ31" s="137">
        <v>96116.565476526754</v>
      </c>
      <c r="BR31" s="137">
        <v>96216.283394869737</v>
      </c>
      <c r="BS31" s="137">
        <v>96216.896437221789</v>
      </c>
      <c r="BT31" s="137">
        <v>96301.666340354306</v>
      </c>
      <c r="BU31" s="137">
        <v>96386.174246762544</v>
      </c>
      <c r="BV31" s="137">
        <v>96491.089902506486</v>
      </c>
      <c r="BW31" s="137">
        <v>96562.996454671535</v>
      </c>
      <c r="BX31" s="137">
        <v>96704.044412919116</v>
      </c>
      <c r="BY31" s="137">
        <v>96857.300210063695</v>
      </c>
      <c r="BZ31" s="137">
        <v>97130.89457155444</v>
      </c>
      <c r="CA31" s="137">
        <v>97317.310350064115</v>
      </c>
      <c r="CB31" s="137">
        <v>97423.95142357322</v>
      </c>
      <c r="CC31" s="137">
        <v>97567.602631268266</v>
      </c>
      <c r="CD31" s="137">
        <v>97679.028429853934</v>
      </c>
      <c r="CE31" s="137">
        <v>97772.998593983124</v>
      </c>
      <c r="CF31" s="137">
        <v>97918.94984731538</v>
      </c>
      <c r="CG31" s="137">
        <v>98029.88273870619</v>
      </c>
      <c r="CH31" s="137">
        <v>98116.609867478401</v>
      </c>
      <c r="CI31" s="137">
        <v>98244.244067354055</v>
      </c>
      <c r="CJ31" s="137">
        <v>98287.012371932011</v>
      </c>
      <c r="CK31" s="137">
        <v>98351.039626986108</v>
      </c>
      <c r="CL31" s="137">
        <v>98475.583144686098</v>
      </c>
      <c r="CM31" s="137">
        <v>98513.560803946195</v>
      </c>
      <c r="CN31" s="137">
        <v>98598.51877329628</v>
      </c>
      <c r="CO31" s="137">
        <v>98670.250309495925</v>
      </c>
      <c r="CP31" s="137">
        <v>98740.117396329908</v>
      </c>
      <c r="CQ31" s="137">
        <v>98798.615897888914</v>
      </c>
      <c r="CR31" s="137">
        <v>98818.014806496809</v>
      </c>
      <c r="CS31" s="137">
        <v>98883.916187321011</v>
      </c>
      <c r="CT31" s="137">
        <v>98912.319039332229</v>
      </c>
      <c r="CU31" s="137">
        <v>98948.188108585775</v>
      </c>
      <c r="CV31" s="137">
        <v>98965.01544037339</v>
      </c>
      <c r="CW31" s="137">
        <v>98986.572926062072</v>
      </c>
      <c r="CX31" s="137">
        <v>99031.957554475754</v>
      </c>
      <c r="CY31" s="137">
        <v>99038.369458342611</v>
      </c>
      <c r="CZ31" s="137">
        <v>99051.207384560548</v>
      </c>
      <c r="DA31" s="137">
        <v>99055.124938744615</v>
      </c>
      <c r="DB31" s="137">
        <v>99099.579911210865</v>
      </c>
      <c r="DC31" s="137">
        <v>99122.77625324676</v>
      </c>
      <c r="DD31" s="137">
        <v>99136.170352651272</v>
      </c>
      <c r="DE31" s="137">
        <v>99154.698502766812</v>
      </c>
      <c r="DF31" s="137">
        <v>99204.535209671856</v>
      </c>
      <c r="DG31" s="137">
        <v>99209.515777462948</v>
      </c>
      <c r="DH31" s="137">
        <v>99229.037481513224</v>
      </c>
      <c r="DI31" s="137">
        <v>99228.33859247803</v>
      </c>
      <c r="DJ31" s="137">
        <v>99267.438531744963</v>
      </c>
      <c r="DK31" s="137">
        <v>99287.138436696841</v>
      </c>
      <c r="DL31" s="137">
        <v>99290.115446197422</v>
      </c>
      <c r="DM31" s="137">
        <v>99295.927564690035</v>
      </c>
      <c r="DN31" s="137">
        <v>99298.233568650277</v>
      </c>
      <c r="DO31" s="137">
        <v>99325.780391294742</v>
      </c>
      <c r="DP31" s="137">
        <f>(G_Kohorte_F!DP31+G_Kohorte_M!DP31)/2</f>
        <v>99350.296376507875</v>
      </c>
      <c r="DQ31" s="137">
        <f>(G_Kohorte_F!DQ31+G_Kohorte_M!DQ31)/2</f>
        <v>99357.54271328132</v>
      </c>
      <c r="DR31" s="137">
        <f>(G_Kohorte_F!DR31+G_Kohorte_M!DR31)/2</f>
        <v>99380.140084144776</v>
      </c>
      <c r="DS31" s="137">
        <f>(G_Kohorte_F!DS31+G_Kohorte_M!DS31)/2</f>
        <v>99389.561390676143</v>
      </c>
      <c r="DT31" s="137">
        <f>(G_Kohorte_F!DT31+G_Kohorte_M!DT31)/2</f>
        <v>99412.534372651964</v>
      </c>
      <c r="DU31" s="137">
        <f>(G_Kohorte_F!DU31+G_Kohorte_M!DU31)/2</f>
        <v>99434.61289995609</v>
      </c>
    </row>
    <row r="32" spans="1:125">
      <c r="A32" s="2348">
        <v>30</v>
      </c>
      <c r="B32" s="137"/>
      <c r="C32" s="137"/>
      <c r="D32" s="137"/>
      <c r="E32" s="137"/>
      <c r="F32" s="137"/>
      <c r="G32" s="137"/>
      <c r="H32" s="137"/>
      <c r="I32" s="137"/>
      <c r="J32" s="137"/>
      <c r="K32" s="137"/>
      <c r="L32" s="137"/>
      <c r="M32" s="137"/>
      <c r="N32" s="137"/>
      <c r="O32" s="137"/>
      <c r="P32" s="137"/>
      <c r="Q32" s="137"/>
      <c r="R32" s="137"/>
      <c r="S32" s="137"/>
      <c r="T32" s="137"/>
      <c r="U32" s="137"/>
      <c r="V32" s="137"/>
      <c r="W32" s="2342">
        <v>79030</v>
      </c>
      <c r="X32" s="2342">
        <v>79804.5</v>
      </c>
      <c r="Y32" s="137">
        <v>79931.245560460404</v>
      </c>
      <c r="Z32" s="137">
        <v>82094.951848760422</v>
      </c>
      <c r="AA32" s="137">
        <v>82515.006763773301</v>
      </c>
      <c r="AB32" s="137">
        <v>83162.171987702692</v>
      </c>
      <c r="AC32" s="137">
        <v>84024.529304942611</v>
      </c>
      <c r="AD32" s="137">
        <v>85001.230348753801</v>
      </c>
      <c r="AE32" s="137">
        <v>84968.401793342287</v>
      </c>
      <c r="AF32" s="137">
        <v>86210.155449697209</v>
      </c>
      <c r="AG32" s="137">
        <v>86664.333344692219</v>
      </c>
      <c r="AH32" s="137">
        <v>86978.209510931425</v>
      </c>
      <c r="AI32" s="137">
        <v>87320.020417110209</v>
      </c>
      <c r="AJ32" s="137">
        <v>88549.164285067745</v>
      </c>
      <c r="AK32" s="137">
        <v>88490.461485647655</v>
      </c>
      <c r="AL32" s="137">
        <v>88814.342894208559</v>
      </c>
      <c r="AM32" s="137">
        <v>89081.936453284783</v>
      </c>
      <c r="AN32" s="137">
        <v>89544.131801570329</v>
      </c>
      <c r="AO32" s="137">
        <v>89533.789508005459</v>
      </c>
      <c r="AP32" s="137">
        <v>89641.589361654173</v>
      </c>
      <c r="AQ32" s="137">
        <v>89715.980976404229</v>
      </c>
      <c r="AR32" s="137">
        <v>89750.216749114334</v>
      </c>
      <c r="AS32" s="137">
        <v>89213.119629146866</v>
      </c>
      <c r="AT32" s="137">
        <v>88466.009648037754</v>
      </c>
      <c r="AU32" s="137">
        <v>87197.447193736312</v>
      </c>
      <c r="AV32" s="137">
        <v>87553.746157407659</v>
      </c>
      <c r="AW32" s="137">
        <v>87919.795400837509</v>
      </c>
      <c r="AX32" s="137">
        <v>90065.674926286229</v>
      </c>
      <c r="AY32" s="137">
        <v>91839.612729228684</v>
      </c>
      <c r="AZ32" s="137">
        <v>91883.534887362301</v>
      </c>
      <c r="BA32" s="137">
        <v>91922.741025197669</v>
      </c>
      <c r="BB32" s="137">
        <v>92594.34458959043</v>
      </c>
      <c r="BC32" s="137">
        <v>92833.750394734292</v>
      </c>
      <c r="BD32" s="137">
        <v>93228.508846434765</v>
      </c>
      <c r="BE32" s="137">
        <v>93306.791627412429</v>
      </c>
      <c r="BF32" s="137">
        <v>93684.959288548183</v>
      </c>
      <c r="BG32" s="137">
        <v>93802.726953433405</v>
      </c>
      <c r="BH32" s="137">
        <v>94078.562866693013</v>
      </c>
      <c r="BI32" s="137">
        <v>94275.971547933412</v>
      </c>
      <c r="BJ32" s="137">
        <v>94443.819867339305</v>
      </c>
      <c r="BK32" s="137">
        <v>94758.075354380009</v>
      </c>
      <c r="BL32" s="137">
        <v>95058.109106292701</v>
      </c>
      <c r="BM32" s="137">
        <v>95326.898409563903</v>
      </c>
      <c r="BN32" s="137">
        <v>95592.11476475207</v>
      </c>
      <c r="BO32" s="137">
        <v>95817.002237705805</v>
      </c>
      <c r="BP32" s="137">
        <v>95940.698897605762</v>
      </c>
      <c r="BQ32" s="137">
        <v>96052.160261755955</v>
      </c>
      <c r="BR32" s="137">
        <v>96155.59573485321</v>
      </c>
      <c r="BS32" s="137">
        <v>96157.723119094502</v>
      </c>
      <c r="BT32" s="137">
        <v>96242.714113032955</v>
      </c>
      <c r="BU32" s="137">
        <v>96331.370394957616</v>
      </c>
      <c r="BV32" s="137">
        <v>96439.28534770722</v>
      </c>
      <c r="BW32" s="137">
        <v>96514.154986345355</v>
      </c>
      <c r="BX32" s="137">
        <v>96657.565703701519</v>
      </c>
      <c r="BY32" s="137">
        <v>96810.484312087399</v>
      </c>
      <c r="BZ32" s="137">
        <v>97087.146295326995</v>
      </c>
      <c r="CA32" s="137">
        <v>97271.323391150858</v>
      </c>
      <c r="CB32" s="137">
        <v>97377.370833387176</v>
      </c>
      <c r="CC32" s="137">
        <v>97524.20097487804</v>
      </c>
      <c r="CD32" s="137">
        <v>97632.402172938804</v>
      </c>
      <c r="CE32" s="137">
        <v>97725.054581227319</v>
      </c>
      <c r="CF32" s="137">
        <v>97876.694594241271</v>
      </c>
      <c r="CG32" s="137">
        <v>97986.347570982034</v>
      </c>
      <c r="CH32" s="137">
        <v>98075.075626622245</v>
      </c>
      <c r="CI32" s="137">
        <v>98206.286375766547</v>
      </c>
      <c r="CJ32" s="137">
        <v>98243.087572368182</v>
      </c>
      <c r="CK32" s="137">
        <v>98311.31771949587</v>
      </c>
      <c r="CL32" s="137">
        <v>98437.234350116312</v>
      </c>
      <c r="CM32" s="137">
        <v>98479.440281081523</v>
      </c>
      <c r="CN32" s="137">
        <v>98560.659944216284</v>
      </c>
      <c r="CO32" s="137">
        <v>98635.187001646904</v>
      </c>
      <c r="CP32" s="137">
        <v>98703.739431805967</v>
      </c>
      <c r="CQ32" s="137">
        <v>98762.514282624063</v>
      </c>
      <c r="CR32" s="137">
        <v>98782.863041408535</v>
      </c>
      <c r="CS32" s="137">
        <v>98849.669362615678</v>
      </c>
      <c r="CT32" s="137">
        <v>98878.968436010284</v>
      </c>
      <c r="CU32" s="137">
        <v>98915.706356033275</v>
      </c>
      <c r="CV32" s="137">
        <v>98933.38625981065</v>
      </c>
      <c r="CW32" s="137">
        <v>98955.775557382265</v>
      </c>
      <c r="CX32" s="137">
        <v>99001.959333759878</v>
      </c>
      <c r="CY32" s="137">
        <v>99009.163974085473</v>
      </c>
      <c r="CZ32" s="137">
        <v>99022.768592996727</v>
      </c>
      <c r="DA32" s="137">
        <v>99027.437555190743</v>
      </c>
      <c r="DB32" s="137">
        <v>99072.610736963194</v>
      </c>
      <c r="DC32" s="137">
        <v>99096.51543012583</v>
      </c>
      <c r="DD32" s="137">
        <v>99110.594572055139</v>
      </c>
      <c r="DE32" s="137">
        <v>99129.789721703593</v>
      </c>
      <c r="DF32" s="137">
        <v>99180.268441930559</v>
      </c>
      <c r="DG32" s="137">
        <v>99185.883315777071</v>
      </c>
      <c r="DH32" s="137">
        <v>99206.021265834192</v>
      </c>
      <c r="DI32" s="137">
        <v>99205.925650904537</v>
      </c>
      <c r="DJ32" s="137">
        <v>99245.604453566761</v>
      </c>
      <c r="DK32" s="137">
        <v>99265.873691224784</v>
      </c>
      <c r="DL32" s="137">
        <v>99269.408557542629</v>
      </c>
      <c r="DM32" s="137">
        <v>99275.761825174763</v>
      </c>
      <c r="DN32" s="137">
        <v>99278.597148124449</v>
      </c>
      <c r="DO32" s="137">
        <v>99306.653796880797</v>
      </c>
      <c r="DP32" s="137">
        <f>(G_Kohorte_F!DP32+G_Kohorte_M!DP32)/2</f>
        <v>99331.667480493605</v>
      </c>
      <c r="DQ32" s="137">
        <f>(G_Kohorte_F!DQ32+G_Kohorte_M!DQ32)/2</f>
        <v>99339.401389073755</v>
      </c>
      <c r="DR32" s="137">
        <f>(G_Kohorte_F!DR32+G_Kohorte_M!DR32)/2</f>
        <v>99362.469970021863</v>
      </c>
      <c r="DS32" s="137">
        <f>(G_Kohorte_F!DS32+G_Kohorte_M!DS32)/2</f>
        <v>99372.353961533954</v>
      </c>
      <c r="DT32" s="137">
        <f>(G_Kohorte_F!DT32+G_Kohorte_M!DT32)/2</f>
        <v>99395.774584098544</v>
      </c>
      <c r="DU32" s="137">
        <f>(G_Kohorte_F!DU32+G_Kohorte_M!DU32)/2</f>
        <v>99418.289266572057</v>
      </c>
    </row>
    <row r="33" spans="1:125">
      <c r="A33" s="2348">
        <v>31</v>
      </c>
      <c r="B33" s="137"/>
      <c r="C33" s="137"/>
      <c r="D33" s="137"/>
      <c r="E33" s="137"/>
      <c r="F33" s="137"/>
      <c r="G33" s="137"/>
      <c r="H33" s="137"/>
      <c r="I33" s="137"/>
      <c r="J33" s="137"/>
      <c r="K33" s="137"/>
      <c r="L33" s="137"/>
      <c r="M33" s="137"/>
      <c r="N33" s="137"/>
      <c r="O33" s="137"/>
      <c r="P33" s="137"/>
      <c r="Q33" s="137"/>
      <c r="R33" s="137"/>
      <c r="S33" s="137"/>
      <c r="T33" s="137"/>
      <c r="U33" s="137"/>
      <c r="V33" s="137"/>
      <c r="W33" s="2342">
        <v>78875.5</v>
      </c>
      <c r="X33" s="2342">
        <v>79679</v>
      </c>
      <c r="Y33" s="137">
        <v>79809.462481268332</v>
      </c>
      <c r="Z33" s="137">
        <v>81969.33037126319</v>
      </c>
      <c r="AA33" s="137">
        <v>82396.405946171406</v>
      </c>
      <c r="AB33" s="137">
        <v>83040.855377101543</v>
      </c>
      <c r="AC33" s="137">
        <v>83899.855980794324</v>
      </c>
      <c r="AD33" s="137">
        <v>84880.790838767658</v>
      </c>
      <c r="AE33" s="137">
        <v>84847.437573969917</v>
      </c>
      <c r="AF33" s="137">
        <v>86096.493319635018</v>
      </c>
      <c r="AG33" s="137">
        <v>86548.6444559027</v>
      </c>
      <c r="AH33" s="137">
        <v>86867.690847747232</v>
      </c>
      <c r="AI33" s="137">
        <v>87205.910097067885</v>
      </c>
      <c r="AJ33" s="137">
        <v>88440.495984658657</v>
      </c>
      <c r="AK33" s="137">
        <v>88380.904356586427</v>
      </c>
      <c r="AL33" s="137">
        <v>88701.816697094182</v>
      </c>
      <c r="AM33" s="137">
        <v>88975.004310226068</v>
      </c>
      <c r="AN33" s="137">
        <v>89438.605672170437</v>
      </c>
      <c r="AO33" s="137">
        <v>89424.77240092415</v>
      </c>
      <c r="AP33" s="137">
        <v>89533.502290837132</v>
      </c>
      <c r="AQ33" s="137">
        <v>89605.040549657337</v>
      </c>
      <c r="AR33" s="137">
        <v>89647.397875592214</v>
      </c>
      <c r="AS33" s="137">
        <v>89114.551284381188</v>
      </c>
      <c r="AT33" s="137">
        <v>88366.891705880349</v>
      </c>
      <c r="AU33" s="137">
        <v>87098.660955739848</v>
      </c>
      <c r="AV33" s="137">
        <v>87455.675409772113</v>
      </c>
      <c r="AW33" s="137">
        <v>87823.238785356923</v>
      </c>
      <c r="AX33" s="137">
        <v>89972.240197440246</v>
      </c>
      <c r="AY33" s="137">
        <v>91752.929364903714</v>
      </c>
      <c r="AZ33" s="137">
        <v>91790.753796357341</v>
      </c>
      <c r="BA33" s="137">
        <v>91830.488668203034</v>
      </c>
      <c r="BB33" s="137">
        <v>92500.923051160193</v>
      </c>
      <c r="BC33" s="137">
        <v>92751.786434482055</v>
      </c>
      <c r="BD33" s="137">
        <v>93145.24527638391</v>
      </c>
      <c r="BE33" s="137">
        <v>93224.423201036174</v>
      </c>
      <c r="BF33" s="137">
        <v>93602.202465655311</v>
      </c>
      <c r="BG33" s="137">
        <v>93719.370446465458</v>
      </c>
      <c r="BH33" s="137">
        <v>93998.579533035561</v>
      </c>
      <c r="BI33" s="137">
        <v>94191.714811997983</v>
      </c>
      <c r="BJ33" s="137">
        <v>94356.533129678617</v>
      </c>
      <c r="BK33" s="137">
        <v>94666.088646280958</v>
      </c>
      <c r="BL33" s="137">
        <v>94976.511485607552</v>
      </c>
      <c r="BM33" s="137">
        <v>95246.517823319504</v>
      </c>
      <c r="BN33" s="137">
        <v>95511.837253344798</v>
      </c>
      <c r="BO33" s="137">
        <v>95743.026326638996</v>
      </c>
      <c r="BP33" s="137">
        <v>95873.016988366348</v>
      </c>
      <c r="BQ33" s="137">
        <v>95988.546996929392</v>
      </c>
      <c r="BR33" s="137">
        <v>96096.077645849029</v>
      </c>
      <c r="BS33" s="137">
        <v>96097.824378118006</v>
      </c>
      <c r="BT33" s="137">
        <v>96189.862584916671</v>
      </c>
      <c r="BU33" s="137">
        <v>96276.193435673282</v>
      </c>
      <c r="BV33" s="137">
        <v>96389.090643597243</v>
      </c>
      <c r="BW33" s="137">
        <v>96463.736604099453</v>
      </c>
      <c r="BX33" s="137">
        <v>96608.122373595193</v>
      </c>
      <c r="BY33" s="137">
        <v>96764.105919713213</v>
      </c>
      <c r="BZ33" s="137">
        <v>97042.971700022885</v>
      </c>
      <c r="CA33" s="137">
        <v>97227.99889448355</v>
      </c>
      <c r="CB33" s="137">
        <v>97328.8981339202</v>
      </c>
      <c r="CC33" s="137">
        <v>97479.233180122712</v>
      </c>
      <c r="CD33" s="137">
        <v>97586.063907178963</v>
      </c>
      <c r="CE33" s="137">
        <v>97681.855425360947</v>
      </c>
      <c r="CF33" s="137">
        <v>97829.989802497119</v>
      </c>
      <c r="CG33" s="137">
        <v>97944.482758272832</v>
      </c>
      <c r="CH33" s="137">
        <v>98031.015836409686</v>
      </c>
      <c r="CI33" s="137">
        <v>98163.363605396458</v>
      </c>
      <c r="CJ33" s="137">
        <v>98198.867905736173</v>
      </c>
      <c r="CK33" s="137">
        <v>98269.727671265107</v>
      </c>
      <c r="CL33" s="137">
        <v>98394.930670484842</v>
      </c>
      <c r="CM33" s="137">
        <v>98442.812117732014</v>
      </c>
      <c r="CN33" s="137">
        <v>98521.50283544464</v>
      </c>
      <c r="CO33" s="137">
        <v>98594.933758824685</v>
      </c>
      <c r="CP33" s="137">
        <v>98664.7337376051</v>
      </c>
      <c r="CQ33" s="137">
        <v>98724.497616234265</v>
      </c>
      <c r="CR33" s="137">
        <v>98745.828870491634</v>
      </c>
      <c r="CS33" s="137">
        <v>98813.571527891821</v>
      </c>
      <c r="CT33" s="137">
        <v>98843.798541259006</v>
      </c>
      <c r="CU33" s="137">
        <v>98881.436508639366</v>
      </c>
      <c r="CV33" s="137">
        <v>98900.000131901761</v>
      </c>
      <c r="CW33" s="137">
        <v>98923.251907724771</v>
      </c>
      <c r="CX33" s="137">
        <v>98970.264692281693</v>
      </c>
      <c r="CY33" s="137">
        <v>98978.292205278587</v>
      </c>
      <c r="CZ33" s="137">
        <v>98992.693134141533</v>
      </c>
      <c r="DA33" s="137">
        <v>98998.142868466763</v>
      </c>
      <c r="DB33" s="137">
        <v>99044.062562543812</v>
      </c>
      <c r="DC33" s="137">
        <v>99068.699188121129</v>
      </c>
      <c r="DD33" s="137">
        <v>99083.492255145422</v>
      </c>
      <c r="DE33" s="137">
        <v>99103.382768934272</v>
      </c>
      <c r="DF33" s="137">
        <v>99154.530962483594</v>
      </c>
      <c r="DG33" s="137">
        <v>99160.807820776201</v>
      </c>
      <c r="DH33" s="137">
        <v>99181.58906105881</v>
      </c>
      <c r="DI33" s="137">
        <v>99182.12360560424</v>
      </c>
      <c r="DJ33" s="137">
        <v>99222.407175111846</v>
      </c>
      <c r="DK33" s="137">
        <v>99243.271510667691</v>
      </c>
      <c r="DL33" s="137">
        <v>99247.389801591067</v>
      </c>
      <c r="DM33" s="137">
        <v>99254.309312368991</v>
      </c>
      <c r="DN33" s="137">
        <v>99257.698694185441</v>
      </c>
      <c r="DO33" s="137">
        <v>99286.289173166821</v>
      </c>
      <c r="DP33" s="137">
        <f>(G_Kohorte_F!DP33+G_Kohorte_M!DP33)/2</f>
        <v>99311.824206315214</v>
      </c>
      <c r="DQ33" s="137">
        <f>(G_Kohorte_F!DQ33+G_Kohorte_M!DQ33)/2</f>
        <v>99320.069147556467</v>
      </c>
      <c r="DR33" s="137">
        <f>(G_Kohorte_F!DR33+G_Kohorte_M!DR33)/2</f>
        <v>99343.631811079918</v>
      </c>
      <c r="DS33" s="137">
        <f>(G_Kohorte_F!DS33+G_Kohorte_M!DS33)/2</f>
        <v>99354.001145037517</v>
      </c>
      <c r="DT33" s="137">
        <f>(G_Kohorte_F!DT33+G_Kohorte_M!DT33)/2</f>
        <v>99377.891517266311</v>
      </c>
      <c r="DU33" s="137">
        <f>(G_Kohorte_F!DU33+G_Kohorte_M!DU33)/2</f>
        <v>99400.864098024686</v>
      </c>
    </row>
    <row r="34" spans="1:125">
      <c r="A34" s="2348">
        <v>32</v>
      </c>
      <c r="B34" s="137"/>
      <c r="C34" s="137"/>
      <c r="D34" s="137"/>
      <c r="E34" s="137"/>
      <c r="F34" s="137"/>
      <c r="G34" s="137"/>
      <c r="H34" s="137"/>
      <c r="I34" s="137"/>
      <c r="J34" s="137"/>
      <c r="K34" s="137"/>
      <c r="L34" s="137"/>
      <c r="M34" s="137"/>
      <c r="N34" s="137"/>
      <c r="O34" s="137"/>
      <c r="P34" s="137"/>
      <c r="Q34" s="137"/>
      <c r="R34" s="137"/>
      <c r="S34" s="137"/>
      <c r="T34" s="137"/>
      <c r="U34" s="137"/>
      <c r="V34" s="137"/>
      <c r="W34" s="2342">
        <v>78746.5</v>
      </c>
      <c r="X34" s="2342">
        <v>79555</v>
      </c>
      <c r="Y34" s="137">
        <v>79681.746052382005</v>
      </c>
      <c r="Z34" s="137">
        <v>81842.780233537895</v>
      </c>
      <c r="AA34" s="137">
        <v>82272.417369839328</v>
      </c>
      <c r="AB34" s="137">
        <v>82916.797992363514</v>
      </c>
      <c r="AC34" s="137">
        <v>83777.799839638232</v>
      </c>
      <c r="AD34" s="137">
        <v>84755.532900037011</v>
      </c>
      <c r="AE34" s="137">
        <v>84726.422944204765</v>
      </c>
      <c r="AF34" s="137">
        <v>85979.165288159216</v>
      </c>
      <c r="AG34" s="137">
        <v>86429.023220890842</v>
      </c>
      <c r="AH34" s="137">
        <v>86751.772913245921</v>
      </c>
      <c r="AI34" s="137">
        <v>87090.063860769966</v>
      </c>
      <c r="AJ34" s="137">
        <v>88318.87992767492</v>
      </c>
      <c r="AK34" s="137">
        <v>88270.956947032915</v>
      </c>
      <c r="AL34" s="137">
        <v>88592.305380560691</v>
      </c>
      <c r="AM34" s="137">
        <v>88867.30564994656</v>
      </c>
      <c r="AN34" s="137">
        <v>89324.967528430425</v>
      </c>
      <c r="AO34" s="137">
        <v>89311.404496578514</v>
      </c>
      <c r="AP34" s="137">
        <v>89420.988188675168</v>
      </c>
      <c r="AQ34" s="137">
        <v>89493.110063036671</v>
      </c>
      <c r="AR34" s="137">
        <v>89542.872849486128</v>
      </c>
      <c r="AS34" s="137">
        <v>89005.670044325205</v>
      </c>
      <c r="AT34" s="137">
        <v>88261.046851389518</v>
      </c>
      <c r="AU34" s="137">
        <v>86993.640781890514</v>
      </c>
      <c r="AV34" s="137">
        <v>87352.414599595853</v>
      </c>
      <c r="AW34" s="137">
        <v>87727.795552353564</v>
      </c>
      <c r="AX34" s="137">
        <v>89876.943718528797</v>
      </c>
      <c r="AY34" s="137">
        <v>91659.784941579826</v>
      </c>
      <c r="AZ34" s="137">
        <v>91691.516845011822</v>
      </c>
      <c r="BA34" s="137">
        <v>91734.231214223604</v>
      </c>
      <c r="BB34" s="137">
        <v>92409.731906439178</v>
      </c>
      <c r="BC34" s="137">
        <v>92664.784848534298</v>
      </c>
      <c r="BD34" s="137">
        <v>93056.684436459182</v>
      </c>
      <c r="BE34" s="137">
        <v>93138.492224675923</v>
      </c>
      <c r="BF34" s="137">
        <v>93514.652969731513</v>
      </c>
      <c r="BG34" s="137">
        <v>93633.250214665124</v>
      </c>
      <c r="BH34" s="137">
        <v>93912.040105384731</v>
      </c>
      <c r="BI34" s="137">
        <v>94099.302043046395</v>
      </c>
      <c r="BJ34" s="137">
        <v>94264.744311927701</v>
      </c>
      <c r="BK34" s="137">
        <v>94578.823255747528</v>
      </c>
      <c r="BL34" s="137">
        <v>94897.209634978426</v>
      </c>
      <c r="BM34" s="137">
        <v>95165.567771770322</v>
      </c>
      <c r="BN34" s="137">
        <v>95432.014635516127</v>
      </c>
      <c r="BO34" s="137">
        <v>95668.699346264388</v>
      </c>
      <c r="BP34" s="137">
        <v>95804.528471305792</v>
      </c>
      <c r="BQ34" s="137">
        <v>95925.822673765084</v>
      </c>
      <c r="BR34" s="137">
        <v>96035.46079518694</v>
      </c>
      <c r="BS34" s="137">
        <v>96036.923289416431</v>
      </c>
      <c r="BT34" s="137">
        <v>96135.561594093306</v>
      </c>
      <c r="BU34" s="137">
        <v>96219.203319985594</v>
      </c>
      <c r="BV34" s="137">
        <v>96334.091805617471</v>
      </c>
      <c r="BW34" s="137">
        <v>96411.333687390899</v>
      </c>
      <c r="BX34" s="137">
        <v>96557.013894610427</v>
      </c>
      <c r="BY34" s="137">
        <v>96714.885657619452</v>
      </c>
      <c r="BZ34" s="137">
        <v>96990.87580527387</v>
      </c>
      <c r="CA34" s="137">
        <v>97177.102531087643</v>
      </c>
      <c r="CB34" s="137">
        <v>97279.540949311777</v>
      </c>
      <c r="CC34" s="137">
        <v>97429.119724530407</v>
      </c>
      <c r="CD34" s="137">
        <v>97539.769294240803</v>
      </c>
      <c r="CE34" s="137">
        <v>97635.881294378371</v>
      </c>
      <c r="CF34" s="137">
        <v>97784.773815742141</v>
      </c>
      <c r="CG34" s="137">
        <v>97891.191367225256</v>
      </c>
      <c r="CH34" s="137">
        <v>97981.761604264961</v>
      </c>
      <c r="CI34" s="137">
        <v>98115.916176126804</v>
      </c>
      <c r="CJ34" s="137">
        <v>98154.820715922629</v>
      </c>
      <c r="CK34" s="137">
        <v>98225.737710643283</v>
      </c>
      <c r="CL34" s="137">
        <v>98348.981920745093</v>
      </c>
      <c r="CM34" s="137">
        <v>98401.903647602972</v>
      </c>
      <c r="CN34" s="137">
        <v>98478.91387947413</v>
      </c>
      <c r="CO34" s="137">
        <v>98552.503153184691</v>
      </c>
      <c r="CP34" s="137">
        <v>98623.358361586928</v>
      </c>
      <c r="CQ34" s="137">
        <v>98684.152881062619</v>
      </c>
      <c r="CR34" s="137">
        <v>98706.508644115078</v>
      </c>
      <c r="CS34" s="137">
        <v>98775.227897788151</v>
      </c>
      <c r="CT34" s="137">
        <v>98806.423423883927</v>
      </c>
      <c r="CU34" s="137">
        <v>98845.001215903874</v>
      </c>
      <c r="CV34" s="137">
        <v>98864.488164548398</v>
      </c>
      <c r="CW34" s="137">
        <v>98888.641405305796</v>
      </c>
      <c r="CX34" s="137">
        <v>98936.521007202813</v>
      </c>
      <c r="CY34" s="137">
        <v>98945.409501597198</v>
      </c>
      <c r="CZ34" s="137">
        <v>98960.644037592749</v>
      </c>
      <c r="DA34" s="137">
        <v>98966.91149855635</v>
      </c>
      <c r="DB34" s="137">
        <v>99013.609059296577</v>
      </c>
      <c r="DC34" s="137">
        <v>99039.013818669569</v>
      </c>
      <c r="DD34" s="137">
        <v>99054.556530535541</v>
      </c>
      <c r="DE34" s="137">
        <v>99075.177469624759</v>
      </c>
      <c r="DF34" s="137">
        <v>99127.029051672638</v>
      </c>
      <c r="DG34" s="137">
        <v>99134.001968374214</v>
      </c>
      <c r="DH34" s="137">
        <v>99155.459802395722</v>
      </c>
      <c r="DI34" s="137">
        <v>99156.657529791191</v>
      </c>
      <c r="DJ34" s="137">
        <v>99197.577666214929</v>
      </c>
      <c r="DK34" s="137">
        <v>99219.068715085436</v>
      </c>
      <c r="DL34" s="137">
        <v>99223.801758359681</v>
      </c>
      <c r="DM34" s="137">
        <v>99231.31819177579</v>
      </c>
      <c r="DN34" s="137">
        <v>99235.291883525875</v>
      </c>
      <c r="DO34" s="137">
        <v>99264.445504368356</v>
      </c>
      <c r="DP34" s="137">
        <f>(G_Kohorte_F!DP34+G_Kohorte_M!DP34)/2</f>
        <v>99290.530749462734</v>
      </c>
      <c r="DQ34" s="137">
        <f>(G_Kohorte_F!DQ34+G_Kohorte_M!DQ34)/2</f>
        <v>99299.315311725295</v>
      </c>
      <c r="DR34" s="137">
        <f>(G_Kohorte_F!DR34+G_Kohorte_M!DR34)/2</f>
        <v>99323.399886638013</v>
      </c>
      <c r="DS34" s="137">
        <f>(G_Kohorte_F!DS34+G_Kohorte_M!DS34)/2</f>
        <v>99334.282133756322</v>
      </c>
      <c r="DT34" s="137">
        <f>(G_Kohorte_F!DT34+G_Kohorte_M!DT34)/2</f>
        <v>99358.669122589039</v>
      </c>
      <c r="DU34" s="137">
        <f>(G_Kohorte_F!DU34+G_Kohorte_M!DU34)/2</f>
        <v>99382.125999981072</v>
      </c>
    </row>
    <row r="35" spans="1:125">
      <c r="A35" s="2348">
        <v>33</v>
      </c>
      <c r="B35" s="137"/>
      <c r="C35" s="137"/>
      <c r="D35" s="137"/>
      <c r="E35" s="137"/>
      <c r="F35" s="137"/>
      <c r="G35" s="137"/>
      <c r="H35" s="137"/>
      <c r="I35" s="137"/>
      <c r="J35" s="137"/>
      <c r="K35" s="137"/>
      <c r="L35" s="137"/>
      <c r="M35" s="137"/>
      <c r="N35" s="137"/>
      <c r="O35" s="137"/>
      <c r="P35" s="137"/>
      <c r="Q35" s="137"/>
      <c r="R35" s="137"/>
      <c r="S35" s="137"/>
      <c r="T35" s="137"/>
      <c r="U35" s="137"/>
      <c r="V35" s="137"/>
      <c r="W35" s="2342">
        <v>78616</v>
      </c>
      <c r="X35" s="2342">
        <v>79422</v>
      </c>
      <c r="Y35" s="137">
        <v>79548.221293738898</v>
      </c>
      <c r="Z35" s="137">
        <v>81711.700380893075</v>
      </c>
      <c r="AA35" s="137">
        <v>82136.510497057097</v>
      </c>
      <c r="AB35" s="137">
        <v>82789.635515002912</v>
      </c>
      <c r="AC35" s="137">
        <v>83651.908295021203</v>
      </c>
      <c r="AD35" s="137">
        <v>84635.248460664181</v>
      </c>
      <c r="AE35" s="137">
        <v>84599.534803315779</v>
      </c>
      <c r="AF35" s="137">
        <v>85856.024171338475</v>
      </c>
      <c r="AG35" s="137">
        <v>86305.213892744709</v>
      </c>
      <c r="AH35" s="137">
        <v>86625.921773878159</v>
      </c>
      <c r="AI35" s="137">
        <v>86970.519649300666</v>
      </c>
      <c r="AJ35" s="137">
        <v>88201.367783462774</v>
      </c>
      <c r="AK35" s="137">
        <v>88155.54747700521</v>
      </c>
      <c r="AL35" s="137">
        <v>88479.724252202475</v>
      </c>
      <c r="AM35" s="137">
        <v>88750.818146787293</v>
      </c>
      <c r="AN35" s="137">
        <v>89206.832586679811</v>
      </c>
      <c r="AO35" s="137">
        <v>89195.355437563645</v>
      </c>
      <c r="AP35" s="137">
        <v>89305.017776808498</v>
      </c>
      <c r="AQ35" s="137">
        <v>89382.513026791188</v>
      </c>
      <c r="AR35" s="137">
        <v>89428.918281849852</v>
      </c>
      <c r="AS35" s="137">
        <v>88892.979888049464</v>
      </c>
      <c r="AT35" s="137">
        <v>88153.042258740839</v>
      </c>
      <c r="AU35" s="137">
        <v>86886.929871954009</v>
      </c>
      <c r="AV35" s="137">
        <v>87247.694430906631</v>
      </c>
      <c r="AW35" s="137">
        <v>87626.320131179426</v>
      </c>
      <c r="AX35" s="137">
        <v>89777.789117000444</v>
      </c>
      <c r="AY35" s="137">
        <v>91560.81533725193</v>
      </c>
      <c r="AZ35" s="137">
        <v>91590.492733857274</v>
      </c>
      <c r="BA35" s="137">
        <v>91641.112567338248</v>
      </c>
      <c r="BB35" s="137">
        <v>92317.589664854808</v>
      </c>
      <c r="BC35" s="137">
        <v>92572.899884387181</v>
      </c>
      <c r="BD35" s="137">
        <v>92967.924411428045</v>
      </c>
      <c r="BE35" s="137">
        <v>93040.158572074724</v>
      </c>
      <c r="BF35" s="137">
        <v>93420.02402610959</v>
      </c>
      <c r="BG35" s="137">
        <v>93534.58569968029</v>
      </c>
      <c r="BH35" s="137">
        <v>93816.4149817742</v>
      </c>
      <c r="BI35" s="137">
        <v>93998.484469233576</v>
      </c>
      <c r="BJ35" s="137">
        <v>94175.304080400296</v>
      </c>
      <c r="BK35" s="137">
        <v>94488.706783484027</v>
      </c>
      <c r="BL35" s="137">
        <v>94808.446612420899</v>
      </c>
      <c r="BM35" s="137">
        <v>95083.788896368802</v>
      </c>
      <c r="BN35" s="137">
        <v>95351.983146150538</v>
      </c>
      <c r="BO35" s="137">
        <v>95597.761658596326</v>
      </c>
      <c r="BP35" s="137">
        <v>95738.060702971416</v>
      </c>
      <c r="BQ35" s="137">
        <v>95858.130418855464</v>
      </c>
      <c r="BR35" s="137">
        <v>95971.908971398487</v>
      </c>
      <c r="BS35" s="137">
        <v>95977.749566955536</v>
      </c>
      <c r="BT35" s="137">
        <v>96079.500460233452</v>
      </c>
      <c r="BU35" s="137">
        <v>96165.288662308682</v>
      </c>
      <c r="BV35" s="137">
        <v>96276.542969391914</v>
      </c>
      <c r="BW35" s="137">
        <v>96360.688941117871</v>
      </c>
      <c r="BX35" s="137">
        <v>96505.575185860813</v>
      </c>
      <c r="BY35" s="137">
        <v>96662.346852264498</v>
      </c>
      <c r="BZ35" s="137">
        <v>96938.513011144387</v>
      </c>
      <c r="CA35" s="137">
        <v>97125.123236916523</v>
      </c>
      <c r="CB35" s="137">
        <v>97224.892524501716</v>
      </c>
      <c r="CC35" s="137">
        <v>97375.23834727853</v>
      </c>
      <c r="CD35" s="137">
        <v>97492.657221632413</v>
      </c>
      <c r="CE35" s="137">
        <v>97584.929218088146</v>
      </c>
      <c r="CF35" s="137">
        <v>97732.602971344197</v>
      </c>
      <c r="CG35" s="137">
        <v>97838.408992157158</v>
      </c>
      <c r="CH35" s="137">
        <v>97933.198189668416</v>
      </c>
      <c r="CI35" s="137">
        <v>98071.393056674075</v>
      </c>
      <c r="CJ35" s="137">
        <v>98108.877964321742</v>
      </c>
      <c r="CK35" s="137">
        <v>98177.570887908048</v>
      </c>
      <c r="CL35" s="137">
        <v>98305.669474026101</v>
      </c>
      <c r="CM35" s="137">
        <v>98353.823768798175</v>
      </c>
      <c r="CN35" s="137">
        <v>98432.515815449107</v>
      </c>
      <c r="CO35" s="137">
        <v>98507.23079590511</v>
      </c>
      <c r="CP35" s="137">
        <v>98579.192052168757</v>
      </c>
      <c r="CQ35" s="137">
        <v>98641.067434266064</v>
      </c>
      <c r="CR35" s="137">
        <v>98664.498407861596</v>
      </c>
      <c r="CS35" s="137">
        <v>98734.242734040396</v>
      </c>
      <c r="CT35" s="137">
        <v>98766.455584939074</v>
      </c>
      <c r="CU35" s="137">
        <v>98806.020974798419</v>
      </c>
      <c r="CV35" s="137">
        <v>98826.478758727375</v>
      </c>
      <c r="CW35" s="137">
        <v>98851.580247562466</v>
      </c>
      <c r="CX35" s="137">
        <v>98900.371925555519</v>
      </c>
      <c r="CY35" s="137">
        <v>98910.167013153201</v>
      </c>
      <c r="CZ35" s="137">
        <v>98926.279687022703</v>
      </c>
      <c r="DA35" s="137">
        <v>98933.405261612541</v>
      </c>
      <c r="DB35" s="137">
        <v>98980.923650917714</v>
      </c>
      <c r="DC35" s="137">
        <v>99007.139428644659</v>
      </c>
      <c r="DD35" s="137">
        <v>99023.474030679281</v>
      </c>
      <c r="DE35" s="137">
        <v>99044.866860535592</v>
      </c>
      <c r="DF35" s="137">
        <v>99097.461924946023</v>
      </c>
      <c r="DG35" s="137">
        <v>99105.171111601114</v>
      </c>
      <c r="DH35" s="137">
        <v>99127.344861615857</v>
      </c>
      <c r="DI35" s="137">
        <v>99129.244708553539</v>
      </c>
      <c r="DJ35" s="137">
        <v>99170.83889615869</v>
      </c>
      <c r="DK35" s="137">
        <v>99192.993929143529</v>
      </c>
      <c r="DL35" s="137">
        <v>99198.378632923865</v>
      </c>
      <c r="DM35" s="137">
        <v>99206.528085828002</v>
      </c>
      <c r="DN35" s="137">
        <v>99211.121696929113</v>
      </c>
      <c r="DO35" s="137">
        <v>99240.872935154111</v>
      </c>
      <c r="DP35" s="137">
        <f>(G_Kohorte_F!DP35+G_Kohorte_M!DP35)/2</f>
        <v>99267.542335063772</v>
      </c>
      <c r="DQ35" s="137">
        <f>(G_Kohorte_F!DQ35+G_Kohorte_M!DQ35)/2</f>
        <v>99276.900115861412</v>
      </c>
      <c r="DR35" s="137">
        <f>(G_Kohorte_F!DR35+G_Kohorte_M!DR35)/2</f>
        <v>99301.53927718979</v>
      </c>
      <c r="DS35" s="137">
        <f>(G_Kohorte_F!DS35+G_Kohorte_M!DS35)/2</f>
        <v>99312.966825049254</v>
      </c>
      <c r="DT35" s="137">
        <f>(G_Kohorte_F!DT35+G_Kohorte_M!DT35)/2</f>
        <v>99337.881966644927</v>
      </c>
      <c r="DU35" s="137">
        <f>(G_Kohorte_F!DU35+G_Kohorte_M!DU35)/2</f>
        <v>99361.854115243637</v>
      </c>
    </row>
    <row r="36" spans="1:125">
      <c r="A36" s="2348">
        <v>34</v>
      </c>
      <c r="B36" s="137"/>
      <c r="C36" s="137"/>
      <c r="D36" s="137"/>
      <c r="E36" s="137"/>
      <c r="F36" s="137"/>
      <c r="G36" s="137"/>
      <c r="H36" s="137"/>
      <c r="I36" s="137"/>
      <c r="J36" s="137"/>
      <c r="K36" s="137"/>
      <c r="L36" s="137"/>
      <c r="M36" s="137"/>
      <c r="N36" s="137"/>
      <c r="O36" s="137"/>
      <c r="P36" s="137"/>
      <c r="Q36" s="137"/>
      <c r="R36" s="137"/>
      <c r="S36" s="137"/>
      <c r="T36" s="137"/>
      <c r="U36" s="137"/>
      <c r="V36" s="137"/>
      <c r="W36" s="2342">
        <v>78484.5</v>
      </c>
      <c r="X36" s="2342">
        <v>79284</v>
      </c>
      <c r="Y36" s="137">
        <v>79421.188424249791</v>
      </c>
      <c r="Z36" s="137">
        <v>81581.654708502552</v>
      </c>
      <c r="AA36" s="137">
        <v>82007.372534207563</v>
      </c>
      <c r="AB36" s="137">
        <v>82658.496489901154</v>
      </c>
      <c r="AC36" s="137">
        <v>83522.419139171165</v>
      </c>
      <c r="AD36" s="137">
        <v>84504.903966139536</v>
      </c>
      <c r="AE36" s="137">
        <v>84472.277654470759</v>
      </c>
      <c r="AF36" s="137">
        <v>85727.740041593177</v>
      </c>
      <c r="AG36" s="137">
        <v>86179.4776975563</v>
      </c>
      <c r="AH36" s="137">
        <v>86500.49765016028</v>
      </c>
      <c r="AI36" s="137">
        <v>86835.064899481833</v>
      </c>
      <c r="AJ36" s="137">
        <v>88080.378004884231</v>
      </c>
      <c r="AK36" s="137">
        <v>88036.911812066333</v>
      </c>
      <c r="AL36" s="137">
        <v>88357.870430826995</v>
      </c>
      <c r="AM36" s="137">
        <v>88622.664644513003</v>
      </c>
      <c r="AN36" s="137">
        <v>89087.186447892804</v>
      </c>
      <c r="AO36" s="137">
        <v>89069.100113006454</v>
      </c>
      <c r="AP36" s="137">
        <v>89187.350193162041</v>
      </c>
      <c r="AQ36" s="137">
        <v>89263.935511169169</v>
      </c>
      <c r="AR36" s="137">
        <v>89310.325215883073</v>
      </c>
      <c r="AS36" s="137">
        <v>88774.061878369263</v>
      </c>
      <c r="AT36" s="137">
        <v>88035.811332352663</v>
      </c>
      <c r="AU36" s="137">
        <v>86771.760125355897</v>
      </c>
      <c r="AV36" s="137">
        <v>87135.117339185817</v>
      </c>
      <c r="AW36" s="137">
        <v>87524.378515578865</v>
      </c>
      <c r="AX36" s="137">
        <v>89679.277121834573</v>
      </c>
      <c r="AY36" s="137">
        <v>91457.593857484142</v>
      </c>
      <c r="AZ36" s="137">
        <v>91493.001107242977</v>
      </c>
      <c r="BA36" s="137">
        <v>91544.695629913069</v>
      </c>
      <c r="BB36" s="137">
        <v>92223.64823540338</v>
      </c>
      <c r="BC36" s="137">
        <v>92479.67174495064</v>
      </c>
      <c r="BD36" s="137">
        <v>92874.335788389028</v>
      </c>
      <c r="BE36" s="137">
        <v>92941.927806266947</v>
      </c>
      <c r="BF36" s="137">
        <v>93319.564156863664</v>
      </c>
      <c r="BG36" s="137">
        <v>93426.38043653981</v>
      </c>
      <c r="BH36" s="137">
        <v>93710.757067356695</v>
      </c>
      <c r="BI36" s="137">
        <v>93895.998067975044</v>
      </c>
      <c r="BJ36" s="137">
        <v>94068.005342322722</v>
      </c>
      <c r="BK36" s="137">
        <v>94394.449545306561</v>
      </c>
      <c r="BL36" s="137">
        <v>94716.908360176327</v>
      </c>
      <c r="BM36" s="137">
        <v>94999.55701503958</v>
      </c>
      <c r="BN36" s="137">
        <v>95273.131126944223</v>
      </c>
      <c r="BO36" s="137">
        <v>95528.408609443519</v>
      </c>
      <c r="BP36" s="137">
        <v>95665.988459008513</v>
      </c>
      <c r="BQ36" s="137">
        <v>95791.872838944051</v>
      </c>
      <c r="BR36" s="137">
        <v>95909.776469666438</v>
      </c>
      <c r="BS36" s="137">
        <v>95915.707997467252</v>
      </c>
      <c r="BT36" s="137">
        <v>96019.869732376712</v>
      </c>
      <c r="BU36" s="137">
        <v>96104.658588417704</v>
      </c>
      <c r="BV36" s="137">
        <v>96220.197530185207</v>
      </c>
      <c r="BW36" s="137">
        <v>96306.616993426695</v>
      </c>
      <c r="BX36" s="137">
        <v>96452.063597521657</v>
      </c>
      <c r="BY36" s="137">
        <v>96608.269209713617</v>
      </c>
      <c r="BZ36" s="137">
        <v>96886.634841714636</v>
      </c>
      <c r="CA36" s="137">
        <v>97065.639911417005</v>
      </c>
      <c r="CB36" s="137">
        <v>97170.898744948732</v>
      </c>
      <c r="CC36" s="137">
        <v>97322.411548714968</v>
      </c>
      <c r="CD36" s="137">
        <v>97438.55893699787</v>
      </c>
      <c r="CE36" s="137">
        <v>97532.87735156565</v>
      </c>
      <c r="CF36" s="137">
        <v>97680.33653433295</v>
      </c>
      <c r="CG36" s="137">
        <v>97786.411030055926</v>
      </c>
      <c r="CH36" s="137">
        <v>97876.573163848516</v>
      </c>
      <c r="CI36" s="137">
        <v>98019.508714726311</v>
      </c>
      <c r="CJ36" s="137">
        <v>98057.926927914741</v>
      </c>
      <c r="CK36" s="137">
        <v>98129.180666165019</v>
      </c>
      <c r="CL36" s="137">
        <v>98255.844518104015</v>
      </c>
      <c r="CM36" s="137">
        <v>98302.87306579476</v>
      </c>
      <c r="CN36" s="137">
        <v>98382.784356328775</v>
      </c>
      <c r="CO36" s="137">
        <v>98458.684476700262</v>
      </c>
      <c r="CP36" s="137">
        <v>98531.810811086994</v>
      </c>
      <c r="CQ36" s="137">
        <v>98594.825314934686</v>
      </c>
      <c r="CR36" s="137">
        <v>98619.390343634746</v>
      </c>
      <c r="CS36" s="137">
        <v>98690.215918504429</v>
      </c>
      <c r="CT36" s="137">
        <v>98723.502655613149</v>
      </c>
      <c r="CU36" s="137">
        <v>98764.110948968446</v>
      </c>
      <c r="CV36" s="137">
        <v>98785.594544003805</v>
      </c>
      <c r="CW36" s="137">
        <v>98811.698443411573</v>
      </c>
      <c r="CX36" s="137">
        <v>98861.454513048375</v>
      </c>
      <c r="CY36" s="137">
        <v>98872.208938270036</v>
      </c>
      <c r="CZ36" s="137">
        <v>98889.247787568573</v>
      </c>
      <c r="DA36" s="137">
        <v>98897.282975144888</v>
      </c>
      <c r="DB36" s="137">
        <v>98945.671549733292</v>
      </c>
      <c r="DC36" s="137">
        <v>98972.74765721208</v>
      </c>
      <c r="DD36" s="137">
        <v>98989.922682254401</v>
      </c>
      <c r="DE36" s="137">
        <v>99012.135049094271</v>
      </c>
      <c r="DF36" s="137">
        <v>99065.519656985765</v>
      </c>
      <c r="DG36" s="137">
        <v>99074.011270690244</v>
      </c>
      <c r="DH36" s="137">
        <v>99096.94609724512</v>
      </c>
      <c r="DI36" s="137">
        <v>99099.592749180098</v>
      </c>
      <c r="DJ36" s="137">
        <v>99141.904000628652</v>
      </c>
      <c r="DK36" s="137">
        <v>99164.765801804664</v>
      </c>
      <c r="DL36" s="137">
        <v>99170.844526104833</v>
      </c>
      <c r="DM36" s="137">
        <v>99179.668395600354</v>
      </c>
      <c r="DN36" s="137">
        <v>99184.922787512332</v>
      </c>
      <c r="DO36" s="137">
        <v>99215.311184167076</v>
      </c>
      <c r="DP36" s="137">
        <f>(G_Kohorte_F!DP36+G_Kohorte_M!DP36)/2</f>
        <v>99242.603674035432</v>
      </c>
      <c r="DQ36" s="137">
        <f>(G_Kohorte_F!DQ36+G_Kohorte_M!DQ36)/2</f>
        <v>99252.573203291351</v>
      </c>
      <c r="DR36" s="137">
        <f>(G_Kohorte_F!DR36+G_Kohorte_M!DR36)/2</f>
        <v>99277.804403107031</v>
      </c>
      <c r="DS36" s="137">
        <f>(G_Kohorte_F!DS36+G_Kohorte_M!DS36)/2</f>
        <v>99289.814397051799</v>
      </c>
      <c r="DT36" s="137">
        <f>(G_Kohorte_F!DT36+G_Kohorte_M!DT36)/2</f>
        <v>99315.293844658096</v>
      </c>
      <c r="DU36" s="137">
        <f>(G_Kohorte_F!DU36+G_Kohorte_M!DU36)/2</f>
        <v>99339.816771246871</v>
      </c>
    </row>
    <row r="37" spans="1:125">
      <c r="A37" s="2348">
        <v>35</v>
      </c>
      <c r="B37" s="137"/>
      <c r="C37" s="137"/>
      <c r="D37" s="137"/>
      <c r="E37" s="137"/>
      <c r="F37" s="137"/>
      <c r="G37" s="137"/>
      <c r="H37" s="137"/>
      <c r="I37" s="137"/>
      <c r="J37" s="137"/>
      <c r="K37" s="137"/>
      <c r="L37" s="137"/>
      <c r="M37" s="137"/>
      <c r="N37" s="137"/>
      <c r="O37" s="137"/>
      <c r="P37" s="137"/>
      <c r="Q37" s="137"/>
      <c r="R37" s="137"/>
      <c r="S37" s="137"/>
      <c r="T37" s="137"/>
      <c r="U37" s="137"/>
      <c r="V37" s="137"/>
      <c r="W37" s="2342">
        <v>78346</v>
      </c>
      <c r="X37" s="2342">
        <v>79146</v>
      </c>
      <c r="Y37" s="137">
        <v>79283.625063961372</v>
      </c>
      <c r="Z37" s="137">
        <v>81445.284358119607</v>
      </c>
      <c r="AA37" s="137">
        <v>81873.102735541514</v>
      </c>
      <c r="AB37" s="137">
        <v>82521.331768614531</v>
      </c>
      <c r="AC37" s="137">
        <v>83391.700481579028</v>
      </c>
      <c r="AD37" s="137">
        <v>84373.663323983346</v>
      </c>
      <c r="AE37" s="137">
        <v>84336.167805411154</v>
      </c>
      <c r="AF37" s="137">
        <v>85597.584698970051</v>
      </c>
      <c r="AG37" s="137">
        <v>86048.479430373089</v>
      </c>
      <c r="AH37" s="137">
        <v>86363.734149249853</v>
      </c>
      <c r="AI37" s="137">
        <v>86701.882410504069</v>
      </c>
      <c r="AJ37" s="137">
        <v>87958.375917508674</v>
      </c>
      <c r="AK37" s="137">
        <v>87897.756916366736</v>
      </c>
      <c r="AL37" s="137">
        <v>88229.009835476492</v>
      </c>
      <c r="AM37" s="137">
        <v>88495.635574286644</v>
      </c>
      <c r="AN37" s="137">
        <v>88960.356505222124</v>
      </c>
      <c r="AO37" s="137">
        <v>88941.431392415878</v>
      </c>
      <c r="AP37" s="137">
        <v>89058.069659905901</v>
      </c>
      <c r="AQ37" s="137">
        <v>89137.782392594439</v>
      </c>
      <c r="AR37" s="137">
        <v>89192.287723939517</v>
      </c>
      <c r="AS37" s="137">
        <v>88646.695642617051</v>
      </c>
      <c r="AT37" s="137">
        <v>87913.908804273378</v>
      </c>
      <c r="AU37" s="137">
        <v>86663.965924030941</v>
      </c>
      <c r="AV37" s="137">
        <v>87022.223950452855</v>
      </c>
      <c r="AW37" s="137">
        <v>87420.825456449165</v>
      </c>
      <c r="AX37" s="137">
        <v>89575.669014491374</v>
      </c>
      <c r="AY37" s="137">
        <v>91348.721124494856</v>
      </c>
      <c r="AZ37" s="137">
        <v>91391.482629718463</v>
      </c>
      <c r="BA37" s="137">
        <v>91437.888349938861</v>
      </c>
      <c r="BB37" s="137">
        <v>92121.809891520796</v>
      </c>
      <c r="BC37" s="137">
        <v>92379.750781547598</v>
      </c>
      <c r="BD37" s="137">
        <v>92771.044334377832</v>
      </c>
      <c r="BE37" s="137">
        <v>92830.739098094724</v>
      </c>
      <c r="BF37" s="137">
        <v>93204.401071807137</v>
      </c>
      <c r="BG37" s="137">
        <v>93311.344635922971</v>
      </c>
      <c r="BH37" s="137">
        <v>93601.298568622326</v>
      </c>
      <c r="BI37" s="137">
        <v>93786.964824221679</v>
      </c>
      <c r="BJ37" s="137">
        <v>93961.121327514571</v>
      </c>
      <c r="BK37" s="137">
        <v>94296.935255755845</v>
      </c>
      <c r="BL37" s="137">
        <v>94624.889378302119</v>
      </c>
      <c r="BM37" s="137">
        <v>94914.005172628327</v>
      </c>
      <c r="BN37" s="137">
        <v>95197.170310121786</v>
      </c>
      <c r="BO37" s="137">
        <v>95447.638520235472</v>
      </c>
      <c r="BP37" s="137">
        <v>95595.639842287972</v>
      </c>
      <c r="BQ37" s="137">
        <v>95723.122131006618</v>
      </c>
      <c r="BR37" s="137">
        <v>95839.783941230009</v>
      </c>
      <c r="BS37" s="137">
        <v>95847.940879416186</v>
      </c>
      <c r="BT37" s="137">
        <v>95959.727817751831</v>
      </c>
      <c r="BU37" s="137">
        <v>96043.230199057492</v>
      </c>
      <c r="BV37" s="137">
        <v>96160.025437795106</v>
      </c>
      <c r="BW37" s="137">
        <v>96250.448749352552</v>
      </c>
      <c r="BX37" s="137">
        <v>96395.651056536837</v>
      </c>
      <c r="BY37" s="137">
        <v>96546.233516120978</v>
      </c>
      <c r="BZ37" s="137">
        <v>96827.331116725225</v>
      </c>
      <c r="CA37" s="137">
        <v>97008.823999855318</v>
      </c>
      <c r="CB37" s="137">
        <v>97114.173978293285</v>
      </c>
      <c r="CC37" s="137">
        <v>97264.512026067154</v>
      </c>
      <c r="CD37" s="137">
        <v>97380.569716818092</v>
      </c>
      <c r="CE37" s="137">
        <v>97473.472069428797</v>
      </c>
      <c r="CF37" s="137">
        <v>97623.372943791852</v>
      </c>
      <c r="CG37" s="137">
        <v>97729.828099433129</v>
      </c>
      <c r="CH37" s="137">
        <v>97823.477717718793</v>
      </c>
      <c r="CI37" s="137">
        <v>97966.396176654787</v>
      </c>
      <c r="CJ37" s="137">
        <v>98002.771317637875</v>
      </c>
      <c r="CK37" s="137">
        <v>98071.552158076724</v>
      </c>
      <c r="CL37" s="137">
        <v>98199.731142166434</v>
      </c>
      <c r="CM37" s="137">
        <v>98248.096537191159</v>
      </c>
      <c r="CN37" s="137">
        <v>98329.295213513542</v>
      </c>
      <c r="CO37" s="137">
        <v>98406.44715172032</v>
      </c>
      <c r="CP37" s="137">
        <v>98480.804859688389</v>
      </c>
      <c r="CQ37" s="137">
        <v>98545.023874762002</v>
      </c>
      <c r="CR37" s="137">
        <v>98570.789056390204</v>
      </c>
      <c r="CS37" s="137">
        <v>98642.758915739832</v>
      </c>
      <c r="CT37" s="137">
        <v>98677.183031428518</v>
      </c>
      <c r="CU37" s="137">
        <v>98718.896283689144</v>
      </c>
      <c r="CV37" s="137">
        <v>98741.467376094224</v>
      </c>
      <c r="CW37" s="137">
        <v>98768.634493907797</v>
      </c>
      <c r="CX37" s="137">
        <v>98819.413633163989</v>
      </c>
      <c r="CY37" s="137">
        <v>98831.183517575395</v>
      </c>
      <c r="CZ37" s="137">
        <v>98849.20665372425</v>
      </c>
      <c r="DA37" s="137">
        <v>98858.209071591438</v>
      </c>
      <c r="DB37" s="137">
        <v>98907.523013997081</v>
      </c>
      <c r="DC37" s="137">
        <v>98935.514634020219</v>
      </c>
      <c r="DD37" s="137">
        <v>98953.584373423379</v>
      </c>
      <c r="DE37" s="137">
        <v>98976.669594010702</v>
      </c>
      <c r="DF37" s="137">
        <v>99030.895285057908</v>
      </c>
      <c r="DG37" s="137">
        <v>99040.220962681051</v>
      </c>
      <c r="DH37" s="137">
        <v>99063.967414011582</v>
      </c>
      <c r="DI37" s="137">
        <v>99067.410876331604</v>
      </c>
      <c r="DJ37" s="137">
        <v>99110.48732206304</v>
      </c>
      <c r="DK37" s="137">
        <v>99134.103792417387</v>
      </c>
      <c r="DL37" s="137">
        <v>99140.923969917727</v>
      </c>
      <c r="DM37" s="137">
        <v>99150.468593905709</v>
      </c>
      <c r="DN37" s="137">
        <v>99156.429532963346</v>
      </c>
      <c r="DO37" s="137">
        <v>99187.499364308838</v>
      </c>
      <c r="DP37" s="137">
        <f>(G_Kohorte_F!DP37+G_Kohorte_M!DP37)/2</f>
        <v>99215.458554825542</v>
      </c>
      <c r="DQ37" s="137">
        <f>(G_Kohorte_F!DQ37+G_Kohorte_M!DQ37)/2</f>
        <v>99226.08299330622</v>
      </c>
      <c r="DR37" s="137">
        <f>(G_Kohorte_F!DR37+G_Kohorte_M!DR37)/2</f>
        <v>99251.948174508696</v>
      </c>
      <c r="DS37" s="137">
        <f>(G_Kohorte_F!DS37+G_Kohorte_M!DS37)/2</f>
        <v>99264.582242003584</v>
      </c>
      <c r="DT37" s="137">
        <f>(G_Kohorte_F!DT37+G_Kohorte_M!DT37)/2</f>
        <v>99290.666504286462</v>
      </c>
      <c r="DU37" s="137">
        <f>(G_Kohorte_F!DU37+G_Kohorte_M!DU37)/2</f>
        <v>99315.779998574755</v>
      </c>
    </row>
    <row r="38" spans="1:125">
      <c r="A38" s="2348">
        <v>36</v>
      </c>
      <c r="B38" s="137"/>
      <c r="C38" s="137"/>
      <c r="D38" s="137"/>
      <c r="E38" s="137"/>
      <c r="F38" s="137"/>
      <c r="G38" s="137"/>
      <c r="H38" s="137"/>
      <c r="I38" s="137"/>
      <c r="J38" s="137"/>
      <c r="K38" s="137"/>
      <c r="L38" s="137"/>
      <c r="M38" s="137"/>
      <c r="N38" s="137"/>
      <c r="O38" s="137"/>
      <c r="P38" s="137"/>
      <c r="Q38" s="137"/>
      <c r="R38" s="137"/>
      <c r="S38" s="137"/>
      <c r="T38" s="137"/>
      <c r="U38" s="137"/>
      <c r="V38" s="137"/>
      <c r="W38" s="2342">
        <v>78197</v>
      </c>
      <c r="X38" s="2342">
        <v>79001.5</v>
      </c>
      <c r="Y38" s="137">
        <v>79140.470486692997</v>
      </c>
      <c r="Z38" s="137">
        <v>81295.18147213888</v>
      </c>
      <c r="AA38" s="137">
        <v>81728.878286802705</v>
      </c>
      <c r="AB38" s="137">
        <v>82380.081817208906</v>
      </c>
      <c r="AC38" s="137">
        <v>83252.019143128797</v>
      </c>
      <c r="AD38" s="137">
        <v>84227.070819678105</v>
      </c>
      <c r="AE38" s="137">
        <v>84195.098934803013</v>
      </c>
      <c r="AF38" s="137">
        <v>85455.892257923566</v>
      </c>
      <c r="AG38" s="137">
        <v>85912.481611826108</v>
      </c>
      <c r="AH38" s="137">
        <v>86225.287176416838</v>
      </c>
      <c r="AI38" s="137">
        <v>86562.333016545308</v>
      </c>
      <c r="AJ38" s="137">
        <v>87811.562752666883</v>
      </c>
      <c r="AK38" s="137">
        <v>87754.354399095944</v>
      </c>
      <c r="AL38" s="137">
        <v>88088.110754559355</v>
      </c>
      <c r="AM38" s="137">
        <v>88361.764533550566</v>
      </c>
      <c r="AN38" s="137">
        <v>88830.098917248833</v>
      </c>
      <c r="AO38" s="137">
        <v>88809.94479649495</v>
      </c>
      <c r="AP38" s="137">
        <v>88928.876598224015</v>
      </c>
      <c r="AQ38" s="137">
        <v>89008.528166740987</v>
      </c>
      <c r="AR38" s="137">
        <v>89057.662342130265</v>
      </c>
      <c r="AS38" s="137">
        <v>88517.218639752187</v>
      </c>
      <c r="AT38" s="137">
        <v>87792.838654262057</v>
      </c>
      <c r="AU38" s="137">
        <v>86547.006602814887</v>
      </c>
      <c r="AV38" s="137">
        <v>86903.348954537127</v>
      </c>
      <c r="AW38" s="137">
        <v>87308.463501134596</v>
      </c>
      <c r="AX38" s="137">
        <v>89463.979919692079</v>
      </c>
      <c r="AY38" s="137">
        <v>91237.553200506256</v>
      </c>
      <c r="AZ38" s="137">
        <v>91286.891656673659</v>
      </c>
      <c r="BA38" s="137">
        <v>91327.760751596536</v>
      </c>
      <c r="BB38" s="137">
        <v>92009.762922555397</v>
      </c>
      <c r="BC38" s="137">
        <v>92270.268606239508</v>
      </c>
      <c r="BD38" s="137">
        <v>92655.165246507997</v>
      </c>
      <c r="BE38" s="137">
        <v>92709.573591830704</v>
      </c>
      <c r="BF38" s="137">
        <v>93081.690884650205</v>
      </c>
      <c r="BG38" s="137">
        <v>93194.171089866795</v>
      </c>
      <c r="BH38" s="137">
        <v>93490.149402093492</v>
      </c>
      <c r="BI38" s="137">
        <v>93675.399270153168</v>
      </c>
      <c r="BJ38" s="137">
        <v>93855.016250850924</v>
      </c>
      <c r="BK38" s="137">
        <v>94194.209165937325</v>
      </c>
      <c r="BL38" s="137">
        <v>94528.138810386561</v>
      </c>
      <c r="BM38" s="137">
        <v>94830.802387231481</v>
      </c>
      <c r="BN38" s="137">
        <v>95117.253138870001</v>
      </c>
      <c r="BO38" s="137">
        <v>95365.731476017638</v>
      </c>
      <c r="BP38" s="137">
        <v>95517.83410709961</v>
      </c>
      <c r="BQ38" s="137">
        <v>95644.446789275753</v>
      </c>
      <c r="BR38" s="137">
        <v>95766.789779924235</v>
      </c>
      <c r="BS38" s="137">
        <v>95778.886346526531</v>
      </c>
      <c r="BT38" s="137">
        <v>95894.801511945814</v>
      </c>
      <c r="BU38" s="137">
        <v>95978.109777307574</v>
      </c>
      <c r="BV38" s="137">
        <v>96099.334291096093</v>
      </c>
      <c r="BW38" s="137">
        <v>96185.949840614368</v>
      </c>
      <c r="BX38" s="137">
        <v>96332.04514606978</v>
      </c>
      <c r="BY38" s="137">
        <v>96490.613645267382</v>
      </c>
      <c r="BZ38" s="137">
        <v>96767.965135759528</v>
      </c>
      <c r="CA38" s="137">
        <v>96945.454801583808</v>
      </c>
      <c r="CB38" s="137">
        <v>97054.658542225283</v>
      </c>
      <c r="CC38" s="137">
        <v>97202.068406120437</v>
      </c>
      <c r="CD38" s="137">
        <v>97316.072530552381</v>
      </c>
      <c r="CE38" s="137">
        <v>97413.887260327523</v>
      </c>
      <c r="CF38" s="137">
        <v>97564.262919431305</v>
      </c>
      <c r="CG38" s="137">
        <v>97674.721411553866</v>
      </c>
      <c r="CH38" s="137">
        <v>97760.290337954153</v>
      </c>
      <c r="CI38" s="137">
        <v>97908.237068567731</v>
      </c>
      <c r="CJ38" s="137">
        <v>97937.908835902068</v>
      </c>
      <c r="CK38" s="137">
        <v>98009.74304976243</v>
      </c>
      <c r="CL38" s="137">
        <v>98139.31337718232</v>
      </c>
      <c r="CM38" s="137">
        <v>98189.092632399523</v>
      </c>
      <c r="CN38" s="137">
        <v>98271.653127522994</v>
      </c>
      <c r="CO38" s="137">
        <v>98350.129672658106</v>
      </c>
      <c r="CP38" s="137">
        <v>98425.791190656222</v>
      </c>
      <c r="CQ38" s="137">
        <v>98491.286154781963</v>
      </c>
      <c r="CR38" s="137">
        <v>98518.323765712092</v>
      </c>
      <c r="CS38" s="137">
        <v>98591.506791208594</v>
      </c>
      <c r="CT38" s="137">
        <v>98627.137710357332</v>
      </c>
      <c r="CU38" s="137">
        <v>98670.023767712381</v>
      </c>
      <c r="CV38" s="137">
        <v>98693.749820664278</v>
      </c>
      <c r="CW38" s="137">
        <v>98722.046695006255</v>
      </c>
      <c r="CX38" s="137">
        <v>98773.910234744195</v>
      </c>
      <c r="CY38" s="137">
        <v>98786.760751141934</v>
      </c>
      <c r="CZ38" s="137">
        <v>98805.83161872848</v>
      </c>
      <c r="DA38" s="137">
        <v>98815.864213007997</v>
      </c>
      <c r="DB38" s="137">
        <v>98866.163783744472</v>
      </c>
      <c r="DC38" s="137">
        <v>98895.131231113541</v>
      </c>
      <c r="DD38" s="137">
        <v>98914.155025839631</v>
      </c>
      <c r="DE38" s="137">
        <v>98938.171398241946</v>
      </c>
      <c r="DF38" s="137">
        <v>98993.294528028637</v>
      </c>
      <c r="DG38" s="137">
        <v>99003.510747069697</v>
      </c>
      <c r="DH38" s="137">
        <v>99028.124135651131</v>
      </c>
      <c r="DI38" s="137">
        <v>99032.41913460473</v>
      </c>
      <c r="DJ38" s="137">
        <v>99076.313447513559</v>
      </c>
      <c r="DK38" s="137">
        <v>99100.737042183726</v>
      </c>
      <c r="DL38" s="137">
        <v>99108.350633565613</v>
      </c>
      <c r="DM38" s="137">
        <v>99118.666770710697</v>
      </c>
      <c r="DN38" s="137">
        <v>99125.384419608017</v>
      </c>
      <c r="DO38" s="137">
        <v>99157.184211009357</v>
      </c>
      <c r="DP38" s="137">
        <f>(G_Kohorte_F!DP38+G_Kohorte_M!DP38)/2</f>
        <v>99185.857916885754</v>
      </c>
      <c r="DQ38" s="137">
        <f>(G_Kohorte_F!DQ38+G_Kohorte_M!DQ38)/2</f>
        <v>99197.184601175832</v>
      </c>
      <c r="DR38" s="137">
        <f>(G_Kohorte_F!DR38+G_Kohorte_M!DR38)/2</f>
        <v>99223.729762654984</v>
      </c>
      <c r="DS38" s="137">
        <f>(G_Kohorte_F!DS38+G_Kohorte_M!DS38)/2</f>
        <v>99237.033587717655</v>
      </c>
      <c r="DT38" s="137">
        <f>(G_Kohorte_F!DT38+G_Kohorte_M!DT38)/2</f>
        <v>99263.767121482553</v>
      </c>
      <c r="DU38" s="137">
        <f>(G_Kohorte_F!DU38+G_Kohorte_M!DU38)/2</f>
        <v>99289.514863252843</v>
      </c>
    </row>
    <row r="39" spans="1:125">
      <c r="A39" s="2348">
        <v>37</v>
      </c>
      <c r="B39" s="137"/>
      <c r="C39" s="137"/>
      <c r="D39" s="137"/>
      <c r="E39" s="137"/>
      <c r="F39" s="137"/>
      <c r="G39" s="137"/>
      <c r="H39" s="137"/>
      <c r="I39" s="137"/>
      <c r="J39" s="137"/>
      <c r="K39" s="137"/>
      <c r="L39" s="137"/>
      <c r="M39" s="137"/>
      <c r="N39" s="137"/>
      <c r="O39" s="137"/>
      <c r="P39" s="137"/>
      <c r="Q39" s="137"/>
      <c r="R39" s="137"/>
      <c r="S39" s="137"/>
      <c r="T39" s="137"/>
      <c r="U39" s="137"/>
      <c r="V39" s="137"/>
      <c r="W39" s="2342">
        <v>78043.5</v>
      </c>
      <c r="X39" s="2342">
        <v>78853</v>
      </c>
      <c r="Y39" s="137">
        <v>78984.0427827331</v>
      </c>
      <c r="Z39" s="137">
        <v>81144.471852316376</v>
      </c>
      <c r="AA39" s="137">
        <v>81577.555257995642</v>
      </c>
      <c r="AB39" s="137">
        <v>82239.079911308232</v>
      </c>
      <c r="AC39" s="137">
        <v>83106.175075497886</v>
      </c>
      <c r="AD39" s="137">
        <v>84079.969129863894</v>
      </c>
      <c r="AE39" s="137">
        <v>84054.214377461351</v>
      </c>
      <c r="AF39" s="137">
        <v>85302.580854562853</v>
      </c>
      <c r="AG39" s="137">
        <v>85761.028767663898</v>
      </c>
      <c r="AH39" s="137">
        <v>86078.58220782128</v>
      </c>
      <c r="AI39" s="137">
        <v>86412.632828503672</v>
      </c>
      <c r="AJ39" s="137">
        <v>87661.751185386398</v>
      </c>
      <c r="AK39" s="137">
        <v>87608.1878235365</v>
      </c>
      <c r="AL39" s="137">
        <v>87935.981145940896</v>
      </c>
      <c r="AM39" s="137">
        <v>88222.245653947903</v>
      </c>
      <c r="AN39" s="137">
        <v>88683.833248942334</v>
      </c>
      <c r="AO39" s="137">
        <v>88659.12929176382</v>
      </c>
      <c r="AP39" s="137">
        <v>88788.405704686011</v>
      </c>
      <c r="AQ39" s="137">
        <v>88868.509140702168</v>
      </c>
      <c r="AR39" s="137">
        <v>88922.27538465301</v>
      </c>
      <c r="AS39" s="137">
        <v>88385.273022090492</v>
      </c>
      <c r="AT39" s="137">
        <v>87666.114813720036</v>
      </c>
      <c r="AU39" s="137">
        <v>86421.393643432384</v>
      </c>
      <c r="AV39" s="137">
        <v>86779.735969922884</v>
      </c>
      <c r="AW39" s="137">
        <v>87189.286389981105</v>
      </c>
      <c r="AX39" s="137">
        <v>89350.634427077515</v>
      </c>
      <c r="AY39" s="137">
        <v>91121.299746360426</v>
      </c>
      <c r="AZ39" s="137">
        <v>91172.567585900426</v>
      </c>
      <c r="BA39" s="137">
        <v>91211.575537830271</v>
      </c>
      <c r="BB39" s="137">
        <v>91886.689825088339</v>
      </c>
      <c r="BC39" s="137">
        <v>92144.286361156992</v>
      </c>
      <c r="BD39" s="137">
        <v>92523.192291752304</v>
      </c>
      <c r="BE39" s="137">
        <v>92577.63329108982</v>
      </c>
      <c r="BF39" s="137">
        <v>92960.239644787362</v>
      </c>
      <c r="BG39" s="137">
        <v>93066.691481585207</v>
      </c>
      <c r="BH39" s="137">
        <v>93366.703852987674</v>
      </c>
      <c r="BI39" s="137">
        <v>93559.019700695557</v>
      </c>
      <c r="BJ39" s="137">
        <v>93748.387356141713</v>
      </c>
      <c r="BK39" s="137">
        <v>94087.476541476004</v>
      </c>
      <c r="BL39" s="137">
        <v>94430.429027763836</v>
      </c>
      <c r="BM39" s="137">
        <v>94737.644825592055</v>
      </c>
      <c r="BN39" s="137">
        <v>95029.411119663113</v>
      </c>
      <c r="BO39" s="137">
        <v>95280.142665097548</v>
      </c>
      <c r="BP39" s="137">
        <v>95432.52578414767</v>
      </c>
      <c r="BQ39" s="137">
        <v>95566.868992940959</v>
      </c>
      <c r="BR39" s="137">
        <v>95690.74385408641</v>
      </c>
      <c r="BS39" s="137">
        <v>95708.056595067639</v>
      </c>
      <c r="BT39" s="137">
        <v>95826.339660224694</v>
      </c>
      <c r="BU39" s="137">
        <v>95911.97527147294</v>
      </c>
      <c r="BV39" s="137">
        <v>96033.868226890161</v>
      </c>
      <c r="BW39" s="137">
        <v>96118.077570428926</v>
      </c>
      <c r="BX39" s="137">
        <v>96267.491243205179</v>
      </c>
      <c r="BY39" s="137">
        <v>96426.18989578358</v>
      </c>
      <c r="BZ39" s="137">
        <v>96703.852990331216</v>
      </c>
      <c r="CA39" s="137">
        <v>96881.191420928313</v>
      </c>
      <c r="CB39" s="137">
        <v>96987.94744891458</v>
      </c>
      <c r="CC39" s="137">
        <v>97138.000557327265</v>
      </c>
      <c r="CD39" s="137">
        <v>97250.030659171403</v>
      </c>
      <c r="CE39" s="137">
        <v>97351.997933966428</v>
      </c>
      <c r="CF39" s="137">
        <v>97496.533471947143</v>
      </c>
      <c r="CG39" s="137">
        <v>97607.007301831938</v>
      </c>
      <c r="CH39" s="137">
        <v>97696.6119729942</v>
      </c>
      <c r="CI39" s="137">
        <v>97837.019640945931</v>
      </c>
      <c r="CJ39" s="137">
        <v>97869.809073341501</v>
      </c>
      <c r="CK39" s="137">
        <v>97943.193884043649</v>
      </c>
      <c r="CL39" s="137">
        <v>98074.234457267215</v>
      </c>
      <c r="CM39" s="137">
        <v>98125.509578659141</v>
      </c>
      <c r="CN39" s="137">
        <v>98209.51114964814</v>
      </c>
      <c r="CO39" s="137">
        <v>98289.389807570216</v>
      </c>
      <c r="CP39" s="137">
        <v>98366.432317474886</v>
      </c>
      <c r="CQ39" s="137">
        <v>98433.279367850861</v>
      </c>
      <c r="CR39" s="137">
        <v>98461.666508033784</v>
      </c>
      <c r="CS39" s="137">
        <v>98536.13615121445</v>
      </c>
      <c r="CT39" s="137">
        <v>98573.047961840261</v>
      </c>
      <c r="CU39" s="137">
        <v>98617.179237736636</v>
      </c>
      <c r="CV39" s="137">
        <v>98642.13229153218</v>
      </c>
      <c r="CW39" s="137">
        <v>98671.627323989669</v>
      </c>
      <c r="CX39" s="137">
        <v>98724.644097205062</v>
      </c>
      <c r="CY39" s="137">
        <v>98738.644791319675</v>
      </c>
      <c r="CZ39" s="137">
        <v>98758.831098128809</v>
      </c>
      <c r="DA39" s="137">
        <v>98769.961085628034</v>
      </c>
      <c r="DB39" s="137">
        <v>98821.310620642922</v>
      </c>
      <c r="DC39" s="137">
        <v>98851.31834106661</v>
      </c>
      <c r="DD39" s="137">
        <v>98871.359616783884</v>
      </c>
      <c r="DE39" s="137">
        <v>98896.369476620428</v>
      </c>
      <c r="DF39" s="137">
        <v>98952.450307080915</v>
      </c>
      <c r="DG39" s="137">
        <v>98963.617500134744</v>
      </c>
      <c r="DH39" s="137">
        <v>98989.157033889322</v>
      </c>
      <c r="DI39" s="137">
        <v>98994.362175727612</v>
      </c>
      <c r="DJ39" s="137">
        <v>99039.130762286019</v>
      </c>
      <c r="DK39" s="137">
        <v>99064.417691816547</v>
      </c>
      <c r="DL39" s="137">
        <v>99072.880406327575</v>
      </c>
      <c r="DM39" s="137">
        <v>99084.022488184448</v>
      </c>
      <c r="DN39" s="137">
        <v>99091.550668583426</v>
      </c>
      <c r="DO39" s="137">
        <v>99124.132487559342</v>
      </c>
      <c r="DP39" s="137">
        <f>(G_Kohorte_F!DP39+G_Kohorte_M!DP39)/2</f>
        <v>99153.572036571757</v>
      </c>
      <c r="DQ39" s="137">
        <f>(G_Kohorte_F!DQ39+G_Kohorte_M!DQ39)/2</f>
        <v>99165.651806358015</v>
      </c>
      <c r="DR39" s="137">
        <f>(G_Kohorte_F!DR39+G_Kohorte_M!DR39)/2</f>
        <v>99192.926357392309</v>
      </c>
      <c r="DS39" s="137">
        <f>(G_Kohorte_F!DS39+G_Kohorte_M!DS39)/2</f>
        <v>99206.94904232191</v>
      </c>
      <c r="DT39" s="137">
        <f>(G_Kohorte_F!DT39+G_Kohorte_M!DT39)/2</f>
        <v>99234.379638693237</v>
      </c>
      <c r="DU39" s="137">
        <f>(G_Kohorte_F!DU39+G_Kohorte_M!DU39)/2</f>
        <v>99260.808601244353</v>
      </c>
    </row>
    <row r="40" spans="1:125">
      <c r="A40" s="2348">
        <v>38</v>
      </c>
      <c r="B40" s="137"/>
      <c r="C40" s="137"/>
      <c r="D40" s="137"/>
      <c r="E40" s="137"/>
      <c r="F40" s="137"/>
      <c r="G40" s="137"/>
      <c r="H40" s="137"/>
      <c r="I40" s="137"/>
      <c r="J40" s="137"/>
      <c r="K40" s="137"/>
      <c r="L40" s="137"/>
      <c r="M40" s="137"/>
      <c r="N40" s="137"/>
      <c r="O40" s="137"/>
      <c r="P40" s="137"/>
      <c r="Q40" s="137"/>
      <c r="R40" s="137"/>
      <c r="S40" s="137"/>
      <c r="T40" s="137"/>
      <c r="U40" s="137"/>
      <c r="V40" s="137"/>
      <c r="W40" s="2342">
        <v>77882</v>
      </c>
      <c r="X40" s="2342">
        <v>78695</v>
      </c>
      <c r="Y40" s="137">
        <v>78825.591583209811</v>
      </c>
      <c r="Z40" s="137">
        <v>80988.165905835456</v>
      </c>
      <c r="AA40" s="137">
        <v>81415.292071286676</v>
      </c>
      <c r="AB40" s="137">
        <v>82081.373421301469</v>
      </c>
      <c r="AC40" s="137">
        <v>82947.805711283538</v>
      </c>
      <c r="AD40" s="137">
        <v>83911.617532913719</v>
      </c>
      <c r="AE40" s="137">
        <v>83890.46260229341</v>
      </c>
      <c r="AF40" s="137">
        <v>85144.931404201838</v>
      </c>
      <c r="AG40" s="137">
        <v>85600.401561561506</v>
      </c>
      <c r="AH40" s="137">
        <v>85909.79146023051</v>
      </c>
      <c r="AI40" s="137">
        <v>86244.934529196529</v>
      </c>
      <c r="AJ40" s="137">
        <v>87490.266362916402</v>
      </c>
      <c r="AK40" s="137">
        <v>87443.995859697898</v>
      </c>
      <c r="AL40" s="137">
        <v>87781.391402726571</v>
      </c>
      <c r="AM40" s="137">
        <v>88067.094593727466</v>
      </c>
      <c r="AN40" s="137">
        <v>88533.51014482684</v>
      </c>
      <c r="AO40" s="137">
        <v>88505.560695607914</v>
      </c>
      <c r="AP40" s="137">
        <v>88634.036473374479</v>
      </c>
      <c r="AQ40" s="137">
        <v>88716.836446030153</v>
      </c>
      <c r="AR40" s="137">
        <v>88776.727381197677</v>
      </c>
      <c r="AS40" s="137">
        <v>88241.429383218492</v>
      </c>
      <c r="AT40" s="137">
        <v>87521.671981138265</v>
      </c>
      <c r="AU40" s="137">
        <v>86287.94925072405</v>
      </c>
      <c r="AV40" s="137">
        <v>86649.395076595771</v>
      </c>
      <c r="AW40" s="137">
        <v>87061.606013344019</v>
      </c>
      <c r="AX40" s="137">
        <v>89228.268367097116</v>
      </c>
      <c r="AY40" s="137">
        <v>90994.724499096803</v>
      </c>
      <c r="AZ40" s="137">
        <v>91045.238530677845</v>
      </c>
      <c r="BA40" s="137">
        <v>91087.354338406003</v>
      </c>
      <c r="BB40" s="137">
        <v>91753.420290212147</v>
      </c>
      <c r="BC40" s="137">
        <v>91996.51056635438</v>
      </c>
      <c r="BD40" s="137">
        <v>92382.583571091585</v>
      </c>
      <c r="BE40" s="137">
        <v>92438.934940925348</v>
      </c>
      <c r="BF40" s="137">
        <v>92824.358911463758</v>
      </c>
      <c r="BG40" s="137">
        <v>92932.061362136577</v>
      </c>
      <c r="BH40" s="137">
        <v>93242.070996484748</v>
      </c>
      <c r="BI40" s="137">
        <v>93436.783477652381</v>
      </c>
      <c r="BJ40" s="137">
        <v>93638.202001350423</v>
      </c>
      <c r="BK40" s="137">
        <v>93978.163130646091</v>
      </c>
      <c r="BL40" s="137">
        <v>94330.129917513608</v>
      </c>
      <c r="BM40" s="137">
        <v>94639.731738383372</v>
      </c>
      <c r="BN40" s="137">
        <v>94934.1923018175</v>
      </c>
      <c r="BO40" s="137">
        <v>95191.489305845244</v>
      </c>
      <c r="BP40" s="137">
        <v>95347.81482522274</v>
      </c>
      <c r="BQ40" s="137">
        <v>95485.679188808921</v>
      </c>
      <c r="BR40" s="137">
        <v>95615.461791583017</v>
      </c>
      <c r="BS40" s="137">
        <v>95632.2064671712</v>
      </c>
      <c r="BT40" s="137">
        <v>95755.642006573471</v>
      </c>
      <c r="BU40" s="137">
        <v>95837.77085095743</v>
      </c>
      <c r="BV40" s="137">
        <v>95964.682526831573</v>
      </c>
      <c r="BW40" s="137">
        <v>96043.108645967674</v>
      </c>
      <c r="BX40" s="137">
        <v>96197.855228692802</v>
      </c>
      <c r="BY40" s="137">
        <v>96359.471656273236</v>
      </c>
      <c r="BZ40" s="137">
        <v>96640.161143228266</v>
      </c>
      <c r="CA40" s="137">
        <v>96816.887823423545</v>
      </c>
      <c r="CB40" s="137">
        <v>96916.346907048064</v>
      </c>
      <c r="CC40" s="137">
        <v>97066.048439115752</v>
      </c>
      <c r="CD40" s="137">
        <v>97178.726801048673</v>
      </c>
      <c r="CE40" s="137">
        <v>97281.342502387997</v>
      </c>
      <c r="CF40" s="137">
        <v>97422.948165877111</v>
      </c>
      <c r="CG40" s="137">
        <v>97526.412781553663</v>
      </c>
      <c r="CH40" s="137">
        <v>97619.099556814588</v>
      </c>
      <c r="CI40" s="137">
        <v>97762.111202651082</v>
      </c>
      <c r="CJ40" s="137">
        <v>97796.60606657312</v>
      </c>
      <c r="CK40" s="137">
        <v>97871.627831820311</v>
      </c>
      <c r="CL40" s="137">
        <v>98004.220274951324</v>
      </c>
      <c r="CM40" s="137">
        <v>98057.076222289397</v>
      </c>
      <c r="CN40" s="137">
        <v>98142.600982790143</v>
      </c>
      <c r="CO40" s="137">
        <v>98223.962099173659</v>
      </c>
      <c r="CP40" s="137">
        <v>98302.465642970608</v>
      </c>
      <c r="CQ40" s="137">
        <v>98370.743786079343</v>
      </c>
      <c r="CR40" s="137">
        <v>98400.560529498034</v>
      </c>
      <c r="CS40" s="137">
        <v>98476.39306952263</v>
      </c>
      <c r="CT40" s="137">
        <v>98514.662778813072</v>
      </c>
      <c r="CU40" s="137">
        <v>98560.114567796118</v>
      </c>
      <c r="CV40" s="137">
        <v>98586.366949122516</v>
      </c>
      <c r="CW40" s="137">
        <v>98617.134303930885</v>
      </c>
      <c r="CX40" s="137">
        <v>98671.37583876081</v>
      </c>
      <c r="CY40" s="137">
        <v>98686.599046877411</v>
      </c>
      <c r="CZ40" s="137">
        <v>98707.97125008906</v>
      </c>
      <c r="DA40" s="137">
        <v>98720.268615525667</v>
      </c>
      <c r="DB40" s="137">
        <v>98772.735101163591</v>
      </c>
      <c r="DC40" s="137">
        <v>98803.850241622262</v>
      </c>
      <c r="DD40" s="137">
        <v>98824.975124361197</v>
      </c>
      <c r="DE40" s="137">
        <v>98851.043486707844</v>
      </c>
      <c r="DF40" s="137">
        <v>98908.144875646176</v>
      </c>
      <c r="DG40" s="137">
        <v>98920.326144928025</v>
      </c>
      <c r="DH40" s="137">
        <v>98946.853663335176</v>
      </c>
      <c r="DI40" s="137">
        <v>98953.030204126204</v>
      </c>
      <c r="DJ40" s="137">
        <v>98998.73202035448</v>
      </c>
      <c r="DK40" s="137">
        <v>99024.941075610637</v>
      </c>
      <c r="DL40" s="137">
        <v>99034.311218391114</v>
      </c>
      <c r="DM40" s="137">
        <v>99046.336238880074</v>
      </c>
      <c r="DN40" s="137">
        <v>99054.731332423049</v>
      </c>
      <c r="DO40" s="137">
        <v>99088.14973283268</v>
      </c>
      <c r="DP40" s="137">
        <f>(G_Kohorte_F!DP40+G_Kohorte_M!DP40)/2</f>
        <v>99118.408929725061</v>
      </c>
      <c r="DQ40" s="137">
        <f>(G_Kohorte_F!DQ40+G_Kohorte_M!DQ40)/2</f>
        <v>99131.295113384636</v>
      </c>
      <c r="DR40" s="137">
        <f>(G_Kohorte_F!DR40+G_Kohorte_M!DR40)/2</f>
        <v>99159.350897134515</v>
      </c>
      <c r="DS40" s="137">
        <f>(G_Kohorte_F!DS40+G_Kohorte_M!DS40)/2</f>
        <v>99174.143992607016</v>
      </c>
      <c r="DT40" s="137">
        <f>(G_Kohorte_F!DT40+G_Kohorte_M!DT40)/2</f>
        <v>99202.321841265744</v>
      </c>
      <c r="DU40" s="137">
        <f>(G_Kohorte_F!DU40+G_Kohorte_M!DU40)/2</f>
        <v>99229.481378107492</v>
      </c>
    </row>
    <row r="41" spans="1:125">
      <c r="A41" s="2348">
        <v>39</v>
      </c>
      <c r="B41" s="137"/>
      <c r="C41" s="137"/>
      <c r="D41" s="137"/>
      <c r="E41" s="137"/>
      <c r="F41" s="137"/>
      <c r="G41" s="137"/>
      <c r="H41" s="137"/>
      <c r="I41" s="137"/>
      <c r="J41" s="137"/>
      <c r="K41" s="137"/>
      <c r="L41" s="137"/>
      <c r="M41" s="137"/>
      <c r="N41" s="137"/>
      <c r="O41" s="137"/>
      <c r="P41" s="137"/>
      <c r="Q41" s="137"/>
      <c r="R41" s="137"/>
      <c r="S41" s="137"/>
      <c r="T41" s="137"/>
      <c r="U41" s="137"/>
      <c r="V41" s="137"/>
      <c r="W41" s="2342">
        <v>77715</v>
      </c>
      <c r="X41" s="2342">
        <v>78528</v>
      </c>
      <c r="Y41" s="137">
        <v>78664.865290012123</v>
      </c>
      <c r="Z41" s="137">
        <v>80820.850275227043</v>
      </c>
      <c r="AA41" s="137">
        <v>81248.792898604239</v>
      </c>
      <c r="AB41" s="137">
        <v>81919.834112422963</v>
      </c>
      <c r="AC41" s="137">
        <v>82784.692258995346</v>
      </c>
      <c r="AD41" s="137">
        <v>83735.833618356206</v>
      </c>
      <c r="AE41" s="137">
        <v>83718.681888034509</v>
      </c>
      <c r="AF41" s="137">
        <v>84968.185866123124</v>
      </c>
      <c r="AG41" s="137">
        <v>85415.519414445793</v>
      </c>
      <c r="AH41" s="137">
        <v>85729.068960881079</v>
      </c>
      <c r="AI41" s="137">
        <v>86066.091814384621</v>
      </c>
      <c r="AJ41" s="137">
        <v>87309.399688220321</v>
      </c>
      <c r="AK41" s="137">
        <v>87274.146341451706</v>
      </c>
      <c r="AL41" s="137">
        <v>87611.625012973789</v>
      </c>
      <c r="AM41" s="137">
        <v>87892.483592776989</v>
      </c>
      <c r="AN41" s="137">
        <v>88368.5842451848</v>
      </c>
      <c r="AO41" s="137">
        <v>88343.284467392499</v>
      </c>
      <c r="AP41" s="137">
        <v>88474.990903788275</v>
      </c>
      <c r="AQ41" s="137">
        <v>88559.023510766347</v>
      </c>
      <c r="AR41" s="137">
        <v>88623.957561863383</v>
      </c>
      <c r="AS41" s="137">
        <v>88087.333343194652</v>
      </c>
      <c r="AT41" s="137">
        <v>87377.97832664795</v>
      </c>
      <c r="AU41" s="137">
        <v>86138.126071683306</v>
      </c>
      <c r="AV41" s="137">
        <v>86508.577497780279</v>
      </c>
      <c r="AW41" s="137">
        <v>86920.914742362918</v>
      </c>
      <c r="AX41" s="137">
        <v>89097.173135263554</v>
      </c>
      <c r="AY41" s="137">
        <v>90860.070154892019</v>
      </c>
      <c r="AZ41" s="137">
        <v>90903.97352038289</v>
      </c>
      <c r="BA41" s="137">
        <v>90948.004273016835</v>
      </c>
      <c r="BB41" s="137">
        <v>91602.963530665686</v>
      </c>
      <c r="BC41" s="137">
        <v>91840.957480228535</v>
      </c>
      <c r="BD41" s="137">
        <v>92230.753495116194</v>
      </c>
      <c r="BE41" s="137">
        <v>92300.411549620592</v>
      </c>
      <c r="BF41" s="137">
        <v>92687.267668552522</v>
      </c>
      <c r="BG41" s="137">
        <v>92789.445995928982</v>
      </c>
      <c r="BH41" s="137">
        <v>93112.124311355583</v>
      </c>
      <c r="BI41" s="137">
        <v>93315.263437653615</v>
      </c>
      <c r="BJ41" s="137">
        <v>93527.506109171605</v>
      </c>
      <c r="BK41" s="137">
        <v>93861.552360322574</v>
      </c>
      <c r="BL41" s="137">
        <v>94218.731724684767</v>
      </c>
      <c r="BM41" s="137">
        <v>94537.732273385176</v>
      </c>
      <c r="BN41" s="137">
        <v>94833.155305481749</v>
      </c>
      <c r="BO41" s="137">
        <v>95096.494079737284</v>
      </c>
      <c r="BP41" s="137">
        <v>95257.110728396889</v>
      </c>
      <c r="BQ41" s="137">
        <v>95401.462774839631</v>
      </c>
      <c r="BR41" s="137">
        <v>95534.477760651032</v>
      </c>
      <c r="BS41" s="137">
        <v>95553.02401468312</v>
      </c>
      <c r="BT41" s="137">
        <v>95674.550095562197</v>
      </c>
      <c r="BU41" s="137">
        <v>95756.940330135811</v>
      </c>
      <c r="BV41" s="137">
        <v>95881.323223324114</v>
      </c>
      <c r="BW41" s="137">
        <v>95970.69690181184</v>
      </c>
      <c r="BX41" s="137">
        <v>96121.610070176597</v>
      </c>
      <c r="BY41" s="137">
        <v>96279.63111025028</v>
      </c>
      <c r="BZ41" s="137">
        <v>96563.191059639532</v>
      </c>
      <c r="CA41" s="137">
        <v>96738.988753792073</v>
      </c>
      <c r="CB41" s="137">
        <v>96835.127577397536</v>
      </c>
      <c r="CC41" s="137">
        <v>96985.302614835993</v>
      </c>
      <c r="CD41" s="137">
        <v>97103.763742103285</v>
      </c>
      <c r="CE41" s="137">
        <v>97204.39123525066</v>
      </c>
      <c r="CF41" s="137">
        <v>97342.842314473732</v>
      </c>
      <c r="CG41" s="137">
        <v>97442.950460993656</v>
      </c>
      <c r="CH41" s="137">
        <v>97537.107314331573</v>
      </c>
      <c r="CI41" s="137">
        <v>97681.856638858386</v>
      </c>
      <c r="CJ41" s="137">
        <v>97718.146858808061</v>
      </c>
      <c r="CK41" s="137">
        <v>97794.892059961538</v>
      </c>
      <c r="CL41" s="137">
        <v>97929.118116165249</v>
      </c>
      <c r="CM41" s="137">
        <v>97983.640111664456</v>
      </c>
      <c r="CN41" s="137">
        <v>98070.770434159553</v>
      </c>
      <c r="CO41" s="137">
        <v>98153.694708497787</v>
      </c>
      <c r="CP41" s="137">
        <v>98233.739688071917</v>
      </c>
      <c r="CQ41" s="137">
        <v>98303.528365605249</v>
      </c>
      <c r="CR41" s="137">
        <v>98334.855292459892</v>
      </c>
      <c r="CS41" s="137">
        <v>98412.127510193444</v>
      </c>
      <c r="CT41" s="137">
        <v>98451.832708093061</v>
      </c>
      <c r="CU41" s="137">
        <v>98498.678212395331</v>
      </c>
      <c r="CV41" s="137">
        <v>98526.305597597617</v>
      </c>
      <c r="CW41" s="137">
        <v>98558.419983974367</v>
      </c>
      <c r="CX41" s="137">
        <v>98613.958380665223</v>
      </c>
      <c r="CY41" s="137">
        <v>98630.477085728926</v>
      </c>
      <c r="CZ41" s="137">
        <v>98653.106335753604</v>
      </c>
      <c r="DA41" s="137">
        <v>98666.641786599241</v>
      </c>
      <c r="DB41" s="137">
        <v>98720.292918879524</v>
      </c>
      <c r="DC41" s="137">
        <v>98752.583376063063</v>
      </c>
      <c r="DD41" s="137">
        <v>98774.858796629269</v>
      </c>
      <c r="DE41" s="137">
        <v>98802.051493445673</v>
      </c>
      <c r="DF41" s="137">
        <v>98860.237096224766</v>
      </c>
      <c r="DG41" s="137">
        <v>98873.496440940187</v>
      </c>
      <c r="DH41" s="137">
        <v>98901.074670665417</v>
      </c>
      <c r="DI41" s="137">
        <v>98908.284812295402</v>
      </c>
      <c r="DJ41" s="137">
        <v>98954.979723502081</v>
      </c>
      <c r="DK41" s="137">
        <v>98982.170643328544</v>
      </c>
      <c r="DL41" s="137">
        <v>98992.507509268995</v>
      </c>
      <c r="DM41" s="137">
        <v>99005.473473242397</v>
      </c>
      <c r="DN41" s="137">
        <v>99014.792883487447</v>
      </c>
      <c r="DO41" s="137">
        <v>99049.103426082758</v>
      </c>
      <c r="DP41" s="137">
        <f>(G_Kohorte_F!DP41+G_Kohorte_M!DP41)/2</f>
        <v>99080.237097573554</v>
      </c>
      <c r="DQ41" s="137">
        <f>(G_Kohorte_F!DQ41+G_Kohorte_M!DQ41)/2</f>
        <v>99093.984082955241</v>
      </c>
      <c r="DR41" s="137">
        <f>(G_Kohorte_F!DR41+G_Kohorte_M!DR41)/2</f>
        <v>99122.873998139956</v>
      </c>
      <c r="DS41" s="137">
        <f>(G_Kohorte_F!DS41+G_Kohorte_M!DS41)/2</f>
        <v>99138.490131004088</v>
      </c>
      <c r="DT41" s="137">
        <f>(G_Kohorte_F!DT41+G_Kohorte_M!DT41)/2</f>
        <v>99167.466493810105</v>
      </c>
      <c r="DU41" s="137">
        <f>(G_Kohorte_F!DU41+G_Kohorte_M!DU41)/2</f>
        <v>99195.407041087106</v>
      </c>
    </row>
    <row r="42" spans="1:125">
      <c r="A42" s="2348">
        <v>40</v>
      </c>
      <c r="B42" s="137"/>
      <c r="C42" s="137"/>
      <c r="D42" s="137"/>
      <c r="E42" s="137"/>
      <c r="F42" s="137"/>
      <c r="G42" s="137"/>
      <c r="H42" s="137"/>
      <c r="I42" s="137"/>
      <c r="J42" s="137"/>
      <c r="K42" s="137"/>
      <c r="L42" s="137"/>
      <c r="M42" s="137"/>
      <c r="N42" s="137"/>
      <c r="O42" s="137"/>
      <c r="P42" s="137"/>
      <c r="Q42" s="137"/>
      <c r="R42" s="137"/>
      <c r="S42" s="137"/>
      <c r="T42" s="137"/>
      <c r="U42" s="137"/>
      <c r="V42" s="137"/>
      <c r="W42" s="2342">
        <v>77532.5</v>
      </c>
      <c r="X42" s="2342">
        <v>78347</v>
      </c>
      <c r="Y42" s="137">
        <v>78491.182167715742</v>
      </c>
      <c r="Z42" s="137">
        <v>80644.476698047889</v>
      </c>
      <c r="AA42" s="137">
        <v>81066.287054748929</v>
      </c>
      <c r="AB42" s="137">
        <v>81739.197067220608</v>
      </c>
      <c r="AC42" s="137">
        <v>82595.523063022818</v>
      </c>
      <c r="AD42" s="137">
        <v>83552.933622930053</v>
      </c>
      <c r="AE42" s="137">
        <v>83532.107285457023</v>
      </c>
      <c r="AF42" s="137">
        <v>84772.156371149584</v>
      </c>
      <c r="AG42" s="137">
        <v>85224.864984476371</v>
      </c>
      <c r="AH42" s="137">
        <v>85536.598455889442</v>
      </c>
      <c r="AI42" s="137">
        <v>85879.945988870357</v>
      </c>
      <c r="AJ42" s="137">
        <v>87122.606496347697</v>
      </c>
      <c r="AK42" s="137">
        <v>87088.47996934093</v>
      </c>
      <c r="AL42" s="137">
        <v>87427.899174705279</v>
      </c>
      <c r="AM42" s="137">
        <v>87716.150924275949</v>
      </c>
      <c r="AN42" s="137">
        <v>88187.097031020574</v>
      </c>
      <c r="AO42" s="137">
        <v>88170.00665806183</v>
      </c>
      <c r="AP42" s="137">
        <v>88299.203285388794</v>
      </c>
      <c r="AQ42" s="137">
        <v>88384.941090559325</v>
      </c>
      <c r="AR42" s="137">
        <v>88456.099997595651</v>
      </c>
      <c r="AS42" s="137">
        <v>87919.853249173015</v>
      </c>
      <c r="AT42" s="137">
        <v>87223.319871084168</v>
      </c>
      <c r="AU42" s="137">
        <v>85994.800457049889</v>
      </c>
      <c r="AV42" s="137">
        <v>86362.548041356</v>
      </c>
      <c r="AW42" s="137">
        <v>86779.212407026323</v>
      </c>
      <c r="AX42" s="137">
        <v>88948.180475958565</v>
      </c>
      <c r="AY42" s="137">
        <v>90716.479591119394</v>
      </c>
      <c r="AZ42" s="137">
        <v>90747.890744200762</v>
      </c>
      <c r="BA42" s="137">
        <v>90794.801410865242</v>
      </c>
      <c r="BB42" s="137">
        <v>91441.29164912022</v>
      </c>
      <c r="BC42" s="137">
        <v>91678.351463301195</v>
      </c>
      <c r="BD42" s="137">
        <v>92073.568075248593</v>
      </c>
      <c r="BE42" s="137">
        <v>92142.01812214966</v>
      </c>
      <c r="BF42" s="137">
        <v>92542.002954213065</v>
      </c>
      <c r="BG42" s="137">
        <v>92649.853778866251</v>
      </c>
      <c r="BH42" s="137">
        <v>92976.829002131766</v>
      </c>
      <c r="BI42" s="137">
        <v>93183.920901429345</v>
      </c>
      <c r="BJ42" s="137">
        <v>93398.901835735043</v>
      </c>
      <c r="BK42" s="137">
        <v>93742.28142133716</v>
      </c>
      <c r="BL42" s="137">
        <v>94101.899713435501</v>
      </c>
      <c r="BM42" s="137">
        <v>94424.005987074052</v>
      </c>
      <c r="BN42" s="137">
        <v>94724.269929321803</v>
      </c>
      <c r="BO42" s="137">
        <v>94996.198553647497</v>
      </c>
      <c r="BP42" s="137">
        <v>95155.235750692911</v>
      </c>
      <c r="BQ42" s="137">
        <v>95307.087940118538</v>
      </c>
      <c r="BR42" s="137">
        <v>95446.178413382673</v>
      </c>
      <c r="BS42" s="137">
        <v>95464.173649701115</v>
      </c>
      <c r="BT42" s="137">
        <v>95588.546988893126</v>
      </c>
      <c r="BU42" s="137">
        <v>95667.088976651066</v>
      </c>
      <c r="BV42" s="137">
        <v>95798.80656624859</v>
      </c>
      <c r="BW42" s="137">
        <v>95881.944307482976</v>
      </c>
      <c r="BX42" s="137">
        <v>96040.400296862208</v>
      </c>
      <c r="BY42" s="137">
        <v>96199.592770860705</v>
      </c>
      <c r="BZ42" s="137">
        <v>96481.766502717539</v>
      </c>
      <c r="CA42" s="137">
        <v>96657.037457521888</v>
      </c>
      <c r="CB42" s="137">
        <v>96750.101493980546</v>
      </c>
      <c r="CC42" s="137">
        <v>96900.514060159388</v>
      </c>
      <c r="CD42" s="137">
        <v>97016.116452931805</v>
      </c>
      <c r="CE42" s="137">
        <v>97118.112173702495</v>
      </c>
      <c r="CF42" s="137">
        <v>97253.98532051724</v>
      </c>
      <c r="CG42" s="137">
        <v>97353.54991370994</v>
      </c>
      <c r="CH42" s="137">
        <v>97449.613763969406</v>
      </c>
      <c r="CI42" s="137">
        <v>97596.183900005941</v>
      </c>
      <c r="CJ42" s="137">
        <v>97634.357933133942</v>
      </c>
      <c r="CK42" s="137">
        <v>97712.911636480363</v>
      </c>
      <c r="CL42" s="137">
        <v>97848.851733327727</v>
      </c>
      <c r="CM42" s="137">
        <v>97905.123759412643</v>
      </c>
      <c r="CN42" s="137">
        <v>97993.940822728444</v>
      </c>
      <c r="CO42" s="137">
        <v>98078.507920975608</v>
      </c>
      <c r="CP42" s="137">
        <v>98160.173689730378</v>
      </c>
      <c r="CQ42" s="137">
        <v>98231.551405084625</v>
      </c>
      <c r="CR42" s="137">
        <v>98264.46819599536</v>
      </c>
      <c r="CS42" s="137">
        <v>98343.256052919154</v>
      </c>
      <c r="CT42" s="137">
        <v>98384.470607280935</v>
      </c>
      <c r="CU42" s="137">
        <v>98432.784932548238</v>
      </c>
      <c r="CV42" s="137">
        <v>98461.862224707758</v>
      </c>
      <c r="CW42" s="137">
        <v>98495.3975940214</v>
      </c>
      <c r="CX42" s="137">
        <v>98552.304287453706</v>
      </c>
      <c r="CY42" s="137">
        <v>98570.190859979222</v>
      </c>
      <c r="CZ42" s="137">
        <v>98594.147793514552</v>
      </c>
      <c r="DA42" s="137">
        <v>98608.991552606341</v>
      </c>
      <c r="DB42" s="137">
        <v>98663.894592973083</v>
      </c>
      <c r="DC42" s="137">
        <v>98697.42785429192</v>
      </c>
      <c r="DD42" s="137">
        <v>98720.92042114948</v>
      </c>
      <c r="DE42" s="137">
        <v>98749.302989499134</v>
      </c>
      <c r="DF42" s="137">
        <v>98808.636183923431</v>
      </c>
      <c r="DG42" s="137">
        <v>98823.037437797204</v>
      </c>
      <c r="DH42" s="137">
        <v>98851.728942520087</v>
      </c>
      <c r="DI42" s="137">
        <v>98860.034804963565</v>
      </c>
      <c r="DJ42" s="137">
        <v>98907.782595161669</v>
      </c>
      <c r="DK42" s="137">
        <v>98936.015075519623</v>
      </c>
      <c r="DL42" s="137">
        <v>98947.37797118345</v>
      </c>
      <c r="DM42" s="137">
        <v>98961.342949094658</v>
      </c>
      <c r="DN42" s="137">
        <v>98971.64415966165</v>
      </c>
      <c r="DO42" s="137">
        <v>99006.902505533741</v>
      </c>
      <c r="DP42" s="137">
        <f>(G_Kohorte_F!DP42+G_Kohorte_M!DP42)/2</f>
        <v>99038.965605616278</v>
      </c>
      <c r="DQ42" s="137">
        <f>(G_Kohorte_F!DQ42+G_Kohorte_M!DQ42)/2</f>
        <v>99053.62795874718</v>
      </c>
      <c r="DR42" s="137">
        <f>(G_Kohorte_F!DR42+G_Kohorte_M!DR42)/2</f>
        <v>99083.405109124666</v>
      </c>
      <c r="DS42" s="137">
        <f>(G_Kohorte_F!DS42+G_Kohorte_M!DS42)/2</f>
        <v>99099.8971312215</v>
      </c>
      <c r="DT42" s="137">
        <f>(G_Kohorte_F!DT42+G_Kohorte_M!DT42)/2</f>
        <v>99129.723518587532</v>
      </c>
      <c r="DU42" s="137">
        <f>(G_Kohorte_F!DU42+G_Kohorte_M!DU42)/2</f>
        <v>99158.495787250751</v>
      </c>
    </row>
    <row r="43" spans="1:125">
      <c r="A43" s="2348">
        <v>41</v>
      </c>
      <c r="B43" s="137"/>
      <c r="C43" s="137"/>
      <c r="D43" s="137"/>
      <c r="E43" s="137"/>
      <c r="F43" s="137"/>
      <c r="G43" s="137"/>
      <c r="H43" s="137"/>
      <c r="I43" s="137"/>
      <c r="J43" s="137"/>
      <c r="K43" s="137"/>
      <c r="L43" s="137"/>
      <c r="M43" s="137"/>
      <c r="N43" s="137"/>
      <c r="O43" s="137"/>
      <c r="P43" s="137"/>
      <c r="Q43" s="137"/>
      <c r="R43" s="137"/>
      <c r="S43" s="137"/>
      <c r="T43" s="137"/>
      <c r="U43" s="137"/>
      <c r="V43" s="137"/>
      <c r="W43" s="2342">
        <v>77346.5</v>
      </c>
      <c r="X43" s="2342">
        <v>78156.5</v>
      </c>
      <c r="Y43" s="137">
        <v>78299.720937893377</v>
      </c>
      <c r="Z43" s="137">
        <v>80451.854063393126</v>
      </c>
      <c r="AA43" s="137">
        <v>80876.732065035234</v>
      </c>
      <c r="AB43" s="137">
        <v>81541.717906138496</v>
      </c>
      <c r="AC43" s="137">
        <v>82403.124849524524</v>
      </c>
      <c r="AD43" s="137">
        <v>83358.164651639818</v>
      </c>
      <c r="AE43" s="137">
        <v>83317.838286896324</v>
      </c>
      <c r="AF43" s="137">
        <v>84564.350185123607</v>
      </c>
      <c r="AG43" s="137">
        <v>85020.746363644896</v>
      </c>
      <c r="AH43" s="137">
        <v>85338.987246465607</v>
      </c>
      <c r="AI43" s="137">
        <v>85679.056134253246</v>
      </c>
      <c r="AJ43" s="137">
        <v>86925.853071074234</v>
      </c>
      <c r="AK43" s="137">
        <v>86881.186814353932</v>
      </c>
      <c r="AL43" s="137">
        <v>87226.325773621415</v>
      </c>
      <c r="AM43" s="137">
        <v>87522.362627192313</v>
      </c>
      <c r="AN43" s="137">
        <v>87991.026953474415</v>
      </c>
      <c r="AO43" s="137">
        <v>87976.186713614137</v>
      </c>
      <c r="AP43" s="137">
        <v>88114.253768442184</v>
      </c>
      <c r="AQ43" s="137">
        <v>88200.145406623662</v>
      </c>
      <c r="AR43" s="137">
        <v>88275.312495486927</v>
      </c>
      <c r="AS43" s="137">
        <v>87745.906516186136</v>
      </c>
      <c r="AT43" s="137">
        <v>87058.351885477256</v>
      </c>
      <c r="AU43" s="137">
        <v>85836.799465554184</v>
      </c>
      <c r="AV43" s="137">
        <v>86207.723079965654</v>
      </c>
      <c r="AW43" s="137">
        <v>86629.510546857753</v>
      </c>
      <c r="AX43" s="137">
        <v>88790.520266462438</v>
      </c>
      <c r="AY43" s="137">
        <v>90548.917700425751</v>
      </c>
      <c r="AZ43" s="137">
        <v>90570.78847851514</v>
      </c>
      <c r="BA43" s="137">
        <v>90619.313354763086</v>
      </c>
      <c r="BB43" s="137">
        <v>91271.23848464826</v>
      </c>
      <c r="BC43" s="137">
        <v>91505.448758569197</v>
      </c>
      <c r="BD43" s="137">
        <v>91900.86907564287</v>
      </c>
      <c r="BE43" s="137">
        <v>91980.15719555493</v>
      </c>
      <c r="BF43" s="137">
        <v>92389.665377900004</v>
      </c>
      <c r="BG43" s="137">
        <v>92498.673816557639</v>
      </c>
      <c r="BH43" s="137">
        <v>92832.373955189687</v>
      </c>
      <c r="BI43" s="137">
        <v>93045.606290174677</v>
      </c>
      <c r="BJ43" s="137">
        <v>93264.770172917662</v>
      </c>
      <c r="BK43" s="137">
        <v>93606.282639091674</v>
      </c>
      <c r="BL43" s="137">
        <v>93980.609357359135</v>
      </c>
      <c r="BM43" s="137">
        <v>94308.241223399513</v>
      </c>
      <c r="BN43" s="137">
        <v>94610.297334147341</v>
      </c>
      <c r="BO43" s="137">
        <v>94883.712904724205</v>
      </c>
      <c r="BP43" s="137">
        <v>95051.018852814392</v>
      </c>
      <c r="BQ43" s="137">
        <v>95209.71548615527</v>
      </c>
      <c r="BR43" s="137">
        <v>95346.796012406383</v>
      </c>
      <c r="BS43" s="137">
        <v>95366.753902692697</v>
      </c>
      <c r="BT43" s="137">
        <v>95495.713197956225</v>
      </c>
      <c r="BU43" s="137">
        <v>95569.651717978675</v>
      </c>
      <c r="BV43" s="137">
        <v>95709.539376264322</v>
      </c>
      <c r="BW43" s="137">
        <v>95793.687334468559</v>
      </c>
      <c r="BX43" s="137">
        <v>95950.682087733643</v>
      </c>
      <c r="BY43" s="137">
        <v>96103.819321996387</v>
      </c>
      <c r="BZ43" s="137">
        <v>96385.742708869191</v>
      </c>
      <c r="CA43" s="137">
        <v>96566.486781808519</v>
      </c>
      <c r="CB43" s="137">
        <v>96660.799444521064</v>
      </c>
      <c r="CC43" s="137">
        <v>96813.604069209279</v>
      </c>
      <c r="CD43" s="137">
        <v>96925.381630787757</v>
      </c>
      <c r="CE43" s="137">
        <v>97018.677590826541</v>
      </c>
      <c r="CF43" s="137">
        <v>97156.80092154062</v>
      </c>
      <c r="CG43" s="137">
        <v>97258.405217559601</v>
      </c>
      <c r="CH43" s="137">
        <v>97356.463596578978</v>
      </c>
      <c r="CI43" s="137">
        <v>97504.938047543343</v>
      </c>
      <c r="CJ43" s="137">
        <v>97545.084885954653</v>
      </c>
      <c r="CK43" s="137">
        <v>97625.532662512065</v>
      </c>
      <c r="CL43" s="137">
        <v>97763.267720159536</v>
      </c>
      <c r="CM43" s="137">
        <v>97821.374364260613</v>
      </c>
      <c r="CN43" s="137">
        <v>97911.959929248842</v>
      </c>
      <c r="CO43" s="137">
        <v>97998.250194477223</v>
      </c>
      <c r="CP43" s="137">
        <v>98081.616753575334</v>
      </c>
      <c r="CQ43" s="137">
        <v>98154.662724020134</v>
      </c>
      <c r="CR43" s="137">
        <v>98189.249814939991</v>
      </c>
      <c r="CS43" s="137">
        <v>98269.626568868815</v>
      </c>
      <c r="CT43" s="137">
        <v>98312.427792475035</v>
      </c>
      <c r="CU43" s="137">
        <v>98362.286685610321</v>
      </c>
      <c r="CV43" s="137">
        <v>98392.889483317893</v>
      </c>
      <c r="CW43" s="137">
        <v>98427.920472168014</v>
      </c>
      <c r="CX43" s="137">
        <v>98486.267610064504</v>
      </c>
      <c r="CY43" s="137">
        <v>98505.595187593222</v>
      </c>
      <c r="CZ43" s="137">
        <v>98530.951255469234</v>
      </c>
      <c r="DA43" s="137">
        <v>98547.174371398796</v>
      </c>
      <c r="DB43" s="137">
        <v>98603.397393102379</v>
      </c>
      <c r="DC43" s="137">
        <v>98638.241777647592</v>
      </c>
      <c r="DD43" s="137">
        <v>98663.018984172173</v>
      </c>
      <c r="DE43" s="137">
        <v>98692.657846130693</v>
      </c>
      <c r="DF43" s="137">
        <v>98753.202868386434</v>
      </c>
      <c r="DG43" s="137">
        <v>98768.810821582971</v>
      </c>
      <c r="DH43" s="137">
        <v>98798.67909780232</v>
      </c>
      <c r="DI43" s="137">
        <v>98808.143791007984</v>
      </c>
      <c r="DJ43" s="137">
        <v>98857.005191486183</v>
      </c>
      <c r="DK43" s="137">
        <v>98886.339903004089</v>
      </c>
      <c r="DL43" s="137">
        <v>98898.789145880583</v>
      </c>
      <c r="DM43" s="137">
        <v>98913.812240918487</v>
      </c>
      <c r="DN43" s="137">
        <v>98925.153767377269</v>
      </c>
      <c r="DO43" s="137">
        <v>98961.416593313159</v>
      </c>
      <c r="DP43" s="137">
        <f>(G_Kohorte_F!DP43+G_Kohorte_M!DP43)/2</f>
        <v>98994.465099894267</v>
      </c>
      <c r="DQ43" s="137">
        <f>(G_Kohorte_F!DQ43+G_Kohorte_M!DQ43)/2</f>
        <v>99010.098444936622</v>
      </c>
      <c r="DR43" s="137">
        <f>(G_Kohorte_F!DR43+G_Kohorte_M!DR43)/2</f>
        <v>99040.816988412393</v>
      </c>
      <c r="DS43" s="137">
        <f>(G_Kohorte_F!DS43+G_Kohorte_M!DS43)/2</f>
        <v>99058.238816021039</v>
      </c>
      <c r="DT43" s="137">
        <f>(G_Kohorte_F!DT43+G_Kohorte_M!DT43)/2</f>
        <v>99088.967798329162</v>
      </c>
      <c r="DU43" s="137">
        <f>(G_Kohorte_F!DU43+G_Kohorte_M!DU43)/2</f>
        <v>99118.623566271388</v>
      </c>
    </row>
    <row r="44" spans="1:125">
      <c r="A44" s="2348">
        <v>42</v>
      </c>
      <c r="B44" s="137"/>
      <c r="C44" s="137"/>
      <c r="D44" s="137"/>
      <c r="E44" s="137"/>
      <c r="F44" s="137"/>
      <c r="G44" s="137"/>
      <c r="H44" s="137"/>
      <c r="I44" s="137"/>
      <c r="J44" s="137"/>
      <c r="K44" s="137"/>
      <c r="L44" s="137"/>
      <c r="M44" s="137"/>
      <c r="N44" s="137"/>
      <c r="O44" s="137"/>
      <c r="P44" s="137"/>
      <c r="Q44" s="137"/>
      <c r="R44" s="137"/>
      <c r="S44" s="137"/>
      <c r="T44" s="137"/>
      <c r="U44" s="137"/>
      <c r="V44" s="137"/>
      <c r="W44" s="2342">
        <v>77148</v>
      </c>
      <c r="X44" s="2342">
        <v>77948</v>
      </c>
      <c r="Y44" s="137">
        <v>78105.237934188568</v>
      </c>
      <c r="Z44" s="137">
        <v>80243.820672764181</v>
      </c>
      <c r="AA44" s="137">
        <v>80667.119885629465</v>
      </c>
      <c r="AB44" s="137">
        <v>81334.892846900155</v>
      </c>
      <c r="AC44" s="137">
        <v>82194.140519607332</v>
      </c>
      <c r="AD44" s="137">
        <v>83133.638040106714</v>
      </c>
      <c r="AE44" s="137">
        <v>83096.286801363269</v>
      </c>
      <c r="AF44" s="137">
        <v>84333.253938631373</v>
      </c>
      <c r="AG44" s="137">
        <v>84795.206262900203</v>
      </c>
      <c r="AH44" s="137">
        <v>85126.187234849262</v>
      </c>
      <c r="AI44" s="137">
        <v>85459.82229875632</v>
      </c>
      <c r="AJ44" s="137">
        <v>86699.15016220801</v>
      </c>
      <c r="AK44" s="137">
        <v>86660.121268652292</v>
      </c>
      <c r="AL44" s="137">
        <v>87009.376970356709</v>
      </c>
      <c r="AM44" s="137">
        <v>87318.517734888854</v>
      </c>
      <c r="AN44" s="137">
        <v>87784.882678233349</v>
      </c>
      <c r="AO44" s="137">
        <v>87778.628077470639</v>
      </c>
      <c r="AP44" s="137">
        <v>87907.525628867006</v>
      </c>
      <c r="AQ44" s="137">
        <v>88004.303044225118</v>
      </c>
      <c r="AR44" s="137">
        <v>88088.312795477585</v>
      </c>
      <c r="AS44" s="137">
        <v>87563.07809290172</v>
      </c>
      <c r="AT44" s="137">
        <v>86885.231815875683</v>
      </c>
      <c r="AU44" s="137">
        <v>85661.751451460936</v>
      </c>
      <c r="AV44" s="137">
        <v>86041.887162804094</v>
      </c>
      <c r="AW44" s="137">
        <v>86465.842905641141</v>
      </c>
      <c r="AX44" s="137">
        <v>88616.59722607577</v>
      </c>
      <c r="AY44" s="137">
        <v>90370.438165544634</v>
      </c>
      <c r="AZ44" s="137">
        <v>90378.334634250365</v>
      </c>
      <c r="BA44" s="137">
        <v>90429.733856399325</v>
      </c>
      <c r="BB44" s="137">
        <v>91087.145897107752</v>
      </c>
      <c r="BC44" s="137">
        <v>91317.408551762841</v>
      </c>
      <c r="BD44" s="137">
        <v>91721.104148171813</v>
      </c>
      <c r="BE44" s="137">
        <v>91809.057685657128</v>
      </c>
      <c r="BF44" s="137">
        <v>92223.219524143031</v>
      </c>
      <c r="BG44" s="137">
        <v>92337.672259296407</v>
      </c>
      <c r="BH44" s="137">
        <v>92675.771994963579</v>
      </c>
      <c r="BI44" s="137">
        <v>92897.370516928568</v>
      </c>
      <c r="BJ44" s="137">
        <v>93124.408984071953</v>
      </c>
      <c r="BK44" s="137">
        <v>93465.983083775631</v>
      </c>
      <c r="BL44" s="137">
        <v>93845.744183720075</v>
      </c>
      <c r="BM44" s="137">
        <v>94184.417336768718</v>
      </c>
      <c r="BN44" s="137">
        <v>94493.512691042852</v>
      </c>
      <c r="BO44" s="137">
        <v>94763.446517308621</v>
      </c>
      <c r="BP44" s="137">
        <v>94940.845715979231</v>
      </c>
      <c r="BQ44" s="137">
        <v>95103.981155527974</v>
      </c>
      <c r="BR44" s="137">
        <v>95238.852387856576</v>
      </c>
      <c r="BS44" s="137">
        <v>95263.215319822659</v>
      </c>
      <c r="BT44" s="137">
        <v>95393.16311321166</v>
      </c>
      <c r="BU44" s="137">
        <v>95468.572086039931</v>
      </c>
      <c r="BV44" s="137">
        <v>95611.645187362534</v>
      </c>
      <c r="BW44" s="137">
        <v>95692.906352036051</v>
      </c>
      <c r="BX44" s="137">
        <v>95852.797945965402</v>
      </c>
      <c r="BY44" s="137">
        <v>96005.810807976872</v>
      </c>
      <c r="BZ44" s="137">
        <v>96282.829901132616</v>
      </c>
      <c r="CA44" s="137">
        <v>96466.626686322692</v>
      </c>
      <c r="CB44" s="137">
        <v>96554.314621432452</v>
      </c>
      <c r="CC44" s="137">
        <v>96707.063624691102</v>
      </c>
      <c r="CD44" s="137">
        <v>96819.746673715388</v>
      </c>
      <c r="CE44" s="137">
        <v>96913.24305182448</v>
      </c>
      <c r="CF44" s="137">
        <v>97053.488104415359</v>
      </c>
      <c r="CG44" s="137">
        <v>97157.224063905218</v>
      </c>
      <c r="CH44" s="137">
        <v>97257.367766665324</v>
      </c>
      <c r="CI44" s="137">
        <v>97407.833127354505</v>
      </c>
      <c r="CJ44" s="137">
        <v>97450.04513675932</v>
      </c>
      <c r="CK44" s="137">
        <v>97532.47578634489</v>
      </c>
      <c r="CL44" s="137">
        <v>97672.089776033739</v>
      </c>
      <c r="CM44" s="137">
        <v>97732.118865909579</v>
      </c>
      <c r="CN44" s="137">
        <v>97824.557815514912</v>
      </c>
      <c r="CO44" s="137">
        <v>97912.654713327851</v>
      </c>
      <c r="CP44" s="137">
        <v>97997.805153088935</v>
      </c>
      <c r="CQ44" s="137">
        <v>98072.601692048236</v>
      </c>
      <c r="CR44" s="137">
        <v>98108.93848183025</v>
      </c>
      <c r="CS44" s="137">
        <v>98190.983295024722</v>
      </c>
      <c r="CT44" s="137">
        <v>98235.451375834455</v>
      </c>
      <c r="CU44" s="137">
        <v>98286.933424227929</v>
      </c>
      <c r="CV44" s="137">
        <v>98319.140194562991</v>
      </c>
      <c r="CW44" s="137">
        <v>98355.744269818621</v>
      </c>
      <c r="CX44" s="137">
        <v>98415.606759495247</v>
      </c>
      <c r="CY44" s="137">
        <v>98436.451308497009</v>
      </c>
      <c r="CZ44" s="137">
        <v>98463.280760279667</v>
      </c>
      <c r="DA44" s="137">
        <v>98480.957075593557</v>
      </c>
      <c r="DB44" s="137">
        <v>98538.570834060127</v>
      </c>
      <c r="DC44" s="137">
        <v>98574.7973665178</v>
      </c>
      <c r="DD44" s="137">
        <v>98600.929416514467</v>
      </c>
      <c r="DE44" s="137">
        <v>98631.893669518904</v>
      </c>
      <c r="DF44" s="137">
        <v>98693.717340339892</v>
      </c>
      <c r="DG44" s="137">
        <v>98710.59944882206</v>
      </c>
      <c r="DH44" s="137">
        <v>98741.710602000618</v>
      </c>
      <c r="DI44" s="137">
        <v>98752.399868579509</v>
      </c>
      <c r="DJ44" s="137">
        <v>98802.438136158788</v>
      </c>
      <c r="DK44" s="137">
        <v>98832.938292868057</v>
      </c>
      <c r="DL44" s="137">
        <v>98846.536756650894</v>
      </c>
      <c r="DM44" s="137">
        <v>98862.679601511627</v>
      </c>
      <c r="DN44" s="137">
        <v>98875.122471344337</v>
      </c>
      <c r="DO44" s="137">
        <v>98912.448894060566</v>
      </c>
      <c r="DP44" s="137">
        <f>(G_Kohorte_F!DP44+G_Kohorte_M!DP44)/2</f>
        <v>98946.541208747687</v>
      </c>
      <c r="DQ44" s="137">
        <f>(G_Kohorte_F!DQ44+G_Kohorte_M!DQ44)/2</f>
        <v>98963.203605517163</v>
      </c>
      <c r="DR44" s="137">
        <f>(G_Kohorte_F!DR44+G_Kohorte_M!DR44)/2</f>
        <v>98994.920084475598</v>
      </c>
      <c r="DS44" s="137">
        <f>(G_Kohorte_F!DS44+G_Kohorte_M!DS44)/2</f>
        <v>99013.328020033485</v>
      </c>
      <c r="DT44" s="137">
        <f>(G_Kohorte_F!DT44+G_Kohorte_M!DT44)/2</f>
        <v>99045.014506681357</v>
      </c>
      <c r="DU44" s="137">
        <f>(G_Kohorte_F!DU44+G_Kohorte_M!DU44)/2</f>
        <v>99075.607870590306</v>
      </c>
    </row>
    <row r="45" spans="1:125">
      <c r="A45" s="2348">
        <v>43</v>
      </c>
      <c r="B45" s="137"/>
      <c r="C45" s="137"/>
      <c r="D45" s="137"/>
      <c r="E45" s="137"/>
      <c r="F45" s="137"/>
      <c r="G45" s="137"/>
      <c r="H45" s="137"/>
      <c r="I45" s="137"/>
      <c r="J45" s="137"/>
      <c r="K45" s="137"/>
      <c r="L45" s="137"/>
      <c r="M45" s="137"/>
      <c r="N45" s="137"/>
      <c r="O45" s="137"/>
      <c r="P45" s="137"/>
      <c r="Q45" s="137"/>
      <c r="R45" s="137"/>
      <c r="S45" s="137"/>
      <c r="T45" s="137"/>
      <c r="U45" s="137"/>
      <c r="V45" s="137"/>
      <c r="W45" s="2342">
        <v>76926</v>
      </c>
      <c r="X45" s="2342">
        <v>77732</v>
      </c>
      <c r="Y45" s="137">
        <v>77880.901899103294</v>
      </c>
      <c r="Z45" s="137">
        <v>80010.154672693985</v>
      </c>
      <c r="AA45" s="137">
        <v>80443.41721666549</v>
      </c>
      <c r="AB45" s="137">
        <v>81115.65313382943</v>
      </c>
      <c r="AC45" s="137">
        <v>81947.759295001772</v>
      </c>
      <c r="AD45" s="137">
        <v>82890.284467755031</v>
      </c>
      <c r="AE45" s="137">
        <v>82847.238985288655</v>
      </c>
      <c r="AF45" s="137">
        <v>84089.391519700206</v>
      </c>
      <c r="AG45" s="137">
        <v>84556.840838907563</v>
      </c>
      <c r="AH45" s="137">
        <v>84884.633461666424</v>
      </c>
      <c r="AI45" s="137">
        <v>85221.020542699844</v>
      </c>
      <c r="AJ45" s="137">
        <v>86454.059357872873</v>
      </c>
      <c r="AK45" s="137">
        <v>86433.738347117935</v>
      </c>
      <c r="AL45" s="137">
        <v>86786.729860633495</v>
      </c>
      <c r="AM45" s="137">
        <v>87091.451411823888</v>
      </c>
      <c r="AN45" s="137">
        <v>87564.81170390069</v>
      </c>
      <c r="AO45" s="137">
        <v>87554.795081918914</v>
      </c>
      <c r="AP45" s="137">
        <v>87692.901950349275</v>
      </c>
      <c r="AQ45" s="137">
        <v>87798.616989616567</v>
      </c>
      <c r="AR45" s="137">
        <v>87896.527470334549</v>
      </c>
      <c r="AS45" s="137">
        <v>87371.344855969612</v>
      </c>
      <c r="AT45" s="137">
        <v>86689.170771261794</v>
      </c>
      <c r="AU45" s="137">
        <v>85480.297186569049</v>
      </c>
      <c r="AV45" s="137">
        <v>85850.775918987536</v>
      </c>
      <c r="AW45" s="137">
        <v>86276.124798962061</v>
      </c>
      <c r="AX45" s="137">
        <v>88424.600365628372</v>
      </c>
      <c r="AY45" s="137">
        <v>90173.440552477899</v>
      </c>
      <c r="AZ45" s="137">
        <v>90183.067312215251</v>
      </c>
      <c r="BA45" s="137">
        <v>90229.197800152062</v>
      </c>
      <c r="BB45" s="137">
        <v>90889.953893043741</v>
      </c>
      <c r="BC45" s="137">
        <v>91110.058786076479</v>
      </c>
      <c r="BD45" s="137">
        <v>91532.565178490506</v>
      </c>
      <c r="BE45" s="137">
        <v>91627.559723163911</v>
      </c>
      <c r="BF45" s="137">
        <v>92045.001391603189</v>
      </c>
      <c r="BG45" s="137">
        <v>92161.528542947301</v>
      </c>
      <c r="BH45" s="137">
        <v>92510.846832263691</v>
      </c>
      <c r="BI45" s="137">
        <v>92737.844101424067</v>
      </c>
      <c r="BJ45" s="137">
        <v>92963.881277180189</v>
      </c>
      <c r="BK45" s="137">
        <v>93316.177508100314</v>
      </c>
      <c r="BL45" s="137">
        <v>93701.683315579081</v>
      </c>
      <c r="BM45" s="137">
        <v>94047.188744801955</v>
      </c>
      <c r="BN45" s="137">
        <v>94361.789749363175</v>
      </c>
      <c r="BO45" s="137">
        <v>94634.787226926681</v>
      </c>
      <c r="BP45" s="137">
        <v>94824.475532810029</v>
      </c>
      <c r="BQ45" s="137">
        <v>94990.242597433127</v>
      </c>
      <c r="BR45" s="137">
        <v>95119.809115525859</v>
      </c>
      <c r="BS45" s="137">
        <v>95150.642642116291</v>
      </c>
      <c r="BT45" s="137">
        <v>95280.048412967386</v>
      </c>
      <c r="BU45" s="137">
        <v>95358.019666438951</v>
      </c>
      <c r="BV45" s="137">
        <v>95497.428828174845</v>
      </c>
      <c r="BW45" s="137">
        <v>95588.043361218923</v>
      </c>
      <c r="BX45" s="137">
        <v>95743.658994665078</v>
      </c>
      <c r="BY45" s="137">
        <v>95901.129980817699</v>
      </c>
      <c r="BZ45" s="137">
        <v>96174.553475363413</v>
      </c>
      <c r="CA45" s="137">
        <v>96363.578332628531</v>
      </c>
      <c r="CB45" s="137">
        <v>96445.481395558774</v>
      </c>
      <c r="CC45" s="137">
        <v>96587.27188653397</v>
      </c>
      <c r="CD45" s="137">
        <v>96705.285130244185</v>
      </c>
      <c r="CE45" s="137">
        <v>96801.113206549693</v>
      </c>
      <c r="CF45" s="137">
        <v>96943.576675215591</v>
      </c>
      <c r="CG45" s="137">
        <v>97049.542994168616</v>
      </c>
      <c r="CH45" s="137">
        <v>97151.869450920276</v>
      </c>
      <c r="CI45" s="137">
        <v>97304.418621246965</v>
      </c>
      <c r="CJ45" s="137">
        <v>97348.794912846701</v>
      </c>
      <c r="CK45" s="137">
        <v>97433.303701082681</v>
      </c>
      <c r="CL45" s="137">
        <v>97574.886681364354</v>
      </c>
      <c r="CM45" s="137">
        <v>97636.932427714462</v>
      </c>
      <c r="CN45" s="137">
        <v>97731.315797907679</v>
      </c>
      <c r="CO45" s="137">
        <v>97821.308834343654</v>
      </c>
      <c r="CP45" s="137">
        <v>97908.332256613678</v>
      </c>
      <c r="CQ45" s="137">
        <v>97984.962384987011</v>
      </c>
      <c r="CR45" s="137">
        <v>98023.137705846806</v>
      </c>
      <c r="CS45" s="137">
        <v>98106.935271516661</v>
      </c>
      <c r="CT45" s="137">
        <v>98153.156018497568</v>
      </c>
      <c r="CU45" s="137">
        <v>98206.345314958395</v>
      </c>
      <c r="CV45" s="137">
        <v>98240.240031525667</v>
      </c>
      <c r="CW45" s="137">
        <v>98278.500100054996</v>
      </c>
      <c r="CX45" s="137">
        <v>98339.958097782219</v>
      </c>
      <c r="CY45" s="137">
        <v>98362.40092923207</v>
      </c>
      <c r="CZ45" s="137">
        <v>98390.783234762755</v>
      </c>
      <c r="DA45" s="137">
        <v>98409.99179300433</v>
      </c>
      <c r="DB45" s="137">
        <v>98469.07201229874</v>
      </c>
      <c r="DC45" s="137">
        <v>98506.756720417761</v>
      </c>
      <c r="DD45" s="137">
        <v>98534.318768000958</v>
      </c>
      <c r="DE45" s="137">
        <v>98566.682385082269</v>
      </c>
      <c r="DF45" s="137">
        <v>98629.856232447055</v>
      </c>
      <c r="DG45" s="137">
        <v>98648.084723061358</v>
      </c>
      <c r="DH45" s="137">
        <v>98680.509535409743</v>
      </c>
      <c r="DI45" s="137">
        <v>98692.493779226643</v>
      </c>
      <c r="DJ45" s="137">
        <v>98743.776646230719</v>
      </c>
      <c r="DK45" s="137">
        <v>98775.509948069259</v>
      </c>
      <c r="DL45" s="137">
        <v>98790.324978985358</v>
      </c>
      <c r="DM45" s="137">
        <v>98807.653592854374</v>
      </c>
      <c r="DN45" s="137">
        <v>98821.263185411837</v>
      </c>
      <c r="DO45" s="137">
        <v>98859.71653281289</v>
      </c>
      <c r="DP45" s="137">
        <f>(G_Kohorte_F!DP45+G_Kohorte_M!DP45)/2</f>
        <v>98894.915224461758</v>
      </c>
      <c r="DQ45" s="137">
        <f>(G_Kohorte_F!DQ45+G_Kohorte_M!DQ45)/2</f>
        <v>98912.66888653778</v>
      </c>
      <c r="DR45" s="137">
        <f>(G_Kohorte_F!DR45+G_Kohorte_M!DR45)/2</f>
        <v>98945.443887748756</v>
      </c>
      <c r="DS45" s="137">
        <f>(G_Kohorte_F!DS45+G_Kohorte_M!DS45)/2</f>
        <v>98964.898272745864</v>
      </c>
      <c r="DT45" s="137">
        <f>(G_Kohorte_F!DT45+G_Kohorte_M!DT45)/2</f>
        <v>98997.601112521224</v>
      </c>
      <c r="DU45" s="137">
        <f>(G_Kohorte_F!DU45+G_Kohorte_M!DU45)/2</f>
        <v>99029.190056088322</v>
      </c>
    </row>
    <row r="46" spans="1:125">
      <c r="A46" s="2348">
        <v>44</v>
      </c>
      <c r="B46" s="137"/>
      <c r="C46" s="137"/>
      <c r="D46" s="137"/>
      <c r="E46" s="137"/>
      <c r="F46" s="137"/>
      <c r="G46" s="137"/>
      <c r="H46" s="137"/>
      <c r="I46" s="137"/>
      <c r="J46" s="137"/>
      <c r="K46" s="137"/>
      <c r="L46" s="137"/>
      <c r="M46" s="137"/>
      <c r="N46" s="137"/>
      <c r="O46" s="137"/>
      <c r="P46" s="137"/>
      <c r="Q46" s="137"/>
      <c r="R46" s="137"/>
      <c r="S46" s="137"/>
      <c r="T46" s="137"/>
      <c r="U46" s="137"/>
      <c r="V46" s="137"/>
      <c r="W46" s="2342">
        <v>76689</v>
      </c>
      <c r="X46" s="2342">
        <v>77495.5</v>
      </c>
      <c r="Y46" s="137">
        <v>77634.396331098338</v>
      </c>
      <c r="Z46" s="137">
        <v>79758.516437998216</v>
      </c>
      <c r="AA46" s="137">
        <v>80193.396709318768</v>
      </c>
      <c r="AB46" s="137">
        <v>80854.348157881061</v>
      </c>
      <c r="AC46" s="137">
        <v>81690.607251896232</v>
      </c>
      <c r="AD46" s="137">
        <v>82630.640844592912</v>
      </c>
      <c r="AE46" s="137">
        <v>82590.253165238741</v>
      </c>
      <c r="AF46" s="137">
        <v>83829.647721206784</v>
      </c>
      <c r="AG46" s="137">
        <v>84278.262494069364</v>
      </c>
      <c r="AH46" s="137">
        <v>84615.863313908892</v>
      </c>
      <c r="AI46" s="137">
        <v>84963.53414174763</v>
      </c>
      <c r="AJ46" s="137">
        <v>86193.984756883263</v>
      </c>
      <c r="AK46" s="137">
        <v>86176.081450411977</v>
      </c>
      <c r="AL46" s="137">
        <v>86537.042042840927</v>
      </c>
      <c r="AM46" s="137">
        <v>86848.934121867351</v>
      </c>
      <c r="AN46" s="137">
        <v>87328.02019671294</v>
      </c>
      <c r="AO46" s="137">
        <v>87324.460847555893</v>
      </c>
      <c r="AP46" s="137">
        <v>87474.2068717371</v>
      </c>
      <c r="AQ46" s="137">
        <v>87580.433083073003</v>
      </c>
      <c r="AR46" s="137">
        <v>87678.920229555384</v>
      </c>
      <c r="AS46" s="137">
        <v>87164.466978007622</v>
      </c>
      <c r="AT46" s="137">
        <v>86483.402050270437</v>
      </c>
      <c r="AU46" s="137">
        <v>85286.532517507439</v>
      </c>
      <c r="AV46" s="137">
        <v>85646.403502768881</v>
      </c>
      <c r="AW46" s="137">
        <v>86070.686712630602</v>
      </c>
      <c r="AX46" s="137">
        <v>88212.336324504708</v>
      </c>
      <c r="AY46" s="137">
        <v>89956.697307671478</v>
      </c>
      <c r="AZ46" s="137">
        <v>89973.391607565281</v>
      </c>
      <c r="BA46" s="137">
        <v>90016.480253129004</v>
      </c>
      <c r="BB46" s="137">
        <v>90680.763803062844</v>
      </c>
      <c r="BC46" s="137">
        <v>90901.286334540986</v>
      </c>
      <c r="BD46" s="137">
        <v>91329.931735845443</v>
      </c>
      <c r="BE46" s="137">
        <v>91427.481179284587</v>
      </c>
      <c r="BF46" s="137">
        <v>91854.515003607958</v>
      </c>
      <c r="BG46" s="137">
        <v>91977.448313088738</v>
      </c>
      <c r="BH46" s="137">
        <v>92331.543191276112</v>
      </c>
      <c r="BI46" s="137">
        <v>92555.441407932623</v>
      </c>
      <c r="BJ46" s="137">
        <v>92795.479927610737</v>
      </c>
      <c r="BK46" s="137">
        <v>93155.441768121382</v>
      </c>
      <c r="BL46" s="137">
        <v>93543.702697597124</v>
      </c>
      <c r="BM46" s="137">
        <v>93898.547723723226</v>
      </c>
      <c r="BN46" s="137">
        <v>94220.162514571552</v>
      </c>
      <c r="BO46" s="137">
        <v>94498.200455720988</v>
      </c>
      <c r="BP46" s="137">
        <v>94689.31878389031</v>
      </c>
      <c r="BQ46" s="137">
        <v>94858.619695467671</v>
      </c>
      <c r="BR46" s="137">
        <v>94991.143422741938</v>
      </c>
      <c r="BS46" s="137">
        <v>95028.440454183903</v>
      </c>
      <c r="BT46" s="137">
        <v>95157.330795156886</v>
      </c>
      <c r="BU46" s="137">
        <v>95232.842636961912</v>
      </c>
      <c r="BV46" s="137">
        <v>95376.618604387564</v>
      </c>
      <c r="BW46" s="137">
        <v>95472.760515516347</v>
      </c>
      <c r="BX46" s="137">
        <v>95628.6197325557</v>
      </c>
      <c r="BY46" s="137">
        <v>95781.553564353104</v>
      </c>
      <c r="BZ46" s="137">
        <v>96057.011859579317</v>
      </c>
      <c r="CA46" s="137">
        <v>96235.736016016133</v>
      </c>
      <c r="CB46" s="137">
        <v>96314.928718351875</v>
      </c>
      <c r="CC46" s="137">
        <v>96462.833441568408</v>
      </c>
      <c r="CD46" s="137">
        <v>96583.306773603515</v>
      </c>
      <c r="CE46" s="137">
        <v>96681.579754897786</v>
      </c>
      <c r="CF46" s="137">
        <v>96826.369208677934</v>
      </c>
      <c r="CG46" s="137">
        <v>96934.675684813483</v>
      </c>
      <c r="CH46" s="137">
        <v>97039.29321774462</v>
      </c>
      <c r="CI46" s="137">
        <v>97194.029460098362</v>
      </c>
      <c r="CJ46" s="137">
        <v>97240.680154884409</v>
      </c>
      <c r="CK46" s="137">
        <v>97327.372907916098</v>
      </c>
      <c r="CL46" s="137">
        <v>97471.024869054585</v>
      </c>
      <c r="CM46" s="137">
        <v>97535.191849160939</v>
      </c>
      <c r="CN46" s="137">
        <v>97631.620672199293</v>
      </c>
      <c r="CO46" s="137">
        <v>97723.609102106566</v>
      </c>
      <c r="CP46" s="137">
        <v>97812.597725666361</v>
      </c>
      <c r="CQ46" s="137">
        <v>97891.158197014709</v>
      </c>
      <c r="CR46" s="137">
        <v>97931.270388536548</v>
      </c>
      <c r="CS46" s="137">
        <v>98016.914413480758</v>
      </c>
      <c r="CT46" s="137">
        <v>98064.982761344814</v>
      </c>
      <c r="CU46" s="137">
        <v>98119.97230930932</v>
      </c>
      <c r="CV46" s="137">
        <v>98155.647826311586</v>
      </c>
      <c r="CW46" s="137">
        <v>98195.655572467804</v>
      </c>
      <c r="CX46" s="137">
        <v>98258.797671808876</v>
      </c>
      <c r="CY46" s="137">
        <v>98282.928664536958</v>
      </c>
      <c r="CZ46" s="137">
        <v>98312.951621916756</v>
      </c>
      <c r="DA46" s="137">
        <v>98333.779757468874</v>
      </c>
      <c r="DB46" s="137">
        <v>98394.410068252255</v>
      </c>
      <c r="DC46" s="137">
        <v>98433.636934979237</v>
      </c>
      <c r="DD46" s="137">
        <v>98462.711966994219</v>
      </c>
      <c r="DE46" s="137">
        <v>98496.556629076818</v>
      </c>
      <c r="DF46" s="137">
        <v>98561.159621685219</v>
      </c>
      <c r="DG46" s="137">
        <v>98580.814208044787</v>
      </c>
      <c r="DH46" s="137">
        <v>98614.63080601109</v>
      </c>
      <c r="DI46" s="137">
        <v>98627.987712937727</v>
      </c>
      <c r="DJ46" s="137">
        <v>98680.589906913752</v>
      </c>
      <c r="DK46" s="137">
        <v>98713.631050938275</v>
      </c>
      <c r="DL46" s="137">
        <v>98729.736947433761</v>
      </c>
      <c r="DM46" s="137">
        <v>98748.324141843827</v>
      </c>
      <c r="DN46" s="137">
        <v>98763.172572361145</v>
      </c>
      <c r="DO46" s="137">
        <v>98802.822680202225</v>
      </c>
      <c r="DP46" s="137">
        <f>(G_Kohorte_F!DP46+G_Kohorte_M!DP46)/2</f>
        <v>98839.196746768372</v>
      </c>
      <c r="DQ46" s="137">
        <f>(G_Kohorte_F!DQ46+G_Kohorte_M!DQ46)/2</f>
        <v>98858.110272544422</v>
      </c>
      <c r="DR46" s="137">
        <f>(G_Kohorte_F!DR46+G_Kohorte_M!DR46)/2</f>
        <v>98892.010584524571</v>
      </c>
      <c r="DS46" s="137">
        <f>(G_Kohorte_F!DS46+G_Kohorte_M!DS46)/2</f>
        <v>98912.577948125458</v>
      </c>
      <c r="DT46" s="137">
        <f>(G_Kohorte_F!DT46+G_Kohorte_M!DT46)/2</f>
        <v>98946.362011245597</v>
      </c>
      <c r="DU46" s="137">
        <f>(G_Kohorte_F!DU46+G_Kohorte_M!DU46)/2</f>
        <v>98979.010446693137</v>
      </c>
    </row>
    <row r="47" spans="1:125">
      <c r="A47" s="2348">
        <v>45</v>
      </c>
      <c r="B47" s="137"/>
      <c r="C47" s="137"/>
      <c r="D47" s="137"/>
      <c r="E47" s="137"/>
      <c r="F47" s="137"/>
      <c r="G47" s="137"/>
      <c r="H47" s="137"/>
      <c r="I47" s="137"/>
      <c r="J47" s="137"/>
      <c r="K47" s="137"/>
      <c r="L47" s="137"/>
      <c r="M47" s="137"/>
      <c r="N47" s="137"/>
      <c r="O47" s="137"/>
      <c r="P47" s="137"/>
      <c r="Q47" s="137"/>
      <c r="R47" s="137"/>
      <c r="S47" s="137"/>
      <c r="T47" s="137"/>
      <c r="U47" s="137"/>
      <c r="V47" s="137"/>
      <c r="W47" s="2342">
        <v>76433</v>
      </c>
      <c r="X47" s="2342">
        <v>77232.5</v>
      </c>
      <c r="Y47" s="137">
        <v>77371.199105038191</v>
      </c>
      <c r="Z47" s="137">
        <v>79488.967383863986</v>
      </c>
      <c r="AA47" s="137">
        <v>79912.277047031763</v>
      </c>
      <c r="AB47" s="137">
        <v>80581.215745590773</v>
      </c>
      <c r="AC47" s="137">
        <v>81414.066098950687</v>
      </c>
      <c r="AD47" s="137">
        <v>82345.943545717178</v>
      </c>
      <c r="AE47" s="137">
        <v>82304.692120790598</v>
      </c>
      <c r="AF47" s="137">
        <v>83549.71945608934</v>
      </c>
      <c r="AG47" s="137">
        <v>83986.935462519003</v>
      </c>
      <c r="AH47" s="137">
        <v>84331.638460348302</v>
      </c>
      <c r="AI47" s="137">
        <v>84687.485530121601</v>
      </c>
      <c r="AJ47" s="137">
        <v>85907.527538733179</v>
      </c>
      <c r="AK47" s="137">
        <v>85906.666481762455</v>
      </c>
      <c r="AL47" s="137">
        <v>86267.515098492819</v>
      </c>
      <c r="AM47" s="137">
        <v>86588.687054160517</v>
      </c>
      <c r="AN47" s="137">
        <v>87068.775583604671</v>
      </c>
      <c r="AO47" s="137">
        <v>87078.998242077578</v>
      </c>
      <c r="AP47" s="137">
        <v>87242.758531847649</v>
      </c>
      <c r="AQ47" s="137">
        <v>87349.20371395268</v>
      </c>
      <c r="AR47" s="137">
        <v>87452.110726283368</v>
      </c>
      <c r="AS47" s="137">
        <v>86936.513427404891</v>
      </c>
      <c r="AT47" s="137">
        <v>86258.586266957398</v>
      </c>
      <c r="AU47" s="137">
        <v>85063.403166190808</v>
      </c>
      <c r="AV47" s="137">
        <v>85425.24786843214</v>
      </c>
      <c r="AW47" s="137">
        <v>85847.663660004444</v>
      </c>
      <c r="AX47" s="137">
        <v>87987.64078985111</v>
      </c>
      <c r="AY47" s="137">
        <v>89722.46830159513</v>
      </c>
      <c r="AZ47" s="137">
        <v>89741.345239898335</v>
      </c>
      <c r="BA47" s="137">
        <v>89780.758126377506</v>
      </c>
      <c r="BB47" s="137">
        <v>90459.486276341646</v>
      </c>
      <c r="BC47" s="137">
        <v>90684.503603572433</v>
      </c>
      <c r="BD47" s="137">
        <v>91123.377456788614</v>
      </c>
      <c r="BE47" s="137">
        <v>91221.109519003017</v>
      </c>
      <c r="BF47" s="137">
        <v>91649.775782060198</v>
      </c>
      <c r="BG47" s="137">
        <v>91784.79724534991</v>
      </c>
      <c r="BH47" s="137">
        <v>92136.34047251087</v>
      </c>
      <c r="BI47" s="137">
        <v>92375.855630210892</v>
      </c>
      <c r="BJ47" s="137">
        <v>92614.174196723383</v>
      </c>
      <c r="BK47" s="137">
        <v>92984.703622697663</v>
      </c>
      <c r="BL47" s="137">
        <v>93378.15155485383</v>
      </c>
      <c r="BM47" s="137">
        <v>93747.620980339518</v>
      </c>
      <c r="BN47" s="137">
        <v>94068.616148004934</v>
      </c>
      <c r="BO47" s="137">
        <v>94347.937652892375</v>
      </c>
      <c r="BP47" s="137">
        <v>94544.283498102886</v>
      </c>
      <c r="BQ47" s="137">
        <v>94713.004550134006</v>
      </c>
      <c r="BR47" s="137">
        <v>94852.97778751349</v>
      </c>
      <c r="BS47" s="137">
        <v>94894.76269677619</v>
      </c>
      <c r="BT47" s="137">
        <v>95026.205665920905</v>
      </c>
      <c r="BU47" s="137">
        <v>95096.193003568274</v>
      </c>
      <c r="BV47" s="137">
        <v>95244.277043650742</v>
      </c>
      <c r="BW47" s="137">
        <v>95343.315371147066</v>
      </c>
      <c r="BX47" s="137">
        <v>95501.778252066026</v>
      </c>
      <c r="BY47" s="137">
        <v>95657.00103625466</v>
      </c>
      <c r="BZ47" s="137">
        <v>95921.140638176614</v>
      </c>
      <c r="CA47" s="137">
        <v>96093.012253828143</v>
      </c>
      <c r="CB47" s="137">
        <v>96179.235484919845</v>
      </c>
      <c r="CC47" s="137">
        <v>96329.728217656753</v>
      </c>
      <c r="CD47" s="137">
        <v>96452.791286683147</v>
      </c>
      <c r="CE47" s="137">
        <v>96553.639473478252</v>
      </c>
      <c r="CF47" s="137">
        <v>96700.878613702371</v>
      </c>
      <c r="CG47" s="137">
        <v>96811.651516638376</v>
      </c>
      <c r="CH47" s="137">
        <v>96918.68458147769</v>
      </c>
      <c r="CI47" s="137">
        <v>97075.726516775205</v>
      </c>
      <c r="CJ47" s="137">
        <v>97124.778010480106</v>
      </c>
      <c r="CK47" s="137">
        <v>97213.776171495483</v>
      </c>
      <c r="CL47" s="137">
        <v>97359.611783626751</v>
      </c>
      <c r="CM47" s="137">
        <v>97426.019871639204</v>
      </c>
      <c r="CN47" s="137">
        <v>97524.609934039821</v>
      </c>
      <c r="CO47" s="137">
        <v>97618.699009563483</v>
      </c>
      <c r="CP47" s="137">
        <v>97709.764592987616</v>
      </c>
      <c r="CQ47" s="137">
        <v>97790.366000968614</v>
      </c>
      <c r="CR47" s="137">
        <v>97832.527471348498</v>
      </c>
      <c r="CS47" s="137">
        <v>97920.124989201577</v>
      </c>
      <c r="CT47" s="137">
        <v>97970.149345616024</v>
      </c>
      <c r="CU47" s="137">
        <v>98027.045286917244</v>
      </c>
      <c r="CV47" s="137">
        <v>98064.607533610033</v>
      </c>
      <c r="CW47" s="137">
        <v>98106.467570655805</v>
      </c>
      <c r="CX47" s="137">
        <v>98171.394771713298</v>
      </c>
      <c r="CY47" s="137">
        <v>98197.316390716675</v>
      </c>
      <c r="CZ47" s="137">
        <v>98229.08000518076</v>
      </c>
      <c r="DA47" s="137">
        <v>98251.627202728152</v>
      </c>
      <c r="DB47" s="137">
        <v>98313.902813633918</v>
      </c>
      <c r="DC47" s="137">
        <v>98354.767469739105</v>
      </c>
      <c r="DD47" s="137">
        <v>98385.449915795354</v>
      </c>
      <c r="DE47" s="137">
        <v>98420.868561410985</v>
      </c>
      <c r="DF47" s="137">
        <v>98486.990535779085</v>
      </c>
      <c r="DG47" s="137">
        <v>98508.161829594188</v>
      </c>
      <c r="DH47" s="137">
        <v>98543.459035821637</v>
      </c>
      <c r="DI47" s="137">
        <v>98558.27687149508</v>
      </c>
      <c r="DJ47" s="137">
        <v>98612.283286470891</v>
      </c>
      <c r="DK47" s="137">
        <v>98646.717130652396</v>
      </c>
      <c r="DL47" s="137">
        <v>98664.198271039233</v>
      </c>
      <c r="DM47" s="137">
        <v>98684.126687422977</v>
      </c>
      <c r="DN47" s="137">
        <v>98700.295819061139</v>
      </c>
      <c r="DO47" s="137">
        <v>98741.22193422119</v>
      </c>
      <c r="DP47" s="137">
        <f>(G_Kohorte_F!DP47+G_Kohorte_M!DP47)/2</f>
        <v>98778.849664352485</v>
      </c>
      <c r="DQ47" s="137">
        <f>(G_Kohorte_F!DQ47+G_Kohorte_M!DQ47)/2</f>
        <v>98799.000862887449</v>
      </c>
      <c r="DR47" s="137">
        <f>(G_Kohorte_F!DR47+G_Kohorte_M!DR47)/2</f>
        <v>98834.102210363664</v>
      </c>
      <c r="DS47" s="137">
        <f>(G_Kohorte_F!DS47+G_Kohorte_M!DS47)/2</f>
        <v>98855.85799500483</v>
      </c>
      <c r="DT47" s="137">
        <f>(G_Kohorte_F!DT47+G_Kohorte_M!DT47)/2</f>
        <v>98890.796816127026</v>
      </c>
      <c r="DU47" s="137">
        <f>(G_Kohorte_F!DU47+G_Kohorte_M!DU47)/2</f>
        <v>98924.577177921208</v>
      </c>
    </row>
    <row r="48" spans="1:125">
      <c r="A48" s="2348">
        <v>46</v>
      </c>
      <c r="B48" s="137"/>
      <c r="C48" s="137"/>
      <c r="D48" s="137"/>
      <c r="E48" s="137"/>
      <c r="F48" s="137"/>
      <c r="G48" s="137"/>
      <c r="H48" s="137"/>
      <c r="I48" s="137"/>
      <c r="J48" s="137"/>
      <c r="K48" s="137"/>
      <c r="L48" s="137"/>
      <c r="M48" s="137"/>
      <c r="N48" s="137"/>
      <c r="O48" s="137"/>
      <c r="P48" s="137"/>
      <c r="Q48" s="137"/>
      <c r="R48" s="137"/>
      <c r="S48" s="137"/>
      <c r="T48" s="137"/>
      <c r="U48" s="137"/>
      <c r="V48" s="137"/>
      <c r="W48" s="2342">
        <v>76155.5</v>
      </c>
      <c r="X48" s="2342">
        <v>76944.5</v>
      </c>
      <c r="Y48" s="137">
        <v>77085.257615137118</v>
      </c>
      <c r="Z48" s="137">
        <v>79184.69379698683</v>
      </c>
      <c r="AA48" s="137">
        <v>79621.832186106942</v>
      </c>
      <c r="AB48" s="137">
        <v>80283.877809349666</v>
      </c>
      <c r="AC48" s="137">
        <v>81113.095917214887</v>
      </c>
      <c r="AD48" s="137">
        <v>82042.046753601258</v>
      </c>
      <c r="AE48" s="137">
        <v>81991.598964699879</v>
      </c>
      <c r="AF48" s="137">
        <v>83235.651388540049</v>
      </c>
      <c r="AG48" s="137">
        <v>83678.480260262921</v>
      </c>
      <c r="AH48" s="137">
        <v>84022.350313206261</v>
      </c>
      <c r="AI48" s="137">
        <v>84373.778419599752</v>
      </c>
      <c r="AJ48" s="137">
        <v>85605.304459001913</v>
      </c>
      <c r="AK48" s="137">
        <v>85607.045845034416</v>
      </c>
      <c r="AL48" s="137">
        <v>85979.053058963007</v>
      </c>
      <c r="AM48" s="137">
        <v>86313.099133489013</v>
      </c>
      <c r="AN48" s="137">
        <v>86800.158327264915</v>
      </c>
      <c r="AO48" s="137">
        <v>86810.359786446992</v>
      </c>
      <c r="AP48" s="137">
        <v>86982.579450767982</v>
      </c>
      <c r="AQ48" s="137">
        <v>87095.950109548285</v>
      </c>
      <c r="AR48" s="137">
        <v>87204.942627787474</v>
      </c>
      <c r="AS48" s="137">
        <v>86688.668577446922</v>
      </c>
      <c r="AT48" s="137">
        <v>86014.268727663963</v>
      </c>
      <c r="AU48" s="137">
        <v>84807.649826617708</v>
      </c>
      <c r="AV48" s="137">
        <v>85174.266250412766</v>
      </c>
      <c r="AW48" s="137">
        <v>85611.046741464583</v>
      </c>
      <c r="AX48" s="137">
        <v>87739.17860306814</v>
      </c>
      <c r="AY48" s="137">
        <v>89477.842975171283</v>
      </c>
      <c r="AZ48" s="137">
        <v>89495.925563026598</v>
      </c>
      <c r="BA48" s="137">
        <v>89534.353608560355</v>
      </c>
      <c r="BB48" s="137">
        <v>90222.636519273437</v>
      </c>
      <c r="BC48" s="137">
        <v>90454.12132123491</v>
      </c>
      <c r="BD48" s="137">
        <v>90892.244315536052</v>
      </c>
      <c r="BE48" s="137">
        <v>91000.012527134822</v>
      </c>
      <c r="BF48" s="137">
        <v>91426.287742086497</v>
      </c>
      <c r="BG48" s="137">
        <v>91560.629693094932</v>
      </c>
      <c r="BH48" s="137">
        <v>91932.495760936727</v>
      </c>
      <c r="BI48" s="137">
        <v>92176.927770043898</v>
      </c>
      <c r="BJ48" s="137">
        <v>92424.247316883178</v>
      </c>
      <c r="BK48" s="137">
        <v>92796.577572962182</v>
      </c>
      <c r="BL48" s="137">
        <v>93200.157065192121</v>
      </c>
      <c r="BM48" s="137">
        <v>93574.597914035578</v>
      </c>
      <c r="BN48" s="137">
        <v>93902.339998870608</v>
      </c>
      <c r="BO48" s="137">
        <v>94184.643769512288</v>
      </c>
      <c r="BP48" s="137">
        <v>94388.032888851041</v>
      </c>
      <c r="BQ48" s="137">
        <v>94555.474793495086</v>
      </c>
      <c r="BR48" s="137">
        <v>94703.421479110009</v>
      </c>
      <c r="BS48" s="137">
        <v>94744.780809103569</v>
      </c>
      <c r="BT48" s="137">
        <v>94877.307436974574</v>
      </c>
      <c r="BU48" s="137">
        <v>94946.689349402819</v>
      </c>
      <c r="BV48" s="137">
        <v>95094.276027375425</v>
      </c>
      <c r="BW48" s="137">
        <v>95207.455697479192</v>
      </c>
      <c r="BX48" s="137">
        <v>95363.658906894707</v>
      </c>
      <c r="BY48" s="137">
        <v>95509.964861622735</v>
      </c>
      <c r="BZ48" s="137">
        <v>95779.818263022185</v>
      </c>
      <c r="CA48" s="137">
        <v>95944.236557772325</v>
      </c>
      <c r="CB48" s="137">
        <v>96033.395872209658</v>
      </c>
      <c r="CC48" s="137">
        <v>96186.626408933371</v>
      </c>
      <c r="CD48" s="137">
        <v>96312.430981219019</v>
      </c>
      <c r="CE48" s="137">
        <v>96416.006838212561</v>
      </c>
      <c r="CF48" s="137">
        <v>96565.840277606068</v>
      </c>
      <c r="CG48" s="137">
        <v>96679.227237801999</v>
      </c>
      <c r="CH48" s="137">
        <v>96788.821204406078</v>
      </c>
      <c r="CI48" s="137">
        <v>96948.307368337104</v>
      </c>
      <c r="CJ48" s="137">
        <v>96999.907151139545</v>
      </c>
      <c r="CK48" s="137">
        <v>97091.352410217805</v>
      </c>
      <c r="CL48" s="137">
        <v>97239.505372152067</v>
      </c>
      <c r="CM48" s="137">
        <v>97308.294267566205</v>
      </c>
      <c r="CN48" s="137">
        <v>97409.169962815213</v>
      </c>
      <c r="CO48" s="137">
        <v>97505.49009461276</v>
      </c>
      <c r="CP48" s="137">
        <v>97598.762677215695</v>
      </c>
      <c r="CQ48" s="137">
        <v>97681.533590863837</v>
      </c>
      <c r="CR48" s="137">
        <v>97725.875021298052</v>
      </c>
      <c r="CS48" s="137">
        <v>97815.550370508965</v>
      </c>
      <c r="CT48" s="137">
        <v>97867.656633373554</v>
      </c>
      <c r="CU48" s="137">
        <v>97926.582160082049</v>
      </c>
      <c r="CV48" s="137">
        <v>97966.154028313147</v>
      </c>
      <c r="CW48" s="137">
        <v>98009.987748442349</v>
      </c>
      <c r="CX48" s="137">
        <v>98076.817143257416</v>
      </c>
      <c r="CY48" s="137">
        <v>98104.648177101422</v>
      </c>
      <c r="CZ48" s="137">
        <v>98138.268274444868</v>
      </c>
      <c r="DA48" s="137">
        <v>98162.649767837502</v>
      </c>
      <c r="DB48" s="137">
        <v>98226.68089089531</v>
      </c>
      <c r="DC48" s="137">
        <v>98269.294064074929</v>
      </c>
      <c r="DD48" s="137">
        <v>98301.693174438537</v>
      </c>
      <c r="DE48" s="137">
        <v>98338.793323845515</v>
      </c>
      <c r="DF48" s="137">
        <v>98406.538194752589</v>
      </c>
      <c r="DG48" s="137">
        <v>98429.33090979798</v>
      </c>
      <c r="DH48" s="137">
        <v>98466.211392510799</v>
      </c>
      <c r="DI48" s="137">
        <v>98482.592106673605</v>
      </c>
      <c r="DJ48" s="137">
        <v>98538.100788768381</v>
      </c>
      <c r="DK48" s="137">
        <v>98574.025334383958</v>
      </c>
      <c r="DL48" s="137">
        <v>98592.979129596002</v>
      </c>
      <c r="DM48" s="137">
        <v>98614.34411087606</v>
      </c>
      <c r="DN48" s="137">
        <v>98631.928404363163</v>
      </c>
      <c r="DO48" s="137">
        <v>98674.22193341353</v>
      </c>
      <c r="DP48" s="137">
        <f>(G_Kohorte_F!DP48+G_Kohorte_M!DP48)/2</f>
        <v>98713.193618254882</v>
      </c>
      <c r="DQ48" s="137">
        <f>(G_Kohorte_F!DQ48+G_Kohorte_M!DQ48)/2</f>
        <v>98734.672191292862</v>
      </c>
      <c r="DR48" s="137">
        <f>(G_Kohorte_F!DR48+G_Kohorte_M!DR48)/2</f>
        <v>98771.061832866544</v>
      </c>
      <c r="DS48" s="137">
        <f>(G_Kohorte_F!DS48+G_Kohorte_M!DS48)/2</f>
        <v>98794.092985953088</v>
      </c>
      <c r="DT48" s="137">
        <f>(G_Kohorte_F!DT48+G_Kohorte_M!DT48)/2</f>
        <v>98830.271279612469</v>
      </c>
      <c r="DU48" s="137">
        <f>(G_Kohorte_F!DU48+G_Kohorte_M!DU48)/2</f>
        <v>98865.266995544443</v>
      </c>
    </row>
    <row r="49" spans="1:125">
      <c r="A49" s="2348">
        <v>47</v>
      </c>
      <c r="B49" s="137"/>
      <c r="C49" s="137"/>
      <c r="D49" s="137"/>
      <c r="E49" s="137"/>
      <c r="F49" s="137"/>
      <c r="G49" s="137"/>
      <c r="H49" s="137"/>
      <c r="I49" s="137"/>
      <c r="J49" s="137"/>
      <c r="K49" s="137"/>
      <c r="L49" s="137"/>
      <c r="M49" s="137"/>
      <c r="N49" s="137"/>
      <c r="O49" s="137"/>
      <c r="P49" s="137"/>
      <c r="Q49" s="137"/>
      <c r="R49" s="137"/>
      <c r="S49" s="137"/>
      <c r="T49" s="137"/>
      <c r="U49" s="137"/>
      <c r="V49" s="137"/>
      <c r="W49" s="2342">
        <v>75848</v>
      </c>
      <c r="X49" s="2342">
        <v>76632.5</v>
      </c>
      <c r="Y49" s="137">
        <v>76753.582482537371</v>
      </c>
      <c r="Z49" s="137">
        <v>78859.727073538292</v>
      </c>
      <c r="AA49" s="137">
        <v>79290.297455888518</v>
      </c>
      <c r="AB49" s="137">
        <v>79961.335266599504</v>
      </c>
      <c r="AC49" s="137">
        <v>80784.866593970597</v>
      </c>
      <c r="AD49" s="137">
        <v>81708.688410028175</v>
      </c>
      <c r="AE49" s="137">
        <v>81659.02703901018</v>
      </c>
      <c r="AF49" s="137">
        <v>82899.910021679607</v>
      </c>
      <c r="AG49" s="137">
        <v>83339.558015920134</v>
      </c>
      <c r="AH49" s="137">
        <v>83696.712297887803</v>
      </c>
      <c r="AI49" s="137">
        <v>84048.941964561323</v>
      </c>
      <c r="AJ49" s="137">
        <v>85285.793517706858</v>
      </c>
      <c r="AK49" s="137">
        <v>85290.854550731194</v>
      </c>
      <c r="AL49" s="137">
        <v>85677.251265254483</v>
      </c>
      <c r="AM49" s="137">
        <v>86024.275408136746</v>
      </c>
      <c r="AN49" s="137">
        <v>86507.642313088378</v>
      </c>
      <c r="AO49" s="137">
        <v>86527.31301768258</v>
      </c>
      <c r="AP49" s="137">
        <v>86703.789703968359</v>
      </c>
      <c r="AQ49" s="137">
        <v>86819.571121090761</v>
      </c>
      <c r="AR49" s="137">
        <v>86925.851951717152</v>
      </c>
      <c r="AS49" s="137">
        <v>86419.882382717915</v>
      </c>
      <c r="AT49" s="137">
        <v>85735.053234936466</v>
      </c>
      <c r="AU49" s="137">
        <v>84533.955163306586</v>
      </c>
      <c r="AV49" s="137">
        <v>84907.470820292016</v>
      </c>
      <c r="AW49" s="137">
        <v>85354.795177647611</v>
      </c>
      <c r="AX49" s="137">
        <v>87480.674426881742</v>
      </c>
      <c r="AY49" s="137">
        <v>89219.320654564537</v>
      </c>
      <c r="AZ49" s="137">
        <v>89235.529558796436</v>
      </c>
      <c r="BA49" s="137">
        <v>89280.037852748239</v>
      </c>
      <c r="BB49" s="137">
        <v>89974.064319860598</v>
      </c>
      <c r="BC49" s="137">
        <v>90206.62891757203</v>
      </c>
      <c r="BD49" s="137">
        <v>90644.52347287751</v>
      </c>
      <c r="BE49" s="137">
        <v>90764.581502059373</v>
      </c>
      <c r="BF49" s="137">
        <v>91181.243401793341</v>
      </c>
      <c r="BG49" s="137">
        <v>91326.489078726532</v>
      </c>
      <c r="BH49" s="137">
        <v>91711.80909199387</v>
      </c>
      <c r="BI49" s="137">
        <v>91961.792207200866</v>
      </c>
      <c r="BJ49" s="137">
        <v>92221.136785821436</v>
      </c>
      <c r="BK49" s="137">
        <v>92594.010503275611</v>
      </c>
      <c r="BL49" s="137">
        <v>93001.087531878089</v>
      </c>
      <c r="BM49" s="137">
        <v>93388.597747504333</v>
      </c>
      <c r="BN49" s="137">
        <v>93724.518322081989</v>
      </c>
      <c r="BO49" s="137">
        <v>94008.023139923491</v>
      </c>
      <c r="BP49" s="137">
        <v>94211.502159348922</v>
      </c>
      <c r="BQ49" s="137">
        <v>94390.660933482461</v>
      </c>
      <c r="BR49" s="137">
        <v>94535.654193392445</v>
      </c>
      <c r="BS49" s="137">
        <v>94584.792913685757</v>
      </c>
      <c r="BT49" s="137">
        <v>94712.979128963692</v>
      </c>
      <c r="BU49" s="137">
        <v>94786.956540333922</v>
      </c>
      <c r="BV49" s="137">
        <v>94940.985922325708</v>
      </c>
      <c r="BW49" s="137">
        <v>95054.612192133151</v>
      </c>
      <c r="BX49" s="137">
        <v>95203.888218327687</v>
      </c>
      <c r="BY49" s="137">
        <v>95348.438560825191</v>
      </c>
      <c r="BZ49" s="137">
        <v>95616.222079496976</v>
      </c>
      <c r="CA49" s="137">
        <v>95783.6770925983</v>
      </c>
      <c r="CB49" s="137">
        <v>95875.959661222834</v>
      </c>
      <c r="CC49" s="137">
        <v>96032.100802864123</v>
      </c>
      <c r="CD49" s="137">
        <v>96160.821941621689</v>
      </c>
      <c r="CE49" s="137">
        <v>96267.301288675444</v>
      </c>
      <c r="CF49" s="137">
        <v>96419.895699316636</v>
      </c>
      <c r="CG49" s="137">
        <v>96536.066874034121</v>
      </c>
      <c r="CH49" s="137">
        <v>96648.38919296462</v>
      </c>
      <c r="CI49" s="137">
        <v>96810.479149017658</v>
      </c>
      <c r="CJ49" s="137">
        <v>96864.797005361877</v>
      </c>
      <c r="CK49" s="137">
        <v>96958.852453706815</v>
      </c>
      <c r="CL49" s="137">
        <v>97109.476593491345</v>
      </c>
      <c r="CM49" s="137">
        <v>97180.793801659107</v>
      </c>
      <c r="CN49" s="137">
        <v>97284.108168357954</v>
      </c>
      <c r="CO49" s="137">
        <v>97382.809174954687</v>
      </c>
      <c r="CP49" s="137">
        <v>97478.438198137577</v>
      </c>
      <c r="CQ49" s="137">
        <v>97563.526283970088</v>
      </c>
      <c r="CR49" s="137">
        <v>97610.197768674494</v>
      </c>
      <c r="CS49" s="137">
        <v>97702.093686992899</v>
      </c>
      <c r="CT49" s="137">
        <v>97756.426357165677</v>
      </c>
      <c r="CU49" s="137">
        <v>97817.522808500522</v>
      </c>
      <c r="CV49" s="137">
        <v>97859.245253159665</v>
      </c>
      <c r="CW49" s="137">
        <v>97905.191910659181</v>
      </c>
      <c r="CX49" s="137">
        <v>97974.057739558368</v>
      </c>
      <c r="CY49" s="137">
        <v>98003.934372903401</v>
      </c>
      <c r="CZ49" s="137">
        <v>98039.543657586095</v>
      </c>
      <c r="DA49" s="137">
        <v>98065.891481208149</v>
      </c>
      <c r="DB49" s="137">
        <v>98131.804343753698</v>
      </c>
      <c r="DC49" s="137">
        <v>98176.292872679056</v>
      </c>
      <c r="DD49" s="137">
        <v>98210.533728661452</v>
      </c>
      <c r="DE49" s="137">
        <v>98249.438478513825</v>
      </c>
      <c r="DF49" s="137">
        <v>98318.925201108897</v>
      </c>
      <c r="DG49" s="137">
        <v>98343.459134825986</v>
      </c>
      <c r="DH49" s="137">
        <v>98382.040367413196</v>
      </c>
      <c r="DI49" s="137">
        <v>98400.100555508805</v>
      </c>
      <c r="DJ49" s="137">
        <v>98457.223627413696</v>
      </c>
      <c r="DK49" s="137">
        <v>98494.750944237487</v>
      </c>
      <c r="DL49" s="137">
        <v>98515.288762004871</v>
      </c>
      <c r="DM49" s="137">
        <v>98538.199263716902</v>
      </c>
      <c r="DN49" s="137">
        <v>98557.306678768291</v>
      </c>
      <c r="DO49" s="137">
        <v>98601.072063192827</v>
      </c>
      <c r="DP49" s="137">
        <f>(G_Kohorte_F!DP49+G_Kohorte_M!DP49)/2</f>
        <v>98641.49086232124</v>
      </c>
      <c r="DQ49" s="137">
        <f>(G_Kohorte_F!DQ49+G_Kohorte_M!DQ49)/2</f>
        <v>98664.399269094487</v>
      </c>
      <c r="DR49" s="137">
        <f>(G_Kohorte_F!DR49+G_Kohorte_M!DR49)/2</f>
        <v>98702.176842199799</v>
      </c>
      <c r="DS49" s="137">
        <f>(G_Kohorte_F!DS49+G_Kohorte_M!DS49)/2</f>
        <v>98726.582657475665</v>
      </c>
      <c r="DT49" s="137">
        <f>(G_Kohorte_F!DT49+G_Kohorte_M!DT49)/2</f>
        <v>98764.09714103103</v>
      </c>
      <c r="DU49" s="137">
        <f>(G_Kohorte_F!DU49+G_Kohorte_M!DU49)/2</f>
        <v>98800.403444902506</v>
      </c>
    </row>
    <row r="50" spans="1:125">
      <c r="A50" s="2348">
        <v>48</v>
      </c>
      <c r="B50" s="137"/>
      <c r="C50" s="137"/>
      <c r="D50" s="137"/>
      <c r="E50" s="137"/>
      <c r="F50" s="137"/>
      <c r="G50" s="137"/>
      <c r="H50" s="137"/>
      <c r="I50" s="137"/>
      <c r="J50" s="137"/>
      <c r="K50" s="137"/>
      <c r="L50" s="137"/>
      <c r="M50" s="137"/>
      <c r="N50" s="137"/>
      <c r="O50" s="137"/>
      <c r="P50" s="137"/>
      <c r="Q50" s="137"/>
      <c r="R50" s="137"/>
      <c r="S50" s="137"/>
      <c r="T50" s="137"/>
      <c r="U50" s="137"/>
      <c r="V50" s="137"/>
      <c r="W50" s="2342">
        <v>75510.5</v>
      </c>
      <c r="X50" s="2342">
        <v>76278.5</v>
      </c>
      <c r="Y50" s="137">
        <v>76415.070936926582</v>
      </c>
      <c r="Z50" s="137">
        <v>78519.596714339234</v>
      </c>
      <c r="AA50" s="137">
        <v>78945.406122797576</v>
      </c>
      <c r="AB50" s="137">
        <v>79604.703095740449</v>
      </c>
      <c r="AC50" s="137">
        <v>80430.436146290711</v>
      </c>
      <c r="AD50" s="137">
        <v>81342.254058621009</v>
      </c>
      <c r="AE50" s="137">
        <v>81296.76927308453</v>
      </c>
      <c r="AF50" s="137">
        <v>82531.938562641881</v>
      </c>
      <c r="AG50" s="137">
        <v>82972.710947525266</v>
      </c>
      <c r="AH50" s="137">
        <v>83335.747589085629</v>
      </c>
      <c r="AI50" s="137">
        <v>83699.115077808354</v>
      </c>
      <c r="AJ50" s="137">
        <v>84939.000886684604</v>
      </c>
      <c r="AK50" s="137">
        <v>84958.513407087943</v>
      </c>
      <c r="AL50" s="137">
        <v>85351.403568367547</v>
      </c>
      <c r="AM50" s="137">
        <v>85708.872839508753</v>
      </c>
      <c r="AN50" s="137">
        <v>86199.828842272633</v>
      </c>
      <c r="AO50" s="137">
        <v>86222.560532853153</v>
      </c>
      <c r="AP50" s="137">
        <v>86401.250623538581</v>
      </c>
      <c r="AQ50" s="137">
        <v>86517.668606243067</v>
      </c>
      <c r="AR50" s="137">
        <v>86633.090167366056</v>
      </c>
      <c r="AS50" s="137">
        <v>86122.024790195486</v>
      </c>
      <c r="AT50" s="137">
        <v>85440.700841145386</v>
      </c>
      <c r="AU50" s="137">
        <v>84244.891804126033</v>
      </c>
      <c r="AV50" s="137">
        <v>84624.496487910539</v>
      </c>
      <c r="AW50" s="137">
        <v>85067.258052100166</v>
      </c>
      <c r="AX50" s="137">
        <v>87197.110161982157</v>
      </c>
      <c r="AY50" s="137">
        <v>88941.810958966904</v>
      </c>
      <c r="AZ50" s="137">
        <v>88963.595153171758</v>
      </c>
      <c r="BA50" s="137">
        <v>89018.502835937892</v>
      </c>
      <c r="BB50" s="137">
        <v>89703.665887689407</v>
      </c>
      <c r="BC50" s="137">
        <v>89946.400821693183</v>
      </c>
      <c r="BD50" s="137">
        <v>90377.644635222619</v>
      </c>
      <c r="BE50" s="137">
        <v>90498.932365502507</v>
      </c>
      <c r="BF50" s="137">
        <v>90932.147132147526</v>
      </c>
      <c r="BG50" s="137">
        <v>91079.298651469493</v>
      </c>
      <c r="BH50" s="137">
        <v>91473.948414712984</v>
      </c>
      <c r="BI50" s="137">
        <v>91729.899520003921</v>
      </c>
      <c r="BJ50" s="137">
        <v>91994.142831013625</v>
      </c>
      <c r="BK50" s="137">
        <v>92376.238841990518</v>
      </c>
      <c r="BL50" s="137">
        <v>92789.264603765507</v>
      </c>
      <c r="BM50" s="137">
        <v>93178.219458053369</v>
      </c>
      <c r="BN50" s="137">
        <v>93524.462302865591</v>
      </c>
      <c r="BO50" s="137">
        <v>93809.684459444106</v>
      </c>
      <c r="BP50" s="137">
        <v>94030.218464510544</v>
      </c>
      <c r="BQ50" s="137">
        <v>94198.213033012464</v>
      </c>
      <c r="BR50" s="137">
        <v>94356.058699921676</v>
      </c>
      <c r="BS50" s="137">
        <v>94406.457059975946</v>
      </c>
      <c r="BT50" s="137">
        <v>94539.770187920163</v>
      </c>
      <c r="BU50" s="137">
        <v>94609.909991817069</v>
      </c>
      <c r="BV50" s="137">
        <v>94776.443217685097</v>
      </c>
      <c r="BW50" s="137">
        <v>94880.616761727637</v>
      </c>
      <c r="BX50" s="137">
        <v>95018.404275291803</v>
      </c>
      <c r="BY50" s="137">
        <v>95168.240461748486</v>
      </c>
      <c r="BZ50" s="137">
        <v>95439.112378826918</v>
      </c>
      <c r="CA50" s="137">
        <v>95609.807363334767</v>
      </c>
      <c r="CB50" s="137">
        <v>95705.425790611247</v>
      </c>
      <c r="CC50" s="137">
        <v>95864.673734365293</v>
      </c>
      <c r="CD50" s="137">
        <v>95996.510176697135</v>
      </c>
      <c r="CE50" s="137">
        <v>96106.09256937918</v>
      </c>
      <c r="CF50" s="137">
        <v>96261.637082969741</v>
      </c>
      <c r="CG50" s="137">
        <v>96380.78553897042</v>
      </c>
      <c r="CH50" s="137">
        <v>96496.026150413585</v>
      </c>
      <c r="CI50" s="137">
        <v>96660.90088326222</v>
      </c>
      <c r="CJ50" s="137">
        <v>96718.129319238185</v>
      </c>
      <c r="CK50" s="137">
        <v>96814.979862008739</v>
      </c>
      <c r="CL50" s="137">
        <v>96968.233248194505</v>
      </c>
      <c r="CM50" s="137">
        <v>97042.258410624083</v>
      </c>
      <c r="CN50" s="137">
        <v>97148.184907092858</v>
      </c>
      <c r="CO50" s="137">
        <v>97249.43652276753</v>
      </c>
      <c r="CP50" s="137">
        <v>97347.591306506743</v>
      </c>
      <c r="CQ50" s="137">
        <v>97435.163823715906</v>
      </c>
      <c r="CR50" s="137">
        <v>97484.33536015352</v>
      </c>
      <c r="CS50" s="137">
        <v>97578.613474997808</v>
      </c>
      <c r="CT50" s="137">
        <v>97635.336152449992</v>
      </c>
      <c r="CU50" s="137">
        <v>97698.763515118975</v>
      </c>
      <c r="CV50" s="137">
        <v>97742.796060180466</v>
      </c>
      <c r="CW50" s="137">
        <v>97791.013256896462</v>
      </c>
      <c r="CX50" s="137">
        <v>97862.067402789427</v>
      </c>
      <c r="CY50" s="137">
        <v>97894.143709604075</v>
      </c>
      <c r="CZ50" s="137">
        <v>97931.892271852426</v>
      </c>
      <c r="DA50" s="137">
        <v>97960.355755665034</v>
      </c>
      <c r="DB50" s="137">
        <v>98028.293089774845</v>
      </c>
      <c r="DC50" s="137">
        <v>98074.800401793167</v>
      </c>
      <c r="DD50" s="137">
        <v>98111.024406137672</v>
      </c>
      <c r="DE50" s="137">
        <v>98151.87290873559</v>
      </c>
      <c r="DF50" s="137">
        <v>98223.235942763364</v>
      </c>
      <c r="DG50" s="137">
        <v>98249.646465642116</v>
      </c>
      <c r="DH50" s="137">
        <v>98290.061196336508</v>
      </c>
      <c r="DI50" s="137">
        <v>98309.932582135545</v>
      </c>
      <c r="DJ50" s="137">
        <v>98368.796706658555</v>
      </c>
      <c r="DK50" s="137">
        <v>98408.053393008275</v>
      </c>
      <c r="DL50" s="137">
        <v>98430.301021320367</v>
      </c>
      <c r="DM50" s="137">
        <v>98454.880079143186</v>
      </c>
      <c r="DN50" s="137">
        <v>98475.632529944152</v>
      </c>
      <c r="DO50" s="137">
        <v>98520.987693595147</v>
      </c>
      <c r="DP50" s="137">
        <f>(G_Kohorte_F!DP50+G_Kohorte_M!DP50)/2</f>
        <v>98562.970076725469</v>
      </c>
      <c r="DQ50" s="137">
        <f>(G_Kohorte_F!DQ50+G_Kohorte_M!DQ50)/2</f>
        <v>98587.423979704705</v>
      </c>
      <c r="DR50" s="137">
        <f>(G_Kohorte_F!DR50+G_Kohorte_M!DR50)/2</f>
        <v>98626.701942404849</v>
      </c>
      <c r="DS50" s="137">
        <f>(G_Kohorte_F!DS50+G_Kohorte_M!DS50)/2</f>
        <v>98652.59449367394</v>
      </c>
      <c r="DT50" s="137">
        <f>(G_Kohorte_F!DT50+G_Kohorte_M!DT50)/2</f>
        <v>98691.554316579932</v>
      </c>
      <c r="DU50" s="137">
        <f>(G_Kohorte_F!DU50+G_Kohorte_M!DU50)/2</f>
        <v>98729.278673736902</v>
      </c>
    </row>
    <row r="51" spans="1:125">
      <c r="A51" s="2348">
        <v>49</v>
      </c>
      <c r="B51" s="137"/>
      <c r="C51" s="137"/>
      <c r="D51" s="137"/>
      <c r="E51" s="137"/>
      <c r="F51" s="137"/>
      <c r="G51" s="137"/>
      <c r="H51" s="137"/>
      <c r="I51" s="137"/>
      <c r="J51" s="137"/>
      <c r="K51" s="137"/>
      <c r="L51" s="137"/>
      <c r="M51" s="137"/>
      <c r="N51" s="137"/>
      <c r="O51" s="137"/>
      <c r="P51" s="137"/>
      <c r="Q51" s="137"/>
      <c r="R51" s="137"/>
      <c r="S51" s="137"/>
      <c r="T51" s="137"/>
      <c r="U51" s="137"/>
      <c r="V51" s="137"/>
      <c r="W51" s="2342">
        <v>75121.5</v>
      </c>
      <c r="X51" s="2342">
        <v>75907</v>
      </c>
      <c r="Y51" s="137">
        <v>76038.447403496131</v>
      </c>
      <c r="Z51" s="137">
        <v>78137.35491623322</v>
      </c>
      <c r="AA51" s="137">
        <v>78567.855822869402</v>
      </c>
      <c r="AB51" s="137">
        <v>79215.266085180134</v>
      </c>
      <c r="AC51" s="137">
        <v>80049.105253116752</v>
      </c>
      <c r="AD51" s="137">
        <v>80958.680313856079</v>
      </c>
      <c r="AE51" s="137">
        <v>80905.841137883981</v>
      </c>
      <c r="AF51" s="137">
        <v>82130.880417720429</v>
      </c>
      <c r="AG51" s="137">
        <v>82589.238337088755</v>
      </c>
      <c r="AH51" s="137">
        <v>82944.455160295896</v>
      </c>
      <c r="AI51" s="137">
        <v>83325.672816730512</v>
      </c>
      <c r="AJ51" s="137">
        <v>84581.324115063238</v>
      </c>
      <c r="AK51" s="137">
        <v>84605.618911318365</v>
      </c>
      <c r="AL51" s="137">
        <v>85000.954696263143</v>
      </c>
      <c r="AM51" s="137">
        <v>85369.301647755026</v>
      </c>
      <c r="AN51" s="137">
        <v>85861.42410098172</v>
      </c>
      <c r="AO51" s="137">
        <v>85891.29098369446</v>
      </c>
      <c r="AP51" s="137">
        <v>86082.744118701201</v>
      </c>
      <c r="AQ51" s="137">
        <v>86190.145024070342</v>
      </c>
      <c r="AR51" s="137">
        <v>86309.008719983831</v>
      </c>
      <c r="AS51" s="137">
        <v>85797.249549748187</v>
      </c>
      <c r="AT51" s="137">
        <v>85113.490988316902</v>
      </c>
      <c r="AU51" s="137">
        <v>83931.235645698267</v>
      </c>
      <c r="AV51" s="137">
        <v>84321.452603906568</v>
      </c>
      <c r="AW51" s="137">
        <v>84768.865652914945</v>
      </c>
      <c r="AX51" s="137">
        <v>86904.695243275346</v>
      </c>
      <c r="AY51" s="137">
        <v>88648.227214563594</v>
      </c>
      <c r="AZ51" s="137">
        <v>88667.732861019118</v>
      </c>
      <c r="BA51" s="137">
        <v>88733.013871005882</v>
      </c>
      <c r="BB51" s="137">
        <v>89412.06145336639</v>
      </c>
      <c r="BC51" s="137">
        <v>89661.658782027342</v>
      </c>
      <c r="BD51" s="137">
        <v>90094.688189354347</v>
      </c>
      <c r="BE51" s="137">
        <v>90221.116075700673</v>
      </c>
      <c r="BF51" s="137">
        <v>90668.054249665496</v>
      </c>
      <c r="BG51" s="137">
        <v>90814.741486066559</v>
      </c>
      <c r="BH51" s="137">
        <v>91225.115374925255</v>
      </c>
      <c r="BI51" s="137">
        <v>91480.19935403578</v>
      </c>
      <c r="BJ51" s="137">
        <v>91755.993612150254</v>
      </c>
      <c r="BK51" s="137">
        <v>92138.884886074171</v>
      </c>
      <c r="BL51" s="137">
        <v>92559.398935641744</v>
      </c>
      <c r="BM51" s="137">
        <v>92961.505810069561</v>
      </c>
      <c r="BN51" s="137">
        <v>93311.789371874765</v>
      </c>
      <c r="BO51" s="137">
        <v>93601.274805897701</v>
      </c>
      <c r="BP51" s="137">
        <v>93824.145359704766</v>
      </c>
      <c r="BQ51" s="137">
        <v>93993.23495870312</v>
      </c>
      <c r="BR51" s="137">
        <v>94155.410269334592</v>
      </c>
      <c r="BS51" s="137">
        <v>94210.249210277456</v>
      </c>
      <c r="BT51" s="137">
        <v>94348.982036452275</v>
      </c>
      <c r="BU51" s="137">
        <v>94417.041431342237</v>
      </c>
      <c r="BV51" s="137">
        <v>94574.424273426266</v>
      </c>
      <c r="BW51" s="137">
        <v>94677.08925187093</v>
      </c>
      <c r="BX51" s="137">
        <v>94819.298036233115</v>
      </c>
      <c r="BY51" s="137">
        <v>94972.745008775091</v>
      </c>
      <c r="BZ51" s="137">
        <v>95246.917784387886</v>
      </c>
      <c r="CA51" s="137">
        <v>95421.080256420799</v>
      </c>
      <c r="CB51" s="137">
        <v>95520.272443545284</v>
      </c>
      <c r="CC51" s="137">
        <v>95682.846800018262</v>
      </c>
      <c r="CD51" s="137">
        <v>95818.020941808063</v>
      </c>
      <c r="CE51" s="137">
        <v>95930.929651032842</v>
      </c>
      <c r="CF51" s="137">
        <v>96089.635893581275</v>
      </c>
      <c r="CG51" s="137">
        <v>96211.977598525176</v>
      </c>
      <c r="CH51" s="137">
        <v>96330.348962082877</v>
      </c>
      <c r="CI51" s="137">
        <v>96498.210912560055</v>
      </c>
      <c r="CJ51" s="137">
        <v>96558.56518749363</v>
      </c>
      <c r="CK51" s="137">
        <v>96658.397764128895</v>
      </c>
      <c r="CL51" s="137">
        <v>96814.472616572733</v>
      </c>
      <c r="CM51" s="137">
        <v>96891.406681111213</v>
      </c>
      <c r="CN51" s="137">
        <v>97000.139326845616</v>
      </c>
      <c r="CO51" s="137">
        <v>97104.131399101228</v>
      </c>
      <c r="CP51" s="137">
        <v>97205.001293107111</v>
      </c>
      <c r="CQ51" s="137">
        <v>97295.245271330816</v>
      </c>
      <c r="CR51" s="137">
        <v>97347.106914624193</v>
      </c>
      <c r="CS51" s="137">
        <v>97443.947924194712</v>
      </c>
      <c r="CT51" s="137">
        <v>97503.243483264436</v>
      </c>
      <c r="CU51" s="137">
        <v>97569.18058073672</v>
      </c>
      <c r="CV51" s="137">
        <v>97615.701512314088</v>
      </c>
      <c r="CW51" s="137">
        <v>97666.365365083882</v>
      </c>
      <c r="CX51" s="137">
        <v>97739.777550210856</v>
      </c>
      <c r="CY51" s="137">
        <v>97774.22567480334</v>
      </c>
      <c r="CZ51" s="137">
        <v>97814.281201216509</v>
      </c>
      <c r="DA51" s="137">
        <v>97845.02716296188</v>
      </c>
      <c r="DB51" s="137">
        <v>97915.148412128998</v>
      </c>
      <c r="DC51" s="137">
        <v>97963.834706190202</v>
      </c>
      <c r="DD51" s="137">
        <v>98002.19978669993</v>
      </c>
      <c r="DE51" s="137">
        <v>98045.147443071182</v>
      </c>
      <c r="DF51" s="137">
        <v>98118.536940551247</v>
      </c>
      <c r="DG51" s="137">
        <v>98146.975209636003</v>
      </c>
      <c r="DH51" s="137">
        <v>98189.371654735616</v>
      </c>
      <c r="DI51" s="137">
        <v>98211.201301171488</v>
      </c>
      <c r="DJ51" s="137">
        <v>98271.947883419678</v>
      </c>
      <c r="DK51" s="137">
        <v>98313.075259542093</v>
      </c>
      <c r="DL51" s="137">
        <v>98337.173104004905</v>
      </c>
      <c r="DM51" s="137">
        <v>98363.558044643636</v>
      </c>
      <c r="DN51" s="137">
        <v>98386.091594994796</v>
      </c>
      <c r="DO51" s="137">
        <v>98433.168141881964</v>
      </c>
      <c r="DP51" s="137">
        <f>(G_Kohorte_F!DP51+G_Kohorte_M!DP51)/2</f>
        <v>98476.844081302115</v>
      </c>
      <c r="DQ51" s="137">
        <f>(G_Kohorte_F!DQ51+G_Kohorte_M!DQ51)/2</f>
        <v>98502.972544011631</v>
      </c>
      <c r="DR51" s="137">
        <f>(G_Kohorte_F!DR51+G_Kohorte_M!DR51)/2</f>
        <v>98543.876378059533</v>
      </c>
      <c r="DS51" s="137">
        <f>(G_Kohorte_F!DS51+G_Kohorte_M!DS51)/2</f>
        <v>98571.380709078338</v>
      </c>
      <c r="DT51" s="137">
        <f>(G_Kohorte_F!DT51+G_Kohorte_M!DT51)/2</f>
        <v>98611.907646314328</v>
      </c>
      <c r="DU51" s="137">
        <f>(G_Kohorte_F!DU51+G_Kohorte_M!DU51)/2</f>
        <v>98651.169946061316</v>
      </c>
    </row>
    <row r="52" spans="1:125">
      <c r="A52" s="2348">
        <v>50</v>
      </c>
      <c r="B52" s="137"/>
      <c r="C52" s="137"/>
      <c r="D52" s="137"/>
      <c r="E52" s="137"/>
      <c r="F52" s="137"/>
      <c r="G52" s="137"/>
      <c r="H52" s="137"/>
      <c r="I52" s="137"/>
      <c r="J52" s="137"/>
      <c r="K52" s="137"/>
      <c r="L52" s="137"/>
      <c r="M52" s="137"/>
      <c r="N52" s="137"/>
      <c r="O52" s="137"/>
      <c r="P52" s="137"/>
      <c r="Q52" s="137"/>
      <c r="R52" s="137"/>
      <c r="S52" s="137"/>
      <c r="T52" s="137"/>
      <c r="U52" s="137"/>
      <c r="V52" s="137"/>
      <c r="W52" s="2342">
        <v>74718</v>
      </c>
      <c r="X52" s="2342">
        <v>75507.5</v>
      </c>
      <c r="Y52" s="137">
        <v>75633.333843215019</v>
      </c>
      <c r="Z52" s="137">
        <v>77729.483799538546</v>
      </c>
      <c r="AA52" s="137">
        <v>78152.640365866391</v>
      </c>
      <c r="AB52" s="137">
        <v>78802.627769692772</v>
      </c>
      <c r="AC52" s="137">
        <v>79641.020336989604</v>
      </c>
      <c r="AD52" s="137">
        <v>80540.559895605416</v>
      </c>
      <c r="AE52" s="137">
        <v>80475.663111078262</v>
      </c>
      <c r="AF52" s="137">
        <v>81707.679675314866</v>
      </c>
      <c r="AG52" s="137">
        <v>82166.851039020839</v>
      </c>
      <c r="AH52" s="137">
        <v>82531.381987431116</v>
      </c>
      <c r="AI52" s="137">
        <v>82926.381029191645</v>
      </c>
      <c r="AJ52" s="137">
        <v>84193.965714927996</v>
      </c>
      <c r="AK52" s="137">
        <v>84228.724097886152</v>
      </c>
      <c r="AL52" s="137">
        <v>84627.438897248445</v>
      </c>
      <c r="AM52" s="137">
        <v>85008.478997483646</v>
      </c>
      <c r="AN52" s="137">
        <v>85507.90476645017</v>
      </c>
      <c r="AO52" s="137">
        <v>85541.163423196514</v>
      </c>
      <c r="AP52" s="137">
        <v>85732.08990640835</v>
      </c>
      <c r="AQ52" s="137">
        <v>85827.447367915185</v>
      </c>
      <c r="AR52" s="137">
        <v>85967.286582932284</v>
      </c>
      <c r="AS52" s="137">
        <v>85448.248277722232</v>
      </c>
      <c r="AT52" s="137">
        <v>84777.112534229935</v>
      </c>
      <c r="AU52" s="137">
        <v>83594.021481799165</v>
      </c>
      <c r="AV52" s="137">
        <v>83986.096579969744</v>
      </c>
      <c r="AW52" s="137">
        <v>84455.494793192483</v>
      </c>
      <c r="AX52" s="137">
        <v>86596.259754238941</v>
      </c>
      <c r="AY52" s="137">
        <v>88342.750293142628</v>
      </c>
      <c r="AZ52" s="137">
        <v>88354.880815839308</v>
      </c>
      <c r="BA52" s="137">
        <v>88425.661698656477</v>
      </c>
      <c r="BB52" s="137">
        <v>89103.266807574546</v>
      </c>
      <c r="BC52" s="137">
        <v>89348.187478448672</v>
      </c>
      <c r="BD52" s="137">
        <v>89787.906632600294</v>
      </c>
      <c r="BE52" s="137">
        <v>89927.273708577181</v>
      </c>
      <c r="BF52" s="137">
        <v>90376.99735714616</v>
      </c>
      <c r="BG52" s="137">
        <v>90533.321663746319</v>
      </c>
      <c r="BH52" s="137">
        <v>90954.834416457597</v>
      </c>
      <c r="BI52" s="137">
        <v>91208.84594004025</v>
      </c>
      <c r="BJ52" s="137">
        <v>91494.450511331001</v>
      </c>
      <c r="BK52" s="137">
        <v>91877.806350317886</v>
      </c>
      <c r="BL52" s="137">
        <v>92308.705251332198</v>
      </c>
      <c r="BM52" s="137">
        <v>92720.477154342516</v>
      </c>
      <c r="BN52" s="137">
        <v>93078.10473747972</v>
      </c>
      <c r="BO52" s="137">
        <v>93366.614522800635</v>
      </c>
      <c r="BP52" s="137">
        <v>93595.218746175553</v>
      </c>
      <c r="BQ52" s="137">
        <v>93773.247565190948</v>
      </c>
      <c r="BR52" s="137">
        <v>93935.294133367846</v>
      </c>
      <c r="BS52" s="137">
        <v>93997.648087422363</v>
      </c>
      <c r="BT52" s="137">
        <v>94138.261067054933</v>
      </c>
      <c r="BU52" s="137">
        <v>94187.993658532825</v>
      </c>
      <c r="BV52" s="137">
        <v>94344.966377038334</v>
      </c>
      <c r="BW52" s="137">
        <v>94456.928133716036</v>
      </c>
      <c r="BX52" s="137">
        <v>94603.113460280001</v>
      </c>
      <c r="BY52" s="137">
        <v>94760.429670591446</v>
      </c>
      <c r="BZ52" s="137">
        <v>95038.137075314386</v>
      </c>
      <c r="CA52" s="137">
        <v>95216.017277014122</v>
      </c>
      <c r="CB52" s="137">
        <v>95319.044805434969</v>
      </c>
      <c r="CC52" s="137">
        <v>95485.187237594393</v>
      </c>
      <c r="CD52" s="137">
        <v>95623.943731288775</v>
      </c>
      <c r="CE52" s="137">
        <v>95740.424335920397</v>
      </c>
      <c r="CF52" s="137">
        <v>95902.52514453922</v>
      </c>
      <c r="CG52" s="137">
        <v>96028.29762248823</v>
      </c>
      <c r="CH52" s="137">
        <v>96150.033433204197</v>
      </c>
      <c r="CI52" s="137">
        <v>96321.105282032557</v>
      </c>
      <c r="CJ52" s="137">
        <v>96384.798435591307</v>
      </c>
      <c r="CK52" s="137">
        <v>96487.837501812202</v>
      </c>
      <c r="CL52" s="137">
        <v>96646.945449450825</v>
      </c>
      <c r="CM52" s="137">
        <v>96727.009588716552</v>
      </c>
      <c r="CN52" s="137">
        <v>96838.761923145823</v>
      </c>
      <c r="CO52" s="137">
        <v>96945.703451153255</v>
      </c>
      <c r="CP52" s="137">
        <v>97049.496835532656</v>
      </c>
      <c r="CQ52" s="137">
        <v>97142.61811658302</v>
      </c>
      <c r="CR52" s="137">
        <v>97197.37898395193</v>
      </c>
      <c r="CS52" s="137">
        <v>97296.981743913973</v>
      </c>
      <c r="CT52" s="137">
        <v>97359.051403861929</v>
      </c>
      <c r="CU52" s="137">
        <v>97427.69500592837</v>
      </c>
      <c r="CV52" s="137">
        <v>97476.900490495886</v>
      </c>
      <c r="CW52" s="137">
        <v>97530.204739764653</v>
      </c>
      <c r="CX52" s="137">
        <v>97606.161701220495</v>
      </c>
      <c r="CY52" s="137">
        <v>97643.171006335615</v>
      </c>
      <c r="CZ52" s="137">
        <v>97685.717983654307</v>
      </c>
      <c r="DA52" s="137">
        <v>97718.929921777803</v>
      </c>
      <c r="DB52" s="137">
        <v>97791.410492214636</v>
      </c>
      <c r="DC52" s="137">
        <v>97842.451964509863</v>
      </c>
      <c r="DD52" s="137">
        <v>97883.131833875043</v>
      </c>
      <c r="DE52" s="137">
        <v>97928.349559563052</v>
      </c>
      <c r="DF52" s="137">
        <v>98003.930657335135</v>
      </c>
      <c r="DG52" s="137">
        <v>98034.562928449959</v>
      </c>
      <c r="DH52" s="137">
        <v>98079.104083442478</v>
      </c>
      <c r="DI52" s="137">
        <v>98103.053728188475</v>
      </c>
      <c r="DJ52" s="137">
        <v>98165.838276987299</v>
      </c>
      <c r="DK52" s="137">
        <v>98208.991739324629</v>
      </c>
      <c r="DL52" s="137">
        <v>98235.094187297829</v>
      </c>
      <c r="DM52" s="137">
        <v>98263.436024350289</v>
      </c>
      <c r="DN52" s="137">
        <v>98287.900276489439</v>
      </c>
      <c r="DO52" s="137">
        <v>98336.842908960505</v>
      </c>
      <c r="DP52" s="137">
        <f>(G_Kohorte_F!DP52+G_Kohorte_M!DP52)/2</f>
        <v>98382.355302691198</v>
      </c>
      <c r="DQ52" s="137">
        <f>(G_Kohorte_F!DQ52+G_Kohorte_M!DQ52)/2</f>
        <v>98410.300223852915</v>
      </c>
      <c r="DR52" s="137">
        <f>(G_Kohorte_F!DR52+G_Kohorte_M!DR52)/2</f>
        <v>98452.967895440583</v>
      </c>
      <c r="DS52" s="137">
        <f>(G_Kohorte_F!DS52+G_Kohorte_M!DS52)/2</f>
        <v>98482.221470950491</v>
      </c>
      <c r="DT52" s="137">
        <f>(G_Kohorte_F!DT52+G_Kohorte_M!DT52)/2</f>
        <v>98524.449397099379</v>
      </c>
      <c r="DU52" s="137">
        <f>(G_Kohorte_F!DU52+G_Kohorte_M!DU52)/2</f>
        <v>98565.381437245305</v>
      </c>
    </row>
    <row r="53" spans="1:125">
      <c r="A53" s="2348">
        <v>51</v>
      </c>
      <c r="B53" s="137"/>
      <c r="C53" s="137"/>
      <c r="D53" s="137"/>
      <c r="E53" s="137"/>
      <c r="F53" s="137"/>
      <c r="G53" s="137"/>
      <c r="H53" s="137"/>
      <c r="I53" s="137"/>
      <c r="J53" s="137"/>
      <c r="K53" s="137"/>
      <c r="L53" s="137"/>
      <c r="M53" s="137"/>
      <c r="N53" s="137"/>
      <c r="O53" s="137"/>
      <c r="P53" s="137"/>
      <c r="Q53" s="137"/>
      <c r="R53" s="137"/>
      <c r="S53" s="137"/>
      <c r="T53" s="137"/>
      <c r="U53" s="137"/>
      <c r="V53" s="137"/>
      <c r="W53" s="2342">
        <v>74269.5</v>
      </c>
      <c r="X53" s="2342">
        <v>75072.5</v>
      </c>
      <c r="Y53" s="137">
        <v>75208.123210746853</v>
      </c>
      <c r="Z53" s="137">
        <v>77288.80552657682</v>
      </c>
      <c r="AA53" s="137">
        <v>77705.534977898089</v>
      </c>
      <c r="AB53" s="137">
        <v>78357.829638159921</v>
      </c>
      <c r="AC53" s="137">
        <v>79190.133316593099</v>
      </c>
      <c r="AD53" s="137">
        <v>80090.645470673466</v>
      </c>
      <c r="AE53" s="137">
        <v>80022.826127861306</v>
      </c>
      <c r="AF53" s="137">
        <v>81256.88246337077</v>
      </c>
      <c r="AG53" s="137">
        <v>81721.496930758789</v>
      </c>
      <c r="AH53" s="137">
        <v>82084.391664308103</v>
      </c>
      <c r="AI53" s="137">
        <v>82481.74839931383</v>
      </c>
      <c r="AJ53" s="137">
        <v>83770.09286812543</v>
      </c>
      <c r="AK53" s="137">
        <v>83818.669030008314</v>
      </c>
      <c r="AL53" s="137">
        <v>84216.494885575376</v>
      </c>
      <c r="AM53" s="137">
        <v>84618.200830352725</v>
      </c>
      <c r="AN53" s="137">
        <v>85116.345900446977</v>
      </c>
      <c r="AO53" s="137">
        <v>85156.104540895263</v>
      </c>
      <c r="AP53" s="137">
        <v>85337.663679507881</v>
      </c>
      <c r="AQ53" s="137">
        <v>85439.463319934657</v>
      </c>
      <c r="AR53" s="137">
        <v>85593.661194218847</v>
      </c>
      <c r="AS53" s="137">
        <v>85067.099674608748</v>
      </c>
      <c r="AT53" s="137">
        <v>84409.453238909686</v>
      </c>
      <c r="AU53" s="137">
        <v>83230.98100979728</v>
      </c>
      <c r="AV53" s="137">
        <v>83642.619208197459</v>
      </c>
      <c r="AW53" s="137">
        <v>84119.291316545801</v>
      </c>
      <c r="AX53" s="137">
        <v>86267.494188324941</v>
      </c>
      <c r="AY53" s="137">
        <v>88003.781717556441</v>
      </c>
      <c r="AZ53" s="137">
        <v>88029.024998793029</v>
      </c>
      <c r="BA53" s="137">
        <v>88091.47111422813</v>
      </c>
      <c r="BB53" s="137">
        <v>88773.094353764915</v>
      </c>
      <c r="BC53" s="137">
        <v>89016.064552637021</v>
      </c>
      <c r="BD53" s="137">
        <v>89470.917185290076</v>
      </c>
      <c r="BE53" s="137">
        <v>89616.579487057752</v>
      </c>
      <c r="BF53" s="137">
        <v>90067.799386234576</v>
      </c>
      <c r="BG53" s="137">
        <v>90233.551821381319</v>
      </c>
      <c r="BH53" s="137">
        <v>90659.956144189389</v>
      </c>
      <c r="BI53" s="137">
        <v>90923.538342424552</v>
      </c>
      <c r="BJ53" s="137">
        <v>91212.641880727271</v>
      </c>
      <c r="BK53" s="137">
        <v>91596.473069934727</v>
      </c>
      <c r="BL53" s="137">
        <v>92040.075441659006</v>
      </c>
      <c r="BM53" s="137">
        <v>92465.312139923597</v>
      </c>
      <c r="BN53" s="137">
        <v>92820.045210725628</v>
      </c>
      <c r="BO53" s="137">
        <v>93112.87028440673</v>
      </c>
      <c r="BP53" s="137">
        <v>93360.068567473383</v>
      </c>
      <c r="BQ53" s="137">
        <v>93532.688216723691</v>
      </c>
      <c r="BR53" s="137">
        <v>93698.674401131007</v>
      </c>
      <c r="BS53" s="137">
        <v>93763.060850259702</v>
      </c>
      <c r="BT53" s="137">
        <v>93896.323938368907</v>
      </c>
      <c r="BU53" s="137">
        <v>93937.858608968789</v>
      </c>
      <c r="BV53" s="137">
        <v>94101.597414511518</v>
      </c>
      <c r="BW53" s="137">
        <v>94218.020713852879</v>
      </c>
      <c r="BX53" s="137">
        <v>94368.468725674349</v>
      </c>
      <c r="BY53" s="137">
        <v>94529.93326957844</v>
      </c>
      <c r="BZ53" s="137">
        <v>94811.427745653695</v>
      </c>
      <c r="CA53" s="137">
        <v>94993.295805632719</v>
      </c>
      <c r="CB53" s="137">
        <v>95100.440948527015</v>
      </c>
      <c r="CC53" s="137">
        <v>95270.41256974134</v>
      </c>
      <c r="CD53" s="137">
        <v>95413.015657066106</v>
      </c>
      <c r="CE53" s="137">
        <v>95533.333362766338</v>
      </c>
      <c r="CF53" s="137">
        <v>95699.080305523952</v>
      </c>
      <c r="CG53" s="137">
        <v>95828.540059965744</v>
      </c>
      <c r="CH53" s="137">
        <v>95953.892756591114</v>
      </c>
      <c r="CI53" s="137">
        <v>96128.387306834935</v>
      </c>
      <c r="CJ53" s="137">
        <v>96195.672078109521</v>
      </c>
      <c r="CK53" s="137">
        <v>96302.160370700294</v>
      </c>
      <c r="CL53" s="137">
        <v>96464.530365694518</v>
      </c>
      <c r="CM53" s="137">
        <v>96547.96377087984</v>
      </c>
      <c r="CN53" s="137">
        <v>96662.966727148843</v>
      </c>
      <c r="CO53" s="137">
        <v>96773.083847599439</v>
      </c>
      <c r="CP53" s="137">
        <v>96880.026073590256</v>
      </c>
      <c r="CQ53" s="137">
        <v>96976.247309347062</v>
      </c>
      <c r="CR53" s="137">
        <v>97034.133514940127</v>
      </c>
      <c r="CS53" s="137">
        <v>97136.713115905834</v>
      </c>
      <c r="CT53" s="137">
        <v>97201.774484775437</v>
      </c>
      <c r="CU53" s="137">
        <v>97273.33741551367</v>
      </c>
      <c r="CV53" s="137">
        <v>97325.439617783617</v>
      </c>
      <c r="CW53" s="137">
        <v>97381.59374236688</v>
      </c>
      <c r="CX53" s="137">
        <v>97460.297456602551</v>
      </c>
      <c r="CY53" s="137">
        <v>97500.072699650002</v>
      </c>
      <c r="CZ53" s="137">
        <v>97545.310677446629</v>
      </c>
      <c r="DA53" s="137">
        <v>97581.18702253254</v>
      </c>
      <c r="DB53" s="137">
        <v>97656.216639952792</v>
      </c>
      <c r="DC53" s="137">
        <v>97709.803803359653</v>
      </c>
      <c r="DD53" s="137">
        <v>97752.986328420782</v>
      </c>
      <c r="DE53" s="137">
        <v>97800.658940417619</v>
      </c>
      <c r="DF53" s="137">
        <v>97878.61020401874</v>
      </c>
      <c r="DG53" s="137">
        <v>97911.616291071739</v>
      </c>
      <c r="DH53" s="137">
        <v>97958.478401563523</v>
      </c>
      <c r="DI53" s="137">
        <v>97984.722960631596</v>
      </c>
      <c r="DJ53" s="137">
        <v>98049.713650529957</v>
      </c>
      <c r="DK53" s="137">
        <v>98095.061223079101</v>
      </c>
      <c r="DL53" s="137">
        <v>98123.335209172714</v>
      </c>
      <c r="DM53" s="137">
        <v>98153.797260556923</v>
      </c>
      <c r="DN53" s="137">
        <v>98180.353968428491</v>
      </c>
      <c r="DO53" s="137">
        <v>98231.319157085498</v>
      </c>
      <c r="DP53" s="137">
        <f>(G_Kohorte_F!DP53+G_Kohorte_M!DP53)/2</f>
        <v>98278.822511142076</v>
      </c>
      <c r="DQ53" s="137">
        <f>(G_Kohorte_F!DQ53+G_Kohorte_M!DQ53)/2</f>
        <v>98308.737322651519</v>
      </c>
      <c r="DR53" s="137">
        <f>(G_Kohorte_F!DR53+G_Kohorte_M!DR53)/2</f>
        <v>98353.318029290036</v>
      </c>
      <c r="DS53" s="137">
        <f>(G_Kohorte_F!DS53+G_Kohorte_M!DS53)/2</f>
        <v>98384.469470288415</v>
      </c>
      <c r="DT53" s="137">
        <f>(G_Kohorte_F!DT53+G_Kohorte_M!DT53)/2</f>
        <v>98428.543137886882</v>
      </c>
      <c r="DU53" s="137">
        <f>(G_Kohorte_F!DU53+G_Kohorte_M!DU53)/2</f>
        <v>98471.287423661939</v>
      </c>
    </row>
    <row r="54" spans="1:125">
      <c r="A54" s="2348">
        <v>52</v>
      </c>
      <c r="B54" s="137"/>
      <c r="C54" s="137"/>
      <c r="D54" s="137"/>
      <c r="E54" s="137"/>
      <c r="F54" s="137"/>
      <c r="G54" s="137"/>
      <c r="H54" s="137"/>
      <c r="I54" s="137"/>
      <c r="J54" s="137"/>
      <c r="K54" s="137"/>
      <c r="L54" s="137"/>
      <c r="M54" s="137"/>
      <c r="N54" s="137"/>
      <c r="O54" s="137"/>
      <c r="P54" s="137"/>
      <c r="Q54" s="137"/>
      <c r="R54" s="137"/>
      <c r="S54" s="137"/>
      <c r="T54" s="137"/>
      <c r="U54" s="137"/>
      <c r="V54" s="137"/>
      <c r="W54" s="2342">
        <v>73795.5</v>
      </c>
      <c r="X54" s="2342">
        <v>74601.5</v>
      </c>
      <c r="Y54" s="137">
        <v>74710.82394820686</v>
      </c>
      <c r="Z54" s="137">
        <v>76805.38271382681</v>
      </c>
      <c r="AA54" s="137">
        <v>77231.12423869432</v>
      </c>
      <c r="AB54" s="137">
        <v>77883.683870027395</v>
      </c>
      <c r="AC54" s="137">
        <v>78720.040810299077</v>
      </c>
      <c r="AD54" s="137">
        <v>79605.993023944015</v>
      </c>
      <c r="AE54" s="137">
        <v>79546.587520357745</v>
      </c>
      <c r="AF54" s="137">
        <v>80762.461282910721</v>
      </c>
      <c r="AG54" s="137">
        <v>81248.388074323491</v>
      </c>
      <c r="AH54" s="137">
        <v>81627.893354716041</v>
      </c>
      <c r="AI54" s="137">
        <v>82028.280316934077</v>
      </c>
      <c r="AJ54" s="137">
        <v>83312.909625945205</v>
      </c>
      <c r="AK54" s="137">
        <v>83374.428694285161</v>
      </c>
      <c r="AL54" s="137">
        <v>83798.325077389163</v>
      </c>
      <c r="AM54" s="137">
        <v>84204.522841614278</v>
      </c>
      <c r="AN54" s="137">
        <v>84701.728038416913</v>
      </c>
      <c r="AO54" s="137">
        <v>84728.426081420708</v>
      </c>
      <c r="AP54" s="137">
        <v>84922.744335248164</v>
      </c>
      <c r="AQ54" s="137">
        <v>85037.402388300776</v>
      </c>
      <c r="AR54" s="137">
        <v>85200.376541188671</v>
      </c>
      <c r="AS54" s="137">
        <v>84666.567262338867</v>
      </c>
      <c r="AT54" s="137">
        <v>84010.193741264346</v>
      </c>
      <c r="AU54" s="137">
        <v>82866.634170869016</v>
      </c>
      <c r="AV54" s="137">
        <v>83273.511828221643</v>
      </c>
      <c r="AW54" s="137">
        <v>83769.747290756059</v>
      </c>
      <c r="AX54" s="137">
        <v>85908.888505366762</v>
      </c>
      <c r="AY54" s="137">
        <v>87653.355607106219</v>
      </c>
      <c r="AZ54" s="137">
        <v>87667.228413740842</v>
      </c>
      <c r="BA54" s="137">
        <v>87739.819124527072</v>
      </c>
      <c r="BB54" s="137">
        <v>88428.40326683785</v>
      </c>
      <c r="BC54" s="137">
        <v>88679.36922530859</v>
      </c>
      <c r="BD54" s="137">
        <v>89125.466761994132</v>
      </c>
      <c r="BE54" s="137">
        <v>89277.05136571583</v>
      </c>
      <c r="BF54" s="137">
        <v>89740.363590386842</v>
      </c>
      <c r="BG54" s="137">
        <v>89908.524320837838</v>
      </c>
      <c r="BH54" s="137">
        <v>90339.124837542826</v>
      </c>
      <c r="BI54" s="137">
        <v>90594.366915264152</v>
      </c>
      <c r="BJ54" s="137">
        <v>90905.636989863007</v>
      </c>
      <c r="BK54" s="137">
        <v>91295.68396932866</v>
      </c>
      <c r="BL54" s="137">
        <v>91744.688520542317</v>
      </c>
      <c r="BM54" s="137">
        <v>92179.292284771102</v>
      </c>
      <c r="BN54" s="137">
        <v>92549.094263616949</v>
      </c>
      <c r="BO54" s="137">
        <v>92841.624970311008</v>
      </c>
      <c r="BP54" s="137">
        <v>93088.524344576348</v>
      </c>
      <c r="BQ54" s="137">
        <v>93270.007390313462</v>
      </c>
      <c r="BR54" s="137">
        <v>93442.395640307979</v>
      </c>
      <c r="BS54" s="137">
        <v>93494.269307078081</v>
      </c>
      <c r="BT54" s="137">
        <v>93620.182691910362</v>
      </c>
      <c r="BU54" s="137">
        <v>93669.50742879411</v>
      </c>
      <c r="BV54" s="137">
        <v>93837.93661848786</v>
      </c>
      <c r="BW54" s="137">
        <v>93959.140090876826</v>
      </c>
      <c r="BX54" s="137">
        <v>94114.155214003185</v>
      </c>
      <c r="BY54" s="137">
        <v>94280.065126332032</v>
      </c>
      <c r="BZ54" s="137">
        <v>94565.615349429776</v>
      </c>
      <c r="CA54" s="137">
        <v>94751.758626201161</v>
      </c>
      <c r="CB54" s="137">
        <v>94863.321527442909</v>
      </c>
      <c r="CC54" s="137">
        <v>95037.400462282705</v>
      </c>
      <c r="CD54" s="137">
        <v>95184.131459440134</v>
      </c>
      <c r="CE54" s="137">
        <v>95308.568559854728</v>
      </c>
      <c r="CF54" s="137">
        <v>95478.229594243574</v>
      </c>
      <c r="CG54" s="137">
        <v>95611.649659019778</v>
      </c>
      <c r="CH54" s="137">
        <v>95740.856287313916</v>
      </c>
      <c r="CI54" s="137">
        <v>95919.026894313341</v>
      </c>
      <c r="CJ54" s="137">
        <v>95990.172812293822</v>
      </c>
      <c r="CK54" s="137">
        <v>96100.369202116883</v>
      </c>
      <c r="CL54" s="137">
        <v>96266.245548718231</v>
      </c>
      <c r="CM54" s="137">
        <v>96353.303321405168</v>
      </c>
      <c r="CN54" s="137">
        <v>96471.803195139742</v>
      </c>
      <c r="CO54" s="137">
        <v>96585.337256312981</v>
      </c>
      <c r="CP54" s="137">
        <v>96695.668667974824</v>
      </c>
      <c r="CQ54" s="137">
        <v>96795.227391891618</v>
      </c>
      <c r="CR54" s="137">
        <v>96856.480043871168</v>
      </c>
      <c r="CS54" s="137">
        <v>96962.265951325637</v>
      </c>
      <c r="CT54" s="137">
        <v>97030.551121538927</v>
      </c>
      <c r="CU54" s="137">
        <v>97105.260414534307</v>
      </c>
      <c r="CV54" s="137">
        <v>97160.485654720498</v>
      </c>
      <c r="CW54" s="137">
        <v>97219.713020649928</v>
      </c>
      <c r="CX54" s="137">
        <v>97301.378960651244</v>
      </c>
      <c r="CY54" s="137">
        <v>97344.138492123049</v>
      </c>
      <c r="CZ54" s="137">
        <v>97392.28036447597</v>
      </c>
      <c r="DA54" s="137">
        <v>97431.032743311487</v>
      </c>
      <c r="DB54" s="137">
        <v>97508.813823637611</v>
      </c>
      <c r="DC54" s="137">
        <v>97565.149833155272</v>
      </c>
      <c r="DD54" s="137">
        <v>97611.035405334405</v>
      </c>
      <c r="DE54" s="137">
        <v>97661.360006428033</v>
      </c>
      <c r="DF54" s="137">
        <v>97741.871871414449</v>
      </c>
      <c r="DG54" s="137">
        <v>97777.443594419456</v>
      </c>
      <c r="DH54" s="137">
        <v>97826.814613264694</v>
      </c>
      <c r="DI54" s="137">
        <v>97855.540665376699</v>
      </c>
      <c r="DJ54" s="137">
        <v>97922.916881017009</v>
      </c>
      <c r="DK54" s="137">
        <v>97970.63774280416</v>
      </c>
      <c r="DL54" s="137">
        <v>98001.261285328525</v>
      </c>
      <c r="DM54" s="137">
        <v>98034.017759770271</v>
      </c>
      <c r="DN54" s="137">
        <v>98062.839407212246</v>
      </c>
      <c r="DO54" s="137">
        <v>98115.994026506669</v>
      </c>
      <c r="DP54" s="137">
        <f>(G_Kohorte_F!DP54+G_Kohorte_M!DP54)/2</f>
        <v>98165.653099490039</v>
      </c>
      <c r="DQ54" s="137">
        <f>(G_Kohorte_F!DQ54+G_Kohorte_M!DQ54)/2</f>
        <v>98197.701422217593</v>
      </c>
      <c r="DR54" s="137">
        <f>(G_Kohorte_F!DR54+G_Kohorte_M!DR54)/2</f>
        <v>98244.354297409431</v>
      </c>
      <c r="DS54" s="137">
        <f>(G_Kohorte_F!DS54+G_Kohorte_M!DS54)/2</f>
        <v>98277.562069346372</v>
      </c>
      <c r="DT54" s="137">
        <f>(G_Kohorte_F!DT54+G_Kohorte_M!DT54)/2</f>
        <v>98323.635839973256</v>
      </c>
      <c r="DU54" s="137">
        <f>(G_Kohorte_F!DU54+G_Kohorte_M!DU54)/2</f>
        <v>98368.344333397079</v>
      </c>
    </row>
    <row r="55" spans="1:125">
      <c r="A55" s="2348">
        <v>53</v>
      </c>
      <c r="B55" s="137"/>
      <c r="C55" s="137"/>
      <c r="D55" s="137"/>
      <c r="E55" s="137"/>
      <c r="F55" s="137"/>
      <c r="G55" s="137"/>
      <c r="H55" s="137"/>
      <c r="I55" s="137"/>
      <c r="J55" s="137"/>
      <c r="K55" s="137"/>
      <c r="L55" s="137"/>
      <c r="M55" s="137"/>
      <c r="N55" s="137"/>
      <c r="O55" s="137"/>
      <c r="P55" s="137"/>
      <c r="Q55" s="137"/>
      <c r="R55" s="137"/>
      <c r="S55" s="137"/>
      <c r="T55" s="137"/>
      <c r="U55" s="137"/>
      <c r="V55" s="137"/>
      <c r="W55" s="2342">
        <v>73291.5</v>
      </c>
      <c r="X55" s="2342">
        <v>74090</v>
      </c>
      <c r="Y55" s="137">
        <v>74197.536312385477</v>
      </c>
      <c r="Z55" s="137">
        <v>76295.612797033609</v>
      </c>
      <c r="AA55" s="137">
        <v>76724.105558258132</v>
      </c>
      <c r="AB55" s="137">
        <v>77380.624098982691</v>
      </c>
      <c r="AC55" s="137">
        <v>78195.847888927121</v>
      </c>
      <c r="AD55" s="137">
        <v>79080.36880024182</v>
      </c>
      <c r="AE55" s="137">
        <v>79027.124764383989</v>
      </c>
      <c r="AF55" s="137">
        <v>80251.75612950584</v>
      </c>
      <c r="AG55" s="137">
        <v>80747.385264703917</v>
      </c>
      <c r="AH55" s="137">
        <v>81132.784177320063</v>
      </c>
      <c r="AI55" s="137">
        <v>81536.708249696763</v>
      </c>
      <c r="AJ55" s="137">
        <v>82833.911198569447</v>
      </c>
      <c r="AK55" s="137">
        <v>82899.020355616667</v>
      </c>
      <c r="AL55" s="137">
        <v>83347.280721420015</v>
      </c>
      <c r="AM55" s="137">
        <v>83763.273456194933</v>
      </c>
      <c r="AN55" s="137">
        <v>84244.252473418979</v>
      </c>
      <c r="AO55" s="137">
        <v>84286.033573332941</v>
      </c>
      <c r="AP55" s="137">
        <v>84482.858326661284</v>
      </c>
      <c r="AQ55" s="137">
        <v>84595.723975198445</v>
      </c>
      <c r="AR55" s="137">
        <v>84768.465787478955</v>
      </c>
      <c r="AS55" s="137">
        <v>84245.830914178281</v>
      </c>
      <c r="AT55" s="137">
        <v>83591.252223843592</v>
      </c>
      <c r="AU55" s="137">
        <v>82472.873276248167</v>
      </c>
      <c r="AV55" s="137">
        <v>82896.617828011222</v>
      </c>
      <c r="AW55" s="137">
        <v>83387.691829510761</v>
      </c>
      <c r="AX55" s="137">
        <v>85535.074581101944</v>
      </c>
      <c r="AY55" s="137">
        <v>87263.103393687197</v>
      </c>
      <c r="AZ55" s="137">
        <v>87279.736590572778</v>
      </c>
      <c r="BA55" s="137">
        <v>87357.612020496323</v>
      </c>
      <c r="BB55" s="137">
        <v>88049.712347854744</v>
      </c>
      <c r="BC55" s="137">
        <v>88304.726271785854</v>
      </c>
      <c r="BD55" s="137">
        <v>88763.40192834608</v>
      </c>
      <c r="BE55" s="137">
        <v>88914.741440792743</v>
      </c>
      <c r="BF55" s="137">
        <v>89386.713617734291</v>
      </c>
      <c r="BG55" s="137">
        <v>89557.866574553889</v>
      </c>
      <c r="BH55" s="137">
        <v>89990.590323865559</v>
      </c>
      <c r="BI55" s="137">
        <v>90251.926915970733</v>
      </c>
      <c r="BJ55" s="137">
        <v>90566.429882308643</v>
      </c>
      <c r="BK55" s="137">
        <v>90972.124070715057</v>
      </c>
      <c r="BL55" s="137">
        <v>91426.582232108587</v>
      </c>
      <c r="BM55" s="137">
        <v>91865.30409007211</v>
      </c>
      <c r="BN55" s="137">
        <v>92252.782375459879</v>
      </c>
      <c r="BO55" s="137">
        <v>92546.075365922676</v>
      </c>
      <c r="BP55" s="137">
        <v>92795.639469599133</v>
      </c>
      <c r="BQ55" s="137">
        <v>92987.042647030656</v>
      </c>
      <c r="BR55" s="137">
        <v>93156.153960602387</v>
      </c>
      <c r="BS55" s="137">
        <v>93190.506149076769</v>
      </c>
      <c r="BT55" s="137">
        <v>93324.312688477483</v>
      </c>
      <c r="BU55" s="137">
        <v>93379.17415485048</v>
      </c>
      <c r="BV55" s="137">
        <v>93552.624780930259</v>
      </c>
      <c r="BW55" s="137">
        <v>93678.948628218437</v>
      </c>
      <c r="BX55" s="137">
        <v>93838.856120936514</v>
      </c>
      <c r="BY55" s="137">
        <v>94009.528854762815</v>
      </c>
      <c r="BZ55" s="137">
        <v>94299.422037148819</v>
      </c>
      <c r="CA55" s="137">
        <v>94490.147520897153</v>
      </c>
      <c r="CB55" s="137">
        <v>94606.448660929251</v>
      </c>
      <c r="CC55" s="137">
        <v>94784.932325126298</v>
      </c>
      <c r="CD55" s="137">
        <v>94936.091914031043</v>
      </c>
      <c r="CE55" s="137">
        <v>95064.950072524691</v>
      </c>
      <c r="CF55" s="137">
        <v>95238.81171480543</v>
      </c>
      <c r="CG55" s="137">
        <v>95376.448163114197</v>
      </c>
      <c r="CH55" s="137">
        <v>95509.793504020054</v>
      </c>
      <c r="CI55" s="137">
        <v>95691.911556672741</v>
      </c>
      <c r="CJ55" s="137">
        <v>95767.207146411311</v>
      </c>
      <c r="CK55" s="137">
        <v>95881.388766792195</v>
      </c>
      <c r="CL55" s="137">
        <v>96051.033142305241</v>
      </c>
      <c r="CM55" s="137">
        <v>96141.988354854853</v>
      </c>
      <c r="CN55" s="137">
        <v>96264.248798728935</v>
      </c>
      <c r="CO55" s="137">
        <v>96381.458291476752</v>
      </c>
      <c r="CP55" s="137">
        <v>96495.436144919222</v>
      </c>
      <c r="CQ55" s="137">
        <v>96598.586647968623</v>
      </c>
      <c r="CR55" s="137">
        <v>96663.463728053786</v>
      </c>
      <c r="CS55" s="137">
        <v>96772.701575488973</v>
      </c>
      <c r="CT55" s="137">
        <v>96844.458910665184</v>
      </c>
      <c r="CU55" s="137">
        <v>96922.55754631359</v>
      </c>
      <c r="CV55" s="137">
        <v>96981.148012052276</v>
      </c>
      <c r="CW55" s="137">
        <v>97043.687557558471</v>
      </c>
      <c r="CX55" s="137">
        <v>97128.54631178391</v>
      </c>
      <c r="CY55" s="137">
        <v>97174.523691772818</v>
      </c>
      <c r="CZ55" s="137">
        <v>97225.797259641899</v>
      </c>
      <c r="DA55" s="137">
        <v>97267.652037228167</v>
      </c>
      <c r="DB55" s="137">
        <v>97348.401163573144</v>
      </c>
      <c r="DC55" s="137">
        <v>97407.703284126968</v>
      </c>
      <c r="DD55" s="137">
        <v>97456.506249464277</v>
      </c>
      <c r="DE55" s="137">
        <v>97509.693627973727</v>
      </c>
      <c r="DF55" s="137">
        <v>97592.969754129212</v>
      </c>
      <c r="DG55" s="137">
        <v>97631.31227260844</v>
      </c>
      <c r="DH55" s="137">
        <v>97683.39316460921</v>
      </c>
      <c r="DI55" s="137">
        <v>97714.800226399791</v>
      </c>
      <c r="DJ55" s="137">
        <v>97784.753793176904</v>
      </c>
      <c r="DK55" s="137">
        <v>97835.039492647978</v>
      </c>
      <c r="DL55" s="137">
        <v>97868.202884220984</v>
      </c>
      <c r="DM55" s="137">
        <v>97903.440035355161</v>
      </c>
      <c r="DN55" s="137">
        <v>97934.710970591928</v>
      </c>
      <c r="DO55" s="137">
        <v>97990.233394241193</v>
      </c>
      <c r="DP55" s="137">
        <f>(G_Kohorte_F!DP55+G_Kohorte_M!DP55)/2</f>
        <v>98042.224269479571</v>
      </c>
      <c r="DQ55" s="137">
        <f>(G_Kohorte_F!DQ55+G_Kohorte_M!DQ55)/2</f>
        <v>98076.580962747219</v>
      </c>
      <c r="DR55" s="137">
        <f>(G_Kohorte_F!DR55+G_Kohorte_M!DR55)/2</f>
        <v>98125.476091223885</v>
      </c>
      <c r="DS55" s="137">
        <f>(G_Kohorte_F!DS55+G_Kohorte_M!DS55)/2</f>
        <v>98160.909504176467</v>
      </c>
      <c r="DT55" s="137">
        <f>(G_Kohorte_F!DT55+G_Kohorte_M!DT55)/2</f>
        <v>98209.148317097191</v>
      </c>
      <c r="DU55" s="137">
        <f>(G_Kohorte_F!DU55+G_Kohorte_M!DU55)/2</f>
        <v>98255.983381710015</v>
      </c>
    </row>
    <row r="56" spans="1:125">
      <c r="A56" s="2348">
        <v>54</v>
      </c>
      <c r="B56" s="137"/>
      <c r="C56" s="137"/>
      <c r="D56" s="137"/>
      <c r="E56" s="137"/>
      <c r="F56" s="137"/>
      <c r="G56" s="137"/>
      <c r="H56" s="137"/>
      <c r="I56" s="137"/>
      <c r="J56" s="137"/>
      <c r="K56" s="137"/>
      <c r="L56" s="137"/>
      <c r="M56" s="137"/>
      <c r="N56" s="137"/>
      <c r="O56" s="137"/>
      <c r="P56" s="137"/>
      <c r="Q56" s="137"/>
      <c r="R56" s="137"/>
      <c r="S56" s="137"/>
      <c r="T56" s="137"/>
      <c r="U56" s="137"/>
      <c r="V56" s="137"/>
      <c r="W56" s="2342">
        <v>72739</v>
      </c>
      <c r="X56" s="2342">
        <v>73539.5</v>
      </c>
      <c r="Y56" s="137">
        <v>73653.713551813329</v>
      </c>
      <c r="Z56" s="137">
        <v>75746.585367057749</v>
      </c>
      <c r="AA56" s="137">
        <v>76183.483044370689</v>
      </c>
      <c r="AB56" s="137">
        <v>76834.721750225406</v>
      </c>
      <c r="AC56" s="137">
        <v>77654.877581646622</v>
      </c>
      <c r="AD56" s="137">
        <v>78518.766407701623</v>
      </c>
      <c r="AE56" s="137">
        <v>78475.187132212755</v>
      </c>
      <c r="AF56" s="137">
        <v>79698.130514508812</v>
      </c>
      <c r="AG56" s="137">
        <v>80212.071040984825</v>
      </c>
      <c r="AH56" s="137">
        <v>80604.634500004046</v>
      </c>
      <c r="AI56" s="137">
        <v>81024.074946833338</v>
      </c>
      <c r="AJ56" s="137">
        <v>82312.638324435771</v>
      </c>
      <c r="AK56" s="137">
        <v>82391.427504657462</v>
      </c>
      <c r="AL56" s="137">
        <v>82849.570989698783</v>
      </c>
      <c r="AM56" s="137">
        <v>83258.234451256882</v>
      </c>
      <c r="AN56" s="137">
        <v>83763.127706091327</v>
      </c>
      <c r="AO56" s="137">
        <v>83807.846190979821</v>
      </c>
      <c r="AP56" s="137">
        <v>84031.914998217806</v>
      </c>
      <c r="AQ56" s="137">
        <v>84139.568539762957</v>
      </c>
      <c r="AR56" s="137">
        <v>84313.247379988708</v>
      </c>
      <c r="AS56" s="137">
        <v>83805.841976585245</v>
      </c>
      <c r="AT56" s="137">
        <v>83153.56393946844</v>
      </c>
      <c r="AU56" s="137">
        <v>82065.162323022436</v>
      </c>
      <c r="AV56" s="137">
        <v>82474.391085028881</v>
      </c>
      <c r="AW56" s="137">
        <v>82995.147298458556</v>
      </c>
      <c r="AX56" s="137">
        <v>85134.87087793331</v>
      </c>
      <c r="AY56" s="137">
        <v>86848.584151986885</v>
      </c>
      <c r="AZ56" s="137">
        <v>86875.688156941702</v>
      </c>
      <c r="BA56" s="137">
        <v>86955.357642872041</v>
      </c>
      <c r="BB56" s="137">
        <v>87659.135282407748</v>
      </c>
      <c r="BC56" s="137">
        <v>87917.507376991678</v>
      </c>
      <c r="BD56" s="137">
        <v>88370.531751646253</v>
      </c>
      <c r="BE56" s="137">
        <v>88534.197962695383</v>
      </c>
      <c r="BF56" s="137">
        <v>89005.078108979185</v>
      </c>
      <c r="BG56" s="137">
        <v>89170.560251262505</v>
      </c>
      <c r="BH56" s="137">
        <v>89624.885072752979</v>
      </c>
      <c r="BI56" s="137">
        <v>89885.202918828028</v>
      </c>
      <c r="BJ56" s="137">
        <v>90203.308470046031</v>
      </c>
      <c r="BK56" s="137">
        <v>90611.713862330915</v>
      </c>
      <c r="BL56" s="137">
        <v>91076.187347542262</v>
      </c>
      <c r="BM56" s="137">
        <v>91535.764462480263</v>
      </c>
      <c r="BN56" s="137">
        <v>91922.464166746038</v>
      </c>
      <c r="BO56" s="137">
        <v>92225.989437307129</v>
      </c>
      <c r="BP56" s="137">
        <v>92474.220946006011</v>
      </c>
      <c r="BQ56" s="137">
        <v>92668.442402703891</v>
      </c>
      <c r="BR56" s="137">
        <v>92836.180415190349</v>
      </c>
      <c r="BS56" s="137">
        <v>92864.907384613063</v>
      </c>
      <c r="BT56" s="137">
        <v>93004.446057428941</v>
      </c>
      <c r="BU56" s="137">
        <v>93065.24012666216</v>
      </c>
      <c r="BV56" s="137">
        <v>93244.069162174943</v>
      </c>
      <c r="BW56" s="137">
        <v>93375.88003664164</v>
      </c>
      <c r="BX56" s="137">
        <v>93541.030603788633</v>
      </c>
      <c r="BY56" s="137">
        <v>93716.808505447116</v>
      </c>
      <c r="BZ56" s="137">
        <v>94011.354519169166</v>
      </c>
      <c r="CA56" s="137">
        <v>94206.993198197073</v>
      </c>
      <c r="CB56" s="137">
        <v>94328.377932873991</v>
      </c>
      <c r="CC56" s="137">
        <v>94511.5871399116</v>
      </c>
      <c r="CD56" s="137">
        <v>94667.499534517381</v>
      </c>
      <c r="CE56" s="137">
        <v>94801.103956064355</v>
      </c>
      <c r="CF56" s="137">
        <v>94979.435745974799</v>
      </c>
      <c r="CG56" s="137">
        <v>95121.600883001083</v>
      </c>
      <c r="CH56" s="137">
        <v>95259.392547190349</v>
      </c>
      <c r="CI56" s="137">
        <v>95445.751246981265</v>
      </c>
      <c r="CJ56" s="137">
        <v>95525.507989119767</v>
      </c>
      <c r="CK56" s="137">
        <v>95643.974050543882</v>
      </c>
      <c r="CL56" s="137">
        <v>95817.669094691693</v>
      </c>
      <c r="CM56" s="137">
        <v>95912.816502484158</v>
      </c>
      <c r="CN56" s="137">
        <v>96039.122118046827</v>
      </c>
      <c r="CO56" s="137">
        <v>96160.286131578789</v>
      </c>
      <c r="CP56" s="137">
        <v>96278.188067162104</v>
      </c>
      <c r="CQ56" s="137">
        <v>96385.204789509356</v>
      </c>
      <c r="CR56" s="137">
        <v>96453.984589972446</v>
      </c>
      <c r="CS56" s="137">
        <v>96566.939432971762</v>
      </c>
      <c r="CT56" s="137">
        <v>96642.436837957735</v>
      </c>
      <c r="CU56" s="137">
        <v>96724.186920249456</v>
      </c>
      <c r="CV56" s="137">
        <v>96786.403810584059</v>
      </c>
      <c r="CW56" s="137">
        <v>96852.513162664254</v>
      </c>
      <c r="CX56" s="137">
        <v>96940.81341115135</v>
      </c>
      <c r="CY56" s="137">
        <v>96990.26041374146</v>
      </c>
      <c r="CZ56" s="137">
        <v>97044.911276406958</v>
      </c>
      <c r="DA56" s="137">
        <v>97090.112432039547</v>
      </c>
      <c r="DB56" s="137">
        <v>97174.063093163189</v>
      </c>
      <c r="DC56" s="137">
        <v>97236.565451204486</v>
      </c>
      <c r="DD56" s="137">
        <v>97288.516789434027</v>
      </c>
      <c r="DE56" s="137">
        <v>97344.794053449092</v>
      </c>
      <c r="DF56" s="137">
        <v>97431.053872653749</v>
      </c>
      <c r="DG56" s="137">
        <v>97472.388201109774</v>
      </c>
      <c r="DH56" s="137">
        <v>97527.395418777945</v>
      </c>
      <c r="DI56" s="137">
        <v>97561.698367286648</v>
      </c>
      <c r="DJ56" s="137">
        <v>97634.435887278742</v>
      </c>
      <c r="DK56" s="137">
        <v>97687.492666254839</v>
      </c>
      <c r="DL56" s="137">
        <v>97723.400761983066</v>
      </c>
      <c r="DM56" s="137">
        <v>97761.319103004353</v>
      </c>
      <c r="DN56" s="137">
        <v>97795.237733259055</v>
      </c>
      <c r="DO56" s="137">
        <v>97853.31994935422</v>
      </c>
      <c r="DP56" s="137">
        <f>(G_Kohorte_F!DP56+G_Kohorte_M!DP56)/2</f>
        <v>97907.832115603393</v>
      </c>
      <c r="DQ56" s="137">
        <f>(G_Kohorte_F!DQ56+G_Kohorte_M!DQ56)/2</f>
        <v>97944.685322025631</v>
      </c>
      <c r="DR56" s="137">
        <f>(G_Kohorte_F!DR56+G_Kohorte_M!DR56)/2</f>
        <v>97996.005715159772</v>
      </c>
      <c r="DS56" s="137">
        <f>(G_Kohorte_F!DS56+G_Kohorte_M!DS56)/2</f>
        <v>98033.846888703891</v>
      </c>
      <c r="DT56" s="137">
        <f>(G_Kohorte_F!DT56+G_Kohorte_M!DT56)/2</f>
        <v>98084.428162887183</v>
      </c>
      <c r="DU56" s="137">
        <f>(G_Kohorte_F!DU56+G_Kohorte_M!DU56)/2</f>
        <v>98133.564425330449</v>
      </c>
    </row>
    <row r="57" spans="1:125">
      <c r="A57" s="2348">
        <v>55</v>
      </c>
      <c r="B57" s="137"/>
      <c r="C57" s="137"/>
      <c r="D57" s="137"/>
      <c r="E57" s="137"/>
      <c r="F57" s="137"/>
      <c r="G57" s="137"/>
      <c r="H57" s="137"/>
      <c r="I57" s="137"/>
      <c r="J57" s="137"/>
      <c r="K57" s="137"/>
      <c r="L57" s="137"/>
      <c r="M57" s="137"/>
      <c r="N57" s="137"/>
      <c r="O57" s="137"/>
      <c r="P57" s="137"/>
      <c r="Q57" s="137"/>
      <c r="R57" s="137"/>
      <c r="S57" s="137"/>
      <c r="T57" s="137"/>
      <c r="U57" s="137"/>
      <c r="V57" s="137"/>
      <c r="W57" s="2342">
        <v>72145</v>
      </c>
      <c r="X57" s="2342">
        <v>72956.5</v>
      </c>
      <c r="Y57" s="137">
        <v>73087.086559572344</v>
      </c>
      <c r="Z57" s="137">
        <v>75161.502133469185</v>
      </c>
      <c r="AA57" s="137">
        <v>75603.326121511171</v>
      </c>
      <c r="AB57" s="137">
        <v>76244.424698591931</v>
      </c>
      <c r="AC57" s="137">
        <v>77068.408875173933</v>
      </c>
      <c r="AD57" s="137">
        <v>77926.997179837956</v>
      </c>
      <c r="AE57" s="137">
        <v>77897.183675280103</v>
      </c>
      <c r="AF57" s="137">
        <v>79112.216231173428</v>
      </c>
      <c r="AG57" s="137">
        <v>79627.906083362323</v>
      </c>
      <c r="AH57" s="137">
        <v>80038.212014847581</v>
      </c>
      <c r="AI57" s="137">
        <v>80448.969423353614</v>
      </c>
      <c r="AJ57" s="137">
        <v>81760.750144326681</v>
      </c>
      <c r="AK57" s="137">
        <v>81836.718817674511</v>
      </c>
      <c r="AL57" s="137">
        <v>82315.667122375584</v>
      </c>
      <c r="AM57" s="137">
        <v>82723.843616629907</v>
      </c>
      <c r="AN57" s="137">
        <v>83248.905254442245</v>
      </c>
      <c r="AO57" s="137">
        <v>83305.203384509834</v>
      </c>
      <c r="AP57" s="137">
        <v>83528.30805906665</v>
      </c>
      <c r="AQ57" s="137">
        <v>83648.228198890021</v>
      </c>
      <c r="AR57" s="137">
        <v>83845.174191194936</v>
      </c>
      <c r="AS57" s="137">
        <v>83350.975006939552</v>
      </c>
      <c r="AT57" s="137">
        <v>82698.270953743704</v>
      </c>
      <c r="AU57" s="137">
        <v>81611.965014773508</v>
      </c>
      <c r="AV57" s="137">
        <v>82037.254324053079</v>
      </c>
      <c r="AW57" s="137">
        <v>82564.82800979515</v>
      </c>
      <c r="AX57" s="137">
        <v>84690.37934330228</v>
      </c>
      <c r="AY57" s="137">
        <v>86418.876192017371</v>
      </c>
      <c r="AZ57" s="137">
        <v>86439.259817199694</v>
      </c>
      <c r="BA57" s="137">
        <v>86525.138233596488</v>
      </c>
      <c r="BB57" s="137">
        <v>87243.433987669676</v>
      </c>
      <c r="BC57" s="137">
        <v>87501.495396049577</v>
      </c>
      <c r="BD57" s="137">
        <v>87951.878953576059</v>
      </c>
      <c r="BE57" s="137">
        <v>88112.676779262853</v>
      </c>
      <c r="BF57" s="137">
        <v>88580.931886375911</v>
      </c>
      <c r="BG57" s="137">
        <v>88767.926908866531</v>
      </c>
      <c r="BH57" s="137">
        <v>89216.140685287552</v>
      </c>
      <c r="BI57" s="137">
        <v>89497.405014280608</v>
      </c>
      <c r="BJ57" s="137">
        <v>89807.683143699629</v>
      </c>
      <c r="BK57" s="137">
        <v>90225.735144539474</v>
      </c>
      <c r="BL57" s="137">
        <v>90705.506639652391</v>
      </c>
      <c r="BM57" s="137">
        <v>91164.961713866476</v>
      </c>
      <c r="BN57" s="137">
        <v>91567.993201810255</v>
      </c>
      <c r="BO57" s="137">
        <v>91875.677683788002</v>
      </c>
      <c r="BP57" s="137">
        <v>92121.68750518476</v>
      </c>
      <c r="BQ57" s="137">
        <v>92305.982484545864</v>
      </c>
      <c r="BR57" s="137">
        <v>92477.479910324328</v>
      </c>
      <c r="BS57" s="137">
        <v>92512.936965843692</v>
      </c>
      <c r="BT57" s="137">
        <v>92658.62040835782</v>
      </c>
      <c r="BU57" s="137">
        <v>92725.777903548384</v>
      </c>
      <c r="BV57" s="137">
        <v>92910.37406422029</v>
      </c>
      <c r="BW57" s="137">
        <v>93048.07109641796</v>
      </c>
      <c r="BX57" s="137">
        <v>93218.846585376799</v>
      </c>
      <c r="BY57" s="137">
        <v>93400.102420211624</v>
      </c>
      <c r="BZ57" s="137">
        <v>93699.638874938668</v>
      </c>
      <c r="CA57" s="137">
        <v>93900.551139341362</v>
      </c>
      <c r="CB57" s="137">
        <v>94027.395337886977</v>
      </c>
      <c r="CC57" s="137">
        <v>94215.679384896735</v>
      </c>
      <c r="CD57" s="137">
        <v>94376.697503967356</v>
      </c>
      <c r="CE57" s="137">
        <v>94515.35915888325</v>
      </c>
      <c r="CF57" s="137">
        <v>94698.495531365057</v>
      </c>
      <c r="CG57" s="137">
        <v>94845.529839918192</v>
      </c>
      <c r="CH57" s="137">
        <v>94988.103159345745</v>
      </c>
      <c r="CI57" s="137">
        <v>95179.022198383347</v>
      </c>
      <c r="CJ57" s="137">
        <v>95263.579453848215</v>
      </c>
      <c r="CK57" s="137">
        <v>95386.655988077197</v>
      </c>
      <c r="CL57" s="137">
        <v>95564.709760762722</v>
      </c>
      <c r="CM57" s="137">
        <v>95664.370430841431</v>
      </c>
      <c r="CN57" s="137">
        <v>95795.031247588893</v>
      </c>
      <c r="CO57" s="137">
        <v>95920.453779482268</v>
      </c>
      <c r="CP57" s="137">
        <v>96042.582161216851</v>
      </c>
      <c r="CQ57" s="137">
        <v>96153.763934706745</v>
      </c>
      <c r="CR57" s="137">
        <v>96226.749369258789</v>
      </c>
      <c r="CS57" s="137">
        <v>96343.709763214691</v>
      </c>
      <c r="CT57" s="137">
        <v>96423.238791500742</v>
      </c>
      <c r="CU57" s="137">
        <v>96508.925540421362</v>
      </c>
      <c r="CV57" s="137">
        <v>96575.053023159329</v>
      </c>
      <c r="CW57" s="137">
        <v>96645.012426051166</v>
      </c>
      <c r="CX57" s="137">
        <v>96737.024690534701</v>
      </c>
      <c r="CY57" s="137">
        <v>96790.215099479654</v>
      </c>
      <c r="CZ57" s="137">
        <v>96848.510308148849</v>
      </c>
      <c r="DA57" s="137">
        <v>96897.323075879744</v>
      </c>
      <c r="DB57" s="137">
        <v>96984.729130256615</v>
      </c>
      <c r="DC57" s="137">
        <v>97050.68620243945</v>
      </c>
      <c r="DD57" s="137">
        <v>97106.036926563625</v>
      </c>
      <c r="DE57" s="137">
        <v>97165.650850348437</v>
      </c>
      <c r="DF57" s="137">
        <v>97255.13280368151</v>
      </c>
      <c r="DG57" s="137">
        <v>97299.699013363104</v>
      </c>
      <c r="DH57" s="137">
        <v>97357.867651510722</v>
      </c>
      <c r="DI57" s="137">
        <v>97395.299814618746</v>
      </c>
      <c r="DJ57" s="137">
        <v>97471.04564630716</v>
      </c>
      <c r="DK57" s="137">
        <v>97527.097410138376</v>
      </c>
      <c r="DL57" s="137">
        <v>97565.972556339315</v>
      </c>
      <c r="DM57" s="137">
        <v>97606.789696075532</v>
      </c>
      <c r="DN57" s="137">
        <v>97643.57130248961</v>
      </c>
      <c r="DO57" s="137">
        <v>97704.421626624506</v>
      </c>
      <c r="DP57" s="137">
        <f>(G_Kohorte_F!DP57+G_Kohorte_M!DP57)/2</f>
        <v>97761.660650516802</v>
      </c>
      <c r="DQ57" s="137">
        <f>(G_Kohorte_F!DQ57+G_Kohorte_M!DQ57)/2</f>
        <v>97801.214426201826</v>
      </c>
      <c r="DR57" s="137">
        <f>(G_Kohorte_F!DR57+G_Kohorte_M!DR57)/2</f>
        <v>97855.158563655175</v>
      </c>
      <c r="DS57" s="137">
        <f>(G_Kohorte_F!DS57+G_Kohorte_M!DS57)/2</f>
        <v>97895.604959846038</v>
      </c>
      <c r="DT57" s="137">
        <f>(G_Kohorte_F!DT57+G_Kohorte_M!DT57)/2</f>
        <v>97948.721046955732</v>
      </c>
      <c r="DU57" s="137">
        <f>(G_Kohorte_F!DU57+G_Kohorte_M!DU57)/2</f>
        <v>98000.347800441115</v>
      </c>
    </row>
    <row r="58" spans="1:125">
      <c r="A58" s="2348">
        <v>56</v>
      </c>
      <c r="B58" s="137"/>
      <c r="C58" s="137"/>
      <c r="D58" s="137"/>
      <c r="E58" s="137"/>
      <c r="F58" s="137"/>
      <c r="G58" s="137"/>
      <c r="H58" s="137"/>
      <c r="I58" s="137"/>
      <c r="J58" s="137"/>
      <c r="K58" s="137"/>
      <c r="L58" s="137"/>
      <c r="M58" s="137"/>
      <c r="N58" s="137"/>
      <c r="O58" s="137"/>
      <c r="P58" s="137"/>
      <c r="Q58" s="137"/>
      <c r="R58" s="137"/>
      <c r="S58" s="137"/>
      <c r="T58" s="137"/>
      <c r="U58" s="137"/>
      <c r="V58" s="137"/>
      <c r="W58" s="2342">
        <v>71521</v>
      </c>
      <c r="X58" s="2342">
        <v>72339</v>
      </c>
      <c r="Y58" s="137">
        <v>72472.465965507246</v>
      </c>
      <c r="Z58" s="137">
        <v>74529.210453528154</v>
      </c>
      <c r="AA58" s="137">
        <v>74988.520400510519</v>
      </c>
      <c r="AB58" s="137">
        <v>75619.11871515197</v>
      </c>
      <c r="AC58" s="137">
        <v>76446.159237290587</v>
      </c>
      <c r="AD58" s="137">
        <v>77297.559736902767</v>
      </c>
      <c r="AE58" s="137">
        <v>77268.341775439127</v>
      </c>
      <c r="AF58" s="137">
        <v>78490.020374276515</v>
      </c>
      <c r="AG58" s="137">
        <v>79015.383211741719</v>
      </c>
      <c r="AH58" s="137">
        <v>79431.682703711442</v>
      </c>
      <c r="AI58" s="137">
        <v>79851.81055999329</v>
      </c>
      <c r="AJ58" s="137">
        <v>81158.102671013577</v>
      </c>
      <c r="AK58" s="137">
        <v>81243.680479011411</v>
      </c>
      <c r="AL58" s="137">
        <v>81741.187975520676</v>
      </c>
      <c r="AM58" s="137">
        <v>82164.739433048642</v>
      </c>
      <c r="AN58" s="137">
        <v>82709.900898816471</v>
      </c>
      <c r="AO58" s="137">
        <v>82774.707331675192</v>
      </c>
      <c r="AP58" s="137">
        <v>82999.980102168382</v>
      </c>
      <c r="AQ58" s="137">
        <v>83141.590249497705</v>
      </c>
      <c r="AR58" s="137">
        <v>83357.975652378838</v>
      </c>
      <c r="AS58" s="137">
        <v>82864.938115592318</v>
      </c>
      <c r="AT58" s="137">
        <v>82219.01337885439</v>
      </c>
      <c r="AU58" s="137">
        <v>81144.993105162546</v>
      </c>
      <c r="AV58" s="137">
        <v>81565.070149696316</v>
      </c>
      <c r="AW58" s="137">
        <v>82100.507312663802</v>
      </c>
      <c r="AX58" s="137">
        <v>84239.630882005615</v>
      </c>
      <c r="AY58" s="137">
        <v>85940.207498367236</v>
      </c>
      <c r="AZ58" s="137">
        <v>85987.420074714522</v>
      </c>
      <c r="BA58" s="137">
        <v>86066.654753973678</v>
      </c>
      <c r="BB58" s="137">
        <v>86791.873781827133</v>
      </c>
      <c r="BC58" s="137">
        <v>87054.873424953403</v>
      </c>
      <c r="BD58" s="137">
        <v>87499.126938545203</v>
      </c>
      <c r="BE58" s="137">
        <v>87659.738215350866</v>
      </c>
      <c r="BF58" s="137">
        <v>88134.303981881239</v>
      </c>
      <c r="BG58" s="137">
        <v>88326.819084988325</v>
      </c>
      <c r="BH58" s="137">
        <v>88801.776075229238</v>
      </c>
      <c r="BI58" s="137">
        <v>89070.65006176896</v>
      </c>
      <c r="BJ58" s="137">
        <v>89379.41084657349</v>
      </c>
      <c r="BK58" s="137">
        <v>89812.912860464028</v>
      </c>
      <c r="BL58" s="137">
        <v>90300.37911530261</v>
      </c>
      <c r="BM58" s="137">
        <v>90768.663029385716</v>
      </c>
      <c r="BN58" s="137">
        <v>91184.891192483192</v>
      </c>
      <c r="BO58" s="137">
        <v>91467.666210177646</v>
      </c>
      <c r="BP58" s="137">
        <v>91715.733706664294</v>
      </c>
      <c r="BQ58" s="137">
        <v>91911.225609554735</v>
      </c>
      <c r="BR58" s="137">
        <v>92089.461304488999</v>
      </c>
      <c r="BS58" s="137">
        <v>92132.147989374658</v>
      </c>
      <c r="BT58" s="137">
        <v>92284.430730705746</v>
      </c>
      <c r="BU58" s="137">
        <v>92358.426057812176</v>
      </c>
      <c r="BV58" s="137">
        <v>92549.217564309773</v>
      </c>
      <c r="BW58" s="137">
        <v>92693.240386666497</v>
      </c>
      <c r="BX58" s="137">
        <v>92870.061393754528</v>
      </c>
      <c r="BY58" s="137">
        <v>93057.205738290504</v>
      </c>
      <c r="BZ58" s="137">
        <v>93362.104754527245</v>
      </c>
      <c r="CA58" s="137">
        <v>93568.687610111941</v>
      </c>
      <c r="CB58" s="137">
        <v>93701.405182327231</v>
      </c>
      <c r="CC58" s="137">
        <v>93895.148690074697</v>
      </c>
      <c r="CD58" s="137">
        <v>94061.614781564829</v>
      </c>
      <c r="CE58" s="137">
        <v>94205.721811952521</v>
      </c>
      <c r="CF58" s="137">
        <v>94394.031562714255</v>
      </c>
      <c r="CG58" s="137">
        <v>94546.310434212908</v>
      </c>
      <c r="CH58" s="137">
        <v>94694.035043329844</v>
      </c>
      <c r="CI58" s="137">
        <v>94889.866895767365</v>
      </c>
      <c r="CJ58" s="137">
        <v>94979.598540464678</v>
      </c>
      <c r="CK58" s="137">
        <v>95107.644789612736</v>
      </c>
      <c r="CL58" s="137">
        <v>95290.39678477362</v>
      </c>
      <c r="CM58" s="137">
        <v>95394.924344544299</v>
      </c>
      <c r="CN58" s="137">
        <v>95530.281865060359</v>
      </c>
      <c r="CO58" s="137">
        <v>95660.297665689141</v>
      </c>
      <c r="CP58" s="137">
        <v>95786.985448363339</v>
      </c>
      <c r="CQ58" s="137">
        <v>95902.661248135322</v>
      </c>
      <c r="CR58" s="137">
        <v>95980.185692246727</v>
      </c>
      <c r="CS58" s="137">
        <v>96101.469227922353</v>
      </c>
      <c r="CT58" s="137">
        <v>96185.350661140459</v>
      </c>
      <c r="CU58" s="137">
        <v>96275.287845048268</v>
      </c>
      <c r="CV58" s="137">
        <v>96345.638448063924</v>
      </c>
      <c r="CW58" s="137">
        <v>96419.756106847693</v>
      </c>
      <c r="CX58" s="137">
        <v>96515.777866618097</v>
      </c>
      <c r="CY58" s="137">
        <v>96573.012652430407</v>
      </c>
      <c r="CZ58" s="137">
        <v>96635.245710259827</v>
      </c>
      <c r="DA58" s="137">
        <v>96687.961556789625</v>
      </c>
      <c r="DB58" s="137">
        <v>96779.101977181213</v>
      </c>
      <c r="DC58" s="137">
        <v>96848.793362639379</v>
      </c>
      <c r="DD58" s="137">
        <v>96907.81918323171</v>
      </c>
      <c r="DE58" s="137">
        <v>96971.040797216527</v>
      </c>
      <c r="DF58" s="137">
        <v>97064.006774434791</v>
      </c>
      <c r="DG58" s="137">
        <v>97112.068402900259</v>
      </c>
      <c r="DH58" s="137">
        <v>97173.65653680361</v>
      </c>
      <c r="DI58" s="137">
        <v>97214.473956553033</v>
      </c>
      <c r="DJ58" s="137">
        <v>97293.474323303642</v>
      </c>
      <c r="DK58" s="137">
        <v>97352.766736847334</v>
      </c>
      <c r="DL58" s="137">
        <v>97394.852816593222</v>
      </c>
      <c r="DM58" s="137">
        <v>97438.80738749326</v>
      </c>
      <c r="DN58" s="137">
        <v>97478.688020339148</v>
      </c>
      <c r="DO58" s="137">
        <v>97542.534854026308</v>
      </c>
      <c r="DP58" s="137">
        <f>(G_Kohorte_F!DP58+G_Kohorte_M!DP58)/2</f>
        <v>97602.726083594709</v>
      </c>
      <c r="DQ58" s="137">
        <f>(G_Kohorte_F!DQ58+G_Kohorte_M!DQ58)/2</f>
        <v>97645.204050519591</v>
      </c>
      <c r="DR58" s="137">
        <f>(G_Kohorte_F!DR58+G_Kohorte_M!DR58)/2</f>
        <v>97701.989415607546</v>
      </c>
      <c r="DS58" s="137">
        <f>(G_Kohorte_F!DS58+G_Kohorte_M!DS58)/2</f>
        <v>97745.257360273157</v>
      </c>
      <c r="DT58" s="137">
        <f>(G_Kohorte_F!DT58+G_Kohorte_M!DT58)/2</f>
        <v>97801.11895988982</v>
      </c>
      <c r="DU58" s="137">
        <f>(G_Kohorte_F!DU58+G_Kohorte_M!DU58)/2</f>
        <v>97855.443513961349</v>
      </c>
    </row>
    <row r="59" spans="1:125">
      <c r="A59" s="2348">
        <v>57</v>
      </c>
      <c r="B59" s="137"/>
      <c r="C59" s="137"/>
      <c r="D59" s="137"/>
      <c r="E59" s="137"/>
      <c r="F59" s="137"/>
      <c r="G59" s="137"/>
      <c r="H59" s="137"/>
      <c r="I59" s="137"/>
      <c r="J59" s="137"/>
      <c r="K59" s="137"/>
      <c r="L59" s="137"/>
      <c r="M59" s="137"/>
      <c r="N59" s="137"/>
      <c r="O59" s="137"/>
      <c r="P59" s="137"/>
      <c r="Q59" s="137"/>
      <c r="R59" s="137"/>
      <c r="S59" s="137"/>
      <c r="T59" s="137"/>
      <c r="U59" s="137"/>
      <c r="V59" s="137"/>
      <c r="W59" s="2342">
        <v>70854</v>
      </c>
      <c r="X59" s="2342">
        <v>71679</v>
      </c>
      <c r="Y59" s="137">
        <v>71802.757284614287</v>
      </c>
      <c r="Z59" s="137">
        <v>73847.280273076962</v>
      </c>
      <c r="AA59" s="137">
        <v>74319.580538639013</v>
      </c>
      <c r="AB59" s="137">
        <v>74954.190444057589</v>
      </c>
      <c r="AC59" s="137">
        <v>75778.450933510991</v>
      </c>
      <c r="AD59" s="137">
        <v>76609.96936010744</v>
      </c>
      <c r="AE59" s="137">
        <v>76593.710883368272</v>
      </c>
      <c r="AF59" s="137">
        <v>77814.027198670228</v>
      </c>
      <c r="AG59" s="137">
        <v>78359.246408057865</v>
      </c>
      <c r="AH59" s="137">
        <v>78778.313086786671</v>
      </c>
      <c r="AI59" s="137">
        <v>79198.540916567435</v>
      </c>
      <c r="AJ59" s="137">
        <v>80507.876032895801</v>
      </c>
      <c r="AK59" s="137">
        <v>80622.648463520338</v>
      </c>
      <c r="AL59" s="137">
        <v>81133.313102707223</v>
      </c>
      <c r="AM59" s="137">
        <v>81580.825837056633</v>
      </c>
      <c r="AN59" s="137">
        <v>82138.654398229497</v>
      </c>
      <c r="AO59" s="137">
        <v>82196.897467695933</v>
      </c>
      <c r="AP59" s="137">
        <v>82451.506281832146</v>
      </c>
      <c r="AQ59" s="137">
        <v>82608.784329022194</v>
      </c>
      <c r="AR59" s="137">
        <v>82841.877695970703</v>
      </c>
      <c r="AS59" s="137">
        <v>82343.753824370768</v>
      </c>
      <c r="AT59" s="137">
        <v>81719.960775010099</v>
      </c>
      <c r="AU59" s="137">
        <v>80655.82040200301</v>
      </c>
      <c r="AV59" s="137">
        <v>81070.045492746591</v>
      </c>
      <c r="AW59" s="137">
        <v>81625.515883709479</v>
      </c>
      <c r="AX59" s="137">
        <v>83752.474820249365</v>
      </c>
      <c r="AY59" s="137">
        <v>85444.32351147008</v>
      </c>
      <c r="AZ59" s="137">
        <v>85497.918909028071</v>
      </c>
      <c r="BA59" s="137">
        <v>85590.246823297552</v>
      </c>
      <c r="BB59" s="137">
        <v>86302.579656973408</v>
      </c>
      <c r="BC59" s="137">
        <v>86576.859148240517</v>
      </c>
      <c r="BD59" s="137">
        <v>87015.0673617188</v>
      </c>
      <c r="BE59" s="137">
        <v>87192.913020187072</v>
      </c>
      <c r="BF59" s="137">
        <v>87655.436359822052</v>
      </c>
      <c r="BG59" s="137">
        <v>87862.752013972684</v>
      </c>
      <c r="BH59" s="137">
        <v>88342.621334968935</v>
      </c>
      <c r="BI59" s="137">
        <v>88603.592166612521</v>
      </c>
      <c r="BJ59" s="137">
        <v>88925.272411152473</v>
      </c>
      <c r="BK59" s="137">
        <v>89358.046313080558</v>
      </c>
      <c r="BL59" s="137">
        <v>89870.500530264806</v>
      </c>
      <c r="BM59" s="137">
        <v>90337.998128905107</v>
      </c>
      <c r="BN59" s="137">
        <v>90749.724002981646</v>
      </c>
      <c r="BO59" s="137">
        <v>91020.614256694098</v>
      </c>
      <c r="BP59" s="137">
        <v>91280.841686125699</v>
      </c>
      <c r="BQ59" s="137">
        <v>91483.568312722928</v>
      </c>
      <c r="BR59" s="137">
        <v>91669.055403293576</v>
      </c>
      <c r="BS59" s="137">
        <v>91719.528066491359</v>
      </c>
      <c r="BT59" s="137">
        <v>91878.916444490867</v>
      </c>
      <c r="BU59" s="137">
        <v>91960.277982022264</v>
      </c>
      <c r="BV59" s="137">
        <v>92157.741873464984</v>
      </c>
      <c r="BW59" s="137">
        <v>92308.580278166657</v>
      </c>
      <c r="BX59" s="137">
        <v>92491.915298395586</v>
      </c>
      <c r="BY59" s="137">
        <v>92685.405436155008</v>
      </c>
      <c r="BZ59" s="137">
        <v>92996.081775629107</v>
      </c>
      <c r="CA59" s="137">
        <v>93208.777543585544</v>
      </c>
      <c r="CB59" s="137">
        <v>93347.829548840702</v>
      </c>
      <c r="CC59" s="137">
        <v>93547.41129711055</v>
      </c>
      <c r="CD59" s="137">
        <v>93719.75681567844</v>
      </c>
      <c r="CE59" s="137">
        <v>93869.741922574351</v>
      </c>
      <c r="CF59" s="137">
        <v>94063.636150455248</v>
      </c>
      <c r="CG59" s="137">
        <v>94221.578042714493</v>
      </c>
      <c r="CH59" s="137">
        <v>94374.865860580059</v>
      </c>
      <c r="CI59" s="137">
        <v>94576.00340985498</v>
      </c>
      <c r="CJ59" s="137">
        <v>94671.325910381711</v>
      </c>
      <c r="CK59" s="137">
        <v>94804.742103256081</v>
      </c>
      <c r="CL59" s="137">
        <v>94992.570561205386</v>
      </c>
      <c r="CM59" s="137">
        <v>95102.358821240938</v>
      </c>
      <c r="CN59" s="137">
        <v>95242.793396601017</v>
      </c>
      <c r="CO59" s="137">
        <v>95377.775102238695</v>
      </c>
      <c r="CP59" s="137">
        <v>95509.393003256206</v>
      </c>
      <c r="CQ59" s="137">
        <v>95629.928984369166</v>
      </c>
      <c r="CR59" s="137">
        <v>95712.363435632898</v>
      </c>
      <c r="CS59" s="137">
        <v>95838.323521853337</v>
      </c>
      <c r="CT59" s="137">
        <v>95926.914219266255</v>
      </c>
      <c r="CU59" s="137">
        <v>96021.450827203109</v>
      </c>
      <c r="CV59" s="137">
        <v>96096.372068784869</v>
      </c>
      <c r="CW59" s="137">
        <v>96174.990727851313</v>
      </c>
      <c r="CX59" s="137">
        <v>96275.352717242902</v>
      </c>
      <c r="CY59" s="137">
        <v>96336.966422673198</v>
      </c>
      <c r="CZ59" s="137">
        <v>96403.463453824428</v>
      </c>
      <c r="DA59" s="137">
        <v>96460.406227951418</v>
      </c>
      <c r="DB59" s="137">
        <v>96555.590960498826</v>
      </c>
      <c r="DC59" s="137">
        <v>96629.327283774619</v>
      </c>
      <c r="DD59" s="137">
        <v>96692.334382898553</v>
      </c>
      <c r="DE59" s="137">
        <v>96759.46466017465</v>
      </c>
      <c r="DF59" s="137">
        <v>96856.205500247364</v>
      </c>
      <c r="DG59" s="137">
        <v>96908.055023378256</v>
      </c>
      <c r="DH59" s="137">
        <v>96973.349095881626</v>
      </c>
      <c r="DI59" s="137">
        <v>97017.835828181574</v>
      </c>
      <c r="DJ59" s="137">
        <v>97100.363924997873</v>
      </c>
      <c r="DK59" s="137">
        <v>97163.169510808468</v>
      </c>
      <c r="DL59" s="137">
        <v>97208.73698501644</v>
      </c>
      <c r="DM59" s="137">
        <v>97256.093540317685</v>
      </c>
      <c r="DN59" s="137">
        <v>97299.334880425711</v>
      </c>
      <c r="DO59" s="137">
        <v>97366.431402312592</v>
      </c>
      <c r="DP59" s="137">
        <f>(G_Kohorte_F!DP59+G_Kohorte_M!DP59)/2</f>
        <v>97429.824593896599</v>
      </c>
      <c r="DQ59" s="137">
        <f>(G_Kohorte_F!DQ59+G_Kohorte_M!DQ59)/2</f>
        <v>97475.474507996405</v>
      </c>
      <c r="DR59" s="137">
        <f>(G_Kohorte_F!DR59+G_Kohorte_M!DR59)/2</f>
        <v>97535.342010778331</v>
      </c>
      <c r="DS59" s="137">
        <f>(G_Kohorte_F!DS59+G_Kohorte_M!DS59)/2</f>
        <v>97581.671104570152</v>
      </c>
      <c r="DT59" s="137">
        <f>(G_Kohorte_F!DT59+G_Kohorte_M!DT59)/2</f>
        <v>97640.511543965549</v>
      </c>
      <c r="DU59" s="137">
        <f>(G_Kohorte_F!DU59+G_Kohorte_M!DU59)/2</f>
        <v>97697.76342556774</v>
      </c>
    </row>
    <row r="60" spans="1:125">
      <c r="A60" s="2348">
        <v>58</v>
      </c>
      <c r="B60" s="137"/>
      <c r="C60" s="137"/>
      <c r="D60" s="137"/>
      <c r="E60" s="137"/>
      <c r="F60" s="137"/>
      <c r="G60" s="137"/>
      <c r="H60" s="137"/>
      <c r="I60" s="137"/>
      <c r="J60" s="137"/>
      <c r="K60" s="137"/>
      <c r="L60" s="137"/>
      <c r="M60" s="137"/>
      <c r="N60" s="137"/>
      <c r="O60" s="137"/>
      <c r="P60" s="137"/>
      <c r="Q60" s="137"/>
      <c r="R60" s="137"/>
      <c r="S60" s="137"/>
      <c r="T60" s="137"/>
      <c r="U60" s="137"/>
      <c r="V60" s="137"/>
      <c r="W60" s="2342">
        <v>70128</v>
      </c>
      <c r="X60" s="2342">
        <v>70959.5</v>
      </c>
      <c r="Y60" s="137">
        <v>71073.892976948875</v>
      </c>
      <c r="Z60" s="137">
        <v>73134.79979209759</v>
      </c>
      <c r="AA60" s="137">
        <v>73600.116997306555</v>
      </c>
      <c r="AB60" s="137">
        <v>74254.53307909453</v>
      </c>
      <c r="AC60" s="137">
        <v>75073.395756490587</v>
      </c>
      <c r="AD60" s="137">
        <v>75898.859707463387</v>
      </c>
      <c r="AE60" s="137">
        <v>75883.86900813083</v>
      </c>
      <c r="AF60" s="137">
        <v>77106.597865990843</v>
      </c>
      <c r="AG60" s="137">
        <v>77666.787408170552</v>
      </c>
      <c r="AH60" s="137">
        <v>78071.240453497841</v>
      </c>
      <c r="AI60" s="137">
        <v>78495.36045267657</v>
      </c>
      <c r="AJ60" s="137">
        <v>79824.573529656045</v>
      </c>
      <c r="AK60" s="137">
        <v>79961.804189955757</v>
      </c>
      <c r="AL60" s="137">
        <v>80475.164007356972</v>
      </c>
      <c r="AM60" s="137">
        <v>80953.789060157651</v>
      </c>
      <c r="AN60" s="137">
        <v>81516.814246444235</v>
      </c>
      <c r="AO60" s="137">
        <v>81597.872808859975</v>
      </c>
      <c r="AP60" s="137">
        <v>81868.15403048147</v>
      </c>
      <c r="AQ60" s="137">
        <v>82044.509191490317</v>
      </c>
      <c r="AR60" s="137">
        <v>82285.142409734864</v>
      </c>
      <c r="AS60" s="137">
        <v>81793.595799293398</v>
      </c>
      <c r="AT60" s="137">
        <v>81171.894092426141</v>
      </c>
      <c r="AU60" s="137">
        <v>80121.442652314538</v>
      </c>
      <c r="AV60" s="137">
        <v>80541.631403556443</v>
      </c>
      <c r="AW60" s="137">
        <v>81112.859878802847</v>
      </c>
      <c r="AX60" s="137">
        <v>83234.734504713007</v>
      </c>
      <c r="AY60" s="137">
        <v>84947.083045996726</v>
      </c>
      <c r="AZ60" s="137">
        <v>84978.968218434078</v>
      </c>
      <c r="BA60" s="137">
        <v>85082.186476860428</v>
      </c>
      <c r="BB60" s="137">
        <v>85783.577243201056</v>
      </c>
      <c r="BC60" s="137">
        <v>86056.885694637051</v>
      </c>
      <c r="BD60" s="137">
        <v>86500.821573101493</v>
      </c>
      <c r="BE60" s="137">
        <v>86669.343957395497</v>
      </c>
      <c r="BF60" s="137">
        <v>87156.86169743145</v>
      </c>
      <c r="BG60" s="137">
        <v>87346.35038095701</v>
      </c>
      <c r="BH60" s="137">
        <v>87845.148976654469</v>
      </c>
      <c r="BI60" s="137">
        <v>88103.172418244474</v>
      </c>
      <c r="BJ60" s="137">
        <v>88440.119547747949</v>
      </c>
      <c r="BK60" s="137">
        <v>88869.300081159803</v>
      </c>
      <c r="BL60" s="137">
        <v>89400.299768563214</v>
      </c>
      <c r="BM60" s="137">
        <v>89867.981075670425</v>
      </c>
      <c r="BN60" s="137">
        <v>90264.834550532541</v>
      </c>
      <c r="BO60" s="137">
        <v>90540.79670515265</v>
      </c>
      <c r="BP60" s="137">
        <v>90808.733296406048</v>
      </c>
      <c r="BQ60" s="137">
        <v>91019.266612048959</v>
      </c>
      <c r="BR60" s="137">
        <v>91212.580961549451</v>
      </c>
      <c r="BS60" s="137">
        <v>91271.463822404039</v>
      </c>
      <c r="BT60" s="137">
        <v>91438.525985197688</v>
      </c>
      <c r="BU60" s="137">
        <v>91527.846614152106</v>
      </c>
      <c r="BV60" s="137">
        <v>91732.518160947424</v>
      </c>
      <c r="BW60" s="137">
        <v>91890.721900911158</v>
      </c>
      <c r="BX60" s="137">
        <v>92081.096613043293</v>
      </c>
      <c r="BY60" s="137">
        <v>92281.445571697303</v>
      </c>
      <c r="BZ60" s="137">
        <v>92598.364877671804</v>
      </c>
      <c r="CA60" s="137">
        <v>92817.670061533776</v>
      </c>
      <c r="CB60" s="137">
        <v>92963.521847304917</v>
      </c>
      <c r="CC60" s="137">
        <v>93169.421193395916</v>
      </c>
      <c r="CD60" s="137">
        <v>93348.130694000065</v>
      </c>
      <c r="CE60" s="137">
        <v>93504.479823265749</v>
      </c>
      <c r="CF60" s="137">
        <v>93704.420120345108</v>
      </c>
      <c r="CG60" s="137">
        <v>93868.49499170715</v>
      </c>
      <c r="CH60" s="137">
        <v>94027.808484244466</v>
      </c>
      <c r="CI60" s="137">
        <v>94234.692918743211</v>
      </c>
      <c r="CJ60" s="137">
        <v>94336.073723487731</v>
      </c>
      <c r="CK60" s="137">
        <v>94475.309158673452</v>
      </c>
      <c r="CL60" s="137">
        <v>94668.638664892904</v>
      </c>
      <c r="CM60" s="137">
        <v>94784.129563773458</v>
      </c>
      <c r="CN60" s="137">
        <v>94930.068084324768</v>
      </c>
      <c r="CO60" s="137">
        <v>95070.433661771007</v>
      </c>
      <c r="CP60" s="137">
        <v>95207.397656672591</v>
      </c>
      <c r="CQ60" s="137">
        <v>95333.204516508762</v>
      </c>
      <c r="CR60" s="137">
        <v>95420.965100373549</v>
      </c>
      <c r="CS60" s="137">
        <v>95551.998074152129</v>
      </c>
      <c r="CT60" s="137">
        <v>95645.698164950067</v>
      </c>
      <c r="CU60" s="137">
        <v>95745.225418295522</v>
      </c>
      <c r="CV60" s="137">
        <v>95825.106783416981</v>
      </c>
      <c r="CW60" s="137">
        <v>95908.610654684802</v>
      </c>
      <c r="CX60" s="137">
        <v>96013.683497981925</v>
      </c>
      <c r="CY60" s="137">
        <v>96080.050976251427</v>
      </c>
      <c r="CZ60" s="137">
        <v>96151.177240042016</v>
      </c>
      <c r="DA60" s="137">
        <v>96212.709672907804</v>
      </c>
      <c r="DB60" s="137">
        <v>96312.28583139964</v>
      </c>
      <c r="DC60" s="137">
        <v>96390.414990714125</v>
      </c>
      <c r="DD60" s="137">
        <v>96457.746139080147</v>
      </c>
      <c r="DE60" s="137">
        <v>96529.122024389362</v>
      </c>
      <c r="DF60" s="137">
        <v>96629.963349211233</v>
      </c>
      <c r="DG60" s="137">
        <v>96685.927992571204</v>
      </c>
      <c r="DH60" s="137">
        <v>96755.248538593383</v>
      </c>
      <c r="DI60" s="137">
        <v>96803.722290408332</v>
      </c>
      <c r="DJ60" s="137">
        <v>96890.083716831243</v>
      </c>
      <c r="DK60" s="137">
        <v>96956.707284376782</v>
      </c>
      <c r="DL60" s="137">
        <v>97006.058565169413</v>
      </c>
      <c r="DM60" s="137">
        <v>97057.112802173215</v>
      </c>
      <c r="DN60" s="137">
        <v>97104.007349905587</v>
      </c>
      <c r="DO60" s="137">
        <v>97174.63652472847</v>
      </c>
      <c r="DP60" s="137">
        <f>(G_Kohorte_F!DP60+G_Kohorte_M!DP60)/2</f>
        <v>97241.510786736355</v>
      </c>
      <c r="DQ60" s="137">
        <f>(G_Kohorte_F!DQ60+G_Kohorte_M!DQ60)/2</f>
        <v>97290.609423095011</v>
      </c>
      <c r="DR60" s="137">
        <f>(G_Kohorte_F!DR60+G_Kohorte_M!DR60)/2</f>
        <v>97353.828132596391</v>
      </c>
      <c r="DS60" s="137">
        <f>(G_Kohorte_F!DS60+G_Kohorte_M!DS60)/2</f>
        <v>97403.485974095674</v>
      </c>
      <c r="DT60" s="137">
        <f>(G_Kohorte_F!DT60+G_Kohorte_M!DT60)/2</f>
        <v>97465.565792859314</v>
      </c>
      <c r="DU60" s="137">
        <f>(G_Kohorte_F!DU60+G_Kohorte_M!DU60)/2</f>
        <v>97526.001249478097</v>
      </c>
    </row>
    <row r="61" spans="1:125">
      <c r="A61" s="2348">
        <v>59</v>
      </c>
      <c r="B61" s="137"/>
      <c r="C61" s="137"/>
      <c r="D61" s="137"/>
      <c r="E61" s="137"/>
      <c r="F61" s="137"/>
      <c r="G61" s="137"/>
      <c r="H61" s="137"/>
      <c r="I61" s="137"/>
      <c r="J61" s="137"/>
      <c r="K61" s="137"/>
      <c r="L61" s="137"/>
      <c r="M61" s="137"/>
      <c r="N61" s="137"/>
      <c r="O61" s="137"/>
      <c r="P61" s="137"/>
      <c r="Q61" s="137"/>
      <c r="R61" s="137"/>
      <c r="S61" s="137"/>
      <c r="T61" s="137"/>
      <c r="U61" s="137"/>
      <c r="V61" s="137"/>
      <c r="W61" s="2342">
        <v>69350.5</v>
      </c>
      <c r="X61" s="2342">
        <v>70185</v>
      </c>
      <c r="Y61" s="137">
        <v>70295.625752412889</v>
      </c>
      <c r="Z61" s="137">
        <v>72368.681112504128</v>
      </c>
      <c r="AA61" s="137">
        <v>72851.281984294037</v>
      </c>
      <c r="AB61" s="137">
        <v>73485.93524518612</v>
      </c>
      <c r="AC61" s="137">
        <v>74323.111745990667</v>
      </c>
      <c r="AD61" s="137">
        <v>75129.083992016516</v>
      </c>
      <c r="AE61" s="137">
        <v>75137.804433327954</v>
      </c>
      <c r="AF61" s="137">
        <v>76348.737086255773</v>
      </c>
      <c r="AG61" s="137">
        <v>76909.71385516804</v>
      </c>
      <c r="AH61" s="137">
        <v>77324.41262578647</v>
      </c>
      <c r="AI61" s="137">
        <v>77753.537093780236</v>
      </c>
      <c r="AJ61" s="137">
        <v>79085.651830160801</v>
      </c>
      <c r="AK61" s="137">
        <v>79247.862999540026</v>
      </c>
      <c r="AL61" s="137">
        <v>79796.561331399949</v>
      </c>
      <c r="AM61" s="137">
        <v>80286.351664853835</v>
      </c>
      <c r="AN61" s="137">
        <v>80882.698671820588</v>
      </c>
      <c r="AO61" s="137">
        <v>80975.845470911605</v>
      </c>
      <c r="AP61" s="137">
        <v>81274.108070584654</v>
      </c>
      <c r="AQ61" s="137">
        <v>81445.752871640783</v>
      </c>
      <c r="AR61" s="137">
        <v>81697.608362916479</v>
      </c>
      <c r="AS61" s="137">
        <v>81211.759841853869</v>
      </c>
      <c r="AT61" s="137">
        <v>80583.42256965526</v>
      </c>
      <c r="AU61" s="137">
        <v>79551.188960395986</v>
      </c>
      <c r="AV61" s="137">
        <v>79974.575663961179</v>
      </c>
      <c r="AW61" s="137">
        <v>80570.319308428123</v>
      </c>
      <c r="AX61" s="137">
        <v>82671.35451367237</v>
      </c>
      <c r="AY61" s="137">
        <v>84388.038539734203</v>
      </c>
      <c r="AZ61" s="137">
        <v>84423.633143111481</v>
      </c>
      <c r="BA61" s="137">
        <v>84529.295344808474</v>
      </c>
      <c r="BB61" s="137">
        <v>85213.416805567846</v>
      </c>
      <c r="BC61" s="137">
        <v>85500.75940858401</v>
      </c>
      <c r="BD61" s="137">
        <v>85936.526143205527</v>
      </c>
      <c r="BE61" s="137">
        <v>86121.570587463008</v>
      </c>
      <c r="BF61" s="137">
        <v>86604.841967163637</v>
      </c>
      <c r="BG61" s="137">
        <v>86784.602459220914</v>
      </c>
      <c r="BH61" s="137">
        <v>87300.27438321455</v>
      </c>
      <c r="BI61" s="137">
        <v>87563.068772677623</v>
      </c>
      <c r="BJ61" s="137">
        <v>87928.462556123821</v>
      </c>
      <c r="BK61" s="137">
        <v>88347.909902543528</v>
      </c>
      <c r="BL61" s="137">
        <v>88873.278181534741</v>
      </c>
      <c r="BM61" s="137">
        <v>89332.493815840717</v>
      </c>
      <c r="BN61" s="137">
        <v>89734.973366214166</v>
      </c>
      <c r="BO61" s="137">
        <v>90019.209530816792</v>
      </c>
      <c r="BP61" s="137">
        <v>90295.479472514809</v>
      </c>
      <c r="BQ61" s="137">
        <v>90514.454483519032</v>
      </c>
      <c r="BR61" s="137">
        <v>90716.235695665498</v>
      </c>
      <c r="BS61" s="137">
        <v>90784.222054621438</v>
      </c>
      <c r="BT61" s="137">
        <v>90959.589097295699</v>
      </c>
      <c r="BU61" s="137">
        <v>91057.527462973201</v>
      </c>
      <c r="BV61" s="137">
        <v>91270.001344789634</v>
      </c>
      <c r="BW61" s="137">
        <v>91436.181384866184</v>
      </c>
      <c r="BX61" s="137">
        <v>91634.179913517641</v>
      </c>
      <c r="BY61" s="137">
        <v>91841.957750518835</v>
      </c>
      <c r="BZ61" s="137">
        <v>92165.637720701547</v>
      </c>
      <c r="CA61" s="137">
        <v>92392.049689079897</v>
      </c>
      <c r="CB61" s="137">
        <v>92545.276723667252</v>
      </c>
      <c r="CC61" s="137">
        <v>92758.027128580376</v>
      </c>
      <c r="CD61" s="137">
        <v>92943.639942110094</v>
      </c>
      <c r="CE61" s="137">
        <v>93106.893984233699</v>
      </c>
      <c r="CF61" s="137">
        <v>93313.394105793821</v>
      </c>
      <c r="CG61" s="137">
        <v>93484.125109786721</v>
      </c>
      <c r="CH61" s="137">
        <v>93649.978996343038</v>
      </c>
      <c r="CI61" s="137">
        <v>93863.101467770961</v>
      </c>
      <c r="CJ61" s="137">
        <v>93971.060759688204</v>
      </c>
      <c r="CK61" s="137">
        <v>94116.615515443613</v>
      </c>
      <c r="CL61" s="137">
        <v>94315.918662552504</v>
      </c>
      <c r="CM61" s="137">
        <v>94437.603987027367</v>
      </c>
      <c r="CN61" s="137">
        <v>94589.521565164556</v>
      </c>
      <c r="CO61" s="137">
        <v>94735.736002538819</v>
      </c>
      <c r="CP61" s="137">
        <v>94878.508995933662</v>
      </c>
      <c r="CQ61" s="137">
        <v>95010.043648155435</v>
      </c>
      <c r="CR61" s="137">
        <v>95103.593302721914</v>
      </c>
      <c r="CS61" s="137">
        <v>95240.140071567395</v>
      </c>
      <c r="CT61" s="137">
        <v>95339.394609133655</v>
      </c>
      <c r="CU61" s="137">
        <v>95444.347598251567</v>
      </c>
      <c r="CV61" s="137">
        <v>95529.622173206109</v>
      </c>
      <c r="CW61" s="137">
        <v>95618.438544181423</v>
      </c>
      <c r="CX61" s="137">
        <v>95728.634337217169</v>
      </c>
      <c r="CY61" s="137">
        <v>95800.172337699041</v>
      </c>
      <c r="CZ61" s="137">
        <v>95876.333798117645</v>
      </c>
      <c r="DA61" s="137">
        <v>95942.859054658213</v>
      </c>
      <c r="DB61" s="137">
        <v>96047.212431109292</v>
      </c>
      <c r="DC61" s="137">
        <v>96130.121096917734</v>
      </c>
      <c r="DD61" s="137">
        <v>96202.157142945478</v>
      </c>
      <c r="DE61" s="137">
        <v>96278.153016010547</v>
      </c>
      <c r="DF61" s="137">
        <v>96383.45665497391</v>
      </c>
      <c r="DG61" s="137">
        <v>96443.899828262889</v>
      </c>
      <c r="DH61" s="137">
        <v>96517.602875865879</v>
      </c>
      <c r="DI61" s="137">
        <v>96570.41639953712</v>
      </c>
      <c r="DJ61" s="137">
        <v>96660.950510930066</v>
      </c>
      <c r="DK61" s="137">
        <v>96731.730494483403</v>
      </c>
      <c r="DL61" s="137">
        <v>96785.201270558231</v>
      </c>
      <c r="DM61" s="137">
        <v>96840.281336204062</v>
      </c>
      <c r="DN61" s="137">
        <v>96891.153693388973</v>
      </c>
      <c r="DO61" s="137">
        <v>96965.629522156843</v>
      </c>
      <c r="DP61" s="137">
        <f>(G_Kohorte_F!DP61+G_Kohorte_M!DP61)/2</f>
        <v>97036.294544293429</v>
      </c>
      <c r="DQ61" s="137">
        <f>(G_Kohorte_F!DQ61+G_Kohorte_M!DQ61)/2</f>
        <v>97089.148913547149</v>
      </c>
      <c r="DR61" s="137">
        <f>(G_Kohorte_F!DR61+G_Kohorte_M!DR61)/2</f>
        <v>97156.017248067539</v>
      </c>
      <c r="DS61" s="137">
        <f>(G_Kohorte_F!DS61+G_Kohorte_M!DS61)/2</f>
        <v>97209.300605113283</v>
      </c>
      <c r="DT61" s="137">
        <f>(G_Kohorte_F!DT61+G_Kohorte_M!DT61)/2</f>
        <v>97274.908701233013</v>
      </c>
      <c r="DU61" s="137">
        <f>(G_Kohorte_F!DU61+G_Kohorte_M!DU61)/2</f>
        <v>97338.811826374673</v>
      </c>
    </row>
    <row r="62" spans="1:125">
      <c r="A62" s="2348">
        <v>60</v>
      </c>
      <c r="B62" s="137"/>
      <c r="C62" s="137"/>
      <c r="D62" s="137"/>
      <c r="E62" s="137"/>
      <c r="F62" s="137"/>
      <c r="G62" s="137"/>
      <c r="H62" s="137"/>
      <c r="I62" s="137"/>
      <c r="J62" s="137"/>
      <c r="K62" s="137"/>
      <c r="L62" s="137"/>
      <c r="M62" s="137"/>
      <c r="N62" s="137"/>
      <c r="O62" s="137"/>
      <c r="P62" s="137"/>
      <c r="Q62" s="137"/>
      <c r="R62" s="137"/>
      <c r="S62" s="137"/>
      <c r="T62" s="137"/>
      <c r="U62" s="137"/>
      <c r="V62" s="137"/>
      <c r="W62" s="2342">
        <v>68520</v>
      </c>
      <c r="X62" s="2342">
        <v>69354</v>
      </c>
      <c r="Y62" s="137">
        <v>69472.078228742874</v>
      </c>
      <c r="Z62" s="137">
        <v>71560.314049507375</v>
      </c>
      <c r="AA62" s="137">
        <v>72041.717802339321</v>
      </c>
      <c r="AB62" s="137">
        <v>72686.474662369495</v>
      </c>
      <c r="AC62" s="137">
        <v>73527.546093045385</v>
      </c>
      <c r="AD62" s="137">
        <v>74310.801099151387</v>
      </c>
      <c r="AE62" s="137">
        <v>74334.558162764471</v>
      </c>
      <c r="AF62" s="137">
        <v>75534.005792432436</v>
      </c>
      <c r="AG62" s="137">
        <v>76089.975672309127</v>
      </c>
      <c r="AH62" s="137">
        <v>76520.980941111673</v>
      </c>
      <c r="AI62" s="137">
        <v>76959.653749042249</v>
      </c>
      <c r="AJ62" s="137">
        <v>78320.997405192349</v>
      </c>
      <c r="AK62" s="137">
        <v>78489.189855274963</v>
      </c>
      <c r="AL62" s="137">
        <v>79056.362019343564</v>
      </c>
      <c r="AM62" s="137">
        <v>79588.250987611245</v>
      </c>
      <c r="AN62" s="137">
        <v>80203.62394655947</v>
      </c>
      <c r="AO62" s="137">
        <v>80314.7923871245</v>
      </c>
      <c r="AP62" s="137">
        <v>80640.349420657541</v>
      </c>
      <c r="AQ62" s="137">
        <v>80805.878271014953</v>
      </c>
      <c r="AR62" s="137">
        <v>81083.353554443427</v>
      </c>
      <c r="AS62" s="137">
        <v>80585.861673906693</v>
      </c>
      <c r="AT62" s="137">
        <v>79976.633404020045</v>
      </c>
      <c r="AU62" s="137">
        <v>78951.62470874979</v>
      </c>
      <c r="AV62" s="137">
        <v>79381.329174798622</v>
      </c>
      <c r="AW62" s="137">
        <v>80004.11402839981</v>
      </c>
      <c r="AX62" s="137">
        <v>82087.609212396899</v>
      </c>
      <c r="AY62" s="137">
        <v>83781.710750857281</v>
      </c>
      <c r="AZ62" s="137">
        <v>83840.169583589566</v>
      </c>
      <c r="BA62" s="137">
        <v>83930.889838614763</v>
      </c>
      <c r="BB62" s="137">
        <v>84609.594841950835</v>
      </c>
      <c r="BC62" s="137">
        <v>84886.729181022471</v>
      </c>
      <c r="BD62" s="137">
        <v>85339.736405036267</v>
      </c>
      <c r="BE62" s="137">
        <v>85513.893634769192</v>
      </c>
      <c r="BF62" s="137">
        <v>86010.602554501485</v>
      </c>
      <c r="BG62" s="137">
        <v>86197.113100419534</v>
      </c>
      <c r="BH62" s="137">
        <v>86713.776690953644</v>
      </c>
      <c r="BI62" s="137">
        <v>86985.887521481432</v>
      </c>
      <c r="BJ62" s="137">
        <v>87362.41525539264</v>
      </c>
      <c r="BK62" s="137">
        <v>87756.947380459576</v>
      </c>
      <c r="BL62" s="137">
        <v>88288.089165952653</v>
      </c>
      <c r="BM62" s="137">
        <v>88748.056786650021</v>
      </c>
      <c r="BN62" s="137">
        <v>89158.871987345105</v>
      </c>
      <c r="BO62" s="137">
        <v>89452.055024600471</v>
      </c>
      <c r="BP62" s="137">
        <v>89737.339834906132</v>
      </c>
      <c r="BQ62" s="137">
        <v>89965.449943318032</v>
      </c>
      <c r="BR62" s="137">
        <v>90176.396672380099</v>
      </c>
      <c r="BS62" s="137">
        <v>90254.243979331222</v>
      </c>
      <c r="BT62" s="137">
        <v>90438.605550157808</v>
      </c>
      <c r="BU62" s="137">
        <v>90545.881547397425</v>
      </c>
      <c r="BV62" s="137">
        <v>90766.807893801626</v>
      </c>
      <c r="BW62" s="137">
        <v>90941.632331343106</v>
      </c>
      <c r="BX62" s="137">
        <v>91147.893506956811</v>
      </c>
      <c r="BY62" s="137">
        <v>91363.723763155911</v>
      </c>
      <c r="BZ62" s="137">
        <v>91694.675003924698</v>
      </c>
      <c r="CA62" s="137">
        <v>91928.798894766893</v>
      </c>
      <c r="CB62" s="137">
        <v>92090.03210144036</v>
      </c>
      <c r="CC62" s="137">
        <v>92310.218499667768</v>
      </c>
      <c r="CD62" s="137">
        <v>92503.326037569466</v>
      </c>
      <c r="CE62" s="137">
        <v>92674.078136016324</v>
      </c>
      <c r="CF62" s="137">
        <v>92887.701571635742</v>
      </c>
      <c r="CG62" s="137">
        <v>93065.662518520665</v>
      </c>
      <c r="CH62" s="137">
        <v>93238.621363448226</v>
      </c>
      <c r="CI62" s="137">
        <v>93458.520728913398</v>
      </c>
      <c r="CJ62" s="137">
        <v>93573.629018563675</v>
      </c>
      <c r="CK62" s="137">
        <v>93726.05166865018</v>
      </c>
      <c r="CL62" s="137">
        <v>93931.846997044748</v>
      </c>
      <c r="CM62" s="137">
        <v>94060.266206321656</v>
      </c>
      <c r="CN62" s="137">
        <v>94218.68409891933</v>
      </c>
      <c r="CO62" s="137">
        <v>94371.257498510386</v>
      </c>
      <c r="CP62" s="137">
        <v>94520.347353334975</v>
      </c>
      <c r="CQ62" s="137">
        <v>94658.1110481426</v>
      </c>
      <c r="CR62" s="137">
        <v>94757.957575202541</v>
      </c>
      <c r="CS62" s="137">
        <v>94900.50184641307</v>
      </c>
      <c r="CT62" s="137">
        <v>95005.799008790404</v>
      </c>
      <c r="CU62" s="137">
        <v>95116.654979223633</v>
      </c>
      <c r="CV62" s="137">
        <v>95207.797759043053</v>
      </c>
      <c r="CW62" s="137">
        <v>95302.395287381238</v>
      </c>
      <c r="CX62" s="137">
        <v>95418.166033406189</v>
      </c>
      <c r="CY62" s="137">
        <v>95495.331582130457</v>
      </c>
      <c r="CZ62" s="137">
        <v>95576.973403861964</v>
      </c>
      <c r="DA62" s="137">
        <v>95648.933559126817</v>
      </c>
      <c r="DB62" s="137">
        <v>95758.487224496115</v>
      </c>
      <c r="DC62" s="137">
        <v>95846.5993881998</v>
      </c>
      <c r="DD62" s="137">
        <v>95923.757875319177</v>
      </c>
      <c r="DE62" s="137">
        <v>96004.784181789772</v>
      </c>
      <c r="DF62" s="137">
        <v>96114.946861054312</v>
      </c>
      <c r="DG62" s="137">
        <v>96180.266881157251</v>
      </c>
      <c r="DH62" s="137">
        <v>96258.742674119974</v>
      </c>
      <c r="DI62" s="137">
        <v>96316.282535809223</v>
      </c>
      <c r="DJ62" s="137">
        <v>96411.361268185385</v>
      </c>
      <c r="DK62" s="137">
        <v>96486.66853350203</v>
      </c>
      <c r="DL62" s="137">
        <v>96544.626592925837</v>
      </c>
      <c r="DM62" s="137">
        <v>96604.091969159999</v>
      </c>
      <c r="DN62" s="137">
        <v>96659.297707736929</v>
      </c>
      <c r="DO62" s="137">
        <v>96737.964156826769</v>
      </c>
      <c r="DP62" s="137">
        <f>(G_Kohorte_F!DP62+G_Kohorte_M!DP62)/2</f>
        <v>96812.759146394412</v>
      </c>
      <c r="DQ62" s="137">
        <f>(G_Kohorte_F!DQ62+G_Kohorte_M!DQ62)/2</f>
        <v>96869.705448258144</v>
      </c>
      <c r="DR62" s="137">
        <f>(G_Kohorte_F!DR62+G_Kohorte_M!DR62)/2</f>
        <v>96940.550182085542</v>
      </c>
      <c r="DS62" s="137">
        <f>(G_Kohorte_F!DS62+G_Kohorte_M!DS62)/2</f>
        <v>96997.78397395878</v>
      </c>
      <c r="DT62" s="137">
        <f>(G_Kohorte_F!DT62+G_Kohorte_M!DT62)/2</f>
        <v>97067.236631495587</v>
      </c>
      <c r="DU62" s="137">
        <f>(G_Kohorte_F!DU62+G_Kohorte_M!DU62)/2</f>
        <v>97134.918410238286</v>
      </c>
    </row>
    <row r="63" spans="1:125">
      <c r="A63" s="2348">
        <v>61</v>
      </c>
      <c r="B63" s="137"/>
      <c r="C63" s="137"/>
      <c r="D63" s="137"/>
      <c r="E63" s="137"/>
      <c r="F63" s="137"/>
      <c r="G63" s="137"/>
      <c r="H63" s="137"/>
      <c r="I63" s="137"/>
      <c r="J63" s="137"/>
      <c r="K63" s="137"/>
      <c r="L63" s="137"/>
      <c r="M63" s="137"/>
      <c r="N63" s="137"/>
      <c r="O63" s="137"/>
      <c r="P63" s="137"/>
      <c r="Q63" s="137"/>
      <c r="R63" s="137"/>
      <c r="S63" s="137"/>
      <c r="T63" s="137"/>
      <c r="U63" s="137"/>
      <c r="V63" s="137"/>
      <c r="W63" s="2342">
        <v>67632.5</v>
      </c>
      <c r="X63" s="2342">
        <v>68474.5</v>
      </c>
      <c r="Y63" s="137">
        <v>68607.168800267129</v>
      </c>
      <c r="Z63" s="137">
        <v>70685.372994910445</v>
      </c>
      <c r="AA63" s="137">
        <v>71172.268390060402</v>
      </c>
      <c r="AB63" s="137">
        <v>71833.704596346433</v>
      </c>
      <c r="AC63" s="137">
        <v>72674.892135362286</v>
      </c>
      <c r="AD63" s="137">
        <v>73437.509052414927</v>
      </c>
      <c r="AE63" s="137">
        <v>73469.420394083078</v>
      </c>
      <c r="AF63" s="137">
        <v>74634.570381780184</v>
      </c>
      <c r="AG63" s="137">
        <v>75225.229087348969</v>
      </c>
      <c r="AH63" s="137">
        <v>75665.826864742281</v>
      </c>
      <c r="AI63" s="137">
        <v>76129.180105831751</v>
      </c>
      <c r="AJ63" s="137">
        <v>77497.331619361154</v>
      </c>
      <c r="AK63" s="137">
        <v>77682.826715705858</v>
      </c>
      <c r="AL63" s="137">
        <v>78291.885770729292</v>
      </c>
      <c r="AM63" s="137">
        <v>78852.006889869692</v>
      </c>
      <c r="AN63" s="137">
        <v>79491.161865459406</v>
      </c>
      <c r="AO63" s="137">
        <v>79613.433299827971</v>
      </c>
      <c r="AP63" s="137">
        <v>79957.731773701205</v>
      </c>
      <c r="AQ63" s="137">
        <v>80135.159723357501</v>
      </c>
      <c r="AR63" s="137">
        <v>80419.091575695493</v>
      </c>
      <c r="AS63" s="137">
        <v>79940.194393950602</v>
      </c>
      <c r="AT63" s="137">
        <v>79325.129149937507</v>
      </c>
      <c r="AU63" s="137">
        <v>78324.572410373672</v>
      </c>
      <c r="AV63" s="137">
        <v>78750.646177033865</v>
      </c>
      <c r="AW63" s="137">
        <v>79380.822271121287</v>
      </c>
      <c r="AX63" s="137">
        <v>81441.359597740317</v>
      </c>
      <c r="AY63" s="137">
        <v>83135.858239323308</v>
      </c>
      <c r="AZ63" s="137">
        <v>83185.188233495501</v>
      </c>
      <c r="BA63" s="137">
        <v>83272.939038738929</v>
      </c>
      <c r="BB63" s="137">
        <v>83955.129180027317</v>
      </c>
      <c r="BC63" s="137">
        <v>84252.858678608012</v>
      </c>
      <c r="BD63" s="137">
        <v>84673.107790376656</v>
      </c>
      <c r="BE63" s="137">
        <v>84869.894461291784</v>
      </c>
      <c r="BF63" s="137">
        <v>85365.526051450404</v>
      </c>
      <c r="BG63" s="137">
        <v>85556.685014984512</v>
      </c>
      <c r="BH63" s="137">
        <v>86093.469470814191</v>
      </c>
      <c r="BI63" s="137">
        <v>86362.855035968416</v>
      </c>
      <c r="BJ63" s="137">
        <v>86721.551158558548</v>
      </c>
      <c r="BK63" s="137">
        <v>87090.845780351112</v>
      </c>
      <c r="BL63" s="137">
        <v>87644.694476123928</v>
      </c>
      <c r="BM63" s="137">
        <v>88113.325515954697</v>
      </c>
      <c r="BN63" s="137">
        <v>88533.140286606373</v>
      </c>
      <c r="BO63" s="137">
        <v>88835.989874472289</v>
      </c>
      <c r="BP63" s="137">
        <v>89131.018673613813</v>
      </c>
      <c r="BQ63" s="137">
        <v>89369.006186761835</v>
      </c>
      <c r="BR63" s="137">
        <v>89589.866603707895</v>
      </c>
      <c r="BS63" s="137">
        <v>89678.386382484983</v>
      </c>
      <c r="BT63" s="137">
        <v>89872.481576163875</v>
      </c>
      <c r="BU63" s="137">
        <v>89989.866982760956</v>
      </c>
      <c r="BV63" s="137">
        <v>90219.942999849009</v>
      </c>
      <c r="BW63" s="137">
        <v>90404.128496586898</v>
      </c>
      <c r="BX63" s="137">
        <v>90619.337831321114</v>
      </c>
      <c r="BY63" s="137">
        <v>90843.834291120205</v>
      </c>
      <c r="BZ63" s="137">
        <v>91182.667585514879</v>
      </c>
      <c r="CA63" s="137">
        <v>91425.15470942203</v>
      </c>
      <c r="CB63" s="137">
        <v>91595.073148042429</v>
      </c>
      <c r="CC63" s="137">
        <v>91823.325454459846</v>
      </c>
      <c r="CD63" s="137">
        <v>92024.564637167146</v>
      </c>
      <c r="CE63" s="137">
        <v>92203.453636490856</v>
      </c>
      <c r="CF63" s="137">
        <v>92424.807516753237</v>
      </c>
      <c r="CG63" s="137">
        <v>92610.616633020167</v>
      </c>
      <c r="CH63" s="137">
        <v>92791.288814654341</v>
      </c>
      <c r="CI63" s="137">
        <v>93018.545920749864</v>
      </c>
      <c r="CJ63" s="137">
        <v>93141.418030470493</v>
      </c>
      <c r="CK63" s="137">
        <v>93301.299893334348</v>
      </c>
      <c r="CL63" s="137">
        <v>93514.146554137755</v>
      </c>
      <c r="CM63" s="137">
        <v>93649.881232242406</v>
      </c>
      <c r="CN63" s="137">
        <v>93815.361509951763</v>
      </c>
      <c r="CO63" s="137">
        <v>93974.844014948059</v>
      </c>
      <c r="CP63" s="137">
        <v>94130.798441258157</v>
      </c>
      <c r="CQ63" s="137">
        <v>94275.331802829111</v>
      </c>
      <c r="CR63" s="137">
        <v>94382.022816608704</v>
      </c>
      <c r="CS63" s="137">
        <v>94531.086374235529</v>
      </c>
      <c r="CT63" s="137">
        <v>94642.952705070114</v>
      </c>
      <c r="CU63" s="137">
        <v>94760.226461023733</v>
      </c>
      <c r="CV63" s="137">
        <v>94857.749803089886</v>
      </c>
      <c r="CW63" s="137">
        <v>94958.634003781277</v>
      </c>
      <c r="CX63" s="137">
        <v>95080.467348973354</v>
      </c>
      <c r="CY63" s="137">
        <v>95163.753415523068</v>
      </c>
      <c r="CZ63" s="137">
        <v>95251.355827091204</v>
      </c>
      <c r="DA63" s="137">
        <v>95329.227737922803</v>
      </c>
      <c r="DB63" s="137">
        <v>95444.438153082854</v>
      </c>
      <c r="DC63" s="137">
        <v>95538.211191636132</v>
      </c>
      <c r="DD63" s="137">
        <v>95620.942540712858</v>
      </c>
      <c r="DE63" s="137">
        <v>95707.442036467284</v>
      </c>
      <c r="DF63" s="137">
        <v>95822.89176415703</v>
      </c>
      <c r="DG63" s="137">
        <v>95893.518281150638</v>
      </c>
      <c r="DH63" s="137">
        <v>95977.187755222461</v>
      </c>
      <c r="DI63" s="137">
        <v>96039.870889559475</v>
      </c>
      <c r="DJ63" s="137">
        <v>96139.895455490012</v>
      </c>
      <c r="DK63" s="137">
        <v>96220.129992623988</v>
      </c>
      <c r="DL63" s="137">
        <v>96282.971958461218</v>
      </c>
      <c r="DM63" s="137">
        <v>96347.210314628581</v>
      </c>
      <c r="DN63" s="137">
        <v>96407.132840111764</v>
      </c>
      <c r="DO63" s="137">
        <v>96490.36083390782</v>
      </c>
      <c r="DP63" s="137">
        <f>(G_Kohorte_F!DP63+G_Kohorte_M!DP63)/2</f>
        <v>96569.651548335765</v>
      </c>
      <c r="DQ63" s="137">
        <f>(G_Kohorte_F!DQ63+G_Kohorte_M!DQ63)/2</f>
        <v>96631.052246325955</v>
      </c>
      <c r="DR63" s="137">
        <f>(G_Kohorte_F!DR63+G_Kohorte_M!DR63)/2</f>
        <v>96706.225694575362</v>
      </c>
      <c r="DS63" s="137">
        <f>(G_Kohorte_F!DS63+G_Kohorte_M!DS63)/2</f>
        <v>96767.760168566427</v>
      </c>
      <c r="DT63" s="137">
        <f>(G_Kohorte_F!DT63+G_Kohorte_M!DT63)/2</f>
        <v>96841.39833179611</v>
      </c>
      <c r="DU63" s="137">
        <f>(G_Kohorte_F!DU63+G_Kohorte_M!DU63)/2</f>
        <v>96913.193967300758</v>
      </c>
    </row>
    <row r="64" spans="1:125">
      <c r="A64" s="2348">
        <v>62</v>
      </c>
      <c r="B64" s="137"/>
      <c r="C64" s="137"/>
      <c r="D64" s="137"/>
      <c r="E64" s="137"/>
      <c r="F64" s="137"/>
      <c r="G64" s="137"/>
      <c r="H64" s="137"/>
      <c r="I64" s="137"/>
      <c r="J64" s="137"/>
      <c r="K64" s="137"/>
      <c r="L64" s="137"/>
      <c r="M64" s="137"/>
      <c r="N64" s="137"/>
      <c r="O64" s="137"/>
      <c r="P64" s="137"/>
      <c r="Q64" s="137"/>
      <c r="R64" s="137"/>
      <c r="S64" s="137"/>
      <c r="T64" s="137"/>
      <c r="U64" s="137"/>
      <c r="V64" s="137"/>
      <c r="W64" s="2342">
        <v>66693</v>
      </c>
      <c r="X64" s="2342">
        <v>67545.5</v>
      </c>
      <c r="Y64" s="137">
        <v>67673.551716910515</v>
      </c>
      <c r="Z64" s="137">
        <v>69745.787582184421</v>
      </c>
      <c r="AA64" s="137">
        <v>70254.133378740022</v>
      </c>
      <c r="AB64" s="137">
        <v>70923.739739697892</v>
      </c>
      <c r="AC64" s="137">
        <v>71757.572223008261</v>
      </c>
      <c r="AD64" s="137">
        <v>72484.416614021568</v>
      </c>
      <c r="AE64" s="137">
        <v>72529.101792374538</v>
      </c>
      <c r="AF64" s="137">
        <v>73697.210051930742</v>
      </c>
      <c r="AG64" s="137">
        <v>74319.960615482792</v>
      </c>
      <c r="AH64" s="137">
        <v>74765.945379800454</v>
      </c>
      <c r="AI64" s="137">
        <v>75247.461235559749</v>
      </c>
      <c r="AJ64" s="137">
        <v>76612.998575281788</v>
      </c>
      <c r="AK64" s="137">
        <v>76833.884218303603</v>
      </c>
      <c r="AL64" s="137">
        <v>77492.812788432435</v>
      </c>
      <c r="AM64" s="137">
        <v>78082.86176481453</v>
      </c>
      <c r="AN64" s="137">
        <v>78731.215527026507</v>
      </c>
      <c r="AO64" s="137">
        <v>78877.544139164864</v>
      </c>
      <c r="AP64" s="137">
        <v>79238.521108626097</v>
      </c>
      <c r="AQ64" s="137">
        <v>79424.8171234693</v>
      </c>
      <c r="AR64" s="137">
        <v>79730.213394126768</v>
      </c>
      <c r="AS64" s="137">
        <v>79256.512874962355</v>
      </c>
      <c r="AT64" s="137">
        <v>78647.147038071285</v>
      </c>
      <c r="AU64" s="137">
        <v>77650.850162555871</v>
      </c>
      <c r="AV64" s="137">
        <v>78074.025510909036</v>
      </c>
      <c r="AW64" s="137">
        <v>78711.788820566027</v>
      </c>
      <c r="AX64" s="137">
        <v>80770.632172963524</v>
      </c>
      <c r="AY64" s="137">
        <v>82427.440301386174</v>
      </c>
      <c r="AZ64" s="137">
        <v>82495.098161137576</v>
      </c>
      <c r="BA64" s="137">
        <v>82582.91731926598</v>
      </c>
      <c r="BB64" s="137">
        <v>83279.101892817955</v>
      </c>
      <c r="BC64" s="137">
        <v>83540.707446507367</v>
      </c>
      <c r="BD64" s="137">
        <v>83981.98322768815</v>
      </c>
      <c r="BE64" s="137">
        <v>84182.000073842588</v>
      </c>
      <c r="BF64" s="137">
        <v>84659.655387250823</v>
      </c>
      <c r="BG64" s="137">
        <v>84876.228755844873</v>
      </c>
      <c r="BH64" s="137">
        <v>85416.403941270444</v>
      </c>
      <c r="BI64" s="137">
        <v>85671.83109636922</v>
      </c>
      <c r="BJ64" s="137">
        <v>86001.616578657617</v>
      </c>
      <c r="BK64" s="137">
        <v>86385.119175876578</v>
      </c>
      <c r="BL64" s="137">
        <v>86947.779415249155</v>
      </c>
      <c r="BM64" s="137">
        <v>87425.733289367839</v>
      </c>
      <c r="BN64" s="137">
        <v>87855.238578945486</v>
      </c>
      <c r="BO64" s="137">
        <v>88168.504892414916</v>
      </c>
      <c r="BP64" s="137">
        <v>88474.037878412259</v>
      </c>
      <c r="BQ64" s="137">
        <v>88722.677635144792</v>
      </c>
      <c r="BR64" s="137">
        <v>88954.233039650455</v>
      </c>
      <c r="BS64" s="137">
        <v>89054.273542163908</v>
      </c>
      <c r="BT64" s="137">
        <v>89258.875098494784</v>
      </c>
      <c r="BU64" s="137">
        <v>89387.177330648454</v>
      </c>
      <c r="BV64" s="137">
        <v>89627.132629365617</v>
      </c>
      <c r="BW64" s="137">
        <v>89821.429467666021</v>
      </c>
      <c r="BX64" s="137">
        <v>90046.25177739124</v>
      </c>
      <c r="BY64" s="137">
        <v>90280.120397739141</v>
      </c>
      <c r="BZ64" s="137">
        <v>90627.477621944185</v>
      </c>
      <c r="CA64" s="137">
        <v>90879.012606074073</v>
      </c>
      <c r="CB64" s="137">
        <v>91058.330205195263</v>
      </c>
      <c r="CC64" s="137">
        <v>91295.311225237994</v>
      </c>
      <c r="CD64" s="137">
        <v>91505.352315821627</v>
      </c>
      <c r="CE64" s="137">
        <v>91693.050644587725</v>
      </c>
      <c r="CF64" s="137">
        <v>91922.774334144342</v>
      </c>
      <c r="CG64" s="137">
        <v>92117.082682056745</v>
      </c>
      <c r="CH64" s="137">
        <v>92306.109117994987</v>
      </c>
      <c r="CI64" s="137">
        <v>92541.336073854211</v>
      </c>
      <c r="CJ64" s="137">
        <v>92672.619905568499</v>
      </c>
      <c r="CK64" s="137">
        <v>92840.584280185227</v>
      </c>
      <c r="CL64" s="137">
        <v>93061.071934713429</v>
      </c>
      <c r="CM64" s="137">
        <v>93204.735358108737</v>
      </c>
      <c r="CN64" s="137">
        <v>93377.870860511161</v>
      </c>
      <c r="CO64" s="137">
        <v>93544.842961768736</v>
      </c>
      <c r="CP64" s="137">
        <v>93708.239849215694</v>
      </c>
      <c r="CQ64" s="137">
        <v>93860.113425802585</v>
      </c>
      <c r="CR64" s="137">
        <v>93974.226803066907</v>
      </c>
      <c r="CS64" s="137">
        <v>94130.360483431912</v>
      </c>
      <c r="CT64" s="137">
        <v>94249.351827797771</v>
      </c>
      <c r="CU64" s="137">
        <v>94373.586932697304</v>
      </c>
      <c r="CV64" s="137">
        <v>94478.031848639192</v>
      </c>
      <c r="CW64" s="137">
        <v>94585.736501118663</v>
      </c>
      <c r="CX64" s="137">
        <v>94714.147525435663</v>
      </c>
      <c r="CY64" s="137">
        <v>94804.074738655676</v>
      </c>
      <c r="CZ64" s="137">
        <v>94898.145043000433</v>
      </c>
      <c r="DA64" s="137">
        <v>94982.432419544435</v>
      </c>
      <c r="DB64" s="137">
        <v>95103.78189999098</v>
      </c>
      <c r="DC64" s="137">
        <v>95203.699018332103</v>
      </c>
      <c r="DD64" s="137">
        <v>95292.479147488571</v>
      </c>
      <c r="DE64" s="137">
        <v>95384.919655846359</v>
      </c>
      <c r="DF64" s="137">
        <v>95506.108740064374</v>
      </c>
      <c r="DG64" s="137">
        <v>95582.495794293354</v>
      </c>
      <c r="DH64" s="137">
        <v>95671.803768760175</v>
      </c>
      <c r="DI64" s="137">
        <v>95740.070786652446</v>
      </c>
      <c r="DJ64" s="137">
        <v>95845.465248831286</v>
      </c>
      <c r="DK64" s="137">
        <v>95931.049771212565</v>
      </c>
      <c r="DL64" s="137">
        <v>95999.194780775782</v>
      </c>
      <c r="DM64" s="137">
        <v>96068.615839183156</v>
      </c>
      <c r="DN64" s="137">
        <v>96133.660317248927</v>
      </c>
      <c r="DO64" s="137">
        <v>96221.841889366129</v>
      </c>
      <c r="DP64" s="137">
        <f>(G_Kohorte_F!DP64+G_Kohorte_M!DP64)/2</f>
        <v>96306.014877928363</v>
      </c>
      <c r="DQ64" s="137">
        <f>(G_Kohorte_F!DQ64+G_Kohorte_M!DQ64)/2</f>
        <v>96372.253017137293</v>
      </c>
      <c r="DR64" s="137">
        <f>(G_Kohorte_F!DR64+G_Kohorte_M!DR64)/2</f>
        <v>96452.127541148453</v>
      </c>
      <c r="DS64" s="137">
        <f>(G_Kohorte_F!DS64+G_Kohorte_M!DS64)/2</f>
        <v>96518.332802206511</v>
      </c>
      <c r="DT64" s="137">
        <f>(G_Kohorte_F!DT64+G_Kohorte_M!DT64)/2</f>
        <v>96596.516774559408</v>
      </c>
      <c r="DU64" s="137">
        <f>(G_Kohorte_F!DU64+G_Kohorte_M!DU64)/2</f>
        <v>96672.78048964373</v>
      </c>
    </row>
    <row r="65" spans="1:125">
      <c r="A65" s="2348">
        <v>63</v>
      </c>
      <c r="B65" s="137"/>
      <c r="C65" s="137"/>
      <c r="D65" s="137"/>
      <c r="E65" s="137"/>
      <c r="F65" s="137"/>
      <c r="G65" s="137"/>
      <c r="H65" s="137"/>
      <c r="I65" s="137"/>
      <c r="J65" s="137"/>
      <c r="K65" s="137"/>
      <c r="L65" s="137"/>
      <c r="M65" s="137"/>
      <c r="N65" s="137"/>
      <c r="O65" s="137"/>
      <c r="P65" s="137"/>
      <c r="Q65" s="137"/>
      <c r="R65" s="137"/>
      <c r="S65" s="137"/>
      <c r="T65" s="137"/>
      <c r="U65" s="137"/>
      <c r="V65" s="137"/>
      <c r="W65" s="2342">
        <v>65692.5</v>
      </c>
      <c r="X65" s="2342">
        <v>66551.5</v>
      </c>
      <c r="Y65" s="137">
        <v>66694.787183055159</v>
      </c>
      <c r="Z65" s="137">
        <v>68748.199889297801</v>
      </c>
      <c r="AA65" s="137">
        <v>69274.329708799691</v>
      </c>
      <c r="AB65" s="137">
        <v>69962.32545150962</v>
      </c>
      <c r="AC65" s="137">
        <v>70766.618149209418</v>
      </c>
      <c r="AD65" s="137">
        <v>71475.708037065575</v>
      </c>
      <c r="AE65" s="137">
        <v>71542.334753980467</v>
      </c>
      <c r="AF65" s="137">
        <v>72696.745606386699</v>
      </c>
      <c r="AG65" s="137">
        <v>73347.933311575325</v>
      </c>
      <c r="AH65" s="137">
        <v>73812.91086215229</v>
      </c>
      <c r="AI65" s="137">
        <v>74296.001045252255</v>
      </c>
      <c r="AJ65" s="137">
        <v>75715.958649970853</v>
      </c>
      <c r="AK65" s="137">
        <v>75967.156476709919</v>
      </c>
      <c r="AL65" s="137">
        <v>76643.773410566762</v>
      </c>
      <c r="AM65" s="137">
        <v>77276.082067793555</v>
      </c>
      <c r="AN65" s="137">
        <v>77942.547450059123</v>
      </c>
      <c r="AO65" s="137">
        <v>78104.135534318804</v>
      </c>
      <c r="AP65" s="137">
        <v>78456.268428559095</v>
      </c>
      <c r="AQ65" s="137">
        <v>78675.883020477428</v>
      </c>
      <c r="AR65" s="137">
        <v>78981.287752086922</v>
      </c>
      <c r="AS65" s="137">
        <v>78527.638259935047</v>
      </c>
      <c r="AT65" s="137">
        <v>77933.927361641196</v>
      </c>
      <c r="AU65" s="137">
        <v>76935.642850416218</v>
      </c>
      <c r="AV65" s="137">
        <v>77344.009413662454</v>
      </c>
      <c r="AW65" s="137">
        <v>78012.524132942024</v>
      </c>
      <c r="AX65" s="137">
        <v>80044.417158204451</v>
      </c>
      <c r="AY65" s="137">
        <v>81695.967503392661</v>
      </c>
      <c r="AZ65" s="137">
        <v>81748.580211510911</v>
      </c>
      <c r="BA65" s="137">
        <v>81866.69920570674</v>
      </c>
      <c r="BB65" s="137">
        <v>82518.375906927555</v>
      </c>
      <c r="BC65" s="137">
        <v>82790.24172604701</v>
      </c>
      <c r="BD65" s="137">
        <v>83251.948124927614</v>
      </c>
      <c r="BE65" s="137">
        <v>83420.002527276127</v>
      </c>
      <c r="BF65" s="137">
        <v>83920.471478187304</v>
      </c>
      <c r="BG65" s="137">
        <v>84133.12858073524</v>
      </c>
      <c r="BH65" s="137">
        <v>84658.58844242245</v>
      </c>
      <c r="BI65" s="137">
        <v>84891.279328792676</v>
      </c>
      <c r="BJ65" s="137">
        <v>85229.179474887074</v>
      </c>
      <c r="BK65" s="137">
        <v>85623.87437417882</v>
      </c>
      <c r="BL65" s="137">
        <v>86195.965621324052</v>
      </c>
      <c r="BM65" s="137">
        <v>86683.906674459999</v>
      </c>
      <c r="BN65" s="137">
        <v>87123.799529493743</v>
      </c>
      <c r="BO65" s="137">
        <v>87448.241295526677</v>
      </c>
      <c r="BP65" s="137">
        <v>87765.04750606649</v>
      </c>
      <c r="BQ65" s="137">
        <v>88025.124770310271</v>
      </c>
      <c r="BR65" s="137">
        <v>88268.167436637552</v>
      </c>
      <c r="BS65" s="137">
        <v>88380.590135110062</v>
      </c>
      <c r="BT65" s="137">
        <v>88596.482999880798</v>
      </c>
      <c r="BU65" s="137">
        <v>88736.523032705678</v>
      </c>
      <c r="BV65" s="137">
        <v>88987.09966078974</v>
      </c>
      <c r="BW65" s="137">
        <v>89192.222846894729</v>
      </c>
      <c r="BX65" s="137">
        <v>89427.396294109785</v>
      </c>
      <c r="BY65" s="137">
        <v>89671.358542089409</v>
      </c>
      <c r="BZ65" s="137">
        <v>90027.895734379927</v>
      </c>
      <c r="CA65" s="137">
        <v>90289.178718683557</v>
      </c>
      <c r="CB65" s="137">
        <v>90478.625895446632</v>
      </c>
      <c r="CC65" s="137">
        <v>90725.014518139011</v>
      </c>
      <c r="CD65" s="137">
        <v>90944.544204473932</v>
      </c>
      <c r="CE65" s="137">
        <v>91141.74101493333</v>
      </c>
      <c r="CF65" s="137">
        <v>91380.490206582777</v>
      </c>
      <c r="CG65" s="137">
        <v>91583.965539722834</v>
      </c>
      <c r="CH65" s="137">
        <v>91782.003946340759</v>
      </c>
      <c r="CI65" s="137">
        <v>92025.829127595352</v>
      </c>
      <c r="CJ65" s="137">
        <v>92166.18996724108</v>
      </c>
      <c r="CK65" s="137">
        <v>92342.877074939635</v>
      </c>
      <c r="CL65" s="137">
        <v>92571.6117356584</v>
      </c>
      <c r="CM65" s="137">
        <v>92723.834257646318</v>
      </c>
      <c r="CN65" s="137">
        <v>92905.234506740322</v>
      </c>
      <c r="CO65" s="137">
        <v>93080.293424421659</v>
      </c>
      <c r="CP65" s="137">
        <v>93251.727266834525</v>
      </c>
      <c r="CQ65" s="137">
        <v>93411.528247172944</v>
      </c>
      <c r="CR65" s="137">
        <v>93533.658711217446</v>
      </c>
      <c r="CS65" s="137">
        <v>93697.429701336703</v>
      </c>
      <c r="CT65" s="137">
        <v>93824.118452037714</v>
      </c>
      <c r="CU65" s="137">
        <v>93955.87483589098</v>
      </c>
      <c r="CV65" s="137">
        <v>94067.79872536601</v>
      </c>
      <c r="CW65" s="137">
        <v>94182.873772474937</v>
      </c>
      <c r="CX65" s="137">
        <v>94318.393410384582</v>
      </c>
      <c r="CY65" s="137">
        <v>94415.498383228492</v>
      </c>
      <c r="CZ65" s="137">
        <v>94516.559683610481</v>
      </c>
      <c r="DA65" s="137">
        <v>94607.78190636923</v>
      </c>
      <c r="DB65" s="137">
        <v>94735.767977417534</v>
      </c>
      <c r="DC65" s="137">
        <v>94842.327542844752</v>
      </c>
      <c r="DD65" s="137">
        <v>94937.647445269686</v>
      </c>
      <c r="DE65" s="137">
        <v>95036.511629565008</v>
      </c>
      <c r="DF65" s="137">
        <v>95163.906812644011</v>
      </c>
      <c r="DG65" s="137">
        <v>95246.523024016933</v>
      </c>
      <c r="DH65" s="137">
        <v>95341.928583899848</v>
      </c>
      <c r="DI65" s="137">
        <v>95416.234316525486</v>
      </c>
      <c r="DJ65" s="137">
        <v>95527.436500763142</v>
      </c>
      <c r="DK65" s="137">
        <v>95618.807401550876</v>
      </c>
      <c r="DL65" s="137">
        <v>95692.688178304219</v>
      </c>
      <c r="DM65" s="137">
        <v>95767.715043858683</v>
      </c>
      <c r="DN65" s="137">
        <v>95838.299823007372</v>
      </c>
      <c r="DO65" s="137">
        <v>95931.839850105549</v>
      </c>
      <c r="DP65" s="137">
        <f>(G_Kohorte_F!DP65+G_Kohorte_M!DP65)/2</f>
        <v>96021.294318848493</v>
      </c>
      <c r="DQ65" s="137">
        <f>(G_Kohorte_F!DQ65+G_Kohorte_M!DQ65)/2</f>
        <v>96092.765500913229</v>
      </c>
      <c r="DR65" s="137">
        <f>(G_Kohorte_F!DR65+G_Kohorte_M!DR65)/2</f>
        <v>96177.725743701769</v>
      </c>
      <c r="DS65" s="137">
        <f>(G_Kohorte_F!DS65+G_Kohorte_M!DS65)/2</f>
        <v>96248.984032983222</v>
      </c>
      <c r="DT65" s="137">
        <f>(G_Kohorte_F!DT65+G_Kohorte_M!DT65)/2</f>
        <v>96332.085991447471</v>
      </c>
      <c r="DU65" s="137">
        <f>(G_Kohorte_F!DU65+G_Kohorte_M!DU65)/2</f>
        <v>96413.183689701575</v>
      </c>
    </row>
    <row r="66" spans="1:125">
      <c r="A66" s="2348">
        <v>64</v>
      </c>
      <c r="B66" s="137"/>
      <c r="C66" s="137"/>
      <c r="D66" s="137"/>
      <c r="E66" s="137"/>
      <c r="F66" s="137"/>
      <c r="G66" s="137"/>
      <c r="H66" s="137"/>
      <c r="I66" s="137"/>
      <c r="J66" s="137"/>
      <c r="K66" s="137"/>
      <c r="L66" s="137"/>
      <c r="M66" s="137"/>
      <c r="N66" s="137"/>
      <c r="O66" s="137"/>
      <c r="P66" s="137"/>
      <c r="Q66" s="137"/>
      <c r="R66" s="137"/>
      <c r="S66" s="137"/>
      <c r="T66" s="137"/>
      <c r="U66" s="137"/>
      <c r="V66" s="137"/>
      <c r="W66" s="2342">
        <v>64597</v>
      </c>
      <c r="X66" s="2342">
        <v>65496.5</v>
      </c>
      <c r="Y66" s="137">
        <v>65654.299211126039</v>
      </c>
      <c r="Z66" s="137">
        <v>67688.067428075345</v>
      </c>
      <c r="AA66" s="137">
        <v>68250.192347121018</v>
      </c>
      <c r="AB66" s="137">
        <v>68913.745714931109</v>
      </c>
      <c r="AC66" s="137">
        <v>69709.229252012927</v>
      </c>
      <c r="AD66" s="137">
        <v>70407.905509282311</v>
      </c>
      <c r="AE66" s="137">
        <v>70498.566578275801</v>
      </c>
      <c r="AF66" s="137">
        <v>71641.776147138182</v>
      </c>
      <c r="AG66" s="137">
        <v>72321.995201547717</v>
      </c>
      <c r="AH66" s="137">
        <v>72795.563528495317</v>
      </c>
      <c r="AI66" s="137">
        <v>73321.887009427795</v>
      </c>
      <c r="AJ66" s="137">
        <v>74759.410681560228</v>
      </c>
      <c r="AK66" s="137">
        <v>75053.79612038887</v>
      </c>
      <c r="AL66" s="137">
        <v>75749.672152051353</v>
      </c>
      <c r="AM66" s="137">
        <v>76436.775547624653</v>
      </c>
      <c r="AN66" s="137">
        <v>77100.142844201415</v>
      </c>
      <c r="AO66" s="137">
        <v>77276.404089117888</v>
      </c>
      <c r="AP66" s="137">
        <v>77657.193386524392</v>
      </c>
      <c r="AQ66" s="137">
        <v>77884.500245296163</v>
      </c>
      <c r="AR66" s="137">
        <v>78217.987133410366</v>
      </c>
      <c r="AS66" s="137">
        <v>77760.372796672425</v>
      </c>
      <c r="AT66" s="137">
        <v>77161.88769960824</v>
      </c>
      <c r="AU66" s="137">
        <v>76171.446391607577</v>
      </c>
      <c r="AV66" s="137">
        <v>76581.546888491896</v>
      </c>
      <c r="AW66" s="137">
        <v>77257.500214682223</v>
      </c>
      <c r="AX66" s="137">
        <v>79273.064463034039</v>
      </c>
      <c r="AY66" s="137">
        <v>80904.798447126057</v>
      </c>
      <c r="AZ66" s="137">
        <v>80985.297238482366</v>
      </c>
      <c r="BA66" s="137">
        <v>81064.843251372222</v>
      </c>
      <c r="BB66" s="137">
        <v>81711.933470244752</v>
      </c>
      <c r="BC66" s="137">
        <v>81992.505167949595</v>
      </c>
      <c r="BD66" s="137">
        <v>82431.632339503703</v>
      </c>
      <c r="BE66" s="137">
        <v>82618.132179885593</v>
      </c>
      <c r="BF66" s="137">
        <v>83122.839712147688</v>
      </c>
      <c r="BG66" s="137">
        <v>83301.948622933473</v>
      </c>
      <c r="BH66" s="137">
        <v>83820.432011956378</v>
      </c>
      <c r="BI66" s="137">
        <v>84050.084918173539</v>
      </c>
      <c r="BJ66" s="137">
        <v>84400.600220410677</v>
      </c>
      <c r="BK66" s="137">
        <v>84807.208700616844</v>
      </c>
      <c r="BL66" s="137">
        <v>85389.330035285064</v>
      </c>
      <c r="BM66" s="137">
        <v>85887.903648311301</v>
      </c>
      <c r="BN66" s="137">
        <v>86338.862538610425</v>
      </c>
      <c r="BO66" s="137">
        <v>86675.221092174528</v>
      </c>
      <c r="BP66" s="137">
        <v>87004.052123229369</v>
      </c>
      <c r="BQ66" s="137">
        <v>87276.336384948052</v>
      </c>
      <c r="BR66" s="137">
        <v>87531.643293243746</v>
      </c>
      <c r="BS66" s="137">
        <v>87657.294969249109</v>
      </c>
      <c r="BT66" s="137">
        <v>87885.250804873736</v>
      </c>
      <c r="BU66" s="137">
        <v>88037.836899184331</v>
      </c>
      <c r="BV66" s="137">
        <v>88299.724373690129</v>
      </c>
      <c r="BW66" s="137">
        <v>88516.435914104775</v>
      </c>
      <c r="BX66" s="137">
        <v>88762.691052395792</v>
      </c>
      <c r="BY66" s="137">
        <v>89017.461588645601</v>
      </c>
      <c r="BZ66" s="137">
        <v>89383.828494204179</v>
      </c>
      <c r="CA66" s="137">
        <v>89655.553631121555</v>
      </c>
      <c r="CB66" s="137">
        <v>89855.855102656977</v>
      </c>
      <c r="CC66" s="137">
        <v>90112.325939410322</v>
      </c>
      <c r="CD66" s="137">
        <v>90342.026844869222</v>
      </c>
      <c r="CE66" s="137">
        <v>90549.407589655471</v>
      </c>
      <c r="CF66" s="137">
        <v>90797.835000818886</v>
      </c>
      <c r="CG66" s="137">
        <v>91011.142185923163</v>
      </c>
      <c r="CH66" s="137">
        <v>91218.847969286377</v>
      </c>
      <c r="CI66" s="137">
        <v>91471.897794312856</v>
      </c>
      <c r="CJ66" s="137">
        <v>91621.999254716357</v>
      </c>
      <c r="CK66" s="137">
        <v>91808.047942027493</v>
      </c>
      <c r="CL66" s="137">
        <v>92045.634737271059</v>
      </c>
      <c r="CM66" s="137">
        <v>92207.046013935833</v>
      </c>
      <c r="CN66" s="137">
        <v>92397.320072476723</v>
      </c>
      <c r="CO66" s="137">
        <v>92581.063157407945</v>
      </c>
      <c r="CP66" s="137">
        <v>92761.128521128994</v>
      </c>
      <c r="CQ66" s="137">
        <v>92929.444545389633</v>
      </c>
      <c r="CR66" s="137">
        <v>93060.187330128989</v>
      </c>
      <c r="CS66" s="137">
        <v>93232.163677317236</v>
      </c>
      <c r="CT66" s="137">
        <v>93367.123228950048</v>
      </c>
      <c r="CU66" s="137">
        <v>93506.962072277296</v>
      </c>
      <c r="CV66" s="137">
        <v>93626.923761467682</v>
      </c>
      <c r="CW66" s="137">
        <v>93749.920556959114</v>
      </c>
      <c r="CX66" s="137">
        <v>93893.081461635273</v>
      </c>
      <c r="CY66" s="137">
        <v>93997.902552692773</v>
      </c>
      <c r="CZ66" s="137">
        <v>94106.479988139166</v>
      </c>
      <c r="DA66" s="137">
        <v>94205.158463567393</v>
      </c>
      <c r="DB66" s="137">
        <v>94340.280856084486</v>
      </c>
      <c r="DC66" s="137">
        <v>94453.983383312021</v>
      </c>
      <c r="DD66" s="137">
        <v>94556.336402409739</v>
      </c>
      <c r="DE66" s="137">
        <v>94662.109282083169</v>
      </c>
      <c r="DF66" s="137">
        <v>94796.179693209386</v>
      </c>
      <c r="DG66" s="137">
        <v>94885.496280378749</v>
      </c>
      <c r="DH66" s="137">
        <v>94987.461036956403</v>
      </c>
      <c r="DI66" s="137">
        <v>95068.262991164127</v>
      </c>
      <c r="DJ66" s="137">
        <v>95185.713387382231</v>
      </c>
      <c r="DK66" s="137">
        <v>95283.309702600323</v>
      </c>
      <c r="DL66" s="137">
        <v>95363.361663296004</v>
      </c>
      <c r="DM66" s="137">
        <v>95444.420239389088</v>
      </c>
      <c r="DN66" s="137">
        <v>95520.966389332578</v>
      </c>
      <c r="DO66" s="137">
        <v>95620.272503411688</v>
      </c>
      <c r="DP66" s="137">
        <f>(G_Kohorte_F!DP66+G_Kohorte_M!DP66)/2</f>
        <v>95715.41039184414</v>
      </c>
      <c r="DQ66" s="137">
        <f>(G_Kohorte_F!DQ66+G_Kohorte_M!DQ66)/2</f>
        <v>95792.512988674163</v>
      </c>
      <c r="DR66" s="137">
        <f>(G_Kohorte_F!DR66+G_Kohorte_M!DR66)/2</f>
        <v>95882.946401942711</v>
      </c>
      <c r="DS66" s="137">
        <f>(G_Kohorte_F!DS66+G_Kohorte_M!DS66)/2</f>
        <v>95959.64268688063</v>
      </c>
      <c r="DT66" s="137">
        <f>(G_Kohorte_F!DT66+G_Kohorte_M!DT66)/2</f>
        <v>96048.03755660876</v>
      </c>
      <c r="DU66" s="137">
        <f>(G_Kohorte_F!DU66+G_Kohorte_M!DU66)/2</f>
        <v>96134.337878162623</v>
      </c>
    </row>
    <row r="67" spans="1:125">
      <c r="A67" s="2348">
        <v>65</v>
      </c>
      <c r="B67" s="137"/>
      <c r="C67" s="137"/>
      <c r="D67" s="137"/>
      <c r="E67" s="137"/>
      <c r="F67" s="137"/>
      <c r="G67" s="137"/>
      <c r="H67" s="137"/>
      <c r="I67" s="137"/>
      <c r="J67" s="137"/>
      <c r="K67" s="137"/>
      <c r="L67" s="137"/>
      <c r="M67" s="137"/>
      <c r="N67" s="137"/>
      <c r="O67" s="137"/>
      <c r="P67" s="137"/>
      <c r="Q67" s="137"/>
      <c r="R67" s="137"/>
      <c r="S67" s="137"/>
      <c r="T67" s="137"/>
      <c r="U67" s="137"/>
      <c r="V67" s="137"/>
      <c r="W67" s="2342">
        <v>63479</v>
      </c>
      <c r="X67" s="2342">
        <v>64387</v>
      </c>
      <c r="Y67" s="137">
        <v>64562.843150799796</v>
      </c>
      <c r="Z67" s="137">
        <v>66598.926382181191</v>
      </c>
      <c r="AA67" s="137">
        <v>67137.608423301281</v>
      </c>
      <c r="AB67" s="137">
        <v>67799.456647222556</v>
      </c>
      <c r="AC67" s="137">
        <v>68585.564412068939</v>
      </c>
      <c r="AD67" s="137">
        <v>69275.929384991206</v>
      </c>
      <c r="AE67" s="137">
        <v>69383.477740404967</v>
      </c>
      <c r="AF67" s="137">
        <v>70537.598230499483</v>
      </c>
      <c r="AG67" s="137">
        <v>71226.518073759478</v>
      </c>
      <c r="AH67" s="137">
        <v>71747.387003283206</v>
      </c>
      <c r="AI67" s="137">
        <v>72311.559539086913</v>
      </c>
      <c r="AJ67" s="137">
        <v>73779.10288732202</v>
      </c>
      <c r="AK67" s="137">
        <v>74090.742759120621</v>
      </c>
      <c r="AL67" s="137">
        <v>74837.724005621189</v>
      </c>
      <c r="AM67" s="137">
        <v>75548.637136833029</v>
      </c>
      <c r="AN67" s="137">
        <v>76213.254885355971</v>
      </c>
      <c r="AO67" s="137">
        <v>76420.623344275868</v>
      </c>
      <c r="AP67" s="137">
        <v>76825.598165604606</v>
      </c>
      <c r="AQ67" s="137">
        <v>77075.470475939102</v>
      </c>
      <c r="AR67" s="137">
        <v>77404.504719813529</v>
      </c>
      <c r="AS67" s="137">
        <v>76948.144660264283</v>
      </c>
      <c r="AT67" s="137">
        <v>76350.800367997799</v>
      </c>
      <c r="AU67" s="137">
        <v>75362.842692622944</v>
      </c>
      <c r="AV67" s="137">
        <v>75753.80891566597</v>
      </c>
      <c r="AW67" s="137">
        <v>76447.500595414473</v>
      </c>
      <c r="AX67" s="137">
        <v>78416.52061814694</v>
      </c>
      <c r="AY67" s="137">
        <v>80071.372036789588</v>
      </c>
      <c r="AZ67" s="137">
        <v>80120.336225176288</v>
      </c>
      <c r="BA67" s="137">
        <v>80206.082613776205</v>
      </c>
      <c r="BB67" s="137">
        <v>80858.418783024463</v>
      </c>
      <c r="BC67" s="137">
        <v>81111.173778122349</v>
      </c>
      <c r="BD67" s="137">
        <v>81551.576449395056</v>
      </c>
      <c r="BE67" s="137">
        <v>81769.702127256169</v>
      </c>
      <c r="BF67" s="137">
        <v>82221.105192228948</v>
      </c>
      <c r="BG67" s="137">
        <v>82376.503179219551</v>
      </c>
      <c r="BH67" s="137">
        <v>82908.628572378482</v>
      </c>
      <c r="BI67" s="137">
        <v>83153.076941252482</v>
      </c>
      <c r="BJ67" s="137">
        <v>83516.927252432681</v>
      </c>
      <c r="BK67" s="137">
        <v>83936.129169750522</v>
      </c>
      <c r="BL67" s="137">
        <v>84528.842221794723</v>
      </c>
      <c r="BM67" s="137">
        <v>85038.657212082762</v>
      </c>
      <c r="BN67" s="137">
        <v>85501.324218668349</v>
      </c>
      <c r="BO67" s="137">
        <v>85850.304936572851</v>
      </c>
      <c r="BP67" s="137">
        <v>86191.876597058988</v>
      </c>
      <c r="BQ67" s="137">
        <v>86477.103152762909</v>
      </c>
      <c r="BR67" s="137">
        <v>86745.417777662224</v>
      </c>
      <c r="BS67" s="137">
        <v>86885.111548978079</v>
      </c>
      <c r="BT67" s="137">
        <v>87125.87113172331</v>
      </c>
      <c r="BU67" s="137">
        <v>87291.750044325832</v>
      </c>
      <c r="BV67" s="137">
        <v>87565.662989897508</v>
      </c>
      <c r="BW67" s="137">
        <v>87794.69935602686</v>
      </c>
      <c r="BX67" s="137">
        <v>88052.742999572016</v>
      </c>
      <c r="BY67" s="137">
        <v>88319.013998792216</v>
      </c>
      <c r="BZ67" s="137">
        <v>88695.839569718839</v>
      </c>
      <c r="CA67" s="137">
        <v>88978.680115468946</v>
      </c>
      <c r="CB67" s="137">
        <v>89190.539792363648</v>
      </c>
      <c r="CC67" s="137">
        <v>89457.748903767206</v>
      </c>
      <c r="CD67" s="137">
        <v>89698.285429485579</v>
      </c>
      <c r="CE67" s="137">
        <v>89916.517872993281</v>
      </c>
      <c r="CF67" s="137">
        <v>90175.25987418741</v>
      </c>
      <c r="CG67" s="137">
        <v>90399.04757252759</v>
      </c>
      <c r="CH67" s="137">
        <v>90617.060802027292</v>
      </c>
      <c r="CI67" s="137">
        <v>90879.947276761028</v>
      </c>
      <c r="CJ67" s="137">
        <v>91040.438521241944</v>
      </c>
      <c r="CK67" s="137">
        <v>91236.473989915248</v>
      </c>
      <c r="CL67" s="137">
        <v>91483.505482744324</v>
      </c>
      <c r="CM67" s="137">
        <v>91654.72263962563</v>
      </c>
      <c r="CN67" s="137">
        <v>91854.467707248245</v>
      </c>
      <c r="CO67" s="137">
        <v>92047.48129944496</v>
      </c>
      <c r="CP67" s="137">
        <v>92236.761899558405</v>
      </c>
      <c r="CQ67" s="137">
        <v>92414.170348318905</v>
      </c>
      <c r="CR67" s="137">
        <v>92554.110550402023</v>
      </c>
      <c r="CS67" s="137">
        <v>92734.850973307708</v>
      </c>
      <c r="CT67" s="137">
        <v>92878.645604006015</v>
      </c>
      <c r="CU67" s="137">
        <v>93027.119490061013</v>
      </c>
      <c r="CV67" s="137">
        <v>93155.669536317728</v>
      </c>
      <c r="CW67" s="137">
        <v>93287.131384216293</v>
      </c>
      <c r="CX67" s="137">
        <v>93438.45878949383</v>
      </c>
      <c r="CY67" s="137">
        <v>93551.527024833544</v>
      </c>
      <c r="CZ67" s="137">
        <v>93668.138939586352</v>
      </c>
      <c r="DA67" s="137">
        <v>93774.788438629985</v>
      </c>
      <c r="DB67" s="137">
        <v>93917.54077695348</v>
      </c>
      <c r="DC67" s="137">
        <v>94038.880729047407</v>
      </c>
      <c r="DD67" s="137">
        <v>94148.754526286371</v>
      </c>
      <c r="DE67" s="137">
        <v>94261.915647049143</v>
      </c>
      <c r="DF67" s="137">
        <v>94403.125252824306</v>
      </c>
      <c r="DG67" s="137">
        <v>94499.608530427184</v>
      </c>
      <c r="DH67" s="137">
        <v>94608.589333496609</v>
      </c>
      <c r="DI67" s="137">
        <v>94696.340522584171</v>
      </c>
      <c r="DJ67" s="137">
        <v>94820.475396159018</v>
      </c>
      <c r="DK67" s="137">
        <v>94924.732021556905</v>
      </c>
      <c r="DL67" s="137">
        <v>95011.386609738751</v>
      </c>
      <c r="DM67" s="137">
        <v>95098.899101555755</v>
      </c>
      <c r="DN67" s="137">
        <v>95181.824058404585</v>
      </c>
      <c r="DO67" s="137">
        <v>95287.300507112668</v>
      </c>
      <c r="DP67" s="137">
        <f>(G_Kohorte_F!DP67+G_Kohorte_M!DP67)/2</f>
        <v>95388.520485016983</v>
      </c>
      <c r="DQ67" s="137">
        <f>(G_Kohorte_F!DQ67+G_Kohorte_M!DQ67)/2</f>
        <v>95471.649738232605</v>
      </c>
      <c r="DR67" s="137">
        <f>(G_Kohorte_F!DR67+G_Kohorte_M!DR67)/2</f>
        <v>95567.9408590987</v>
      </c>
      <c r="DS67" s="137">
        <f>(G_Kohorte_F!DS67+G_Kohorte_M!DS67)/2</f>
        <v>95650.457213647169</v>
      </c>
      <c r="DT67" s="137">
        <f>(G_Kohorte_F!DT67+G_Kohorte_M!DT67)/2</f>
        <v>95744.517212772189</v>
      </c>
      <c r="DU67" s="137">
        <f>(G_Kohorte_F!DU67+G_Kohorte_M!DU67)/2</f>
        <v>95836.386206602998</v>
      </c>
    </row>
    <row r="68" spans="1:125">
      <c r="A68" s="2348">
        <v>66</v>
      </c>
      <c r="B68" s="137"/>
      <c r="C68" s="137"/>
      <c r="D68" s="137"/>
      <c r="E68" s="137"/>
      <c r="F68" s="137"/>
      <c r="G68" s="137"/>
      <c r="H68" s="137"/>
      <c r="I68" s="137"/>
      <c r="J68" s="137"/>
      <c r="K68" s="137"/>
      <c r="L68" s="137"/>
      <c r="M68" s="137"/>
      <c r="N68" s="137"/>
      <c r="O68" s="137"/>
      <c r="P68" s="137"/>
      <c r="Q68" s="137"/>
      <c r="R68" s="137"/>
      <c r="S68" s="137"/>
      <c r="T68" s="137"/>
      <c r="U68" s="137"/>
      <c r="V68" s="137"/>
      <c r="W68" s="2342">
        <v>62264.5</v>
      </c>
      <c r="X68" s="2342">
        <v>63220</v>
      </c>
      <c r="Y68" s="137">
        <v>63396.651164195457</v>
      </c>
      <c r="Z68" s="137">
        <v>65381.255370684157</v>
      </c>
      <c r="AA68" s="137">
        <v>65943.693298052647</v>
      </c>
      <c r="AB68" s="137">
        <v>66635.15000672423</v>
      </c>
      <c r="AC68" s="137">
        <v>67419.773546265948</v>
      </c>
      <c r="AD68" s="137">
        <v>68095.09568632656</v>
      </c>
      <c r="AE68" s="137">
        <v>68218.426963827209</v>
      </c>
      <c r="AF68" s="137">
        <v>69350.310055804905</v>
      </c>
      <c r="AG68" s="137">
        <v>70078.537986508629</v>
      </c>
      <c r="AH68" s="137">
        <v>70660.156289056977</v>
      </c>
      <c r="AI68" s="137">
        <v>71247.016544950558</v>
      </c>
      <c r="AJ68" s="137">
        <v>72729.642687512518</v>
      </c>
      <c r="AK68" s="137">
        <v>73103.41570781068</v>
      </c>
      <c r="AL68" s="137">
        <v>73856.368194695839</v>
      </c>
      <c r="AM68" s="137">
        <v>74577.334106542839</v>
      </c>
      <c r="AN68" s="137">
        <v>75287.201734482631</v>
      </c>
      <c r="AO68" s="137">
        <v>75512.829505038186</v>
      </c>
      <c r="AP68" s="137">
        <v>75943.354073382157</v>
      </c>
      <c r="AQ68" s="137">
        <v>76197.532756642424</v>
      </c>
      <c r="AR68" s="137">
        <v>76536.267904617474</v>
      </c>
      <c r="AS68" s="137">
        <v>76072.445216018095</v>
      </c>
      <c r="AT68" s="137">
        <v>75498.649901872763</v>
      </c>
      <c r="AU68" s="137">
        <v>74503.986861906291</v>
      </c>
      <c r="AV68" s="137">
        <v>74869.623625066219</v>
      </c>
      <c r="AW68" s="137">
        <v>75573.480328685604</v>
      </c>
      <c r="AX68" s="137">
        <v>77543.424246511946</v>
      </c>
      <c r="AY68" s="137">
        <v>79150.235078420199</v>
      </c>
      <c r="AZ68" s="137">
        <v>79196.818593702599</v>
      </c>
      <c r="BA68" s="137">
        <v>79288.795771055899</v>
      </c>
      <c r="BB68" s="137">
        <v>79931.713750891446</v>
      </c>
      <c r="BC68" s="137">
        <v>80194.798952449579</v>
      </c>
      <c r="BD68" s="137">
        <v>80622.285353560583</v>
      </c>
      <c r="BE68" s="137">
        <v>80806.918827954738</v>
      </c>
      <c r="BF68" s="137">
        <v>81218.460024313623</v>
      </c>
      <c r="BG68" s="137">
        <v>81397.689593334755</v>
      </c>
      <c r="BH68" s="137">
        <v>81941.875841489411</v>
      </c>
      <c r="BI68" s="137">
        <v>82201.861045136349</v>
      </c>
      <c r="BJ68" s="137">
        <v>82579.707610929749</v>
      </c>
      <c r="BK68" s="137">
        <v>83012.127151707944</v>
      </c>
      <c r="BL68" s="137">
        <v>83615.943017808982</v>
      </c>
      <c r="BM68" s="137">
        <v>84137.558215152356</v>
      </c>
      <c r="BN68" s="137">
        <v>84612.525827652236</v>
      </c>
      <c r="BO68" s="137">
        <v>84974.784577945407</v>
      </c>
      <c r="BP68" s="137">
        <v>85329.76398167701</v>
      </c>
      <c r="BQ68" s="137">
        <v>85628.620861338903</v>
      </c>
      <c r="BR68" s="137">
        <v>85910.640526180534</v>
      </c>
      <c r="BS68" s="137">
        <v>86065.143115380313</v>
      </c>
      <c r="BT68" s="137">
        <v>86319.386066407707</v>
      </c>
      <c r="BU68" s="137">
        <v>86499.306918599352</v>
      </c>
      <c r="BV68" s="137">
        <v>86785.922403998382</v>
      </c>
      <c r="BW68" s="137">
        <v>87027.983036688471</v>
      </c>
      <c r="BX68" s="137">
        <v>87298.487034930135</v>
      </c>
      <c r="BY68" s="137">
        <v>87576.917237550864</v>
      </c>
      <c r="BZ68" s="137">
        <v>87964.799355586612</v>
      </c>
      <c r="CA68" s="137">
        <v>88259.397474113735</v>
      </c>
      <c r="CB68" s="137">
        <v>88483.48844606994</v>
      </c>
      <c r="CC68" s="137">
        <v>88762.063431553135</v>
      </c>
      <c r="CD68" s="137">
        <v>89014.072152607201</v>
      </c>
      <c r="CE68" s="137">
        <v>89243.797023523221</v>
      </c>
      <c r="CF68" s="137">
        <v>89513.464540484158</v>
      </c>
      <c r="CG68" s="137">
        <v>89748.35641655096</v>
      </c>
      <c r="CH68" s="137">
        <v>89977.293204388377</v>
      </c>
      <c r="CI68" s="137">
        <v>90250.605642545997</v>
      </c>
      <c r="CJ68" s="137">
        <v>90422.113183264955</v>
      </c>
      <c r="CK68" s="137">
        <v>90628.739110204595</v>
      </c>
      <c r="CL68" s="137">
        <v>90885.787658338624</v>
      </c>
      <c r="CM68" s="137">
        <v>91067.407800635672</v>
      </c>
      <c r="CN68" s="137">
        <v>91277.202006334817</v>
      </c>
      <c r="CO68" s="137">
        <v>91480.054290570231</v>
      </c>
      <c r="CP68" s="137">
        <v>91679.116181736084</v>
      </c>
      <c r="CQ68" s="137">
        <v>91866.177491551032</v>
      </c>
      <c r="CR68" s="137">
        <v>92015.883614956081</v>
      </c>
      <c r="CS68" s="137">
        <v>92205.931221811828</v>
      </c>
      <c r="CT68" s="137">
        <v>92359.109985921124</v>
      </c>
      <c r="CU68" s="137">
        <v>92516.756950821902</v>
      </c>
      <c r="CV68" s="137">
        <v>92654.431851435322</v>
      </c>
      <c r="CW68" s="137">
        <v>92794.888472839724</v>
      </c>
      <c r="CX68" s="137">
        <v>92954.894767527469</v>
      </c>
      <c r="CY68" s="137">
        <v>93076.728604601143</v>
      </c>
      <c r="CZ68" s="137">
        <v>93201.881396415891</v>
      </c>
      <c r="DA68" s="137">
        <v>93317.005113455787</v>
      </c>
      <c r="DB68" s="137">
        <v>93467.87010810824</v>
      </c>
      <c r="DC68" s="137">
        <v>93597.33130021012</v>
      </c>
      <c r="DD68" s="137">
        <v>93715.203339990723</v>
      </c>
      <c r="DE68" s="137">
        <v>93836.222435492295</v>
      </c>
      <c r="DF68" s="137">
        <v>93985.025866295589</v>
      </c>
      <c r="DG68" s="137">
        <v>94089.133112400246</v>
      </c>
      <c r="DH68" s="137">
        <v>94205.578114651522</v>
      </c>
      <c r="DI68" s="137">
        <v>94300.723190474819</v>
      </c>
      <c r="DJ68" s="137">
        <v>94431.970871025464</v>
      </c>
      <c r="DK68" s="137">
        <v>94543.314993582608</v>
      </c>
      <c r="DL68" s="137">
        <v>94636.996212207639</v>
      </c>
      <c r="DM68" s="137">
        <v>94731.377728693566</v>
      </c>
      <c r="DN68" s="137">
        <v>94821.092055864778</v>
      </c>
      <c r="DO68" s="137">
        <v>94933.136560473853</v>
      </c>
      <c r="DP68" s="137">
        <f>(G_Kohorte_F!DP68+G_Kohorte_M!DP68)/2</f>
        <v>95040.831004272972</v>
      </c>
      <c r="DQ68" s="137">
        <f>(G_Kohorte_F!DQ68+G_Kohorte_M!DQ68)/2</f>
        <v>95130.376082816147</v>
      </c>
      <c r="DR68" s="137">
        <f>(G_Kohorte_F!DR68+G_Kohorte_M!DR68)/2</f>
        <v>95232.903668344166</v>
      </c>
      <c r="DS68" s="137">
        <f>(G_Kohorte_F!DS68+G_Kohorte_M!DS68)/2</f>
        <v>95321.616544194898</v>
      </c>
      <c r="DT68" s="137">
        <f>(G_Kohorte_F!DT68+G_Kohorte_M!DT68)/2</f>
        <v>95421.708531099634</v>
      </c>
      <c r="DU68" s="137">
        <f>(G_Kohorte_F!DU68+G_Kohorte_M!DU68)/2</f>
        <v>95519.507091804582</v>
      </c>
    </row>
    <row r="69" spans="1:125">
      <c r="A69" s="2348">
        <v>67</v>
      </c>
      <c r="B69" s="137"/>
      <c r="C69" s="137"/>
      <c r="D69" s="137"/>
      <c r="E69" s="137"/>
      <c r="F69" s="137"/>
      <c r="G69" s="137"/>
      <c r="H69" s="137"/>
      <c r="I69" s="137"/>
      <c r="J69" s="137"/>
      <c r="K69" s="137"/>
      <c r="L69" s="137"/>
      <c r="M69" s="137"/>
      <c r="N69" s="137"/>
      <c r="O69" s="137"/>
      <c r="P69" s="137"/>
      <c r="Q69" s="137"/>
      <c r="R69" s="137"/>
      <c r="S69" s="137"/>
      <c r="T69" s="137"/>
      <c r="U69" s="137"/>
      <c r="V69" s="137"/>
      <c r="W69" s="2342">
        <v>61013.5</v>
      </c>
      <c r="X69" s="2342">
        <v>61973.5</v>
      </c>
      <c r="Y69" s="137">
        <v>62137.459737069745</v>
      </c>
      <c r="Z69" s="137">
        <v>64100.689116435227</v>
      </c>
      <c r="AA69" s="137">
        <v>64695.152513859284</v>
      </c>
      <c r="AB69" s="137">
        <v>65398.152489420048</v>
      </c>
      <c r="AC69" s="137">
        <v>66171.706081482611</v>
      </c>
      <c r="AD69" s="137">
        <v>66856.575710870049</v>
      </c>
      <c r="AE69" s="137">
        <v>66970.811205179343</v>
      </c>
      <c r="AF69" s="137">
        <v>68170.664128945093</v>
      </c>
      <c r="AG69" s="137">
        <v>68906.827980062066</v>
      </c>
      <c r="AH69" s="137">
        <v>69515.331556063044</v>
      </c>
      <c r="AI69" s="137">
        <v>70126.939701103387</v>
      </c>
      <c r="AJ69" s="137">
        <v>71657.637168253452</v>
      </c>
      <c r="AK69" s="137">
        <v>72033.832067559473</v>
      </c>
      <c r="AL69" s="137">
        <v>72823.657813495782</v>
      </c>
      <c r="AM69" s="137">
        <v>73574.241539791634</v>
      </c>
      <c r="AN69" s="137">
        <v>74315.135356272731</v>
      </c>
      <c r="AO69" s="137">
        <v>74573.936682250336</v>
      </c>
      <c r="AP69" s="137">
        <v>75006.465951217135</v>
      </c>
      <c r="AQ69" s="137">
        <v>75256.857463716879</v>
      </c>
      <c r="AR69" s="137">
        <v>75607.961431514588</v>
      </c>
      <c r="AS69" s="137">
        <v>75159.345469099848</v>
      </c>
      <c r="AT69" s="137">
        <v>74551.818850759315</v>
      </c>
      <c r="AU69" s="137">
        <v>73597.910287667328</v>
      </c>
      <c r="AV69" s="137">
        <v>73923.607088728895</v>
      </c>
      <c r="AW69" s="137">
        <v>74651.603427323891</v>
      </c>
      <c r="AX69" s="137">
        <v>76571.906406963026</v>
      </c>
      <c r="AY69" s="137">
        <v>78180.486679871945</v>
      </c>
      <c r="AZ69" s="137">
        <v>78234.064241208122</v>
      </c>
      <c r="BA69" s="137">
        <v>78286.573994402046</v>
      </c>
      <c r="BB69" s="137">
        <v>78935.674763160554</v>
      </c>
      <c r="BC69" s="137">
        <v>79210.879859932553</v>
      </c>
      <c r="BD69" s="137">
        <v>79575.681925379249</v>
      </c>
      <c r="BE69" s="137">
        <v>79742.936334990431</v>
      </c>
      <c r="BF69" s="137">
        <v>80167.430026163114</v>
      </c>
      <c r="BG69" s="137">
        <v>80365.090038338705</v>
      </c>
      <c r="BH69" s="137">
        <v>80921.811329868535</v>
      </c>
      <c r="BI69" s="137">
        <v>81198.004428591172</v>
      </c>
      <c r="BJ69" s="137">
        <v>81590.442705926383</v>
      </c>
      <c r="BK69" s="137">
        <v>82036.641400968801</v>
      </c>
      <c r="BL69" s="137">
        <v>82652.013702829456</v>
      </c>
      <c r="BM69" s="137">
        <v>83185.931201128507</v>
      </c>
      <c r="BN69" s="137">
        <v>83673.735873410056</v>
      </c>
      <c r="BO69" s="137">
        <v>84049.872847507053</v>
      </c>
      <c r="BP69" s="137">
        <v>84418.872597463836</v>
      </c>
      <c r="BQ69" s="137">
        <v>84731.994930320943</v>
      </c>
      <c r="BR69" s="137">
        <v>85028.365468099932</v>
      </c>
      <c r="BS69" s="137">
        <v>85198.389531263441</v>
      </c>
      <c r="BT69" s="137">
        <v>85466.78154979847</v>
      </c>
      <c r="BU69" s="137">
        <v>85661.447733278939</v>
      </c>
      <c r="BV69" s="137">
        <v>85961.400404794666</v>
      </c>
      <c r="BW69" s="137">
        <v>86217.143175560312</v>
      </c>
      <c r="BX69" s="137">
        <v>86500.739982253232</v>
      </c>
      <c r="BY69" s="137">
        <v>86791.950426576339</v>
      </c>
      <c r="BZ69" s="137">
        <v>87191.451664606459</v>
      </c>
      <c r="CA69" s="137">
        <v>87498.414553943789</v>
      </c>
      <c r="CB69" s="137">
        <v>87735.375553451275</v>
      </c>
      <c r="CC69" s="137">
        <v>88025.911972672242</v>
      </c>
      <c r="CD69" s="137">
        <v>88289.998317296369</v>
      </c>
      <c r="CE69" s="137">
        <v>88531.826211992244</v>
      </c>
      <c r="CF69" s="137">
        <v>88813.001676300773</v>
      </c>
      <c r="CG69" s="137">
        <v>89059.593623118228</v>
      </c>
      <c r="CH69" s="137">
        <v>89300.043487457981</v>
      </c>
      <c r="CI69" s="137">
        <v>89584.345941031803</v>
      </c>
      <c r="CJ69" s="137">
        <v>89767.471426701406</v>
      </c>
      <c r="CK69" s="137">
        <v>89985.267832438694</v>
      </c>
      <c r="CL69" s="137">
        <v>90252.883461744423</v>
      </c>
      <c r="CM69" s="137">
        <v>90445.481853754318</v>
      </c>
      <c r="CN69" s="137">
        <v>90665.882515166624</v>
      </c>
      <c r="CO69" s="137">
        <v>90879.121858691535</v>
      </c>
      <c r="CP69" s="137">
        <v>91088.511958736839</v>
      </c>
      <c r="CQ69" s="137">
        <v>91285.768259966251</v>
      </c>
      <c r="CR69" s="137">
        <v>91445.791077869188</v>
      </c>
      <c r="CS69" s="137">
        <v>91645.672222765512</v>
      </c>
      <c r="CT69" s="137">
        <v>91808.768001575401</v>
      </c>
      <c r="CU69" s="137">
        <v>91976.110662492807</v>
      </c>
      <c r="CV69" s="137">
        <v>92123.432121671154</v>
      </c>
      <c r="CW69" s="137">
        <v>92273.399046299208</v>
      </c>
      <c r="CX69" s="137">
        <v>92442.583178484114</v>
      </c>
      <c r="CY69" s="137">
        <v>92573.68810392337</v>
      </c>
      <c r="CZ69" s="137">
        <v>92707.875860871194</v>
      </c>
      <c r="DA69" s="137">
        <v>92831.965180046696</v>
      </c>
      <c r="DB69" s="137">
        <v>92991.414375574794</v>
      </c>
      <c r="DC69" s="137">
        <v>93129.469878887321</v>
      </c>
      <c r="DD69" s="137">
        <v>93255.807401285798</v>
      </c>
      <c r="DE69" s="137">
        <v>93385.144444108184</v>
      </c>
      <c r="DF69" s="137">
        <v>93541.987060046158</v>
      </c>
      <c r="DG69" s="137">
        <v>93654.166704433548</v>
      </c>
      <c r="DH69" s="137">
        <v>93778.515614411721</v>
      </c>
      <c r="DI69" s="137">
        <v>93881.491197558702</v>
      </c>
      <c r="DJ69" s="137">
        <v>94020.272400211106</v>
      </c>
      <c r="DK69" s="137">
        <v>94139.123928928791</v>
      </c>
      <c r="DL69" s="137">
        <v>94240.248853109573</v>
      </c>
      <c r="DM69" s="137">
        <v>94341.907944211125</v>
      </c>
      <c r="DN69" s="137">
        <v>94438.815950151009</v>
      </c>
      <c r="DO69" s="137">
        <v>94557.820315073186</v>
      </c>
      <c r="DP69" s="137">
        <f>(G_Kohorte_F!DP69+G_Kohorte_M!DP69)/2</f>
        <v>94672.375976568117</v>
      </c>
      <c r="DQ69" s="137">
        <f>(G_Kohorte_F!DQ69+G_Kohorte_M!DQ69)/2</f>
        <v>94768.720713271017</v>
      </c>
      <c r="DR69" s="137">
        <f>(G_Kohorte_F!DR69+G_Kohorte_M!DR69)/2</f>
        <v>94877.858477617541</v>
      </c>
      <c r="DS69" s="137">
        <f>(G_Kohorte_F!DS69+G_Kohorte_M!DS69)/2</f>
        <v>94973.13952704001</v>
      </c>
      <c r="DT69" s="137">
        <f>(G_Kohorte_F!DT69+G_Kohorte_M!DT69)/2</f>
        <v>95079.625826373085</v>
      </c>
      <c r="DU69" s="137">
        <f>(G_Kohorte_F!DU69+G_Kohorte_M!DU69)/2</f>
        <v>95183.710557530794</v>
      </c>
    </row>
    <row r="70" spans="1:125">
      <c r="A70" s="2348">
        <v>68</v>
      </c>
      <c r="B70" s="137"/>
      <c r="C70" s="137"/>
      <c r="D70" s="137"/>
      <c r="E70" s="137"/>
      <c r="F70" s="137"/>
      <c r="G70" s="137"/>
      <c r="H70" s="137"/>
      <c r="I70" s="137"/>
      <c r="J70" s="137"/>
      <c r="K70" s="137"/>
      <c r="L70" s="137"/>
      <c r="M70" s="137"/>
      <c r="N70" s="137"/>
      <c r="O70" s="137"/>
      <c r="P70" s="137"/>
      <c r="Q70" s="137"/>
      <c r="R70" s="137"/>
      <c r="S70" s="137"/>
      <c r="T70" s="137"/>
      <c r="U70" s="137"/>
      <c r="V70" s="137"/>
      <c r="W70" s="2342">
        <v>59686</v>
      </c>
      <c r="X70" s="2342">
        <v>60632</v>
      </c>
      <c r="Y70" s="137">
        <v>60819.349139785991</v>
      </c>
      <c r="Z70" s="137">
        <v>62762.620841063559</v>
      </c>
      <c r="AA70" s="137">
        <v>63385.178049277114</v>
      </c>
      <c r="AB70" s="137">
        <v>64099.722840822214</v>
      </c>
      <c r="AC70" s="137">
        <v>64847.25478757434</v>
      </c>
      <c r="AD70" s="137">
        <v>65510.403549696566</v>
      </c>
      <c r="AE70" s="137">
        <v>65705.349778512842</v>
      </c>
      <c r="AF70" s="137">
        <v>66916.14605103244</v>
      </c>
      <c r="AG70" s="137">
        <v>67674.501169018971</v>
      </c>
      <c r="AH70" s="137">
        <v>68305.581272557902</v>
      </c>
      <c r="AI70" s="137">
        <v>68974.295313661889</v>
      </c>
      <c r="AJ70" s="137">
        <v>70496.153625430379</v>
      </c>
      <c r="AK70" s="137">
        <v>70896.687047902989</v>
      </c>
      <c r="AL70" s="137">
        <v>71754.458480321642</v>
      </c>
      <c r="AM70" s="137">
        <v>72525.315718053665</v>
      </c>
      <c r="AN70" s="137">
        <v>73305.990867429471</v>
      </c>
      <c r="AO70" s="137">
        <v>73593.459103965142</v>
      </c>
      <c r="AP70" s="137">
        <v>74013.489919982036</v>
      </c>
      <c r="AQ70" s="137">
        <v>74266.358414613205</v>
      </c>
      <c r="AR70" s="137">
        <v>74629.821659544337</v>
      </c>
      <c r="AS70" s="137">
        <v>74169.060766185052</v>
      </c>
      <c r="AT70" s="137">
        <v>73572.750997348514</v>
      </c>
      <c r="AU70" s="137">
        <v>72618.170197695712</v>
      </c>
      <c r="AV70" s="137">
        <v>72936.204774224636</v>
      </c>
      <c r="AW70" s="137">
        <v>73661.976915449748</v>
      </c>
      <c r="AX70" s="137">
        <v>75532.356793238869</v>
      </c>
      <c r="AY70" s="137">
        <v>77136.871078051641</v>
      </c>
      <c r="AZ70" s="137">
        <v>77174.732094282343</v>
      </c>
      <c r="BA70" s="137">
        <v>77251.731192637875</v>
      </c>
      <c r="BB70" s="137">
        <v>77885.752133872433</v>
      </c>
      <c r="BC70" s="137">
        <v>78106.902150770329</v>
      </c>
      <c r="BD70" s="137">
        <v>78432.699010968907</v>
      </c>
      <c r="BE70" s="137">
        <v>78623.034098853153</v>
      </c>
      <c r="BF70" s="137">
        <v>79063.014734696306</v>
      </c>
      <c r="BG70" s="137">
        <v>79279.782125703117</v>
      </c>
      <c r="BH70" s="137">
        <v>79849.446619760216</v>
      </c>
      <c r="BI70" s="137">
        <v>80142.450260712125</v>
      </c>
      <c r="BJ70" s="137">
        <v>80550.010993710079</v>
      </c>
      <c r="BK70" s="137">
        <v>81010.488474895319</v>
      </c>
      <c r="BL70" s="137">
        <v>81637.812984540826</v>
      </c>
      <c r="BM70" s="137">
        <v>82184.478540913871</v>
      </c>
      <c r="BN70" s="137">
        <v>82685.601473811432</v>
      </c>
      <c r="BO70" s="137">
        <v>83076.162915852256</v>
      </c>
      <c r="BP70" s="137">
        <v>83459.742859195889</v>
      </c>
      <c r="BQ70" s="137">
        <v>83787.715194570366</v>
      </c>
      <c r="BR70" s="137">
        <v>84099.048470351583</v>
      </c>
      <c r="BS70" s="137">
        <v>84285.278884492756</v>
      </c>
      <c r="BT70" s="137">
        <v>84568.441707261503</v>
      </c>
      <c r="BU70" s="137">
        <v>84778.513937279393</v>
      </c>
      <c r="BV70" s="137">
        <v>85092.398501805743</v>
      </c>
      <c r="BW70" s="137">
        <v>85362.442525601669</v>
      </c>
      <c r="BX70" s="137">
        <v>85659.727961723111</v>
      </c>
      <c r="BY70" s="137">
        <v>85964.304796967568</v>
      </c>
      <c r="BZ70" s="137">
        <v>86375.954585812666</v>
      </c>
      <c r="CA70" s="137">
        <v>86695.857305851387</v>
      </c>
      <c r="CB70" s="137">
        <v>86946.29603368853</v>
      </c>
      <c r="CC70" s="137">
        <v>87249.360559384033</v>
      </c>
      <c r="CD70" s="137">
        <v>87526.102163926582</v>
      </c>
      <c r="CE70" s="137">
        <v>87780.617091096239</v>
      </c>
      <c r="CF70" s="137">
        <v>88073.857827786152</v>
      </c>
      <c r="CG70" s="137">
        <v>88332.721588954155</v>
      </c>
      <c r="CH70" s="137">
        <v>88585.251184923414</v>
      </c>
      <c r="CI70" s="137">
        <v>88881.085955781513</v>
      </c>
      <c r="CJ70" s="137">
        <v>89076.410332703585</v>
      </c>
      <c r="CK70" s="137">
        <v>89305.937569937581</v>
      </c>
      <c r="CL70" s="137">
        <v>89584.651726538606</v>
      </c>
      <c r="CM70" s="137">
        <v>89788.786010518612</v>
      </c>
      <c r="CN70" s="137">
        <v>90020.333719363232</v>
      </c>
      <c r="CO70" s="137">
        <v>90244.492860867715</v>
      </c>
      <c r="CP70" s="137">
        <v>90464.743160678452</v>
      </c>
      <c r="CQ70" s="137">
        <v>90672.72259451187</v>
      </c>
      <c r="CR70" s="137">
        <v>90843.599680402171</v>
      </c>
      <c r="CS70" s="137">
        <v>91053.82830482538</v>
      </c>
      <c r="CT70" s="137">
        <v>91227.36236167248</v>
      </c>
      <c r="CU70" s="137">
        <v>91404.912467113434</v>
      </c>
      <c r="CV70" s="137">
        <v>91562.392063919295</v>
      </c>
      <c r="CW70" s="137">
        <v>91722.375277388608</v>
      </c>
      <c r="CX70" s="137">
        <v>91901.227319381462</v>
      </c>
      <c r="CY70" s="137">
        <v>92042.100607553512</v>
      </c>
      <c r="CZ70" s="137">
        <v>92185.809862108988</v>
      </c>
      <c r="DA70" s="137">
        <v>92319.349151563249</v>
      </c>
      <c r="DB70" s="137">
        <v>92487.847544484306</v>
      </c>
      <c r="DC70" s="137">
        <v>92634.964397446223</v>
      </c>
      <c r="DD70" s="137">
        <v>92770.22918752805</v>
      </c>
      <c r="DE70" s="137">
        <v>92908.339130520384</v>
      </c>
      <c r="DF70" s="137">
        <v>93073.661619023085</v>
      </c>
      <c r="DG70" s="137">
        <v>93194.358051084753</v>
      </c>
      <c r="DH70" s="137">
        <v>93327.046862592426</v>
      </c>
      <c r="DI70" s="137">
        <v>93438.286360542144</v>
      </c>
      <c r="DJ70" s="137">
        <v>93585.018819428631</v>
      </c>
      <c r="DK70" s="137">
        <v>93711.795090557804</v>
      </c>
      <c r="DL70" s="137">
        <v>93820.778633879687</v>
      </c>
      <c r="DM70" s="137">
        <v>93930.122035536129</v>
      </c>
      <c r="DN70" s="137">
        <v>94034.626512903051</v>
      </c>
      <c r="DO70" s="137">
        <v>94160.981245958523</v>
      </c>
      <c r="DP70" s="137">
        <f>(G_Kohorte_F!DP70+G_Kohorte_M!DP70)/2</f>
        <v>94282.783867592516</v>
      </c>
      <c r="DQ70" s="137">
        <f>(G_Kohorte_F!DQ70+G_Kohorte_M!DQ70)/2</f>
        <v>94386.311427647161</v>
      </c>
      <c r="DR70" s="137">
        <f>(G_Kohorte_F!DR70+G_Kohorte_M!DR70)/2</f>
        <v>94502.432631050382</v>
      </c>
      <c r="DS70" s="137">
        <f>(G_Kohorte_F!DS70+G_Kohorte_M!DS70)/2</f>
        <v>94604.653324369865</v>
      </c>
      <c r="DT70" s="137">
        <f>(G_Kohorte_F!DT70+G_Kohorte_M!DT70)/2</f>
        <v>94717.896270967074</v>
      </c>
      <c r="DU70" s="137">
        <f>(G_Kohorte_F!DU70+G_Kohorte_M!DU70)/2</f>
        <v>94828.624010339525</v>
      </c>
    </row>
    <row r="71" spans="1:125">
      <c r="A71" s="2348">
        <v>69</v>
      </c>
      <c r="B71" s="137"/>
      <c r="C71" s="137"/>
      <c r="D71" s="137"/>
      <c r="E71" s="137"/>
      <c r="F71" s="137"/>
      <c r="G71" s="137"/>
      <c r="H71" s="137"/>
      <c r="I71" s="137"/>
      <c r="J71" s="137"/>
      <c r="K71" s="137"/>
      <c r="L71" s="137"/>
      <c r="M71" s="137"/>
      <c r="N71" s="137"/>
      <c r="O71" s="137"/>
      <c r="P71" s="137"/>
      <c r="Q71" s="137"/>
      <c r="R71" s="137"/>
      <c r="S71" s="137"/>
      <c r="T71" s="137"/>
      <c r="U71" s="137"/>
      <c r="V71" s="137"/>
      <c r="W71" s="2342">
        <v>58251</v>
      </c>
      <c r="X71" s="2342">
        <v>59214</v>
      </c>
      <c r="Y71" s="137">
        <v>59431.443157328511</v>
      </c>
      <c r="Z71" s="137">
        <v>61360.177509539877</v>
      </c>
      <c r="AA71" s="137">
        <v>62005.642184544362</v>
      </c>
      <c r="AB71" s="137">
        <v>62738.533037463887</v>
      </c>
      <c r="AC71" s="137">
        <v>63456.019609683681</v>
      </c>
      <c r="AD71" s="137">
        <v>64131.204432232538</v>
      </c>
      <c r="AE71" s="137">
        <v>64369.669911000216</v>
      </c>
      <c r="AF71" s="137">
        <v>65592.301537625317</v>
      </c>
      <c r="AG71" s="137">
        <v>66372.87022138873</v>
      </c>
      <c r="AH71" s="137">
        <v>67068.856613325435</v>
      </c>
      <c r="AI71" s="137">
        <v>67750.486344132136</v>
      </c>
      <c r="AJ71" s="137">
        <v>69250.386502548005</v>
      </c>
      <c r="AK71" s="137">
        <v>69726.770496049619</v>
      </c>
      <c r="AL71" s="137">
        <v>70626.184409834575</v>
      </c>
      <c r="AM71" s="137">
        <v>71425.910010057327</v>
      </c>
      <c r="AN71" s="137">
        <v>72246.937314461509</v>
      </c>
      <c r="AO71" s="137">
        <v>72527.769128763815</v>
      </c>
      <c r="AP71" s="137">
        <v>72958.850707812817</v>
      </c>
      <c r="AQ71" s="137">
        <v>73224.012092041696</v>
      </c>
      <c r="AR71" s="137">
        <v>73569.880465023045</v>
      </c>
      <c r="AS71" s="137">
        <v>73130.460520034045</v>
      </c>
      <c r="AT71" s="137">
        <v>72490.486348628008</v>
      </c>
      <c r="AU71" s="137">
        <v>71585.266325886536</v>
      </c>
      <c r="AV71" s="137">
        <v>71872.729778170586</v>
      </c>
      <c r="AW71" s="137">
        <v>72613.659917554702</v>
      </c>
      <c r="AX71" s="137">
        <v>74431.882439911453</v>
      </c>
      <c r="AY71" s="137">
        <v>76002.171389485869</v>
      </c>
      <c r="AZ71" s="137">
        <v>76071.635120810213</v>
      </c>
      <c r="BA71" s="137">
        <v>76131.585840193351</v>
      </c>
      <c r="BB71" s="137">
        <v>76719.747838937765</v>
      </c>
      <c r="BC71" s="137">
        <v>76893.465628936232</v>
      </c>
      <c r="BD71" s="137">
        <v>77239.106525342431</v>
      </c>
      <c r="BE71" s="137">
        <v>77449.577399295376</v>
      </c>
      <c r="BF71" s="137">
        <v>77905.474594127707</v>
      </c>
      <c r="BG71" s="137">
        <v>78141.95376123875</v>
      </c>
      <c r="BH71" s="137">
        <v>78724.9056704291</v>
      </c>
      <c r="BI71" s="137">
        <v>79035.259131235391</v>
      </c>
      <c r="BJ71" s="137">
        <v>79458.412162588778</v>
      </c>
      <c r="BK71" s="137">
        <v>79933.609458164661</v>
      </c>
      <c r="BL71" s="137">
        <v>80573.225730814214</v>
      </c>
      <c r="BM71" s="137">
        <v>81133.031416811573</v>
      </c>
      <c r="BN71" s="137">
        <v>81647.901703622076</v>
      </c>
      <c r="BO71" s="137">
        <v>82053.384312234091</v>
      </c>
      <c r="BP71" s="137">
        <v>82452.055940824313</v>
      </c>
      <c r="BQ71" s="137">
        <v>82795.452250709684</v>
      </c>
      <c r="BR71" s="137">
        <v>83122.319916769135</v>
      </c>
      <c r="BS71" s="137">
        <v>83325.400721944403</v>
      </c>
      <c r="BT71" s="137">
        <v>83623.917342570261</v>
      </c>
      <c r="BU71" s="137">
        <v>83850.019598501443</v>
      </c>
      <c r="BV71" s="137">
        <v>84178.395893511071</v>
      </c>
      <c r="BW71" s="137">
        <v>84463.327008875727</v>
      </c>
      <c r="BX71" s="137">
        <v>84774.865601649188</v>
      </c>
      <c r="BY71" s="137">
        <v>85093.365435298241</v>
      </c>
      <c r="BZ71" s="137">
        <v>85517.664472396078</v>
      </c>
      <c r="CA71" s="137">
        <v>85851.0552181362</v>
      </c>
      <c r="CB71" s="137">
        <v>86115.554254377494</v>
      </c>
      <c r="CC71" s="137">
        <v>86431.690273012136</v>
      </c>
      <c r="CD71" s="137">
        <v>86721.642818181965</v>
      </c>
      <c r="CE71" s="137">
        <v>86989.408249311295</v>
      </c>
      <c r="CF71" s="137">
        <v>87295.252261179499</v>
      </c>
      <c r="CG71" s="137">
        <v>87566.941497975931</v>
      </c>
      <c r="CH71" s="137">
        <v>87832.100785530056</v>
      </c>
      <c r="CI71" s="137">
        <v>88139.994254993202</v>
      </c>
      <c r="CJ71" s="137">
        <v>88348.084436960577</v>
      </c>
      <c r="CK71" s="137">
        <v>88589.889587746628</v>
      </c>
      <c r="CL71" s="137">
        <v>88880.221174556806</v>
      </c>
      <c r="CM71" s="137">
        <v>89096.438001781571</v>
      </c>
      <c r="CN71" s="137">
        <v>89339.663039664636</v>
      </c>
      <c r="CO71" s="137">
        <v>89575.265603546519</v>
      </c>
      <c r="CP71" s="137">
        <v>89806.899680826726</v>
      </c>
      <c r="CQ71" s="137">
        <v>90026.123021215855</v>
      </c>
      <c r="CR71" s="137">
        <v>90208.38562755406</v>
      </c>
      <c r="CS71" s="137">
        <v>90429.469851804693</v>
      </c>
      <c r="CT71" s="137">
        <v>90613.958679072501</v>
      </c>
      <c r="CU71" s="137">
        <v>90802.223918732343</v>
      </c>
      <c r="CV71" s="137">
        <v>90970.370044664363</v>
      </c>
      <c r="CW71" s="137">
        <v>91140.872872534906</v>
      </c>
      <c r="CX71" s="137">
        <v>91329.880766339775</v>
      </c>
      <c r="CY71" s="137">
        <v>91481.018456634978</v>
      </c>
      <c r="CZ71" s="137">
        <v>91634.735129367473</v>
      </c>
      <c r="DA71" s="137">
        <v>91778.208714321663</v>
      </c>
      <c r="DB71" s="137">
        <v>91956.221468096046</v>
      </c>
      <c r="DC71" s="137">
        <v>92112.867492646095</v>
      </c>
      <c r="DD71" s="137">
        <v>92257.52274963299</v>
      </c>
      <c r="DE71" s="137">
        <v>92404.862336584425</v>
      </c>
      <c r="DF71" s="137">
        <v>92579.107312683598</v>
      </c>
      <c r="DG71" s="137">
        <v>92708.767736635433</v>
      </c>
      <c r="DH71" s="137">
        <v>92850.235461257107</v>
      </c>
      <c r="DI71" s="137">
        <v>92970.175897087407</v>
      </c>
      <c r="DJ71" s="137">
        <v>93125.280933004426</v>
      </c>
      <c r="DK71" s="137">
        <v>93260.403353529342</v>
      </c>
      <c r="DL71" s="137">
        <v>93377.664973289691</v>
      </c>
      <c r="DM71" s="137">
        <v>93495.10426679696</v>
      </c>
      <c r="DN71" s="137">
        <v>93607.613127397577</v>
      </c>
      <c r="DO71" s="137">
        <v>93741.7139027995</v>
      </c>
      <c r="DP71" s="137">
        <f>(G_Kohorte_F!DP71+G_Kohorte_M!DP71)/2</f>
        <v>93871.154658142885</v>
      </c>
      <c r="DQ71" s="137">
        <f>(G_Kohorte_F!DQ71+G_Kohorte_M!DQ71)/2</f>
        <v>93982.254033173405</v>
      </c>
      <c r="DR71" s="137">
        <f>(G_Kohorte_F!DR71+G_Kohorte_M!DR71)/2</f>
        <v>94105.737857199463</v>
      </c>
      <c r="DS71" s="137">
        <f>(G_Kohorte_F!DS71+G_Kohorte_M!DS71)/2</f>
        <v>94215.27588036831</v>
      </c>
      <c r="DT71" s="137">
        <f>(G_Kohorte_F!DT71+G_Kohorte_M!DT71)/2</f>
        <v>94335.644106705484</v>
      </c>
      <c r="DU71" s="137">
        <f>(G_Kohorte_F!DU71+G_Kohorte_M!DU71)/2</f>
        <v>94453.378175365273</v>
      </c>
    </row>
    <row r="72" spans="1:125">
      <c r="A72" s="2348">
        <v>70</v>
      </c>
      <c r="B72" s="137"/>
      <c r="C72" s="137"/>
      <c r="D72" s="137"/>
      <c r="E72" s="137"/>
      <c r="F72" s="137"/>
      <c r="G72" s="137"/>
      <c r="H72" s="137"/>
      <c r="I72" s="137"/>
      <c r="J72" s="137"/>
      <c r="K72" s="137"/>
      <c r="L72" s="137"/>
      <c r="M72" s="137"/>
      <c r="N72" s="137"/>
      <c r="O72" s="137"/>
      <c r="P72" s="137"/>
      <c r="Q72" s="137"/>
      <c r="R72" s="137"/>
      <c r="S72" s="137"/>
      <c r="T72" s="137"/>
      <c r="U72" s="137"/>
      <c r="V72" s="137"/>
      <c r="W72" s="2342">
        <v>56753.5</v>
      </c>
      <c r="X72" s="2342">
        <v>57728.5</v>
      </c>
      <c r="Y72" s="137">
        <v>57980.509796737722</v>
      </c>
      <c r="Z72" s="137">
        <v>59884.90930356126</v>
      </c>
      <c r="AA72" s="137">
        <v>60551.088632960586</v>
      </c>
      <c r="AB72" s="137">
        <v>61253.349729996335</v>
      </c>
      <c r="AC72" s="137">
        <v>62023.317663669768</v>
      </c>
      <c r="AD72" s="137">
        <v>62711.929496337747</v>
      </c>
      <c r="AE72" s="137">
        <v>62976.181544441308</v>
      </c>
      <c r="AF72" s="137">
        <v>64239.679557423216</v>
      </c>
      <c r="AG72" s="137">
        <v>65045.313146816923</v>
      </c>
      <c r="AH72" s="137">
        <v>65765.008785186423</v>
      </c>
      <c r="AI72" s="137">
        <v>66452.784740966657</v>
      </c>
      <c r="AJ72" s="137">
        <v>67981.431306216778</v>
      </c>
      <c r="AK72" s="137">
        <v>68497.109966716496</v>
      </c>
      <c r="AL72" s="137">
        <v>69451.908049801001</v>
      </c>
      <c r="AM72" s="137">
        <v>70285.760475476854</v>
      </c>
      <c r="AN72" s="137">
        <v>71100.977167112535</v>
      </c>
      <c r="AO72" s="137">
        <v>71386.294157434633</v>
      </c>
      <c r="AP72" s="137">
        <v>71845.721522819818</v>
      </c>
      <c r="AQ72" s="137">
        <v>72103.577693780302</v>
      </c>
      <c r="AR72" s="137">
        <v>72455.82818867435</v>
      </c>
      <c r="AS72" s="137">
        <v>72001.971627386476</v>
      </c>
      <c r="AT72" s="137">
        <v>71398.966995596085</v>
      </c>
      <c r="AU72" s="137">
        <v>70466.826584485447</v>
      </c>
      <c r="AV72" s="137">
        <v>70721.488409119411</v>
      </c>
      <c r="AW72" s="137">
        <v>71472.467036758608</v>
      </c>
      <c r="AX72" s="137">
        <v>73242.273446437059</v>
      </c>
      <c r="AY72" s="137">
        <v>74812.713181345796</v>
      </c>
      <c r="AZ72" s="137">
        <v>74893.487228262791</v>
      </c>
      <c r="BA72" s="137">
        <v>74862.689933366695</v>
      </c>
      <c r="BB72" s="137">
        <v>75425.718260132096</v>
      </c>
      <c r="BC72" s="137">
        <v>75626.681054638408</v>
      </c>
      <c r="BD72" s="137">
        <v>75990.615320084442</v>
      </c>
      <c r="BE72" s="137">
        <v>76221.755421421709</v>
      </c>
      <c r="BF72" s="137">
        <v>76693.932482729724</v>
      </c>
      <c r="BG72" s="137">
        <v>76950.663044101253</v>
      </c>
      <c r="BH72" s="137">
        <v>77547.186165806517</v>
      </c>
      <c r="BI72" s="137">
        <v>77875.372627793753</v>
      </c>
      <c r="BJ72" s="137">
        <v>78314.53258391883</v>
      </c>
      <c r="BK72" s="137">
        <v>78804.837125455306</v>
      </c>
      <c r="BL72" s="137">
        <v>79457.031377550738</v>
      </c>
      <c r="BM72" s="137">
        <v>80030.319722263608</v>
      </c>
      <c r="BN72" s="137">
        <v>80559.319098039938</v>
      </c>
      <c r="BO72" s="137">
        <v>80980.17633870829</v>
      </c>
      <c r="BP72" s="137">
        <v>81394.465232201212</v>
      </c>
      <c r="BQ72" s="137">
        <v>81753.805502458039</v>
      </c>
      <c r="BR72" s="137">
        <v>82096.742913121125</v>
      </c>
      <c r="BS72" s="137">
        <v>82317.285685405484</v>
      </c>
      <c r="BT72" s="137">
        <v>82631.707640215027</v>
      </c>
      <c r="BU72" s="137">
        <v>82874.435337826697</v>
      </c>
      <c r="BV72" s="137">
        <v>83217.835373329028</v>
      </c>
      <c r="BW72" s="137">
        <v>83518.213681117049</v>
      </c>
      <c r="BX72" s="137">
        <v>83844.545996672183</v>
      </c>
      <c r="BY72" s="137">
        <v>84177.503213323696</v>
      </c>
      <c r="BZ72" s="137">
        <v>84614.929579153977</v>
      </c>
      <c r="CA72" s="137">
        <v>84962.336866146114</v>
      </c>
      <c r="CB72" s="137">
        <v>85241.4616379988</v>
      </c>
      <c r="CC72" s="137">
        <v>85571.196801444981</v>
      </c>
      <c r="CD72" s="137">
        <v>85874.901842117266</v>
      </c>
      <c r="CE72" s="137">
        <v>86156.468791546708</v>
      </c>
      <c r="CF72" s="137">
        <v>86475.442485526204</v>
      </c>
      <c r="CG72" s="137">
        <v>86760.500841481873</v>
      </c>
      <c r="CH72" s="137">
        <v>87038.831258121441</v>
      </c>
      <c r="CI72" s="137">
        <v>87359.301619273727</v>
      </c>
      <c r="CJ72" s="137">
        <v>87580.71925579384</v>
      </c>
      <c r="CK72" s="137">
        <v>87835.34454222949</v>
      </c>
      <c r="CL72" s="137">
        <v>88137.807862940419</v>
      </c>
      <c r="CM72" s="137">
        <v>88366.651566205168</v>
      </c>
      <c r="CN72" s="137">
        <v>88622.082293467945</v>
      </c>
      <c r="CO72" s="137">
        <v>88869.651287634915</v>
      </c>
      <c r="CP72" s="137">
        <v>89113.192790366214</v>
      </c>
      <c r="CQ72" s="137">
        <v>89344.182049317926</v>
      </c>
      <c r="CR72" s="137">
        <v>89538.364019751665</v>
      </c>
      <c r="CS72" s="137">
        <v>89770.814684706827</v>
      </c>
      <c r="CT72" s="137">
        <v>89966.778851792391</v>
      </c>
      <c r="CU72" s="137">
        <v>90166.271646556939</v>
      </c>
      <c r="CV72" s="137">
        <v>90345.598443078954</v>
      </c>
      <c r="CW72" s="137">
        <v>90527.130409853082</v>
      </c>
      <c r="CX72" s="137">
        <v>90726.788643616717</v>
      </c>
      <c r="CY72" s="137">
        <v>90888.694494138879</v>
      </c>
      <c r="CZ72" s="137">
        <v>91052.912796178629</v>
      </c>
      <c r="DA72" s="137">
        <v>91206.813887278055</v>
      </c>
      <c r="DB72" s="137">
        <v>91394.814930947352</v>
      </c>
      <c r="DC72" s="137">
        <v>91561.467446696784</v>
      </c>
      <c r="DD72" s="137">
        <v>91715.986555464449</v>
      </c>
      <c r="DE72" s="137">
        <v>91873.023010704666</v>
      </c>
      <c r="DF72" s="137">
        <v>92056.643436910526</v>
      </c>
      <c r="DG72" s="137">
        <v>92195.726600612485</v>
      </c>
      <c r="DH72" s="137">
        <v>92346.423835349706</v>
      </c>
      <c r="DI72" s="137">
        <v>92475.514527504391</v>
      </c>
      <c r="DJ72" s="137">
        <v>92639.425396296108</v>
      </c>
      <c r="DK72" s="137">
        <v>92783.327878282871</v>
      </c>
      <c r="DL72" s="137">
        <v>92909.300079197652</v>
      </c>
      <c r="DM72" s="137">
        <v>93035.260131886214</v>
      </c>
      <c r="DN72" s="137">
        <v>93156.194809259774</v>
      </c>
      <c r="DO72" s="137">
        <v>93298.45065109618</v>
      </c>
      <c r="DP72" s="137">
        <f>(G_Kohorte_F!DP72+G_Kohorte_M!DP72)/2</f>
        <v>93435.934293698927</v>
      </c>
      <c r="DQ72" s="137">
        <f>(G_Kohorte_F!DQ72+G_Kohorte_M!DQ72)/2</f>
        <v>93555.00851085977</v>
      </c>
      <c r="DR72" s="137">
        <f>(G_Kohorte_F!DR72+G_Kohorte_M!DR72)/2</f>
        <v>93686.248114962087</v>
      </c>
      <c r="DS72" s="137">
        <f>(G_Kohorte_F!DS72+G_Kohorte_M!DS72)/2</f>
        <v>93803.495446736692</v>
      </c>
      <c r="DT72" s="137">
        <f>(G_Kohorte_F!DT72+G_Kohorte_M!DT72)/2</f>
        <v>93931.37181859772</v>
      </c>
      <c r="DU72" s="137">
        <f>(G_Kohorte_F!DU72+G_Kohorte_M!DU72)/2</f>
        <v>94056.489903559559</v>
      </c>
    </row>
    <row r="73" spans="1:125">
      <c r="A73" s="2348">
        <v>71</v>
      </c>
      <c r="B73" s="137"/>
      <c r="C73" s="137"/>
      <c r="D73" s="137"/>
      <c r="E73" s="137"/>
      <c r="F73" s="137"/>
      <c r="G73" s="137"/>
      <c r="H73" s="137"/>
      <c r="I73" s="137"/>
      <c r="J73" s="137"/>
      <c r="K73" s="137"/>
      <c r="L73" s="137"/>
      <c r="M73" s="137"/>
      <c r="N73" s="137"/>
      <c r="O73" s="137"/>
      <c r="P73" s="137"/>
      <c r="Q73" s="137"/>
      <c r="R73" s="137"/>
      <c r="S73" s="137"/>
      <c r="T73" s="137"/>
      <c r="U73" s="137"/>
      <c r="V73" s="137"/>
      <c r="W73" s="2342">
        <v>55186.5</v>
      </c>
      <c r="X73" s="2342">
        <v>56192</v>
      </c>
      <c r="Y73" s="137">
        <v>56444.946582325174</v>
      </c>
      <c r="Z73" s="137">
        <v>58308.274156450716</v>
      </c>
      <c r="AA73" s="137">
        <v>59007.879711731366</v>
      </c>
      <c r="AB73" s="137">
        <v>59770.027622504582</v>
      </c>
      <c r="AC73" s="137">
        <v>60534.80257071316</v>
      </c>
      <c r="AD73" s="137">
        <v>61231.409545937218</v>
      </c>
      <c r="AE73" s="137">
        <v>61530.733853353588</v>
      </c>
      <c r="AF73" s="137">
        <v>62798.958141003568</v>
      </c>
      <c r="AG73" s="137">
        <v>63645.897828824876</v>
      </c>
      <c r="AH73" s="137">
        <v>64351.746798094129</v>
      </c>
      <c r="AI73" s="137">
        <v>65113.30386636054</v>
      </c>
      <c r="AJ73" s="137">
        <v>66643.38661919639</v>
      </c>
      <c r="AK73" s="137">
        <v>67241.084485569299</v>
      </c>
      <c r="AL73" s="137">
        <v>68205.906759827572</v>
      </c>
      <c r="AM73" s="137">
        <v>69066.39818850522</v>
      </c>
      <c r="AN73" s="137">
        <v>69890.939409594983</v>
      </c>
      <c r="AO73" s="137">
        <v>70199.50317564336</v>
      </c>
      <c r="AP73" s="137">
        <v>70635.52924790082</v>
      </c>
      <c r="AQ73" s="137">
        <v>70914.24973878749</v>
      </c>
      <c r="AR73" s="137">
        <v>71239.526156846128</v>
      </c>
      <c r="AS73" s="137">
        <v>70837.006395016564</v>
      </c>
      <c r="AT73" s="137">
        <v>70179.94193289851</v>
      </c>
      <c r="AU73" s="137">
        <v>69239.212696556511</v>
      </c>
      <c r="AV73" s="137">
        <v>69473.056765534522</v>
      </c>
      <c r="AW73" s="137">
        <v>70249.941215009268</v>
      </c>
      <c r="AX73" s="137">
        <v>72009.03736885704</v>
      </c>
      <c r="AY73" s="137">
        <v>73546.421783498095</v>
      </c>
      <c r="AZ73" s="137">
        <v>73560.290348423907</v>
      </c>
      <c r="BA73" s="137">
        <v>73496.480871783962</v>
      </c>
      <c r="BB73" s="137">
        <v>74078.893690650919</v>
      </c>
      <c r="BC73" s="137">
        <v>74302.648061443775</v>
      </c>
      <c r="BD73" s="137">
        <v>74685.233526468015</v>
      </c>
      <c r="BE73" s="137">
        <v>74937.516382170696</v>
      </c>
      <c r="BF73" s="137">
        <v>75426.274850480448</v>
      </c>
      <c r="BG73" s="137">
        <v>75703.738761922694</v>
      </c>
      <c r="BH73" s="137">
        <v>76314.059655935416</v>
      </c>
      <c r="BI73" s="137">
        <v>76660.513280454266</v>
      </c>
      <c r="BJ73" s="137">
        <v>77116.044910532539</v>
      </c>
      <c r="BK73" s="137">
        <v>77621.795138277463</v>
      </c>
      <c r="BL73" s="137">
        <v>78286.80259582572</v>
      </c>
      <c r="BM73" s="137">
        <v>78873.870388171999</v>
      </c>
      <c r="BN73" s="137">
        <v>79417.337624051885</v>
      </c>
      <c r="BO73" s="137">
        <v>79854.06411871803</v>
      </c>
      <c r="BP73" s="137">
        <v>80284.422459555615</v>
      </c>
      <c r="BQ73" s="137">
        <v>80660.194941426656</v>
      </c>
      <c r="BR73" s="137">
        <v>81019.707747066539</v>
      </c>
      <c r="BS73" s="137">
        <v>81258.299867800568</v>
      </c>
      <c r="BT73" s="137">
        <v>81589.154405268695</v>
      </c>
      <c r="BU73" s="137">
        <v>81849.082505621031</v>
      </c>
      <c r="BV73" s="137">
        <v>82208.017438492592</v>
      </c>
      <c r="BW73" s="137">
        <v>82524.384765515337</v>
      </c>
      <c r="BX73" s="137">
        <v>82866.034734042551</v>
      </c>
      <c r="BY73" s="137">
        <v>83213.968849247351</v>
      </c>
      <c r="BZ73" s="137">
        <v>83664.984053857275</v>
      </c>
      <c r="CA73" s="137">
        <v>84026.923906201642</v>
      </c>
      <c r="CB73" s="137">
        <v>84321.230704066373</v>
      </c>
      <c r="CC73" s="137">
        <v>84665.084655686544</v>
      </c>
      <c r="CD73" s="137">
        <v>84983.07762301121</v>
      </c>
      <c r="CE73" s="137">
        <v>85278.99292357036</v>
      </c>
      <c r="CF73" s="137">
        <v>85611.619066214014</v>
      </c>
      <c r="CG73" s="137">
        <v>85910.588453189717</v>
      </c>
      <c r="CH73" s="137">
        <v>86202.631365684312</v>
      </c>
      <c r="CI73" s="137">
        <v>86536.196609808627</v>
      </c>
      <c r="CJ73" s="137">
        <v>86771.507204926223</v>
      </c>
      <c r="CK73" s="137">
        <v>87039.498729780084</v>
      </c>
      <c r="CL73" s="137">
        <v>87354.611769439856</v>
      </c>
      <c r="CM73" s="137">
        <v>87596.633433906914</v>
      </c>
      <c r="CN73" s="137">
        <v>87864.805061125604</v>
      </c>
      <c r="CO73" s="137">
        <v>88124.871842197026</v>
      </c>
      <c r="CP73" s="137">
        <v>88380.853400128763</v>
      </c>
      <c r="CQ73" s="137">
        <v>88624.140914732503</v>
      </c>
      <c r="CR73" s="137">
        <v>88830.788092861258</v>
      </c>
      <c r="CS73" s="137">
        <v>89075.127808045392</v>
      </c>
      <c r="CT73" s="137">
        <v>89283.101350065539</v>
      </c>
      <c r="CU73" s="137">
        <v>89494.348206601426</v>
      </c>
      <c r="CV73" s="137">
        <v>89685.385098384053</v>
      </c>
      <c r="CW73" s="137">
        <v>89878.471359028437</v>
      </c>
      <c r="CX73" s="137">
        <v>90089.2902455312</v>
      </c>
      <c r="CY73" s="137">
        <v>90262.485309568772</v>
      </c>
      <c r="CZ73" s="137">
        <v>90437.717310014472</v>
      </c>
      <c r="DA73" s="137">
        <v>90602.557590752505</v>
      </c>
      <c r="DB73" s="137">
        <v>90801.038874940772</v>
      </c>
      <c r="DC73" s="137">
        <v>90978.194066518001</v>
      </c>
      <c r="DD73" s="137">
        <v>91143.070064107407</v>
      </c>
      <c r="DE73" s="137">
        <v>91310.290469232874</v>
      </c>
      <c r="DF73" s="137">
        <v>91503.758742253427</v>
      </c>
      <c r="DG73" s="137">
        <v>91652.744404763478</v>
      </c>
      <c r="DH73" s="137">
        <v>91813.142610764437</v>
      </c>
      <c r="DI73" s="137">
        <v>91951.854607211586</v>
      </c>
      <c r="DJ73" s="137">
        <v>92125.025571446808</v>
      </c>
      <c r="DK73" s="137">
        <v>92278.163698829507</v>
      </c>
      <c r="DL73" s="137">
        <v>92413.301291784635</v>
      </c>
      <c r="DM73" s="137">
        <v>92548.229473637941</v>
      </c>
      <c r="DN73" s="137">
        <v>92678.034089807537</v>
      </c>
      <c r="DO73" s="137">
        <v>92828.876311613887</v>
      </c>
      <c r="DP73" s="137">
        <f>(G_Kohorte_F!DP73+G_Kohorte_M!DP73)/2</f>
        <v>92974.830080362852</v>
      </c>
      <c r="DQ73" s="137">
        <f>(G_Kohorte_F!DQ73+G_Kohorte_M!DQ73)/2</f>
        <v>93102.305190632367</v>
      </c>
      <c r="DR73" s="137">
        <f>(G_Kohorte_F!DR73+G_Kohorte_M!DR73)/2</f>
        <v>93241.716548953467</v>
      </c>
      <c r="DS73" s="137">
        <f>(G_Kohorte_F!DS73+G_Kohorte_M!DS73)/2</f>
        <v>93367.088314294582</v>
      </c>
      <c r="DT73" s="137">
        <f>(G_Kohorte_F!DT73+G_Kohorte_M!DT73)/2</f>
        <v>93502.878642269352</v>
      </c>
      <c r="DU73" s="137">
        <f>(G_Kohorte_F!DU73+G_Kohorte_M!DU73)/2</f>
        <v>93635.7814577799</v>
      </c>
    </row>
    <row r="74" spans="1:125">
      <c r="A74" s="2348">
        <v>72</v>
      </c>
      <c r="B74" s="137"/>
      <c r="C74" s="137"/>
      <c r="D74" s="137"/>
      <c r="E74" s="137"/>
      <c r="F74" s="137"/>
      <c r="G74" s="137"/>
      <c r="H74" s="137"/>
      <c r="I74" s="137"/>
      <c r="J74" s="137"/>
      <c r="K74" s="137"/>
      <c r="L74" s="137"/>
      <c r="M74" s="137"/>
      <c r="N74" s="137"/>
      <c r="O74" s="137"/>
      <c r="P74" s="137"/>
      <c r="Q74" s="137"/>
      <c r="R74" s="137"/>
      <c r="S74" s="137"/>
      <c r="T74" s="137"/>
      <c r="U74" s="137"/>
      <c r="V74" s="137"/>
      <c r="W74" s="2342">
        <v>53536</v>
      </c>
      <c r="X74" s="2342">
        <v>54551.5</v>
      </c>
      <c r="Y74" s="137">
        <v>54839.770874842332</v>
      </c>
      <c r="Z74" s="137">
        <v>56648.964052919444</v>
      </c>
      <c r="AA74" s="137">
        <v>57407.096670533385</v>
      </c>
      <c r="AB74" s="137">
        <v>58199.243604599615</v>
      </c>
      <c r="AC74" s="137">
        <v>58963.460001913452</v>
      </c>
      <c r="AD74" s="137">
        <v>59692.809194527428</v>
      </c>
      <c r="AE74" s="137">
        <v>60031.271275474333</v>
      </c>
      <c r="AF74" s="137">
        <v>61292.243536039437</v>
      </c>
      <c r="AG74" s="137">
        <v>62141.916864039798</v>
      </c>
      <c r="AH74" s="137">
        <v>62913.445491201084</v>
      </c>
      <c r="AI74" s="137">
        <v>63704.78240117387</v>
      </c>
      <c r="AJ74" s="137">
        <v>65255.375553716236</v>
      </c>
      <c r="AK74" s="137">
        <v>65895.658863639328</v>
      </c>
      <c r="AL74" s="137">
        <v>66892.109003357808</v>
      </c>
      <c r="AM74" s="137">
        <v>67772.67768179602</v>
      </c>
      <c r="AN74" s="137">
        <v>68618.322384189509</v>
      </c>
      <c r="AO74" s="137">
        <v>68931.043076674134</v>
      </c>
      <c r="AP74" s="137">
        <v>69364.069309791201</v>
      </c>
      <c r="AQ74" s="137">
        <v>69633.426069757406</v>
      </c>
      <c r="AR74" s="137">
        <v>69988.236591366905</v>
      </c>
      <c r="AS74" s="137">
        <v>69525.388134151799</v>
      </c>
      <c r="AT74" s="137">
        <v>68901.39888611433</v>
      </c>
      <c r="AU74" s="137">
        <v>67924.705722606406</v>
      </c>
      <c r="AV74" s="137">
        <v>68141.936875396932</v>
      </c>
      <c r="AW74" s="137">
        <v>68975.128971105994</v>
      </c>
      <c r="AX74" s="137">
        <v>70673.173979259387</v>
      </c>
      <c r="AY74" s="137">
        <v>72129.44394014962</v>
      </c>
      <c r="AZ74" s="137">
        <v>72106.473867941299</v>
      </c>
      <c r="BA74" s="137">
        <v>72072.450267408072</v>
      </c>
      <c r="BB74" s="137">
        <v>72670.725618327968</v>
      </c>
      <c r="BC74" s="137">
        <v>72917.464745950943</v>
      </c>
      <c r="BD74" s="137">
        <v>73318.778628461252</v>
      </c>
      <c r="BE74" s="137">
        <v>73592.410958794411</v>
      </c>
      <c r="BF74" s="137">
        <v>74097.782677859912</v>
      </c>
      <c r="BG74" s="137">
        <v>74396.209483356681</v>
      </c>
      <c r="BH74" s="137">
        <v>75020.2966093625</v>
      </c>
      <c r="BI74" s="137">
        <v>75385.217415868479</v>
      </c>
      <c r="BJ74" s="137">
        <v>75857.251689281809</v>
      </c>
      <c r="BK74" s="137">
        <v>76378.556291223678</v>
      </c>
      <c r="BL74" s="137">
        <v>77056.377936098783</v>
      </c>
      <c r="BM74" s="137">
        <v>77657.301210261401</v>
      </c>
      <c r="BN74" s="137">
        <v>78215.46326647306</v>
      </c>
      <c r="BO74" s="137">
        <v>78668.298077267929</v>
      </c>
      <c r="BP74" s="137">
        <v>79114.988260975253</v>
      </c>
      <c r="BQ74" s="137">
        <v>79507.504427465552</v>
      </c>
      <c r="BR74" s="137">
        <v>79883.929893355613</v>
      </c>
      <c r="BS74" s="137">
        <v>80141.008418674755</v>
      </c>
      <c r="BT74" s="137">
        <v>80488.671952102944</v>
      </c>
      <c r="BU74" s="137">
        <v>80766.238056949049</v>
      </c>
      <c r="BV74" s="137">
        <v>81141.079782360204</v>
      </c>
      <c r="BW74" s="137">
        <v>81473.84910186792</v>
      </c>
      <c r="BX74" s="137">
        <v>81831.21619352221</v>
      </c>
      <c r="BY74" s="137">
        <v>82194.528033786832</v>
      </c>
      <c r="BZ74" s="137">
        <v>82659.470720831654</v>
      </c>
      <c r="CA74" s="137">
        <v>83036.350928151485</v>
      </c>
      <c r="CB74" s="137">
        <v>83346.300432985678</v>
      </c>
      <c r="CC74" s="137">
        <v>83704.6981224911</v>
      </c>
      <c r="CD74" s="137">
        <v>84037.427850019099</v>
      </c>
      <c r="CE74" s="137">
        <v>84348.159412928013</v>
      </c>
      <c r="CF74" s="137">
        <v>84694.883280101727</v>
      </c>
      <c r="CG74" s="137">
        <v>85008.236750706477</v>
      </c>
      <c r="CH74" s="137">
        <v>85314.47033624076</v>
      </c>
      <c r="CI74" s="137">
        <v>85661.585709980442</v>
      </c>
      <c r="CJ74" s="137">
        <v>85911.307127255452</v>
      </c>
      <c r="CK74" s="137">
        <v>86193.164496190439</v>
      </c>
      <c r="CL74" s="137">
        <v>86521.398040735396</v>
      </c>
      <c r="CM74" s="137">
        <v>86777.11370191694</v>
      </c>
      <c r="CN74" s="137">
        <v>87058.527794681228</v>
      </c>
      <c r="CO74" s="137">
        <v>87331.59467074227</v>
      </c>
      <c r="CP74" s="137">
        <v>87600.524469605589</v>
      </c>
      <c r="CQ74" s="137">
        <v>87856.62310926881</v>
      </c>
      <c r="CR74" s="137">
        <v>88076.269634406053</v>
      </c>
      <c r="CS74" s="137">
        <v>88333.008590994985</v>
      </c>
      <c r="CT74" s="137">
        <v>88553.52048705981</v>
      </c>
      <c r="CU74" s="137">
        <v>88777.045665077836</v>
      </c>
      <c r="CV74" s="137">
        <v>88980.325116895212</v>
      </c>
      <c r="CW74" s="137">
        <v>89185.496956387069</v>
      </c>
      <c r="CX74" s="137">
        <v>89407.993674435391</v>
      </c>
      <c r="CY74" s="137">
        <v>89593.012883121788</v>
      </c>
      <c r="CZ74" s="137">
        <v>89779.78665946926</v>
      </c>
      <c r="DA74" s="137">
        <v>89956.097737069038</v>
      </c>
      <c r="DB74" s="137">
        <v>90165.569877388247</v>
      </c>
      <c r="DC74" s="137">
        <v>90353.747570469539</v>
      </c>
      <c r="DD74" s="137">
        <v>90529.500423494013</v>
      </c>
      <c r="DE74" s="137">
        <v>90707.420890270936</v>
      </c>
      <c r="DF74" s="137">
        <v>90911.237901363813</v>
      </c>
      <c r="DG74" s="137">
        <v>91070.640525961426</v>
      </c>
      <c r="DH74" s="137">
        <v>91241.246929910674</v>
      </c>
      <c r="DI74" s="137">
        <v>91390.090779143138</v>
      </c>
      <c r="DJ74" s="137">
        <v>91573.013956339651</v>
      </c>
      <c r="DK74" s="137">
        <v>91735.885037606611</v>
      </c>
      <c r="DL74" s="137">
        <v>91880.687872103721</v>
      </c>
      <c r="DM74" s="137">
        <v>92025.07780964319</v>
      </c>
      <c r="DN74" s="137">
        <v>92164.244970363259</v>
      </c>
      <c r="DO74" s="137">
        <v>92324.152550755069</v>
      </c>
      <c r="DP74" s="137">
        <f>(G_Kohorte_F!DP74+G_Kohorte_M!DP74)/2</f>
        <v>92479.053223994299</v>
      </c>
      <c r="DQ74" s="137">
        <f>(G_Kohorte_F!DQ74+G_Kohorte_M!DQ74)/2</f>
        <v>92615.407703213714</v>
      </c>
      <c r="DR74" s="137">
        <f>(G_Kohorte_F!DR74+G_Kohorte_M!DR74)/2</f>
        <v>92763.459036384011</v>
      </c>
      <c r="DS74" s="137">
        <f>(G_Kohorte_F!DS74+G_Kohorte_M!DS74)/2</f>
        <v>92897.425331839622</v>
      </c>
      <c r="DT74" s="137">
        <f>(G_Kohorte_F!DT74+G_Kohorte_M!DT74)/2</f>
        <v>93041.590294335576</v>
      </c>
      <c r="DU74" s="137">
        <f>(G_Kohorte_F!DU74+G_Kohorte_M!DU74)/2</f>
        <v>93182.734653274281</v>
      </c>
    </row>
    <row r="75" spans="1:125">
      <c r="A75" s="2348">
        <v>73</v>
      </c>
      <c r="B75" s="137"/>
      <c r="C75" s="137"/>
      <c r="D75" s="137"/>
      <c r="E75" s="137"/>
      <c r="F75" s="137"/>
      <c r="G75" s="137"/>
      <c r="H75" s="137"/>
      <c r="I75" s="137"/>
      <c r="J75" s="137"/>
      <c r="K75" s="137"/>
      <c r="L75" s="137"/>
      <c r="M75" s="137"/>
      <c r="N75" s="137"/>
      <c r="O75" s="137"/>
      <c r="P75" s="137"/>
      <c r="Q75" s="137"/>
      <c r="R75" s="137"/>
      <c r="S75" s="137"/>
      <c r="T75" s="137"/>
      <c r="U75" s="137"/>
      <c r="V75" s="137"/>
      <c r="W75" s="2342">
        <v>51796.5</v>
      </c>
      <c r="X75" s="2342">
        <v>52844.5</v>
      </c>
      <c r="Y75" s="137">
        <v>53102.205132940006</v>
      </c>
      <c r="Z75" s="137">
        <v>54970.894316336009</v>
      </c>
      <c r="AA75" s="137">
        <v>55727.827850288071</v>
      </c>
      <c r="AB75" s="137">
        <v>56541.383196979725</v>
      </c>
      <c r="AC75" s="137">
        <v>57354.425717648643</v>
      </c>
      <c r="AD75" s="137">
        <v>58110.853539327873</v>
      </c>
      <c r="AE75" s="137">
        <v>58451.489119894803</v>
      </c>
      <c r="AF75" s="137">
        <v>59686.958293098789</v>
      </c>
      <c r="AG75" s="137">
        <v>60591.323359942558</v>
      </c>
      <c r="AH75" s="137">
        <v>61422.564342938422</v>
      </c>
      <c r="AI75" s="137">
        <v>62228.328726731706</v>
      </c>
      <c r="AJ75" s="137">
        <v>63804.054687540498</v>
      </c>
      <c r="AK75" s="137">
        <v>64453.958517918523</v>
      </c>
      <c r="AL75" s="137">
        <v>65484.128949490732</v>
      </c>
      <c r="AM75" s="137">
        <v>66409.792647139635</v>
      </c>
      <c r="AN75" s="137">
        <v>67251.442421580417</v>
      </c>
      <c r="AO75" s="137">
        <v>67563.702790301671</v>
      </c>
      <c r="AP75" s="137">
        <v>67996.335033087453</v>
      </c>
      <c r="AQ75" s="137">
        <v>68299.221601011348</v>
      </c>
      <c r="AR75" s="137">
        <v>68610.201536727007</v>
      </c>
      <c r="AS75" s="137">
        <v>68170.720272994164</v>
      </c>
      <c r="AT75" s="137">
        <v>67514.810635915797</v>
      </c>
      <c r="AU75" s="137">
        <v>66536.847320865258</v>
      </c>
      <c r="AV75" s="137">
        <v>66758.787654976593</v>
      </c>
      <c r="AW75" s="137">
        <v>67598.524589153501</v>
      </c>
      <c r="AX75" s="137">
        <v>69200.865336112794</v>
      </c>
      <c r="AY75" s="137">
        <v>70595.197180140778</v>
      </c>
      <c r="AZ75" s="137">
        <v>70586.515059717145</v>
      </c>
      <c r="BA75" s="137">
        <v>70582.923714099685</v>
      </c>
      <c r="BB75" s="137">
        <v>71196.782544721471</v>
      </c>
      <c r="BC75" s="137">
        <v>71466.572619480314</v>
      </c>
      <c r="BD75" s="137">
        <v>71886.567494075862</v>
      </c>
      <c r="BE75" s="137">
        <v>72181.640770251455</v>
      </c>
      <c r="BF75" s="137">
        <v>72703.533516292111</v>
      </c>
      <c r="BG75" s="137">
        <v>73023.041331708024</v>
      </c>
      <c r="BH75" s="137">
        <v>73660.742136468776</v>
      </c>
      <c r="BI75" s="137">
        <v>74044.228483976243</v>
      </c>
      <c r="BJ75" s="137">
        <v>74532.791026720137</v>
      </c>
      <c r="BK75" s="137">
        <v>75069.653627288149</v>
      </c>
      <c r="BL75" s="137">
        <v>75760.178432734654</v>
      </c>
      <c r="BM75" s="137">
        <v>76375.046963582718</v>
      </c>
      <c r="BN75" s="137">
        <v>76947.947849691656</v>
      </c>
      <c r="BO75" s="137">
        <v>77417.040855824802</v>
      </c>
      <c r="BP75" s="137">
        <v>77880.238641942255</v>
      </c>
      <c r="BQ75" s="137">
        <v>78289.732357722649</v>
      </c>
      <c r="BR75" s="137">
        <v>78683.334359770612</v>
      </c>
      <c r="BS75" s="137">
        <v>78959.275210897322</v>
      </c>
      <c r="BT75" s="137">
        <v>79324.060698396628</v>
      </c>
      <c r="BU75" s="137">
        <v>79619.647427211821</v>
      </c>
      <c r="BV75" s="137">
        <v>80010.709828438587</v>
      </c>
      <c r="BW75" s="137">
        <v>80360.242045693623</v>
      </c>
      <c r="BX75" s="137">
        <v>80733.675794772455</v>
      </c>
      <c r="BY75" s="137">
        <v>81112.719274803225</v>
      </c>
      <c r="BZ75" s="137">
        <v>81591.876355991873</v>
      </c>
      <c r="CA75" s="137">
        <v>81984.062486056995</v>
      </c>
      <c r="CB75" s="137">
        <v>82310.081023286708</v>
      </c>
      <c r="CC75" s="137">
        <v>82683.413424833241</v>
      </c>
      <c r="CD75" s="137">
        <v>83031.299243152229</v>
      </c>
      <c r="CE75" s="137">
        <v>83357.289834905328</v>
      </c>
      <c r="CF75" s="137">
        <v>83718.531805303355</v>
      </c>
      <c r="CG75" s="137">
        <v>84046.722339798522</v>
      </c>
      <c r="CH75" s="137">
        <v>84367.6080124539</v>
      </c>
      <c r="CI75" s="137">
        <v>84728.711288399398</v>
      </c>
      <c r="CJ75" s="137">
        <v>84993.353779760393</v>
      </c>
      <c r="CK75" s="137">
        <v>85289.568798374006</v>
      </c>
      <c r="CL75" s="137">
        <v>85631.384686750593</v>
      </c>
      <c r="CM75" s="137">
        <v>85901.309100422222</v>
      </c>
      <c r="CN75" s="137">
        <v>86196.466049167517</v>
      </c>
      <c r="CO75" s="137">
        <v>86483.037100992922</v>
      </c>
      <c r="CP75" s="137">
        <v>86765.427143389563</v>
      </c>
      <c r="CQ75" s="137">
        <v>87034.856585376256</v>
      </c>
      <c r="CR75" s="137">
        <v>87268.047895560507</v>
      </c>
      <c r="CS75" s="137">
        <v>87537.706629177788</v>
      </c>
      <c r="CT75" s="137">
        <v>87771.300606098463</v>
      </c>
      <c r="CU75" s="137">
        <v>88007.644547423552</v>
      </c>
      <c r="CV75" s="137">
        <v>88223.718280667614</v>
      </c>
      <c r="CW75" s="137">
        <v>88441.527516736562</v>
      </c>
      <c r="CX75" s="137">
        <v>88676.239994545205</v>
      </c>
      <c r="CY75" s="137">
        <v>88873.643137308623</v>
      </c>
      <c r="CZ75" s="137">
        <v>89072.512843355653</v>
      </c>
      <c r="DA75" s="137">
        <v>89260.854375050651</v>
      </c>
      <c r="DB75" s="137">
        <v>89481.854826383729</v>
      </c>
      <c r="DC75" s="137">
        <v>89681.604357343924</v>
      </c>
      <c r="DD75" s="137">
        <v>89868.785532540147</v>
      </c>
      <c r="DE75" s="137">
        <v>90057.954542077263</v>
      </c>
      <c r="DF75" s="137">
        <v>90272.652703268803</v>
      </c>
      <c r="DG75" s="137">
        <v>90443.022339910705</v>
      </c>
      <c r="DH75" s="137">
        <v>90624.37985449034</v>
      </c>
      <c r="DI75" s="137">
        <v>90783.904113687851</v>
      </c>
      <c r="DJ75" s="137">
        <v>90977.108057878417</v>
      </c>
      <c r="DK75" s="137">
        <v>91150.247987119888</v>
      </c>
      <c r="DL75" s="137">
        <v>91305.256418987788</v>
      </c>
      <c r="DM75" s="137">
        <v>91459.642876295198</v>
      </c>
      <c r="DN75" s="137">
        <v>91608.707316517161</v>
      </c>
      <c r="DO75" s="137">
        <v>91778.200534943971</v>
      </c>
      <c r="DP75" s="137">
        <f>(G_Kohorte_F!DP75+G_Kohorte_M!DP75)/2</f>
        <v>91942.567083719448</v>
      </c>
      <c r="DQ75" s="137">
        <f>(G_Kohorte_F!DQ75+G_Kohorte_M!DQ75)/2</f>
        <v>92088.323294662943</v>
      </c>
      <c r="DR75" s="137">
        <f>(G_Kohorte_F!DR75+G_Kohorte_M!DR75)/2</f>
        <v>92245.526372788503</v>
      </c>
      <c r="DS75" s="137">
        <f>(G_Kohorte_F!DS75+G_Kohorte_M!DS75)/2</f>
        <v>92388.602234616294</v>
      </c>
      <c r="DT75" s="137">
        <f>(G_Kohorte_F!DT75+G_Kohorte_M!DT75)/2</f>
        <v>92541.64716092599</v>
      </c>
      <c r="DU75" s="137">
        <f>(G_Kohorte_F!DU75+G_Kohorte_M!DU75)/2</f>
        <v>92691.535080551199</v>
      </c>
    </row>
    <row r="76" spans="1:125">
      <c r="A76" s="2348">
        <v>74</v>
      </c>
      <c r="B76" s="137"/>
      <c r="C76" s="137"/>
      <c r="D76" s="137"/>
      <c r="E76" s="137"/>
      <c r="F76" s="137"/>
      <c r="G76" s="137"/>
      <c r="H76" s="137"/>
      <c r="I76" s="137"/>
      <c r="J76" s="137"/>
      <c r="K76" s="137"/>
      <c r="L76" s="137"/>
      <c r="M76" s="137"/>
      <c r="N76" s="137"/>
      <c r="O76" s="137"/>
      <c r="P76" s="137"/>
      <c r="Q76" s="137"/>
      <c r="R76" s="137"/>
      <c r="S76" s="137"/>
      <c r="T76" s="137"/>
      <c r="U76" s="137"/>
      <c r="V76" s="137"/>
      <c r="W76" s="2342">
        <v>49992</v>
      </c>
      <c r="X76" s="2342">
        <v>51007.5</v>
      </c>
      <c r="Y76" s="137">
        <v>51360.523584198847</v>
      </c>
      <c r="Z76" s="137">
        <v>53248.356928075678</v>
      </c>
      <c r="AA76" s="137">
        <v>53978.172279872371</v>
      </c>
      <c r="AB76" s="137">
        <v>54862.159849618343</v>
      </c>
      <c r="AC76" s="137">
        <v>55704.733647843517</v>
      </c>
      <c r="AD76" s="137">
        <v>56435.716010604592</v>
      </c>
      <c r="AE76" s="137">
        <v>56759.589750796848</v>
      </c>
      <c r="AF76" s="137">
        <v>58052.727621339058</v>
      </c>
      <c r="AG76" s="137">
        <v>58963.861706771866</v>
      </c>
      <c r="AH76" s="137">
        <v>59881.369739057947</v>
      </c>
      <c r="AI76" s="137">
        <v>60692.746645700856</v>
      </c>
      <c r="AJ76" s="137">
        <v>62268.527204507191</v>
      </c>
      <c r="AK76" s="137">
        <v>62917.949319316038</v>
      </c>
      <c r="AL76" s="137">
        <v>64006.327270651964</v>
      </c>
      <c r="AM76" s="137">
        <v>64947.341148934029</v>
      </c>
      <c r="AN76" s="137">
        <v>65795.728278265451</v>
      </c>
      <c r="AO76" s="137">
        <v>66098.878340725234</v>
      </c>
      <c r="AP76" s="137">
        <v>66579.271624255925</v>
      </c>
      <c r="AQ76" s="137">
        <v>66818.247401592365</v>
      </c>
      <c r="AR76" s="137">
        <v>67153.915714749644</v>
      </c>
      <c r="AS76" s="137">
        <v>66701.081824509223</v>
      </c>
      <c r="AT76" s="137">
        <v>66014.174889393908</v>
      </c>
      <c r="AU76" s="137">
        <v>65059.379186435748</v>
      </c>
      <c r="AV76" s="137">
        <v>65287.184186279002</v>
      </c>
      <c r="AW76" s="137">
        <v>66075.878056323723</v>
      </c>
      <c r="AX76" s="137">
        <v>67588.899797928156</v>
      </c>
      <c r="AY76" s="137">
        <v>68973.444096090097</v>
      </c>
      <c r="AZ76" s="137">
        <v>68996.277190567766</v>
      </c>
      <c r="BA76" s="137">
        <v>69023.277335815874</v>
      </c>
      <c r="BB76" s="137">
        <v>69652.310586562249</v>
      </c>
      <c r="BC76" s="137">
        <v>69945.111426173156</v>
      </c>
      <c r="BD76" s="137">
        <v>70383.633260437549</v>
      </c>
      <c r="BE76" s="137">
        <v>70700.141811613779</v>
      </c>
      <c r="BF76" s="137">
        <v>71238.355483853346</v>
      </c>
      <c r="BG76" s="137">
        <v>71578.967805268869</v>
      </c>
      <c r="BH76" s="137">
        <v>72230.022688595971</v>
      </c>
      <c r="BI76" s="137">
        <v>72632.085627405089</v>
      </c>
      <c r="BJ76" s="137">
        <v>73137.110126623797</v>
      </c>
      <c r="BK76" s="137">
        <v>73689.441941274272</v>
      </c>
      <c r="BL76" s="137">
        <v>74392.587177806286</v>
      </c>
      <c r="BM76" s="137">
        <v>75021.292288704892</v>
      </c>
      <c r="BN76" s="137">
        <v>75608.886452991414</v>
      </c>
      <c r="BO76" s="137">
        <v>76094.309505777725</v>
      </c>
      <c r="BP76" s="137">
        <v>76574.114809141814</v>
      </c>
      <c r="BQ76" s="137">
        <v>77000.752533776307</v>
      </c>
      <c r="BR76" s="137">
        <v>77411.731326316629</v>
      </c>
      <c r="BS76" s="137">
        <v>77706.858749524719</v>
      </c>
      <c r="BT76" s="137">
        <v>78089.024422505536</v>
      </c>
      <c r="BU76" s="137">
        <v>78402.967781350511</v>
      </c>
      <c r="BV76" s="137">
        <v>78810.51442690898</v>
      </c>
      <c r="BW76" s="137">
        <v>79177.125741185533</v>
      </c>
      <c r="BX76" s="137">
        <v>79566.932593387362</v>
      </c>
      <c r="BY76" s="137">
        <v>79962.021132694688</v>
      </c>
      <c r="BZ76" s="137">
        <v>80455.633750229594</v>
      </c>
      <c r="CA76" s="137">
        <v>80863.454847165733</v>
      </c>
      <c r="CB76" s="137">
        <v>81205.939797466883</v>
      </c>
      <c r="CC76" s="137">
        <v>81594.568856746686</v>
      </c>
      <c r="CD76" s="137">
        <v>81958.00525844084</v>
      </c>
      <c r="CE76" s="137">
        <v>82299.676872143027</v>
      </c>
      <c r="CF76" s="137">
        <v>82675.836462873587</v>
      </c>
      <c r="CG76" s="137">
        <v>83019.300757490448</v>
      </c>
      <c r="CH76" s="137">
        <v>83355.286673139242</v>
      </c>
      <c r="CI76" s="137">
        <v>83730.801385201208</v>
      </c>
      <c r="CJ76" s="137">
        <v>84010.870603529445</v>
      </c>
      <c r="CK76" s="137">
        <v>84321.930043274217</v>
      </c>
      <c r="CL76" s="137">
        <v>84677.783693372243</v>
      </c>
      <c r="CM76" s="137">
        <v>84962.432657320751</v>
      </c>
      <c r="CN76" s="137">
        <v>85271.833789790486</v>
      </c>
      <c r="CO76" s="137">
        <v>85572.416782625194</v>
      </c>
      <c r="CP76" s="137">
        <v>85868.784616852558</v>
      </c>
      <c r="CQ76" s="137">
        <v>86152.072896112426</v>
      </c>
      <c r="CR76" s="137">
        <v>86399.367105126585</v>
      </c>
      <c r="CS76" s="137">
        <v>86682.477715113913</v>
      </c>
      <c r="CT76" s="137">
        <v>86929.713309688028</v>
      </c>
      <c r="CU76" s="137">
        <v>87179.433557393757</v>
      </c>
      <c r="CV76" s="137">
        <v>87408.873329704133</v>
      </c>
      <c r="CW76" s="137">
        <v>87639.89295568227</v>
      </c>
      <c r="CX76" s="137">
        <v>87887.380400420283</v>
      </c>
      <c r="CY76" s="137">
        <v>88097.752526239754</v>
      </c>
      <c r="CZ76" s="137">
        <v>88309.298693540099</v>
      </c>
      <c r="DA76" s="137">
        <v>88510.25857536793</v>
      </c>
      <c r="DB76" s="137">
        <v>88743.35173614572</v>
      </c>
      <c r="DC76" s="137">
        <v>88955.251948838733</v>
      </c>
      <c r="DD76" s="137">
        <v>89154.444330412996</v>
      </c>
      <c r="DE76" s="137">
        <v>89355.442564175304</v>
      </c>
      <c r="DF76" s="137">
        <v>89581.585565588655</v>
      </c>
      <c r="DG76" s="137">
        <v>89763.507542294858</v>
      </c>
      <c r="DH76" s="137">
        <v>89956.194380932604</v>
      </c>
      <c r="DI76" s="137">
        <v>90126.985175555834</v>
      </c>
      <c r="DJ76" s="137">
        <v>90331.034381548961</v>
      </c>
      <c r="DK76" s="137">
        <v>90515.017077539145</v>
      </c>
      <c r="DL76" s="137">
        <v>90680.811356867111</v>
      </c>
      <c r="DM76" s="137">
        <v>90845.769588955765</v>
      </c>
      <c r="DN76" s="137">
        <v>91005.307469548789</v>
      </c>
      <c r="DO76" s="137">
        <v>91184.947171034248</v>
      </c>
      <c r="DP76" s="137">
        <f>(G_Kohorte_F!DP76+G_Kohorte_M!DP76)/2</f>
        <v>91359.3399818662</v>
      </c>
      <c r="DQ76" s="137">
        <f>(G_Kohorte_F!DQ76+G_Kohorte_M!DQ76)/2</f>
        <v>91515.063365486945</v>
      </c>
      <c r="DR76" s="137">
        <f>(G_Kohorte_F!DR76+G_Kohorte_M!DR76)/2</f>
        <v>91681.972677860904</v>
      </c>
      <c r="DS76" s="137">
        <f>(G_Kohorte_F!DS76+G_Kohorte_M!DS76)/2</f>
        <v>91834.717208722868</v>
      </c>
      <c r="DT76" s="137">
        <f>(G_Kohorte_F!DT76+G_Kohorte_M!DT76)/2</f>
        <v>91997.191187370117</v>
      </c>
      <c r="DU76" s="137">
        <f>(G_Kohorte_F!DU76+G_Kohorte_M!DU76)/2</f>
        <v>92156.368974496727</v>
      </c>
    </row>
    <row r="77" spans="1:125">
      <c r="A77" s="2348">
        <v>75</v>
      </c>
      <c r="B77" s="137"/>
      <c r="C77" s="137"/>
      <c r="D77" s="137"/>
      <c r="E77" s="137"/>
      <c r="F77" s="137"/>
      <c r="G77" s="137"/>
      <c r="H77" s="137"/>
      <c r="I77" s="137"/>
      <c r="J77" s="137"/>
      <c r="K77" s="137"/>
      <c r="L77" s="137"/>
      <c r="M77" s="137"/>
      <c r="N77" s="137"/>
      <c r="O77" s="137"/>
      <c r="P77" s="137"/>
      <c r="Q77" s="137"/>
      <c r="R77" s="137"/>
      <c r="S77" s="137"/>
      <c r="T77" s="137"/>
      <c r="U77" s="137"/>
      <c r="V77" s="137"/>
      <c r="W77" s="2342">
        <v>48060</v>
      </c>
      <c r="X77" s="2342">
        <v>49145.5</v>
      </c>
      <c r="Y77" s="137">
        <v>49541.815715608842</v>
      </c>
      <c r="Z77" s="137">
        <v>51408.907280913729</v>
      </c>
      <c r="AA77" s="137">
        <v>52198.461171799245</v>
      </c>
      <c r="AB77" s="137">
        <v>53105.788934441895</v>
      </c>
      <c r="AC77" s="137">
        <v>53967.483940237871</v>
      </c>
      <c r="AD77" s="137">
        <v>54627.497233490154</v>
      </c>
      <c r="AE77" s="137">
        <v>55029.165627366994</v>
      </c>
      <c r="AF77" s="137">
        <v>56348.342402756796</v>
      </c>
      <c r="AG77" s="137">
        <v>57298.592480904772</v>
      </c>
      <c r="AH77" s="137">
        <v>58231.179409935081</v>
      </c>
      <c r="AI77" s="137">
        <v>59059.074353502554</v>
      </c>
      <c r="AJ77" s="137">
        <v>60610.755238066806</v>
      </c>
      <c r="AK77" s="137">
        <v>61323.718832548839</v>
      </c>
      <c r="AL77" s="137">
        <v>62408.216649883529</v>
      </c>
      <c r="AM77" s="137">
        <v>63383.090310195083</v>
      </c>
      <c r="AN77" s="137">
        <v>64226.616480241348</v>
      </c>
      <c r="AO77" s="137">
        <v>64604.185075168942</v>
      </c>
      <c r="AP77" s="137">
        <v>64999.818994956309</v>
      </c>
      <c r="AQ77" s="137">
        <v>65283.532601929903</v>
      </c>
      <c r="AR77" s="137">
        <v>65586.459310370177</v>
      </c>
      <c r="AS77" s="137">
        <v>65112.809146551896</v>
      </c>
      <c r="AT77" s="137">
        <v>64449.20572781068</v>
      </c>
      <c r="AU77" s="137">
        <v>63482.30415394406</v>
      </c>
      <c r="AV77" s="137">
        <v>63637.448318983937</v>
      </c>
      <c r="AW77" s="137">
        <v>64411.920671463173</v>
      </c>
      <c r="AX77" s="137">
        <v>65895.461282844102</v>
      </c>
      <c r="AY77" s="137">
        <v>67276.710255559679</v>
      </c>
      <c r="AZ77" s="137">
        <v>67331.094886450606</v>
      </c>
      <c r="BA77" s="137">
        <v>67388.76138058363</v>
      </c>
      <c r="BB77" s="137">
        <v>68032.444685268085</v>
      </c>
      <c r="BC77" s="137">
        <v>68348.124846864841</v>
      </c>
      <c r="BD77" s="137">
        <v>68804.925976976607</v>
      </c>
      <c r="BE77" s="137">
        <v>69142.779993650634</v>
      </c>
      <c r="BF77" s="137">
        <v>69697.018442147411</v>
      </c>
      <c r="BG77" s="137">
        <v>70058.67643612808</v>
      </c>
      <c r="BH77" s="137">
        <v>70722.728864751844</v>
      </c>
      <c r="BI77" s="137">
        <v>71143.302241389028</v>
      </c>
      <c r="BJ77" s="137">
        <v>71664.640019046929</v>
      </c>
      <c r="BK77" s="137">
        <v>72232.407125242724</v>
      </c>
      <c r="BL77" s="137">
        <v>72947.874336321198</v>
      </c>
      <c r="BM77" s="137">
        <v>73590.221371302192</v>
      </c>
      <c r="BN77" s="137">
        <v>74192.38249064883</v>
      </c>
      <c r="BO77" s="137">
        <v>74694.137679864827</v>
      </c>
      <c r="BP77" s="137">
        <v>75190.58265618002</v>
      </c>
      <c r="BQ77" s="137">
        <v>75634.47089313835</v>
      </c>
      <c r="BR77" s="137">
        <v>76062.970241021074</v>
      </c>
      <c r="BS77" s="137">
        <v>76377.56354732727</v>
      </c>
      <c r="BT77" s="137">
        <v>76777.319152474782</v>
      </c>
      <c r="BU77" s="137">
        <v>77109.914420068279</v>
      </c>
      <c r="BV77" s="137">
        <v>77534.163995140319</v>
      </c>
      <c r="BW77" s="137">
        <v>77918.131055531558</v>
      </c>
      <c r="BX77" s="137">
        <v>78324.579094196291</v>
      </c>
      <c r="BY77" s="137">
        <v>78735.98998646265</v>
      </c>
      <c r="BZ77" s="137">
        <v>79244.257668498234</v>
      </c>
      <c r="CA77" s="137">
        <v>79668.01010297687</v>
      </c>
      <c r="CB77" s="137">
        <v>80027.333461854549</v>
      </c>
      <c r="CC77" s="137">
        <v>80431.595240004055</v>
      </c>
      <c r="CD77" s="137">
        <v>80810.954795906233</v>
      </c>
      <c r="CE77" s="137">
        <v>81168.711315569322</v>
      </c>
      <c r="CF77" s="137">
        <v>81560.169588119912</v>
      </c>
      <c r="CG77" s="137">
        <v>81919.330259733732</v>
      </c>
      <c r="CH77" s="137">
        <v>82270.853262439399</v>
      </c>
      <c r="CI77" s="137">
        <v>82661.190487173677</v>
      </c>
      <c r="CJ77" s="137">
        <v>82957.188980446124</v>
      </c>
      <c r="CK77" s="137">
        <v>83283.575917824448</v>
      </c>
      <c r="CL77" s="137">
        <v>83653.917505243197</v>
      </c>
      <c r="CM77" s="137">
        <v>83953.8088037665</v>
      </c>
      <c r="CN77" s="137">
        <v>84277.957195994124</v>
      </c>
      <c r="CO77" s="137">
        <v>84593.064180701156</v>
      </c>
      <c r="CP77" s="137">
        <v>84903.933387313446</v>
      </c>
      <c r="CQ77" s="137">
        <v>85201.617207938281</v>
      </c>
      <c r="CR77" s="137">
        <v>85463.585258456937</v>
      </c>
      <c r="CS77" s="137">
        <v>85760.691457309425</v>
      </c>
      <c r="CT77" s="137">
        <v>86022.143908047874</v>
      </c>
      <c r="CU77" s="137">
        <v>86285.814879091035</v>
      </c>
      <c r="CV77" s="137">
        <v>86529.212124174461</v>
      </c>
      <c r="CW77" s="137">
        <v>86774.035862434524</v>
      </c>
      <c r="CX77" s="137">
        <v>87034.878222101892</v>
      </c>
      <c r="CY77" s="137">
        <v>87258.82897473019</v>
      </c>
      <c r="CZ77" s="137">
        <v>87483.657751806837</v>
      </c>
      <c r="DA77" s="137">
        <v>87697.851273409149</v>
      </c>
      <c r="DB77" s="137">
        <v>87943.627597899293</v>
      </c>
      <c r="DC77" s="137">
        <v>88168.285868501785</v>
      </c>
      <c r="DD77" s="137">
        <v>88380.102696230228</v>
      </c>
      <c r="DE77" s="137">
        <v>88593.541917462775</v>
      </c>
      <c r="DF77" s="137">
        <v>88831.723580440652</v>
      </c>
      <c r="DG77" s="137">
        <v>89025.817248170904</v>
      </c>
      <c r="DH77" s="137">
        <v>89230.445635891432</v>
      </c>
      <c r="DI77" s="137">
        <v>89413.125298527681</v>
      </c>
      <c r="DJ77" s="137">
        <v>89628.618836184352</v>
      </c>
      <c r="DK77" s="137">
        <v>89824.054815824464</v>
      </c>
      <c r="DL77" s="137">
        <v>90001.253604763362</v>
      </c>
      <c r="DM77" s="137">
        <v>90177.397842629071</v>
      </c>
      <c r="DN77" s="137">
        <v>90348.025199768948</v>
      </c>
      <c r="DO77" s="137">
        <v>90538.411238462824</v>
      </c>
      <c r="DP77" s="137">
        <f>(G_Kohorte_F!DP77+G_Kohorte_M!DP77)/2</f>
        <v>90723.430526262804</v>
      </c>
      <c r="DQ77" s="137">
        <f>(G_Kohorte_F!DQ77+G_Kohorte_M!DQ77)/2</f>
        <v>90889.727974747308</v>
      </c>
      <c r="DR77" s="137">
        <f>(G_Kohorte_F!DR77+G_Kohorte_M!DR77)/2</f>
        <v>91066.939096215297</v>
      </c>
      <c r="DS77" s="137">
        <f>(G_Kohorte_F!DS77+G_Kohorte_M!DS77)/2</f>
        <v>91229.953798043221</v>
      </c>
      <c r="DT77" s="137">
        <f>(G_Kohorte_F!DT77+G_Kohorte_M!DT77)/2</f>
        <v>91402.448005254686</v>
      </c>
      <c r="DU77" s="137">
        <f>(G_Kohorte_F!DU77+G_Kohorte_M!DU77)/2</f>
        <v>91571.504568703909</v>
      </c>
    </row>
    <row r="78" spans="1:125">
      <c r="A78" s="2348">
        <v>76</v>
      </c>
      <c r="B78" s="137"/>
      <c r="C78" s="137"/>
      <c r="D78" s="137"/>
      <c r="E78" s="137"/>
      <c r="F78" s="137"/>
      <c r="G78" s="137"/>
      <c r="H78" s="137"/>
      <c r="I78" s="137"/>
      <c r="J78" s="137"/>
      <c r="K78" s="137"/>
      <c r="L78" s="137"/>
      <c r="M78" s="137"/>
      <c r="N78" s="137"/>
      <c r="O78" s="137"/>
      <c r="P78" s="137"/>
      <c r="Q78" s="137"/>
      <c r="R78" s="137"/>
      <c r="S78" s="137"/>
      <c r="T78" s="137"/>
      <c r="U78" s="137"/>
      <c r="V78" s="137"/>
      <c r="W78" s="2342">
        <v>46109.5</v>
      </c>
      <c r="X78" s="2342">
        <v>47224</v>
      </c>
      <c r="Y78" s="137">
        <v>47639.7684159403</v>
      </c>
      <c r="Z78" s="137">
        <v>49546.573882049168</v>
      </c>
      <c r="AA78" s="137">
        <v>50340.015735109802</v>
      </c>
      <c r="AB78" s="137">
        <v>51286.025345509363</v>
      </c>
      <c r="AC78" s="137">
        <v>52060.881838815549</v>
      </c>
      <c r="AD78" s="137">
        <v>52763.243522382829</v>
      </c>
      <c r="AE78" s="137">
        <v>53232.761387015446</v>
      </c>
      <c r="AF78" s="137">
        <v>54579.933382348696</v>
      </c>
      <c r="AG78" s="137">
        <v>55538.0815027926</v>
      </c>
      <c r="AH78" s="137">
        <v>56447.685129141733</v>
      </c>
      <c r="AI78" s="137">
        <v>57299.402061581306</v>
      </c>
      <c r="AJ78" s="137">
        <v>58885.895793398122</v>
      </c>
      <c r="AK78" s="137">
        <v>59593.306506985275</v>
      </c>
      <c r="AL78" s="137">
        <v>60705.207247071245</v>
      </c>
      <c r="AM78" s="137">
        <v>61674.667108225331</v>
      </c>
      <c r="AN78" s="137">
        <v>62609.407670066394</v>
      </c>
      <c r="AO78" s="137">
        <v>62912.252113315415</v>
      </c>
      <c r="AP78" s="137">
        <v>63350.307052273041</v>
      </c>
      <c r="AQ78" s="137">
        <v>63608.333741479553</v>
      </c>
      <c r="AR78" s="137">
        <v>63889.363288187422</v>
      </c>
      <c r="AS78" s="137">
        <v>63446.55264291013</v>
      </c>
      <c r="AT78" s="137">
        <v>62766.746539277352</v>
      </c>
      <c r="AU78" s="137">
        <v>61744.551579222149</v>
      </c>
      <c r="AV78" s="137">
        <v>61820.80003965892</v>
      </c>
      <c r="AW78" s="137">
        <v>62650.642865594586</v>
      </c>
      <c r="AX78" s="137">
        <v>64124.15452430876</v>
      </c>
      <c r="AY78" s="137">
        <v>65500.461810369605</v>
      </c>
      <c r="AZ78" s="137">
        <v>65586.342136264197</v>
      </c>
      <c r="BA78" s="137">
        <v>65674.662370554477</v>
      </c>
      <c r="BB78" s="137">
        <v>66332.350880822341</v>
      </c>
      <c r="BC78" s="137">
        <v>66670.682935813282</v>
      </c>
      <c r="BD78" s="137">
        <v>67145.41572496017</v>
      </c>
      <c r="BE78" s="137">
        <v>67504.435510900294</v>
      </c>
      <c r="BF78" s="137">
        <v>68074.30031772246</v>
      </c>
      <c r="BG78" s="137">
        <v>68456.857721172244</v>
      </c>
      <c r="BH78" s="137">
        <v>69133.447151360815</v>
      </c>
      <c r="BI78" s="137">
        <v>69572.381008776414</v>
      </c>
      <c r="BJ78" s="137">
        <v>70109.939835023572</v>
      </c>
      <c r="BK78" s="137">
        <v>70692.88123766947</v>
      </c>
      <c r="BL78" s="137">
        <v>71420.270904706776</v>
      </c>
      <c r="BM78" s="137">
        <v>72075.972896641586</v>
      </c>
      <c r="BN78" s="137">
        <v>72692.487736628682</v>
      </c>
      <c r="BO78" s="137">
        <v>73210.501194061944</v>
      </c>
      <c r="BP78" s="137">
        <v>73723.544442406564</v>
      </c>
      <c r="BQ78" s="137">
        <v>74184.723704164382</v>
      </c>
      <c r="BR78" s="137">
        <v>74630.82506039791</v>
      </c>
      <c r="BS78" s="137">
        <v>74965.113096848683</v>
      </c>
      <c r="BT78" s="137">
        <v>75382.61408262873</v>
      </c>
      <c r="BU78" s="137">
        <v>75734.110253869279</v>
      </c>
      <c r="BV78" s="137">
        <v>76175.230671644647</v>
      </c>
      <c r="BW78" s="137">
        <v>76576.784985903927</v>
      </c>
      <c r="BX78" s="137">
        <v>77000.098158965615</v>
      </c>
      <c r="BY78" s="137">
        <v>77428.066768064426</v>
      </c>
      <c r="BZ78" s="137">
        <v>77951.141518433535</v>
      </c>
      <c r="CA78" s="137">
        <v>78391.083410138323</v>
      </c>
      <c r="CB78" s="137">
        <v>78767.586524164362</v>
      </c>
      <c r="CC78" s="137">
        <v>79187.785517262193</v>
      </c>
      <c r="CD78" s="137">
        <v>79583.413443883241</v>
      </c>
      <c r="CE78" s="137">
        <v>79957.635385462636</v>
      </c>
      <c r="CF78" s="137">
        <v>80364.749560191063</v>
      </c>
      <c r="CG78" s="137">
        <v>80740.010069190437</v>
      </c>
      <c r="CH78" s="137">
        <v>81107.490641571145</v>
      </c>
      <c r="CI78" s="137">
        <v>81513.043941128126</v>
      </c>
      <c r="CJ78" s="137">
        <v>81825.466476173635</v>
      </c>
      <c r="CK78" s="137">
        <v>82167.65564498154</v>
      </c>
      <c r="CL78" s="137">
        <v>82552.925344907082</v>
      </c>
      <c r="CM78" s="137">
        <v>82868.574340912048</v>
      </c>
      <c r="CN78" s="137">
        <v>83207.970456173513</v>
      </c>
      <c r="CO78" s="137">
        <v>83538.113384281445</v>
      </c>
      <c r="CP78" s="137">
        <v>83864.009443831834</v>
      </c>
      <c r="CQ78" s="137">
        <v>84176.630120191403</v>
      </c>
      <c r="CR78" s="137">
        <v>84453.852012285352</v>
      </c>
      <c r="CS78" s="137">
        <v>84765.505277436023</v>
      </c>
      <c r="CT78" s="137">
        <v>85041.761914556817</v>
      </c>
      <c r="CU78" s="137">
        <v>85319.971351314016</v>
      </c>
      <c r="CV78" s="137">
        <v>85577.933793119344</v>
      </c>
      <c r="CW78" s="137">
        <v>85837.17288710337</v>
      </c>
      <c r="CX78" s="137">
        <v>86111.967611651169</v>
      </c>
      <c r="CY78" s="137">
        <v>86350.12826362098</v>
      </c>
      <c r="CZ78" s="137">
        <v>86588.868465664083</v>
      </c>
      <c r="DA78" s="137">
        <v>86816.935553389267</v>
      </c>
      <c r="DB78" s="137">
        <v>87076.008748626598</v>
      </c>
      <c r="DC78" s="137">
        <v>87314.058424555435</v>
      </c>
      <c r="DD78" s="137">
        <v>87539.140814379251</v>
      </c>
      <c r="DE78" s="137">
        <v>87765.66151291487</v>
      </c>
      <c r="DF78" s="137">
        <v>88016.503463133995</v>
      </c>
      <c r="DG78" s="137">
        <v>88223.420037111093</v>
      </c>
      <c r="DH78" s="137">
        <v>88440.634170431382</v>
      </c>
      <c r="DI78" s="137">
        <v>88635.859314959947</v>
      </c>
      <c r="DJ78" s="137">
        <v>88863.428906319459</v>
      </c>
      <c r="DK78" s="137">
        <v>89070.963546470943</v>
      </c>
      <c r="DL78" s="137">
        <v>89260.222319157328</v>
      </c>
      <c r="DM78" s="137">
        <v>89448.204216776663</v>
      </c>
      <c r="DN78" s="137">
        <v>89630.575560060795</v>
      </c>
      <c r="DO78" s="137">
        <v>89832.345401745057</v>
      </c>
      <c r="DP78" s="137">
        <f>(G_Kohorte_F!DP78+G_Kohorte_M!DP78)/2</f>
        <v>90028.629927431524</v>
      </c>
      <c r="DQ78" s="137">
        <f>(G_Kohorte_F!DQ78+G_Kohorte_M!DQ78)/2</f>
        <v>90206.148628318129</v>
      </c>
      <c r="DR78" s="137">
        <f>(G_Kohorte_F!DR78+G_Kohorte_M!DR78)/2</f>
        <v>90394.297084689795</v>
      </c>
      <c r="DS78" s="137">
        <f>(G_Kohorte_F!DS78+G_Kohorte_M!DS78)/2</f>
        <v>90568.224889568533</v>
      </c>
      <c r="DT78" s="137">
        <f>(G_Kohorte_F!DT78+G_Kohorte_M!DT78)/2</f>
        <v>90751.371648304979</v>
      </c>
      <c r="DU78" s="137">
        <f>(G_Kohorte_F!DU78+G_Kohorte_M!DU78)/2</f>
        <v>90930.937643862679</v>
      </c>
    </row>
    <row r="79" spans="1:125">
      <c r="A79" s="2348">
        <v>77</v>
      </c>
      <c r="B79" s="137"/>
      <c r="C79" s="137"/>
      <c r="D79" s="137"/>
      <c r="E79" s="137"/>
      <c r="F79" s="137"/>
      <c r="G79" s="137"/>
      <c r="H79" s="137"/>
      <c r="I79" s="137"/>
      <c r="J79" s="137"/>
      <c r="K79" s="137"/>
      <c r="L79" s="137"/>
      <c r="M79" s="137"/>
      <c r="N79" s="137"/>
      <c r="O79" s="137"/>
      <c r="P79" s="137"/>
      <c r="Q79" s="137"/>
      <c r="R79" s="137"/>
      <c r="S79" s="137"/>
      <c r="T79" s="137"/>
      <c r="U79" s="137"/>
      <c r="V79" s="137"/>
      <c r="W79" s="2342">
        <v>44129.5</v>
      </c>
      <c r="X79" s="2342">
        <v>45215.5</v>
      </c>
      <c r="Y79" s="137">
        <v>45713.817590372433</v>
      </c>
      <c r="Z79" s="137">
        <v>47627.816379097603</v>
      </c>
      <c r="AA79" s="137">
        <v>48409.565035598396</v>
      </c>
      <c r="AB79" s="137">
        <v>49310.040375128941</v>
      </c>
      <c r="AC79" s="137">
        <v>50136.94712006404</v>
      </c>
      <c r="AD79" s="137">
        <v>50836.528755464053</v>
      </c>
      <c r="AE79" s="137">
        <v>51341.451515208806</v>
      </c>
      <c r="AF79" s="137">
        <v>52725.438832587315</v>
      </c>
      <c r="AG79" s="137">
        <v>53657.102213437101</v>
      </c>
      <c r="AH79" s="137">
        <v>54589.457787071355</v>
      </c>
      <c r="AI79" s="137">
        <v>55454.644145449405</v>
      </c>
      <c r="AJ79" s="137">
        <v>57024.722174935108</v>
      </c>
      <c r="AK79" s="137">
        <v>57768.407997277551</v>
      </c>
      <c r="AL79" s="137">
        <v>58859.373028981034</v>
      </c>
      <c r="AM79" s="137">
        <v>59911.634813666446</v>
      </c>
      <c r="AN79" s="137">
        <v>60777.058952835985</v>
      </c>
      <c r="AO79" s="137">
        <v>61147.717763921537</v>
      </c>
      <c r="AP79" s="137">
        <v>61545.935694351938</v>
      </c>
      <c r="AQ79" s="137">
        <v>61792.778591185706</v>
      </c>
      <c r="AR79" s="137">
        <v>62134.08948320389</v>
      </c>
      <c r="AS79" s="137">
        <v>61656.380940699113</v>
      </c>
      <c r="AT79" s="137">
        <v>60886.686700615166</v>
      </c>
      <c r="AU79" s="137">
        <v>59852.997867570899</v>
      </c>
      <c r="AV79" s="137">
        <v>59972.403921309422</v>
      </c>
      <c r="AW79" s="137">
        <v>60809.109563356506</v>
      </c>
      <c r="AX79" s="137">
        <v>62270.611910210006</v>
      </c>
      <c r="AY79" s="137">
        <v>63640.134664440535</v>
      </c>
      <c r="AZ79" s="137">
        <v>63757.349586222816</v>
      </c>
      <c r="BA79" s="137">
        <v>63876.210030738053</v>
      </c>
      <c r="BB79" s="137">
        <v>64547.120955937775</v>
      </c>
      <c r="BC79" s="137">
        <v>64907.765824387185</v>
      </c>
      <c r="BD79" s="137">
        <v>65399.964410901521</v>
      </c>
      <c r="BE79" s="137">
        <v>65779.863788077695</v>
      </c>
      <c r="BF79" s="137">
        <v>66364.83677997491</v>
      </c>
      <c r="BG79" s="137">
        <v>66768.045154473832</v>
      </c>
      <c r="BH79" s="137">
        <v>67456.588498621917</v>
      </c>
      <c r="BI79" s="137">
        <v>67913.78265989403</v>
      </c>
      <c r="BJ79" s="137">
        <v>68467.217506702407</v>
      </c>
      <c r="BK79" s="137">
        <v>69064.963897436799</v>
      </c>
      <c r="BL79" s="137">
        <v>69803.758976235433</v>
      </c>
      <c r="BM79" s="137">
        <v>70472.420246788417</v>
      </c>
      <c r="BN79" s="137">
        <v>71102.972995280419</v>
      </c>
      <c r="BO79" s="137">
        <v>71637.07965951151</v>
      </c>
      <c r="BP79" s="137">
        <v>72166.592023704477</v>
      </c>
      <c r="BQ79" s="137">
        <v>72645.022597797579</v>
      </c>
      <c r="BR79" s="137">
        <v>73108.731575849641</v>
      </c>
      <c r="BS79" s="137">
        <v>73462.880310783919</v>
      </c>
      <c r="BT79" s="137">
        <v>73898.21489606089</v>
      </c>
      <c r="BU79" s="137">
        <v>74268.802656193729</v>
      </c>
      <c r="BV79" s="137">
        <v>74726.898371095536</v>
      </c>
      <c r="BW79" s="137">
        <v>75146.214518152323</v>
      </c>
      <c r="BX79" s="137">
        <v>75586.560630617867</v>
      </c>
      <c r="BY79" s="137">
        <v>76031.268492340198</v>
      </c>
      <c r="BZ79" s="137">
        <v>76569.242616654024</v>
      </c>
      <c r="CA79" s="137">
        <v>77025.582708261645</v>
      </c>
      <c r="CB79" s="137">
        <v>77419.566105971098</v>
      </c>
      <c r="CC79" s="137">
        <v>77855.964249615703</v>
      </c>
      <c r="CD79" s="137">
        <v>78268.168120255112</v>
      </c>
      <c r="CE79" s="137">
        <v>78659.202880316894</v>
      </c>
      <c r="CF79" s="137">
        <v>79082.296356779116</v>
      </c>
      <c r="CG79" s="137">
        <v>79474.031861298936</v>
      </c>
      <c r="CH79" s="137">
        <v>79857.865149593214</v>
      </c>
      <c r="CI79" s="137">
        <v>80279.001593187553</v>
      </c>
      <c r="CJ79" s="137">
        <v>80608.327268434135</v>
      </c>
      <c r="CK79" s="137">
        <v>80966.777251060004</v>
      </c>
      <c r="CL79" s="137">
        <v>81367.397170850178</v>
      </c>
      <c r="CM79" s="137">
        <v>81699.309695827134</v>
      </c>
      <c r="CN79" s="137">
        <v>82054.444389732365</v>
      </c>
      <c r="CO79" s="137">
        <v>82400.128116260632</v>
      </c>
      <c r="CP79" s="137">
        <v>82741.572029387462</v>
      </c>
      <c r="CQ79" s="137">
        <v>83069.669319153123</v>
      </c>
      <c r="CR79" s="137">
        <v>83362.728674493832</v>
      </c>
      <c r="CS79" s="137">
        <v>83689.482603955228</v>
      </c>
      <c r="CT79" s="137">
        <v>83981.137811192835</v>
      </c>
      <c r="CU79" s="137">
        <v>84274.481886300578</v>
      </c>
      <c r="CV79" s="137">
        <v>84547.629043773166</v>
      </c>
      <c r="CW79" s="137">
        <v>84821.908176712313</v>
      </c>
      <c r="CX79" s="137">
        <v>85111.266034609027</v>
      </c>
      <c r="CY79" s="137">
        <v>85364.28597078743</v>
      </c>
      <c r="CZ79" s="137">
        <v>85617.585574518656</v>
      </c>
      <c r="DA79" s="137">
        <v>85860.187735391664</v>
      </c>
      <c r="DB79" s="137">
        <v>86133.191543199326</v>
      </c>
      <c r="DC79" s="137">
        <v>86385.28929688636</v>
      </c>
      <c r="DD79" s="137">
        <v>86624.303761708055</v>
      </c>
      <c r="DE79" s="137">
        <v>86864.572941484774</v>
      </c>
      <c r="DF79" s="137">
        <v>87128.722418863181</v>
      </c>
      <c r="DG79" s="137">
        <v>87349.143167754752</v>
      </c>
      <c r="DH79" s="137">
        <v>87579.617652481946</v>
      </c>
      <c r="DI79" s="137">
        <v>87788.077846494038</v>
      </c>
      <c r="DJ79" s="137">
        <v>88028.386493578757</v>
      </c>
      <c r="DK79" s="137">
        <v>88248.699072327116</v>
      </c>
      <c r="DL79" s="137">
        <v>88450.709447322093</v>
      </c>
      <c r="DM79" s="137">
        <v>88651.217472392847</v>
      </c>
      <c r="DN79" s="137">
        <v>88846.025502866323</v>
      </c>
      <c r="DO79" s="137">
        <v>89059.853899095731</v>
      </c>
      <c r="DP79" s="137">
        <f>(G_Kohorte_F!DP79+G_Kohorte_M!DP79)/2</f>
        <v>89268.080877817367</v>
      </c>
      <c r="DQ79" s="137">
        <f>(G_Kohorte_F!DQ79+G_Kohorte_M!DQ79)/2</f>
        <v>89457.508476899995</v>
      </c>
      <c r="DR79" s="137">
        <f>(G_Kohorte_F!DR79+G_Kohorte_M!DR79)/2</f>
        <v>89657.269902880187</v>
      </c>
      <c r="DS79" s="137">
        <f>(G_Kohorte_F!DS79+G_Kohorte_M!DS79)/2</f>
        <v>89842.795691495121</v>
      </c>
      <c r="DT79" s="137">
        <f>(G_Kohorte_F!DT79+G_Kohorte_M!DT79)/2</f>
        <v>90037.269002911635</v>
      </c>
      <c r="DU79" s="137">
        <f>(G_Kohorte_F!DU79+G_Kohorte_M!DU79)/2</f>
        <v>90228.017521866583</v>
      </c>
    </row>
    <row r="80" spans="1:125">
      <c r="A80" s="2348">
        <v>78</v>
      </c>
      <c r="B80" s="137"/>
      <c r="C80" s="137"/>
      <c r="D80" s="137"/>
      <c r="E80" s="137"/>
      <c r="F80" s="137"/>
      <c r="G80" s="137"/>
      <c r="H80" s="137"/>
      <c r="I80" s="137"/>
      <c r="J80" s="137"/>
      <c r="K80" s="137"/>
      <c r="L80" s="137"/>
      <c r="M80" s="137"/>
      <c r="N80" s="137"/>
      <c r="O80" s="137"/>
      <c r="P80" s="137"/>
      <c r="Q80" s="137"/>
      <c r="R80" s="137"/>
      <c r="S80" s="137"/>
      <c r="T80" s="137"/>
      <c r="U80" s="137"/>
      <c r="V80" s="137"/>
      <c r="W80" s="2342">
        <v>42042</v>
      </c>
      <c r="X80" s="2342">
        <v>43172.5</v>
      </c>
      <c r="Y80" s="137">
        <v>43715.085774258594</v>
      </c>
      <c r="Z80" s="137">
        <v>45595.04632466285</v>
      </c>
      <c r="AA80" s="137">
        <v>46343.98855087901</v>
      </c>
      <c r="AB80" s="137">
        <v>47296.30229256129</v>
      </c>
      <c r="AC80" s="137">
        <v>48137.195376183161</v>
      </c>
      <c r="AD80" s="137">
        <v>48848.099012974577</v>
      </c>
      <c r="AE80" s="137">
        <v>49388.058788811933</v>
      </c>
      <c r="AF80" s="137">
        <v>50742.311741514146</v>
      </c>
      <c r="AG80" s="137">
        <v>51650.785397109161</v>
      </c>
      <c r="AH80" s="137">
        <v>52614.752841757982</v>
      </c>
      <c r="AI80" s="137">
        <v>53474.544940697742</v>
      </c>
      <c r="AJ80" s="137">
        <v>55045.511930572378</v>
      </c>
      <c r="AK80" s="137">
        <v>55774.859930027014</v>
      </c>
      <c r="AL80" s="137">
        <v>56965.302714244128</v>
      </c>
      <c r="AM80" s="137">
        <v>57975.415776131631</v>
      </c>
      <c r="AN80" s="137">
        <v>58874.308321232907</v>
      </c>
      <c r="AO80" s="137">
        <v>59244.84572581519</v>
      </c>
      <c r="AP80" s="137">
        <v>59627.858136402421</v>
      </c>
      <c r="AQ80" s="137">
        <v>59902.780730635481</v>
      </c>
      <c r="AR80" s="137">
        <v>60250.621899426187</v>
      </c>
      <c r="AS80" s="137">
        <v>59624.346695045751</v>
      </c>
      <c r="AT80" s="137">
        <v>58844.548388098869</v>
      </c>
      <c r="AU80" s="137">
        <v>57891.760005720353</v>
      </c>
      <c r="AV80" s="137">
        <v>58040.419282892617</v>
      </c>
      <c r="AW80" s="137">
        <v>58882.598592335227</v>
      </c>
      <c r="AX80" s="137">
        <v>60329.87837785991</v>
      </c>
      <c r="AY80" s="137">
        <v>61690.550423981011</v>
      </c>
      <c r="AZ80" s="137">
        <v>61838.822107180837</v>
      </c>
      <c r="BA80" s="137">
        <v>61987.996509831763</v>
      </c>
      <c r="BB80" s="137">
        <v>62671.188180622295</v>
      </c>
      <c r="BC80" s="137">
        <v>63053.678954030416</v>
      </c>
      <c r="BD80" s="137">
        <v>63562.739207974533</v>
      </c>
      <c r="BE80" s="137">
        <v>63963.108286648407</v>
      </c>
      <c r="BF80" s="137">
        <v>64562.531602812931</v>
      </c>
      <c r="BG80" s="137">
        <v>64986.025008337216</v>
      </c>
      <c r="BH80" s="137">
        <v>65685.948296142073</v>
      </c>
      <c r="BI80" s="137">
        <v>66161.029644568611</v>
      </c>
      <c r="BJ80" s="137">
        <v>66729.870077924352</v>
      </c>
      <c r="BK80" s="137">
        <v>67341.925720178886</v>
      </c>
      <c r="BL80" s="137">
        <v>68091.471760641187</v>
      </c>
      <c r="BM80" s="137">
        <v>68772.568767760895</v>
      </c>
      <c r="BN80" s="137">
        <v>69416.723080982134</v>
      </c>
      <c r="BO80" s="137">
        <v>69966.65006591889</v>
      </c>
      <c r="BP80" s="137">
        <v>70512.39926254045</v>
      </c>
      <c r="BQ80" s="137">
        <v>71007.946257859207</v>
      </c>
      <c r="BR80" s="137">
        <v>71489.178641501145</v>
      </c>
      <c r="BS80" s="137">
        <v>71863.2793256648</v>
      </c>
      <c r="BT80" s="137">
        <v>72316.455491409593</v>
      </c>
      <c r="BU80" s="137">
        <v>72706.255769714175</v>
      </c>
      <c r="BV80" s="137">
        <v>73181.354955422896</v>
      </c>
      <c r="BW80" s="137">
        <v>73618.539124658113</v>
      </c>
      <c r="BX80" s="137">
        <v>74076.018002817844</v>
      </c>
      <c r="BY80" s="137">
        <v>74537.581115518609</v>
      </c>
      <c r="BZ80" s="137">
        <v>75090.474567739395</v>
      </c>
      <c r="CA80" s="137">
        <v>75563.361405463424</v>
      </c>
      <c r="CB80" s="137">
        <v>75975.075560583093</v>
      </c>
      <c r="CC80" s="137">
        <v>76427.881745217543</v>
      </c>
      <c r="CD80" s="137">
        <v>76856.922023983047</v>
      </c>
      <c r="CE80" s="137">
        <v>77265.075208043359</v>
      </c>
      <c r="CF80" s="137">
        <v>77704.428423436242</v>
      </c>
      <c r="CG80" s="137">
        <v>78112.977851506264</v>
      </c>
      <c r="CH80" s="137">
        <v>78513.525999219826</v>
      </c>
      <c r="CI80" s="137">
        <v>78950.578268767917</v>
      </c>
      <c r="CJ80" s="137">
        <v>79297.264504982537</v>
      </c>
      <c r="CK80" s="137">
        <v>79672.411641792714</v>
      </c>
      <c r="CL80" s="137">
        <v>80088.779163899831</v>
      </c>
      <c r="CM80" s="137">
        <v>80437.446429357078</v>
      </c>
      <c r="CN80" s="137">
        <v>80808.795863223524</v>
      </c>
      <c r="CO80" s="137">
        <v>81170.513098037016</v>
      </c>
      <c r="CP80" s="137">
        <v>81528.017115203576</v>
      </c>
      <c r="CQ80" s="137">
        <v>81872.125271145662</v>
      </c>
      <c r="CR80" s="137">
        <v>82181.606466267316</v>
      </c>
      <c r="CS80" s="137">
        <v>82524.013455006309</v>
      </c>
      <c r="CT80" s="137">
        <v>82831.666266409375</v>
      </c>
      <c r="CU80" s="137">
        <v>83140.747326800541</v>
      </c>
      <c r="CV80" s="137">
        <v>83429.708836450809</v>
      </c>
      <c r="CW80" s="137">
        <v>83719.664946626261</v>
      </c>
      <c r="CX80" s="137">
        <v>84024.208609641224</v>
      </c>
      <c r="CY80" s="137">
        <v>84292.754902649831</v>
      </c>
      <c r="CZ80" s="137">
        <v>84561.28060055674</v>
      </c>
      <c r="DA80" s="137">
        <v>84819.101066738862</v>
      </c>
      <c r="DB80" s="137">
        <v>85106.689031460555</v>
      </c>
      <c r="DC80" s="137">
        <v>85373.515422924203</v>
      </c>
      <c r="DD80" s="137">
        <v>85627.154669494703</v>
      </c>
      <c r="DE80" s="137">
        <v>85881.866949130053</v>
      </c>
      <c r="DF80" s="137">
        <v>86159.997804516403</v>
      </c>
      <c r="DG80" s="137">
        <v>86394.635676362333</v>
      </c>
      <c r="DH80" s="137">
        <v>86639.077399811969</v>
      </c>
      <c r="DI80" s="137">
        <v>86861.497386400995</v>
      </c>
      <c r="DJ80" s="137">
        <v>87115.241374347082</v>
      </c>
      <c r="DK80" s="137">
        <v>87349.047651916771</v>
      </c>
      <c r="DL80" s="137">
        <v>87564.540380680846</v>
      </c>
      <c r="DM80" s="137">
        <v>87778.30284099339</v>
      </c>
      <c r="DN80" s="137">
        <v>87986.281887745397</v>
      </c>
      <c r="DO80" s="137">
        <v>88212.884146497527</v>
      </c>
      <c r="DP80" s="137">
        <f>(G_Kohorte_F!DP80+G_Kohorte_M!DP80)/2</f>
        <v>88433.77280613633</v>
      </c>
      <c r="DQ80" s="137">
        <f>(G_Kohorte_F!DQ80+G_Kohorte_M!DQ80)/2</f>
        <v>88635.841322547843</v>
      </c>
      <c r="DR80" s="137">
        <f>(G_Kohorte_F!DR80+G_Kohorte_M!DR80)/2</f>
        <v>88847.935292713024</v>
      </c>
      <c r="DS80" s="137">
        <f>(G_Kohorte_F!DS80+G_Kohorte_M!DS80)/2</f>
        <v>89045.790209060127</v>
      </c>
      <c r="DT80" s="137">
        <f>(G_Kohorte_F!DT80+G_Kohorte_M!DT80)/2</f>
        <v>89252.310013067268</v>
      </c>
      <c r="DU80" s="137">
        <f>(G_Kohorte_F!DU80+G_Kohorte_M!DU80)/2</f>
        <v>89454.961021232899</v>
      </c>
    </row>
    <row r="81" spans="1:125">
      <c r="A81" s="2348">
        <v>79</v>
      </c>
      <c r="B81" s="137"/>
      <c r="C81" s="137"/>
      <c r="D81" s="137"/>
      <c r="E81" s="137"/>
      <c r="F81" s="137"/>
      <c r="G81" s="137"/>
      <c r="H81" s="137"/>
      <c r="I81" s="137"/>
      <c r="J81" s="137"/>
      <c r="K81" s="137"/>
      <c r="L81" s="137"/>
      <c r="M81" s="137"/>
      <c r="N81" s="137"/>
      <c r="O81" s="137"/>
      <c r="P81" s="137"/>
      <c r="Q81" s="137"/>
      <c r="R81" s="137"/>
      <c r="S81" s="137"/>
      <c r="T81" s="137"/>
      <c r="U81" s="137"/>
      <c r="V81" s="137"/>
      <c r="W81" s="2342">
        <v>39916</v>
      </c>
      <c r="X81" s="2342">
        <v>41097.5</v>
      </c>
      <c r="Y81" s="137">
        <v>41618.361778090126</v>
      </c>
      <c r="Z81" s="137">
        <v>43413.752680934303</v>
      </c>
      <c r="AA81" s="137">
        <v>44222.440684752975</v>
      </c>
      <c r="AB81" s="137">
        <v>45198.143732492754</v>
      </c>
      <c r="AC81" s="137">
        <v>46051.585699401912</v>
      </c>
      <c r="AD81" s="137">
        <v>46777.998206080258</v>
      </c>
      <c r="AE81" s="137">
        <v>47273.899176206542</v>
      </c>
      <c r="AF81" s="137">
        <v>48604.55359258785</v>
      </c>
      <c r="AG81" s="137">
        <v>49554.080767504856</v>
      </c>
      <c r="AH81" s="137">
        <v>50492.53128619639</v>
      </c>
      <c r="AI81" s="137">
        <v>51360.61695169672</v>
      </c>
      <c r="AJ81" s="137">
        <v>52902.779648256168</v>
      </c>
      <c r="AK81" s="137">
        <v>53755.762305659147</v>
      </c>
      <c r="AL81" s="137">
        <v>54861.470001018752</v>
      </c>
      <c r="AM81" s="137">
        <v>55929.568657924785</v>
      </c>
      <c r="AN81" s="137">
        <v>56787.331765195122</v>
      </c>
      <c r="AO81" s="137">
        <v>57192.207692312935</v>
      </c>
      <c r="AP81" s="137">
        <v>57595.239539503906</v>
      </c>
      <c r="AQ81" s="137">
        <v>57875.887573958506</v>
      </c>
      <c r="AR81" s="137">
        <v>58075.368825831283</v>
      </c>
      <c r="AS81" s="137">
        <v>57474.110807736797</v>
      </c>
      <c r="AT81" s="137">
        <v>56723.637675614809</v>
      </c>
      <c r="AU81" s="137">
        <v>55840.763374310845</v>
      </c>
      <c r="AV81" s="137">
        <v>56018.101748857371</v>
      </c>
      <c r="AW81" s="137">
        <v>56864.161061516046</v>
      </c>
      <c r="AX81" s="137">
        <v>58294.729033346623</v>
      </c>
      <c r="AY81" s="137">
        <v>59644.220481939556</v>
      </c>
      <c r="AZ81" s="137">
        <v>59823.158856281414</v>
      </c>
      <c r="BA81" s="137">
        <v>60002.312883927094</v>
      </c>
      <c r="BB81" s="137">
        <v>60696.670473529914</v>
      </c>
      <c r="BC81" s="137">
        <v>61100.40910249274</v>
      </c>
      <c r="BD81" s="137">
        <v>61625.581280246734</v>
      </c>
      <c r="BE81" s="137">
        <v>62045.88295157798</v>
      </c>
      <c r="BF81" s="137">
        <v>62658.948548458851</v>
      </c>
      <c r="BG81" s="137">
        <v>63102.391569699721</v>
      </c>
      <c r="BH81" s="137">
        <v>63812.804219247082</v>
      </c>
      <c r="BI81" s="137">
        <v>64305.274259984006</v>
      </c>
      <c r="BJ81" s="137">
        <v>64888.915562725146</v>
      </c>
      <c r="BK81" s="137">
        <v>65514.648102781939</v>
      </c>
      <c r="BL81" s="137">
        <v>66274.138498399101</v>
      </c>
      <c r="BM81" s="137">
        <v>66967.007838469668</v>
      </c>
      <c r="BN81" s="137">
        <v>67624.196364130767</v>
      </c>
      <c r="BO81" s="137">
        <v>68189.556062835152</v>
      </c>
      <c r="BP81" s="137">
        <v>68751.200101347946</v>
      </c>
      <c r="BQ81" s="137">
        <v>69263.628922945005</v>
      </c>
      <c r="BR81" s="137">
        <v>69762.206853622425</v>
      </c>
      <c r="BS81" s="137">
        <v>70156.27609561196</v>
      </c>
      <c r="BT81" s="137">
        <v>70627.21924707375</v>
      </c>
      <c r="BU81" s="137">
        <v>71036.283259184478</v>
      </c>
      <c r="BV81" s="137">
        <v>71528.33526606641</v>
      </c>
      <c r="BW81" s="137">
        <v>71983.424235765924</v>
      </c>
      <c r="BX81" s="137">
        <v>72458.066316291515</v>
      </c>
      <c r="BY81" s="137">
        <v>72936.533872334694</v>
      </c>
      <c r="BZ81" s="137">
        <v>73504.290268418263</v>
      </c>
      <c r="CA81" s="137">
        <v>73993.811133278621</v>
      </c>
      <c r="CB81" s="137">
        <v>74423.457668954114</v>
      </c>
      <c r="CC81" s="137">
        <v>74892.827875979405</v>
      </c>
      <c r="CD81" s="137">
        <v>75338.919094225406</v>
      </c>
      <c r="CE81" s="137">
        <v>75764.45663046572</v>
      </c>
      <c r="CF81" s="137">
        <v>76220.308433375438</v>
      </c>
      <c r="CG81" s="137">
        <v>76645.977113649424</v>
      </c>
      <c r="CH81" s="137">
        <v>77063.57239220498</v>
      </c>
      <c r="CI81" s="137">
        <v>77516.841032181139</v>
      </c>
      <c r="CJ81" s="137">
        <v>77881.328892205434</v>
      </c>
      <c r="CK81" s="137">
        <v>78273.591962377221</v>
      </c>
      <c r="CL81" s="137">
        <v>78706.083386254992</v>
      </c>
      <c r="CM81" s="137">
        <v>79071.987948828319</v>
      </c>
      <c r="CN81" s="137">
        <v>79460.019101373124</v>
      </c>
      <c r="CO81" s="137">
        <v>79838.256392305935</v>
      </c>
      <c r="CP81" s="137">
        <v>80212.330391294774</v>
      </c>
      <c r="CQ81" s="137">
        <v>80572.985130030167</v>
      </c>
      <c r="CR81" s="137">
        <v>80899.481523859664</v>
      </c>
      <c r="CS81" s="137">
        <v>81258.100193089907</v>
      </c>
      <c r="CT81" s="137">
        <v>81582.362943715707</v>
      </c>
      <c r="CU81" s="137">
        <v>81907.798287616868</v>
      </c>
      <c r="CV81" s="137">
        <v>82213.223433492298</v>
      </c>
      <c r="CW81" s="137">
        <v>82519.515426814949</v>
      </c>
      <c r="CX81" s="137">
        <v>82839.888891174603</v>
      </c>
      <c r="CY81" s="137">
        <v>83124.656927825738</v>
      </c>
      <c r="CZ81" s="137">
        <v>83409.104851114796</v>
      </c>
      <c r="DA81" s="137">
        <v>83682.859776799742</v>
      </c>
      <c r="DB81" s="137">
        <v>83985.715731415024</v>
      </c>
      <c r="DC81" s="137">
        <v>84267.986452458543</v>
      </c>
      <c r="DD81" s="137">
        <v>84536.981068645691</v>
      </c>
      <c r="DE81" s="137">
        <v>84806.870483480801</v>
      </c>
      <c r="DF81" s="137">
        <v>85099.694486567198</v>
      </c>
      <c r="DG81" s="137">
        <v>85349.306624225777</v>
      </c>
      <c r="DH81" s="137">
        <v>85608.467162071393</v>
      </c>
      <c r="DI81" s="137">
        <v>85845.619890666552</v>
      </c>
      <c r="DJ81" s="137">
        <v>86113.541115317683</v>
      </c>
      <c r="DK81" s="137">
        <v>86361.606289693707</v>
      </c>
      <c r="DL81" s="137">
        <v>86591.364746047155</v>
      </c>
      <c r="DM81" s="137">
        <v>86819.163347519279</v>
      </c>
      <c r="DN81" s="137">
        <v>87041.103180517763</v>
      </c>
      <c r="DO81" s="137">
        <v>87281.248563585017</v>
      </c>
      <c r="DP81" s="137">
        <f>(G_Kohorte_F!DP81+G_Kohorte_M!DP81)/2</f>
        <v>87515.573759139777</v>
      </c>
      <c r="DQ81" s="137">
        <f>(G_Kohorte_F!DQ81+G_Kohorte_M!DQ81)/2</f>
        <v>87731.073692057238</v>
      </c>
      <c r="DR81" s="137">
        <f>(G_Kohorte_F!DR81+G_Kohorte_M!DR81)/2</f>
        <v>87956.277604571747</v>
      </c>
      <c r="DS81" s="137">
        <f>(G_Kohorte_F!DS81+G_Kohorte_M!DS81)/2</f>
        <v>88167.253368366786</v>
      </c>
      <c r="DT81" s="137">
        <f>(G_Kohorte_F!DT81+G_Kohorte_M!DT81)/2</f>
        <v>88386.599666119437</v>
      </c>
      <c r="DU81" s="137">
        <f>(G_Kohorte_F!DU81+G_Kohorte_M!DU81)/2</f>
        <v>88601.934249994054</v>
      </c>
    </row>
    <row r="82" spans="1:125">
      <c r="A82" s="2348">
        <v>80</v>
      </c>
      <c r="B82" s="137"/>
      <c r="C82" s="137"/>
      <c r="D82" s="137"/>
      <c r="E82" s="137"/>
      <c r="F82" s="137"/>
      <c r="G82" s="137"/>
      <c r="H82" s="137"/>
      <c r="I82" s="137"/>
      <c r="J82" s="137"/>
      <c r="K82" s="137"/>
      <c r="L82" s="137"/>
      <c r="M82" s="137"/>
      <c r="N82" s="137"/>
      <c r="O82" s="137"/>
      <c r="P82" s="137"/>
      <c r="Q82" s="137"/>
      <c r="R82" s="137"/>
      <c r="S82" s="137"/>
      <c r="T82" s="137"/>
      <c r="U82" s="137"/>
      <c r="V82" s="137"/>
      <c r="W82" s="2342">
        <v>37761.5</v>
      </c>
      <c r="X82" s="2342">
        <v>38911</v>
      </c>
      <c r="Y82" s="137">
        <v>39396.398085455636</v>
      </c>
      <c r="Z82" s="137">
        <v>41215.59577399923</v>
      </c>
      <c r="AA82" s="137">
        <v>42013.096047177212</v>
      </c>
      <c r="AB82" s="137">
        <v>43016.199875628678</v>
      </c>
      <c r="AC82" s="137">
        <v>43916.378948035286</v>
      </c>
      <c r="AD82" s="137">
        <v>44571.536588512696</v>
      </c>
      <c r="AE82" s="137">
        <v>45053.857047198981</v>
      </c>
      <c r="AF82" s="137">
        <v>46399.296904509829</v>
      </c>
      <c r="AG82" s="137">
        <v>47320.012722176514</v>
      </c>
      <c r="AH82" s="137">
        <v>48260.240409813567</v>
      </c>
      <c r="AI82" s="137">
        <v>49069.24011101832</v>
      </c>
      <c r="AJ82" s="137">
        <v>50704.118447428125</v>
      </c>
      <c r="AK82" s="137">
        <v>51501.083781822272</v>
      </c>
      <c r="AL82" s="137">
        <v>52667.61620305921</v>
      </c>
      <c r="AM82" s="137">
        <v>53704.010046209689</v>
      </c>
      <c r="AN82" s="137">
        <v>54559.041730195691</v>
      </c>
      <c r="AO82" s="137">
        <v>55009.25728256577</v>
      </c>
      <c r="AP82" s="137">
        <v>55417.87732920397</v>
      </c>
      <c r="AQ82" s="137">
        <v>55571.403796777187</v>
      </c>
      <c r="AR82" s="137">
        <v>55746.450705912153</v>
      </c>
      <c r="AS82" s="137">
        <v>55186.178295984508</v>
      </c>
      <c r="AT82" s="137">
        <v>54502.432968804918</v>
      </c>
      <c r="AU82" s="137">
        <v>53690.567502384954</v>
      </c>
      <c r="AV82" s="137">
        <v>53895.886202476904</v>
      </c>
      <c r="AW82" s="137">
        <v>54743.996509404446</v>
      </c>
      <c r="AX82" s="137">
        <v>56155.028728632635</v>
      </c>
      <c r="AY82" s="137">
        <v>57490.68907188726</v>
      </c>
      <c r="AZ82" s="137">
        <v>57699.791207606409</v>
      </c>
      <c r="BA82" s="137">
        <v>57908.482477694517</v>
      </c>
      <c r="BB82" s="137">
        <v>58612.695502785326</v>
      </c>
      <c r="BC82" s="137">
        <v>59036.94394629357</v>
      </c>
      <c r="BD82" s="137">
        <v>59577.319974706785</v>
      </c>
      <c r="BE82" s="137">
        <v>60016.881664499859</v>
      </c>
      <c r="BF82" s="137">
        <v>60642.767131090004</v>
      </c>
      <c r="BG82" s="137">
        <v>61105.525690630064</v>
      </c>
      <c r="BH82" s="137">
        <v>61825.35682222934</v>
      </c>
      <c r="BI82" s="137">
        <v>62334.580868458943</v>
      </c>
      <c r="BJ82" s="137">
        <v>62932.269123431892</v>
      </c>
      <c r="BK82" s="137">
        <v>63570.893023629687</v>
      </c>
      <c r="BL82" s="137">
        <v>64339.346696227214</v>
      </c>
      <c r="BM82" s="137">
        <v>65043.166611166962</v>
      </c>
      <c r="BN82" s="137">
        <v>65712.674339220874</v>
      </c>
      <c r="BO82" s="137">
        <v>66292.952606815059</v>
      </c>
      <c r="BP82" s="137">
        <v>66870.028056553972</v>
      </c>
      <c r="BQ82" s="137">
        <v>67398.995686203023</v>
      </c>
      <c r="BR82" s="137">
        <v>67914.639752169809</v>
      </c>
      <c r="BS82" s="137">
        <v>68328.616619152002</v>
      </c>
      <c r="BT82" s="137">
        <v>68817.163791710875</v>
      </c>
      <c r="BU82" s="137">
        <v>69245.470288633631</v>
      </c>
      <c r="BV82" s="137">
        <v>69754.339805974683</v>
      </c>
      <c r="BW82" s="137">
        <v>70227.296953121608</v>
      </c>
      <c r="BX82" s="137">
        <v>70719.059035921106</v>
      </c>
      <c r="BY82" s="137">
        <v>71214.409491945727</v>
      </c>
      <c r="BZ82" s="137">
        <v>71796.888650342677</v>
      </c>
      <c r="CA82" s="137">
        <v>72303.065840587573</v>
      </c>
      <c r="CB82" s="137">
        <v>72750.79670736831</v>
      </c>
      <c r="CC82" s="137">
        <v>73236.832269135979</v>
      </c>
      <c r="CD82" s="137">
        <v>73700.142566036753</v>
      </c>
      <c r="CE82" s="137">
        <v>74143.291471256845</v>
      </c>
      <c r="CF82" s="137">
        <v>74615.8391140616</v>
      </c>
      <c r="CG82" s="137">
        <v>75058.900294558378</v>
      </c>
      <c r="CH82" s="137">
        <v>75493.84741406003</v>
      </c>
      <c r="CI82" s="137">
        <v>75963.602033992356</v>
      </c>
      <c r="CJ82" s="137">
        <v>76346.321437822131</v>
      </c>
      <c r="CK82" s="137">
        <v>76756.106070795999</v>
      </c>
      <c r="CL82" s="137">
        <v>77205.079811539501</v>
      </c>
      <c r="CM82" s="137">
        <v>77588.701787249884</v>
      </c>
      <c r="CN82" s="137">
        <v>77993.878101466893</v>
      </c>
      <c r="CO82" s="137">
        <v>78389.122322790252</v>
      </c>
      <c r="CP82" s="137">
        <v>78780.280688192215</v>
      </c>
      <c r="CQ82" s="137">
        <v>79158.026968731283</v>
      </c>
      <c r="CR82" s="137">
        <v>79502.150277717621</v>
      </c>
      <c r="CS82" s="137">
        <v>79877.553937602337</v>
      </c>
      <c r="CT82" s="137">
        <v>80219.062336123636</v>
      </c>
      <c r="CU82" s="137">
        <v>80561.494537015999</v>
      </c>
      <c r="CV82" s="137">
        <v>80884.063608853263</v>
      </c>
      <c r="CW82" s="137">
        <v>81207.383897198102</v>
      </c>
      <c r="CX82" s="137">
        <v>81544.263783995382</v>
      </c>
      <c r="CY82" s="137">
        <v>81845.990119451511</v>
      </c>
      <c r="CZ82" s="137">
        <v>82147.098965549434</v>
      </c>
      <c r="DA82" s="137">
        <v>82437.551141056552</v>
      </c>
      <c r="DB82" s="137">
        <v>82756.40208058813</v>
      </c>
      <c r="DC82" s="137">
        <v>83054.881764273785</v>
      </c>
      <c r="DD82" s="137">
        <v>83340.014724205976</v>
      </c>
      <c r="DE82" s="137">
        <v>83625.869374971749</v>
      </c>
      <c r="DF82" s="137">
        <v>83934.150226654558</v>
      </c>
      <c r="DG82" s="137">
        <v>84199.553701580982</v>
      </c>
      <c r="DH82" s="137">
        <v>84474.24486160028</v>
      </c>
      <c r="DI82" s="137">
        <v>84726.967956260982</v>
      </c>
      <c r="DJ82" s="137">
        <v>85009.869467049488</v>
      </c>
      <c r="DK82" s="137">
        <v>85273.024538564932</v>
      </c>
      <c r="DL82" s="137">
        <v>85517.90183409967</v>
      </c>
      <c r="DM82" s="137">
        <v>85760.588976021565</v>
      </c>
      <c r="DN82" s="137">
        <v>85997.352403023615</v>
      </c>
      <c r="DO82" s="137">
        <v>86251.881219604606</v>
      </c>
      <c r="DP82" s="137">
        <f>(G_Kohorte_F!DP82+G_Kohorte_M!DP82)/2</f>
        <v>86500.490820987761</v>
      </c>
      <c r="DQ82" s="137">
        <f>(G_Kohorte_F!DQ82+G_Kohorte_M!DQ82)/2</f>
        <v>86730.289240213431</v>
      </c>
      <c r="DR82" s="137">
        <f>(G_Kohorte_F!DR82+G_Kohorte_M!DR82)/2</f>
        <v>86969.456168189616</v>
      </c>
      <c r="DS82" s="137">
        <f>(G_Kohorte_F!DS82+G_Kohorte_M!DS82)/2</f>
        <v>87194.4234644971</v>
      </c>
      <c r="DT82" s="137">
        <f>(G_Kohorte_F!DT82+G_Kohorte_M!DT82)/2</f>
        <v>87427.454504028545</v>
      </c>
      <c r="DU82" s="137">
        <f>(G_Kohorte_F!DU82+G_Kohorte_M!DU82)/2</f>
        <v>87656.333245361253</v>
      </c>
    </row>
    <row r="83" spans="1:125">
      <c r="A83" s="2348">
        <v>81</v>
      </c>
      <c r="B83" s="137"/>
      <c r="C83" s="137"/>
      <c r="D83" s="137"/>
      <c r="E83" s="137"/>
      <c r="F83" s="137"/>
      <c r="G83" s="137"/>
      <c r="H83" s="137"/>
      <c r="I83" s="137"/>
      <c r="J83" s="137"/>
      <c r="K83" s="137"/>
      <c r="L83" s="137"/>
      <c r="M83" s="137"/>
      <c r="N83" s="137"/>
      <c r="O83" s="137"/>
      <c r="P83" s="137"/>
      <c r="Q83" s="137"/>
      <c r="R83" s="137"/>
      <c r="S83" s="137"/>
      <c r="T83" s="137"/>
      <c r="U83" s="137"/>
      <c r="V83" s="137"/>
      <c r="W83" s="2342">
        <v>35502.5</v>
      </c>
      <c r="X83" s="2342">
        <v>36552.5</v>
      </c>
      <c r="Y83" s="137">
        <v>37138.665226694597</v>
      </c>
      <c r="Z83" s="137">
        <v>38925.491445771222</v>
      </c>
      <c r="AA83" s="137">
        <v>39747.26070980067</v>
      </c>
      <c r="AB83" s="137">
        <v>40715.521594552571</v>
      </c>
      <c r="AC83" s="137">
        <v>41577.562181419074</v>
      </c>
      <c r="AD83" s="137">
        <v>42205.086552990339</v>
      </c>
      <c r="AE83" s="137">
        <v>42751.20035232231</v>
      </c>
      <c r="AF83" s="137">
        <v>44067.435303881313</v>
      </c>
      <c r="AG83" s="137">
        <v>44976.178358252801</v>
      </c>
      <c r="AH83" s="137">
        <v>45851.596341357159</v>
      </c>
      <c r="AI83" s="137">
        <v>46760.800897301422</v>
      </c>
      <c r="AJ83" s="137">
        <v>48268.914400747803</v>
      </c>
      <c r="AK83" s="137">
        <v>49126.570573862671</v>
      </c>
      <c r="AL83" s="137">
        <v>50260.887436108605</v>
      </c>
      <c r="AM83" s="137">
        <v>51316.212236886233</v>
      </c>
      <c r="AN83" s="137">
        <v>52216.224961631924</v>
      </c>
      <c r="AO83" s="137">
        <v>52678.782661100959</v>
      </c>
      <c r="AP83" s="137">
        <v>52918.479379429875</v>
      </c>
      <c r="AQ83" s="137">
        <v>53060.804478902894</v>
      </c>
      <c r="AR83" s="137">
        <v>53279.82736423218</v>
      </c>
      <c r="AS83" s="137">
        <v>52784.486156778497</v>
      </c>
      <c r="AT83" s="137">
        <v>52168.312948641265</v>
      </c>
      <c r="AU83" s="137">
        <v>51428.64180037078</v>
      </c>
      <c r="AV83" s="137">
        <v>51661.105527476553</v>
      </c>
      <c r="AW83" s="137">
        <v>52509.155647788401</v>
      </c>
      <c r="AX83" s="137">
        <v>53897.41618029651</v>
      </c>
      <c r="AY83" s="137">
        <v>55216.197759835799</v>
      </c>
      <c r="AZ83" s="137">
        <v>55454.833217279884</v>
      </c>
      <c r="BA83" s="137">
        <v>55692.497865009311</v>
      </c>
      <c r="BB83" s="137">
        <v>56405.022656893954</v>
      </c>
      <c r="BC83" s="137">
        <v>56848.880541053819</v>
      </c>
      <c r="BD83" s="137">
        <v>57403.368192879949</v>
      </c>
      <c r="BE83" s="137">
        <v>57861.505380776784</v>
      </c>
      <c r="BF83" s="137">
        <v>58499.02132429061</v>
      </c>
      <c r="BG83" s="137">
        <v>58980.302310062572</v>
      </c>
      <c r="BH83" s="137">
        <v>59708.265825335067</v>
      </c>
      <c r="BI83" s="137">
        <v>60233.449706834435</v>
      </c>
      <c r="BJ83" s="137">
        <v>60844.253900337164</v>
      </c>
      <c r="BK83" s="137">
        <v>61494.800759081278</v>
      </c>
      <c r="BL83" s="137">
        <v>62271.025989174537</v>
      </c>
      <c r="BM83" s="137">
        <v>62984.784834480168</v>
      </c>
      <c r="BN83" s="137">
        <v>63665.719720034736</v>
      </c>
      <c r="BO83" s="137">
        <v>64260.252327729875</v>
      </c>
      <c r="BP83" s="137">
        <v>64852.150803460114</v>
      </c>
      <c r="BQ83" s="137">
        <v>65397.186115662364</v>
      </c>
      <c r="BR83" s="137">
        <v>65929.496676756375</v>
      </c>
      <c r="BS83" s="137">
        <v>66363.230028026854</v>
      </c>
      <c r="BT83" s="137">
        <v>66869.114072414493</v>
      </c>
      <c r="BU83" s="137">
        <v>67316.5572274429</v>
      </c>
      <c r="BV83" s="137">
        <v>67842.008791487111</v>
      </c>
      <c r="BW83" s="137">
        <v>68332.710846562724</v>
      </c>
      <c r="BX83" s="137">
        <v>68841.462801048707</v>
      </c>
      <c r="BY83" s="137">
        <v>69353.591153891874</v>
      </c>
      <c r="BZ83" s="137">
        <v>69950.552275992683</v>
      </c>
      <c r="CA83" s="137">
        <v>70473.330840883689</v>
      </c>
      <c r="CB83" s="137">
        <v>70939.239605048831</v>
      </c>
      <c r="CC83" s="137">
        <v>71441.97776228252</v>
      </c>
      <c r="CD83" s="137">
        <v>71922.6210610157</v>
      </c>
      <c r="CE83" s="137">
        <v>72383.563214911788</v>
      </c>
      <c r="CF83" s="137">
        <v>72872.955414162701</v>
      </c>
      <c r="CG83" s="137">
        <v>73333.645224143052</v>
      </c>
      <c r="CH83" s="137">
        <v>73786.217444945272</v>
      </c>
      <c r="CI83" s="137">
        <v>74272.691624094325</v>
      </c>
      <c r="CJ83" s="137">
        <v>74674.061243036878</v>
      </c>
      <c r="CK83" s="137">
        <v>75101.758970819035</v>
      </c>
      <c r="CL83" s="137">
        <v>75567.553323064087</v>
      </c>
      <c r="CM83" s="137">
        <v>75969.371930085617</v>
      </c>
      <c r="CN83" s="137">
        <v>76392.154290024031</v>
      </c>
      <c r="CO83" s="137">
        <v>76804.894877285435</v>
      </c>
      <c r="CP83" s="137">
        <v>77213.659258900851</v>
      </c>
      <c r="CQ83" s="137">
        <v>77609.055318371975</v>
      </c>
      <c r="CR83" s="137">
        <v>77971.441695893183</v>
      </c>
      <c r="CS83" s="137">
        <v>78364.223480942048</v>
      </c>
      <c r="CT83" s="137">
        <v>78723.643838790522</v>
      </c>
      <c r="CU83" s="137">
        <v>79083.748435823596</v>
      </c>
      <c r="CV83" s="137">
        <v>79424.181826194748</v>
      </c>
      <c r="CW83" s="137">
        <v>79765.265720410811</v>
      </c>
      <c r="CX83" s="137">
        <v>80119.370551801636</v>
      </c>
      <c r="CY83" s="137">
        <v>80438.844196832099</v>
      </c>
      <c r="CZ83" s="137">
        <v>80757.407033634605</v>
      </c>
      <c r="DA83" s="137">
        <v>81065.378498470614</v>
      </c>
      <c r="DB83" s="137">
        <v>81401.006293488987</v>
      </c>
      <c r="DC83" s="137">
        <v>81716.521455114489</v>
      </c>
      <c r="DD83" s="137">
        <v>82018.642080740537</v>
      </c>
      <c r="DE83" s="137">
        <v>82321.318362758844</v>
      </c>
      <c r="DF83" s="137">
        <v>82645.885226722166</v>
      </c>
      <c r="DG83" s="137">
        <v>82927.972881610287</v>
      </c>
      <c r="DH83" s="137">
        <v>83219.082371885874</v>
      </c>
      <c r="DI83" s="137">
        <v>83488.295099567738</v>
      </c>
      <c r="DJ83" s="137">
        <v>83787.056992983911</v>
      </c>
      <c r="DK83" s="137">
        <v>84066.215768955706</v>
      </c>
      <c r="DL83" s="137">
        <v>84327.152808836006</v>
      </c>
      <c r="DM83" s="137">
        <v>84585.669995483549</v>
      </c>
      <c r="DN83" s="137">
        <v>84838.211715212034</v>
      </c>
      <c r="DO83" s="137">
        <v>85108.053643268824</v>
      </c>
      <c r="DP83" s="137">
        <f>(G_Kohorte_F!DP83+G_Kohorte_M!DP83)/2</f>
        <v>85371.887308143254</v>
      </c>
      <c r="DQ83" s="137">
        <f>(G_Kohorte_F!DQ83+G_Kohorte_M!DQ83)/2</f>
        <v>85616.947618015271</v>
      </c>
      <c r="DR83" s="137">
        <f>(G_Kohorte_F!DR83+G_Kohorte_M!DR83)/2</f>
        <v>85871.025875375766</v>
      </c>
      <c r="DS83" s="137">
        <f>(G_Kohorte_F!DS83+G_Kohorte_M!DS83)/2</f>
        <v>86110.954658787872</v>
      </c>
      <c r="DT83" s="137">
        <f>(G_Kohorte_F!DT83+G_Kohorte_M!DT83)/2</f>
        <v>86358.627078055084</v>
      </c>
      <c r="DU83" s="137">
        <f>(G_Kohorte_F!DU83+G_Kohorte_M!DU83)/2</f>
        <v>86602.010520023789</v>
      </c>
    </row>
    <row r="84" spans="1:125">
      <c r="A84" s="2348">
        <v>82</v>
      </c>
      <c r="B84" s="137"/>
      <c r="C84" s="137"/>
      <c r="D84" s="137"/>
      <c r="E84" s="137"/>
      <c r="F84" s="137"/>
      <c r="G84" s="137"/>
      <c r="H84" s="137"/>
      <c r="I84" s="137"/>
      <c r="J84" s="137"/>
      <c r="K84" s="137"/>
      <c r="L84" s="137"/>
      <c r="M84" s="137"/>
      <c r="N84" s="137"/>
      <c r="O84" s="137"/>
      <c r="P84" s="137"/>
      <c r="Q84" s="137"/>
      <c r="R84" s="137"/>
      <c r="S84" s="137"/>
      <c r="T84" s="137"/>
      <c r="U84" s="137"/>
      <c r="V84" s="137"/>
      <c r="W84" s="2342">
        <v>33107</v>
      </c>
      <c r="X84" s="2342">
        <v>34207</v>
      </c>
      <c r="Y84" s="137">
        <v>34806.557448439198</v>
      </c>
      <c r="Z84" s="137">
        <v>36572.170748322795</v>
      </c>
      <c r="AA84" s="137">
        <v>37366.608082449049</v>
      </c>
      <c r="AB84" s="137">
        <v>38294.012783524879</v>
      </c>
      <c r="AC84" s="137">
        <v>39107.315838574817</v>
      </c>
      <c r="AD84" s="137">
        <v>39777.695353002142</v>
      </c>
      <c r="AE84" s="137">
        <v>40314.203735896488</v>
      </c>
      <c r="AF84" s="137">
        <v>41599.831930008811</v>
      </c>
      <c r="AG84" s="137">
        <v>42419.322406860068</v>
      </c>
      <c r="AH84" s="137">
        <v>43404.383918624662</v>
      </c>
      <c r="AI84" s="137">
        <v>44198.442186299319</v>
      </c>
      <c r="AJ84" s="137">
        <v>45740.162452222226</v>
      </c>
      <c r="AK84" s="137">
        <v>46550.79918846683</v>
      </c>
      <c r="AL84" s="137">
        <v>47720.213425262496</v>
      </c>
      <c r="AM84" s="137">
        <v>48797.455542912932</v>
      </c>
      <c r="AN84" s="137">
        <v>49730.88479578025</v>
      </c>
      <c r="AO84" s="137">
        <v>50027.90441600878</v>
      </c>
      <c r="AP84" s="137">
        <v>50245.106778211688</v>
      </c>
      <c r="AQ84" s="137">
        <v>50436.538028947325</v>
      </c>
      <c r="AR84" s="137">
        <v>50682.928650398928</v>
      </c>
      <c r="AS84" s="137">
        <v>50253.009510755393</v>
      </c>
      <c r="AT84" s="137">
        <v>49705.328221130912</v>
      </c>
      <c r="AU84" s="137">
        <v>49039.154632572565</v>
      </c>
      <c r="AV84" s="137">
        <v>49297.761477833032</v>
      </c>
      <c r="AW84" s="137">
        <v>50143.291183639507</v>
      </c>
      <c r="AX84" s="137">
        <v>51505.032657944947</v>
      </c>
      <c r="AY84" s="137">
        <v>52803.390313445154</v>
      </c>
      <c r="AZ84" s="137">
        <v>53070.767020119674</v>
      </c>
      <c r="BA84" s="137">
        <v>53336.687466514908</v>
      </c>
      <c r="BB84" s="137">
        <v>54055.690015739325</v>
      </c>
      <c r="BC84" s="137">
        <v>54518.053895168719</v>
      </c>
      <c r="BD84" s="137">
        <v>55085.463117441992</v>
      </c>
      <c r="BE84" s="137">
        <v>55561.125023802262</v>
      </c>
      <c r="BF84" s="137">
        <v>56208.829780877655</v>
      </c>
      <c r="BG84" s="137">
        <v>56707.638405331541</v>
      </c>
      <c r="BH84" s="137">
        <v>57442.179599932046</v>
      </c>
      <c r="BI84" s="137">
        <v>57982.3292081006</v>
      </c>
      <c r="BJ84" s="137">
        <v>58605.095641231921</v>
      </c>
      <c r="BK84" s="137">
        <v>59266.366670757096</v>
      </c>
      <c r="BL84" s="137">
        <v>60048.906336623084</v>
      </c>
      <c r="BM84" s="137">
        <v>60771.353341554743</v>
      </c>
      <c r="BN84" s="137">
        <v>61462.599480038014</v>
      </c>
      <c r="BO84" s="137">
        <v>62070.532203975497</v>
      </c>
      <c r="BP84" s="137">
        <v>62676.460324442342</v>
      </c>
      <c r="BQ84" s="137">
        <v>63236.928830992758</v>
      </c>
      <c r="BR84" s="137">
        <v>63785.351947930976</v>
      </c>
      <c r="BS84" s="137">
        <v>64238.573433589234</v>
      </c>
      <c r="BT84" s="137">
        <v>64761.392662522434</v>
      </c>
      <c r="BU84" s="137">
        <v>65227.756123985295</v>
      </c>
      <c r="BV84" s="137">
        <v>65769.424553011122</v>
      </c>
      <c r="BW84" s="137">
        <v>66277.634687245853</v>
      </c>
      <c r="BX84" s="137">
        <v>66803.132793804849</v>
      </c>
      <c r="BY84" s="137">
        <v>67331.824812523526</v>
      </c>
      <c r="BZ84" s="137">
        <v>67942.89599788851</v>
      </c>
      <c r="CA84" s="137">
        <v>68482.118699330691</v>
      </c>
      <c r="CB84" s="137">
        <v>68966.219788221148</v>
      </c>
      <c r="CC84" s="137">
        <v>69485.612552615406</v>
      </c>
      <c r="CD84" s="137">
        <v>69983.629415237199</v>
      </c>
      <c r="CE84" s="137">
        <v>70462.484449924028</v>
      </c>
      <c r="CF84" s="137">
        <v>70968.803694998904</v>
      </c>
      <c r="CG84" s="137">
        <v>71447.305767492944</v>
      </c>
      <c r="CH84" s="137">
        <v>71917.731134451169</v>
      </c>
      <c r="CI84" s="137">
        <v>72421.107363572257</v>
      </c>
      <c r="CJ84" s="137">
        <v>72841.525693849486</v>
      </c>
      <c r="CK84" s="137">
        <v>73287.504167009727</v>
      </c>
      <c r="CL84" s="137">
        <v>73770.42620181157</v>
      </c>
      <c r="CM84" s="137">
        <v>74190.913335878577</v>
      </c>
      <c r="CN84" s="137">
        <v>74631.753105481723</v>
      </c>
      <c r="CO84" s="137">
        <v>75062.476917988053</v>
      </c>
      <c r="CP84" s="137">
        <v>75489.371761282469</v>
      </c>
      <c r="CQ84" s="137">
        <v>75902.986420998073</v>
      </c>
      <c r="CR84" s="137">
        <v>76284.296342775531</v>
      </c>
      <c r="CS84" s="137">
        <v>76695.068174106738</v>
      </c>
      <c r="CT84" s="137">
        <v>77073.099059291679</v>
      </c>
      <c r="CU84" s="137">
        <v>77451.586967669951</v>
      </c>
      <c r="CV84" s="137">
        <v>77810.649468386662</v>
      </c>
      <c r="CW84" s="137">
        <v>78170.279918061948</v>
      </c>
      <c r="CX84" s="137">
        <v>78542.374946745898</v>
      </c>
      <c r="CY84" s="137">
        <v>78880.444772646035</v>
      </c>
      <c r="CZ84" s="137">
        <v>79217.317315911874</v>
      </c>
      <c r="DA84" s="137">
        <v>79543.698728394098</v>
      </c>
      <c r="DB84" s="137">
        <v>79896.948573859801</v>
      </c>
      <c r="DC84" s="137">
        <v>80230.397647943377</v>
      </c>
      <c r="DD84" s="137">
        <v>80550.433113567924</v>
      </c>
      <c r="DE84" s="137">
        <v>80870.867662783567</v>
      </c>
      <c r="DF84" s="137">
        <v>81212.626368149125</v>
      </c>
      <c r="DG84" s="137">
        <v>81512.381105798937</v>
      </c>
      <c r="DH84" s="137">
        <v>81820.886681546763</v>
      </c>
      <c r="DI84" s="137">
        <v>82107.605908604353</v>
      </c>
      <c r="DJ84" s="137">
        <v>82423.200053074979</v>
      </c>
      <c r="DK84" s="137">
        <v>82719.375360920356</v>
      </c>
      <c r="DL84" s="137">
        <v>82997.418513176934</v>
      </c>
      <c r="DM84" s="137">
        <v>83272.814643097954</v>
      </c>
      <c r="DN84" s="137">
        <v>83542.200164036665</v>
      </c>
      <c r="DO84" s="137">
        <v>83828.392638311081</v>
      </c>
      <c r="DP84" s="137">
        <f>(G_Kohorte_F!DP84+G_Kohorte_M!DP84)/2</f>
        <v>84108.500871473952</v>
      </c>
      <c r="DQ84" s="137">
        <f>(G_Kohorte_F!DQ84+G_Kohorte_M!DQ84)/2</f>
        <v>84369.903254987585</v>
      </c>
      <c r="DR84" s="137">
        <f>(G_Kohorte_F!DR84+G_Kohorte_M!DR84)/2</f>
        <v>84639.956731818427</v>
      </c>
      <c r="DS84" s="137">
        <f>(G_Kohorte_F!DS84+G_Kohorte_M!DS84)/2</f>
        <v>84895.937564212742</v>
      </c>
      <c r="DT84" s="137">
        <f>(G_Kohorte_F!DT84+G_Kohorte_M!DT84)/2</f>
        <v>85159.327656588255</v>
      </c>
      <c r="DU84" s="137">
        <f>(G_Kohorte_F!DU84+G_Kohorte_M!DU84)/2</f>
        <v>85418.298088849842</v>
      </c>
    </row>
    <row r="85" spans="1:125">
      <c r="A85" s="2348">
        <v>83</v>
      </c>
      <c r="B85" s="137"/>
      <c r="C85" s="137"/>
      <c r="D85" s="137"/>
      <c r="E85" s="137"/>
      <c r="F85" s="137"/>
      <c r="G85" s="137"/>
      <c r="H85" s="137"/>
      <c r="I85" s="137"/>
      <c r="J85" s="137"/>
      <c r="K85" s="137"/>
      <c r="L85" s="137"/>
      <c r="M85" s="137"/>
      <c r="N85" s="137"/>
      <c r="O85" s="137"/>
      <c r="P85" s="137"/>
      <c r="Q85" s="137"/>
      <c r="R85" s="137"/>
      <c r="S85" s="137"/>
      <c r="T85" s="137"/>
      <c r="U85" s="137"/>
      <c r="V85" s="137"/>
      <c r="W85" s="2342">
        <v>30742.5</v>
      </c>
      <c r="X85" s="2342">
        <v>31803.5</v>
      </c>
      <c r="Y85" s="137">
        <v>32415.555646266774</v>
      </c>
      <c r="Z85" s="137">
        <v>34141.046554697554</v>
      </c>
      <c r="AA85" s="137">
        <v>34868.756897804669</v>
      </c>
      <c r="AB85" s="137">
        <v>35721.126258685705</v>
      </c>
      <c r="AC85" s="137">
        <v>36606.13118590341</v>
      </c>
      <c r="AD85" s="137">
        <v>37196.766969916462</v>
      </c>
      <c r="AE85" s="137">
        <v>37740.710433212604</v>
      </c>
      <c r="AF85" s="137">
        <v>38911.227492965147</v>
      </c>
      <c r="AG85" s="137">
        <v>39844.678649301728</v>
      </c>
      <c r="AH85" s="137">
        <v>40705.797560643608</v>
      </c>
      <c r="AI85" s="137">
        <v>41569.08803063073</v>
      </c>
      <c r="AJ85" s="137">
        <v>42993.511482778064</v>
      </c>
      <c r="AK85" s="137">
        <v>43848.899880151388</v>
      </c>
      <c r="AL85" s="137">
        <v>45052.700645961275</v>
      </c>
      <c r="AM85" s="137">
        <v>46149.159955461917</v>
      </c>
      <c r="AN85" s="137">
        <v>46928.279871778635</v>
      </c>
      <c r="AO85" s="137">
        <v>47191.010446781802</v>
      </c>
      <c r="AP85" s="137">
        <v>47444.020618861723</v>
      </c>
      <c r="AQ85" s="137">
        <v>47665.211098766071</v>
      </c>
      <c r="AR85" s="137">
        <v>47937.509096829883</v>
      </c>
      <c r="AS85" s="137">
        <v>47573.474609646764</v>
      </c>
      <c r="AT85" s="137">
        <v>47095.248140441174</v>
      </c>
      <c r="AU85" s="137">
        <v>46503.963816803822</v>
      </c>
      <c r="AV85" s="137">
        <v>46787.483308353359</v>
      </c>
      <c r="AW85" s="137">
        <v>47627.598584909545</v>
      </c>
      <c r="AX85" s="137">
        <v>48958.456200272485</v>
      </c>
      <c r="AY85" s="137">
        <v>50232.231597111968</v>
      </c>
      <c r="AZ85" s="137">
        <v>50527.322543141781</v>
      </c>
      <c r="BA85" s="137">
        <v>50820.557507892852</v>
      </c>
      <c r="BB85" s="137">
        <v>51543.832434664408</v>
      </c>
      <c r="BC85" s="137">
        <v>52023.424551457458</v>
      </c>
      <c r="BD85" s="137">
        <v>52602.102813691279</v>
      </c>
      <c r="BE85" s="137">
        <v>53093.967754101541</v>
      </c>
      <c r="BF85" s="137">
        <v>53750.091337774727</v>
      </c>
      <c r="BG85" s="137">
        <v>54265.157091700399</v>
      </c>
      <c r="BH85" s="137">
        <v>55004.376884481317</v>
      </c>
      <c r="BI85" s="137">
        <v>55558.231309670693</v>
      </c>
      <c r="BJ85" s="137">
        <v>56191.512305996017</v>
      </c>
      <c r="BK85" s="137">
        <v>56862.005404407828</v>
      </c>
      <c r="BL85" s="137">
        <v>57649.058441041023</v>
      </c>
      <c r="BM85" s="137">
        <v>58378.63070136185</v>
      </c>
      <c r="BN85" s="137">
        <v>59078.776589102759</v>
      </c>
      <c r="BO85" s="137">
        <v>59699.000059472164</v>
      </c>
      <c r="BP85" s="137">
        <v>60317.912621716649</v>
      </c>
      <c r="BQ85" s="137">
        <v>60892.955242269723</v>
      </c>
      <c r="BR85" s="137">
        <v>61456.721914536203</v>
      </c>
      <c r="BS85" s="137">
        <v>61928.991231813852</v>
      </c>
      <c r="BT85" s="137">
        <v>62468.152800983677</v>
      </c>
      <c r="BU85" s="137">
        <v>62953.056783913737</v>
      </c>
      <c r="BV85" s="137">
        <v>63510.392285677983</v>
      </c>
      <c r="BW85" s="137">
        <v>64035.707059440843</v>
      </c>
      <c r="BX85" s="137">
        <v>64577.542332778867</v>
      </c>
      <c r="BY85" s="137">
        <v>65122.424326225911</v>
      </c>
      <c r="BZ85" s="137">
        <v>65747.048132104086</v>
      </c>
      <c r="CA85" s="137">
        <v>66302.405792471225</v>
      </c>
      <c r="CB85" s="137">
        <v>66804.588591079868</v>
      </c>
      <c r="CC85" s="137">
        <v>67340.458654319315</v>
      </c>
      <c r="CD85" s="137">
        <v>67855.7738266245</v>
      </c>
      <c r="CE85" s="137">
        <v>68352.558711866935</v>
      </c>
      <c r="CF85" s="137">
        <v>68875.781267070299</v>
      </c>
      <c r="CG85" s="137">
        <v>69372.188566596815</v>
      </c>
      <c r="CH85" s="137">
        <v>69860.614012872917</v>
      </c>
      <c r="CI85" s="137">
        <v>70380.986899788826</v>
      </c>
      <c r="CJ85" s="137">
        <v>70820.801495177264</v>
      </c>
      <c r="CK85" s="137">
        <v>71285.373205481708</v>
      </c>
      <c r="CL85" s="137">
        <v>71785.667014483712</v>
      </c>
      <c r="CM85" s="137">
        <v>72225.26009659181</v>
      </c>
      <c r="CN85" s="137">
        <v>72684.571742590575</v>
      </c>
      <c r="CO85" s="137">
        <v>73133.738609089749</v>
      </c>
      <c r="CP85" s="137">
        <v>73579.267010618991</v>
      </c>
      <c r="CQ85" s="137">
        <v>74011.658000876283</v>
      </c>
      <c r="CR85" s="137">
        <v>74412.557112255483</v>
      </c>
      <c r="CS85" s="137">
        <v>74841.930401722406</v>
      </c>
      <c r="CT85" s="137">
        <v>75239.286257228683</v>
      </c>
      <c r="CU85" s="137">
        <v>75636.888712640241</v>
      </c>
      <c r="CV85" s="137">
        <v>76015.376753542572</v>
      </c>
      <c r="CW85" s="137">
        <v>76394.371991864347</v>
      </c>
      <c r="CX85" s="137">
        <v>76785.257757137137</v>
      </c>
      <c r="CY85" s="137">
        <v>77142.823744056135</v>
      </c>
      <c r="CZ85" s="137">
        <v>77498.917324108421</v>
      </c>
      <c r="DA85" s="137">
        <v>77844.662101931346</v>
      </c>
      <c r="DB85" s="137">
        <v>78216.436323492628</v>
      </c>
      <c r="DC85" s="137">
        <v>78568.785048430087</v>
      </c>
      <c r="DD85" s="137">
        <v>78907.737957661244</v>
      </c>
      <c r="DE85" s="137">
        <v>79246.945860948559</v>
      </c>
      <c r="DF85" s="137">
        <v>79606.876608714898</v>
      </c>
      <c r="DG85" s="137">
        <v>79925.373053572985</v>
      </c>
      <c r="DH85" s="137">
        <v>80252.344041102348</v>
      </c>
      <c r="DI85" s="137">
        <v>80557.688278467569</v>
      </c>
      <c r="DJ85" s="137">
        <v>80891.181281318248</v>
      </c>
      <c r="DK85" s="137">
        <v>81205.489667532966</v>
      </c>
      <c r="DL85" s="137">
        <v>81501.797388082108</v>
      </c>
      <c r="DM85" s="137">
        <v>81795.236606028673</v>
      </c>
      <c r="DN85" s="137">
        <v>82082.650816659094</v>
      </c>
      <c r="DO85" s="137">
        <v>82386.347419244965</v>
      </c>
      <c r="DP85" s="137">
        <f>(G_Kohorte_F!DP85+G_Kohorte_M!DP85)/2</f>
        <v>82683.900897926025</v>
      </c>
      <c r="DQ85" s="137">
        <f>(G_Kohorte_F!DQ85+G_Kohorte_M!DQ85)/2</f>
        <v>82962.853524390783</v>
      </c>
      <c r="DR85" s="137">
        <f>(G_Kohorte_F!DR85+G_Kohorte_M!DR85)/2</f>
        <v>83250.073197760037</v>
      </c>
      <c r="DS85" s="137">
        <f>(G_Kohorte_F!DS85+G_Kohorte_M!DS85)/2</f>
        <v>83523.329898143333</v>
      </c>
      <c r="DT85" s="137">
        <f>(G_Kohorte_F!DT85+G_Kohorte_M!DT85)/2</f>
        <v>83803.646564290306</v>
      </c>
      <c r="DU85" s="137">
        <f>(G_Kohorte_F!DU85+G_Kohorte_M!DU85)/2</f>
        <v>84079.421818771021</v>
      </c>
    </row>
    <row r="86" spans="1:125">
      <c r="A86" s="2348">
        <v>84</v>
      </c>
      <c r="B86" s="137"/>
      <c r="C86" s="137"/>
      <c r="D86" s="137"/>
      <c r="E86" s="137"/>
      <c r="F86" s="137"/>
      <c r="G86" s="137"/>
      <c r="H86" s="137"/>
      <c r="I86" s="137"/>
      <c r="J86" s="137"/>
      <c r="K86" s="137"/>
      <c r="L86" s="137"/>
      <c r="M86" s="137"/>
      <c r="N86" s="137"/>
      <c r="O86" s="137"/>
      <c r="P86" s="137"/>
      <c r="Q86" s="137"/>
      <c r="R86" s="137"/>
      <c r="S86" s="137"/>
      <c r="T86" s="137"/>
      <c r="U86" s="137"/>
      <c r="V86" s="137"/>
      <c r="W86" s="2342">
        <v>28300.5</v>
      </c>
      <c r="X86" s="2342">
        <v>29328.5</v>
      </c>
      <c r="Y86" s="137">
        <v>29975.421910849662</v>
      </c>
      <c r="Z86" s="137">
        <v>31596.035576269645</v>
      </c>
      <c r="AA86" s="137">
        <v>32260.374381173198</v>
      </c>
      <c r="AB86" s="137">
        <v>33136.663470335108</v>
      </c>
      <c r="AC86" s="137">
        <v>33956.900564102521</v>
      </c>
      <c r="AD86" s="137">
        <v>34529.193858744766</v>
      </c>
      <c r="AE86" s="137">
        <v>34983.198614045716</v>
      </c>
      <c r="AF86" s="137">
        <v>36244.350056225885</v>
      </c>
      <c r="AG86" s="137">
        <v>37046.282760710019</v>
      </c>
      <c r="AH86" s="137">
        <v>37945.901555439319</v>
      </c>
      <c r="AI86" s="137">
        <v>38759.929226706823</v>
      </c>
      <c r="AJ86" s="137">
        <v>40154.861497580765</v>
      </c>
      <c r="AK86" s="137">
        <v>41057.818148414386</v>
      </c>
      <c r="AL86" s="137">
        <v>42243.954866102045</v>
      </c>
      <c r="AM86" s="137">
        <v>43161.305600551364</v>
      </c>
      <c r="AN86" s="137">
        <v>43912.099335124964</v>
      </c>
      <c r="AO86" s="137">
        <v>44200.451087980153</v>
      </c>
      <c r="AP86" s="137">
        <v>44481.97206042074</v>
      </c>
      <c r="AQ86" s="137">
        <v>44731.173726403023</v>
      </c>
      <c r="AR86" s="137">
        <v>45027.575022694473</v>
      </c>
      <c r="AS86" s="137">
        <v>44729.680067345071</v>
      </c>
      <c r="AT86" s="137">
        <v>44321.747233715621</v>
      </c>
      <c r="AU86" s="137">
        <v>43806.66039830161</v>
      </c>
      <c r="AV86" s="137">
        <v>44113.509197665153</v>
      </c>
      <c r="AW86" s="137">
        <v>44944.783238924472</v>
      </c>
      <c r="AX86" s="137">
        <v>46239.694247611245</v>
      </c>
      <c r="AY86" s="137">
        <v>47484.014710658434</v>
      </c>
      <c r="AZ86" s="137">
        <v>47805.416932058419</v>
      </c>
      <c r="BA86" s="137">
        <v>48124.664523135056</v>
      </c>
      <c r="BB86" s="137">
        <v>48849.579862659491</v>
      </c>
      <c r="BC86" s="137">
        <v>49344.56432542266</v>
      </c>
      <c r="BD86" s="137">
        <v>49932.440707196743</v>
      </c>
      <c r="BE86" s="137">
        <v>50438.797242717046</v>
      </c>
      <c r="BF86" s="137">
        <v>51101.127665122171</v>
      </c>
      <c r="BG86" s="137">
        <v>51630.780377990683</v>
      </c>
      <c r="BH86" s="137">
        <v>52372.327575499286</v>
      </c>
      <c r="BI86" s="137">
        <v>52938.24674999644</v>
      </c>
      <c r="BJ86" s="137">
        <v>53580.188460204641</v>
      </c>
      <c r="BK86" s="137">
        <v>54257.986187009061</v>
      </c>
      <c r="BL86" s="137">
        <v>55047.296691616626</v>
      </c>
      <c r="BM86" s="137">
        <v>55782.010141486768</v>
      </c>
      <c r="BN86" s="137">
        <v>56489.238193156627</v>
      </c>
      <c r="BO86" s="137">
        <v>57120.279348224038</v>
      </c>
      <c r="BP86" s="137">
        <v>57750.767825023519</v>
      </c>
      <c r="BQ86" s="137">
        <v>58339.193122896933</v>
      </c>
      <c r="BR86" s="137">
        <v>58917.210863628163</v>
      </c>
      <c r="BS86" s="137">
        <v>59407.808333403795</v>
      </c>
      <c r="BT86" s="137">
        <v>59962.422982828633</v>
      </c>
      <c r="BU86" s="137">
        <v>60465.21981840823</v>
      </c>
      <c r="BV86" s="137">
        <v>61037.385832042652</v>
      </c>
      <c r="BW86" s="137">
        <v>61579.132931025553</v>
      </c>
      <c r="BX86" s="137">
        <v>62136.631675551296</v>
      </c>
      <c r="BY86" s="137">
        <v>62697.072987730462</v>
      </c>
      <c r="BZ86" s="137">
        <v>63334.408264700876</v>
      </c>
      <c r="CA86" s="137">
        <v>63905.343115677453</v>
      </c>
      <c r="CB86" s="137">
        <v>64425.276658731804</v>
      </c>
      <c r="CC86" s="137">
        <v>64977.226769915404</v>
      </c>
      <c r="CD86" s="137">
        <v>65509.559253105042</v>
      </c>
      <c r="CE86" s="137">
        <v>66024.099838962153</v>
      </c>
      <c r="CF86" s="137">
        <v>66564.009470498597</v>
      </c>
      <c r="CG86" s="137">
        <v>67078.238671690357</v>
      </c>
      <c r="CH86" s="137">
        <v>67584.647013456051</v>
      </c>
      <c r="CI86" s="137">
        <v>68121.940888507757</v>
      </c>
      <c r="CJ86" s="137">
        <v>68581.369401472242</v>
      </c>
      <c r="CK86" s="137">
        <v>69064.71348873309</v>
      </c>
      <c r="CL86" s="137">
        <v>69582.483447634499</v>
      </c>
      <c r="CM86" s="137">
        <v>70041.511527518334</v>
      </c>
      <c r="CN86" s="137">
        <v>70519.599561687646</v>
      </c>
      <c r="CO86" s="137">
        <v>70987.572871817276</v>
      </c>
      <c r="CP86" s="137">
        <v>71452.147346119396</v>
      </c>
      <c r="CQ86" s="137">
        <v>71903.794922484463</v>
      </c>
      <c r="CR86" s="137">
        <v>72324.889512212758</v>
      </c>
      <c r="CS86" s="137">
        <v>72773.412147537427</v>
      </c>
      <c r="CT86" s="137">
        <v>73190.762761580816</v>
      </c>
      <c r="CU86" s="137">
        <v>73608.172849848605</v>
      </c>
      <c r="CV86" s="137">
        <v>74006.858436947106</v>
      </c>
      <c r="CW86" s="137">
        <v>74406.016623967618</v>
      </c>
      <c r="CX86" s="137">
        <v>74816.475742424373</v>
      </c>
      <c r="CY86" s="137">
        <v>75194.438044025563</v>
      </c>
      <c r="CZ86" s="137">
        <v>75570.671339094304</v>
      </c>
      <c r="DA86" s="137">
        <v>75936.748720741394</v>
      </c>
      <c r="DB86" s="137">
        <v>76327.960893465031</v>
      </c>
      <c r="DC86" s="137">
        <v>76700.197878571766</v>
      </c>
      <c r="DD86" s="137">
        <v>77059.104626190761</v>
      </c>
      <c r="DE86" s="137">
        <v>77418.138911594375</v>
      </c>
      <c r="DF86" s="137">
        <v>77797.256223083255</v>
      </c>
      <c r="DG86" s="137">
        <v>78135.624771412447</v>
      </c>
      <c r="DH86" s="137">
        <v>78482.186504254234</v>
      </c>
      <c r="DI86" s="137">
        <v>78807.34334043847</v>
      </c>
      <c r="DJ86" s="137">
        <v>79159.863927704137</v>
      </c>
      <c r="DK86" s="137">
        <v>79493.494924555183</v>
      </c>
      <c r="DL86" s="137">
        <v>79809.309329001379</v>
      </c>
      <c r="DM86" s="137">
        <v>80122.044612311394</v>
      </c>
      <c r="DN86" s="137">
        <v>80428.766395993371</v>
      </c>
      <c r="DO86" s="137">
        <v>80751.212213039675</v>
      </c>
      <c r="DP86" s="137">
        <f>(G_Kohorte_F!DP86+G_Kohorte_M!DP86)/2</f>
        <v>81067.478518625066</v>
      </c>
      <c r="DQ86" s="137">
        <f>(G_Kohorte_F!DQ86+G_Kohorte_M!DQ86)/2</f>
        <v>81365.296582014358</v>
      </c>
      <c r="DR86" s="137">
        <f>(G_Kohorte_F!DR86+G_Kohorte_M!DR86)/2</f>
        <v>81670.980676507708</v>
      </c>
      <c r="DS86" s="137">
        <f>(G_Kohorte_F!DS86+G_Kohorte_M!DS86)/2</f>
        <v>81962.851836741072</v>
      </c>
      <c r="DT86" s="137">
        <f>(G_Kohorte_F!DT86+G_Kohorte_M!DT86)/2</f>
        <v>82261.419162717008</v>
      </c>
      <c r="DU86" s="137">
        <f>(G_Kohorte_F!DU86+G_Kohorte_M!DU86)/2</f>
        <v>82555.336562237848</v>
      </c>
    </row>
    <row r="87" spans="1:125">
      <c r="A87" s="2348">
        <v>85</v>
      </c>
      <c r="B87" s="137"/>
      <c r="C87" s="137"/>
      <c r="D87" s="137"/>
      <c r="E87" s="137"/>
      <c r="F87" s="137"/>
      <c r="G87" s="137"/>
      <c r="H87" s="137"/>
      <c r="I87" s="137"/>
      <c r="J87" s="137"/>
      <c r="K87" s="137"/>
      <c r="L87" s="137"/>
      <c r="M87" s="137"/>
      <c r="N87" s="137"/>
      <c r="O87" s="137"/>
      <c r="P87" s="137"/>
      <c r="Q87" s="137"/>
      <c r="R87" s="137"/>
      <c r="S87" s="137"/>
      <c r="T87" s="137"/>
      <c r="U87" s="137"/>
      <c r="V87" s="137"/>
      <c r="W87" s="2342">
        <v>25854</v>
      </c>
      <c r="X87" s="2342">
        <v>26877</v>
      </c>
      <c r="Y87" s="137">
        <v>27464.56902488022</v>
      </c>
      <c r="Z87" s="137">
        <v>28930.068138813986</v>
      </c>
      <c r="AA87" s="137">
        <v>29600.11191459015</v>
      </c>
      <c r="AB87" s="137">
        <v>30437.605783587598</v>
      </c>
      <c r="AC87" s="137">
        <v>31215.258441759717</v>
      </c>
      <c r="AD87" s="137">
        <v>31676.041967176752</v>
      </c>
      <c r="AE87" s="137">
        <v>32270.838163220847</v>
      </c>
      <c r="AF87" s="137">
        <v>33346.68134906685</v>
      </c>
      <c r="AG87" s="137">
        <v>34224.794953023898</v>
      </c>
      <c r="AH87" s="137">
        <v>35018.423958255386</v>
      </c>
      <c r="AI87" s="137">
        <v>35808.432923783039</v>
      </c>
      <c r="AJ87" s="137">
        <v>37225.4834125825</v>
      </c>
      <c r="AK87" s="137">
        <v>38119.013784361276</v>
      </c>
      <c r="AL87" s="137">
        <v>39105.760854182139</v>
      </c>
      <c r="AM87" s="137">
        <v>40002.775033133439</v>
      </c>
      <c r="AN87" s="137">
        <v>40730.892499657471</v>
      </c>
      <c r="AO87" s="137">
        <v>41045.097138661062</v>
      </c>
      <c r="AP87" s="137">
        <v>41352.403019976446</v>
      </c>
      <c r="AQ87" s="137">
        <v>41627.30446491667</v>
      </c>
      <c r="AR87" s="137">
        <v>41945.457691300791</v>
      </c>
      <c r="AS87" s="137">
        <v>41713.428660641344</v>
      </c>
      <c r="AT87" s="137">
        <v>41376.176782418435</v>
      </c>
      <c r="AU87" s="137">
        <v>40938.17379812587</v>
      </c>
      <c r="AV87" s="137">
        <v>41266.225156087938</v>
      </c>
      <c r="AW87" s="137">
        <v>42084.593961835162</v>
      </c>
      <c r="AX87" s="137">
        <v>43337.761975224508</v>
      </c>
      <c r="AY87" s="137">
        <v>44546.982781287305</v>
      </c>
      <c r="AZ87" s="137">
        <v>44892.716015026919</v>
      </c>
      <c r="BA87" s="137">
        <v>45236.104055498108</v>
      </c>
      <c r="BB87" s="137">
        <v>45959.27003412108</v>
      </c>
      <c r="BC87" s="137">
        <v>46467.226998820435</v>
      </c>
      <c r="BD87" s="137">
        <v>47061.656662378475</v>
      </c>
      <c r="BE87" s="137">
        <v>47580.235524067459</v>
      </c>
      <c r="BF87" s="137">
        <v>48245.969704753334</v>
      </c>
      <c r="BG87" s="137">
        <v>48787.970751575544</v>
      </c>
      <c r="BH87" s="137">
        <v>49528.901949257524</v>
      </c>
      <c r="BI87" s="137">
        <v>50104.705731878523</v>
      </c>
      <c r="BJ87" s="137">
        <v>50752.894270461431</v>
      </c>
      <c r="BK87" s="137">
        <v>51435.512714431861</v>
      </c>
      <c r="BL87" s="137">
        <v>52224.228518582087</v>
      </c>
      <c r="BM87" s="137">
        <v>52961.5313391612</v>
      </c>
      <c r="BN87" s="137">
        <v>53673.467374142594</v>
      </c>
      <c r="BO87" s="137">
        <v>54313.333022183724</v>
      </c>
      <c r="BP87" s="137">
        <v>54953.467432248406</v>
      </c>
      <c r="BQ87" s="137">
        <v>55553.591973588591</v>
      </c>
      <c r="BR87" s="137">
        <v>56144.284209304722</v>
      </c>
      <c r="BS87" s="137">
        <v>56652.044713415053</v>
      </c>
      <c r="BT87" s="137">
        <v>57220.766847305633</v>
      </c>
      <c r="BU87" s="137">
        <v>57740.378475964098</v>
      </c>
      <c r="BV87" s="137">
        <v>58326.095437995282</v>
      </c>
      <c r="BW87" s="137">
        <v>58883.175944593502</v>
      </c>
      <c r="BX87" s="137">
        <v>59455.244984250588</v>
      </c>
      <c r="BY87" s="137">
        <v>60030.204947792445</v>
      </c>
      <c r="BZ87" s="137">
        <v>60678.978280171403</v>
      </c>
      <c r="CA87" s="137">
        <v>61264.532964751255</v>
      </c>
      <c r="CB87" s="137">
        <v>61801.513639715537</v>
      </c>
      <c r="CC87" s="137">
        <v>62368.779140640123</v>
      </c>
      <c r="CD87" s="137">
        <v>62917.494913670664</v>
      </c>
      <c r="CE87" s="137">
        <v>63449.27945913258</v>
      </c>
      <c r="CF87" s="137">
        <v>64005.324141442579</v>
      </c>
      <c r="CG87" s="137">
        <v>64536.972468642532</v>
      </c>
      <c r="CH87" s="137">
        <v>65061.041272627408</v>
      </c>
      <c r="CI87" s="137">
        <v>65614.871580492429</v>
      </c>
      <c r="CJ87" s="137">
        <v>66093.863024677848</v>
      </c>
      <c r="CK87" s="137">
        <v>66595.888981687065</v>
      </c>
      <c r="CL87" s="137">
        <v>67130.966508644255</v>
      </c>
      <c r="CM87" s="137">
        <v>67609.517670295754</v>
      </c>
      <c r="CN87" s="137">
        <v>68106.446302180149</v>
      </c>
      <c r="CO87" s="137">
        <v>68593.365464036673</v>
      </c>
      <c r="CP87" s="137">
        <v>69077.181605421589</v>
      </c>
      <c r="CQ87" s="137">
        <v>69548.364597809166</v>
      </c>
      <c r="CR87" s="137">
        <v>69990.07912549621</v>
      </c>
      <c r="CS87" s="137">
        <v>70458.115786245791</v>
      </c>
      <c r="CT87" s="137">
        <v>70895.968495150999</v>
      </c>
      <c r="CU87" s="137">
        <v>71333.725792725905</v>
      </c>
      <c r="CV87" s="137">
        <v>71753.243394687073</v>
      </c>
      <c r="CW87" s="137">
        <v>72173.231265159033</v>
      </c>
      <c r="CX87" s="137">
        <v>72603.91978786861</v>
      </c>
      <c r="CY87" s="137">
        <v>73003.072102938517</v>
      </c>
      <c r="CZ87" s="137">
        <v>73400.267305960268</v>
      </c>
      <c r="DA87" s="137">
        <v>73787.560475682927</v>
      </c>
      <c r="DB87" s="137">
        <v>74199.035846664643</v>
      </c>
      <c r="DC87" s="137">
        <v>74592.074879283595</v>
      </c>
      <c r="DD87" s="137">
        <v>74971.910668217868</v>
      </c>
      <c r="DE87" s="137">
        <v>75351.769308484581</v>
      </c>
      <c r="DF87" s="137">
        <v>75751.030827578157</v>
      </c>
      <c r="DG87" s="137">
        <v>76110.369616909054</v>
      </c>
      <c r="DH87" s="137">
        <v>76477.617053367372</v>
      </c>
      <c r="DI87" s="137">
        <v>76823.759579234058</v>
      </c>
      <c r="DJ87" s="137">
        <v>77196.416518776459</v>
      </c>
      <c r="DK87" s="137">
        <v>77550.552794189163</v>
      </c>
      <c r="DL87" s="137">
        <v>77887.122290412241</v>
      </c>
      <c r="DM87" s="137">
        <v>78220.420479707696</v>
      </c>
      <c r="DN87" s="137">
        <v>78547.749606787242</v>
      </c>
      <c r="DO87" s="137">
        <v>78890.209858013623</v>
      </c>
      <c r="DP87" s="137">
        <f>(G_Kohorte_F!DP87+G_Kohorte_M!DP87)/2</f>
        <v>79226.484109091602</v>
      </c>
      <c r="DQ87" s="137">
        <f>(G_Kohorte_F!DQ87+G_Kohorte_M!DQ87)/2</f>
        <v>79544.522949789549</v>
      </c>
      <c r="DR87" s="137">
        <f>(G_Kohorte_F!DR87+G_Kohorte_M!DR87)/2</f>
        <v>79870.011926168736</v>
      </c>
      <c r="DS87" s="137">
        <f>(G_Kohorte_F!DS87+G_Kohorte_M!DS87)/2</f>
        <v>80181.887886367331</v>
      </c>
      <c r="DT87" s="137">
        <f>(G_Kohorte_F!DT87+G_Kohorte_M!DT87)/2</f>
        <v>80500.083917349926</v>
      </c>
      <c r="DU87" s="137">
        <f>(G_Kohorte_F!DU87+G_Kohorte_M!DU87)/2</f>
        <v>80813.541008430024</v>
      </c>
    </row>
    <row r="88" spans="1:125">
      <c r="A88" s="2348">
        <v>86</v>
      </c>
      <c r="B88" s="137"/>
      <c r="C88" s="137"/>
      <c r="D88" s="137"/>
      <c r="E88" s="137"/>
      <c r="F88" s="137"/>
      <c r="G88" s="137"/>
      <c r="H88" s="137"/>
      <c r="I88" s="137"/>
      <c r="J88" s="137"/>
      <c r="K88" s="137"/>
      <c r="L88" s="137"/>
      <c r="M88" s="137"/>
      <c r="N88" s="137"/>
      <c r="O88" s="137"/>
      <c r="P88" s="137"/>
      <c r="Q88" s="137"/>
      <c r="R88" s="137"/>
      <c r="S88" s="137"/>
      <c r="T88" s="137"/>
      <c r="U88" s="137"/>
      <c r="V88" s="137"/>
      <c r="W88" s="2342">
        <v>23416.5</v>
      </c>
      <c r="X88" s="2342">
        <v>24314</v>
      </c>
      <c r="Y88" s="137">
        <v>24822.59294499996</v>
      </c>
      <c r="Z88" s="137">
        <v>26277.24416477</v>
      </c>
      <c r="AA88" s="137">
        <v>26883.822592416444</v>
      </c>
      <c r="AB88" s="137">
        <v>27659.406713100281</v>
      </c>
      <c r="AC88" s="137">
        <v>28319.037783278956</v>
      </c>
      <c r="AD88" s="137">
        <v>28897.18368575519</v>
      </c>
      <c r="AE88" s="137">
        <v>29356.14103721187</v>
      </c>
      <c r="AF88" s="137">
        <v>30468.128716413667</v>
      </c>
      <c r="AG88" s="137">
        <v>31193.579444854186</v>
      </c>
      <c r="AH88" s="137">
        <v>31963.636731629485</v>
      </c>
      <c r="AI88" s="137">
        <v>32842.687659763687</v>
      </c>
      <c r="AJ88" s="137">
        <v>34198.9747142173</v>
      </c>
      <c r="AK88" s="137">
        <v>34839.069204547093</v>
      </c>
      <c r="AL88" s="137">
        <v>35831.961923837058</v>
      </c>
      <c r="AM88" s="137">
        <v>36679.13941420945</v>
      </c>
      <c r="AN88" s="137">
        <v>37395.036845087277</v>
      </c>
      <c r="AO88" s="137">
        <v>37731.314448405727</v>
      </c>
      <c r="AP88" s="137">
        <v>38060.829554496173</v>
      </c>
      <c r="AQ88" s="137">
        <v>38358.332896300781</v>
      </c>
      <c r="AR88" s="137">
        <v>38695.129860339221</v>
      </c>
      <c r="AS88" s="137">
        <v>38527.801801363079</v>
      </c>
      <c r="AT88" s="137">
        <v>38260.785212447525</v>
      </c>
      <c r="AU88" s="137">
        <v>37899.931119003981</v>
      </c>
      <c r="AV88" s="137">
        <v>38246.318802553025</v>
      </c>
      <c r="AW88" s="137">
        <v>39047.005514211822</v>
      </c>
      <c r="AX88" s="137">
        <v>40251.922732238905</v>
      </c>
      <c r="AY88" s="137">
        <v>41419.624413413847</v>
      </c>
      <c r="AZ88" s="137">
        <v>41786.830510079075</v>
      </c>
      <c r="BA88" s="137">
        <v>42151.617621277604</v>
      </c>
      <c r="BB88" s="137">
        <v>42868.882091371946</v>
      </c>
      <c r="BC88" s="137">
        <v>43386.634170087927</v>
      </c>
      <c r="BD88" s="137">
        <v>43984.243305251162</v>
      </c>
      <c r="BE88" s="137">
        <v>44512.043944204735</v>
      </c>
      <c r="BF88" s="137">
        <v>45177.641201257793</v>
      </c>
      <c r="BG88" s="137">
        <v>45729.008998804042</v>
      </c>
      <c r="BH88" s="137">
        <v>46465.651901048346</v>
      </c>
      <c r="BI88" s="137">
        <v>47048.450813708114</v>
      </c>
      <c r="BJ88" s="137">
        <v>47699.753403609924</v>
      </c>
      <c r="BK88" s="137">
        <v>48383.986788352035</v>
      </c>
      <c r="BL88" s="137">
        <v>49168.518684614559</v>
      </c>
      <c r="BM88" s="137">
        <v>49905.140305507106</v>
      </c>
      <c r="BN88" s="137">
        <v>50618.695883058535</v>
      </c>
      <c r="BO88" s="137">
        <v>51264.703273829771</v>
      </c>
      <c r="BP88" s="137">
        <v>51911.860382894505</v>
      </c>
      <c r="BQ88" s="137">
        <v>52521.331546268426</v>
      </c>
      <c r="BR88" s="137">
        <v>53122.458093771464</v>
      </c>
      <c r="BS88" s="137">
        <v>53645.580626804469</v>
      </c>
      <c r="BT88" s="137">
        <v>54226.426224439419</v>
      </c>
      <c r="BU88" s="137">
        <v>54761.156138889957</v>
      </c>
      <c r="BV88" s="137">
        <v>55358.522086356636</v>
      </c>
      <c r="BW88" s="137">
        <v>55929.227482921531</v>
      </c>
      <c r="BX88" s="137">
        <v>56514.17385733343</v>
      </c>
      <c r="BY88" s="137">
        <v>57102.022494486373</v>
      </c>
      <c r="BZ88" s="137">
        <v>57760.3562745081</v>
      </c>
      <c r="CA88" s="137">
        <v>58358.995765006686</v>
      </c>
      <c r="CB88" s="137">
        <v>58911.765105767445</v>
      </c>
      <c r="CC88" s="137">
        <v>59493.036903400556</v>
      </c>
      <c r="CD88" s="137">
        <v>60056.970805000048</v>
      </c>
      <c r="CE88" s="137">
        <v>60604.971450431978</v>
      </c>
      <c r="CF88" s="137">
        <v>61176.088451058931</v>
      </c>
      <c r="CG88" s="137">
        <v>61724.257562151099</v>
      </c>
      <c r="CH88" s="137">
        <v>62265.18424955185</v>
      </c>
      <c r="CI88" s="137">
        <v>62834.686028595737</v>
      </c>
      <c r="CJ88" s="137">
        <v>63332.745822228768</v>
      </c>
      <c r="CK88" s="137">
        <v>63852.921658897132</v>
      </c>
      <c r="CL88" s="137">
        <v>64404.697352090217</v>
      </c>
      <c r="CM88" s="137">
        <v>64902.449187158971</v>
      </c>
      <c r="CN88" s="137">
        <v>65417.87557517831</v>
      </c>
      <c r="CO88" s="137">
        <v>65923.491393756194</v>
      </c>
      <c r="CP88" s="137">
        <v>66426.364378015569</v>
      </c>
      <c r="CQ88" s="137">
        <v>66916.998482996059</v>
      </c>
      <c r="CR88" s="137">
        <v>67379.414393410712</v>
      </c>
      <c r="CS88" s="137">
        <v>67866.988943507808</v>
      </c>
      <c r="CT88" s="137">
        <v>68325.531966443508</v>
      </c>
      <c r="CU88" s="137">
        <v>68783.868325833042</v>
      </c>
      <c r="CV88" s="137">
        <v>69224.56241663426</v>
      </c>
      <c r="CW88" s="137">
        <v>69665.764786902233</v>
      </c>
      <c r="CX88" s="137">
        <v>70117.064770227807</v>
      </c>
      <c r="CY88" s="137">
        <v>70537.948213643394</v>
      </c>
      <c r="CZ88" s="137">
        <v>70956.687747545788</v>
      </c>
      <c r="DA88" s="137">
        <v>71365.852496272477</v>
      </c>
      <c r="DB88" s="137">
        <v>71798.189761823844</v>
      </c>
      <c r="DC88" s="137">
        <v>72212.73327002101</v>
      </c>
      <c r="DD88" s="137">
        <v>72614.278138827212</v>
      </c>
      <c r="DE88" s="137">
        <v>73015.772361978772</v>
      </c>
      <c r="DF88" s="137">
        <v>73435.949713607319</v>
      </c>
      <c r="DG88" s="137">
        <v>73817.197920784383</v>
      </c>
      <c r="DH88" s="137">
        <v>74206.071140058397</v>
      </c>
      <c r="DI88" s="137">
        <v>74574.236059855364</v>
      </c>
      <c r="DJ88" s="137">
        <v>74967.998704466998</v>
      </c>
      <c r="DK88" s="137">
        <v>75343.698794846074</v>
      </c>
      <c r="DL88" s="137">
        <v>75702.163283997157</v>
      </c>
      <c r="DM88" s="137">
        <v>76057.192956676037</v>
      </c>
      <c r="DN88" s="137">
        <v>76406.340129359422</v>
      </c>
      <c r="DO88" s="137">
        <v>76769.99261528028</v>
      </c>
      <c r="DP88" s="137">
        <f>(G_Kohorte_F!DP88+G_Kohorte_M!DP88)/2</f>
        <v>77127.492200874869</v>
      </c>
      <c r="DQ88" s="137">
        <f>(G_Kohorte_F!DQ88+G_Kohorte_M!DQ88)/2</f>
        <v>77467.044584598101</v>
      </c>
      <c r="DR88" s="137">
        <f>(G_Kohorte_F!DR88+G_Kohorte_M!DR88)/2</f>
        <v>77813.620808790816</v>
      </c>
      <c r="DS88" s="137">
        <f>(G_Kohorte_F!DS88+G_Kohorte_M!DS88)/2</f>
        <v>78146.845528822712</v>
      </c>
      <c r="DT88" s="137">
        <f>(G_Kohorte_F!DT88+G_Kohorte_M!DT88)/2</f>
        <v>78486.006450985093</v>
      </c>
      <c r="DU88" s="137">
        <f>(G_Kohorte_F!DU88+G_Kohorte_M!DU88)/2</f>
        <v>78820.367489710552</v>
      </c>
    </row>
    <row r="89" spans="1:125">
      <c r="A89" s="2348">
        <v>87</v>
      </c>
      <c r="B89" s="137"/>
      <c r="C89" s="137"/>
      <c r="D89" s="137"/>
      <c r="E89" s="137"/>
      <c r="F89" s="137"/>
      <c r="G89" s="137"/>
      <c r="H89" s="137"/>
      <c r="I89" s="137"/>
      <c r="J89" s="137"/>
      <c r="K89" s="137"/>
      <c r="L89" s="137"/>
      <c r="M89" s="137"/>
      <c r="N89" s="137"/>
      <c r="O89" s="137"/>
      <c r="P89" s="137"/>
      <c r="Q89" s="137"/>
      <c r="R89" s="137"/>
      <c r="S89" s="137"/>
      <c r="T89" s="137"/>
      <c r="U89" s="137"/>
      <c r="V89" s="137"/>
      <c r="W89" s="2342">
        <v>20910</v>
      </c>
      <c r="X89" s="2342">
        <v>21705.5</v>
      </c>
      <c r="Y89" s="137">
        <v>22241.91441677657</v>
      </c>
      <c r="Z89" s="137">
        <v>23547.982266693205</v>
      </c>
      <c r="AA89" s="137">
        <v>24090.010944343412</v>
      </c>
      <c r="AB89" s="137">
        <v>24766.952466225252</v>
      </c>
      <c r="AC89" s="137">
        <v>25514.608340272862</v>
      </c>
      <c r="AD89" s="137">
        <v>25920.743895537053</v>
      </c>
      <c r="AE89" s="137">
        <v>26471.33422440874</v>
      </c>
      <c r="AF89" s="137">
        <v>27444.83541616935</v>
      </c>
      <c r="AG89" s="137">
        <v>28149.430308605279</v>
      </c>
      <c r="AH89" s="137">
        <v>28897.813724234547</v>
      </c>
      <c r="AI89" s="137">
        <v>29764.962053346051</v>
      </c>
      <c r="AJ89" s="137">
        <v>30867.366447191082</v>
      </c>
      <c r="AK89" s="137">
        <v>31474.648500788549</v>
      </c>
      <c r="AL89" s="137">
        <v>32416.396821967493</v>
      </c>
      <c r="AM89" s="137">
        <v>33229.799837537103</v>
      </c>
      <c r="AN89" s="137">
        <v>33927.201523926589</v>
      </c>
      <c r="AO89" s="137">
        <v>34280.733962440441</v>
      </c>
      <c r="AP89" s="137">
        <v>34627.858077819423</v>
      </c>
      <c r="AQ89" s="137">
        <v>34943.885881743081</v>
      </c>
      <c r="AR89" s="137">
        <v>35295.281183519866</v>
      </c>
      <c r="AS89" s="137">
        <v>35190.231005929782</v>
      </c>
      <c r="AT89" s="137">
        <v>34991.771779505798</v>
      </c>
      <c r="AU89" s="137">
        <v>34706.884664296769</v>
      </c>
      <c r="AV89" s="137">
        <v>35067.8319310347</v>
      </c>
      <c r="AW89" s="137">
        <v>35845.328556498949</v>
      </c>
      <c r="AX89" s="137">
        <v>36994.88375041206</v>
      </c>
      <c r="AY89" s="137">
        <v>38113.763385813552</v>
      </c>
      <c r="AZ89" s="137">
        <v>38498.5687142924</v>
      </c>
      <c r="BA89" s="137">
        <v>38881.040805066601</v>
      </c>
      <c r="BB89" s="137">
        <v>39587.407533991704</v>
      </c>
      <c r="BC89" s="137">
        <v>40110.871713887653</v>
      </c>
      <c r="BD89" s="137">
        <v>40707.42934671801</v>
      </c>
      <c r="BE89" s="137">
        <v>41240.566936636053</v>
      </c>
      <c r="BF89" s="137">
        <v>41901.630684384945</v>
      </c>
      <c r="BG89" s="137">
        <v>42458.485492779575</v>
      </c>
      <c r="BH89" s="137">
        <v>43186.330331990815</v>
      </c>
      <c r="BI89" s="137">
        <v>43772.371498601315</v>
      </c>
      <c r="BJ89" s="137">
        <v>44422.795998193702</v>
      </c>
      <c r="BK89" s="137">
        <v>45104.580059999993</v>
      </c>
      <c r="BL89" s="137">
        <v>45880.484796302044</v>
      </c>
      <c r="BM89" s="137">
        <v>46612.302719364372</v>
      </c>
      <c r="BN89" s="137">
        <v>47323.531946782903</v>
      </c>
      <c r="BO89" s="137">
        <v>47972.146879958076</v>
      </c>
      <c r="BP89" s="137">
        <v>48622.844843678577</v>
      </c>
      <c r="BQ89" s="137">
        <v>49238.465186295252</v>
      </c>
      <c r="BR89" s="137">
        <v>49846.94231112428</v>
      </c>
      <c r="BS89" s="137">
        <v>50382.792422362749</v>
      </c>
      <c r="BT89" s="137">
        <v>50972.951845814721</v>
      </c>
      <c r="BU89" s="137">
        <v>51520.287575429917</v>
      </c>
      <c r="BV89" s="137">
        <v>52126.591537951288</v>
      </c>
      <c r="BW89" s="137">
        <v>52708.410629599006</v>
      </c>
      <c r="BX89" s="137">
        <v>53303.750404848783</v>
      </c>
      <c r="BY89" s="137">
        <v>53902.076936287471</v>
      </c>
      <c r="BZ89" s="137">
        <v>54567.308253263865</v>
      </c>
      <c r="CA89" s="137">
        <v>55176.727770161539</v>
      </c>
      <c r="CB89" s="137">
        <v>55743.272454700767</v>
      </c>
      <c r="CC89" s="137">
        <v>56336.502100627884</v>
      </c>
      <c r="CD89" s="137">
        <v>56913.759864243431</v>
      </c>
      <c r="CE89" s="137">
        <v>57476.232351940198</v>
      </c>
      <c r="CF89" s="137">
        <v>58060.65164292643</v>
      </c>
      <c r="CG89" s="137">
        <v>58623.747804846287</v>
      </c>
      <c r="CH89" s="137">
        <v>59180.049610486341</v>
      </c>
      <c r="CI89" s="137">
        <v>59763.681466306902</v>
      </c>
      <c r="CJ89" s="137">
        <v>60279.66743905512</v>
      </c>
      <c r="CK89" s="137">
        <v>60816.819232046386</v>
      </c>
      <c r="CL89" s="137">
        <v>61384.0471252481</v>
      </c>
      <c r="CM89" s="137">
        <v>61900.066004892426</v>
      </c>
      <c r="CN89" s="137">
        <v>62433.042568411882</v>
      </c>
      <c r="CO89" s="137">
        <v>62956.520392176943</v>
      </c>
      <c r="CP89" s="137">
        <v>63477.688760084711</v>
      </c>
      <c r="CQ89" s="137">
        <v>63987.130935696492</v>
      </c>
      <c r="CR89" s="137">
        <v>64469.789945140823</v>
      </c>
      <c r="CS89" s="137">
        <v>64976.392913205753</v>
      </c>
      <c r="CT89" s="137">
        <v>65455.302149602532</v>
      </c>
      <c r="CU89" s="137">
        <v>65933.950563682098</v>
      </c>
      <c r="CV89" s="137">
        <v>66395.685204854963</v>
      </c>
      <c r="CW89" s="137">
        <v>66858.01640592824</v>
      </c>
      <c r="CX89" s="137">
        <v>67329.850484983428</v>
      </c>
      <c r="CY89" s="137">
        <v>67772.568128878353</v>
      </c>
      <c r="CZ89" s="137">
        <v>68213.011702955409</v>
      </c>
      <c r="DA89" s="137">
        <v>68644.295037967546</v>
      </c>
      <c r="DB89" s="137">
        <v>69097.688800754127</v>
      </c>
      <c r="DC89" s="137">
        <v>69534.051364151033</v>
      </c>
      <c r="DD89" s="137">
        <v>69957.715687827833</v>
      </c>
      <c r="DE89" s="137">
        <v>70381.297805401104</v>
      </c>
      <c r="DF89" s="137">
        <v>70822.807650560004</v>
      </c>
      <c r="DG89" s="137">
        <v>71226.577607907282</v>
      </c>
      <c r="DH89" s="137">
        <v>71637.696538870936</v>
      </c>
      <c r="DI89" s="137">
        <v>72028.620880724586</v>
      </c>
      <c r="DJ89" s="137">
        <v>72444.159278388077</v>
      </c>
      <c r="DK89" s="137">
        <v>72842.199490186031</v>
      </c>
      <c r="DL89" s="137">
        <v>73223.434364548943</v>
      </c>
      <c r="DM89" s="137">
        <v>73601.112545623386</v>
      </c>
      <c r="DN89" s="137">
        <v>73973.04838315511</v>
      </c>
      <c r="DO89" s="137">
        <v>74358.835493749735</v>
      </c>
      <c r="DP89" s="137">
        <f>(G_Kohorte_F!DP89+G_Kohorte_M!DP89)/2</f>
        <v>74738.554442722918</v>
      </c>
      <c r="DQ89" s="137">
        <f>(G_Kohorte_F!DQ89+G_Kohorte_M!DQ89)/2</f>
        <v>75100.707218862226</v>
      </c>
      <c r="DR89" s="137">
        <f>(G_Kohorte_F!DR89+G_Kohorte_M!DR89)/2</f>
        <v>75469.45444340707</v>
      </c>
      <c r="DS89" s="137">
        <f>(G_Kohorte_F!DS89+G_Kohorte_M!DS89)/2</f>
        <v>75825.187173100581</v>
      </c>
      <c r="DT89" s="137">
        <f>(G_Kohorte_F!DT89+G_Kohorte_M!DT89)/2</f>
        <v>76186.471723721115</v>
      </c>
      <c r="DU89" s="137">
        <f>(G_Kohorte_F!DU89+G_Kohorte_M!DU89)/2</f>
        <v>76542.93457617033</v>
      </c>
    </row>
    <row r="90" spans="1:125">
      <c r="A90" s="2348">
        <v>88</v>
      </c>
      <c r="B90" s="137"/>
      <c r="C90" s="137"/>
      <c r="D90" s="137"/>
      <c r="E90" s="137"/>
      <c r="F90" s="137"/>
      <c r="G90" s="137"/>
      <c r="H90" s="137"/>
      <c r="I90" s="137"/>
      <c r="J90" s="137"/>
      <c r="K90" s="137"/>
      <c r="L90" s="137"/>
      <c r="M90" s="137"/>
      <c r="N90" s="137"/>
      <c r="O90" s="137"/>
      <c r="P90" s="137"/>
      <c r="Q90" s="137"/>
      <c r="R90" s="137"/>
      <c r="S90" s="137"/>
      <c r="T90" s="137"/>
      <c r="U90" s="137"/>
      <c r="V90" s="137"/>
      <c r="W90" s="2342">
        <v>18366.5</v>
      </c>
      <c r="X90" s="2342">
        <v>19161</v>
      </c>
      <c r="Y90" s="137">
        <v>19631.87192565564</v>
      </c>
      <c r="Z90" s="137">
        <v>20805.818118341187</v>
      </c>
      <c r="AA90" s="137">
        <v>21239.349396519559</v>
      </c>
      <c r="AB90" s="137">
        <v>22022.130863721162</v>
      </c>
      <c r="AC90" s="137">
        <v>22567.409329795166</v>
      </c>
      <c r="AD90" s="137">
        <v>23059.990372437456</v>
      </c>
      <c r="AE90" s="137">
        <v>23491.790986527511</v>
      </c>
      <c r="AF90" s="137">
        <v>24434.858513631243</v>
      </c>
      <c r="AG90" s="137">
        <v>25123.759583854848</v>
      </c>
      <c r="AH90" s="137">
        <v>25811.603603464984</v>
      </c>
      <c r="AI90" s="137">
        <v>26407.442295137014</v>
      </c>
      <c r="AJ90" s="137">
        <v>27423.707559170813</v>
      </c>
      <c r="AK90" s="137">
        <v>28039.19511239235</v>
      </c>
      <c r="AL90" s="137">
        <v>28923.086930122958</v>
      </c>
      <c r="AM90" s="137">
        <v>29695.712419065792</v>
      </c>
      <c r="AN90" s="137">
        <v>30367.655044771287</v>
      </c>
      <c r="AO90" s="137">
        <v>30732.512843122127</v>
      </c>
      <c r="AP90" s="137">
        <v>31091.535162528497</v>
      </c>
      <c r="AQ90" s="137">
        <v>31420.913379913116</v>
      </c>
      <c r="AR90" s="137">
        <v>31781.81726104347</v>
      </c>
      <c r="AS90" s="137">
        <v>31735.045608514192</v>
      </c>
      <c r="AT90" s="137">
        <v>31601.867479601548</v>
      </c>
      <c r="AU90" s="137">
        <v>31390.116970867879</v>
      </c>
      <c r="AV90" s="137">
        <v>31760.830601505604</v>
      </c>
      <c r="AW90" s="137">
        <v>32508.971856927197</v>
      </c>
      <c r="AX90" s="137">
        <v>33595.36651744516</v>
      </c>
      <c r="AY90" s="137">
        <v>34657.678644546555</v>
      </c>
      <c r="AZ90" s="137">
        <v>35055.102714543485</v>
      </c>
      <c r="BA90" s="137">
        <v>35450.44627459679</v>
      </c>
      <c r="BB90" s="137">
        <v>36140.071685890813</v>
      </c>
      <c r="BC90" s="137">
        <v>36664.173786706997</v>
      </c>
      <c r="BD90" s="137">
        <v>37254.52580115501</v>
      </c>
      <c r="BE90" s="137">
        <v>37788.134173170765</v>
      </c>
      <c r="BF90" s="137">
        <v>38439.356449385712</v>
      </c>
      <c r="BG90" s="137">
        <v>38996.819545649108</v>
      </c>
      <c r="BH90" s="137">
        <v>39710.472008744939</v>
      </c>
      <c r="BI90" s="137">
        <v>40295.033464748238</v>
      </c>
      <c r="BJ90" s="137">
        <v>40939.639121312837</v>
      </c>
      <c r="BK90" s="137">
        <v>41613.965746978225</v>
      </c>
      <c r="BL90" s="137">
        <v>42375.885083999412</v>
      </c>
      <c r="BM90" s="137">
        <v>43097.841096551754</v>
      </c>
      <c r="BN90" s="137">
        <v>43801.843101123683</v>
      </c>
      <c r="BO90" s="137">
        <v>44448.555824364405</v>
      </c>
      <c r="BP90" s="137">
        <v>45098.32531783991</v>
      </c>
      <c r="BQ90" s="137">
        <v>45715.907479909685</v>
      </c>
      <c r="BR90" s="137">
        <v>46327.656005465804</v>
      </c>
      <c r="BS90" s="137">
        <v>46872.58852772793</v>
      </c>
      <c r="BT90" s="137">
        <v>47468.261164584146</v>
      </c>
      <c r="BU90" s="137">
        <v>48024.693331715229</v>
      </c>
      <c r="BV90" s="137">
        <v>48636.247133961748</v>
      </c>
      <c r="BW90" s="137">
        <v>49225.687812959331</v>
      </c>
      <c r="BX90" s="137">
        <v>49827.968188061757</v>
      </c>
      <c r="BY90" s="137">
        <v>50433.400811102554</v>
      </c>
      <c r="BZ90" s="137">
        <v>51101.914633072884</v>
      </c>
      <c r="CA90" s="137">
        <v>51718.855956397674</v>
      </c>
      <c r="CB90" s="137">
        <v>52296.211410684336</v>
      </c>
      <c r="CC90" s="137">
        <v>52898.418874922441</v>
      </c>
      <c r="CD90" s="137">
        <v>53486.179184756009</v>
      </c>
      <c r="CE90" s="137">
        <v>54060.459907077617</v>
      </c>
      <c r="CF90" s="137">
        <v>54655.504411121212</v>
      </c>
      <c r="CG90" s="137">
        <v>55231.03273297799</v>
      </c>
      <c r="CH90" s="137">
        <v>55800.338455638725</v>
      </c>
      <c r="CI90" s="137">
        <v>56395.67862727584</v>
      </c>
      <c r="CJ90" s="137">
        <v>56927.583197809196</v>
      </c>
      <c r="CK90" s="137">
        <v>57479.680845285664</v>
      </c>
      <c r="CL90" s="137">
        <v>58060.269221521012</v>
      </c>
      <c r="CM90" s="137">
        <v>58592.791632192413</v>
      </c>
      <c r="CN90" s="137">
        <v>59141.550289692226</v>
      </c>
      <c r="CO90" s="137">
        <v>59681.252880182597</v>
      </c>
      <c r="CP90" s="137">
        <v>60219.161094257099</v>
      </c>
      <c r="CQ90" s="137">
        <v>60745.99072705095</v>
      </c>
      <c r="CR90" s="137">
        <v>61247.672430251579</v>
      </c>
      <c r="CS90" s="137">
        <v>61772.043055625443</v>
      </c>
      <c r="CT90" s="137">
        <v>62270.260947164628</v>
      </c>
      <c r="CU90" s="137">
        <v>62768.235492200714</v>
      </c>
      <c r="CV90" s="137">
        <v>63250.173194817835</v>
      </c>
      <c r="CW90" s="137">
        <v>63732.857251435344</v>
      </c>
      <c r="CX90" s="137">
        <v>64224.471529488357</v>
      </c>
      <c r="CY90" s="137">
        <v>64688.469126640688</v>
      </c>
      <c r="CZ90" s="137">
        <v>65150.136012828123</v>
      </c>
      <c r="DA90" s="137">
        <v>65603.159076249518</v>
      </c>
      <c r="DB90" s="137">
        <v>66077.187092059234</v>
      </c>
      <c r="DC90" s="137">
        <v>66535.082542287622</v>
      </c>
      <c r="DD90" s="137">
        <v>66980.694866112783</v>
      </c>
      <c r="DE90" s="137">
        <v>67426.248091989895</v>
      </c>
      <c r="DF90" s="137">
        <v>67888.945676574425</v>
      </c>
      <c r="DG90" s="137">
        <v>68315.315128292073</v>
      </c>
      <c r="DH90" s="137">
        <v>68748.774615372677</v>
      </c>
      <c r="DI90" s="137">
        <v>69162.69144454808</v>
      </c>
      <c r="DJ90" s="137">
        <v>69600.176382523612</v>
      </c>
      <c r="DK90" s="137">
        <v>70020.851699542443</v>
      </c>
      <c r="DL90" s="137">
        <v>70425.269911029056</v>
      </c>
      <c r="DM90" s="137">
        <v>70826.066458051995</v>
      </c>
      <c r="DN90" s="137">
        <v>71221.327940579591</v>
      </c>
      <c r="DO90" s="137">
        <v>71629.766581421427</v>
      </c>
      <c r="DP90" s="137">
        <f>(G_Kohorte_F!DP90+G_Kohorte_M!DP90)/2</f>
        <v>72032.287576434814</v>
      </c>
      <c r="DQ90" s="137">
        <f>(G_Kohorte_F!DQ90+G_Kohorte_M!DQ90)/2</f>
        <v>72417.735206600206</v>
      </c>
      <c r="DR90" s="137">
        <f>(G_Kohorte_F!DR90+G_Kohorte_M!DR90)/2</f>
        <v>72809.355125968257</v>
      </c>
      <c r="DS90" s="137">
        <f>(G_Kohorte_F!DS90+G_Kohorte_M!DS90)/2</f>
        <v>73188.3887822541</v>
      </c>
      <c r="DT90" s="137">
        <f>(G_Kohorte_F!DT90+G_Kohorte_M!DT90)/2</f>
        <v>73572.599583233488</v>
      </c>
      <c r="DU90" s="137">
        <f>(G_Kohorte_F!DU90+G_Kohorte_M!DU90)/2</f>
        <v>73952.019437728159</v>
      </c>
    </row>
    <row r="91" spans="1:125">
      <c r="A91" s="2348">
        <v>89</v>
      </c>
      <c r="B91" s="137"/>
      <c r="C91" s="137"/>
      <c r="D91" s="137"/>
      <c r="E91" s="137"/>
      <c r="F91" s="137"/>
      <c r="G91" s="137"/>
      <c r="H91" s="137"/>
      <c r="I91" s="137"/>
      <c r="J91" s="137"/>
      <c r="K91" s="137"/>
      <c r="L91" s="137"/>
      <c r="M91" s="137"/>
      <c r="N91" s="137"/>
      <c r="O91" s="137"/>
      <c r="P91" s="137"/>
      <c r="Q91" s="137"/>
      <c r="R91" s="137"/>
      <c r="S91" s="137"/>
      <c r="T91" s="137"/>
      <c r="U91" s="137"/>
      <c r="V91" s="137"/>
      <c r="W91" s="2342">
        <v>15979.5</v>
      </c>
      <c r="X91" s="2342">
        <v>16632.5</v>
      </c>
      <c r="Y91" s="137">
        <v>17078.93694120878</v>
      </c>
      <c r="Z91" s="137">
        <v>18014.624269865504</v>
      </c>
      <c r="AA91" s="137">
        <v>18589.360271432433</v>
      </c>
      <c r="AB91" s="137">
        <v>19169.421004658117</v>
      </c>
      <c r="AC91" s="137">
        <v>19777.466220272014</v>
      </c>
      <c r="AD91" s="137">
        <v>20121.021287763961</v>
      </c>
      <c r="AE91" s="137">
        <v>20524.594321448487</v>
      </c>
      <c r="AF91" s="137">
        <v>21439.57313916452</v>
      </c>
      <c r="AG91" s="137">
        <v>22099.929241407946</v>
      </c>
      <c r="AH91" s="137">
        <v>22557.13290906349</v>
      </c>
      <c r="AI91" s="137">
        <v>23078.406524261292</v>
      </c>
      <c r="AJ91" s="137">
        <v>24008.364364786714</v>
      </c>
      <c r="AK91" s="137">
        <v>24591.19156883657</v>
      </c>
      <c r="AL91" s="137">
        <v>25410.394338366677</v>
      </c>
      <c r="AM91" s="137">
        <v>26135.099203573518</v>
      </c>
      <c r="AN91" s="137">
        <v>26774.201809554423</v>
      </c>
      <c r="AO91" s="137">
        <v>27143.422048394699</v>
      </c>
      <c r="AP91" s="137">
        <v>27507.580479109103</v>
      </c>
      <c r="AQ91" s="137">
        <v>27844.054691144585</v>
      </c>
      <c r="AR91" s="137">
        <v>28208.353577078396</v>
      </c>
      <c r="AS91" s="137">
        <v>28214.096450891971</v>
      </c>
      <c r="AT91" s="137">
        <v>28141.075109035621</v>
      </c>
      <c r="AU91" s="137">
        <v>27997.690440789374</v>
      </c>
      <c r="AV91" s="137">
        <v>28372.370311667502</v>
      </c>
      <c r="AW91" s="137">
        <v>29084.086633090854</v>
      </c>
      <c r="AX91" s="137">
        <v>30099.684539469781</v>
      </c>
      <c r="AY91" s="137">
        <v>31097.528104994759</v>
      </c>
      <c r="AZ91" s="137">
        <v>31501.481289316718</v>
      </c>
      <c r="BA91" s="137">
        <v>31903.768645255681</v>
      </c>
      <c r="BB91" s="137">
        <v>32570.074928280636</v>
      </c>
      <c r="BC91" s="137">
        <v>33088.772183215646</v>
      </c>
      <c r="BD91" s="137">
        <v>33666.87956412317</v>
      </c>
      <c r="BE91" s="137">
        <v>34195.114804180936</v>
      </c>
      <c r="BF91" s="137">
        <v>34830.323966006195</v>
      </c>
      <c r="BG91" s="137">
        <v>35382.515814157334</v>
      </c>
      <c r="BH91" s="137">
        <v>36075.749656716245</v>
      </c>
      <c r="BI91" s="137">
        <v>36653.125759253075</v>
      </c>
      <c r="BJ91" s="137">
        <v>37286.026179166001</v>
      </c>
      <c r="BK91" s="137">
        <v>37946.949535512846</v>
      </c>
      <c r="BL91" s="137">
        <v>38688.643296681264</v>
      </c>
      <c r="BM91" s="137">
        <v>39394.747997598744</v>
      </c>
      <c r="BN91" s="137">
        <v>40085.654672759716</v>
      </c>
      <c r="BO91" s="137">
        <v>40724.934275634892</v>
      </c>
      <c r="BP91" s="137">
        <v>41368.266984314148</v>
      </c>
      <c r="BQ91" s="137">
        <v>41982.560087643469</v>
      </c>
      <c r="BR91" s="137">
        <v>42592.422487055308</v>
      </c>
      <c r="BS91" s="137">
        <v>43141.666402675313</v>
      </c>
      <c r="BT91" s="137">
        <v>43737.957398489823</v>
      </c>
      <c r="BU91" s="137">
        <v>44298.855885379133</v>
      </c>
      <c r="BV91" s="137">
        <v>44910.883266654659</v>
      </c>
      <c r="BW91" s="137">
        <v>45503.348083519377</v>
      </c>
      <c r="BX91" s="137">
        <v>46108.020812424504</v>
      </c>
      <c r="BY91" s="137">
        <v>46716.095094993958</v>
      </c>
      <c r="BZ91" s="137">
        <v>47383.207888489589</v>
      </c>
      <c r="CA91" s="137">
        <v>48003.320422581513</v>
      </c>
      <c r="CB91" s="137">
        <v>48587.414369776299</v>
      </c>
      <c r="CC91" s="137">
        <v>49194.533430388008</v>
      </c>
      <c r="CD91" s="137">
        <v>49788.884593874733</v>
      </c>
      <c r="CE91" s="137">
        <v>50371.219088388374</v>
      </c>
      <c r="CF91" s="137">
        <v>50973.134872674229</v>
      </c>
      <c r="CG91" s="137">
        <v>51557.520408302415</v>
      </c>
      <c r="CH91" s="137">
        <v>52136.385994607946</v>
      </c>
      <c r="CI91" s="137">
        <v>52739.951741924262</v>
      </c>
      <c r="CJ91" s="137">
        <v>53284.701181248354</v>
      </c>
      <c r="CK91" s="137">
        <v>53848.660487435845</v>
      </c>
      <c r="CL91" s="137">
        <v>54439.478420236366</v>
      </c>
      <c r="CM91" s="137">
        <v>54985.703089787508</v>
      </c>
      <c r="CN91" s="137">
        <v>55547.449409683897</v>
      </c>
      <c r="CO91" s="137">
        <v>56100.72655720482</v>
      </c>
      <c r="CP91" s="137">
        <v>56652.812894548464</v>
      </c>
      <c r="CQ91" s="137">
        <v>57194.615477006228</v>
      </c>
      <c r="CR91" s="137">
        <v>57713.114460483819</v>
      </c>
      <c r="CS91" s="137">
        <v>58253.021610833639</v>
      </c>
      <c r="CT91" s="137">
        <v>58768.53171803803</v>
      </c>
      <c r="CU91" s="137">
        <v>59283.901436908629</v>
      </c>
      <c r="CV91" s="137">
        <v>59784.273434028175</v>
      </c>
      <c r="CW91" s="137">
        <v>60285.614569180456</v>
      </c>
      <c r="CX91" s="137">
        <v>60795.350543737113</v>
      </c>
      <c r="CY91" s="137">
        <v>61279.183533911433</v>
      </c>
      <c r="CZ91" s="137">
        <v>61760.719290817156</v>
      </c>
      <c r="DA91" s="137">
        <v>62234.243235993759</v>
      </c>
      <c r="DB91" s="137">
        <v>62727.636379553209</v>
      </c>
      <c r="DC91" s="137">
        <v>63205.945886810354</v>
      </c>
      <c r="DD91" s="137">
        <v>63672.519676286029</v>
      </c>
      <c r="DE91" s="137">
        <v>64139.125948820641</v>
      </c>
      <c r="DF91" s="137">
        <v>64622.076619021944</v>
      </c>
      <c r="DG91" s="137">
        <v>65070.355685899893</v>
      </c>
      <c r="DH91" s="137">
        <v>65525.495011798426</v>
      </c>
      <c r="DI91" s="137">
        <v>65961.90147310021</v>
      </c>
      <c r="DJ91" s="137">
        <v>66420.777336109255</v>
      </c>
      <c r="DK91" s="137">
        <v>66863.673639826549</v>
      </c>
      <c r="DL91" s="137">
        <v>67290.997486463428</v>
      </c>
      <c r="DM91" s="137">
        <v>67714.708118161972</v>
      </c>
      <c r="DN91" s="137">
        <v>68133.173007735269</v>
      </c>
      <c r="DO91" s="137">
        <v>68564.132461437664</v>
      </c>
      <c r="DP91" s="137">
        <f>(G_Kohorte_F!DP91+G_Kohorte_M!DP91)/2</f>
        <v>68989.406010256003</v>
      </c>
      <c r="DQ91" s="137">
        <f>(G_Kohorte_F!DQ91+G_Kohorte_M!DQ91)/2</f>
        <v>69398.229848823685</v>
      </c>
      <c r="DR91" s="137">
        <f>(G_Kohorte_F!DR91+G_Kohorte_M!DR91)/2</f>
        <v>69812.824092264942</v>
      </c>
      <c r="DS91" s="137">
        <f>(G_Kohorte_F!DS91+G_Kohorte_M!DS91)/2</f>
        <v>70215.368267426966</v>
      </c>
      <c r="DT91" s="137">
        <f>(G_Kohorte_F!DT91+G_Kohorte_M!DT91)/2</f>
        <v>70622.737522143638</v>
      </c>
      <c r="DU91" s="137">
        <f>(G_Kohorte_F!DU91+G_Kohorte_M!DU91)/2</f>
        <v>71025.414371801409</v>
      </c>
    </row>
    <row r="92" spans="1:125">
      <c r="A92" s="2348">
        <v>90</v>
      </c>
      <c r="B92" s="137"/>
      <c r="C92" s="137"/>
      <c r="D92" s="137"/>
      <c r="E92" s="137"/>
      <c r="F92" s="137"/>
      <c r="G92" s="137"/>
      <c r="H92" s="137"/>
      <c r="I92" s="137"/>
      <c r="J92" s="137"/>
      <c r="K92" s="137"/>
      <c r="L92" s="137"/>
      <c r="M92" s="137"/>
      <c r="N92" s="137"/>
      <c r="O92" s="137"/>
      <c r="P92" s="137"/>
      <c r="Q92" s="137"/>
      <c r="R92" s="137"/>
      <c r="S92" s="137"/>
      <c r="T92" s="137"/>
      <c r="U92" s="137"/>
      <c r="V92" s="137"/>
      <c r="W92" s="2342">
        <v>13617</v>
      </c>
      <c r="X92" s="2342">
        <v>14181</v>
      </c>
      <c r="Y92" s="137">
        <v>14510.16601684234</v>
      </c>
      <c r="Z92" s="137">
        <v>15508.897537423338</v>
      </c>
      <c r="AA92" s="137">
        <v>15881.305683305363</v>
      </c>
      <c r="AB92" s="137">
        <v>16495.966562291527</v>
      </c>
      <c r="AC92" s="137">
        <v>16964.475819196967</v>
      </c>
      <c r="AD92" s="137">
        <v>17272.220556366665</v>
      </c>
      <c r="AE92" s="137">
        <v>17676.06340717119</v>
      </c>
      <c r="AF92" s="137">
        <v>18536.285852003461</v>
      </c>
      <c r="AG92" s="137">
        <v>18941.223294400872</v>
      </c>
      <c r="AH92" s="137">
        <v>19324.963858611012</v>
      </c>
      <c r="AI92" s="137">
        <v>19815.650669355826</v>
      </c>
      <c r="AJ92" s="137">
        <v>20655.368659293079</v>
      </c>
      <c r="AK92" s="137">
        <v>21198.8173039627</v>
      </c>
      <c r="AL92" s="137">
        <v>21947.151316005085</v>
      </c>
      <c r="AM92" s="137">
        <v>22617.092887979805</v>
      </c>
      <c r="AN92" s="137">
        <v>23215.960849095565</v>
      </c>
      <c r="AO92" s="137">
        <v>23581.822751917545</v>
      </c>
      <c r="AP92" s="137">
        <v>23943.560200878841</v>
      </c>
      <c r="AQ92" s="137">
        <v>24280.014226532025</v>
      </c>
      <c r="AR92" s="137">
        <v>24640.785624686439</v>
      </c>
      <c r="AS92" s="137">
        <v>24691.579272121337</v>
      </c>
      <c r="AT92" s="137">
        <v>24671.751919907427</v>
      </c>
      <c r="AU92" s="137">
        <v>24589.990064665311</v>
      </c>
      <c r="AV92" s="137">
        <v>24961.433967884463</v>
      </c>
      <c r="AW92" s="137">
        <v>25629.840493084961</v>
      </c>
      <c r="AX92" s="137">
        <v>26567.429766013829</v>
      </c>
      <c r="AY92" s="137">
        <v>27493.17642633367</v>
      </c>
      <c r="AZ92" s="137">
        <v>27896.619657049516</v>
      </c>
      <c r="BA92" s="137">
        <v>28298.954090337538</v>
      </c>
      <c r="BB92" s="137">
        <v>28934.870985972539</v>
      </c>
      <c r="BC92" s="137">
        <v>29441.319246952124</v>
      </c>
      <c r="BD92" s="137">
        <v>30000.434709016452</v>
      </c>
      <c r="BE92" s="137">
        <v>30516.620493253071</v>
      </c>
      <c r="BF92" s="137">
        <v>31128.959721040097</v>
      </c>
      <c r="BG92" s="137">
        <v>31669.134337530839</v>
      </c>
      <c r="BH92" s="137">
        <v>32335.069059281843</v>
      </c>
      <c r="BI92" s="137">
        <v>32898.68890281253</v>
      </c>
      <c r="BJ92" s="137">
        <v>33513.182447551058</v>
      </c>
      <c r="BK92" s="137">
        <v>34153.949461308875</v>
      </c>
      <c r="BL92" s="137">
        <v>34868.447020437212</v>
      </c>
      <c r="BM92" s="137">
        <v>35551.904527404608</v>
      </c>
      <c r="BN92" s="137">
        <v>36222.987999931152</v>
      </c>
      <c r="BO92" s="137">
        <v>36848.357969104589</v>
      </c>
      <c r="BP92" s="137">
        <v>37478.773700206773</v>
      </c>
      <c r="BQ92" s="137">
        <v>38083.50814862366</v>
      </c>
      <c r="BR92" s="137">
        <v>38685.281794590417</v>
      </c>
      <c r="BS92" s="137">
        <v>39232.940973647637</v>
      </c>
      <c r="BT92" s="137">
        <v>39823.869955373593</v>
      </c>
      <c r="BU92" s="137">
        <v>40383.47047843878</v>
      </c>
      <c r="BV92" s="137">
        <v>40990.103010167681</v>
      </c>
      <c r="BW92" s="137">
        <v>41579.869271781499</v>
      </c>
      <c r="BX92" s="137">
        <v>42181.26618321053</v>
      </c>
      <c r="BY92" s="137">
        <v>42786.393160520849</v>
      </c>
      <c r="BZ92" s="137">
        <v>43446.332721921397</v>
      </c>
      <c r="CA92" s="137">
        <v>44064.128953064603</v>
      </c>
      <c r="CB92" s="137">
        <v>44649.717043774785</v>
      </c>
      <c r="CC92" s="137">
        <v>45256.530774937215</v>
      </c>
      <c r="CD92" s="137">
        <v>45852.394799557835</v>
      </c>
      <c r="CE92" s="137">
        <v>46437.851033015075</v>
      </c>
      <c r="CF92" s="137">
        <v>47041.719916982838</v>
      </c>
      <c r="CG92" s="137">
        <v>47630.208322041966</v>
      </c>
      <c r="CH92" s="137">
        <v>48214.009629701723</v>
      </c>
      <c r="CI92" s="137">
        <v>48821.151236792823</v>
      </c>
      <c r="CJ92" s="137">
        <v>49374.476807157829</v>
      </c>
      <c r="CK92" s="137">
        <v>49946.030847261864</v>
      </c>
      <c r="CL92" s="137">
        <v>50542.781855447058</v>
      </c>
      <c r="CM92" s="137">
        <v>51098.726097086226</v>
      </c>
      <c r="CN92" s="137">
        <v>51669.495206572581</v>
      </c>
      <c r="CO92" s="137">
        <v>52232.533043309435</v>
      </c>
      <c r="CP92" s="137">
        <v>52795.074307149531</v>
      </c>
      <c r="CQ92" s="137">
        <v>53348.279644558992</v>
      </c>
      <c r="CR92" s="137">
        <v>53880.234237436918</v>
      </c>
      <c r="CS92" s="137">
        <v>54432.3070949713</v>
      </c>
      <c r="CT92" s="137">
        <v>54961.955749884088</v>
      </c>
      <c r="CU92" s="137">
        <v>55491.663451050241</v>
      </c>
      <c r="CV92" s="137">
        <v>56007.582457924625</v>
      </c>
      <c r="CW92" s="137">
        <v>56524.775607328796</v>
      </c>
      <c r="CX92" s="137">
        <v>57049.880382312876</v>
      </c>
      <c r="CY92" s="137">
        <v>57551.016482713385</v>
      </c>
      <c r="CZ92" s="137">
        <v>58049.99347574194</v>
      </c>
      <c r="DA92" s="137">
        <v>58541.71676404473</v>
      </c>
      <c r="DB92" s="137">
        <v>59052.158947093718</v>
      </c>
      <c r="DC92" s="137">
        <v>59548.726588648213</v>
      </c>
      <c r="DD92" s="137">
        <v>60034.252620132756</v>
      </c>
      <c r="DE92" s="137">
        <v>60519.984102811948</v>
      </c>
      <c r="DF92" s="137">
        <v>61021.256950210947</v>
      </c>
      <c r="DG92" s="137">
        <v>61489.775180887002</v>
      </c>
      <c r="DH92" s="137">
        <v>61964.965858004856</v>
      </c>
      <c r="DI92" s="137">
        <v>62422.40773114514</v>
      </c>
      <c r="DJ92" s="137">
        <v>62901.180603946297</v>
      </c>
      <c r="DK92" s="137">
        <v>63364.960177154309</v>
      </c>
      <c r="DL92" s="137">
        <v>63814.004639264385</v>
      </c>
      <c r="DM92" s="137">
        <v>64259.534198272187</v>
      </c>
      <c r="DN92" s="137">
        <v>64700.203978583108</v>
      </c>
      <c r="DO92" s="137">
        <v>65152.691222876718</v>
      </c>
      <c r="DP92" s="137">
        <f>(G_Kohorte_F!DP92+G_Kohorte_M!DP92)/2</f>
        <v>65599.820800581947</v>
      </c>
      <c r="DQ92" s="137">
        <f>(G_Kohorte_F!DQ92+G_Kohorte_M!DQ92)/2</f>
        <v>66031.272858427503</v>
      </c>
      <c r="DR92" s="137">
        <f>(G_Kohorte_F!DR92+G_Kohorte_M!DR92)/2</f>
        <v>66468.128455876184</v>
      </c>
      <c r="DS92" s="137">
        <f>(G_Kohorte_F!DS92+G_Kohorte_M!DS92)/2</f>
        <v>66893.59430681057</v>
      </c>
      <c r="DT92" s="137">
        <f>(G_Kohorte_F!DT92+G_Kohorte_M!DT92)/2</f>
        <v>67323.570410956949</v>
      </c>
      <c r="DU92" s="137">
        <f>(G_Kohorte_F!DU92+G_Kohorte_M!DU92)/2</f>
        <v>67749.036273771548</v>
      </c>
    </row>
    <row r="93" spans="1:125">
      <c r="A93" s="2348">
        <v>91</v>
      </c>
      <c r="B93" s="137"/>
      <c r="C93" s="137"/>
      <c r="D93" s="137"/>
      <c r="E93" s="137"/>
      <c r="F93" s="137"/>
      <c r="G93" s="137"/>
      <c r="H93" s="137"/>
      <c r="I93" s="137"/>
      <c r="J93" s="137"/>
      <c r="K93" s="137"/>
      <c r="L93" s="137"/>
      <c r="M93" s="137"/>
      <c r="N93" s="137"/>
      <c r="O93" s="137"/>
      <c r="P93" s="137"/>
      <c r="Q93" s="137"/>
      <c r="R93" s="137"/>
      <c r="S93" s="137"/>
      <c r="T93" s="137"/>
      <c r="U93" s="137"/>
      <c r="V93" s="137"/>
      <c r="W93" s="2342">
        <v>11371</v>
      </c>
      <c r="X93" s="2342">
        <v>11810</v>
      </c>
      <c r="Y93" s="137">
        <v>12248.556754408652</v>
      </c>
      <c r="Z93" s="137">
        <v>12974.253609035302</v>
      </c>
      <c r="AA93" s="137">
        <v>13385.603941335727</v>
      </c>
      <c r="AB93" s="137">
        <v>13850.048029131634</v>
      </c>
      <c r="AC93" s="137">
        <v>14257.289401571801</v>
      </c>
      <c r="AD93" s="137">
        <v>14597.400232397014</v>
      </c>
      <c r="AE93" s="137">
        <v>14946.472099162347</v>
      </c>
      <c r="AF93" s="137">
        <v>15535.481990004719</v>
      </c>
      <c r="AG93" s="137">
        <v>15894.556423162696</v>
      </c>
      <c r="AH93" s="137">
        <v>16240.410507706623</v>
      </c>
      <c r="AI93" s="137">
        <v>16689.129762703313</v>
      </c>
      <c r="AJ93" s="137">
        <v>17434.736867735799</v>
      </c>
      <c r="AK93" s="137">
        <v>17932.637404333345</v>
      </c>
      <c r="AL93" s="137">
        <v>18605.07785582183</v>
      </c>
      <c r="AM93" s="137">
        <v>19214.211997151127</v>
      </c>
      <c r="AN93" s="137">
        <v>19765.926228781223</v>
      </c>
      <c r="AO93" s="137">
        <v>20120.391021324376</v>
      </c>
      <c r="AP93" s="137">
        <v>20471.779185381252</v>
      </c>
      <c r="AQ93" s="137">
        <v>20800.634264017557</v>
      </c>
      <c r="AR93" s="137">
        <v>21150.536574178375</v>
      </c>
      <c r="AS93" s="137">
        <v>21237.529191609981</v>
      </c>
      <c r="AT93" s="137">
        <v>21262.36522793732</v>
      </c>
      <c r="AU93" s="137">
        <v>21233.049669953187</v>
      </c>
      <c r="AV93" s="137">
        <v>21594.04939022295</v>
      </c>
      <c r="AW93" s="137">
        <v>22212.539724183145</v>
      </c>
      <c r="AX93" s="137">
        <v>23065.809502638869</v>
      </c>
      <c r="AY93" s="137">
        <v>23912.575527798021</v>
      </c>
      <c r="AZ93" s="137">
        <v>24307.83106092157</v>
      </c>
      <c r="BA93" s="137">
        <v>24702.643379448309</v>
      </c>
      <c r="BB93" s="137">
        <v>25300.963270351043</v>
      </c>
      <c r="BC93" s="137">
        <v>25787.820977320898</v>
      </c>
      <c r="BD93" s="137">
        <v>26320.797679483177</v>
      </c>
      <c r="BE93" s="137">
        <v>26817.708904846488</v>
      </c>
      <c r="BF93" s="137">
        <v>27399.939814258345</v>
      </c>
      <c r="BG93" s="137">
        <v>27920.752815638069</v>
      </c>
      <c r="BH93" s="137">
        <v>28552.152822674037</v>
      </c>
      <c r="BI93" s="137">
        <v>29094.833656785391</v>
      </c>
      <c r="BJ93" s="137">
        <v>29683.662415189669</v>
      </c>
      <c r="BK93" s="137">
        <v>30296.969128831995</v>
      </c>
      <c r="BL93" s="137">
        <v>30976.839534441453</v>
      </c>
      <c r="BM93" s="137">
        <v>31630.29588202354</v>
      </c>
      <c r="BN93" s="137">
        <v>32274.200767704249</v>
      </c>
      <c r="BO93" s="137">
        <v>32878.444216910051</v>
      </c>
      <c r="BP93" s="137">
        <v>33488.685275743701</v>
      </c>
      <c r="BQ93" s="137">
        <v>34076.747381756111</v>
      </c>
      <c r="BR93" s="137">
        <v>34663.346105238466</v>
      </c>
      <c r="BS93" s="137">
        <v>35202.53064343099</v>
      </c>
      <c r="BT93" s="137">
        <v>35781.166979101137</v>
      </c>
      <c r="BU93" s="137">
        <v>36332.684175167436</v>
      </c>
      <c r="BV93" s="137">
        <v>36927.079897512915</v>
      </c>
      <c r="BW93" s="137">
        <v>37507.400977889971</v>
      </c>
      <c r="BX93" s="137">
        <v>38098.829134890359</v>
      </c>
      <c r="BY93" s="137">
        <v>38694.381411416689</v>
      </c>
      <c r="BZ93" s="137">
        <v>39340.380201810025</v>
      </c>
      <c r="CA93" s="137">
        <v>39949.304285636899</v>
      </c>
      <c r="CB93" s="137">
        <v>40530.017524084586</v>
      </c>
      <c r="CC93" s="137">
        <v>41130.204760068431</v>
      </c>
      <c r="CD93" s="137">
        <v>41721.370010300503</v>
      </c>
      <c r="CE93" s="137">
        <v>42303.858067820416</v>
      </c>
      <c r="CF93" s="137">
        <v>42903.614607238356</v>
      </c>
      <c r="CG93" s="137">
        <v>43490.274397657828</v>
      </c>
      <c r="CH93" s="137">
        <v>44073.199794293614</v>
      </c>
      <c r="CI93" s="137">
        <v>44678.091554964674</v>
      </c>
      <c r="CJ93" s="137">
        <v>45234.49590708426</v>
      </c>
      <c r="CK93" s="137">
        <v>45808.158730429932</v>
      </c>
      <c r="CL93" s="137">
        <v>46405.344583684237</v>
      </c>
      <c r="CM93" s="137">
        <v>46965.788376933953</v>
      </c>
      <c r="CN93" s="137">
        <v>47540.385818290088</v>
      </c>
      <c r="CO93" s="137">
        <v>48108.139773137154</v>
      </c>
      <c r="CP93" s="137">
        <v>48676.176077804434</v>
      </c>
      <c r="CQ93" s="137">
        <v>49235.974623737668</v>
      </c>
      <c r="CR93" s="137">
        <v>49776.770656206849</v>
      </c>
      <c r="CS93" s="137">
        <v>50336.402483917787</v>
      </c>
      <c r="CT93" s="137">
        <v>50875.790788468366</v>
      </c>
      <c r="CU93" s="137">
        <v>51415.53999913024</v>
      </c>
      <c r="CV93" s="137">
        <v>51942.878639672039</v>
      </c>
      <c r="CW93" s="137">
        <v>52471.882462487665</v>
      </c>
      <c r="CX93" s="137">
        <v>53008.379836611639</v>
      </c>
      <c r="CY93" s="137">
        <v>53523.059443865706</v>
      </c>
      <c r="CZ93" s="137">
        <v>54035.833571598843</v>
      </c>
      <c r="DA93" s="137">
        <v>54542.242505665912</v>
      </c>
      <c r="DB93" s="137">
        <v>55066.22215209165</v>
      </c>
      <c r="DC93" s="137">
        <v>55577.698886300117</v>
      </c>
      <c r="DD93" s="137">
        <v>56078.984277784497</v>
      </c>
      <c r="DE93" s="137">
        <v>56580.738971514045</v>
      </c>
      <c r="DF93" s="137">
        <v>57097.242490612058</v>
      </c>
      <c r="DG93" s="137">
        <v>57583.176154386994</v>
      </c>
      <c r="DH93" s="137">
        <v>58075.647326665887</v>
      </c>
      <c r="DI93" s="137">
        <v>58551.539467436909</v>
      </c>
      <c r="DJ93" s="137">
        <v>59047.599222775709</v>
      </c>
      <c r="DK93" s="137">
        <v>59529.81774538492</v>
      </c>
      <c r="DL93" s="137">
        <v>59998.303302790519</v>
      </c>
      <c r="DM93" s="137">
        <v>60463.477093951398</v>
      </c>
      <c r="DN93" s="137">
        <v>60924.285529257017</v>
      </c>
      <c r="DO93" s="137">
        <v>61396.254760172567</v>
      </c>
      <c r="DP93" s="137">
        <f>(G_Kohorte_F!DP93+G_Kohorte_M!DP93)/2</f>
        <v>61863.304161325475</v>
      </c>
      <c r="DQ93" s="137">
        <f>(G_Kohorte_F!DQ93+G_Kohorte_M!DQ93)/2</f>
        <v>62315.611341977397</v>
      </c>
      <c r="DR93" s="137">
        <f>(G_Kohorte_F!DR93+G_Kohorte_M!DR93)/2</f>
        <v>62773.005392976462</v>
      </c>
      <c r="DS93" s="137">
        <f>(G_Kohorte_F!DS93+G_Kohorte_M!DS93)/2</f>
        <v>63219.80743447924</v>
      </c>
      <c r="DT93" s="137">
        <f>(G_Kohorte_F!DT93+G_Kohorte_M!DT93)/2</f>
        <v>63670.857230107009</v>
      </c>
      <c r="DU93" s="137">
        <f>(G_Kohorte_F!DU93+G_Kohorte_M!DU93)/2</f>
        <v>64117.67743346325</v>
      </c>
    </row>
    <row r="94" spans="1:125">
      <c r="A94" s="2348">
        <v>92</v>
      </c>
      <c r="B94" s="137"/>
      <c r="C94" s="137"/>
      <c r="D94" s="137"/>
      <c r="E94" s="137"/>
      <c r="F94" s="137"/>
      <c r="G94" s="137"/>
      <c r="H94" s="137"/>
      <c r="I94" s="137"/>
      <c r="J94" s="137"/>
      <c r="K94" s="137"/>
      <c r="L94" s="137"/>
      <c r="M94" s="137"/>
      <c r="N94" s="137"/>
      <c r="O94" s="137"/>
      <c r="P94" s="137"/>
      <c r="Q94" s="137"/>
      <c r="R94" s="137"/>
      <c r="S94" s="137"/>
      <c r="T94" s="137"/>
      <c r="U94" s="137"/>
      <c r="V94" s="137"/>
      <c r="W94" s="2342">
        <v>9247</v>
      </c>
      <c r="X94" s="2342">
        <v>9720.5</v>
      </c>
      <c r="Y94" s="137">
        <v>9983.2649732477566</v>
      </c>
      <c r="Z94" s="137">
        <v>10700.615587006107</v>
      </c>
      <c r="AA94" s="137">
        <v>10971.088210155429</v>
      </c>
      <c r="AB94" s="137">
        <v>11394.965094848132</v>
      </c>
      <c r="AC94" s="137">
        <v>11793.696589076964</v>
      </c>
      <c r="AD94" s="137">
        <v>12090.94127171304</v>
      </c>
      <c r="AE94" s="137">
        <v>12258.924251815377</v>
      </c>
      <c r="AF94" s="137">
        <v>12744.459461190621</v>
      </c>
      <c r="AG94" s="137">
        <v>13045.376293629977</v>
      </c>
      <c r="AH94" s="137">
        <v>13361.405671989065</v>
      </c>
      <c r="AI94" s="137">
        <v>13763.499323382772</v>
      </c>
      <c r="AJ94" s="137">
        <v>14413.218392770308</v>
      </c>
      <c r="AK94" s="137">
        <v>14860.46169452986</v>
      </c>
      <c r="AL94" s="137">
        <v>15453.627187112168</v>
      </c>
      <c r="AM94" s="137">
        <v>15997.223575178534</v>
      </c>
      <c r="AN94" s="137">
        <v>16495.874294380617</v>
      </c>
      <c r="AO94" s="137">
        <v>16831.126059187547</v>
      </c>
      <c r="AP94" s="137">
        <v>17164.393651472998</v>
      </c>
      <c r="AQ94" s="137">
        <v>17478.115889621753</v>
      </c>
      <c r="AR94" s="137">
        <v>17809.883123544583</v>
      </c>
      <c r="AS94" s="137">
        <v>17923.318425184429</v>
      </c>
      <c r="AT94" s="137">
        <v>17982.360934613331</v>
      </c>
      <c r="AU94" s="137">
        <v>17995.653820694024</v>
      </c>
      <c r="AV94" s="137">
        <v>18338.983659528363</v>
      </c>
      <c r="AW94" s="137">
        <v>18901.700790302966</v>
      </c>
      <c r="AX94" s="137">
        <v>19665.745998002705</v>
      </c>
      <c r="AY94" s="137">
        <v>20427.906404592581</v>
      </c>
      <c r="AZ94" s="137">
        <v>20807.092178344421</v>
      </c>
      <c r="BA94" s="137">
        <v>21186.561913971786</v>
      </c>
      <c r="BB94" s="137">
        <v>21740.388907186134</v>
      </c>
      <c r="BC94" s="137">
        <v>22200.235141073725</v>
      </c>
      <c r="BD94" s="137">
        <v>22699.943304885619</v>
      </c>
      <c r="BE94" s="137">
        <v>23170.205772440102</v>
      </c>
      <c r="BF94" s="137">
        <v>23715.119685808444</v>
      </c>
      <c r="BG94" s="137">
        <v>24209.015302582564</v>
      </c>
      <c r="BH94" s="137">
        <v>24798.695451834898</v>
      </c>
      <c r="BI94" s="137">
        <v>25313.014481484577</v>
      </c>
      <c r="BJ94" s="137">
        <v>25868.73911191053</v>
      </c>
      <c r="BK94" s="137">
        <v>26447.102649745724</v>
      </c>
      <c r="BL94" s="137">
        <v>27084.836720180905</v>
      </c>
      <c r="BM94" s="137">
        <v>27700.744028875499</v>
      </c>
      <c r="BN94" s="137">
        <v>28309.838133146975</v>
      </c>
      <c r="BO94" s="137">
        <v>28885.325098502333</v>
      </c>
      <c r="BP94" s="137">
        <v>29467.673740201684</v>
      </c>
      <c r="BQ94" s="137">
        <v>30031.404686633192</v>
      </c>
      <c r="BR94" s="137">
        <v>30595.145160674074</v>
      </c>
      <c r="BS94" s="137">
        <v>31118.229747166282</v>
      </c>
      <c r="BT94" s="137">
        <v>31676.952299166289</v>
      </c>
      <c r="BU94" s="137">
        <v>32212.817970623437</v>
      </c>
      <c r="BV94" s="137">
        <v>32787.40263440775</v>
      </c>
      <c r="BW94" s="137">
        <v>33350.731872611483</v>
      </c>
      <c r="BX94" s="137">
        <v>33924.689881054153</v>
      </c>
      <c r="BY94" s="137">
        <v>34503.207743588529</v>
      </c>
      <c r="BZ94" s="137">
        <v>35127.714294575839</v>
      </c>
      <c r="CA94" s="137">
        <v>35720.328518132388</v>
      </c>
      <c r="CB94" s="137">
        <v>36288.837753941974</v>
      </c>
      <c r="CC94" s="137">
        <v>36875.134566950277</v>
      </c>
      <c r="CD94" s="137">
        <v>37454.402106161506</v>
      </c>
      <c r="CE94" s="137">
        <v>38026.805982424768</v>
      </c>
      <c r="CF94" s="137">
        <v>38615.364691590119</v>
      </c>
      <c r="CG94" s="137">
        <v>39193.198036727299</v>
      </c>
      <c r="CH94" s="137">
        <v>39768.347565393669</v>
      </c>
      <c r="CI94" s="137">
        <v>40364.083504725044</v>
      </c>
      <c r="CJ94" s="137">
        <v>40916.909416045441</v>
      </c>
      <c r="CK94" s="137">
        <v>41486.040060848034</v>
      </c>
      <c r="CL94" s="137">
        <v>42077.023013764629</v>
      </c>
      <c r="CM94" s="137">
        <v>42635.548800353776</v>
      </c>
      <c r="CN94" s="137">
        <v>43207.585018042257</v>
      </c>
      <c r="CO94" s="137">
        <v>43773.804008102183</v>
      </c>
      <c r="CP94" s="137">
        <v>44341.152417747959</v>
      </c>
      <c r="CQ94" s="137">
        <v>44901.49793295897</v>
      </c>
      <c r="CR94" s="137">
        <v>45445.255896659488</v>
      </c>
      <c r="CS94" s="137">
        <v>46006.58925451705</v>
      </c>
      <c r="CT94" s="137">
        <v>46550.043527118061</v>
      </c>
      <c r="CU94" s="137">
        <v>47094.261448235309</v>
      </c>
      <c r="CV94" s="137">
        <v>47627.603839166441</v>
      </c>
      <c r="CW94" s="137">
        <v>48163.084330940263</v>
      </c>
      <c r="CX94" s="137">
        <v>48705.714336574427</v>
      </c>
      <c r="CY94" s="137">
        <v>49228.876117524735</v>
      </c>
      <c r="CZ94" s="137">
        <v>49750.506302908303</v>
      </c>
      <c r="DA94" s="137">
        <v>50266.785533728878</v>
      </c>
      <c r="DB94" s="137">
        <v>50799.505272711394</v>
      </c>
      <c r="DC94" s="137">
        <v>51321.248115765891</v>
      </c>
      <c r="DD94" s="137">
        <v>51833.807897226943</v>
      </c>
      <c r="DE94" s="137">
        <v>52347.195344252126</v>
      </c>
      <c r="DF94" s="137">
        <v>52874.561343161593</v>
      </c>
      <c r="DG94" s="137">
        <v>53373.805661067934</v>
      </c>
      <c r="DH94" s="137">
        <v>53879.512229162327</v>
      </c>
      <c r="DI94" s="137">
        <v>54369.998949418201</v>
      </c>
      <c r="DJ94" s="137">
        <v>54879.479775373635</v>
      </c>
      <c r="DK94" s="137">
        <v>55376.438913104066</v>
      </c>
      <c r="DL94" s="137">
        <v>55860.837258864463</v>
      </c>
      <c r="DM94" s="137">
        <v>56342.243161543534</v>
      </c>
      <c r="DN94" s="137">
        <v>56819.893186754111</v>
      </c>
      <c r="DO94" s="137">
        <v>57308.082122140186</v>
      </c>
      <c r="DP94" s="137">
        <f>(G_Kohorte_F!DP94+G_Kohorte_M!DP94)/2</f>
        <v>57791.907316329671</v>
      </c>
      <c r="DQ94" s="137">
        <f>(G_Kohorte_F!DQ94+G_Kohorte_M!DQ94)/2</f>
        <v>58262.09763491631</v>
      </c>
      <c r="DR94" s="137">
        <f>(G_Kohorte_F!DR94+G_Kohorte_M!DR94)/2</f>
        <v>58737.122329334496</v>
      </c>
      <c r="DS94" s="137">
        <f>(G_Kohorte_F!DS94+G_Kohorte_M!DS94)/2</f>
        <v>59202.498076060656</v>
      </c>
      <c r="DT94" s="137">
        <f>(G_Kohorte_F!DT94+G_Kohorte_M!DT94)/2</f>
        <v>59671.925351363476</v>
      </c>
      <c r="DU94" s="137">
        <f>(G_Kohorte_F!DU94+G_Kohorte_M!DU94)/2</f>
        <v>60137.514080910376</v>
      </c>
    </row>
    <row r="95" spans="1:125">
      <c r="A95" s="2348">
        <v>93</v>
      </c>
      <c r="B95" s="137"/>
      <c r="C95" s="137"/>
      <c r="D95" s="137"/>
      <c r="E95" s="137"/>
      <c r="F95" s="137"/>
      <c r="G95" s="137"/>
      <c r="H95" s="137"/>
      <c r="I95" s="137"/>
      <c r="J95" s="137"/>
      <c r="K95" s="137"/>
      <c r="L95" s="137"/>
      <c r="M95" s="137"/>
      <c r="N95" s="137"/>
      <c r="O95" s="137"/>
      <c r="P95" s="137"/>
      <c r="Q95" s="137"/>
      <c r="R95" s="137"/>
      <c r="S95" s="137"/>
      <c r="T95" s="137"/>
      <c r="U95" s="137"/>
      <c r="V95" s="137"/>
      <c r="W95" s="2342">
        <v>7443</v>
      </c>
      <c r="X95" s="2342">
        <v>7720</v>
      </c>
      <c r="Y95" s="137">
        <v>8047.176270800479</v>
      </c>
      <c r="Z95" s="137">
        <v>8539.4226534289919</v>
      </c>
      <c r="AA95" s="137">
        <v>8768.3404388063045</v>
      </c>
      <c r="AB95" s="137">
        <v>9184.0461648094206</v>
      </c>
      <c r="AC95" s="137">
        <v>9505.533053832396</v>
      </c>
      <c r="AD95" s="137">
        <v>9643.4873060789687</v>
      </c>
      <c r="AE95" s="137">
        <v>9740.7880262254348</v>
      </c>
      <c r="AF95" s="137">
        <v>10191.895998215106</v>
      </c>
      <c r="AG95" s="137">
        <v>10460.651708565176</v>
      </c>
      <c r="AH95" s="137">
        <v>10742.344398217598</v>
      </c>
      <c r="AI95" s="137">
        <v>11094.6267715701</v>
      </c>
      <c r="AJ95" s="137">
        <v>11649.10071594896</v>
      </c>
      <c r="AK95" s="137">
        <v>12042.111596963006</v>
      </c>
      <c r="AL95" s="137">
        <v>12554.67132289998</v>
      </c>
      <c r="AM95" s="137">
        <v>13029.779442033794</v>
      </c>
      <c r="AN95" s="137">
        <v>13470.980274663794</v>
      </c>
      <c r="AO95" s="137">
        <v>13780.008486840206</v>
      </c>
      <c r="AP95" s="137">
        <v>14088.117073511643</v>
      </c>
      <c r="AQ95" s="137">
        <v>14379.778393507919</v>
      </c>
      <c r="AR95" s="137">
        <v>14686.766731743835</v>
      </c>
      <c r="AS95" s="137">
        <v>14815.692147944874</v>
      </c>
      <c r="AT95" s="137">
        <v>14898.775151021473</v>
      </c>
      <c r="AU95" s="137">
        <v>14944.154464976647</v>
      </c>
      <c r="AV95" s="137">
        <v>15263.085180560196</v>
      </c>
      <c r="AW95" s="137">
        <v>15765.408276332557</v>
      </c>
      <c r="AX95" s="137">
        <v>16437.20866546793</v>
      </c>
      <c r="AY95" s="137">
        <v>17110.902459428431</v>
      </c>
      <c r="AZ95" s="137">
        <v>17466.457460034013</v>
      </c>
      <c r="BA95" s="137">
        <v>17823.028403914046</v>
      </c>
      <c r="BB95" s="137">
        <v>18326.284714471167</v>
      </c>
      <c r="BC95" s="137">
        <v>18752.121389047294</v>
      </c>
      <c r="BD95" s="137">
        <v>19211.942251271517</v>
      </c>
      <c r="BE95" s="137">
        <v>19648.521903533252</v>
      </c>
      <c r="BF95" s="137">
        <v>20149.430908287024</v>
      </c>
      <c r="BG95" s="137">
        <v>20609.125661352562</v>
      </c>
      <c r="BH95" s="137">
        <v>21150.437131562001</v>
      </c>
      <c r="BI95" s="137">
        <v>21629.20160758448</v>
      </c>
      <c r="BJ95" s="137">
        <v>22144.672371317407</v>
      </c>
      <c r="BK95" s="137">
        <v>22680.900025332165</v>
      </c>
      <c r="BL95" s="137">
        <v>23269.385334253609</v>
      </c>
      <c r="BM95" s="137">
        <v>23840.46551964535</v>
      </c>
      <c r="BN95" s="137">
        <v>24407.295427409848</v>
      </c>
      <c r="BO95" s="137">
        <v>24946.422036303658</v>
      </c>
      <c r="BP95" s="137">
        <v>25493.133107775495</v>
      </c>
      <c r="BQ95" s="137">
        <v>26024.746735737761</v>
      </c>
      <c r="BR95" s="137">
        <v>26557.756386985544</v>
      </c>
      <c r="BS95" s="137">
        <v>27056.766129964049</v>
      </c>
      <c r="BT95" s="137">
        <v>27587.648008829361</v>
      </c>
      <c r="BU95" s="137">
        <v>28099.877904273017</v>
      </c>
      <c r="BV95" s="137">
        <v>28646.712028382914</v>
      </c>
      <c r="BW95" s="137">
        <v>29185.054854721544</v>
      </c>
      <c r="BX95" s="137">
        <v>29733.576854064595</v>
      </c>
      <c r="BY95" s="137">
        <v>30287.102196228334</v>
      </c>
      <c r="BZ95" s="137">
        <v>30882.118319010704</v>
      </c>
      <c r="CA95" s="137">
        <v>31450.418015303174</v>
      </c>
      <c r="CB95" s="137">
        <v>31998.72854170949</v>
      </c>
      <c r="CC95" s="137">
        <v>32563.217744092522</v>
      </c>
      <c r="CD95" s="137">
        <v>33122.676112492081</v>
      </c>
      <c r="CE95" s="137">
        <v>33677.113874701179</v>
      </c>
      <c r="CF95" s="137">
        <v>34246.623335658238</v>
      </c>
      <c r="CG95" s="137">
        <v>34807.803766777906</v>
      </c>
      <c r="CH95" s="137">
        <v>35367.414200093495</v>
      </c>
      <c r="CI95" s="137">
        <v>35946.228246444763</v>
      </c>
      <c r="CJ95" s="137">
        <v>36487.85162470537</v>
      </c>
      <c r="CK95" s="137">
        <v>37044.840777700534</v>
      </c>
      <c r="CL95" s="137">
        <v>37622.026599168035</v>
      </c>
      <c r="CM95" s="137">
        <v>38171.178863392779</v>
      </c>
      <c r="CN95" s="137">
        <v>38733.221760395783</v>
      </c>
      <c r="CO95" s="137">
        <v>39290.588475944329</v>
      </c>
      <c r="CP95" s="137">
        <v>39849.971214334131</v>
      </c>
      <c r="CQ95" s="137">
        <v>40403.695977527095</v>
      </c>
      <c r="CR95" s="137">
        <v>40943.36879407274</v>
      </c>
      <c r="CS95" s="137">
        <v>41499.389271039807</v>
      </c>
      <c r="CT95" s="137">
        <v>42040.03777075799</v>
      </c>
      <c r="CU95" s="137">
        <v>42581.942254804948</v>
      </c>
      <c r="CV95" s="137">
        <v>43114.637193751856</v>
      </c>
      <c r="CW95" s="137">
        <v>43650.01068821831</v>
      </c>
      <c r="CX95" s="137">
        <v>44192.266211099151</v>
      </c>
      <c r="CY95" s="137">
        <v>44717.567055253123</v>
      </c>
      <c r="CZ95" s="137">
        <v>45241.826556605403</v>
      </c>
      <c r="DA95" s="137">
        <v>45761.858850564211</v>
      </c>
      <c r="DB95" s="137">
        <v>46297.232383923059</v>
      </c>
      <c r="DC95" s="137">
        <v>46823.288025856367</v>
      </c>
      <c r="DD95" s="137">
        <v>47341.318378389908</v>
      </c>
      <c r="DE95" s="137">
        <v>47860.624540215169</v>
      </c>
      <c r="DF95" s="137">
        <v>48393.169142552346</v>
      </c>
      <c r="DG95" s="137">
        <v>48900.284237755302</v>
      </c>
      <c r="DH95" s="137">
        <v>49413.846363106801</v>
      </c>
      <c r="DI95" s="137">
        <v>49913.730185179316</v>
      </c>
      <c r="DJ95" s="137">
        <v>50431.437636550821</v>
      </c>
      <c r="DK95" s="137">
        <v>50938.101193065617</v>
      </c>
      <c r="DL95" s="137">
        <v>51433.541570299596</v>
      </c>
      <c r="DM95" s="137">
        <v>51926.430247037031</v>
      </c>
      <c r="DN95" s="137">
        <v>52416.286287092691</v>
      </c>
      <c r="DO95" s="137">
        <v>52916.1059104991</v>
      </c>
      <c r="DP95" s="137">
        <f>(G_Kohorte_F!DP95+G_Kohorte_M!DP95)/2</f>
        <v>53412.237742001642</v>
      </c>
      <c r="DQ95" s="137">
        <f>(G_Kohorte_F!DQ95+G_Kohorte_M!DQ95)/2</f>
        <v>53896.014491889706</v>
      </c>
      <c r="DR95" s="137">
        <f>(G_Kohorte_F!DR95+G_Kohorte_M!DR95)/2</f>
        <v>54384.447981467791</v>
      </c>
      <c r="DS95" s="137">
        <f>(G_Kohorte_F!DS95+G_Kohorte_M!DS95)/2</f>
        <v>54864.3206251015</v>
      </c>
      <c r="DT95" s="137">
        <f>(G_Kohorte_F!DT95+G_Kohorte_M!DT95)/2</f>
        <v>55348.125572335404</v>
      </c>
      <c r="DU95" s="137">
        <f>(G_Kohorte_F!DU95+G_Kohorte_M!DU95)/2</f>
        <v>55828.59996335797</v>
      </c>
    </row>
    <row r="96" spans="1:125">
      <c r="A96" s="2348">
        <v>94</v>
      </c>
      <c r="B96" s="137"/>
      <c r="C96" s="137"/>
      <c r="D96" s="137"/>
      <c r="E96" s="137"/>
      <c r="F96" s="137"/>
      <c r="G96" s="137"/>
      <c r="H96" s="137"/>
      <c r="I96" s="137"/>
      <c r="J96" s="137"/>
      <c r="K96" s="137"/>
      <c r="L96" s="137"/>
      <c r="M96" s="137"/>
      <c r="N96" s="137"/>
      <c r="O96" s="137"/>
      <c r="P96" s="137"/>
      <c r="Q96" s="137"/>
      <c r="R96" s="137"/>
      <c r="S96" s="137"/>
      <c r="T96" s="137"/>
      <c r="U96" s="137"/>
      <c r="V96" s="137"/>
      <c r="W96" s="2342">
        <v>5750.5</v>
      </c>
      <c r="X96" s="2342">
        <v>5987</v>
      </c>
      <c r="Y96" s="137">
        <v>6269.8152582969187</v>
      </c>
      <c r="Z96" s="137">
        <v>6654.1382264920703</v>
      </c>
      <c r="AA96" s="137">
        <v>6871.6932935795594</v>
      </c>
      <c r="AB96" s="137">
        <v>7240.1053768420988</v>
      </c>
      <c r="AC96" s="137">
        <v>7379.5935278758498</v>
      </c>
      <c r="AD96" s="137">
        <v>7486.4213402285841</v>
      </c>
      <c r="AE96" s="137">
        <v>7571.5178019898676</v>
      </c>
      <c r="AF96" s="137">
        <v>7946.1456537066779</v>
      </c>
      <c r="AG96" s="137">
        <v>8179.6151225115373</v>
      </c>
      <c r="AH96" s="137">
        <v>8424.0312094564233</v>
      </c>
      <c r="AI96" s="137">
        <v>8725.1200146194715</v>
      </c>
      <c r="AJ96" s="137">
        <v>9187.5517399425553</v>
      </c>
      <c r="AK96" s="137">
        <v>9524.6516454757875</v>
      </c>
      <c r="AL96" s="137">
        <v>9957.5825548261637</v>
      </c>
      <c r="AM96" s="137">
        <v>10363.37615505638</v>
      </c>
      <c r="AN96" s="137">
        <v>10744.6841964778</v>
      </c>
      <c r="AO96" s="137">
        <v>11021.832076271345</v>
      </c>
      <c r="AP96" s="137">
        <v>11299.025663967923</v>
      </c>
      <c r="AQ96" s="137">
        <v>11562.846882327263</v>
      </c>
      <c r="AR96" s="137">
        <v>11838.601370564329</v>
      </c>
      <c r="AS96" s="137">
        <v>11973.409444891475</v>
      </c>
      <c r="AT96" s="137">
        <v>12070.571430448017</v>
      </c>
      <c r="AU96" s="137">
        <v>12137.511049752975</v>
      </c>
      <c r="AV96" s="137">
        <v>12426.331098559749</v>
      </c>
      <c r="AW96" s="137">
        <v>12865.31626593932</v>
      </c>
      <c r="AX96" s="137">
        <v>13444.124324051691</v>
      </c>
      <c r="AY96" s="137">
        <v>14027.685522025849</v>
      </c>
      <c r="AZ96" s="137">
        <v>14352.931400014912</v>
      </c>
      <c r="BA96" s="137">
        <v>14679.869069468121</v>
      </c>
      <c r="BB96" s="137">
        <v>15127.803094814008</v>
      </c>
      <c r="BC96" s="137">
        <v>15513.590469192353</v>
      </c>
      <c r="BD96" s="137">
        <v>15927.937109366196</v>
      </c>
      <c r="BE96" s="137">
        <v>16324.671528289262</v>
      </c>
      <c r="BF96" s="137">
        <v>16775.931317387342</v>
      </c>
      <c r="BG96" s="137">
        <v>17194.950723333939</v>
      </c>
      <c r="BH96" s="137">
        <v>17682.301260544573</v>
      </c>
      <c r="BI96" s="137">
        <v>18119.076027196304</v>
      </c>
      <c r="BJ96" s="137">
        <v>18587.959725349439</v>
      </c>
      <c r="BK96" s="137">
        <v>19075.676098651842</v>
      </c>
      <c r="BL96" s="137">
        <v>19608.725398063329</v>
      </c>
      <c r="BM96" s="137">
        <v>20128.496806992589</v>
      </c>
      <c r="BN96" s="137">
        <v>20646.314349384509</v>
      </c>
      <c r="BO96" s="137">
        <v>21142.023343838609</v>
      </c>
      <c r="BP96" s="137">
        <v>21645.843919653194</v>
      </c>
      <c r="BQ96" s="137">
        <v>22137.937883940904</v>
      </c>
      <c r="BR96" s="137">
        <v>22632.661300433036</v>
      </c>
      <c r="BS96" s="137">
        <v>23099.766079806272</v>
      </c>
      <c r="BT96" s="137">
        <v>23595.065926802345</v>
      </c>
      <c r="BU96" s="137">
        <v>24075.739887702443</v>
      </c>
      <c r="BV96" s="137">
        <v>24586.99666718701</v>
      </c>
      <c r="BW96" s="137">
        <v>25092.37884955771</v>
      </c>
      <c r="BX96" s="137">
        <v>25607.495439778933</v>
      </c>
      <c r="BY96" s="137">
        <v>26128.024488668372</v>
      </c>
      <c r="BZ96" s="137">
        <v>26685.559437807351</v>
      </c>
      <c r="CA96" s="137">
        <v>27221.410992811398</v>
      </c>
      <c r="CB96" s="137">
        <v>27741.285009769028</v>
      </c>
      <c r="CC96" s="137">
        <v>28275.811902977672</v>
      </c>
      <c r="CD96" s="137">
        <v>28807.240871014343</v>
      </c>
      <c r="CE96" s="137">
        <v>29335.455858967733</v>
      </c>
      <c r="CF96" s="137">
        <v>29877.683225694222</v>
      </c>
      <c r="CG96" s="137">
        <v>30413.92614628873</v>
      </c>
      <c r="CH96" s="137">
        <v>30949.729365351064</v>
      </c>
      <c r="CI96" s="137">
        <v>31503.348223134628</v>
      </c>
      <c r="CJ96" s="137">
        <v>32025.506775168622</v>
      </c>
      <c r="CK96" s="137">
        <v>32562.098350103799</v>
      </c>
      <c r="CL96" s="137">
        <v>33117.252854482322</v>
      </c>
      <c r="CM96" s="137">
        <v>33648.832771076501</v>
      </c>
      <c r="CN96" s="137">
        <v>34192.694462139829</v>
      </c>
      <c r="CO96" s="137">
        <v>34733.098898570839</v>
      </c>
      <c r="CP96" s="137">
        <v>35276.404739114907</v>
      </c>
      <c r="CQ96" s="137">
        <v>35815.467050786479</v>
      </c>
      <c r="CR96" s="137">
        <v>36343.06990548077</v>
      </c>
      <c r="CS96" s="137">
        <v>36885.830062638961</v>
      </c>
      <c r="CT96" s="137">
        <v>37415.809170698427</v>
      </c>
      <c r="CU96" s="137">
        <v>37947.603613991225</v>
      </c>
      <c r="CV96" s="137">
        <v>38471.944315042718</v>
      </c>
      <c r="CW96" s="137">
        <v>38999.545689967919</v>
      </c>
      <c r="CX96" s="137">
        <v>39533.832235049646</v>
      </c>
      <c r="CY96" s="137">
        <v>40053.788872943536</v>
      </c>
      <c r="CZ96" s="137">
        <v>40573.296054618826</v>
      </c>
      <c r="DA96" s="137">
        <v>41089.779735870412</v>
      </c>
      <c r="DB96" s="137">
        <v>41620.544247806334</v>
      </c>
      <c r="DC96" s="137">
        <v>42143.746338695433</v>
      </c>
      <c r="DD96" s="137">
        <v>42660.209100085762</v>
      </c>
      <c r="DE96" s="137">
        <v>43178.470385743363</v>
      </c>
      <c r="DF96" s="137">
        <v>43709.262145174813</v>
      </c>
      <c r="DG96" s="137">
        <v>44217.523254859945</v>
      </c>
      <c r="DH96" s="137">
        <v>44732.26801487281</v>
      </c>
      <c r="DI96" s="137">
        <v>45235.037797213066</v>
      </c>
      <c r="DJ96" s="137">
        <v>45754.47321575808</v>
      </c>
      <c r="DK96" s="137">
        <v>46264.478030634164</v>
      </c>
      <c r="DL96" s="137">
        <v>46764.745534408168</v>
      </c>
      <c r="DM96" s="137">
        <v>47263.019957086901</v>
      </c>
      <c r="DN96" s="137">
        <v>47759.087021664243</v>
      </c>
      <c r="DO96" s="137">
        <v>48264.59585194863</v>
      </c>
      <c r="DP96" s="137">
        <f>(G_Kohorte_F!DP96+G_Kohorte_M!DP96)/2</f>
        <v>48767.204651818916</v>
      </c>
      <c r="DQ96" s="137">
        <f>(G_Kohorte_F!DQ96+G_Kohorte_M!DQ96)/2</f>
        <v>49258.899537463163</v>
      </c>
      <c r="DR96" s="137">
        <f>(G_Kohorte_F!DR96+G_Kohorte_M!DR96)/2</f>
        <v>49755.153383158206</v>
      </c>
      <c r="DS96" s="137">
        <f>(G_Kohorte_F!DS96+G_Kohorte_M!DS96)/2</f>
        <v>50244.068236183812</v>
      </c>
      <c r="DT96" s="137">
        <f>(G_Kohorte_F!DT96+G_Kohorte_M!DT96)/2</f>
        <v>50736.87828265447</v>
      </c>
      <c r="DU96" s="137">
        <f>(G_Kohorte_F!DU96+G_Kohorte_M!DU96)/2</f>
        <v>51226.981249030665</v>
      </c>
    </row>
    <row r="97" spans="1:125">
      <c r="A97" s="2348">
        <v>95</v>
      </c>
      <c r="B97" s="137"/>
      <c r="C97" s="137"/>
      <c r="D97" s="137"/>
      <c r="E97" s="137"/>
      <c r="F97" s="137"/>
      <c r="G97" s="137"/>
      <c r="H97" s="137"/>
      <c r="I97" s="137"/>
      <c r="J97" s="137"/>
      <c r="K97" s="137"/>
      <c r="L97" s="137"/>
      <c r="M97" s="137"/>
      <c r="N97" s="137"/>
      <c r="O97" s="137"/>
      <c r="P97" s="137"/>
      <c r="Q97" s="137"/>
      <c r="R97" s="137"/>
      <c r="S97" s="137"/>
      <c r="T97" s="137"/>
      <c r="U97" s="137"/>
      <c r="V97" s="137"/>
      <c r="W97" s="2342">
        <v>4331</v>
      </c>
      <c r="X97" s="2342">
        <v>4523.5</v>
      </c>
      <c r="Y97" s="137">
        <v>4758.9842490450083</v>
      </c>
      <c r="Z97" s="137">
        <v>5087.2102892908897</v>
      </c>
      <c r="AA97" s="137">
        <v>5274.394492203648</v>
      </c>
      <c r="AB97" s="137">
        <v>5454.0334376614428</v>
      </c>
      <c r="AC97" s="137">
        <v>5544.199957120094</v>
      </c>
      <c r="AD97" s="137">
        <v>5640.1137402147851</v>
      </c>
      <c r="AE97" s="137">
        <v>5725.4824001843708</v>
      </c>
      <c r="AF97" s="137">
        <v>6028.5000466778256</v>
      </c>
      <c r="AG97" s="137">
        <v>6225.3897735290193</v>
      </c>
      <c r="AH97" s="137">
        <v>6431.417521872213</v>
      </c>
      <c r="AI97" s="137">
        <v>6681.9151985609697</v>
      </c>
      <c r="AJ97" s="137">
        <v>7058.0179177510308</v>
      </c>
      <c r="AK97" s="137">
        <v>7339.6394901917884</v>
      </c>
      <c r="AL97" s="137">
        <v>7696.3149708867786</v>
      </c>
      <c r="AM97" s="137">
        <v>8034.2828193063697</v>
      </c>
      <c r="AN97" s="137">
        <v>8355.4804204323918</v>
      </c>
      <c r="AO97" s="137">
        <v>8596.8951667598012</v>
      </c>
      <c r="AP97" s="137">
        <v>8839.1606811306265</v>
      </c>
      <c r="AQ97" s="137">
        <v>9069.9839715886028</v>
      </c>
      <c r="AR97" s="137">
        <v>9310.7443557169263</v>
      </c>
      <c r="AS97" s="137">
        <v>9442.9328837257199</v>
      </c>
      <c r="AT97" s="137">
        <v>9545.0846861099562</v>
      </c>
      <c r="AU97" s="137">
        <v>9623.7455443707477</v>
      </c>
      <c r="AV97" s="137">
        <v>9878.2355169162329</v>
      </c>
      <c r="AW97" s="137">
        <v>10252.974272571742</v>
      </c>
      <c r="AX97" s="137">
        <v>10740.589723699813</v>
      </c>
      <c r="AY97" s="137">
        <v>11234.875834515544</v>
      </c>
      <c r="AZ97" s="137">
        <v>11524.559002718877</v>
      </c>
      <c r="BA97" s="137">
        <v>11816.496172126106</v>
      </c>
      <c r="BB97" s="137">
        <v>12206.152499455342</v>
      </c>
      <c r="BC97" s="137">
        <v>12547.332596221957</v>
      </c>
      <c r="BD97" s="137">
        <v>12912.157684692886</v>
      </c>
      <c r="BE97" s="137">
        <v>13264.288167633276</v>
      </c>
      <c r="BF97" s="137">
        <v>13661.815821467331</v>
      </c>
      <c r="BG97" s="137">
        <v>14035.044001942002</v>
      </c>
      <c r="BH97" s="137">
        <v>14464.420372024018</v>
      </c>
      <c r="BI97" s="137">
        <v>14854.078069121144</v>
      </c>
      <c r="BJ97" s="137">
        <v>15271.40857529013</v>
      </c>
      <c r="BK97" s="137">
        <v>15705.610336622314</v>
      </c>
      <c r="BL97" s="137">
        <v>16178.516158252787</v>
      </c>
      <c r="BM97" s="137">
        <v>16641.856745483201</v>
      </c>
      <c r="BN97" s="137">
        <v>17105.190661238466</v>
      </c>
      <c r="BO97" s="137">
        <v>17551.548344737974</v>
      </c>
      <c r="BP97" s="137">
        <v>18006.300362612765</v>
      </c>
      <c r="BQ97" s="137">
        <v>18452.438352019311</v>
      </c>
      <c r="BR97" s="137">
        <v>18902.221201488865</v>
      </c>
      <c r="BS97" s="137">
        <v>19330.318193795087</v>
      </c>
      <c r="BT97" s="137">
        <v>19783.060525079738</v>
      </c>
      <c r="BU97" s="137">
        <v>20224.89962760673</v>
      </c>
      <c r="BV97" s="137">
        <v>20693.440288873961</v>
      </c>
      <c r="BW97" s="137">
        <v>21158.480104538576</v>
      </c>
      <c r="BX97" s="137">
        <v>21632.786362597904</v>
      </c>
      <c r="BY97" s="137">
        <v>22112.833369346255</v>
      </c>
      <c r="BZ97" s="137">
        <v>22625.469617015842</v>
      </c>
      <c r="CA97" s="137">
        <v>23121.167228868158</v>
      </c>
      <c r="CB97" s="137">
        <v>23604.670977203023</v>
      </c>
      <c r="CC97" s="137">
        <v>24101.384982294629</v>
      </c>
      <c r="CD97" s="137">
        <v>24596.789307308543</v>
      </c>
      <c r="CE97" s="137">
        <v>25090.674922679147</v>
      </c>
      <c r="CF97" s="137">
        <v>25597.525589740289</v>
      </c>
      <c r="CG97" s="137">
        <v>26100.597558647591</v>
      </c>
      <c r="CH97" s="137">
        <v>26604.319992938086</v>
      </c>
      <c r="CI97" s="137">
        <v>27124.458381186545</v>
      </c>
      <c r="CJ97" s="137">
        <v>27618.726416025784</v>
      </c>
      <c r="CK97" s="137">
        <v>28126.486285602194</v>
      </c>
      <c r="CL97" s="137">
        <v>28651.199638023976</v>
      </c>
      <c r="CM97" s="137">
        <v>29156.709858471972</v>
      </c>
      <c r="CN97" s="137">
        <v>29673.884286188961</v>
      </c>
      <c r="CO97" s="137">
        <v>30188.848802190023</v>
      </c>
      <c r="CP97" s="137">
        <v>30707.546933623464</v>
      </c>
      <c r="CQ97" s="137">
        <v>31223.431516839584</v>
      </c>
      <c r="CR97" s="137">
        <v>31730.425099422373</v>
      </c>
      <c r="CS97" s="137">
        <v>32251.421626605512</v>
      </c>
      <c r="CT97" s="137">
        <v>32762.235215370034</v>
      </c>
      <c r="CU97" s="137">
        <v>33275.456262064974</v>
      </c>
      <c r="CV97" s="137">
        <v>33783.012352392252</v>
      </c>
      <c r="CW97" s="137">
        <v>34294.414937783411</v>
      </c>
      <c r="CX97" s="137">
        <v>34812.361309745655</v>
      </c>
      <c r="CY97" s="137">
        <v>35318.641681097717</v>
      </c>
      <c r="CZ97" s="137">
        <v>35825.139328846766</v>
      </c>
      <c r="DA97" s="137">
        <v>36329.8529471535</v>
      </c>
      <c r="DB97" s="137">
        <v>36847.827783102846</v>
      </c>
      <c r="DC97" s="137">
        <v>37360.038801671617</v>
      </c>
      <c r="DD97" s="137">
        <v>37866.888722311014</v>
      </c>
      <c r="DE97" s="137">
        <v>38376.10710780129</v>
      </c>
      <c r="DF97" s="137">
        <v>38897.174946246247</v>
      </c>
      <c r="DG97" s="137">
        <v>39398.759644749232</v>
      </c>
      <c r="DH97" s="137">
        <v>39906.897931998508</v>
      </c>
      <c r="DI97" s="137">
        <v>40404.889621224342</v>
      </c>
      <c r="DJ97" s="137">
        <v>40918.405877729514</v>
      </c>
      <c r="DK97" s="137">
        <v>41424.201269743528</v>
      </c>
      <c r="DL97" s="137">
        <v>41921.860848772856</v>
      </c>
      <c r="DM97" s="137">
        <v>42418.189141357361</v>
      </c>
      <c r="DN97" s="137">
        <v>42913.212532274847</v>
      </c>
      <c r="DO97" s="137">
        <v>43417.209681380249</v>
      </c>
      <c r="DP97" s="137">
        <f>(G_Kohorte_F!DP97+G_Kohorte_M!DP97)/2</f>
        <v>43919.185928172425</v>
      </c>
      <c r="DQ97" s="137">
        <f>(G_Kohorte_F!DQ97+G_Kohorte_M!DQ97)/2</f>
        <v>44411.825014498696</v>
      </c>
      <c r="DR97" s="137">
        <f>(G_Kohorte_F!DR97+G_Kohorte_M!DR97)/2</f>
        <v>44909.002270479774</v>
      </c>
      <c r="DS97" s="137">
        <f>(G_Kohorte_F!DS97+G_Kohorte_M!DS97)/2</f>
        <v>45400.170521028464</v>
      </c>
      <c r="DT97" s="137">
        <f>(G_Kohorte_F!DT97+G_Kohorte_M!DT97)/2</f>
        <v>45895.276175948035</v>
      </c>
      <c r="DU97" s="137">
        <f>(G_Kohorte_F!DU97+G_Kohorte_M!DU97)/2</f>
        <v>46388.401385936573</v>
      </c>
    </row>
    <row r="98" spans="1:125">
      <c r="A98" s="2348">
        <v>96</v>
      </c>
      <c r="B98" s="137"/>
      <c r="C98" s="137"/>
      <c r="D98" s="137"/>
      <c r="E98" s="137"/>
      <c r="F98" s="137"/>
      <c r="G98" s="137"/>
      <c r="H98" s="137"/>
      <c r="I98" s="137"/>
      <c r="J98" s="137"/>
      <c r="K98" s="137"/>
      <c r="L98" s="137"/>
      <c r="M98" s="137"/>
      <c r="N98" s="137"/>
      <c r="O98" s="137"/>
      <c r="P98" s="137"/>
      <c r="Q98" s="137"/>
      <c r="R98" s="137"/>
      <c r="S98" s="137"/>
      <c r="T98" s="137"/>
      <c r="U98" s="137"/>
      <c r="V98" s="137"/>
      <c r="W98" s="2342">
        <v>3170</v>
      </c>
      <c r="X98" s="2342">
        <v>3322</v>
      </c>
      <c r="Y98" s="137">
        <v>3503.1086108696927</v>
      </c>
      <c r="Z98" s="137">
        <v>3773.0221569299156</v>
      </c>
      <c r="AA98" s="137">
        <v>3927.5177468217107</v>
      </c>
      <c r="AB98" s="137">
        <v>3984.2602650585018</v>
      </c>
      <c r="AC98" s="137">
        <v>4039.1760922648359</v>
      </c>
      <c r="AD98" s="137">
        <v>4120.8484093125016</v>
      </c>
      <c r="AE98" s="137">
        <v>4199.2775627533993</v>
      </c>
      <c r="AF98" s="137">
        <v>4436.5584762067565</v>
      </c>
      <c r="AG98" s="137">
        <v>4596.5784948013334</v>
      </c>
      <c r="AH98" s="137">
        <v>4764.0606636244702</v>
      </c>
      <c r="AI98" s="137">
        <v>4965.494859186063</v>
      </c>
      <c r="AJ98" s="137">
        <v>5261.921522075565</v>
      </c>
      <c r="AK98" s="137">
        <v>5489.3957404846133</v>
      </c>
      <c r="AL98" s="137">
        <v>5774.0554576106897</v>
      </c>
      <c r="AM98" s="137">
        <v>6046.5228423277804</v>
      </c>
      <c r="AN98" s="137">
        <v>6308.1787262150574</v>
      </c>
      <c r="AO98" s="137">
        <v>6510.6684222814565</v>
      </c>
      <c r="AP98" s="137">
        <v>6714.5647154968628</v>
      </c>
      <c r="AQ98" s="137">
        <v>6909.0111355097033</v>
      </c>
      <c r="AR98" s="137">
        <v>7111.5897761063907</v>
      </c>
      <c r="AS98" s="137">
        <v>7233.0784678224254</v>
      </c>
      <c r="AT98" s="137">
        <v>7331.4176633063362</v>
      </c>
      <c r="AU98" s="137">
        <v>7412.1337818940347</v>
      </c>
      <c r="AV98" s="137">
        <v>7628.3206572838171</v>
      </c>
      <c r="AW98" s="137">
        <v>7938.1763705836183</v>
      </c>
      <c r="AX98" s="137">
        <v>8336.6855491144561</v>
      </c>
      <c r="AY98" s="137">
        <v>8742.7391671768564</v>
      </c>
      <c r="AZ98" s="137">
        <v>8991.4870278709277</v>
      </c>
      <c r="BA98" s="137">
        <v>9242.8311237407506</v>
      </c>
      <c r="BB98" s="137">
        <v>9571.0138769740624</v>
      </c>
      <c r="BC98" s="137">
        <v>9862.628145408602</v>
      </c>
      <c r="BD98" s="137">
        <v>10173.402963559929</v>
      </c>
      <c r="BE98" s="137">
        <v>10475.555078590431</v>
      </c>
      <c r="BF98" s="137">
        <v>10814.564796217415</v>
      </c>
      <c r="BG98" s="137">
        <v>11136.021628693414</v>
      </c>
      <c r="BH98" s="137">
        <v>11502.479964691081</v>
      </c>
      <c r="BI98" s="137">
        <v>11838.805032802113</v>
      </c>
      <c r="BJ98" s="137">
        <v>12198.402811474682</v>
      </c>
      <c r="BK98" s="137">
        <v>12572.738401912393</v>
      </c>
      <c r="BL98" s="137">
        <v>12979.310356995014</v>
      </c>
      <c r="BM98" s="137">
        <v>13379.472839841097</v>
      </c>
      <c r="BN98" s="137">
        <v>13781.069564978534</v>
      </c>
      <c r="BO98" s="137">
        <v>14170.217539609195</v>
      </c>
      <c r="BP98" s="137">
        <v>14567.628051712987</v>
      </c>
      <c r="BQ98" s="137">
        <v>14959.143704576287</v>
      </c>
      <c r="BR98" s="137">
        <v>15354.939053874603</v>
      </c>
      <c r="BS98" s="137">
        <v>15734.386728325579</v>
      </c>
      <c r="BT98" s="137">
        <v>16134.901422526251</v>
      </c>
      <c r="BU98" s="137">
        <v>16527.779775237152</v>
      </c>
      <c r="BV98" s="137">
        <v>16943.456087571569</v>
      </c>
      <c r="BW98" s="137">
        <v>17357.595214291294</v>
      </c>
      <c r="BX98" s="137">
        <v>17780.356226480686</v>
      </c>
      <c r="BY98" s="137">
        <v>18208.946258615593</v>
      </c>
      <c r="BZ98" s="137">
        <v>18665.568628160559</v>
      </c>
      <c r="CA98" s="137">
        <v>19109.558797230842</v>
      </c>
      <c r="CB98" s="137">
        <v>19544.757468052328</v>
      </c>
      <c r="CC98" s="137">
        <v>19991.664262376631</v>
      </c>
      <c r="CD98" s="137">
        <v>20438.735511011229</v>
      </c>
      <c r="CE98" s="137">
        <v>20885.711024284512</v>
      </c>
      <c r="CF98" s="137">
        <v>21344.445491038248</v>
      </c>
      <c r="CG98" s="137">
        <v>21801.299078328084</v>
      </c>
      <c r="CH98" s="137">
        <v>22259.703691195798</v>
      </c>
      <c r="CI98" s="137">
        <v>22732.913210098428</v>
      </c>
      <c r="CJ98" s="137">
        <v>23185.606013190016</v>
      </c>
      <c r="CK98" s="137">
        <v>23650.648418550103</v>
      </c>
      <c r="CL98" s="137">
        <v>24130.867780872322</v>
      </c>
      <c r="CM98" s="137">
        <v>24596.061082032746</v>
      </c>
      <c r="CN98" s="137">
        <v>25072.100884472966</v>
      </c>
      <c r="CO98" s="137">
        <v>25547.088397750216</v>
      </c>
      <c r="CP98" s="137">
        <v>26026.400492980909</v>
      </c>
      <c r="CQ98" s="137">
        <v>26504.218018680876</v>
      </c>
      <c r="CR98" s="137">
        <v>26975.560156644289</v>
      </c>
      <c r="CS98" s="137">
        <v>27459.604137180206</v>
      </c>
      <c r="CT98" s="137">
        <v>27935.961269771229</v>
      </c>
      <c r="CU98" s="137">
        <v>28415.208196505886</v>
      </c>
      <c r="CV98" s="137">
        <v>28890.498524650786</v>
      </c>
      <c r="CW98" s="137">
        <v>29370.053169580329</v>
      </c>
      <c r="CX98" s="137">
        <v>29855.920449971491</v>
      </c>
      <c r="CY98" s="137">
        <v>30332.731553394111</v>
      </c>
      <c r="CZ98" s="137">
        <v>30810.392378355788</v>
      </c>
      <c r="DA98" s="137">
        <v>31287.41009497417</v>
      </c>
      <c r="DB98" s="137">
        <v>31776.528546541325</v>
      </c>
      <c r="DC98" s="137">
        <v>32261.606518206492</v>
      </c>
      <c r="DD98" s="137">
        <v>32742.715775453173</v>
      </c>
      <c r="DE98" s="137">
        <v>33226.666898860596</v>
      </c>
      <c r="DF98" s="137">
        <v>33721.621481907227</v>
      </c>
      <c r="DG98" s="137">
        <v>34200.304848510212</v>
      </c>
      <c r="DH98" s="137">
        <v>34685.47254438504</v>
      </c>
      <c r="DI98" s="137">
        <v>35162.412545975567</v>
      </c>
      <c r="DJ98" s="137">
        <v>35653.53981856304</v>
      </c>
      <c r="DK98" s="137">
        <v>36138.679642665375</v>
      </c>
      <c r="DL98" s="137">
        <v>36617.34965398402</v>
      </c>
      <c r="DM98" s="137">
        <v>37095.374884122612</v>
      </c>
      <c r="DN98" s="137">
        <v>37572.963725992508</v>
      </c>
      <c r="DO98" s="137">
        <v>38058.955530122541</v>
      </c>
      <c r="DP98" s="137">
        <f>(G_Kohorte_F!DP98+G_Kohorte_M!DP98)/2</f>
        <v>38543.804488853886</v>
      </c>
      <c r="DQ98" s="137">
        <f>(G_Kohorte_F!DQ98+G_Kohorte_M!DQ98)/2</f>
        <v>39021.004314234546</v>
      </c>
      <c r="DR98" s="137">
        <f>(G_Kohorte_F!DR98+G_Kohorte_M!DR98)/2</f>
        <v>39502.680702185207</v>
      </c>
      <c r="DS98" s="137">
        <f>(G_Kohorte_F!DS98+G_Kohorte_M!DS98)/2</f>
        <v>39979.719569232759</v>
      </c>
      <c r="DT98" s="137">
        <f>(G_Kohorte_F!DT98+G_Kohorte_M!DT98)/2</f>
        <v>40460.704249514762</v>
      </c>
      <c r="DU98" s="137">
        <f>(G_Kohorte_F!DU98+G_Kohorte_M!DU98)/2</f>
        <v>40940.463655678766</v>
      </c>
    </row>
    <row r="99" spans="1:125">
      <c r="A99" s="2348">
        <v>97</v>
      </c>
      <c r="B99" s="137"/>
      <c r="C99" s="137"/>
      <c r="D99" s="137"/>
      <c r="E99" s="137"/>
      <c r="F99" s="137"/>
      <c r="G99" s="137"/>
      <c r="H99" s="137"/>
      <c r="I99" s="137"/>
      <c r="J99" s="137"/>
      <c r="K99" s="137"/>
      <c r="L99" s="137"/>
      <c r="M99" s="137"/>
      <c r="N99" s="137"/>
      <c r="O99" s="137"/>
      <c r="P99" s="137"/>
      <c r="Q99" s="137"/>
      <c r="R99" s="137"/>
      <c r="S99" s="137"/>
      <c r="T99" s="137"/>
      <c r="U99" s="137"/>
      <c r="V99" s="137"/>
      <c r="W99" s="2342">
        <v>2252</v>
      </c>
      <c r="X99" s="2342">
        <v>2368.5</v>
      </c>
      <c r="Y99" s="137">
        <v>2496.8729869927483</v>
      </c>
      <c r="Z99" s="137">
        <v>2710.5321951223236</v>
      </c>
      <c r="AA99" s="137">
        <v>2832.9509444160449</v>
      </c>
      <c r="AB99" s="137">
        <v>2818.0791044928064</v>
      </c>
      <c r="AC99" s="137">
        <v>2849.0973015846157</v>
      </c>
      <c r="AD99" s="137">
        <v>2915.3122199570471</v>
      </c>
      <c r="AE99" s="137">
        <v>2982.5533332648906</v>
      </c>
      <c r="AF99" s="137">
        <v>3162.2067444426484</v>
      </c>
      <c r="AG99" s="137">
        <v>3287.4977476448776</v>
      </c>
      <c r="AH99" s="137">
        <v>3418.7328469298736</v>
      </c>
      <c r="AI99" s="137">
        <v>3575.1532358173986</v>
      </c>
      <c r="AJ99" s="137">
        <v>3801.2617020748489</v>
      </c>
      <c r="AK99" s="137">
        <v>3978.7450663352688</v>
      </c>
      <c r="AL99" s="137">
        <v>4198.5605535474924</v>
      </c>
      <c r="AM99" s="137">
        <v>4410.961684841991</v>
      </c>
      <c r="AN99" s="137">
        <v>4616.9087173379367</v>
      </c>
      <c r="AO99" s="137">
        <v>4780.4546472531138</v>
      </c>
      <c r="AP99" s="137">
        <v>4945.7110306843315</v>
      </c>
      <c r="AQ99" s="137">
        <v>5103.4522094200966</v>
      </c>
      <c r="AR99" s="137">
        <v>5267.7174682763361</v>
      </c>
      <c r="AS99" s="137">
        <v>5373.3475680452375</v>
      </c>
      <c r="AT99" s="137">
        <v>5461.7772081885714</v>
      </c>
      <c r="AU99" s="137">
        <v>5537.4744858842132</v>
      </c>
      <c r="AV99" s="137">
        <v>5714.5197813045979</v>
      </c>
      <c r="AW99" s="137">
        <v>5962.4497891154861</v>
      </c>
      <c r="AX99" s="137">
        <v>6278.0340091455055</v>
      </c>
      <c r="AY99" s="137">
        <v>6601.189266710343</v>
      </c>
      <c r="AZ99" s="137">
        <v>6807.1202818618003</v>
      </c>
      <c r="BA99" s="137">
        <v>7015.7654104445628</v>
      </c>
      <c r="BB99" s="137">
        <v>7283.1702075878984</v>
      </c>
      <c r="BC99" s="137">
        <v>7523.9544090458348</v>
      </c>
      <c r="BD99" s="137">
        <v>7779.9195678974793</v>
      </c>
      <c r="BE99" s="137">
        <v>8030.4530794059319</v>
      </c>
      <c r="BF99" s="137">
        <v>8310.1307830093683</v>
      </c>
      <c r="BG99" s="137">
        <v>8577.7204147498724</v>
      </c>
      <c r="BH99" s="137">
        <v>8880.4570943798972</v>
      </c>
      <c r="BI99" s="137">
        <v>9161.1640219620822</v>
      </c>
      <c r="BJ99" s="137">
        <v>9460.9408359175977</v>
      </c>
      <c r="BK99" s="137">
        <v>9773.2481336503552</v>
      </c>
      <c r="BL99" s="137">
        <v>10111.713835552666</v>
      </c>
      <c r="BM99" s="137">
        <v>10446.298723794996</v>
      </c>
      <c r="BN99" s="137">
        <v>10783.250545219154</v>
      </c>
      <c r="BO99" s="137">
        <v>11111.549745388074</v>
      </c>
      <c r="BP99" s="137">
        <v>11447.613718351176</v>
      </c>
      <c r="BQ99" s="137">
        <v>11780.02010376321</v>
      </c>
      <c r="BR99" s="137">
        <v>12116.964130797896</v>
      </c>
      <c r="BS99" s="137">
        <v>12442.133407124</v>
      </c>
      <c r="BT99" s="137">
        <v>12784.888177240344</v>
      </c>
      <c r="BU99" s="137">
        <v>13122.712795581663</v>
      </c>
      <c r="BV99" s="137">
        <v>13479.547315257898</v>
      </c>
      <c r="BW99" s="137">
        <v>13836.341700126048</v>
      </c>
      <c r="BX99" s="137">
        <v>14200.955050337725</v>
      </c>
      <c r="BY99" s="137">
        <v>14571.241864538048</v>
      </c>
      <c r="BZ99" s="137">
        <v>14965.04921188023</v>
      </c>
      <c r="CA99" s="137">
        <v>15349.932635267833</v>
      </c>
      <c r="CB99" s="137">
        <v>15728.915294266695</v>
      </c>
      <c r="CC99" s="137">
        <v>16118.07996774558</v>
      </c>
      <c r="CD99" s="137">
        <v>16508.512557509974</v>
      </c>
      <c r="CE99" s="137">
        <v>16899.938516148475</v>
      </c>
      <c r="CF99" s="137">
        <v>17301.795718981608</v>
      </c>
      <c r="CG99" s="137">
        <v>17703.283386418869</v>
      </c>
      <c r="CH99" s="137">
        <v>18106.981054086471</v>
      </c>
      <c r="CI99" s="137">
        <v>18523.722524164514</v>
      </c>
      <c r="CJ99" s="137">
        <v>18924.822089038931</v>
      </c>
      <c r="CK99" s="137">
        <v>19336.96627869361</v>
      </c>
      <c r="CL99" s="137">
        <v>19762.405746378314</v>
      </c>
      <c r="CM99" s="137">
        <v>20176.604238900727</v>
      </c>
      <c r="CN99" s="137">
        <v>20600.654475095504</v>
      </c>
      <c r="CO99" s="137">
        <v>21024.643172837496</v>
      </c>
      <c r="CP99" s="137">
        <v>21453.271246739278</v>
      </c>
      <c r="CQ99" s="137">
        <v>21881.530553361241</v>
      </c>
      <c r="CR99" s="137">
        <v>22305.450498523976</v>
      </c>
      <c r="CS99" s="137">
        <v>22740.662577594092</v>
      </c>
      <c r="CT99" s="137">
        <v>23170.445776671255</v>
      </c>
      <c r="CU99" s="137">
        <v>23603.446042604519</v>
      </c>
      <c r="CV99" s="137">
        <v>24034.014435921639</v>
      </c>
      <c r="CW99" s="137">
        <v>24469.05983201263</v>
      </c>
      <c r="CX99" s="137">
        <v>24910.082128569858</v>
      </c>
      <c r="CY99" s="137">
        <v>25344.457150057078</v>
      </c>
      <c r="CZ99" s="137">
        <v>25780.221541906445</v>
      </c>
      <c r="DA99" s="137">
        <v>26216.308825129301</v>
      </c>
      <c r="DB99" s="137">
        <v>26663.228187161087</v>
      </c>
      <c r="DC99" s="137">
        <v>27107.65000367543</v>
      </c>
      <c r="DD99" s="137">
        <v>27549.413095453307</v>
      </c>
      <c r="DE99" s="137">
        <v>27994.349087784085</v>
      </c>
      <c r="DF99" s="137">
        <v>28449.298109247295</v>
      </c>
      <c r="DG99" s="137">
        <v>28891.161030736243</v>
      </c>
      <c r="DH99" s="137">
        <v>29339.282411316293</v>
      </c>
      <c r="DI99" s="137">
        <v>29781.060133554682</v>
      </c>
      <c r="DJ99" s="137">
        <v>30235.538094754287</v>
      </c>
      <c r="DK99" s="137">
        <v>30685.673261422104</v>
      </c>
      <c r="DL99" s="137">
        <v>31130.957669894226</v>
      </c>
      <c r="DM99" s="137">
        <v>31576.246648118733</v>
      </c>
      <c r="DN99" s="137">
        <v>32021.86613544562</v>
      </c>
      <c r="DO99" s="137">
        <v>32475.220921452943</v>
      </c>
      <c r="DP99" s="137">
        <f>(G_Kohorte_F!DP99+G_Kohorte_M!DP99)/2</f>
        <v>32928.240526011403</v>
      </c>
      <c r="DQ99" s="137">
        <f>(G_Kohorte_F!DQ99+G_Kohorte_M!DQ99)/2</f>
        <v>33375.29644951933</v>
      </c>
      <c r="DR99" s="137">
        <f>(G_Kohorte_F!DR99+G_Kohorte_M!DR99)/2</f>
        <v>33826.70572026138</v>
      </c>
      <c r="DS99" s="137">
        <f>(G_Kohorte_F!DS99+G_Kohorte_M!DS99)/2</f>
        <v>34274.795300628903</v>
      </c>
      <c r="DT99" s="137">
        <f>(G_Kohorte_F!DT99+G_Kohorte_M!DT99)/2</f>
        <v>34726.781274512272</v>
      </c>
      <c r="DU99" s="137">
        <f>(G_Kohorte_F!DU99+G_Kohorte_M!DU99)/2</f>
        <v>35178.262284936507</v>
      </c>
    </row>
    <row r="100" spans="1:125">
      <c r="A100" s="2348">
        <v>98</v>
      </c>
      <c r="B100" s="137"/>
      <c r="C100" s="137"/>
      <c r="D100" s="137"/>
      <c r="E100" s="137"/>
      <c r="F100" s="137"/>
      <c r="G100" s="137"/>
      <c r="H100" s="137"/>
      <c r="I100" s="137"/>
      <c r="J100" s="137"/>
      <c r="K100" s="137"/>
      <c r="L100" s="137"/>
      <c r="M100" s="137"/>
      <c r="N100" s="137"/>
      <c r="O100" s="137"/>
      <c r="P100" s="137"/>
      <c r="Q100" s="137"/>
      <c r="R100" s="137"/>
      <c r="S100" s="137"/>
      <c r="T100" s="137"/>
      <c r="U100" s="137"/>
      <c r="V100" s="137"/>
      <c r="W100" s="2342">
        <v>1551</v>
      </c>
      <c r="X100" s="2342">
        <v>1637</v>
      </c>
      <c r="Y100" s="137">
        <v>1720.9285789607629</v>
      </c>
      <c r="Z100" s="137">
        <v>1883.6674427820831</v>
      </c>
      <c r="AA100" s="137">
        <v>1976.8328403234132</v>
      </c>
      <c r="AB100" s="137">
        <v>1927.2915134000013</v>
      </c>
      <c r="AC100" s="137">
        <v>1943.0750263003138</v>
      </c>
      <c r="AD100" s="137">
        <v>1994.3055351568273</v>
      </c>
      <c r="AE100" s="137">
        <v>2048.6361538306292</v>
      </c>
      <c r="AF100" s="137">
        <v>2180.0085922646358</v>
      </c>
      <c r="AG100" s="137">
        <v>2274.4728281381304</v>
      </c>
      <c r="AH100" s="137">
        <v>2373.5438333071324</v>
      </c>
      <c r="AI100" s="137">
        <v>2490.7440312643939</v>
      </c>
      <c r="AJ100" s="137">
        <v>2657.4750203409239</v>
      </c>
      <c r="AK100" s="137">
        <v>2791.1292706807608</v>
      </c>
      <c r="AL100" s="137">
        <v>2955.1950904846672</v>
      </c>
      <c r="AM100" s="137">
        <v>3115.1487027836533</v>
      </c>
      <c r="AN100" s="137">
        <v>3271.6421597657945</v>
      </c>
      <c r="AO100" s="137">
        <v>3398.8226973990541</v>
      </c>
      <c r="AP100" s="137">
        <v>3527.793989123722</v>
      </c>
      <c r="AQ100" s="137">
        <v>3651.0224760897036</v>
      </c>
      <c r="AR100" s="137">
        <v>3779.3688680073478</v>
      </c>
      <c r="AS100" s="137">
        <v>3866.7214531840173</v>
      </c>
      <c r="AT100" s="137">
        <v>3941.7761344586893</v>
      </c>
      <c r="AU100" s="137">
        <v>4007.9924691395595</v>
      </c>
      <c r="AV100" s="137">
        <v>4147.7492368016801</v>
      </c>
      <c r="AW100" s="137">
        <v>4339.5639116565198</v>
      </c>
      <c r="AX100" s="137">
        <v>4581.4899589138749</v>
      </c>
      <c r="AY100" s="137">
        <v>4830.4028482488302</v>
      </c>
      <c r="AZ100" s="137">
        <v>4994.7520996537414</v>
      </c>
      <c r="BA100" s="137">
        <v>5161.7336772558792</v>
      </c>
      <c r="BB100" s="137">
        <v>5372.3743162091432</v>
      </c>
      <c r="BC100" s="137">
        <v>5564.354843711817</v>
      </c>
      <c r="BD100" s="137">
        <v>5768.0835756511087</v>
      </c>
      <c r="BE100" s="137">
        <v>5968.7328276120406</v>
      </c>
      <c r="BF100" s="137">
        <v>6191.8026379993571</v>
      </c>
      <c r="BG100" s="137">
        <v>6406.9930342510188</v>
      </c>
      <c r="BH100" s="137">
        <v>6648.9130495537347</v>
      </c>
      <c r="BI100" s="137">
        <v>6875.3550906879127</v>
      </c>
      <c r="BJ100" s="137">
        <v>7117.0023973813531</v>
      </c>
      <c r="BK100" s="137">
        <v>7369.0031176502307</v>
      </c>
      <c r="BL100" s="137">
        <v>7641.6608627369305</v>
      </c>
      <c r="BM100" s="137">
        <v>7912.332612393292</v>
      </c>
      <c r="BN100" s="137">
        <v>8185.8428883793513</v>
      </c>
      <c r="BO100" s="137">
        <v>8453.7163053105251</v>
      </c>
      <c r="BP100" s="137">
        <v>8728.5741206973034</v>
      </c>
      <c r="BQ100" s="137">
        <v>9001.4959838264458</v>
      </c>
      <c r="BR100" s="137">
        <v>9278.8798438080794</v>
      </c>
      <c r="BS100" s="137">
        <v>9548.2118882618124</v>
      </c>
      <c r="BT100" s="137">
        <v>9831.8604436401874</v>
      </c>
      <c r="BU100" s="137">
        <v>10112.683475899399</v>
      </c>
      <c r="BV100" s="137">
        <v>10408.969009296001</v>
      </c>
      <c r="BW100" s="137">
        <v>10706.240995097567</v>
      </c>
      <c r="BX100" s="137">
        <v>11010.408381268629</v>
      </c>
      <c r="BY100" s="137">
        <v>11319.874707579223</v>
      </c>
      <c r="BZ100" s="137">
        <v>11648.569626746512</v>
      </c>
      <c r="CA100" s="137">
        <v>11971.362829032447</v>
      </c>
      <c r="CB100" s="137">
        <v>12290.566563390335</v>
      </c>
      <c r="CC100" s="137">
        <v>12618.442368695469</v>
      </c>
      <c r="CD100" s="137">
        <v>12948.306705328365</v>
      </c>
      <c r="CE100" s="137">
        <v>13279.899292577236</v>
      </c>
      <c r="CF100" s="137">
        <v>13620.524683178897</v>
      </c>
      <c r="CG100" s="137">
        <v>13961.874581932872</v>
      </c>
      <c r="CH100" s="137">
        <v>14305.83113811864</v>
      </c>
      <c r="CI100" s="137">
        <v>14660.996459020547</v>
      </c>
      <c r="CJ100" s="137">
        <v>15004.741108790553</v>
      </c>
      <c r="CK100" s="137">
        <v>15358.11858858399</v>
      </c>
      <c r="CL100" s="137">
        <v>15722.875951847325</v>
      </c>
      <c r="CM100" s="137">
        <v>16079.644329188939</v>
      </c>
      <c r="CN100" s="137">
        <v>16445.135375320649</v>
      </c>
      <c r="CO100" s="137">
        <v>16811.336077254615</v>
      </c>
      <c r="CP100" s="137">
        <v>17182.21394750481</v>
      </c>
      <c r="CQ100" s="137">
        <v>17553.601279173421</v>
      </c>
      <c r="CR100" s="137">
        <v>17922.419624339371</v>
      </c>
      <c r="CS100" s="137">
        <v>18301.060230057541</v>
      </c>
      <c r="CT100" s="137">
        <v>18676.192400153679</v>
      </c>
      <c r="CU100" s="137">
        <v>19054.689645320923</v>
      </c>
      <c r="CV100" s="137">
        <v>19432.02132707592</v>
      </c>
      <c r="CW100" s="137">
        <v>19813.826824738484</v>
      </c>
      <c r="CX100" s="137">
        <v>20201.16687039203</v>
      </c>
      <c r="CY100" s="137">
        <v>20583.954634354861</v>
      </c>
      <c r="CZ100" s="137">
        <v>20968.534702119839</v>
      </c>
      <c r="DA100" s="137">
        <v>21354.178140840777</v>
      </c>
      <c r="DB100" s="137">
        <v>21749.318713987384</v>
      </c>
      <c r="DC100" s="137">
        <v>22143.247737875081</v>
      </c>
      <c r="DD100" s="137">
        <v>22535.665288369171</v>
      </c>
      <c r="DE100" s="137">
        <v>22931.417987874098</v>
      </c>
      <c r="DF100" s="137">
        <v>23336.083354087586</v>
      </c>
      <c r="DG100" s="137">
        <v>23730.647193264536</v>
      </c>
      <c r="DH100" s="137">
        <v>24131.088307633057</v>
      </c>
      <c r="DI100" s="137">
        <v>24526.922718848611</v>
      </c>
      <c r="DJ100" s="137">
        <v>24933.87907939429</v>
      </c>
      <c r="DK100" s="137">
        <v>25337.954832642954</v>
      </c>
      <c r="DL100" s="137">
        <v>25738.654169317037</v>
      </c>
      <c r="DM100" s="137">
        <v>26139.916320096439</v>
      </c>
      <c r="DN100" s="137">
        <v>26542.123152057567</v>
      </c>
      <c r="DO100" s="137">
        <v>26951.315396295169</v>
      </c>
      <c r="DP100" s="137">
        <f>(G_Kohorte_F!DP100+G_Kohorte_M!DP100)/2</f>
        <v>27360.853138625669</v>
      </c>
      <c r="DQ100" s="137">
        <f>(G_Kohorte_F!DQ100+G_Kohorte_M!DQ100)/2</f>
        <v>27766.005067120383</v>
      </c>
      <c r="DR100" s="137">
        <f>(G_Kohorte_F!DR100+G_Kohorte_M!DR100)/2</f>
        <v>28175.31157021493</v>
      </c>
      <c r="DS100" s="137">
        <f>(G_Kohorte_F!DS100+G_Kohorte_M!DS100)/2</f>
        <v>28582.480981451521</v>
      </c>
      <c r="DT100" s="137">
        <f>(G_Kohorte_F!DT100+G_Kohorte_M!DT100)/2</f>
        <v>28993.422180668909</v>
      </c>
      <c r="DU100" s="137">
        <f>(G_Kohorte_F!DU100+G_Kohorte_M!DU100)/2</f>
        <v>29404.488412602077</v>
      </c>
    </row>
    <row r="101" spans="1:125">
      <c r="A101" s="2348">
        <v>99</v>
      </c>
      <c r="B101" s="137"/>
      <c r="C101" s="137"/>
      <c r="D101" s="137"/>
      <c r="E101" s="137"/>
      <c r="F101" s="137"/>
      <c r="G101" s="137"/>
      <c r="H101" s="137"/>
      <c r="I101" s="137"/>
      <c r="J101" s="137"/>
      <c r="K101" s="137"/>
      <c r="L101" s="137"/>
      <c r="M101" s="137"/>
      <c r="N101" s="137"/>
      <c r="O101" s="137"/>
      <c r="P101" s="137"/>
      <c r="Q101" s="137"/>
      <c r="R101" s="137"/>
      <c r="S101" s="137"/>
      <c r="T101" s="137"/>
      <c r="U101" s="137"/>
      <c r="V101" s="137"/>
      <c r="W101" s="2342">
        <v>1035</v>
      </c>
      <c r="X101" s="2342">
        <v>1096.5</v>
      </c>
      <c r="Y101" s="137">
        <v>1145.754143143055</v>
      </c>
      <c r="Z101" s="137">
        <v>1264.9821607741696</v>
      </c>
      <c r="AA101" s="137">
        <v>1333.1017737098609</v>
      </c>
      <c r="AB101" s="137">
        <v>1273.0944809257792</v>
      </c>
      <c r="AC101" s="137">
        <v>1279.8634352237257</v>
      </c>
      <c r="AD101" s="137">
        <v>1317.7462362430415</v>
      </c>
      <c r="AE101" s="137">
        <v>1359.3551587527281</v>
      </c>
      <c r="AF101" s="137">
        <v>1452.0553187065166</v>
      </c>
      <c r="AG101" s="137">
        <v>1520.6118211589828</v>
      </c>
      <c r="AH101" s="137">
        <v>1592.6342272661705</v>
      </c>
      <c r="AI101" s="137">
        <v>1677.3080686950311</v>
      </c>
      <c r="AJ101" s="137">
        <v>1796.0555720334376</v>
      </c>
      <c r="AK101" s="137">
        <v>1893.1332881495746</v>
      </c>
      <c r="AL101" s="137">
        <v>2011.3950981096384</v>
      </c>
      <c r="AM101" s="137">
        <v>2127.6743270899665</v>
      </c>
      <c r="AN101" s="137">
        <v>2242.4039119649742</v>
      </c>
      <c r="AO101" s="137">
        <v>2337.6159113603239</v>
      </c>
      <c r="AP101" s="137">
        <v>2434.5253198047221</v>
      </c>
      <c r="AQ101" s="137">
        <v>2527.2259826306918</v>
      </c>
      <c r="AR101" s="137">
        <v>2623.8429998921365</v>
      </c>
      <c r="AS101" s="137">
        <v>2692.7802278451782</v>
      </c>
      <c r="AT101" s="137">
        <v>2753.2718169447771</v>
      </c>
      <c r="AU101" s="137">
        <v>2807.8834199524026</v>
      </c>
      <c r="AV101" s="137">
        <v>2914.2102340525526</v>
      </c>
      <c r="AW101" s="137">
        <v>3057.6088074436893</v>
      </c>
      <c r="AX101" s="137">
        <v>3237.0042817926378</v>
      </c>
      <c r="AY101" s="137">
        <v>3422.4316514069342</v>
      </c>
      <c r="AZ101" s="137">
        <v>3548.8661741636051</v>
      </c>
      <c r="BA101" s="137">
        <v>3677.6972980303085</v>
      </c>
      <c r="BB101" s="137">
        <v>3838.0251366130287</v>
      </c>
      <c r="BC101" s="137">
        <v>3985.7863995082052</v>
      </c>
      <c r="BD101" s="137">
        <v>4142.4193310906503</v>
      </c>
      <c r="BE101" s="137">
        <v>4297.5879300400848</v>
      </c>
      <c r="BF101" s="137">
        <v>4469.5234324513112</v>
      </c>
      <c r="BG101" s="137">
        <v>4636.6498745731014</v>
      </c>
      <c r="BH101" s="137">
        <v>4823.5593896035671</v>
      </c>
      <c r="BI101" s="137">
        <v>5000.049417945851</v>
      </c>
      <c r="BJ101" s="137">
        <v>5188.3245818871683</v>
      </c>
      <c r="BK101" s="137">
        <v>5384.9031074809191</v>
      </c>
      <c r="BL101" s="137">
        <v>5597.3427471388241</v>
      </c>
      <c r="BM101" s="137">
        <v>5809.1065972109873</v>
      </c>
      <c r="BN101" s="137">
        <v>6023.8030806465367</v>
      </c>
      <c r="BO101" s="137">
        <v>6235.1221877335656</v>
      </c>
      <c r="BP101" s="137">
        <v>6452.4656922786198</v>
      </c>
      <c r="BQ101" s="137">
        <v>6669.0977181128692</v>
      </c>
      <c r="BR101" s="137">
        <v>6889.8549833692923</v>
      </c>
      <c r="BS101" s="137">
        <v>7105.4330886140651</v>
      </c>
      <c r="BT101" s="137">
        <v>7332.3662097819506</v>
      </c>
      <c r="BU101" s="137">
        <v>7557.9966151765266</v>
      </c>
      <c r="BV101" s="137">
        <v>7795.883621877404</v>
      </c>
      <c r="BW101" s="137">
        <v>8035.355800894049</v>
      </c>
      <c r="BX101" s="137">
        <v>8280.7308651271996</v>
      </c>
      <c r="BY101" s="137">
        <v>8530.8594662737123</v>
      </c>
      <c r="BZ101" s="137">
        <v>8796.2909885734171</v>
      </c>
      <c r="CA101" s="137">
        <v>9058.1425205764008</v>
      </c>
      <c r="CB101" s="137">
        <v>9318.1317202938371</v>
      </c>
      <c r="CC101" s="137">
        <v>9585.3412691989834</v>
      </c>
      <c r="CD101" s="137">
        <v>9854.9060361474094</v>
      </c>
      <c r="CE101" s="137">
        <v>10126.598950753192</v>
      </c>
      <c r="CF101" s="137">
        <v>10405.914481044114</v>
      </c>
      <c r="CG101" s="137">
        <v>10686.646736465671</v>
      </c>
      <c r="CH101" s="137">
        <v>10970.130852405564</v>
      </c>
      <c r="CI101" s="137">
        <v>11262.996890106529</v>
      </c>
      <c r="CJ101" s="137">
        <v>11547.915958503574</v>
      </c>
      <c r="CK101" s="137">
        <v>11841.016061664097</v>
      </c>
      <c r="CL101" s="137">
        <v>12143.620817188861</v>
      </c>
      <c r="CM101" s="137">
        <v>12440.881619160951</v>
      </c>
      <c r="CN101" s="137">
        <v>12745.658789220135</v>
      </c>
      <c r="CO101" s="137">
        <v>13051.674592946263</v>
      </c>
      <c r="CP101" s="137">
        <v>13362.159166050935</v>
      </c>
      <c r="CQ101" s="137">
        <v>13673.76239450373</v>
      </c>
      <c r="CR101" s="137">
        <v>13984.162662402603</v>
      </c>
      <c r="CS101" s="137">
        <v>14302.909707978266</v>
      </c>
      <c r="CT101" s="137">
        <v>14619.677481543258</v>
      </c>
      <c r="CU101" s="137">
        <v>14939.778571667561</v>
      </c>
      <c r="CV101" s="137">
        <v>15259.682967624725</v>
      </c>
      <c r="CW101" s="137">
        <v>15583.857925698854</v>
      </c>
      <c r="CX101" s="137">
        <v>15913.030600852995</v>
      </c>
      <c r="CY101" s="137">
        <v>16239.363805818841</v>
      </c>
      <c r="CZ101" s="137">
        <v>16567.732095681593</v>
      </c>
      <c r="DA101" s="137">
        <v>16897.658746589121</v>
      </c>
      <c r="DB101" s="137">
        <v>17235.729220616882</v>
      </c>
      <c r="DC101" s="137">
        <v>17573.576685429107</v>
      </c>
      <c r="DD101" s="137">
        <v>17910.84276330801</v>
      </c>
      <c r="DE101" s="137">
        <v>18251.433501517007</v>
      </c>
      <c r="DF101" s="137">
        <v>18599.772090507344</v>
      </c>
      <c r="DG101" s="137">
        <v>18940.656884586835</v>
      </c>
      <c r="DH101" s="137">
        <v>19286.902470697729</v>
      </c>
      <c r="DI101" s="137">
        <v>19630.045714131891</v>
      </c>
      <c r="DJ101" s="137">
        <v>19982.706400143587</v>
      </c>
      <c r="DK101" s="137">
        <v>20333.701841020455</v>
      </c>
      <c r="DL101" s="137">
        <v>20682.578116980461</v>
      </c>
      <c r="DM101" s="137">
        <v>21032.445882605243</v>
      </c>
      <c r="DN101" s="137">
        <v>21383.691294938348</v>
      </c>
      <c r="DO101" s="137">
        <v>21741.113235193086</v>
      </c>
      <c r="DP101" s="137">
        <f>(G_Kohorte_F!DP101+G_Kohorte_M!DP101)/2</f>
        <v>22099.39766974665</v>
      </c>
      <c r="DQ101" s="137">
        <f>(G_Kohorte_F!DQ101+G_Kohorte_M!DQ101)/2</f>
        <v>22454.683331059274</v>
      </c>
      <c r="DR101" s="137">
        <f>(G_Kohorte_F!DR101+G_Kohorte_M!DR101)/2</f>
        <v>22813.845287419081</v>
      </c>
      <c r="DS101" s="137">
        <f>(G_Kohorte_F!DS101+G_Kohorte_M!DS101)/2</f>
        <v>23171.859198644855</v>
      </c>
      <c r="DT101" s="137">
        <f>(G_Kohorte_F!DT101+G_Kohorte_M!DT101)/2</f>
        <v>23533.437922800098</v>
      </c>
      <c r="DU101" s="137">
        <f>(G_Kohorte_F!DU101+G_Kohorte_M!DU101)/2</f>
        <v>23895.641319046324</v>
      </c>
    </row>
    <row r="102" spans="1:125">
      <c r="A102" s="2348">
        <v>100</v>
      </c>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2342">
        <v>668</v>
      </c>
      <c r="X102" s="2342">
        <v>710.5</v>
      </c>
      <c r="Y102" s="137">
        <v>736.30690715260289</v>
      </c>
      <c r="Z102" s="137">
        <v>820.30900713054803</v>
      </c>
      <c r="AA102" s="137">
        <v>868.1771591478539</v>
      </c>
      <c r="AB102" s="137">
        <v>811.63341213151602</v>
      </c>
      <c r="AC102" s="137">
        <v>813.56118785566809</v>
      </c>
      <c r="AD102" s="137">
        <v>840.36381478904275</v>
      </c>
      <c r="AE102" s="137">
        <v>870.67804915822285</v>
      </c>
      <c r="AF102" s="137">
        <v>933.7579029694673</v>
      </c>
      <c r="AG102" s="137">
        <v>981.63857600201413</v>
      </c>
      <c r="AH102" s="137">
        <v>1032.0458414340023</v>
      </c>
      <c r="AI102" s="137">
        <v>1091.0064601016775</v>
      </c>
      <c r="AJ102" s="137">
        <v>1172.6398833365477</v>
      </c>
      <c r="AK102" s="137">
        <v>1240.6193785171786</v>
      </c>
      <c r="AL102" s="137">
        <v>1322.8983580897907</v>
      </c>
      <c r="AM102" s="137">
        <v>1404.4558981235677</v>
      </c>
      <c r="AN102" s="137">
        <v>1485.5736287692932</v>
      </c>
      <c r="AO102" s="137">
        <v>1554.1928109440025</v>
      </c>
      <c r="AP102" s="137">
        <v>1624.3018730086046</v>
      </c>
      <c r="AQ102" s="137">
        <v>1691.4575246327963</v>
      </c>
      <c r="AR102" s="137">
        <v>1761.5302711850741</v>
      </c>
      <c r="AS102" s="137">
        <v>1813.5684231249534</v>
      </c>
      <c r="AT102" s="137">
        <v>1860.0450867883278</v>
      </c>
      <c r="AU102" s="137">
        <v>1902.7833247379208</v>
      </c>
      <c r="AV102" s="137">
        <v>1980.7474297137871</v>
      </c>
      <c r="AW102" s="137">
        <v>2084.2971165638228</v>
      </c>
      <c r="AX102" s="137">
        <v>2212.9108841362095</v>
      </c>
      <c r="AY102" s="137">
        <v>2346.443385607296</v>
      </c>
      <c r="AZ102" s="137">
        <v>2440.2074020445461</v>
      </c>
      <c r="BA102" s="137">
        <v>2536.0343944529877</v>
      </c>
      <c r="BB102" s="137">
        <v>2902.8441015136855</v>
      </c>
      <c r="BC102" s="137">
        <v>2763.6835755291104</v>
      </c>
      <c r="BD102" s="137">
        <v>2879.9842506826835</v>
      </c>
      <c r="BE102" s="137">
        <v>2995.8368934825057</v>
      </c>
      <c r="BF102" s="137">
        <v>3123.8717519994889</v>
      </c>
      <c r="BG102" s="137">
        <v>3249.2085068291972</v>
      </c>
      <c r="BH102" s="137">
        <v>3388.7894260923026</v>
      </c>
      <c r="BI102" s="137">
        <v>3521.6739899792178</v>
      </c>
      <c r="BJ102" s="137">
        <v>3663.4310332979476</v>
      </c>
      <c r="BK102" s="137">
        <v>3811.6461296565176</v>
      </c>
      <c r="BL102" s="137">
        <v>3971.6955118409774</v>
      </c>
      <c r="BM102" s="137">
        <v>4131.8845503368375</v>
      </c>
      <c r="BN102" s="137">
        <v>4294.825901842396</v>
      </c>
      <c r="BO102" s="137">
        <v>4455.9752718252385</v>
      </c>
      <c r="BP102" s="137">
        <v>4622.1149770132397</v>
      </c>
      <c r="BQ102" s="137">
        <v>4788.3306217676336</v>
      </c>
      <c r="BR102" s="137">
        <v>4958.1609545497904</v>
      </c>
      <c r="BS102" s="137">
        <v>5124.9045956996688</v>
      </c>
      <c r="BT102" s="137">
        <v>5300.4151541432966</v>
      </c>
      <c r="BU102" s="137">
        <v>5475.6317533398051</v>
      </c>
      <c r="BV102" s="137">
        <v>5660.3090305014975</v>
      </c>
      <c r="BW102" s="137">
        <v>5846.8182574737602</v>
      </c>
      <c r="BX102" s="137">
        <v>6038.2265334373533</v>
      </c>
      <c r="BY102" s="137">
        <v>6233.7341293687741</v>
      </c>
      <c r="BZ102" s="137">
        <v>6441.0900813043554</v>
      </c>
      <c r="CA102" s="137">
        <v>6646.5363949883722</v>
      </c>
      <c r="CB102" s="137">
        <v>6851.3122435320711</v>
      </c>
      <c r="CC102" s="137">
        <v>7061.9551249293136</v>
      </c>
      <c r="CD102" s="137">
        <v>7275.0261115264584</v>
      </c>
      <c r="CE102" s="137">
        <v>7490.3408145837266</v>
      </c>
      <c r="CF102" s="137">
        <v>7711.9159651553337</v>
      </c>
      <c r="CG102" s="137">
        <v>7935.2510328198314</v>
      </c>
      <c r="CH102" s="137">
        <v>8161.2689537498254</v>
      </c>
      <c r="CI102" s="137">
        <v>8394.9282927797613</v>
      </c>
      <c r="CJ102" s="137">
        <v>8623.3530457753586</v>
      </c>
      <c r="CK102" s="137">
        <v>8858.5359399984372</v>
      </c>
      <c r="CL102" s="137">
        <v>9101.4568967806954</v>
      </c>
      <c r="CM102" s="137">
        <v>9341.0645900636209</v>
      </c>
      <c r="CN102" s="137">
        <v>9586.9686063734298</v>
      </c>
      <c r="CO102" s="137">
        <v>9834.405324492338</v>
      </c>
      <c r="CP102" s="137">
        <v>10085.910748220289</v>
      </c>
      <c r="CQ102" s="137">
        <v>10338.885577118159</v>
      </c>
      <c r="CR102" s="137">
        <v>10591.626109888377</v>
      </c>
      <c r="CS102" s="137">
        <v>10851.287368373149</v>
      </c>
      <c r="CT102" s="137">
        <v>11110.099858052585</v>
      </c>
      <c r="CU102" s="137">
        <v>11372.055478909073</v>
      </c>
      <c r="CV102" s="137">
        <v>11634.483332296288</v>
      </c>
      <c r="CW102" s="137">
        <v>11900.816059952085</v>
      </c>
      <c r="CX102" s="137">
        <v>12171.540016779776</v>
      </c>
      <c r="CY102" s="137">
        <v>12440.734252458344</v>
      </c>
      <c r="CZ102" s="137">
        <v>12712.045100678837</v>
      </c>
      <c r="DA102" s="137">
        <v>12985.173631323702</v>
      </c>
      <c r="DB102" s="137">
        <v>13265.123756926936</v>
      </c>
      <c r="DC102" s="137">
        <v>13545.538192374646</v>
      </c>
      <c r="DD102" s="137">
        <v>13826.060342964694</v>
      </c>
      <c r="DE102" s="137">
        <v>14109.741218327259</v>
      </c>
      <c r="DF102" s="137">
        <v>14399.991963415505</v>
      </c>
      <c r="DG102" s="137">
        <v>14685.013672170482</v>
      </c>
      <c r="DH102" s="137">
        <v>14974.779553027218</v>
      </c>
      <c r="DI102" s="137">
        <v>15262.664324354275</v>
      </c>
      <c r="DJ102" s="137">
        <v>15558.500675718167</v>
      </c>
      <c r="DK102" s="137">
        <v>15853.610259549161</v>
      </c>
      <c r="DL102" s="137">
        <v>16147.600578232148</v>
      </c>
      <c r="DM102" s="137">
        <v>16442.862970713646</v>
      </c>
      <c r="DN102" s="137">
        <v>16739.750573118796</v>
      </c>
      <c r="DO102" s="137">
        <v>17041.976749204056</v>
      </c>
      <c r="DP102" s="137">
        <f>(G_Kohorte_F!DP102+G_Kohorte_M!DP102)/2</f>
        <v>17345.405168056823</v>
      </c>
      <c r="DQ102" s="137">
        <f>(G_Kohorte_F!DQ102+G_Kohorte_M!DQ102)/2</f>
        <v>17646.97812059466</v>
      </c>
      <c r="DR102" s="137">
        <f>(G_Kohorte_F!DR102+G_Kohorte_M!DR102)/2</f>
        <v>17952.076764847625</v>
      </c>
      <c r="DS102" s="137">
        <f>(G_Kohorte_F!DS102+G_Kohorte_M!DS102)/2</f>
        <v>18256.792869059871</v>
      </c>
      <c r="DT102" s="137">
        <f>(G_Kohorte_F!DT102+G_Kohorte_M!DT102)/2</f>
        <v>18564.788879084081</v>
      </c>
      <c r="DU102" s="137">
        <f>(G_Kohorte_F!DU102+G_Kohorte_M!DU102)/2</f>
        <v>18873.758579478665</v>
      </c>
    </row>
  </sheetData>
  <sheetProtection formatColumns="0" autoFilter="0"/>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3">
    <pageSetUpPr fitToPage="1"/>
  </sheetPr>
  <dimension ref="A1:L49"/>
  <sheetViews>
    <sheetView showGridLines="0" showRowColHeaders="0" tabSelected="1" showRuler="0" view="pageLayout" topLeftCell="A4" zoomScale="85" zoomScaleNormal="115" zoomScalePageLayoutView="85" workbookViewId="0">
      <selection activeCell="H24" sqref="H24"/>
    </sheetView>
  </sheetViews>
  <sheetFormatPr baseColWidth="10" defaultColWidth="0" defaultRowHeight="14.25" zeroHeight="1"/>
  <cols>
    <col min="1" max="1" width="3.125" style="2215" customWidth="1"/>
    <col min="2" max="2" width="10.625" style="2215" customWidth="1"/>
    <col min="3" max="3" width="2" style="2215" customWidth="1"/>
    <col min="4" max="4" width="25.625" style="2215" customWidth="1"/>
    <col min="5" max="5" width="23.5" style="2215" customWidth="1"/>
    <col min="6" max="6" width="27.625" style="2215" customWidth="1"/>
    <col min="7" max="7" width="25.5" style="2215" customWidth="1"/>
    <col min="8" max="9" width="24.625" style="2215" customWidth="1"/>
    <col min="10" max="10" width="10.625" style="2215" customWidth="1"/>
    <col min="11" max="11" width="17.125" style="2215" hidden="1" customWidth="1"/>
    <col min="12" max="12" width="0" style="2206" hidden="1" customWidth="1"/>
    <col min="13" max="16384" width="10.625" style="2206" hidden="1"/>
  </cols>
  <sheetData>
    <row r="1" spans="1:11" customFormat="1" ht="64.349999999999994" hidden="1" customHeight="1"/>
    <row r="2" spans="1:11" customFormat="1" ht="64.349999999999994" hidden="1" customHeight="1"/>
    <row r="3" spans="1:11" customFormat="1" ht="64.349999999999994" hidden="1" customHeight="1"/>
    <row r="4" spans="1:11" ht="15" customHeight="1"/>
    <row r="5" spans="1:11" s="2207" customFormat="1" ht="32.25" customHeight="1">
      <c r="A5" s="2216"/>
      <c r="B5" s="2216"/>
      <c r="C5" s="2351"/>
      <c r="D5" s="2351"/>
      <c r="E5" s="2351"/>
      <c r="F5" s="2351"/>
      <c r="G5" s="2351"/>
      <c r="H5" s="2351"/>
      <c r="I5" s="2351"/>
      <c r="J5" s="2217"/>
      <c r="K5" s="2216"/>
    </row>
    <row r="6" spans="1:11" ht="18">
      <c r="C6" s="2352" t="s">
        <v>211</v>
      </c>
      <c r="D6" s="2352"/>
      <c r="E6" s="2352"/>
      <c r="F6" s="2352"/>
      <c r="G6" s="2352"/>
      <c r="H6" s="2352"/>
      <c r="I6" s="2352"/>
      <c r="J6" s="2218"/>
    </row>
    <row r="7" spans="1:11" ht="23.25">
      <c r="C7" s="2353" t="s">
        <v>343</v>
      </c>
      <c r="D7" s="2353"/>
      <c r="E7" s="2353"/>
      <c r="F7" s="2353"/>
      <c r="G7" s="2353"/>
      <c r="H7" s="2353"/>
      <c r="I7" s="2353"/>
      <c r="J7" s="2219"/>
      <c r="K7" s="2219"/>
    </row>
    <row r="8" spans="1:11" ht="18">
      <c r="C8" s="2352" t="s">
        <v>212</v>
      </c>
      <c r="D8" s="2352"/>
      <c r="E8" s="2352"/>
      <c r="F8" s="2352"/>
      <c r="G8" s="2352"/>
      <c r="H8" s="2352"/>
      <c r="I8" s="2352"/>
      <c r="J8" s="2218"/>
    </row>
    <row r="9" spans="1:11" s="2208" customFormat="1" ht="12.75">
      <c r="A9" s="2220"/>
      <c r="B9" s="2220"/>
      <c r="C9" s="2361"/>
      <c r="D9" s="2361"/>
      <c r="E9" s="2361"/>
      <c r="F9" s="2361"/>
      <c r="G9" s="2361"/>
      <c r="H9" s="2361"/>
      <c r="I9" s="2361"/>
      <c r="J9" s="2220"/>
      <c r="K9" s="2220"/>
    </row>
    <row r="10" spans="1:11" s="2208" customFormat="1" ht="12.75">
      <c r="A10" s="2220"/>
      <c r="B10" s="2220"/>
      <c r="C10" s="2361" t="s">
        <v>213</v>
      </c>
      <c r="D10" s="2361"/>
      <c r="E10" s="2361"/>
      <c r="F10" s="2361"/>
      <c r="G10" s="2361"/>
      <c r="H10" s="2361"/>
      <c r="I10" s="2361"/>
      <c r="J10" s="2220"/>
      <c r="K10" s="2220"/>
    </row>
    <row r="11" spans="1:11" s="2208" customFormat="1" ht="12.75">
      <c r="A11" s="2220"/>
      <c r="B11" s="2220"/>
      <c r="C11" s="2363" t="s">
        <v>214</v>
      </c>
      <c r="D11" s="2363"/>
      <c r="E11" s="2363"/>
      <c r="F11" s="2363"/>
      <c r="G11" s="2363"/>
      <c r="H11" s="2363"/>
      <c r="I11" s="2363"/>
      <c r="J11" s="2221"/>
      <c r="K11" s="2220"/>
    </row>
    <row r="12" spans="1:11" s="2208" customFormat="1" ht="12.75">
      <c r="A12" s="2220"/>
      <c r="B12" s="2220"/>
      <c r="C12" s="2361" t="s">
        <v>1236</v>
      </c>
      <c r="D12" s="2361"/>
      <c r="E12" s="2361"/>
      <c r="F12" s="2361"/>
      <c r="G12" s="2361"/>
      <c r="H12" s="2361"/>
      <c r="I12" s="2361"/>
      <c r="J12" s="2220"/>
      <c r="K12" s="2220"/>
    </row>
    <row r="13" spans="1:11" s="2208" customFormat="1" ht="12.75">
      <c r="A13" s="2220"/>
      <c r="B13" s="2220"/>
      <c r="C13" s="2361"/>
      <c r="D13" s="2361"/>
      <c r="E13" s="2361"/>
      <c r="F13" s="2222" t="s">
        <v>1235</v>
      </c>
      <c r="G13" s="2222" t="s">
        <v>1237</v>
      </c>
      <c r="H13" s="2365"/>
      <c r="I13" s="2365"/>
      <c r="J13" s="2220"/>
      <c r="K13" s="2220"/>
    </row>
    <row r="14" spans="1:11" s="2208" customFormat="1" ht="13.5" thickBot="1">
      <c r="A14" s="2220"/>
      <c r="B14" s="2220"/>
      <c r="C14" s="2223"/>
      <c r="D14" s="2223"/>
      <c r="E14" s="2223"/>
      <c r="F14" s="2224"/>
      <c r="G14" s="2224"/>
      <c r="H14" s="2223"/>
      <c r="I14" s="2223"/>
      <c r="J14" s="2220"/>
      <c r="K14" s="2220"/>
    </row>
    <row r="15" spans="1:11" ht="24" customHeight="1" thickBot="1">
      <c r="C15" s="2225" t="str">
        <f>"Version "&amp;TEXT(MONTH(Enddatum),"00")&amp;"/"&amp;TEXT(YEAR(Enddatum),"####")</f>
        <v>Version 07/2026</v>
      </c>
      <c r="D15" s="2226"/>
      <c r="E15" s="2366" t="s">
        <v>1201</v>
      </c>
      <c r="F15" s="2366"/>
      <c r="G15" s="2367"/>
      <c r="H15" s="2362" t="s">
        <v>1998</v>
      </c>
      <c r="I15" s="2362"/>
    </row>
    <row r="16" spans="1:11" ht="7.5" customHeight="1" thickBot="1">
      <c r="C16" s="2227"/>
      <c r="D16" s="2227"/>
      <c r="E16" s="2228"/>
      <c r="F16" s="2228"/>
      <c r="G16" s="2229"/>
      <c r="H16" s="2229"/>
      <c r="I16" s="2229"/>
    </row>
    <row r="17" spans="1:11" s="2209" customFormat="1" ht="24" customHeight="1">
      <c r="A17" s="2230"/>
      <c r="B17" s="2230"/>
      <c r="C17" s="2364" t="s">
        <v>540</v>
      </c>
      <c r="D17" s="2364"/>
      <c r="E17" s="2364"/>
      <c r="F17" s="2364"/>
      <c r="G17" s="2364"/>
      <c r="H17" s="2369" t="s">
        <v>1945</v>
      </c>
      <c r="I17" s="2370"/>
      <c r="J17" s="2230"/>
      <c r="K17" s="2230"/>
    </row>
    <row r="18" spans="1:11" s="2209" customFormat="1" ht="24" customHeight="1">
      <c r="A18" s="2230"/>
      <c r="B18" s="2232"/>
      <c r="C18" s="2368" t="s">
        <v>1422</v>
      </c>
      <c r="D18" s="2368"/>
      <c r="E18" s="2368"/>
      <c r="F18" s="2368"/>
      <c r="G18" s="2231"/>
      <c r="H18" s="2371"/>
      <c r="I18" s="2372"/>
      <c r="J18" s="2230"/>
      <c r="K18" s="2230"/>
    </row>
    <row r="19" spans="1:11" s="2210" customFormat="1" ht="37.5" customHeight="1">
      <c r="A19" s="2233"/>
      <c r="B19" s="2233"/>
      <c r="C19" s="2358" t="s">
        <v>324</v>
      </c>
      <c r="D19" s="2358"/>
      <c r="E19" s="2358"/>
      <c r="F19" s="2358"/>
      <c r="G19" s="2359"/>
      <c r="H19" s="2379" t="s">
        <v>2034</v>
      </c>
      <c r="I19" s="2380"/>
      <c r="J19" s="2233"/>
      <c r="K19" s="2233"/>
    </row>
    <row r="20" spans="1:11" s="2210" customFormat="1" ht="22.5" customHeight="1">
      <c r="A20" s="2233"/>
      <c r="B20" s="2233"/>
      <c r="C20" s="2358" t="s">
        <v>323</v>
      </c>
      <c r="D20" s="2358"/>
      <c r="E20" s="2358"/>
      <c r="F20" s="2358"/>
      <c r="G20" s="2359"/>
      <c r="H20" s="2381" t="s">
        <v>1309</v>
      </c>
      <c r="I20" s="2382"/>
      <c r="J20" s="2233"/>
      <c r="K20" s="2233"/>
    </row>
    <row r="21" spans="1:11" s="2210" customFormat="1" ht="22.5" customHeight="1">
      <c r="A21" s="2233"/>
      <c r="B21" s="2233"/>
      <c r="C21" s="2358" t="s">
        <v>344</v>
      </c>
      <c r="D21" s="2358"/>
      <c r="E21" s="2358"/>
      <c r="F21" s="2358"/>
      <c r="G21" s="2359"/>
      <c r="H21" s="2381"/>
      <c r="I21" s="2382"/>
      <c r="J21" s="2233"/>
      <c r="K21" s="2233"/>
    </row>
    <row r="22" spans="1:11" s="2210" customFormat="1" ht="21" customHeight="1">
      <c r="A22" s="2233"/>
      <c r="B22" s="2233"/>
      <c r="C22" s="2358" t="s">
        <v>1232</v>
      </c>
      <c r="D22" s="2358"/>
      <c r="E22" s="2358"/>
      <c r="F22" s="2358"/>
      <c r="G22" s="2359"/>
      <c r="H22" s="2381" t="s">
        <v>1239</v>
      </c>
      <c r="I22" s="2382"/>
      <c r="J22" s="2233"/>
      <c r="K22" s="2233"/>
    </row>
    <row r="23" spans="1:11" s="2210" customFormat="1" ht="21" hidden="1" customHeight="1">
      <c r="A23" s="2233"/>
      <c r="B23" s="2233"/>
      <c r="C23" s="2358" t="s">
        <v>1231</v>
      </c>
      <c r="D23" s="2358"/>
      <c r="E23" s="2358"/>
      <c r="F23" s="2358"/>
      <c r="G23" s="2359"/>
      <c r="H23" s="2383" t="s">
        <v>1946</v>
      </c>
      <c r="I23" s="2384"/>
      <c r="J23" s="2215"/>
      <c r="K23" s="2233"/>
    </row>
    <row r="24" spans="1:11" s="2210" customFormat="1" ht="21" customHeight="1" thickBot="1">
      <c r="A24" s="2233"/>
      <c r="B24" s="2234"/>
      <c r="C24" s="2358" t="s">
        <v>1990</v>
      </c>
      <c r="D24" s="2358"/>
      <c r="E24" s="2358"/>
      <c r="F24" s="2358"/>
      <c r="G24" s="2359"/>
      <c r="H24" s="2235" t="s">
        <v>1988</v>
      </c>
      <c r="I24" s="2236" t="s">
        <v>1989</v>
      </c>
      <c r="J24" s="2237"/>
      <c r="K24" s="2233"/>
    </row>
    <row r="25" spans="1:11" s="2210" customFormat="1" ht="21" customHeight="1">
      <c r="A25" s="2233"/>
      <c r="B25" s="2232"/>
      <c r="C25" s="2358" t="s">
        <v>1991</v>
      </c>
      <c r="D25" s="2358"/>
      <c r="E25" s="2358"/>
      <c r="F25" s="2238"/>
      <c r="G25" s="2239"/>
      <c r="H25" s="2387" t="s">
        <v>1240</v>
      </c>
      <c r="I25" s="2388"/>
      <c r="J25" s="2233"/>
      <c r="K25" s="2233"/>
    </row>
    <row r="26" spans="1:11" s="2210" customFormat="1" ht="21" customHeight="1">
      <c r="A26" s="2233"/>
      <c r="B26" s="2233"/>
      <c r="C26" s="2358" t="s">
        <v>1992</v>
      </c>
      <c r="D26" s="2358"/>
      <c r="E26" s="2358"/>
      <c r="F26" s="2358"/>
      <c r="G26" s="2359"/>
      <c r="H26" s="2387"/>
      <c r="I26" s="2388"/>
      <c r="J26" s="2215"/>
      <c r="K26" s="2233"/>
    </row>
    <row r="27" spans="1:11" s="2210" customFormat="1" ht="21" hidden="1" customHeight="1">
      <c r="A27" s="2233"/>
      <c r="B27" s="2233"/>
      <c r="C27" s="2358" t="s">
        <v>1233</v>
      </c>
      <c r="D27" s="2358"/>
      <c r="E27" s="2358"/>
      <c r="F27" s="2358"/>
      <c r="G27" s="2359"/>
      <c r="H27" s="2387"/>
      <c r="I27" s="2388"/>
      <c r="J27" s="2215"/>
      <c r="K27" s="2233"/>
    </row>
    <row r="28" spans="1:11" s="2210" customFormat="1" ht="21" hidden="1" customHeight="1">
      <c r="A28" s="2233"/>
      <c r="B28" s="2233"/>
      <c r="C28" s="2358" t="s">
        <v>1101</v>
      </c>
      <c r="D28" s="2358"/>
      <c r="E28" s="2358"/>
      <c r="F28" s="2358"/>
      <c r="G28" s="2359"/>
      <c r="H28" s="2387"/>
      <c r="I28" s="2388"/>
      <c r="J28" s="2215"/>
      <c r="K28" s="2215"/>
    </row>
    <row r="29" spans="1:11" s="2210" customFormat="1" ht="21" hidden="1" customHeight="1">
      <c r="A29" s="2233"/>
      <c r="B29" s="2233"/>
      <c r="C29" s="2240" t="s">
        <v>1234</v>
      </c>
      <c r="D29" s="2240"/>
      <c r="E29" s="2241"/>
      <c r="F29" s="2360" t="s">
        <v>1291</v>
      </c>
      <c r="G29" s="2360"/>
      <c r="H29" s="2387"/>
      <c r="I29" s="2388"/>
      <c r="J29" s="2242"/>
      <c r="K29" s="2242"/>
    </row>
    <row r="30" spans="1:11" s="2210" customFormat="1" ht="21" customHeight="1">
      <c r="A30" s="2233"/>
      <c r="B30" s="2233"/>
      <c r="C30" s="2378" t="s">
        <v>1993</v>
      </c>
      <c r="D30" s="2378"/>
      <c r="E30" s="2378"/>
      <c r="F30" s="2378"/>
      <c r="G30" s="2378"/>
      <c r="H30" s="2387"/>
      <c r="I30" s="2388"/>
      <c r="J30" s="2233"/>
      <c r="K30" s="2233"/>
    </row>
    <row r="31" spans="1:11" s="2211" customFormat="1" ht="21" customHeight="1">
      <c r="A31" s="2243"/>
      <c r="B31" s="2244"/>
      <c r="C31" s="2243"/>
      <c r="D31" s="2245" t="s">
        <v>1102</v>
      </c>
      <c r="E31" s="2245" t="s">
        <v>1103</v>
      </c>
      <c r="F31" s="2245" t="s">
        <v>1104</v>
      </c>
      <c r="G31" s="2245" t="s">
        <v>1105</v>
      </c>
      <c r="H31" s="2387"/>
      <c r="I31" s="2388"/>
      <c r="J31" s="2243"/>
      <c r="K31" s="2243"/>
    </row>
    <row r="32" spans="1:11" s="2211" customFormat="1" ht="21" customHeight="1">
      <c r="A32" s="2243"/>
      <c r="B32" s="2244"/>
      <c r="C32" s="2243"/>
      <c r="D32" s="2246" t="s">
        <v>1108</v>
      </c>
      <c r="E32" s="2246" t="s">
        <v>1109</v>
      </c>
      <c r="F32" s="2246" t="s">
        <v>1110</v>
      </c>
      <c r="G32" s="2247" t="s">
        <v>1836</v>
      </c>
      <c r="H32" s="2387"/>
      <c r="I32" s="2388"/>
      <c r="J32" s="2248"/>
      <c r="K32" s="2248"/>
    </row>
    <row r="33" spans="1:12" s="2211" customFormat="1" ht="21" customHeight="1" thickBot="1">
      <c r="A33" s="2243"/>
      <c r="B33" s="2244"/>
      <c r="C33" s="2243"/>
      <c r="D33" s="2245" t="s">
        <v>1106</v>
      </c>
      <c r="E33" s="2245" t="s">
        <v>1107</v>
      </c>
      <c r="F33" s="2246"/>
      <c r="G33" s="2247"/>
      <c r="H33" s="2385" t="s">
        <v>1235</v>
      </c>
      <c r="I33" s="2386"/>
      <c r="J33" s="2248"/>
      <c r="K33" s="2248"/>
    </row>
    <row r="34" spans="1:12" s="2210" customFormat="1" ht="21" customHeight="1">
      <c r="A34" s="2233"/>
      <c r="B34" s="2233"/>
      <c r="C34" s="2357" t="str">
        <f ca="1">"9. Berechnungsparameter für die gesetzliche Rentenversicherung und den Versorgungsausgleich von 1970 bis "&amp;YEAR(TODAY())</f>
        <v>9. Berechnungsparameter für die gesetzliche Rentenversicherung und den Versorgungsausgleich von 1970 bis 2026</v>
      </c>
      <c r="D34" s="2357"/>
      <c r="E34" s="2357"/>
      <c r="F34" s="2357"/>
      <c r="G34" s="2357"/>
      <c r="H34" s="2357"/>
      <c r="I34" s="2357"/>
      <c r="J34" s="2237"/>
      <c r="K34" s="2237"/>
    </row>
    <row r="35" spans="1:12" ht="18" hidden="1">
      <c r="C35" s="2357" t="str">
        <f ca="1">"13. Berechnungsparameter für die gesetzliche Rentenversicherung und den Versorgungsausgleich von 1970 bis "&amp;YEAR(TODAY())</f>
        <v>13. Berechnungsparameter für die gesetzliche Rentenversicherung und den Versorgungsausgleich von 1970 bis 2026</v>
      </c>
      <c r="D35" s="2357"/>
      <c r="E35" s="2357"/>
      <c r="F35" s="2357"/>
      <c r="G35" s="2357"/>
      <c r="H35" s="2357"/>
      <c r="I35" s="2357"/>
      <c r="J35" s="2249"/>
      <c r="K35" s="2249"/>
    </row>
    <row r="36" spans="1:12" ht="15.6" hidden="1" customHeight="1">
      <c r="C36" s="2378"/>
      <c r="D36" s="2378"/>
      <c r="E36" s="2378"/>
      <c r="F36" s="2378"/>
      <c r="G36" s="2378"/>
      <c r="H36" s="2378"/>
      <c r="I36" s="2378"/>
      <c r="J36" s="2378"/>
      <c r="K36" s="2378"/>
      <c r="L36" s="2212"/>
    </row>
    <row r="37" spans="1:12">
      <c r="C37" s="2354" t="s">
        <v>1238</v>
      </c>
      <c r="D37" s="2355"/>
      <c r="E37" s="2355"/>
      <c r="F37" s="2355"/>
      <c r="G37" s="2355"/>
      <c r="H37" s="2355"/>
      <c r="I37" s="2355"/>
    </row>
    <row r="38" spans="1:12">
      <c r="C38" s="2356"/>
      <c r="D38" s="2356"/>
      <c r="E38" s="2356"/>
      <c r="F38" s="2356"/>
      <c r="G38" s="2356"/>
      <c r="H38" s="2356"/>
      <c r="I38" s="2356"/>
    </row>
    <row r="39" spans="1:12" ht="15.75">
      <c r="C39" s="2375" t="s">
        <v>1178</v>
      </c>
      <c r="D39" s="2376"/>
      <c r="E39" s="2376"/>
      <c r="F39" s="2376"/>
      <c r="G39" s="2376"/>
      <c r="H39" s="2376"/>
      <c r="I39" s="2377"/>
    </row>
    <row r="40" spans="1:12" s="2213" customFormat="1" ht="14.25" customHeight="1">
      <c r="A40" s="2250"/>
      <c r="B40" s="2251"/>
      <c r="C40" s="2373" t="s">
        <v>1501</v>
      </c>
      <c r="D40" s="2373"/>
      <c r="E40" s="2373"/>
      <c r="F40" s="2373"/>
      <c r="G40" s="2373"/>
      <c r="H40" s="2373"/>
      <c r="I40" s="2373"/>
      <c r="J40" s="2251"/>
      <c r="K40" s="2251"/>
      <c r="L40" s="2214"/>
    </row>
    <row r="41" spans="1:12" s="2213" customFormat="1">
      <c r="A41" s="2251"/>
      <c r="B41" s="2251"/>
      <c r="C41" s="2374"/>
      <c r="D41" s="2374"/>
      <c r="E41" s="2374"/>
      <c r="F41" s="2374"/>
      <c r="G41" s="2374"/>
      <c r="H41" s="2374"/>
      <c r="I41" s="2374"/>
      <c r="J41" s="2251"/>
      <c r="K41" s="2251"/>
      <c r="L41" s="2214"/>
    </row>
    <row r="42" spans="1:12" s="2213" customFormat="1">
      <c r="A42" s="2251"/>
      <c r="B42" s="2251"/>
      <c r="C42" s="2374"/>
      <c r="D42" s="2374"/>
      <c r="E42" s="2374"/>
      <c r="F42" s="2374"/>
      <c r="G42" s="2374"/>
      <c r="H42" s="2374"/>
      <c r="I42" s="2374"/>
      <c r="J42" s="2251"/>
      <c r="K42" s="2251"/>
      <c r="L42" s="2214"/>
    </row>
    <row r="43" spans="1:12" s="2213" customFormat="1">
      <c r="A43" s="2251"/>
      <c r="B43" s="2251"/>
      <c r="C43" s="2374"/>
      <c r="D43" s="2374"/>
      <c r="E43" s="2374"/>
      <c r="F43" s="2374"/>
      <c r="G43" s="2374"/>
      <c r="H43" s="2374"/>
      <c r="I43" s="2374"/>
      <c r="J43" s="2251"/>
      <c r="K43" s="2251"/>
      <c r="L43" s="2214"/>
    </row>
    <row r="44" spans="1:12" s="2213" customFormat="1">
      <c r="A44" s="2251"/>
      <c r="B44" s="2251"/>
      <c r="C44" s="2374"/>
      <c r="D44" s="2374"/>
      <c r="E44" s="2374"/>
      <c r="F44" s="2374"/>
      <c r="G44" s="2374"/>
      <c r="H44" s="2374"/>
      <c r="I44" s="2374"/>
      <c r="J44" s="2251"/>
      <c r="K44" s="2251"/>
      <c r="L44" s="2214"/>
    </row>
    <row r="45" spans="1:12" s="2213" customFormat="1">
      <c r="A45" s="2251"/>
      <c r="B45" s="2251"/>
      <c r="C45" s="2374"/>
      <c r="D45" s="2374"/>
      <c r="E45" s="2374"/>
      <c r="F45" s="2374"/>
      <c r="G45" s="2374"/>
      <c r="H45" s="2374"/>
      <c r="I45" s="2374"/>
      <c r="J45" s="2251"/>
      <c r="K45" s="2251"/>
      <c r="L45" s="2214"/>
    </row>
    <row r="46" spans="1:12" s="2213" customFormat="1">
      <c r="A46" s="2251"/>
      <c r="B46" s="2251"/>
      <c r="C46" s="2374"/>
      <c r="D46" s="2374"/>
      <c r="E46" s="2374"/>
      <c r="F46" s="2374"/>
      <c r="G46" s="2374"/>
      <c r="H46" s="2374"/>
      <c r="I46" s="2374"/>
      <c r="J46" s="2251"/>
      <c r="K46" s="2251"/>
      <c r="L46" s="2214"/>
    </row>
    <row r="47" spans="1:12" s="2213" customFormat="1">
      <c r="A47" s="2251"/>
      <c r="B47" s="2251"/>
      <c r="C47" s="2374"/>
      <c r="D47" s="2374"/>
      <c r="E47" s="2374"/>
      <c r="F47" s="2374"/>
      <c r="G47" s="2374"/>
      <c r="H47" s="2374"/>
      <c r="I47" s="2374"/>
      <c r="J47" s="2251"/>
      <c r="K47" s="2251"/>
      <c r="L47" s="2214"/>
    </row>
    <row r="48" spans="1:12" s="2213" customFormat="1">
      <c r="A48" s="2251"/>
      <c r="B48" s="2251"/>
      <c r="C48" s="2374"/>
      <c r="D48" s="2374"/>
      <c r="E48" s="2374"/>
      <c r="F48" s="2374"/>
      <c r="G48" s="2374"/>
      <c r="H48" s="2374"/>
      <c r="I48" s="2374"/>
      <c r="J48" s="2251"/>
      <c r="K48" s="2251"/>
      <c r="L48" s="2214"/>
    </row>
    <row r="49" spans="3:9">
      <c r="C49" s="2374"/>
      <c r="D49" s="2374"/>
      <c r="E49" s="2374"/>
      <c r="F49" s="2374"/>
      <c r="G49" s="2374"/>
      <c r="H49" s="2374"/>
      <c r="I49" s="2374"/>
    </row>
  </sheetData>
  <sheetProtection algorithmName="SHA-512" hashValue="7ULYRL/jj0OwVal8FEwelO5cxYHNYCjGTLuWHa4UQ8oSHcp2X7rtVo8/9rfK4BhVIANlU0d066XFI0zJz1YE0g==" saltValue="WB5YSRPLTghaYqhw4MOOFA==" spinCount="100000" sheet="1" objects="1" scenarios="1" formatColumns="0"/>
  <mergeCells count="39">
    <mergeCell ref="C18:F18"/>
    <mergeCell ref="C25:E25"/>
    <mergeCell ref="H17:I18"/>
    <mergeCell ref="C40:I49"/>
    <mergeCell ref="C39:I39"/>
    <mergeCell ref="C36:K36"/>
    <mergeCell ref="C24:G24"/>
    <mergeCell ref="H19:I19"/>
    <mergeCell ref="C28:G28"/>
    <mergeCell ref="C30:G30"/>
    <mergeCell ref="H20:I21"/>
    <mergeCell ref="H22:I22"/>
    <mergeCell ref="H23:I23"/>
    <mergeCell ref="C35:I35"/>
    <mergeCell ref="H33:I33"/>
    <mergeCell ref="H25:I32"/>
    <mergeCell ref="H15:I15"/>
    <mergeCell ref="C11:I11"/>
    <mergeCell ref="C17:G17"/>
    <mergeCell ref="C12:I12"/>
    <mergeCell ref="C13:E13"/>
    <mergeCell ref="H13:I13"/>
    <mergeCell ref="E15:G15"/>
    <mergeCell ref="C5:I5"/>
    <mergeCell ref="C6:I6"/>
    <mergeCell ref="C7:I7"/>
    <mergeCell ref="C8:I8"/>
    <mergeCell ref="C37:I38"/>
    <mergeCell ref="C34:I34"/>
    <mergeCell ref="C19:G19"/>
    <mergeCell ref="C20:G20"/>
    <mergeCell ref="C21:G21"/>
    <mergeCell ref="C22:G22"/>
    <mergeCell ref="C23:G23"/>
    <mergeCell ref="C26:G26"/>
    <mergeCell ref="C27:G27"/>
    <mergeCell ref="F29:G29"/>
    <mergeCell ref="C9:I9"/>
    <mergeCell ref="C10:I10"/>
  </mergeCells>
  <phoneticPr fontId="61" type="noConversion"/>
  <hyperlinks>
    <hyperlink ref="D31" location="Berechnungsparameter" display="Berechnungsoarameter" xr:uid="{E65E74E1-B894-477F-8442-CEE3C616590D}"/>
    <hyperlink ref="E31" location="Umrechnungen" display="Umrechnungen" xr:uid="{AA88DA0A-3B16-4A96-84AA-BA1F6A2C2B81}"/>
    <hyperlink ref="F31" location="Barwertberechnung" display="Barwertberechnung" xr:uid="{EFE0D682-48AC-4315-ABA4-1DAA697986AD}"/>
    <hyperlink ref="G31" location="Höchstrechnungszins" display="Höchstrechnungszins" xr:uid="{B4704884-9A8B-4CC4-B196-FD58FD6B8F74}"/>
    <hyperlink ref="D33" location="Verrentung" display="Verrentung" xr:uid="{EA41976C-58CD-41D2-A34C-7D70AD8DC940}"/>
    <hyperlink ref="E33" location="Aufzinsung" display="Aufzinsung" xr:uid="{07AC8C0B-C420-464C-8E4E-9E9DFE51BBE9}"/>
    <hyperlink ref="D32" location="Dynamisierung" display="Dynamisierung VPI &amp; aktRW" xr:uid="{263A5081-E762-4B4A-AF6E-AA731C8BA83C}"/>
    <hyperlink ref="C39:H39" r:id="rId1" display="Rechtsanwalt Hauß, Hauss@Anwaelte-DU.de" xr:uid="{9750FAF6-6709-4DF9-B09C-C6707F46D74F}"/>
    <hyperlink ref="F32" location="BeamtV_Dienstzeit" display="(9) Dienstzeitverlängerung &amp; Pension" xr:uid="{A4051110-E2A0-43B8-8385-A8CB4DD84A97}"/>
    <hyperlink ref="E32" location="AltersgrenzeBerechnen" display="(8) Altersgrenze bestimmen" xr:uid="{8C368647-DA22-493B-828F-CC8C79846152}"/>
    <hyperlink ref="C19:G19" location="E_Datum1" display="1. Berechnung &amp; Kontrolle von Kapitalwerten einzelner Versorgungen (Rentenbewertung)" xr:uid="{C37B4215-8BA0-4C14-A05E-5B9C5D6E1DFF}"/>
    <hyperlink ref="C20:G20" location="E_Bezeichnung" display="2. Textdarstellung der Berechnung zu Ziff. 1." xr:uid="{7592DA75-4817-4A19-86B8-C27E483FFCA3}"/>
    <hyperlink ref="C21:G21" location="Ehevon" display="3. zeitratierliche Berechnung des Ehezeitanteils einer Versorgung" xr:uid="{3974839F-A36B-4BAE-8C5F-A203CA836BBB}"/>
    <hyperlink ref="C22:G22" location="B_Dat" display="4. Vergleichende Bewertung von Versorgungen (Adäquanzprüfung nach BVerfG 1 BvL 5/18)" xr:uid="{D3B2D348-B970-4877-9BDB-5AFEE66152E1}"/>
    <hyperlink ref="C23:G23" location="Transfergewinnverteilung" display="5. Verteilung von Transfergewinnen oder Verlusten bei externer Teilung" xr:uid="{4A30FF2D-5321-4586-AAB9-1E195620563D}"/>
    <hyperlink ref="C24:G24" location="Teilungsordnungsprüfung" display="6. Prüfung der Teilungsordnungen der Versorgungsträger" xr:uid="{DE6D8579-7D66-418F-8087-0CD4BD8339E7}"/>
    <hyperlink ref="C26:G26" location="VerzinsungAusgleichswert" display="7. Verzinsung eines Ausgleichswerts" xr:uid="{17CEF363-EB11-4D9A-92CA-D04C1904B6C2}"/>
    <hyperlink ref="C27:G27" location="Anpassung33" display="8. Anpassung, § 33 VersAusglG" xr:uid="{D12A337E-6A6F-4437-8D1A-EFD86F70A78D}"/>
    <hyperlink ref="C34:I34" location="Rentenparameter" display="Rentenparameter" xr:uid="{7F1B7FEC-3A48-4E56-82EA-0CA56663D6C7}"/>
    <hyperlink ref="H33" r:id="rId2" xr:uid="{0119AB39-938D-4DE6-B771-416C820554EA}"/>
    <hyperlink ref="C30:G30" location="'Dies &amp; Das'!A1" display="11. &quot;Dies &amp; Das&quot; - hilfreiche kleine Berechnungstools für Familienrechtleriinen und Familienrechtler" xr:uid="{AF3B49A6-5CE4-460B-9CCE-F9A03B3281BD}"/>
    <hyperlink ref="F13" r:id="rId3" xr:uid="{812EBF93-BC9B-46C1-BD13-07D4EE3C25D0}"/>
    <hyperlink ref="G13" r:id="rId4" xr:uid="{0AB836E0-9CBE-4EEE-987F-3768138E3B61}"/>
    <hyperlink ref="C39:I39" r:id="rId5" display="Rechtsanwalt Hauß, Hauss@Anwaelte-DU.de" xr:uid="{185182D1-0E71-4E69-B34B-BE695456DB3A}"/>
    <hyperlink ref="C28:G28" location="Grundrentenrechner" display="10. Grundrenten EP im Versorgungsausgleich - Berechnungshilfe" xr:uid="{2AAD075B-F402-4520-8FDC-8EECBCC47EED}"/>
    <hyperlink ref="C29:D29" location="Abänderung_Datum" display="11. Abänderungsampel" xr:uid="{0531EE0E-1174-4D92-96AA-3DF97B47E889}"/>
    <hyperlink ref="C18:F18" location="Dat_EzE" display="Datenerfassung &amp; Kontrolle" xr:uid="{EC03BA46-1A2C-4FEB-BD7C-3A2FE3975DE9}"/>
    <hyperlink ref="F29:G29" location="Abänderungsgründe" display="11. a) Abänderungsgründe zeitlich gestaffelt" xr:uid="{57141606-089E-4586-8370-EB68D281F669}"/>
    <hyperlink ref="G32" location="DuD_SummeAR" display="(10) Summe der Altersrenten" xr:uid="{AE0B07C3-A1EE-4953-BE94-8AD9940C625B}"/>
    <hyperlink ref="H23:I23" r:id="rId6" display="Der Kaffeerunde beitreten" xr:uid="{7B8C3D09-73F0-4249-866C-1B862140EA24}"/>
    <hyperlink ref="C35:I35" location="Rentenparameter" display="Rentenparameter" xr:uid="{3D17C642-86E2-4D06-BE44-946E87860842}"/>
    <hyperlink ref="H24" r:id="rId7" xr:uid="{948723F4-5169-4D0F-B467-24FD7A54A823}"/>
    <hyperlink ref="I24" r:id="rId8" xr:uid="{F2A3349D-0283-4A5C-828F-BCAF822A3A0D}"/>
    <hyperlink ref="H15:I15" r:id="rId9" display="www.KaffeerundeVA.de" xr:uid="{5F2771CF-CC6B-4D02-9C86-B98BAD741304}"/>
  </hyperlinks>
  <printOptions horizontalCentered="1" verticalCentered="1"/>
  <pageMargins left="0.31496062992125984" right="0.31496062992125984" top="0.39370078740157483" bottom="0.39370078740157483" header="0.31496062992125984" footer="0.31496062992125984"/>
  <pageSetup paperSize="9" scale="73" orientation="landscape" r:id="rId10"/>
  <drawing r:id="rId1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0183-AC28-41BE-8283-D7D53CFA947D}">
  <sheetPr codeName="Tabelle35">
    <tabColor theme="8" tint="0.59999389629810485"/>
    <pageSetUpPr fitToPage="1"/>
  </sheetPr>
  <dimension ref="A1:BN49"/>
  <sheetViews>
    <sheetView showGridLines="0" showRowColHeaders="0" showZeros="0" zoomScale="95" zoomScaleNormal="95" workbookViewId="0">
      <selection activeCell="U9" sqref="U9:V9"/>
    </sheetView>
  </sheetViews>
  <sheetFormatPr baseColWidth="10" defaultColWidth="0" defaultRowHeight="12.75"/>
  <cols>
    <col min="1" max="1" width="3.125" style="127" customWidth="1"/>
    <col min="2" max="3" width="4.125" style="127" customWidth="1"/>
    <col min="4" max="4" width="24.625" style="127" customWidth="1"/>
    <col min="5" max="5" width="12.625" style="127" customWidth="1"/>
    <col min="6" max="7" width="11.625" style="127" customWidth="1"/>
    <col min="8" max="8" width="4.625" style="127" customWidth="1"/>
    <col min="9" max="11" width="6.125" style="127" customWidth="1"/>
    <col min="12" max="12" width="7.125" style="127" customWidth="1"/>
    <col min="13" max="14" width="6.125" style="127" customWidth="1"/>
    <col min="15" max="16" width="6.625" style="127" customWidth="1"/>
    <col min="17" max="17" width="6.125" style="127" customWidth="1"/>
    <col min="18" max="18" width="3.5" style="127" customWidth="1"/>
    <col min="19" max="22" width="11.625" style="127" customWidth="1"/>
    <col min="23" max="23" width="1" style="127" hidden="1" customWidth="1"/>
    <col min="24" max="24" width="3.125" style="127" hidden="1" customWidth="1"/>
    <col min="25" max="27" width="12.5" style="127" customWidth="1"/>
    <col min="28" max="29" width="14.625" style="127" customWidth="1"/>
    <col min="30" max="30" width="4.625" style="127" customWidth="1"/>
    <col min="31" max="31" width="4.125" style="2053" hidden="1" customWidth="1"/>
    <col min="32" max="32" width="6.625" style="1466" hidden="1" customWidth="1"/>
    <col min="33" max="34" width="10.625" style="127" hidden="1" customWidth="1"/>
    <col min="35" max="35" width="12.125" style="127" hidden="1" customWidth="1"/>
    <col min="36" max="40" width="10.625" style="143" hidden="1" customWidth="1"/>
    <col min="41" max="52" width="10.625" style="1206" hidden="1" customWidth="1"/>
    <col min="53" max="53" width="11.125" style="1206" hidden="1" customWidth="1"/>
    <col min="54" max="58" width="10.625" style="127" hidden="1" customWidth="1"/>
    <col min="59" max="59" width="11.625" style="127" hidden="1" customWidth="1"/>
    <col min="60" max="60" width="10.625" style="127" hidden="1" customWidth="1"/>
    <col min="61" max="61" width="11" style="127" hidden="1" customWidth="1"/>
    <col min="62" max="66" width="10.625" style="127" hidden="1" customWidth="1"/>
    <col min="67" max="16384" width="1.5" style="127" hidden="1"/>
  </cols>
  <sheetData>
    <row r="1" spans="1:60" s="1505" customFormat="1" ht="17.100000000000001" customHeight="1" thickBot="1">
      <c r="A1" s="1483">
        <v>1.06</v>
      </c>
      <c r="B1" s="2465" t="s">
        <v>1405</v>
      </c>
      <c r="C1" s="2465"/>
      <c r="D1" s="2465"/>
      <c r="E1" s="2465"/>
      <c r="F1" s="2465"/>
      <c r="G1" s="2465"/>
      <c r="H1" s="2465"/>
      <c r="I1" s="2465"/>
      <c r="J1" s="2465"/>
      <c r="K1" s="2465"/>
      <c r="L1" s="2465"/>
      <c r="M1" s="2465"/>
      <c r="N1" s="2465"/>
      <c r="O1" s="2465"/>
      <c r="P1" s="2465"/>
      <c r="Q1" s="2465"/>
      <c r="R1" s="2466" t="str">
        <f>IF(V3&gt;Enddatum,"Download neue Version hier klicken!","")</f>
        <v/>
      </c>
      <c r="S1" s="2466"/>
      <c r="T1" s="2466"/>
      <c r="U1" s="2466"/>
      <c r="V1" s="2466"/>
      <c r="W1" s="25"/>
      <c r="X1" s="25"/>
      <c r="AB1" s="1507"/>
      <c r="AC1" s="1507"/>
      <c r="AD1" s="2045">
        <v>1</v>
      </c>
      <c r="AE1" s="2051"/>
      <c r="AF1" s="966"/>
      <c r="AG1" s="2301"/>
      <c r="AH1" s="2301"/>
      <c r="AI1" s="1508"/>
      <c r="AK1" s="1505" t="s">
        <v>175</v>
      </c>
      <c r="AL1" s="1509" t="s">
        <v>176</v>
      </c>
      <c r="AM1" s="1509"/>
      <c r="AN1" s="1509"/>
      <c r="AO1" s="2412" t="s">
        <v>1477</v>
      </c>
      <c r="AP1" s="2412"/>
      <c r="AQ1" s="2412"/>
      <c r="AR1" s="2412"/>
    </row>
    <row r="2" spans="1:60" s="1484" customFormat="1" ht="17.100000000000001" customHeight="1" thickTop="1" thickBot="1">
      <c r="B2" s="2461" t="s">
        <v>1565</v>
      </c>
      <c r="C2" s="2462"/>
      <c r="D2" s="2462"/>
      <c r="E2" s="2462"/>
      <c r="F2" s="2462"/>
      <c r="G2" s="2462"/>
      <c r="H2" s="2462"/>
      <c r="I2" s="2462"/>
      <c r="J2" s="2462"/>
      <c r="K2" s="2462"/>
      <c r="L2" s="2462"/>
      <c r="M2" s="2462"/>
      <c r="N2" s="2462"/>
      <c r="O2" s="2556" t="str">
        <f>"Aktualisierungsstand:  "&amp;TEXT(Enddatum,"TT.MM.JJJJ")</f>
        <v>Aktualisierungsstand:  31.07.2026</v>
      </c>
      <c r="P2" s="2556"/>
      <c r="Q2" s="2557"/>
      <c r="R2" s="2458" t="str">
        <f>IF(V3&gt;Enddatum,"Achtung, Daten liegen nur bis "&amp;TEXT(Enddatum,"TT.MM.JJ")&amp;" vor!","2. Ehezeitl. Versorgungserwerb"&amp;IF(AND(Dat_EzA&gt;0,Dat_EzE&gt;0)," in "&amp;TEXT(YEARFRAC(Dat_EzA,Dat_EzE,3),"0,00")&amp;" Ehejahren",""))</f>
        <v>2. Ehezeitl. Versorgungserwerb</v>
      </c>
      <c r="S2" s="2459"/>
      <c r="T2" s="2459"/>
      <c r="U2" s="2459"/>
      <c r="V2" s="2460"/>
      <c r="W2" s="1142"/>
      <c r="X2" s="2634" t="s">
        <v>1452</v>
      </c>
      <c r="Y2" s="2637" t="s">
        <v>1568</v>
      </c>
      <c r="Z2" s="2638"/>
      <c r="AA2" s="2639"/>
      <c r="AB2" s="2552" t="s">
        <v>1908</v>
      </c>
      <c r="AC2" s="2553"/>
      <c r="AD2" s="2037">
        <v>1</v>
      </c>
      <c r="AE2" s="2051"/>
      <c r="AF2" s="966"/>
      <c r="AG2" s="2301"/>
      <c r="AH2" s="2301"/>
      <c r="AI2" s="1508"/>
      <c r="AJ2" s="1484" t="s">
        <v>7</v>
      </c>
      <c r="AK2" s="1484" t="e">
        <f>ROUND(YEARFRAC(T6,V3,0),2)</f>
        <v>#VALUE!</v>
      </c>
      <c r="AL2" s="1510" t="e">
        <f>ROUND(YEARFRAC(Dat_GebDat_F,Dat_EzE,0),2)</f>
        <v>#VALUE!</v>
      </c>
      <c r="AM2" s="1510"/>
      <c r="AN2" s="1510"/>
      <c r="AO2" s="1511" t="s">
        <v>1472</v>
      </c>
      <c r="AP2" s="1403" t="s">
        <v>1474</v>
      </c>
      <c r="AQ2" s="1403" t="s">
        <v>501</v>
      </c>
      <c r="AR2" s="1511" t="s">
        <v>1476</v>
      </c>
    </row>
    <row r="3" spans="1:60" s="1484" customFormat="1" ht="17.100000000000001" customHeight="1">
      <c r="B3" s="2463"/>
      <c r="C3" s="2464"/>
      <c r="D3" s="2464"/>
      <c r="E3" s="2464"/>
      <c r="F3" s="2464"/>
      <c r="G3" s="2464"/>
      <c r="H3" s="2464"/>
      <c r="I3" s="2464"/>
      <c r="J3" s="2464"/>
      <c r="K3" s="2464"/>
      <c r="L3" s="2464"/>
      <c r="M3" s="2464"/>
      <c r="N3" s="2464"/>
      <c r="O3" s="2558"/>
      <c r="P3" s="2558"/>
      <c r="Q3" s="2559"/>
      <c r="R3" s="2455"/>
      <c r="S3" s="1587" t="s">
        <v>1367</v>
      </c>
      <c r="T3" s="1149"/>
      <c r="U3" s="1970" t="s">
        <v>1917</v>
      </c>
      <c r="V3" s="1243">
        <v>46203</v>
      </c>
      <c r="W3" s="1142"/>
      <c r="X3" s="2634"/>
      <c r="Y3" s="2549" t="s">
        <v>1470</v>
      </c>
      <c r="Z3" s="2550"/>
      <c r="AA3" s="2551"/>
      <c r="AB3" s="2554"/>
      <c r="AC3" s="2555"/>
      <c r="AD3" s="2038">
        <v>2</v>
      </c>
      <c r="AE3" s="2051"/>
      <c r="AG3" s="2301"/>
      <c r="AH3" s="2301"/>
      <c r="AI3" s="2300"/>
      <c r="AJ3" s="1511" t="s">
        <v>1473</v>
      </c>
      <c r="AK3" s="1512">
        <v>1</v>
      </c>
      <c r="AL3" s="1510"/>
      <c r="AM3" s="1510"/>
      <c r="AN3" s="1510"/>
      <c r="AO3" s="1513" t="s">
        <v>217</v>
      </c>
      <c r="AP3" s="1514" t="s">
        <v>1378</v>
      </c>
      <c r="AQ3" s="1514" t="s">
        <v>1364</v>
      </c>
      <c r="AR3" s="1513" t="s">
        <v>1387</v>
      </c>
      <c r="AS3" s="2414" t="s">
        <v>1411</v>
      </c>
      <c r="AT3" s="2415"/>
      <c r="AU3" s="2415"/>
      <c r="AV3" s="2415"/>
      <c r="AW3" s="2415"/>
      <c r="AX3" s="2415"/>
      <c r="AY3" s="2415"/>
      <c r="AZ3" s="2415"/>
      <c r="BA3" s="2415"/>
      <c r="BB3" s="2415"/>
      <c r="BC3" s="2415"/>
      <c r="BD3" s="2415"/>
      <c r="BE3" s="2415"/>
      <c r="BF3" s="2416"/>
      <c r="BG3" s="2413" t="s">
        <v>1648</v>
      </c>
    </row>
    <row r="4" spans="1:60" s="1484" customFormat="1" ht="18" customHeight="1">
      <c r="B4" s="2437" t="s">
        <v>1494</v>
      </c>
      <c r="C4" s="2438"/>
      <c r="D4" s="2438"/>
      <c r="E4" s="2560"/>
      <c r="F4" s="2561"/>
      <c r="G4" s="2562"/>
      <c r="H4" s="2421" t="str">
        <f>IF(OR(Dat_EzE="",T6="",V6=""),"Achtung, solange Ehezeitende und Geburtstage nicht eingegeben sind, können keine Barwertberechnungen oder -kontrollen erfolgen!","")</f>
        <v>Achtung, solange Ehezeitende und Geburtstage nicht eingegeben sind, können keine Barwertberechnungen oder -kontrollen erfolgen!</v>
      </c>
      <c r="I4" s="2422"/>
      <c r="J4" s="2422"/>
      <c r="K4" s="2422"/>
      <c r="L4" s="2422"/>
      <c r="M4" s="2422"/>
      <c r="N4" s="2422"/>
      <c r="O4" s="2422"/>
      <c r="P4" s="2422"/>
      <c r="Q4" s="2423"/>
      <c r="R4" s="2455"/>
      <c r="S4" s="2452" t="s">
        <v>1496</v>
      </c>
      <c r="T4" s="2452"/>
      <c r="U4" s="2635" t="s">
        <v>1497</v>
      </c>
      <c r="V4" s="2636"/>
      <c r="W4" s="1142"/>
      <c r="X4" s="2634"/>
      <c r="Y4" s="2549"/>
      <c r="Z4" s="2550"/>
      <c r="AA4" s="2551"/>
      <c r="AB4" s="2545" t="s">
        <v>1931</v>
      </c>
      <c r="AC4" s="2546"/>
      <c r="AD4" s="2037">
        <v>3</v>
      </c>
      <c r="AE4" s="2051"/>
      <c r="AG4" s="2301"/>
      <c r="AH4" s="2301"/>
      <c r="AI4" s="2300"/>
      <c r="AJ4" s="1511" t="s">
        <v>1408</v>
      </c>
      <c r="AK4" s="1511">
        <f>VLOOKUP(V3,aktRW,2)</f>
        <v>40.79</v>
      </c>
      <c r="AL4" s="1510"/>
      <c r="AM4" s="1510"/>
      <c r="AN4" s="1510"/>
      <c r="AO4" s="1511" t="s">
        <v>263</v>
      </c>
      <c r="AP4" s="1403" t="s">
        <v>1395</v>
      </c>
      <c r="AQ4" s="1403" t="s">
        <v>1365</v>
      </c>
      <c r="AR4" s="1515" t="s">
        <v>1384</v>
      </c>
      <c r="AS4" s="1516" t="s">
        <v>1363</v>
      </c>
      <c r="AT4" s="1511"/>
      <c r="AU4" s="1511"/>
      <c r="AV4" s="1403" t="s">
        <v>7</v>
      </c>
      <c r="AW4" s="1403"/>
      <c r="AX4" s="1403" t="s">
        <v>279</v>
      </c>
      <c r="AY4" s="1403" t="s">
        <v>280</v>
      </c>
      <c r="AZ4" s="1403" t="s">
        <v>174</v>
      </c>
      <c r="BA4" s="1403" t="s">
        <v>1409</v>
      </c>
      <c r="BB4" s="1403" t="s">
        <v>1410</v>
      </c>
      <c r="BC4" s="1403" t="s">
        <v>1487</v>
      </c>
      <c r="BD4" s="1403" t="s">
        <v>1486</v>
      </c>
      <c r="BE4" s="1403" t="s">
        <v>1361</v>
      </c>
      <c r="BF4" s="1517" t="s">
        <v>1412</v>
      </c>
      <c r="BG4" s="2413"/>
    </row>
    <row r="5" spans="1:60" s="1484" customFormat="1" ht="18" customHeight="1" thickBot="1">
      <c r="B5" s="2437" t="s">
        <v>1495</v>
      </c>
      <c r="C5" s="2438"/>
      <c r="D5" s="2438"/>
      <c r="E5" s="2449"/>
      <c r="F5" s="2450"/>
      <c r="G5" s="2451"/>
      <c r="H5" s="2424"/>
      <c r="I5" s="2425"/>
      <c r="J5" s="2425"/>
      <c r="K5" s="2425"/>
      <c r="L5" s="2425"/>
      <c r="M5" s="2425"/>
      <c r="N5" s="2425"/>
      <c r="O5" s="2425"/>
      <c r="P5" s="2425"/>
      <c r="Q5" s="2426"/>
      <c r="R5" s="2455"/>
      <c r="S5" s="1279" t="s">
        <v>616</v>
      </c>
      <c r="T5" s="1279" t="str">
        <f>IFERROR("Alter: "&amp;IF(Dat_EzE="","",IF(T6="","",TEXT(Dat_AlterM,"0,00"))),"")</f>
        <v xml:space="preserve">Alter: </v>
      </c>
      <c r="U5" s="1280" t="s">
        <v>616</v>
      </c>
      <c r="V5" s="1281" t="str">
        <f>IFERROR("Alter: "&amp;IF(Dat_EzE="","",IF(V6="","",TEXT(Dat_AlterF,"0,00"))),"")</f>
        <v xml:space="preserve">Alter: </v>
      </c>
      <c r="W5" s="970"/>
      <c r="X5" s="2634"/>
      <c r="Y5" s="2549"/>
      <c r="Z5" s="2550"/>
      <c r="AA5" s="2551"/>
      <c r="AB5" s="2545"/>
      <c r="AC5" s="2546"/>
      <c r="AD5" s="2038">
        <v>4</v>
      </c>
      <c r="AE5" s="2051"/>
      <c r="AF5" s="966"/>
      <c r="AG5" s="2301"/>
      <c r="AH5" s="2301"/>
      <c r="AI5" s="2300"/>
      <c r="AJ5" s="1511" t="s">
        <v>1468</v>
      </c>
      <c r="AK5" s="1511">
        <f>VLOOKUP(Dat_EzE,Umrechnungsfaktoren_BeitraginEP,2)</f>
        <v>1.0350269999999999E-4</v>
      </c>
      <c r="AL5" s="1510"/>
      <c r="AM5" s="1510"/>
      <c r="AN5" s="1510"/>
      <c r="AO5" s="1511"/>
      <c r="AP5" s="1403" t="s">
        <v>1396</v>
      </c>
      <c r="AQ5" s="1403" t="s">
        <v>1475</v>
      </c>
      <c r="AR5" s="1515"/>
      <c r="AS5" s="1516" t="s">
        <v>175</v>
      </c>
      <c r="AT5" s="1511" t="s">
        <v>1446</v>
      </c>
      <c r="AU5" s="1512" t="b">
        <v>0</v>
      </c>
      <c r="AV5" s="1518" t="str">
        <f>IF(T6="","",ROUND(YEARFRAC(T6,V3,0),2))</f>
        <v/>
      </c>
      <c r="AW5" s="1519" t="str">
        <f>IF(OR(T6="",V3=""),"",DATE(YEAR(T6)+65,MONTH(T6)+VLOOKUP(YEAR(T6),Renteneintrittstabelle,2),DAY(T6)+1))</f>
        <v/>
      </c>
      <c r="AX5" s="1520" t="e">
        <f>ROUND(VLOOKUP(AV$5,CHOOSE(IF(IF(Dat_RentnerM,AV5,AR10)&lt;60,60,IF(AR10&gt;67,67,AR10))-59,HRIR60,HRIR61,HRIR62,HRIR63,HRIR64,HRIR,HRIR66,HRIR67),IF(Dat_Unisex,26,8))*0.55,4)</f>
        <v>#VALUE!</v>
      </c>
      <c r="AY5" s="1520" t="e">
        <f>ROUND(IF(Dat_RentnerM,0,VLOOKUP(AV$5,CHOOSE(IF(AR10&lt;60,60,IF(AR10&gt;67,67,AR10))-59,HRIR60,HRIR61,HRIR62,HRIR63,HRIR64,HRIR,HRIR66,HRIR67),IF(Dat_Unisex,25,7))),4)</f>
        <v>#VALUE!</v>
      </c>
      <c r="AZ5" s="1518" t="e">
        <f>ROUND(IF(Dat_RentnerM,AV5,VLOOKUP(YEAR(T6),Renteneintrittstabelle,3)),4)</f>
        <v>#VALUE!</v>
      </c>
      <c r="BA5" s="1952" t="e">
        <f>IF(V3&lt;AW5,AZ5-AV5,0)</f>
        <v>#VALUE!</v>
      </c>
      <c r="BB5" s="1952" t="e">
        <f>VLOOKUP(IF(AZ5&gt;AV5,AZ5,AV5),IF(Dat_Unisex,Lebenserwartung_N_V2,Lebenserwartung_M_V2),YEAR(T6)+IF(MONTH(T6)&gt;6,1,0)-1900+2)</f>
        <v>#VALUE!</v>
      </c>
      <c r="BC5" s="1403" t="e">
        <f>VLOOKUP(ROUND(AZ5,0),IF(Dat_Unisex,G_Kohorte_N,G_Kohorte_M),YEAR(T6)+IF(MONTH(T6)&gt;6,1,0)-1900+2)</f>
        <v>#VALUE!</v>
      </c>
      <c r="BD5" s="1522" t="e">
        <f>VLOOKUP(ROUND(AV5,0),IF(Dat_Unisex,G_Kohorte_N,G_Kohorte_M),YEAR(T$6)+IF(MONTH(T6)&gt;6,1,0)-1900+2)</f>
        <v>#VALUE!</v>
      </c>
      <c r="BE5" s="1523" t="e">
        <f>ROUND(IF(AV5&gt;AZ5,1,BC5/BD5),4)</f>
        <v>#VALUE!</v>
      </c>
      <c r="BF5" s="1524" t="e">
        <f>-PV(BilMoG-RententrendDRV,BA5,,-PV(BilMoG-RententrendDRV,Fallerfassung!BB5,1*12))*(1+AY5+AX5)*BE5</f>
        <v>#VALUE!</v>
      </c>
    </row>
    <row r="6" spans="1:60" s="1484" customFormat="1" ht="18" customHeight="1" thickBot="1">
      <c r="B6" s="2437" t="s">
        <v>1380</v>
      </c>
      <c r="C6" s="2438"/>
      <c r="D6" s="2438"/>
      <c r="E6" s="2447"/>
      <c r="F6" s="2448"/>
      <c r="G6" s="1479" t="s">
        <v>1381</v>
      </c>
      <c r="H6" s="2479"/>
      <c r="I6" s="2448"/>
      <c r="J6" s="2448"/>
      <c r="K6" s="2448"/>
      <c r="L6" s="2480" t="s">
        <v>1385</v>
      </c>
      <c r="M6" s="2480"/>
      <c r="N6" s="2480"/>
      <c r="O6" s="2474"/>
      <c r="P6" s="2475"/>
      <c r="Q6" s="2475"/>
      <c r="R6" s="2455"/>
      <c r="S6" s="1288"/>
      <c r="T6" s="1420" t="str">
        <f>IFERROR(IF(S6&gt;0,S6,IFERROR(IF(L9="","",VALUE(MID(L9,4,2)&amp;"."&amp;MID(L9,6,2)&amp;"."&amp;MID(L9,8,2))),VALUE(MID(L9,3,2)&amp;"."&amp;MID(L9,5,2)&amp;"."&amp;MID(L9,7,2)))),"")</f>
        <v/>
      </c>
      <c r="U6" s="1288"/>
      <c r="V6" s="1719" t="str">
        <f>IFERROR(IF(U6&gt;0,U6,IFERROR(IF(L10="","",VALUE(MID(L10,4,2)&amp;"."&amp;MID(L10,6,2)&amp;"."&amp;MID(L10,8,2))),VALUE(MID(L10,3,2)&amp;"."&amp;MID(L10,5,2)&amp;"."&amp;MID(L10,7,2)))),"")</f>
        <v/>
      </c>
      <c r="W6" s="1142"/>
      <c r="X6" s="2634"/>
      <c r="Y6" s="2642" t="str">
        <f>IF(AA10&gt;0,"alt.ReZi",IF(Dat_EzE&lt;BilMoGAnfang,"kein BilMoG",IF(AA10&gt;0,"manueller ReZins",IF(Bilanz_BilMoG10,IF(Dat_EzE&lt;BilMoG10Anfang,"n. vorhanden","BilMoG-10"),IF(Dat_EzE&lt;BilMoGAnfang,"kein BilMoG-7","BilMoG-7")))))</f>
        <v>BilMoG-7</v>
      </c>
      <c r="Z6" s="2643"/>
      <c r="AA6" s="1955">
        <f>+BilMoG</f>
        <v>2.4E-2</v>
      </c>
      <c r="AB6" s="2545"/>
      <c r="AC6" s="2546"/>
      <c r="AD6" s="2037">
        <v>5</v>
      </c>
      <c r="AE6" s="2051"/>
      <c r="AF6" s="966"/>
      <c r="AG6" s="2301"/>
      <c r="AH6" s="2301"/>
      <c r="AI6" s="1525"/>
      <c r="AJ6" s="2469" t="s">
        <v>1522</v>
      </c>
      <c r="AK6" s="2469"/>
      <c r="AL6" s="1510"/>
      <c r="AM6" s="1510"/>
      <c r="AN6" s="1510"/>
      <c r="AO6" s="1511"/>
      <c r="AP6" s="1403"/>
      <c r="AQ6" s="1403" t="s">
        <v>13</v>
      </c>
      <c r="AR6" s="1515"/>
      <c r="AS6" s="1526" t="s">
        <v>176</v>
      </c>
      <c r="AT6" s="1527" t="s">
        <v>1447</v>
      </c>
      <c r="AU6" s="1528" t="b">
        <v>0</v>
      </c>
      <c r="AV6" s="1529" t="str">
        <f>IF(Dat_EzE="","",IF(V6="","",ROUND(YEARFRAC(V6,V3,0),2)))</f>
        <v/>
      </c>
      <c r="AW6" s="1530" t="str">
        <f>IF(OR(V6="",V3=""),"",DATE(YEAR(V6)+65,MONTH(V6)+VLOOKUP(YEAR(V6),Renteneintrittstabelle,2),DAY(V6)+1))</f>
        <v/>
      </c>
      <c r="AX6" s="1531" t="e">
        <f>ROUND(VLOOKUP(AV$6,CHOOSE(IF(IF(Dat_RentnerF,AV6,AS10)&lt;60,60,IF(AS10&gt;67,67,AS10))-59,HRIR60,HRIR61,HRIR62,HRIR63,HRIR64,HRIR,HRIR66,HRIR67),IF(Dat_Unisex,26,17))*0.55,4)</f>
        <v>#VALUE!</v>
      </c>
      <c r="AY6" s="1531" t="e">
        <f>ROUND(IF(Dat_RentnerF,0,VLOOKUP(AV6,CHOOSE(IF(AS10&lt;60,60,IF(AS10&gt;67,67,AS10))-59,HRIR60,HRIR61,HRIR62,HRIR63,HRIR64,HRIR,HRIR66,HRIR67),IF(Dat_Unisex,25,16))),4)</f>
        <v>#VALUE!</v>
      </c>
      <c r="AZ6" s="1529" t="e">
        <f>IF(Dat_RentnerF,AV6,VLOOKUP(YEAR(V6),Renteneintrittstabelle,3))</f>
        <v>#VALUE!</v>
      </c>
      <c r="BA6" s="1952" t="e">
        <f>IF(V3&lt;AW6,AZ6-AV6,0)</f>
        <v>#VALUE!</v>
      </c>
      <c r="BB6" s="1953" t="e">
        <f>VLOOKUP(IF(AZ6&gt;AV6,AZ6,AV6),IF(Dat_Unisex,Lebenserwartung_N_V2,Lebenserwartung_F_V2),YEAR(V6)+IF(MONTH(V6)&gt;6,1,0)-1900+2)</f>
        <v>#VALUE!</v>
      </c>
      <c r="BC6" s="1532" t="e">
        <f>VLOOKUP(ROUND(AZ6,0),IF(Dat_Unisex,G_Kohorte_N,G_Kohorte_F),YEAR(V6)+IF(MONTH(V6)&gt;6,1,0)-1900+2)</f>
        <v>#VALUE!</v>
      </c>
      <c r="BD6" s="1533" t="e">
        <f>VLOOKUP(ROUND(AV6,0),IF(Dat_Unisex,G_Kohorte_N,G_Kohorte_F),YEAR(V$6)+IF(MONTH(V6)&gt;6,1,0)-1900+2)</f>
        <v>#VALUE!</v>
      </c>
      <c r="BE6" s="1534" t="e">
        <f>ROUND(IF(AV6&gt;AZ6,1,BC6/BD6),4)</f>
        <v>#VALUE!</v>
      </c>
      <c r="BF6" s="1535" t="e">
        <f>-PV(BilMoG-RententrendDRV,BA6,,-PV(BilMoG-RententrendDRV,Fallerfassung!BB6,1*12))*(1+AY6+AX6)*BE6</f>
        <v>#VALUE!</v>
      </c>
    </row>
    <row r="7" spans="1:60" s="1484" customFormat="1" ht="18" customHeight="1" thickBot="1">
      <c r="A7" s="1485"/>
      <c r="B7" s="2453" t="s">
        <v>1382</v>
      </c>
      <c r="C7" s="2454"/>
      <c r="D7" s="2454"/>
      <c r="E7" s="2427"/>
      <c r="F7" s="2428"/>
      <c r="G7" s="1480" t="s">
        <v>1381</v>
      </c>
      <c r="H7" s="2427"/>
      <c r="I7" s="2428"/>
      <c r="J7" s="2429"/>
      <c r="K7" s="2429"/>
      <c r="L7" s="2436" t="s">
        <v>1386</v>
      </c>
      <c r="M7" s="2436"/>
      <c r="N7" s="2436"/>
      <c r="O7" s="2445"/>
      <c r="P7" s="2446"/>
      <c r="Q7" s="2446"/>
      <c r="R7" s="2456"/>
      <c r="S7" s="1428" t="str">
        <f>IFERROR("Rente ab: 6"&amp;TEXT(5+VLOOKUP(YEAR(T6),Renteneintrittstabelle,2)/12,"#0,00"),"")</f>
        <v/>
      </c>
      <c r="T7" s="1289" t="str">
        <f>+AW5</f>
        <v/>
      </c>
      <c r="U7" s="1429" t="str">
        <f>IFERROR("Rente ab: 6"&amp;TEXT(5+VLOOKUP(YEAR(V6),Renteneintrittstabelle,2)/12,"#0,00"),"")</f>
        <v/>
      </c>
      <c r="V7" s="1278" t="str">
        <f>+AW6</f>
        <v/>
      </c>
      <c r="W7" s="1142"/>
      <c r="X7" s="2634"/>
      <c r="Y7" s="1487"/>
      <c r="Z7" s="1954"/>
      <c r="AA7" s="1956"/>
      <c r="AB7" s="2545"/>
      <c r="AC7" s="2546"/>
      <c r="AD7" s="2038">
        <v>6</v>
      </c>
      <c r="AE7" s="2051"/>
      <c r="AF7" s="966"/>
      <c r="AG7" s="2301"/>
      <c r="AH7" s="2301"/>
      <c r="AI7" s="1508"/>
      <c r="AJ7" s="2470"/>
      <c r="AK7" s="2470"/>
      <c r="AL7" s="1510"/>
      <c r="AM7" s="1510"/>
      <c r="AN7" s="1510"/>
      <c r="BB7" s="1484" t="e">
        <f>VLOOKUP(IF(AZ5&gt;AV5,AZ5,AV5),IF(Dat_Unisex,Lebenserwartung_N_V2,Lebenserwartung_M_V2),YEAR(T6)-1900+2)</f>
        <v>#VALUE!</v>
      </c>
      <c r="BC7" s="1484">
        <f>VLOOKUP(65,Lebenserwartung_F_V2,50+2)</f>
        <v>22.0145622399302</v>
      </c>
    </row>
    <row r="8" spans="1:60" s="1484" customFormat="1" ht="18" customHeight="1" thickTop="1">
      <c r="A8" s="2563" t="s">
        <v>1390</v>
      </c>
      <c r="B8" s="2619" t="s">
        <v>644</v>
      </c>
      <c r="C8" s="2620"/>
      <c r="D8" s="2620"/>
      <c r="E8" s="2620"/>
      <c r="F8" s="2620"/>
      <c r="G8" s="2620"/>
      <c r="H8" s="2620"/>
      <c r="I8" s="2621"/>
      <c r="J8" s="2497" t="str">
        <f>"3. gesetzliche Rentenversicherung, Dyn: "&amp;TEXT(RententrendDRV,"0,00%")</f>
        <v>3. gesetzliche Rentenversicherung, Dyn: 2,60%</v>
      </c>
      <c r="K8" s="2498"/>
      <c r="L8" s="2498"/>
      <c r="M8" s="2498"/>
      <c r="N8" s="2498"/>
      <c r="O8" s="2498"/>
      <c r="P8" s="2498"/>
      <c r="Q8" s="2499"/>
      <c r="R8" s="1770" t="s">
        <v>1388</v>
      </c>
      <c r="S8" s="2458" t="str">
        <f>IFERROR(IF(Dat_EzE&gt;Enddatum,"kein aktRW vorhanden","3. AusglW DRV aktRW EzE: "&amp;TEXT(VLOOKUP(V3,aktRW,2),"#0,00 €")&amp;" / "&amp;TEXT(VLOOKUP(V3,aktRW,3),"#0,00 €")),"ges.Rentenversicherung")</f>
        <v>3. AusglW DRV aktRW EzE: 40,79 € / 40,79 €</v>
      </c>
      <c r="T8" s="2459"/>
      <c r="U8" s="2459"/>
      <c r="V8" s="2460"/>
      <c r="W8" s="1142"/>
      <c r="X8" s="2634"/>
      <c r="Y8" s="2503" t="s">
        <v>1907</v>
      </c>
      <c r="Z8" s="2504"/>
      <c r="AA8" s="2505"/>
      <c r="AB8" s="2545"/>
      <c r="AC8" s="2546"/>
      <c r="AD8" s="2037">
        <v>7</v>
      </c>
      <c r="AE8" s="2051"/>
      <c r="AF8" s="966"/>
      <c r="AG8" s="2301"/>
      <c r="AH8" s="2301"/>
      <c r="AI8" s="1536"/>
      <c r="AJ8" s="2471"/>
      <c r="AK8" s="2471"/>
      <c r="AL8" s="1537"/>
      <c r="AM8" s="1537"/>
      <c r="AN8" s="1537"/>
      <c r="AO8" s="2417" t="s">
        <v>1403</v>
      </c>
      <c r="AP8" s="2651"/>
      <c r="AQ8" s="1511"/>
      <c r="AR8" s="2417" t="s">
        <v>257</v>
      </c>
      <c r="AS8" s="2650"/>
      <c r="AT8" s="1538"/>
      <c r="AU8" s="1538"/>
      <c r="AV8" s="2646" t="s">
        <v>1407</v>
      </c>
      <c r="AW8" s="2646"/>
      <c r="AX8" s="2646"/>
      <c r="AZ8" s="1539" t="e">
        <f>PV(BilMoG-RententrendDRV,AS12,AX10*12)</f>
        <v>#VALUE!</v>
      </c>
    </row>
    <row r="9" spans="1:60" s="1484" customFormat="1" ht="18" customHeight="1">
      <c r="A9" s="2563"/>
      <c r="B9" s="2430"/>
      <c r="C9" s="2431"/>
      <c r="D9" s="2431"/>
      <c r="E9" s="2431"/>
      <c r="F9" s="2431"/>
      <c r="G9" s="2431"/>
      <c r="H9" s="2431"/>
      <c r="I9" s="2432"/>
      <c r="J9" s="2467" t="s">
        <v>1397</v>
      </c>
      <c r="K9" s="2468"/>
      <c r="L9" s="2630"/>
      <c r="M9" s="2525"/>
      <c r="N9" s="2526"/>
      <c r="O9" s="2500" t="s">
        <v>1402</v>
      </c>
      <c r="P9" s="2501"/>
      <c r="Q9" s="2502"/>
      <c r="R9" s="1581">
        <f>+AJ9</f>
        <v>0</v>
      </c>
      <c r="S9" s="2457"/>
      <c r="T9" s="2457"/>
      <c r="U9" s="2457"/>
      <c r="V9" s="2632"/>
      <c r="W9" s="1142"/>
      <c r="X9" s="2634"/>
      <c r="Y9" s="2506"/>
      <c r="Z9" s="2507"/>
      <c r="AA9" s="2508"/>
      <c r="AB9" s="2545"/>
      <c r="AC9" s="2546"/>
      <c r="AD9" s="2038">
        <v>8</v>
      </c>
      <c r="AE9" s="2051"/>
      <c r="AF9" s="966"/>
      <c r="AG9" s="2301"/>
      <c r="AH9" s="2301"/>
      <c r="AI9" s="1508"/>
      <c r="AJ9" s="1510">
        <f>IF(U9+S9&gt;0,1,0)</f>
        <v>0</v>
      </c>
      <c r="AK9" s="1510" t="s">
        <v>585</v>
      </c>
      <c r="AL9" s="1537" t="b">
        <v>0</v>
      </c>
      <c r="AM9" s="1537"/>
      <c r="AN9" s="1537"/>
      <c r="AO9" s="1511" t="s">
        <v>1399</v>
      </c>
      <c r="AP9" s="1540" t="e">
        <f>TEXT(DAY(T6),"00")&amp;TEXT(MONTH(T6),"00")&amp;RIGHT(YEAR(T6),2)</f>
        <v>#VALUE!</v>
      </c>
      <c r="AQ9" s="1511"/>
      <c r="AR9" s="1403" t="s">
        <v>175</v>
      </c>
      <c r="AS9" s="1541" t="s">
        <v>176</v>
      </c>
      <c r="AT9" s="1541"/>
      <c r="AU9" s="1541"/>
      <c r="AV9" s="1511"/>
      <c r="AW9" s="1511" t="s">
        <v>175</v>
      </c>
      <c r="AX9" s="1511" t="s">
        <v>176</v>
      </c>
      <c r="BB9" s="2417" t="s">
        <v>1406</v>
      </c>
      <c r="BC9" s="2417"/>
      <c r="BE9" s="2050" t="s">
        <v>1934</v>
      </c>
    </row>
    <row r="10" spans="1:60" s="1484" customFormat="1" ht="18" customHeight="1" thickBot="1">
      <c r="A10" s="2591" t="s">
        <v>1391</v>
      </c>
      <c r="B10" s="2430"/>
      <c r="C10" s="2431"/>
      <c r="D10" s="2431"/>
      <c r="E10" s="2431"/>
      <c r="F10" s="2431"/>
      <c r="G10" s="2431"/>
      <c r="H10" s="2431"/>
      <c r="I10" s="2432"/>
      <c r="J10" s="2467" t="s">
        <v>1398</v>
      </c>
      <c r="K10" s="2468"/>
      <c r="L10" s="2524"/>
      <c r="M10" s="2525"/>
      <c r="N10" s="2526"/>
      <c r="O10" s="2500" t="s">
        <v>1401</v>
      </c>
      <c r="P10" s="2501"/>
      <c r="Q10" s="2502"/>
      <c r="R10" s="1581" t="str">
        <f>IF(+AJ10=0,"",AJ10)</f>
        <v/>
      </c>
      <c r="S10" s="2495"/>
      <c r="T10" s="2532"/>
      <c r="U10" s="2495"/>
      <c r="V10" s="2496"/>
      <c r="W10" s="1142"/>
      <c r="X10" s="2634"/>
      <c r="Y10" s="2640" t="s">
        <v>1499</v>
      </c>
      <c r="Z10" s="2641"/>
      <c r="AA10" s="1957"/>
      <c r="AB10" s="2547"/>
      <c r="AC10" s="2548"/>
      <c r="AD10" s="2037">
        <v>9</v>
      </c>
      <c r="AE10" s="2051"/>
      <c r="AF10" s="966"/>
      <c r="AG10" s="2301"/>
      <c r="AH10" s="2301"/>
      <c r="AI10" s="1508"/>
      <c r="AJ10" s="1510">
        <f>IF(U10+S10&gt;0,MAX(AJ$9:AJ9)+1,0)</f>
        <v>0</v>
      </c>
      <c r="AK10" s="2470">
        <f>+AL13</f>
        <v>0</v>
      </c>
      <c r="AL10" s="2470"/>
      <c r="AM10" s="2653"/>
      <c r="AN10" s="1947"/>
      <c r="AO10" s="1511" t="s">
        <v>1400</v>
      </c>
      <c r="AP10" s="1542" t="e">
        <f>TEXT(DAY(V6),"00")&amp;TEXT(MONTH(V6),"00")&amp;RIGHT(YEAR(V6),2)</f>
        <v>#VALUE!</v>
      </c>
      <c r="AQ10" s="1511" t="s">
        <v>1374</v>
      </c>
      <c r="AR10" s="1543" t="e">
        <f>VLOOKUP(YEAR(T6),Renteneintrittstabelle,3)</f>
        <v>#VALUE!</v>
      </c>
      <c r="AS10" s="1544" t="e">
        <f>VLOOKUP(YEAR(V6),Renteneintrittstabelle,3)</f>
        <v>#VALUE!</v>
      </c>
      <c r="AT10" s="1515"/>
      <c r="AU10" s="1515"/>
      <c r="AV10" s="1511" t="s">
        <v>126</v>
      </c>
      <c r="AW10" s="1545">
        <f>IFERROR(S13*(1+RententrendDRV)^AR11,0)</f>
        <v>0</v>
      </c>
      <c r="AX10" s="1545">
        <f>IFERROR(U13*(1+RententrendDRV)^Fallerfassung!AS11,0)</f>
        <v>0</v>
      </c>
      <c r="AY10" s="1539"/>
      <c r="AZ10" s="1539"/>
      <c r="BB10" s="1511" t="s">
        <v>1017</v>
      </c>
      <c r="BC10" s="1545">
        <f>VLOOKUP(YEAR(V3),MonatlicheBezugsgroesse,2)*1.2</f>
        <v>4746</v>
      </c>
      <c r="BE10" s="2049">
        <v>1</v>
      </c>
      <c r="BG10" s="1539">
        <f>-PV(-RententrendDRV,23.4,353.27*12)</f>
        <v>138971.86416242787</v>
      </c>
    </row>
    <row r="11" spans="1:60" s="1484" customFormat="1" ht="18" customHeight="1" thickBot="1">
      <c r="A11" s="2591"/>
      <c r="B11" s="2430"/>
      <c r="C11" s="2431"/>
      <c r="D11" s="2431"/>
      <c r="E11" s="2431"/>
      <c r="F11" s="2431"/>
      <c r="G11" s="2431"/>
      <c r="H11" s="2431"/>
      <c r="I11" s="2432"/>
      <c r="J11" s="2437" t="s">
        <v>1469</v>
      </c>
      <c r="K11" s="2438"/>
      <c r="L11" s="2438"/>
      <c r="M11" s="2438"/>
      <c r="N11" s="2438"/>
      <c r="O11" s="2438"/>
      <c r="P11" s="2438"/>
      <c r="Q11" s="2438"/>
      <c r="R11" s="1581" t="str">
        <f>IF(+AJ11=0,"",AJ11)</f>
        <v/>
      </c>
      <c r="S11" s="2495"/>
      <c r="T11" s="2532"/>
      <c r="U11" s="2495"/>
      <c r="V11" s="2496"/>
      <c r="W11" s="1142"/>
      <c r="X11" s="2634"/>
      <c r="Y11" s="2533" t="s">
        <v>1613</v>
      </c>
      <c r="Z11" s="2534"/>
      <c r="AA11" s="2535"/>
      <c r="AB11" s="2522" t="s">
        <v>1909</v>
      </c>
      <c r="AC11" s="2523"/>
      <c r="AD11" s="2038">
        <v>10</v>
      </c>
      <c r="AE11" s="2051"/>
      <c r="AF11" s="966"/>
      <c r="AG11" s="2301"/>
      <c r="AH11" s="2301"/>
      <c r="AI11" s="1508"/>
      <c r="AJ11" s="1510">
        <f>IF(U11+S11&gt;0,MAX(AJ$9:AJ10)+1,0)</f>
        <v>0</v>
      </c>
      <c r="AK11" s="2470"/>
      <c r="AL11" s="2470"/>
      <c r="AM11" s="2653"/>
      <c r="AN11" s="1947"/>
      <c r="AO11" s="1511" t="s">
        <v>1404</v>
      </c>
      <c r="AP11" s="1511"/>
      <c r="AQ11" s="1511" t="s">
        <v>257</v>
      </c>
      <c r="AR11" s="1546" t="e">
        <f>IF(OR(AR10&lt;AV5,Dat_RentnerM),0,AR10-AV5)</f>
        <v>#VALUE!</v>
      </c>
      <c r="AS11" s="1544" t="e">
        <f>ROUND(IF(OR(Dat_RentnerF,AS10&lt;AV6),0,AS10-AV6),2)</f>
        <v>#VALUE!</v>
      </c>
      <c r="AT11" s="1515"/>
      <c r="AU11" s="1515"/>
      <c r="AV11" s="1511" t="s">
        <v>1417</v>
      </c>
      <c r="AW11" s="1545" t="e">
        <f>PV(BilMoG,AR11,,PV(BilMoG-RententrendDRV,AR12,AW10*12,,0)*BE5)*(1+AX5+AY5)</f>
        <v>#VALUE!</v>
      </c>
      <c r="AX11" s="1545" t="e">
        <f>PV(BilMoG,AS11,,PV(BilMoG-RententrendDRV,AS12,AX10*12))*BE6*(1+AX6+AY6)</f>
        <v>#VALUE!</v>
      </c>
      <c r="AY11" s="1547" t="s">
        <v>1419</v>
      </c>
      <c r="AZ11" s="1467" t="s">
        <v>1420</v>
      </c>
      <c r="BB11" s="1511" t="s">
        <v>1379</v>
      </c>
      <c r="BC11" s="1545">
        <f>VLOOKUP(YEAR(V3),Beitragsbemessungsgrenze,4)</f>
        <v>99600</v>
      </c>
      <c r="BE11" s="2049">
        <v>0</v>
      </c>
      <c r="BG11" s="2039" t="e">
        <f>U13*12*(1+RententrendDRV)^BA6</f>
        <v>#VALUE!</v>
      </c>
      <c r="BH11" s="1484" t="e">
        <f>+BG11/12</f>
        <v>#VALUE!</v>
      </c>
    </row>
    <row r="12" spans="1:60" s="1484" customFormat="1" ht="18" customHeight="1">
      <c r="A12" s="2591"/>
      <c r="B12" s="2622"/>
      <c r="C12" s="2623"/>
      <c r="D12" s="2623"/>
      <c r="E12" s="2623"/>
      <c r="F12" s="2623"/>
      <c r="G12" s="2623"/>
      <c r="H12" s="2623"/>
      <c r="I12" s="2624"/>
      <c r="J12" s="2439" t="s">
        <v>1500</v>
      </c>
      <c r="K12" s="2440"/>
      <c r="L12" s="2440"/>
      <c r="M12" s="2440"/>
      <c r="N12" s="2440"/>
      <c r="O12" s="2440"/>
      <c r="P12" s="2440"/>
      <c r="Q12" s="2441"/>
      <c r="R12" s="1582"/>
      <c r="S12" s="1699" t="s">
        <v>21</v>
      </c>
      <c r="T12" s="1699" t="str">
        <f>"Barwert "&amp;IF(Dat_Unisex,divers,"")</f>
        <v xml:space="preserve">Barwert </v>
      </c>
      <c r="U12" s="1700" t="s">
        <v>21</v>
      </c>
      <c r="V12" s="1701" t="str">
        <f>"Barwert "&amp;IF(Dat_Unisex,divers,"")</f>
        <v xml:space="preserve">Barwert </v>
      </c>
      <c r="W12" s="1142"/>
      <c r="X12" s="2634"/>
      <c r="Y12" s="1488" t="s">
        <v>126</v>
      </c>
      <c r="Z12" s="1489" t="s">
        <v>175</v>
      </c>
      <c r="AA12" s="1489" t="s">
        <v>176</v>
      </c>
      <c r="AB12" s="1960" t="s">
        <v>175</v>
      </c>
      <c r="AC12" s="1961" t="s">
        <v>176</v>
      </c>
      <c r="AD12" s="2037">
        <v>11</v>
      </c>
      <c r="AE12" s="2051"/>
      <c r="AF12" s="966"/>
      <c r="AG12" s="2301"/>
      <c r="AH12" s="2301"/>
      <c r="AI12" s="1548"/>
      <c r="AJ12" s="1510"/>
      <c r="AK12" s="1549"/>
      <c r="AL12" s="1510"/>
      <c r="AM12" s="1510"/>
      <c r="AN12" s="1510"/>
      <c r="AO12" s="1511" t="e">
        <f>IF(OR(VALUE(RIGHT(L9,3))&gt;499,AP9&lt;&gt;AP12),1,0)</f>
        <v>#VALUE!</v>
      </c>
      <c r="AP12" s="1511" t="str">
        <f>MID(L9,IF(MID(L9,3,1)=" ",4,3),6)</f>
        <v/>
      </c>
      <c r="AQ12" s="1511" t="s">
        <v>256</v>
      </c>
      <c r="AR12" s="1546" t="e">
        <f>VLOOKUP(AV5+IF(Dat_RentnerM,0,AR11),IF(Dat_Unisex,Lebenserwartung_N_V2,Lebenserwartung_M_V2),YEAR(T6)+IF(MONTH(T6)&gt;6,1,0)-1900+2)</f>
        <v>#VALUE!</v>
      </c>
      <c r="AS12" s="1550" t="e">
        <f>VLOOKUP(AV6+IF(Dat_RentnerF,0,AS11),IF(Dat_Unisex,Lebenserwartung_N_V2,Lebenserwartung_F_V2),YEAR(V6)+IF(MONTH(V6)&gt;6,1,0)-1900+2)</f>
        <v>#VALUE!</v>
      </c>
      <c r="AT12" s="1544"/>
      <c r="AU12" s="1544"/>
      <c r="AV12" s="1511" t="s">
        <v>1264</v>
      </c>
      <c r="AW12" s="1545" t="e">
        <f>+S15*(1+RententrendDRV)^AR11</f>
        <v>#VALUE!</v>
      </c>
      <c r="AX12" s="1545" t="e">
        <f>U15*(1+RententrendDRV)^AS11</f>
        <v>#VALUE!</v>
      </c>
      <c r="AY12" s="1551" t="e">
        <f>+S16*(1+RententrendDRV)^Fallerfassung!AR11</f>
        <v>#VALUE!</v>
      </c>
      <c r="AZ12" s="1552" t="e">
        <f>+U16*(1+RententrendDRV)^Fallerfassung!AS11</f>
        <v>#VALUE!</v>
      </c>
      <c r="BB12" s="1511" t="s">
        <v>1383</v>
      </c>
      <c r="BC12" s="1545">
        <f>VLOOKUP(YEAR(V3),MonatlicheBezugsgroesse,2)*2.4</f>
        <v>9492</v>
      </c>
      <c r="BF12" s="1484" t="e">
        <f>Dat_Pension_M1*12*(1+RententrendDRV)^Dat_AZeit_M</f>
        <v>#VALUE!</v>
      </c>
      <c r="BG12" s="1484" t="e">
        <f>+BF12/12</f>
        <v>#VALUE!</v>
      </c>
    </row>
    <row r="13" spans="1:60" s="1484" customFormat="1" ht="18" customHeight="1" thickBot="1">
      <c r="A13" s="2591"/>
      <c r="B13" s="2430"/>
      <c r="C13" s="2431"/>
      <c r="D13" s="2431"/>
      <c r="E13" s="2431"/>
      <c r="F13" s="2431"/>
      <c r="G13" s="2431"/>
      <c r="H13" s="2431"/>
      <c r="I13" s="2432"/>
      <c r="J13" s="2442"/>
      <c r="K13" s="2443"/>
      <c r="L13" s="2443"/>
      <c r="M13" s="2443"/>
      <c r="N13" s="2443"/>
      <c r="O13" s="2443"/>
      <c r="P13" s="2443"/>
      <c r="Q13" s="2444"/>
      <c r="R13" s="1583"/>
      <c r="S13" s="1302">
        <f>IFERROR(ROUND((S9+IF(StDat_GrusiAdd,S11,0))*VLOOKUP(V3,aktRW,2)+S10*VLOOKUP(V3,aktRW,3),2),"")</f>
        <v>0</v>
      </c>
      <c r="T13" s="1359">
        <f>IFERROR(AW11,0)</f>
        <v>0</v>
      </c>
      <c r="U13" s="1303">
        <f>IFERROR(ROUND((U9+IF(StDat_GrusiAdd,U11,0))*VLOOKUP(V3,aktRW,2)+U10*VLOOKUP(V3,aktRW,3),2),"")</f>
        <v>0</v>
      </c>
      <c r="V13" s="1360">
        <f>IFERROR(AX11,0)</f>
        <v>0</v>
      </c>
      <c r="W13" s="1290"/>
      <c r="X13" s="1169"/>
      <c r="Y13" s="1490" t="s">
        <v>1560</v>
      </c>
      <c r="Z13" s="1302">
        <f>IFERROR(S$9/VLOOKUP(V3,Umrechnungsfaktoren,2)+IF(V3&gt;=Parameter!Q23,S10/VLOOKUP(V3,Umrechnungsfaktoren,3),0)+IF(StDat_GrusiAdd,S11,0)/VLOOKUP(V3,Umrechnungsfaktoren,2),0)</f>
        <v>0</v>
      </c>
      <c r="AA13" s="1303">
        <f>IFERROR(U$9/VLOOKUP(V3,Umrechnungsfaktoren,2)+IF(V3&gt;=Parameter!Q23,U10/VLOOKUP(V3,Umrechnungsfaktoren,3),0)+IF(StDat_GrusiAdd,U11,0)/VLOOKUP(V3,Umrechnungsfaktoren,2),"")</f>
        <v>0</v>
      </c>
      <c r="AB13" s="1964">
        <f>IFERROR(-PV(-RententrendDRV,BB5,S13*12*(1+RententrendDRV)^BA5,,1)/IF(ReSummeM,BB5*12,1),0)</f>
        <v>0</v>
      </c>
      <c r="AC13" s="1967">
        <f>IFERROR(-PV(-RententrendDRV,BB6,U13*12*(1+RententrendDRV)^BA6,,1)/IF(ReSummeM,BB6*12,1),0)</f>
        <v>0</v>
      </c>
      <c r="AD13" s="2038">
        <v>12</v>
      </c>
      <c r="AE13" s="2051"/>
      <c r="AF13" s="966"/>
      <c r="AG13" s="1539"/>
      <c r="AH13" s="1539"/>
      <c r="AI13" s="1553"/>
      <c r="AJ13" s="1537"/>
      <c r="AK13" s="1537"/>
      <c r="AL13" s="2652"/>
      <c r="AM13" s="1554"/>
      <c r="AN13" s="1554"/>
      <c r="AO13" s="1511" t="e">
        <f>IF(OR(VALUE(RIGHT(L10,3))&lt;500,AP13&lt;&gt;AP10),1,0)</f>
        <v>#VALUE!</v>
      </c>
      <c r="AP13" s="1511" t="str">
        <f>MID(L10,IF(MID(L10,3,1)=" ",4,3),6)</f>
        <v/>
      </c>
      <c r="AQ13" s="1511" t="s">
        <v>269</v>
      </c>
      <c r="AR13" s="1555">
        <f>IF(AA10&lt;&gt;"",AA10,IFERROR(VLOOKUP(V3,IF(Bilanz_BilMoG10,BilMoG10,BilmoGZins),16)/100,6%))</f>
        <v>2.4E-2</v>
      </c>
      <c r="AS13" s="1556"/>
      <c r="AT13" s="1556"/>
      <c r="AU13" s="1556"/>
      <c r="AV13" s="1511" t="s">
        <v>1418</v>
      </c>
      <c r="AW13" s="1545" t="e">
        <f>PV(BilMoG,AR11,,PV(BilMoG-RententrendDRV,AR12,AW12*12,,1))*BE5*(1+AX5+AY5)</f>
        <v>#VALUE!</v>
      </c>
      <c r="AX13" s="1545" t="e">
        <f>PV(BilMoG,AS11,,PV(BilMoG-RententrendDRV,Fallerfassung!AS12,AX12*12))*BE6*(1+AX6+AY6)</f>
        <v>#VALUE!</v>
      </c>
      <c r="AY13" s="1557" t="e">
        <f>PV(BilMoG,AR11,,PV(BilMoG-RententrendDRV,Fallerfassung!AR12,AY12*12))*BE5*(1+AX5+AY5)</f>
        <v>#VALUE!</v>
      </c>
      <c r="AZ13" s="1558" t="e">
        <f>PV(BilMoG,AS11,,PV(BilMoG-RententrendDRV,Fallerfassung!AS12,AZ12*12))*BE6*(1+AX6+AY6)</f>
        <v>#VALUE!</v>
      </c>
      <c r="BB13" s="1511" t="s">
        <v>1369</v>
      </c>
      <c r="BC13" s="1512" t="b">
        <v>0</v>
      </c>
    </row>
    <row r="14" spans="1:60" s="1484" customFormat="1" ht="18" customHeight="1" thickTop="1" thickBot="1">
      <c r="A14" s="2591"/>
      <c r="B14" s="2433"/>
      <c r="C14" s="2434"/>
      <c r="D14" s="2434"/>
      <c r="E14" s="2434"/>
      <c r="F14" s="2434"/>
      <c r="G14" s="2434"/>
      <c r="H14" s="2434"/>
      <c r="I14" s="2435"/>
      <c r="J14" s="2481" t="str">
        <f>"4. Beamtenversorgung, Dynamik  "&amp;TEXT('Dies &amp; Das'!E3,"0,00%")</f>
        <v>4. Beamtenversorgung, Dynamik  2,60%</v>
      </c>
      <c r="K14" s="2482"/>
      <c r="L14" s="2482"/>
      <c r="M14" s="2482"/>
      <c r="N14" s="2482"/>
      <c r="O14" s="2482"/>
      <c r="P14" s="2482"/>
      <c r="Q14" s="2482"/>
      <c r="R14" s="1584"/>
      <c r="S14" s="1702" t="s">
        <v>1368</v>
      </c>
      <c r="T14" s="1702" t="str">
        <f>"Barwert "&amp;IF(Dat_Unisex,divers,"")</f>
        <v xml:space="preserve">Barwert </v>
      </c>
      <c r="U14" s="1703" t="s">
        <v>1368</v>
      </c>
      <c r="V14" s="1704" t="str">
        <f>"Barwert "&amp;IF(Dat_Unisex,divers,"")</f>
        <v xml:space="preserve">Barwert </v>
      </c>
      <c r="W14" s="1142"/>
      <c r="X14" s="1169"/>
      <c r="Y14" s="1491" t="s">
        <v>1264</v>
      </c>
      <c r="Z14" s="1492" t="s">
        <v>175</v>
      </c>
      <c r="AA14" s="1492" t="s">
        <v>176</v>
      </c>
      <c r="AB14" s="2483" t="s">
        <v>208</v>
      </c>
      <c r="AC14" s="2484"/>
      <c r="AD14" s="2037">
        <v>13</v>
      </c>
      <c r="AE14" s="2051"/>
      <c r="AF14" s="966"/>
      <c r="AG14" s="2302"/>
      <c r="AH14" s="2302"/>
      <c r="AI14" s="1559"/>
      <c r="AJ14" s="1537"/>
      <c r="AK14" s="1560"/>
      <c r="AL14" s="2652"/>
      <c r="AM14" s="1554"/>
      <c r="AN14" s="1554"/>
      <c r="AP14" s="1484" t="str">
        <f>LEFT(L9,6)</f>
        <v/>
      </c>
      <c r="AV14" s="1511" t="s">
        <v>1372</v>
      </c>
      <c r="AW14" s="1561" t="e">
        <f>+S19*(1+DynamikBerstdV)^AR11</f>
        <v>#VALUE!</v>
      </c>
      <c r="AX14" s="1545" t="e">
        <f>U19*(1+DynamikBerstdV)^AS11</f>
        <v>#VALUE!</v>
      </c>
      <c r="BE14" s="1539">
        <f>-PV(6%-2.6%,15.45,42.33*12)</f>
        <v>6027.3208263622946</v>
      </c>
    </row>
    <row r="15" spans="1:60" s="1484" customFormat="1" ht="18" customHeight="1" thickTop="1">
      <c r="A15" s="2591"/>
      <c r="B15" s="2598" t="str">
        <f>IF(TO_vorhanden&gt;12,"Eine TO eines Versorgungsträgers könnte gelistet sein!","(15) Kontrolle der Teilungsordnung (TO)")</f>
        <v>(15) Kontrolle der Teilungsordnung (TO)</v>
      </c>
      <c r="C15" s="2599"/>
      <c r="D15" s="2599"/>
      <c r="E15" s="2599"/>
      <c r="F15" s="2599"/>
      <c r="G15" s="2602" t="s">
        <v>1426</v>
      </c>
      <c r="H15" s="2603"/>
      <c r="I15" s="2604"/>
      <c r="J15" s="2472"/>
      <c r="K15" s="2473"/>
      <c r="L15" s="2473"/>
      <c r="M15" s="2473"/>
      <c r="N15" s="2473"/>
      <c r="O15" s="2473"/>
      <c r="P15" s="2473"/>
      <c r="Q15" s="2473"/>
      <c r="R15" s="1581" t="str">
        <f>IF(AJ15=0,"",AJ15)</f>
        <v/>
      </c>
      <c r="S15" s="1272"/>
      <c r="T15" s="1361">
        <f>IFERROR(AW13,0)</f>
        <v>0</v>
      </c>
      <c r="U15" s="1272"/>
      <c r="V15" s="1362">
        <f>IFERROR(AX13,0)</f>
        <v>0</v>
      </c>
      <c r="W15" s="1142"/>
      <c r="X15" s="1169"/>
      <c r="Y15" s="1493">
        <v>1</v>
      </c>
      <c r="Z15" s="1968">
        <f>IFERROR(S15/VLOOKUP(V$3,aktRW,2)/VLOOKUP(V$3,Umrechnungsfaktoren,2),"")</f>
        <v>0</v>
      </c>
      <c r="AA15" s="1969">
        <f>IFERROR(U15/VLOOKUP(V$3,aktRW,2)/VLOOKUP(V$3,Umrechnungsfaktoren,2),"")</f>
        <v>0</v>
      </c>
      <c r="AB15" s="1958">
        <f>IFERROR(-PV(-RententrendDRV,Dat_LZeit_M,Dat_Pension_M1*12*(1+RententrendDRV)^Dat_AZeit_M,,1)/IF(ReSummeM,Dat_LZeit_M*12,1),0)</f>
        <v>0</v>
      </c>
      <c r="AC15" s="1959">
        <f>IFERROR(-PV(-RententrendDRV,Dat_LZeit_F,Dat_Pension_F1*12*(1+RententrendDRV)^Dat_AZeit_F,,1)/IF(ReSummeM,Dat_LZeit_F*12,1),0)</f>
        <v>0</v>
      </c>
      <c r="AD15" s="2038">
        <v>14</v>
      </c>
      <c r="AE15" s="2051"/>
      <c r="AF15" s="966"/>
      <c r="AG15" s="2302"/>
      <c r="AH15" s="2302"/>
      <c r="AI15" s="1559"/>
      <c r="AJ15" s="1537"/>
      <c r="AK15" s="1560"/>
      <c r="AL15" s="2652"/>
      <c r="AM15" s="1554"/>
      <c r="AN15" s="1554"/>
      <c r="AO15" s="1484" t="s">
        <v>1906</v>
      </c>
      <c r="AP15" s="1485" t="b">
        <v>0</v>
      </c>
      <c r="AV15" s="1511" t="s">
        <v>1421</v>
      </c>
      <c r="AW15" s="1545" t="e">
        <f>PV(BilMoG,AR11,,PV(BilMoG-DynamikBerstdV,AR12,AW14*12,,1))*BE5*(1+AX5+AY5)</f>
        <v>#VALUE!</v>
      </c>
      <c r="AX15" s="1545" t="e">
        <f>PV(BilMoG,AS11,,PV(BilMoG-DynamikBerstdV,AS12,AX14*12))*BE6*(1+AX6+AY6)</f>
        <v>#VALUE!</v>
      </c>
      <c r="BD15" s="1539"/>
    </row>
    <row r="16" spans="1:60" s="1484" customFormat="1" ht="18" customHeight="1" thickBot="1">
      <c r="A16" s="2591"/>
      <c r="B16" s="2600"/>
      <c r="C16" s="2601"/>
      <c r="D16" s="2601"/>
      <c r="E16" s="2601"/>
      <c r="F16" s="2601"/>
      <c r="G16" s="2605"/>
      <c r="H16" s="2606"/>
      <c r="I16" s="2607"/>
      <c r="J16" s="2541"/>
      <c r="K16" s="2542"/>
      <c r="L16" s="2542"/>
      <c r="M16" s="2542"/>
      <c r="N16" s="2542"/>
      <c r="O16" s="2542"/>
      <c r="P16" s="2542"/>
      <c r="Q16" s="2542"/>
      <c r="R16" s="1581" t="str">
        <f>IF(AJ16=0,"",AJ16)</f>
        <v/>
      </c>
      <c r="S16" s="1294"/>
      <c r="T16" s="1359">
        <f>IFERROR(AY13,0)</f>
        <v>0</v>
      </c>
      <c r="U16" s="1294"/>
      <c r="V16" s="1360">
        <f>IFERROR(AZ13,0)</f>
        <v>0</v>
      </c>
      <c r="W16" s="1142"/>
      <c r="X16" s="1169"/>
      <c r="Y16" s="1494">
        <v>2</v>
      </c>
      <c r="Z16" s="1302">
        <f>IFERROR(+S16/VLOOKUP(V$3,aktRW,2)/VLOOKUP(V$3,Umrechnungsfaktoren,2),"")</f>
        <v>0</v>
      </c>
      <c r="AA16" s="1303">
        <f>IFERROR(U16/VLOOKUP(V$3,aktRW,2)/VLOOKUP(V$3,Umrechnungsfaktoren,2),"")</f>
        <v>0</v>
      </c>
      <c r="AB16" s="1965">
        <f>IFERROR(-PV(-RententrendDRV,Dat_LZeit_M,Dat_Pension_M2*12*(1+RententrendDRV)^Dat_AZeit_M,,1)/IF(ReSummeM,Dat_LZeit_M*12,1),0)</f>
        <v>0</v>
      </c>
      <c r="AC16" s="1966">
        <f>IFERROR(-PV(-RententrendDRV,Dat_LZeit_F,Dat_Pension_F2*12*(1+RententrendDRV)^Dat_AZeit_F,,1)/IF(ReSummeM,Dat_LZeit_F*12,1),0)</f>
        <v>0</v>
      </c>
      <c r="AD16" s="2037">
        <v>15</v>
      </c>
      <c r="AE16" s="2051"/>
      <c r="AF16" s="966"/>
      <c r="AG16" s="2302"/>
      <c r="AH16" s="2302"/>
      <c r="AI16" s="1559"/>
      <c r="AJ16" s="1537"/>
      <c r="AK16" s="1560"/>
      <c r="AL16" s="2652"/>
      <c r="AM16" s="1554"/>
      <c r="AN16" s="1554"/>
      <c r="BD16" s="1539"/>
    </row>
    <row r="17" spans="1:64" s="1484" customFormat="1" ht="18" customHeight="1" thickTop="1">
      <c r="A17" s="2591"/>
      <c r="B17" s="2611"/>
      <c r="C17" s="2612"/>
      <c r="D17" s="2612"/>
      <c r="E17" s="2612"/>
      <c r="F17" s="2612"/>
      <c r="G17" s="2608" t="str">
        <f>IFERROR('TO-Prüfung'!H7,"")</f>
        <v/>
      </c>
      <c r="H17" s="2609"/>
      <c r="I17" s="2610"/>
      <c r="J17" s="2481" t="str">
        <f>"5. Berufsständische Versorgungen, Dyn: "&amp;TEXT('Dies &amp; Das'!E9,"0,00%")</f>
        <v>5. Berufsständische Versorgungen, Dyn: 0,00%</v>
      </c>
      <c r="K17" s="2482"/>
      <c r="L17" s="2482"/>
      <c r="M17" s="2482"/>
      <c r="N17" s="2482"/>
      <c r="O17" s="2482"/>
      <c r="P17" s="2482"/>
      <c r="Q17" s="2482"/>
      <c r="R17" s="1584"/>
      <c r="S17" s="2529" t="s">
        <v>1373</v>
      </c>
      <c r="T17" s="2530"/>
      <c r="U17" s="2530"/>
      <c r="V17" s="2531"/>
      <c r="W17" s="1142"/>
      <c r="X17" s="1169"/>
      <c r="Y17" s="2536" t="str">
        <f>"10. KoKa d. berufsstd. Versorg.:"</f>
        <v>10. KoKa d. berufsstd. Versorg.:</v>
      </c>
      <c r="Z17" s="2537"/>
      <c r="AA17" s="2538"/>
      <c r="AB17" s="2483" t="s">
        <v>537</v>
      </c>
      <c r="AC17" s="2484"/>
      <c r="AD17" s="2038">
        <v>16</v>
      </c>
      <c r="AE17" s="2051"/>
      <c r="AF17" s="966"/>
      <c r="AG17" s="2302"/>
      <c r="AH17" s="2303"/>
      <c r="AI17" s="1559"/>
      <c r="AJ17" s="1537"/>
      <c r="AK17" s="1560"/>
      <c r="AL17" s="1537"/>
      <c r="AM17" s="1554"/>
      <c r="AN17" s="1554"/>
      <c r="AO17" s="2417" t="s">
        <v>1467</v>
      </c>
      <c r="AP17" s="2417"/>
      <c r="AQ17" s="2417"/>
      <c r="AR17" s="2417"/>
      <c r="AS17" s="2417"/>
      <c r="AT17" s="1403"/>
      <c r="AU17" s="1403"/>
      <c r="AV17" s="2633" t="s">
        <v>1935</v>
      </c>
      <c r="AW17" s="2633" t="s">
        <v>1936</v>
      </c>
      <c r="AX17" s="2633" t="s">
        <v>1937</v>
      </c>
      <c r="AY17" s="1511"/>
      <c r="AZ17" s="1511"/>
      <c r="BA17" s="2417" t="s">
        <v>1504</v>
      </c>
      <c r="BB17" s="2417"/>
      <c r="BC17" s="2417"/>
      <c r="BD17" s="1539"/>
      <c r="BI17" s="1539" t="e">
        <f>-PV(-RententrendDRV,AR27,Z27*12,,)</f>
        <v>#VALUE!</v>
      </c>
    </row>
    <row r="18" spans="1:64" s="1484" customFormat="1" ht="18" customHeight="1">
      <c r="A18" s="2591"/>
      <c r="B18" s="2613" t="str">
        <f>IFERROR('TO-Prüfung'!O13,"")</f>
        <v/>
      </c>
      <c r="C18" s="2614"/>
      <c r="D18" s="2614"/>
      <c r="E18" s="2614"/>
      <c r="F18" s="2614"/>
      <c r="G18" s="2614"/>
      <c r="H18" s="2614"/>
      <c r="I18" s="2615"/>
      <c r="J18" s="2513"/>
      <c r="K18" s="2514"/>
      <c r="L18" s="2514"/>
      <c r="M18" s="2514"/>
      <c r="N18" s="2514"/>
      <c r="O18" s="2514"/>
      <c r="P18" s="2514"/>
      <c r="Q18" s="2514"/>
      <c r="R18" s="1581"/>
      <c r="S18" s="1699" t="s">
        <v>21</v>
      </c>
      <c r="T18" s="1699" t="s">
        <v>1523</v>
      </c>
      <c r="U18" s="1700" t="s">
        <v>21</v>
      </c>
      <c r="V18" s="1701" t="s">
        <v>1524</v>
      </c>
      <c r="W18" s="1142"/>
      <c r="X18" s="1169"/>
      <c r="Y18" s="1627" t="s">
        <v>1527</v>
      </c>
      <c r="Z18" s="1987">
        <f>+BC19</f>
        <v>0</v>
      </c>
      <c r="AA18" s="1988">
        <f>+BC20</f>
        <v>0</v>
      </c>
      <c r="AB18" s="1987" t="s">
        <v>175</v>
      </c>
      <c r="AC18" s="1989" t="s">
        <v>176</v>
      </c>
      <c r="AD18" s="2037">
        <v>17</v>
      </c>
      <c r="AE18" s="2051"/>
      <c r="AF18" s="966"/>
      <c r="AG18" s="2302"/>
      <c r="AH18" s="2303"/>
      <c r="AI18" s="1559"/>
      <c r="AJ18" s="1537"/>
      <c r="AK18" s="1560"/>
      <c r="AL18" s="1554"/>
      <c r="AM18" s="1554"/>
      <c r="AN18" s="1554"/>
      <c r="AO18" s="1562" t="s">
        <v>256</v>
      </c>
      <c r="AP18" s="1562" t="s">
        <v>1362</v>
      </c>
      <c r="AQ18" s="1511" t="s">
        <v>1482</v>
      </c>
      <c r="AR18" s="1511" t="s">
        <v>1483</v>
      </c>
      <c r="AS18" s="1562" t="s">
        <v>1361</v>
      </c>
      <c r="AT18" s="1562" t="s">
        <v>279</v>
      </c>
      <c r="AU18" s="1562" t="s">
        <v>280</v>
      </c>
      <c r="AV18" s="2633"/>
      <c r="AW18" s="2633"/>
      <c r="AX18" s="2633"/>
      <c r="AY18" s="1511" t="s">
        <v>175</v>
      </c>
      <c r="AZ18" s="1511" t="s">
        <v>176</v>
      </c>
      <c r="BA18" s="1511"/>
      <c r="BB18" s="1563"/>
      <c r="BC18" s="1511"/>
      <c r="BG18" s="1539" t="e">
        <f>ROUND(-PV(P27-RententrendDRV,IF(AP27=1,BB$5,BB$6),Y27*12),2)</f>
        <v>#VALUE!</v>
      </c>
    </row>
    <row r="19" spans="1:64" s="1484" customFormat="1" ht="18" customHeight="1" thickBot="1">
      <c r="A19" s="2591"/>
      <c r="B19" s="2616"/>
      <c r="C19" s="2617"/>
      <c r="D19" s="2617"/>
      <c r="E19" s="2617"/>
      <c r="F19" s="2617"/>
      <c r="G19" s="2617"/>
      <c r="H19" s="2617"/>
      <c r="I19" s="2618"/>
      <c r="J19" s="2472"/>
      <c r="K19" s="2473"/>
      <c r="L19" s="2473"/>
      <c r="M19" s="2473"/>
      <c r="N19" s="2473"/>
      <c r="O19" s="2473"/>
      <c r="P19" s="2473"/>
      <c r="Q19" s="2473"/>
      <c r="R19" s="1581" t="str">
        <f>IF(AJ19=0,"",AJ19)</f>
        <v/>
      </c>
      <c r="S19" s="1425"/>
      <c r="T19" s="1990"/>
      <c r="U19" s="1425"/>
      <c r="V19" s="1426"/>
      <c r="W19" s="1142"/>
      <c r="X19" s="1142"/>
      <c r="Y19" s="2020" t="s">
        <v>1528</v>
      </c>
      <c r="Z19" s="1983">
        <f>IFERROR(T20/Z18,0)</f>
        <v>0</v>
      </c>
      <c r="AA19" s="1984">
        <f>IFERROR(V20/AA18,0)</f>
        <v>0</v>
      </c>
      <c r="AB19" s="1985">
        <f>IFERROR(-PV(-DynamikBerstdV,AO19,S19*12*(1+DynamikBerstdV)^AP19,,1)/IF(ReSummeM,AO19*12,1),0)</f>
        <v>0</v>
      </c>
      <c r="AC19" s="1986">
        <f>IFERROR(-PV(-DynamikBerstdV,AO20,U19*12*(1+DynamikBerstdV)^AP20,,1)/IF(ReSummeM,AO20*12,1),0)</f>
        <v>0</v>
      </c>
      <c r="AD19" s="2038">
        <v>18</v>
      </c>
      <c r="AE19" s="2051"/>
      <c r="AF19" s="966"/>
      <c r="AG19" s="2302"/>
      <c r="AH19" s="2303"/>
      <c r="AI19" s="1559"/>
      <c r="AJ19" s="1537"/>
      <c r="AK19" s="1560"/>
      <c r="AL19" s="1537"/>
      <c r="AM19" s="1554"/>
      <c r="AN19" s="1554"/>
      <c r="AO19" s="1518" t="e">
        <f>+AR12</f>
        <v>#VALUE!</v>
      </c>
      <c r="AP19" s="1403" t="e">
        <f>+AR11</f>
        <v>#VALUE!</v>
      </c>
      <c r="AQ19" s="1511"/>
      <c r="AR19" s="1511"/>
      <c r="AS19" s="1523" t="e">
        <f>+BE5</f>
        <v>#VALUE!</v>
      </c>
      <c r="AT19" s="1520">
        <f>IFERROR(VLOOKUP(AV$5,CHOOSE(IF(IF(Dat_RentnerM,AV5,AR10)&lt;60,60,IF(AR10&gt;67,67,AR10))-59,HRIR60,HRIR61,HRIR62,HRIR63,HRIR64,HRIR,HRIR66,HRIR67),IF(Dat_Unisex,26,8))*0.6,0)</f>
        <v>0</v>
      </c>
      <c r="AU19" s="1520">
        <f>IFERROR(IF(Dat_RentnerM,0,VLOOKUP(AV$5,CHOOSE(IF(AR10&lt;60,60,IF(AR10&gt;67,67,AR10))-59,HRIR60,HRIR61,HRIR62,HRIR63,HRIR64,HRIR,HRIR66,HRIR67),IF(Dat_Unisex,25,7))),0)</f>
        <v>0</v>
      </c>
      <c r="AV19" s="1564" t="e">
        <f>-PV(BilMoG-DynamikBerstdV,AO19,AW14*12)</f>
        <v>#VALUE!</v>
      </c>
      <c r="AW19" s="1564" t="e">
        <f>-PV(BilMoG,AR11,,AV19)</f>
        <v>#VALUE!</v>
      </c>
      <c r="AX19" s="1565" t="e">
        <f>+AW19*(1+(AT19+AU19))*AS19</f>
        <v>#VALUE!</v>
      </c>
      <c r="AY19" s="1545" t="e">
        <f>+AX19</f>
        <v>#VALUE!</v>
      </c>
      <c r="AZ19" s="1545"/>
      <c r="BA19" s="1545">
        <f>IFERROR(T19*Dat_UFaktorEzE,0)*aktRW_DatErf</f>
        <v>0</v>
      </c>
      <c r="BB19" s="1545">
        <f>IFERROR(BA19*(1+DynamikBerstdV)^Fallerfassung!AR11,0)</f>
        <v>0</v>
      </c>
      <c r="BC19" s="1545">
        <f>IFERROR(PV(BilMoG,AR11,,PV(Dat_BilMoG-RententrendDRV,Fallerfassung!AR12,Fallerfassung!BB19*12))*BE5*(1+AX5/0.55*0.6+AY5),0)</f>
        <v>0</v>
      </c>
      <c r="BE19" s="2330" t="str">
        <f>+P27</f>
        <v/>
      </c>
    </row>
    <row r="20" spans="1:64" s="1484" customFormat="1" ht="17.100000000000001" customHeight="1" thickBot="1">
      <c r="A20" s="2591"/>
      <c r="B20" s="2625" t="s">
        <v>1491</v>
      </c>
      <c r="C20" s="2626"/>
      <c r="D20" s="2626"/>
      <c r="E20" s="2626"/>
      <c r="F20" s="2626"/>
      <c r="G20" s="2626"/>
      <c r="H20" s="2626"/>
      <c r="I20" s="2627"/>
      <c r="J20" s="2527"/>
      <c r="K20" s="2528"/>
      <c r="L20" s="2528"/>
      <c r="M20" s="2528"/>
      <c r="N20" s="2528"/>
      <c r="O20" s="2528"/>
      <c r="P20" s="2528"/>
      <c r="Q20" s="2528"/>
      <c r="R20" s="1585" t="str">
        <f>IF(AJ20=0,"",AJ20)</f>
        <v/>
      </c>
      <c r="S20" s="1365" t="str">
        <f>"Barwert "&amp;IF(Dat_Unisex,divers,"")</f>
        <v xml:space="preserve">Barwert </v>
      </c>
      <c r="T20" s="1366" t="str">
        <f>IFERROR(AY19,"")</f>
        <v/>
      </c>
      <c r="U20" s="1365" t="str">
        <f>+S20</f>
        <v xml:space="preserve">Barwert </v>
      </c>
      <c r="V20" s="1367" t="str">
        <f>IFERROR(AZ20,"")</f>
        <v/>
      </c>
      <c r="W20" s="1142"/>
      <c r="X20" s="1169"/>
      <c r="Y20" s="2583" t="s">
        <v>2026</v>
      </c>
      <c r="Z20" s="2584"/>
      <c r="AA20" s="2585"/>
      <c r="AB20" s="2485" t="str">
        <f>IF(ReSummeM,"Ø erwartbare monatl. Renten-leistung aus bAV und pAV","∑ der in bAV und pAV erwartbaren Rentenleistungen")</f>
        <v>∑ der in bAV und pAV erwartbaren Rentenleistungen</v>
      </c>
      <c r="AC20" s="2486"/>
      <c r="AD20" s="2037">
        <v>19</v>
      </c>
      <c r="AE20" s="2048"/>
      <c r="AF20" s="966"/>
      <c r="AG20" s="2302"/>
      <c r="AH20" s="2303"/>
      <c r="AI20" s="1559"/>
      <c r="AJ20" s="1537"/>
      <c r="AK20" s="1560"/>
      <c r="AL20" s="1537"/>
      <c r="AM20" s="1554"/>
      <c r="AN20" s="1554"/>
      <c r="AO20" s="1518" t="e">
        <f>AS12</f>
        <v>#VALUE!</v>
      </c>
      <c r="AP20" s="1403" t="e">
        <f>AS11</f>
        <v>#VALUE!</v>
      </c>
      <c r="AQ20" s="1511"/>
      <c r="AR20" s="1511"/>
      <c r="AS20" s="1523" t="e">
        <f>+BE6</f>
        <v>#VALUE!</v>
      </c>
      <c r="AT20" s="1520">
        <f>IFERROR(VLOOKUP(AV$6,CHOOSE(IF(IF(Dat_RentnerF,AV6,AS10)&lt;60,60,IF(AS10&gt;67,67,AS10))-59,HRIR60,HRIR61,HRIR62,HRIR63,HRIR64,HRIR,HRIR66,HRIR67),IF(Dat_Unisex,26,17))*0.6,0)</f>
        <v>0</v>
      </c>
      <c r="AU20" s="1520">
        <f>IFERROR(IF(Dat_RentnerF,0,VLOOKUP(AV$6,CHOOSE(IF(AS10&lt;60,60,IF(AS10&gt;67,67,AS10))-59,HRIR60,HRIR61,HRIR62,HRIR63,HRIR64,HRIR,HRIR66,HRIR67),IF(Dat_Unisex,25,16))),0)</f>
        <v>0</v>
      </c>
      <c r="AV20" s="1564" t="e">
        <f>-PV(BilMoG-DynamikBerstdV,AO20,AX14*12)</f>
        <v>#VALUE!</v>
      </c>
      <c r="AW20" s="1564" t="e">
        <f>-PV(BilMoG,Fallerfassung!AS11,,AV20)</f>
        <v>#VALUE!</v>
      </c>
      <c r="AX20" s="1565" t="e">
        <f>+AW20*(1+(AT20+AU20))*AS20</f>
        <v>#VALUE!</v>
      </c>
      <c r="AY20" s="1511"/>
      <c r="AZ20" s="1545" t="e">
        <f>+AX20</f>
        <v>#VALUE!</v>
      </c>
      <c r="BA20" s="1545">
        <f>IFERROR(V19*Dat_UFaktorEzE,0)*aktRW_DatErf</f>
        <v>0</v>
      </c>
      <c r="BB20" s="1545">
        <f>IFERROR(BA20*(1+DynamikBerstdV)^Fallerfassung!AS11,0)</f>
        <v>0</v>
      </c>
      <c r="BC20" s="1545">
        <f>IFERROR(PV(BilMoG,AS11,,PV(Dat_BilMoG-RententrendDRV,Fallerfassung!AS12,Fallerfassung!BB20*12))*BE6*(1+AX6/0.55*0.6+AY6),0)</f>
        <v>0</v>
      </c>
    </row>
    <row r="21" spans="1:64" s="1484" customFormat="1" ht="17.25" customHeight="1" thickTop="1">
      <c r="A21" s="1486"/>
      <c r="B21" s="2497" t="s">
        <v>1566</v>
      </c>
      <c r="C21" s="2498"/>
      <c r="D21" s="2498"/>
      <c r="E21" s="2498"/>
      <c r="F21" s="2498"/>
      <c r="G21" s="2498"/>
      <c r="H21" s="2498"/>
      <c r="I21" s="2498"/>
      <c r="J21" s="2498"/>
      <c r="K21" s="2498"/>
      <c r="L21" s="2498"/>
      <c r="M21" s="2498"/>
      <c r="N21" s="2498"/>
      <c r="O21" s="2498"/>
      <c r="P21" s="2498"/>
      <c r="Q21" s="2499"/>
      <c r="R21" s="1586"/>
      <c r="S21" s="2574" t="s">
        <v>1563</v>
      </c>
      <c r="T21" s="2574"/>
      <c r="U21" s="2574"/>
      <c r="V21" s="2575"/>
      <c r="W21" s="1142"/>
      <c r="X21" s="2649" t="s">
        <v>1452</v>
      </c>
      <c r="Y21" s="2586"/>
      <c r="Z21" s="2587"/>
      <c r="AA21" s="2588"/>
      <c r="AB21" s="2487"/>
      <c r="AC21" s="2488"/>
      <c r="AD21" s="2038">
        <v>20</v>
      </c>
      <c r="AE21" s="2048"/>
      <c r="AF21" s="966"/>
      <c r="AG21" s="2302"/>
      <c r="AH21" s="2303"/>
      <c r="AI21" s="1559"/>
      <c r="AJ21" s="1537"/>
      <c r="AK21" s="1560"/>
      <c r="AL21" s="1537"/>
      <c r="AM21" s="1554"/>
      <c r="AN21" s="1554"/>
      <c r="AO21" s="1566"/>
      <c r="AP21" s="1510"/>
      <c r="AQ21" s="1567"/>
      <c r="AR21" s="1568"/>
      <c r="AS21" s="1569"/>
      <c r="AT21" s="1568"/>
      <c r="AU21" s="1568"/>
      <c r="AV21" s="1570"/>
      <c r="AW21" s="1570"/>
      <c r="AX21" s="1571"/>
      <c r="AZ21" s="1539"/>
      <c r="BB21" s="1539"/>
      <c r="BC21" s="1539"/>
    </row>
    <row r="22" spans="1:64" s="1484" customFormat="1" ht="17.25" customHeight="1">
      <c r="A22" s="2563"/>
      <c r="B22" s="2593" t="s">
        <v>266</v>
      </c>
      <c r="C22" s="2573" t="s">
        <v>1460</v>
      </c>
      <c r="D22" s="2597" t="s">
        <v>1457</v>
      </c>
      <c r="E22" s="2592" t="s">
        <v>1609</v>
      </c>
      <c r="F22" s="2595" t="s">
        <v>1610</v>
      </c>
      <c r="G22" s="2597" t="s">
        <v>1461</v>
      </c>
      <c r="H22" s="2582" t="s">
        <v>1485</v>
      </c>
      <c r="I22" s="2573" t="s">
        <v>1471</v>
      </c>
      <c r="J22" s="2573" t="s">
        <v>1459</v>
      </c>
      <c r="K22" s="2629" t="s">
        <v>1629</v>
      </c>
      <c r="L22" s="2631" t="s">
        <v>1830</v>
      </c>
      <c r="M22" s="2517" t="s">
        <v>1502</v>
      </c>
      <c r="N22" s="2517" t="s">
        <v>1503</v>
      </c>
      <c r="O22" s="2521" t="s">
        <v>1458</v>
      </c>
      <c r="P22" s="2521"/>
      <c r="Q22" s="2519" t="s">
        <v>1783</v>
      </c>
      <c r="R22" s="2576" t="s">
        <v>1389</v>
      </c>
      <c r="S22" s="2647" t="s">
        <v>1567</v>
      </c>
      <c r="T22" s="2647"/>
      <c r="U22" s="2647"/>
      <c r="V22" s="2648"/>
      <c r="W22" s="1142"/>
      <c r="X22" s="2649"/>
      <c r="Y22" s="2567" t="s">
        <v>1930</v>
      </c>
      <c r="Z22" s="2568"/>
      <c r="AA22" s="2569"/>
      <c r="AB22" s="2489" t="s">
        <v>1944</v>
      </c>
      <c r="AC22" s="2490"/>
      <c r="AD22" s="2037">
        <v>21</v>
      </c>
      <c r="AE22" s="2048"/>
      <c r="AF22" s="966"/>
      <c r="AG22" s="2302"/>
      <c r="AH22" s="2303"/>
      <c r="AI22" s="1559"/>
      <c r="AJ22" s="1537"/>
      <c r="AK22" s="1560"/>
      <c r="AL22" s="1537"/>
      <c r="AM22" s="1554"/>
      <c r="AN22" s="1554"/>
      <c r="AO22" s="1511" t="s">
        <v>1617</v>
      </c>
      <c r="AP22" s="1512">
        <v>19.715199999999999</v>
      </c>
      <c r="AR22" s="1484">
        <f>254.15*(1+0)^4.63</f>
        <v>254.15</v>
      </c>
      <c r="AT22" s="1539">
        <f>-PV(0,19.15,254.15*12*(1+0)^4.63,,1)</f>
        <v>58403.67</v>
      </c>
      <c r="AU22" s="1572"/>
      <c r="AV22" s="1571"/>
      <c r="AW22" s="1570"/>
      <c r="AX22" s="1573"/>
      <c r="AY22" s="1539">
        <f>-PV(1.5%,16.89,500*12)</f>
        <v>88936.869951674089</v>
      </c>
      <c r="BA22" s="2055" t="e">
        <f>VLOOKUP(CHOOSE(AP27,AV$5,AV$6),CHOOSE(IF(I27&lt;60,60,IF(I27&gt;67,67,I27))-59,HRIR60,HRIR61,HRIR62,HRIR63,HRIR64,HRIR,HRIR66,HRIR67),CHOOSE(AQ27,7,16,25))</f>
        <v>#VALUE!</v>
      </c>
    </row>
    <row r="23" spans="1:64" s="1484" customFormat="1" ht="17.25" customHeight="1">
      <c r="A23" s="2563"/>
      <c r="B23" s="2594"/>
      <c r="C23" s="2518"/>
      <c r="D23" s="2596"/>
      <c r="E23" s="2518"/>
      <c r="F23" s="2596"/>
      <c r="G23" s="2596"/>
      <c r="H23" s="2518"/>
      <c r="I23" s="2518"/>
      <c r="J23" s="2518"/>
      <c r="K23" s="2518"/>
      <c r="L23" s="2518"/>
      <c r="M23" s="2518"/>
      <c r="N23" s="2518"/>
      <c r="O23" s="2628" t="str">
        <f>IF(Dat_EzE&lt;BilMoGAnfang,"kein BilMoG",IF(AA10&gt;0,"manueller ReZins",IF(Bilanz_BilMoG10,IF(Dat_EzE&lt;BilMoG10Anfang,"kein BilMoG-10","BilMoG-10"),IF(Dat_EzE&lt;BilMoGAnfang,"kein BilMoG-7","BilMoG-7"))))</f>
        <v>BilMoG-7</v>
      </c>
      <c r="P23" s="2468"/>
      <c r="Q23" s="2520"/>
      <c r="R23" s="2577"/>
      <c r="S23" s="2647"/>
      <c r="T23" s="2647"/>
      <c r="U23" s="2647"/>
      <c r="V23" s="2648"/>
      <c r="W23" s="1142"/>
      <c r="X23" s="2649"/>
      <c r="Y23" s="2570"/>
      <c r="Z23" s="2571"/>
      <c r="AA23" s="2572"/>
      <c r="AB23" s="2491"/>
      <c r="AC23" s="2492"/>
      <c r="AD23" s="2038">
        <v>22</v>
      </c>
      <c r="AE23" s="2048"/>
      <c r="AF23" s="966"/>
      <c r="AG23" s="2302"/>
      <c r="AH23" s="2303"/>
      <c r="AI23" s="1559"/>
      <c r="AJ23" s="1537"/>
      <c r="AK23" s="1560"/>
      <c r="AL23" s="1537"/>
      <c r="AM23" s="1554"/>
      <c r="AN23" s="1554"/>
      <c r="AY23" s="1539"/>
      <c r="BA23" s="1539"/>
      <c r="BB23" s="1484">
        <f>IF(I27&gt;67,67,I27)-59</f>
        <v>-59</v>
      </c>
      <c r="BF23" s="1484" t="s">
        <v>1912</v>
      </c>
      <c r="BG23" s="1485" t="b">
        <v>1</v>
      </c>
    </row>
    <row r="24" spans="1:64" s="1484" customFormat="1" ht="17.25" customHeight="1">
      <c r="A24" s="2564"/>
      <c r="B24" s="2594"/>
      <c r="C24" s="2518"/>
      <c r="D24" s="2596"/>
      <c r="E24" s="2518"/>
      <c r="F24" s="2596"/>
      <c r="G24" s="2596"/>
      <c r="H24" s="2518"/>
      <c r="I24" s="2518"/>
      <c r="J24" s="2518"/>
      <c r="K24" s="2518"/>
      <c r="L24" s="2518"/>
      <c r="M24" s="2518"/>
      <c r="N24" s="2518"/>
      <c r="O24" s="2580">
        <f>+AA6</f>
        <v>2.4E-2</v>
      </c>
      <c r="P24" s="2581"/>
      <c r="Q24" s="2520"/>
      <c r="R24" s="2577"/>
      <c r="S24" s="2201" t="s">
        <v>1996</v>
      </c>
      <c r="T24" s="1545"/>
      <c r="U24" s="2202" t="str">
        <f>IFERROR(TEXT(VLOOKUP(YEAR(Dat_EzE),MonatlicheBezugsgröße,2)*2.4,"#.##0 €")&amp;" / "&amp;TEXT(VLOOKUP(YEAR(Dat_EzE),MonatlicheBezugsgröße,2)*0.02,"#.##0,00 €"),"")</f>
        <v>9.492 € / 79,10 €</v>
      </c>
      <c r="V24" s="2203">
        <f>IFERROR(VLOOKUP(YEAR(Dat_EzE),MonatlicheBezugsgröße,2),"")</f>
        <v>3955</v>
      </c>
      <c r="W24" s="1142"/>
      <c r="X24" s="2649"/>
      <c r="Y24" s="2589" t="s">
        <v>1913</v>
      </c>
      <c r="Z24" s="2539" t="s">
        <v>1658</v>
      </c>
      <c r="AA24" s="2515" t="str">
        <f>IF(Dat_DRV_ReSumme,IF(ReSummeM,"Ø monatl. DRV-Rente in Leistungszeit","∑ erwartbarer Monatsrenten in der DRV"),"Barwert der Rente im EzE")</f>
        <v>∑ erwartbarer Monatsrenten in der DRV</v>
      </c>
      <c r="AB24" s="2491"/>
      <c r="AC24" s="2492"/>
      <c r="AD24" s="2037">
        <v>23</v>
      </c>
      <c r="AE24" s="2048"/>
      <c r="AF24" s="966"/>
      <c r="AG24" s="2302"/>
      <c r="AH24" s="2303"/>
      <c r="AI24" s="1559"/>
      <c r="AJ24" s="1537"/>
      <c r="AK24" s="1560"/>
      <c r="AL24" s="1537"/>
      <c r="AM24" s="1554"/>
      <c r="AN24" s="1554"/>
      <c r="AO24" s="2417" t="s">
        <v>1453</v>
      </c>
      <c r="AP24" s="2417"/>
      <c r="AQ24" s="2417"/>
      <c r="AR24" s="2417"/>
      <c r="AS24" s="2417"/>
      <c r="AT24" s="2417"/>
      <c r="AU24" s="2417"/>
      <c r="AV24" s="2417"/>
      <c r="AW24" s="2417"/>
      <c r="AX24" s="2417"/>
      <c r="AY24" s="2417"/>
      <c r="AZ24" s="2417"/>
      <c r="BA24" s="2417"/>
      <c r="BB24" s="2417"/>
      <c r="BC24" s="2417"/>
      <c r="BD24" s="2418" t="s">
        <v>1189</v>
      </c>
      <c r="BE24" s="2419"/>
      <c r="BF24" s="2419"/>
      <c r="BG24" s="2420"/>
      <c r="BH24" s="1574" t="s">
        <v>1462</v>
      </c>
    </row>
    <row r="25" spans="1:64" s="1484" customFormat="1" ht="17.25" customHeight="1">
      <c r="A25" s="2564"/>
      <c r="B25" s="2594"/>
      <c r="C25" s="2518"/>
      <c r="D25" s="2596"/>
      <c r="E25" s="2518"/>
      <c r="F25" s="2596"/>
      <c r="G25" s="2596"/>
      <c r="H25" s="2518"/>
      <c r="I25" s="2518"/>
      <c r="J25" s="2518"/>
      <c r="K25" s="2518"/>
      <c r="L25" s="2518"/>
      <c r="M25" s="2518"/>
      <c r="N25" s="2518"/>
      <c r="O25" s="2579" t="s">
        <v>1393</v>
      </c>
      <c r="P25" s="2579"/>
      <c r="Q25" s="2520"/>
      <c r="R25" s="2577"/>
      <c r="S25" s="2201" t="s">
        <v>1997</v>
      </c>
      <c r="T25" s="1545"/>
      <c r="U25" s="2511">
        <f>IFERROR(VLOOKUP(YEAR(Dat_EzE),BBMG,4),"")</f>
        <v>99600</v>
      </c>
      <c r="V25" s="2512"/>
      <c r="W25" s="1142"/>
      <c r="X25" s="2649"/>
      <c r="Y25" s="2590"/>
      <c r="Z25" s="2540"/>
      <c r="AA25" s="2516"/>
      <c r="AB25" s="2491"/>
      <c r="AC25" s="2492"/>
      <c r="AD25" s="2038">
        <v>24</v>
      </c>
      <c r="AE25" s="2048"/>
      <c r="AF25" s="966"/>
      <c r="AG25" s="2302"/>
      <c r="AH25" s="2303"/>
      <c r="AI25" s="1559"/>
      <c r="AJ25" s="1537"/>
      <c r="AK25" s="1560"/>
      <c r="AL25" s="1537"/>
      <c r="AM25" s="1554"/>
      <c r="AN25" s="1554"/>
      <c r="AO25" s="1511"/>
      <c r="AP25" s="1511"/>
      <c r="AQ25" s="1511" t="s">
        <v>1366</v>
      </c>
      <c r="AR25" s="1512" t="b">
        <v>0</v>
      </c>
      <c r="AS25" s="1511"/>
      <c r="AT25" s="2644" t="s">
        <v>1482</v>
      </c>
      <c r="AU25" s="2644" t="s">
        <v>1483</v>
      </c>
      <c r="AV25" s="1511"/>
      <c r="AW25" s="1511"/>
      <c r="AX25" s="1511"/>
      <c r="AY25" s="2633" t="s">
        <v>1488</v>
      </c>
      <c r="AZ25" s="2633" t="s">
        <v>1579</v>
      </c>
      <c r="BA25" s="2633" t="s">
        <v>1580</v>
      </c>
      <c r="BB25" s="2417" t="s">
        <v>1578</v>
      </c>
      <c r="BC25" s="2417"/>
      <c r="BD25" s="1511"/>
      <c r="BE25" s="1511"/>
      <c r="BF25" s="1511" t="s">
        <v>175</v>
      </c>
      <c r="BG25" s="1511" t="s">
        <v>1416</v>
      </c>
      <c r="BH25" s="1555">
        <f>IF(V25+T25=0,0,ABS(IF(V25+T25&gt;0,(V25+T25)/F25-1,1)))</f>
        <v>0</v>
      </c>
      <c r="BI25" s="1575"/>
      <c r="BK25" s="1539">
        <v>68376</v>
      </c>
    </row>
    <row r="26" spans="1:64" s="1484" customFormat="1" ht="17.25" customHeight="1">
      <c r="A26" s="2564"/>
      <c r="B26" s="2594"/>
      <c r="C26" s="2518"/>
      <c r="D26" s="2596"/>
      <c r="E26" s="2518" t="s">
        <v>499</v>
      </c>
      <c r="F26" s="2596"/>
      <c r="G26" s="2596"/>
      <c r="H26" s="2518"/>
      <c r="I26" s="2518"/>
      <c r="J26" s="2518"/>
      <c r="K26" s="2518"/>
      <c r="L26" s="2518"/>
      <c r="M26" s="2518"/>
      <c r="N26" s="2518" t="s">
        <v>279</v>
      </c>
      <c r="O26" s="1481" t="s">
        <v>1392</v>
      </c>
      <c r="P26" s="1481" t="s">
        <v>1370</v>
      </c>
      <c r="Q26" s="2520"/>
      <c r="R26" s="2578"/>
      <c r="S26" s="1168" t="s">
        <v>21</v>
      </c>
      <c r="T26" s="1168" t="s">
        <v>559</v>
      </c>
      <c r="U26" s="1167" t="s">
        <v>21</v>
      </c>
      <c r="V26" s="1244" t="s">
        <v>559</v>
      </c>
      <c r="W26" s="1142"/>
      <c r="X26" s="2649"/>
      <c r="Y26" s="2590"/>
      <c r="Z26" s="2540"/>
      <c r="AA26" s="2516"/>
      <c r="AB26" s="2493"/>
      <c r="AC26" s="2494"/>
      <c r="AD26" s="2037">
        <v>25</v>
      </c>
      <c r="AE26" s="2048"/>
      <c r="AF26" s="966"/>
      <c r="AG26" s="2302"/>
      <c r="AH26" s="2303"/>
      <c r="AI26" s="1559"/>
      <c r="AJ26" s="1537"/>
      <c r="AK26" s="1560"/>
      <c r="AL26" s="1537"/>
      <c r="AM26" s="1554"/>
      <c r="AN26" s="1554"/>
      <c r="AO26" s="1511" t="s">
        <v>1394</v>
      </c>
      <c r="AP26" s="1511" t="s">
        <v>612</v>
      </c>
      <c r="AQ26" s="1562" t="s">
        <v>1363</v>
      </c>
      <c r="AR26" s="1562" t="s">
        <v>256</v>
      </c>
      <c r="AS26" s="1562" t="s">
        <v>1362</v>
      </c>
      <c r="AT26" s="2645"/>
      <c r="AU26" s="2645"/>
      <c r="AV26" s="1562" t="s">
        <v>1361</v>
      </c>
      <c r="AW26" s="1562" t="s">
        <v>279</v>
      </c>
      <c r="AX26" s="1562" t="s">
        <v>280</v>
      </c>
      <c r="AY26" s="2633"/>
      <c r="AZ26" s="2633"/>
      <c r="BA26" s="2633"/>
      <c r="BB26" s="1511" t="s">
        <v>175</v>
      </c>
      <c r="BC26" s="1511" t="s">
        <v>176</v>
      </c>
      <c r="BD26" s="1403" t="s">
        <v>279</v>
      </c>
      <c r="BE26" s="1403" t="s">
        <v>280</v>
      </c>
      <c r="BF26" s="1511"/>
      <c r="BG26" s="1545"/>
      <c r="BH26" s="1555"/>
      <c r="BI26" s="1484" t="s">
        <v>1489</v>
      </c>
    </row>
    <row r="27" spans="1:64" s="1484" customFormat="1" ht="18" customHeight="1">
      <c r="A27" s="2564"/>
      <c r="B27" s="1292"/>
      <c r="C27" s="1145"/>
      <c r="D27" s="1299"/>
      <c r="E27" s="1146"/>
      <c r="F27" s="1146"/>
      <c r="G27" s="1146"/>
      <c r="H27" s="1312"/>
      <c r="I27" s="1313"/>
      <c r="J27" s="1314"/>
      <c r="K27" s="1314"/>
      <c r="L27" s="1315"/>
      <c r="M27" s="1301"/>
      <c r="N27" s="1316"/>
      <c r="O27" s="1358"/>
      <c r="P27" s="2315" t="str">
        <f t="shared" ref="P27:P37" si="0">IF(B27="","",IF(O27&lt;&gt;"",O27,BilMoG))</f>
        <v/>
      </c>
      <c r="Q27" s="1482" t="str">
        <f>IFERROR(IF(F27=0,"",1-(IF(B27="m",T27,V27))/F27),"")</f>
        <v/>
      </c>
      <c r="R27" s="1582" t="str">
        <f>IF(+AJ27&gt;0,AJ27,"")</f>
        <v/>
      </c>
      <c r="S27" s="1143" t="str">
        <f t="shared" ref="S27:S38" si="1">IF(OR(B27="",B27="w",L27="x"),"",IF(AND(B27="M",SUM(E27:G27)&gt;0,I27=""),"Renteneintritt?",IF(B27="m",IF(AND(OR(H27="K",H27="u"),E27=""),BK27,E27),0)))</f>
        <v/>
      </c>
      <c r="T27" s="1148">
        <f t="shared" ref="T27:T38" si="2">IF(OR(B27="w",B27="",L27="x"),,IFERROR(IF(AND(T$6="",B27="m"),"GebDat Mann?",IF(H27="K",CHOOSE(AP27,G27,0),IF(I27=0,0,IF(AND(G27&gt;0,AP27=1),G27,IF(B27="m",+BA27,0))))),""))</f>
        <v>0</v>
      </c>
      <c r="U27" s="1144" t="str">
        <f t="shared" ref="U27:U38" si="3">IF(OR(B27="",B27="m",L27="x"),"",IF(AND(SUM(E27:G27)&gt;0,I27="",B27="w"),"Renteneintritt?",IF(B27="W",IF(AND(OR(H27="K",H27="u"),E27=""),BK27,E27),0)))</f>
        <v/>
      </c>
      <c r="V27" s="1372">
        <f t="shared" ref="V27:V38" si="4">IF(OR(B27="",B27="m",L27="x"),0,IFERROR(IF(AND($V$6="",B27="w"),"GebDat Frau?",IF(H27="K",CHOOSE(AP27,0,G27),IF(I27=0,0,IF(AND(G27&gt;0,AP27=2),G27,IF(B27="w",BA27,0))))),0))</f>
        <v>0</v>
      </c>
      <c r="W27" s="1224"/>
      <c r="X27" s="1142"/>
      <c r="Y27" s="1496" t="str">
        <f t="shared" ref="Y27:Y38" si="5">IF(B27="","",IFERROR(ROUND(VLOOKUP(V$3,Umrechnungsfaktoren_BeitraginEP,2)*IF(B27="m",T27,V27)*$AK$4,2),0))</f>
        <v/>
      </c>
      <c r="Z27" s="1497" t="str">
        <f t="shared" ref="Z27:Z38" si="6">IF(B27="","",IFERROR(Y27*(1+RententrendDRV)^IF(B27="M",Dat_AZeit_M,Dat_AZeit_F),0))</f>
        <v/>
      </c>
      <c r="AA27" s="1495" t="str">
        <f>IF(B27="","",IF(SUM(S27:V27)=0,0,TEXT(BG27,"#.##0 €")&amp;IF(H27="u","**)","")))</f>
        <v/>
      </c>
      <c r="AB27" s="1971" t="str">
        <f t="shared" ref="AB27:AB38" si="7">IFERROR(IF(AP27=1,-PV(-K27,AR27,IF(E27=0,S27,E27)*12*(1+J27)^AS27,,1)/IF(ReSummeM,AR27*12,1),""),0)</f>
        <v/>
      </c>
      <c r="AC27" s="1972" t="str">
        <f t="shared" ref="AC27:AC38" si="8">IFERROR(IF(AP27=2,-PV(-K27,AR27,IF(E27=0,U27,E27)*12*(1+J27)^AS27,,1)/IF(ReSummeM,AR27*12,1),""),0)</f>
        <v/>
      </c>
      <c r="AD27" s="2038">
        <v>26</v>
      </c>
      <c r="AE27" s="2052"/>
      <c r="AF27" s="966"/>
      <c r="AG27" s="2302"/>
      <c r="AH27" s="2303"/>
      <c r="AI27" s="1559"/>
      <c r="AJ27" s="1537"/>
      <c r="AK27" s="1560"/>
      <c r="AL27" s="1537"/>
      <c r="AM27" s="1554"/>
      <c r="AN27" s="1554"/>
      <c r="AO27" s="1518">
        <f t="shared" ref="AO27:AO38" si="9">IFERROR(CHOOSE(AP27,AV$5,AV$6),0)</f>
        <v>0</v>
      </c>
      <c r="AP27" s="1403">
        <f t="shared" ref="AP27:AP38" si="10">IF(B27="M",1,IF(B27="w",2,0))</f>
        <v>0</v>
      </c>
      <c r="AQ27" s="1403">
        <f t="shared" ref="AQ27:AQ38" si="11">IF(H27="u",3,IF(B27="m",1,IF(B27="w",2,)))</f>
        <v>0</v>
      </c>
      <c r="AR27" s="1518">
        <f t="shared" ref="AR27:AR38" si="12">IFERROR(ROUND(VLOOKUP(IF(I27&lt;CHOOSE(AP27,$AV$5,$AV$6),CHOOSE(AP27,$AV$5,$AV$6),I27),CHOOSE(AQ27,Lebenserwartung_M_V2,Lebenserwartung_F_V2,Lebenserwartung_N_V2),CHOOSE(AP27,YEAR(T$6)+IF(MONTH($T$6)&gt;6,1,0),YEAR(V$6)+IF(MONTH($V$6)&gt;6,1,0))-1900+2),3),0)</f>
        <v>0</v>
      </c>
      <c r="AS27" s="1518">
        <f t="shared" ref="AS27:AS38" si="13">IF(B27="",0,IF(I27-IF(AP27=1,AV$5,AV$6)&lt;0,0,I27-IF(AP27=1,AV$5,AV$6)))</f>
        <v>0</v>
      </c>
      <c r="AT27" s="1518">
        <f t="shared" ref="AT27:AT38" si="14">IFERROR(VLOOKUP(ROUND(I27,0),CHOOSE(AQ27,G_Kohorte_M,G_Kohorte_F,G_Kohorte_N),CHOOSE(AP27,YEAR(T$6)+IF(MONTH($T$6)&gt;6,1,0),YEAR(V$6)+IF(MONTH($V$6)&gt;6,1,0))-1900+2),0)</f>
        <v>0</v>
      </c>
      <c r="AU27" s="1522">
        <f t="shared" ref="AU27:AU38" si="15">IFERROR(VLOOKUP(ROUND(CHOOSE(AP27,AV$5,AV$6),0),CHOOSE(AQ27,G_Kohorte_M,G_Kohorte_F,G_Kohorte_N),CHOOSE(AP27,YEAR(T$6)+IF(MONTH($T$6)&gt;6,1,0),YEAR(V$6)+IF(MONTH($V$6)&gt;6,1,0))-1900+2),0)</f>
        <v>0</v>
      </c>
      <c r="AV27" s="1521">
        <f t="shared" ref="AV27:AV38" si="16">+IFERROR(ROUND(IF(AT27/AU27&gt;1,1,AT27/AU27),4),0)</f>
        <v>0</v>
      </c>
      <c r="AW27" s="1520">
        <f t="shared" ref="AW27:AW38" si="17">IFERROR(ROUND(VLOOKUP(CHOOSE(AP27,AV$5,AV$6),CHOOSE(IF(I27&lt;60,60,IF(I27&gt;67,67,I27))-59,HRIR60,HRIR61,HRIR62,HRIR63,HRIR64,HRIR,HRIR66,HRIR67),CHOOSE(AQ27,8,17,26))*N27,4),0)</f>
        <v>0</v>
      </c>
      <c r="AX27" s="1520">
        <f t="shared" ref="AX27:AX38" si="18">ROUND(IF(I27&lt;=IF(AP27=2,$AV$6,$AV$5),0,IFERROR(VLOOKUP(CHOOSE(AP27,AV$5,AV$6),CHOOSE(IF(I27&lt;60,60,IF(I27&gt;67,67,I27))-59,HRIR60,HRIR61,HRIR62,HRIR63,HRIR64,HRIR,HRIR66,HRIR67),CHOOSE(AQ27,7,16,25))*M27,0)),4)</f>
        <v>0</v>
      </c>
      <c r="AY27" s="1565" t="e">
        <f t="shared" ref="AY27:AY38" si="19">-PV(P27-K27,AR27,E27*(1+J27)^AS27*12)</f>
        <v>#VALUE!</v>
      </c>
      <c r="AZ27" s="1545" t="str">
        <f t="shared" ref="AZ27:AZ38" si="20">IFERROR(-PV(P27,AS27,,AY27),"")</f>
        <v/>
      </c>
      <c r="BA27" s="1545" t="str">
        <f t="shared" ref="BA27:BA38" si="21">IFERROR(IF(G27&gt;0,G27,+AZ27*(1+AX27+AW27)*AV27),"")</f>
        <v/>
      </c>
      <c r="BB27" s="1545">
        <f t="shared" ref="BB27:BB38" si="22">IFERROR(CHOOSE(AP27,S27,0)*(1+J27)^AS27,0)</f>
        <v>0</v>
      </c>
      <c r="BC27" s="1545" t="str">
        <f t="shared" ref="BC27:BC38" si="23">IFERROR(CHOOSE(AP27,0,U27)*(1+J27)^AS27,"")</f>
        <v/>
      </c>
      <c r="BD27" s="1520">
        <f t="shared" ref="BD27:BD38" si="24">IFERROR(ROUND(VLOOKUP(CHOOSE(AP27,AV$5,AV$6),CHOOSE(IF(I27&lt;60,60,IF(I27&gt;67,67,I27))-59,HRIR60,HRIR61,HRIR62,HRIR63,HRIR64,HRIR,HRIR66,HRIR67),CHOOSE(AQ27,8,17,26))*0.55,4),0)</f>
        <v>0</v>
      </c>
      <c r="BE27" s="1520">
        <f t="shared" ref="BE27:BE38" si="25">ROUND(IF(I27&lt;=IF(AP27=2,$AV$6,$AV$5),0,IFERROR(VLOOKUP(CHOOSE(AP27,AV$5,AV$6),CHOOSE(IF(I27&lt;60,60,IF(I27&gt;67,67,I27))-59,HRIR60,HRIR61,HRIR62,HRIR63,HRIR64,HRIR,HRIR66,HRIR67),CHOOSE(AQ27,7,16,25))*1,0)),4)</f>
        <v>0</v>
      </c>
      <c r="BF27" s="1511"/>
      <c r="BG27" s="1545">
        <f t="shared" ref="BG27:BG38" si="26">IFERROR(IF(Dat_DRV_ReSumme,-PV(-RententrendDRV,IF(AQ27=1,BB$5,BB$6),Z27*12,,1)/IF(ReSummeM,12*AR27,1),-PV(P27-RententrendDRV,CHOOSE(AP27,Dat_AZeit_M,Dat_AZeit_F),,-PV(P27-RententrendDRV,IF(AP27=1,BB$5,BB$6),Y27*12,,1)*(1+CHOOSE(AP27,AX$5+AY$5,AX$6+AY$6))*CHOOSE(AP27,BE$5,BE$6))),0)</f>
        <v>0</v>
      </c>
      <c r="BH27" s="1555">
        <f t="shared" ref="BH27:BH38" si="27">IF(V27+T27=0,0,ABS(IF(V27+T27&gt;0,(V27+T27)/F27-1,1)))</f>
        <v>0</v>
      </c>
      <c r="BI27" s="1539" t="e">
        <f>BA27/(1+AW27+AX27)</f>
        <v>#VALUE!</v>
      </c>
      <c r="BJ27" s="1539" t="e">
        <f>-FV(P27-J27,AS27,,-PMT(P27-K27,AR27,BI27)*(1)^-AS27/AV27)</f>
        <v>#VALUE!</v>
      </c>
      <c r="BK27" s="1539" t="e">
        <f>+BJ27/12</f>
        <v>#VALUE!</v>
      </c>
    </row>
    <row r="28" spans="1:64" s="1484" customFormat="1" ht="18" customHeight="1">
      <c r="A28" s="2564"/>
      <c r="B28" s="1292"/>
      <c r="C28" s="1145"/>
      <c r="D28" s="1299"/>
      <c r="E28" s="1146"/>
      <c r="F28" s="1146"/>
      <c r="G28" s="1146"/>
      <c r="H28" s="1312"/>
      <c r="I28" s="1313"/>
      <c r="J28" s="1314"/>
      <c r="K28" s="1314"/>
      <c r="L28" s="1315"/>
      <c r="M28" s="1301"/>
      <c r="N28" s="1316"/>
      <c r="O28" s="1358"/>
      <c r="P28" s="2315" t="str">
        <f t="shared" si="0"/>
        <v/>
      </c>
      <c r="Q28" s="1482" t="str">
        <f t="shared" ref="Q28:Q38" si="28">IFERROR(IF(F28=0,"",1-(IF(B28="m",T28,V28))/F28),"")</f>
        <v/>
      </c>
      <c r="R28" s="1582" t="str">
        <f>IF(+AJ28&gt;0,AJ28,"")</f>
        <v/>
      </c>
      <c r="S28" s="1143" t="str">
        <f t="shared" si="1"/>
        <v/>
      </c>
      <c r="T28" s="1148">
        <f t="shared" si="2"/>
        <v>0</v>
      </c>
      <c r="U28" s="1144" t="str">
        <f t="shared" si="3"/>
        <v/>
      </c>
      <c r="V28" s="1372">
        <f t="shared" si="4"/>
        <v>0</v>
      </c>
      <c r="W28" s="1290"/>
      <c r="X28" s="1142"/>
      <c r="Y28" s="1496" t="str">
        <f t="shared" si="5"/>
        <v/>
      </c>
      <c r="Z28" s="1497" t="str">
        <f t="shared" si="6"/>
        <v/>
      </c>
      <c r="AA28" s="1495" t="str">
        <f t="shared" ref="AA28:AA38" si="29">IF(B28="","",IF(SUM(S28:V28)=0,0,TEXT(BG28,"#.##0 €")&amp;IF(H28="u","**)","")))</f>
        <v/>
      </c>
      <c r="AB28" s="1971" t="str">
        <f t="shared" si="7"/>
        <v/>
      </c>
      <c r="AC28" s="1972" t="str">
        <f t="shared" si="8"/>
        <v/>
      </c>
      <c r="AD28" s="2037">
        <v>27</v>
      </c>
      <c r="AE28" s="2052"/>
      <c r="AF28" s="966"/>
      <c r="AG28" s="2302"/>
      <c r="AH28" s="2303"/>
      <c r="AI28" s="1559"/>
      <c r="AJ28" s="1537"/>
      <c r="AK28" s="1560"/>
      <c r="AL28" s="1537"/>
      <c r="AM28" s="1554"/>
      <c r="AN28" s="1554"/>
      <c r="AO28" s="1518">
        <f t="shared" si="9"/>
        <v>0</v>
      </c>
      <c r="AP28" s="1403">
        <f t="shared" si="10"/>
        <v>0</v>
      </c>
      <c r="AQ28" s="1403">
        <f t="shared" si="11"/>
        <v>0</v>
      </c>
      <c r="AR28" s="1518">
        <f t="shared" si="12"/>
        <v>0</v>
      </c>
      <c r="AS28" s="1518">
        <f t="shared" si="13"/>
        <v>0</v>
      </c>
      <c r="AT28" s="1522">
        <f t="shared" si="14"/>
        <v>0</v>
      </c>
      <c r="AU28" s="1522">
        <f t="shared" si="15"/>
        <v>0</v>
      </c>
      <c r="AV28" s="1521">
        <f t="shared" si="16"/>
        <v>0</v>
      </c>
      <c r="AW28" s="2056">
        <f t="shared" si="17"/>
        <v>0</v>
      </c>
      <c r="AX28" s="1520">
        <f t="shared" si="18"/>
        <v>0</v>
      </c>
      <c r="AY28" s="1565" t="e">
        <f t="shared" si="19"/>
        <v>#VALUE!</v>
      </c>
      <c r="AZ28" s="1545" t="str">
        <f t="shared" si="20"/>
        <v/>
      </c>
      <c r="BA28" s="1545" t="str">
        <f t="shared" si="21"/>
        <v/>
      </c>
      <c r="BB28" s="1545">
        <f t="shared" si="22"/>
        <v>0</v>
      </c>
      <c r="BC28" s="1545" t="str">
        <f t="shared" si="23"/>
        <v/>
      </c>
      <c r="BD28" s="1520">
        <f t="shared" si="24"/>
        <v>0</v>
      </c>
      <c r="BE28" s="1520">
        <f t="shared" si="25"/>
        <v>0</v>
      </c>
      <c r="BF28" s="1511"/>
      <c r="BG28" s="1545">
        <f t="shared" si="26"/>
        <v>0</v>
      </c>
      <c r="BH28" s="1555">
        <f t="shared" si="27"/>
        <v>0</v>
      </c>
      <c r="BI28" s="1539" t="e">
        <f>BA28/(1+AW28+AX28)</f>
        <v>#VALUE!</v>
      </c>
      <c r="BJ28" s="1539" t="e">
        <f>-FV(P28-J28,AS28,,-PMT(P28-K28,AR28,BI28)*(1)^-AS28/AV28)</f>
        <v>#VALUE!</v>
      </c>
      <c r="BK28" s="1539" t="e">
        <f t="shared" ref="BK28:BK38" si="30">+BJ28/12</f>
        <v>#VALUE!</v>
      </c>
    </row>
    <row r="29" spans="1:64" s="1484" customFormat="1" ht="18" customHeight="1">
      <c r="A29" s="2564"/>
      <c r="B29" s="1292"/>
      <c r="C29" s="1145"/>
      <c r="D29" s="1299"/>
      <c r="E29" s="1146"/>
      <c r="F29" s="1146"/>
      <c r="G29" s="1146"/>
      <c r="H29" s="1312"/>
      <c r="I29" s="1313"/>
      <c r="J29" s="1314"/>
      <c r="K29" s="1314"/>
      <c r="L29" s="1315"/>
      <c r="M29" s="1301"/>
      <c r="N29" s="1316"/>
      <c r="O29" s="1358"/>
      <c r="P29" s="2315" t="str">
        <f t="shared" si="0"/>
        <v/>
      </c>
      <c r="Q29" s="1482" t="str">
        <f t="shared" si="28"/>
        <v/>
      </c>
      <c r="R29" s="1582" t="str">
        <f t="shared" ref="R29:R38" si="31">IF(+AJ29&gt;0,AJ29,"")</f>
        <v/>
      </c>
      <c r="S29" s="1143" t="str">
        <f t="shared" si="1"/>
        <v/>
      </c>
      <c r="T29" s="1148">
        <f t="shared" si="2"/>
        <v>0</v>
      </c>
      <c r="U29" s="1144" t="str">
        <f t="shared" si="3"/>
        <v/>
      </c>
      <c r="V29" s="1372">
        <f t="shared" si="4"/>
        <v>0</v>
      </c>
      <c r="W29" s="1142"/>
      <c r="X29" s="1142"/>
      <c r="Y29" s="1496" t="str">
        <f t="shared" si="5"/>
        <v/>
      </c>
      <c r="Z29" s="1497" t="str">
        <f t="shared" si="6"/>
        <v/>
      </c>
      <c r="AA29" s="1495" t="str">
        <f t="shared" si="29"/>
        <v/>
      </c>
      <c r="AB29" s="1971" t="str">
        <f t="shared" si="7"/>
        <v/>
      </c>
      <c r="AC29" s="1972" t="str">
        <f t="shared" si="8"/>
        <v/>
      </c>
      <c r="AD29" s="2038">
        <v>28</v>
      </c>
      <c r="AE29" s="2052"/>
      <c r="AF29" s="966"/>
      <c r="AG29" s="2302"/>
      <c r="AH29" s="2303"/>
      <c r="AI29" s="1559"/>
      <c r="AJ29" s="1537"/>
      <c r="AK29" s="1560"/>
      <c r="AL29" s="1537"/>
      <c r="AM29" s="1554"/>
      <c r="AN29" s="1554"/>
      <c r="AO29" s="1518">
        <f t="shared" si="9"/>
        <v>0</v>
      </c>
      <c r="AP29" s="1403">
        <f t="shared" si="10"/>
        <v>0</v>
      </c>
      <c r="AQ29" s="1403">
        <f t="shared" si="11"/>
        <v>0</v>
      </c>
      <c r="AR29" s="1518">
        <f t="shared" si="12"/>
        <v>0</v>
      </c>
      <c r="AS29" s="1518">
        <f t="shared" si="13"/>
        <v>0</v>
      </c>
      <c r="AT29" s="1522">
        <f t="shared" si="14"/>
        <v>0</v>
      </c>
      <c r="AU29" s="1522">
        <f t="shared" si="15"/>
        <v>0</v>
      </c>
      <c r="AV29" s="1521">
        <f t="shared" si="16"/>
        <v>0</v>
      </c>
      <c r="AW29" s="2056">
        <f t="shared" si="17"/>
        <v>0</v>
      </c>
      <c r="AX29" s="1520">
        <f t="shared" si="18"/>
        <v>0</v>
      </c>
      <c r="AY29" s="1565" t="e">
        <f t="shared" si="19"/>
        <v>#VALUE!</v>
      </c>
      <c r="AZ29" s="1545" t="str">
        <f t="shared" si="20"/>
        <v/>
      </c>
      <c r="BA29" s="1545" t="str">
        <f t="shared" si="21"/>
        <v/>
      </c>
      <c r="BB29" s="1545">
        <f t="shared" si="22"/>
        <v>0</v>
      </c>
      <c r="BC29" s="1545" t="str">
        <f t="shared" si="23"/>
        <v/>
      </c>
      <c r="BD29" s="1520">
        <f t="shared" si="24"/>
        <v>0</v>
      </c>
      <c r="BE29" s="1520">
        <f t="shared" si="25"/>
        <v>0</v>
      </c>
      <c r="BF29" s="1511"/>
      <c r="BG29" s="1545">
        <f t="shared" si="26"/>
        <v>0</v>
      </c>
      <c r="BH29" s="1555">
        <f t="shared" si="27"/>
        <v>0</v>
      </c>
      <c r="BI29" s="1539" t="e">
        <f>BA29/(1+AW29+AX29)</f>
        <v>#VALUE!</v>
      </c>
      <c r="BJ29" s="1539" t="e">
        <f>-FV(P29-J29,AS29,,(-PMT(P29-K29,AR29,BI29))/AV29)</f>
        <v>#VALUE!</v>
      </c>
      <c r="BK29" s="1539" t="e">
        <f t="shared" si="30"/>
        <v>#VALUE!</v>
      </c>
      <c r="BL29" s="1539"/>
    </row>
    <row r="30" spans="1:64" s="1484" customFormat="1" ht="18" customHeight="1">
      <c r="A30" s="2564"/>
      <c r="B30" s="1292"/>
      <c r="C30" s="1145"/>
      <c r="D30" s="1299"/>
      <c r="E30" s="1146"/>
      <c r="F30" s="1146"/>
      <c r="G30" s="1146"/>
      <c r="H30" s="1312"/>
      <c r="I30" s="1313"/>
      <c r="J30" s="1314"/>
      <c r="K30" s="1314"/>
      <c r="L30" s="1315"/>
      <c r="M30" s="1301"/>
      <c r="N30" s="1316"/>
      <c r="O30" s="1358"/>
      <c r="P30" s="2315" t="str">
        <f t="shared" si="0"/>
        <v/>
      </c>
      <c r="Q30" s="1482" t="str">
        <f t="shared" si="28"/>
        <v/>
      </c>
      <c r="R30" s="1582" t="str">
        <f t="shared" si="31"/>
        <v/>
      </c>
      <c r="S30" s="1143" t="str">
        <f t="shared" si="1"/>
        <v/>
      </c>
      <c r="T30" s="1148">
        <f t="shared" si="2"/>
        <v>0</v>
      </c>
      <c r="U30" s="1144" t="str">
        <f t="shared" si="3"/>
        <v/>
      </c>
      <c r="V30" s="1372">
        <f t="shared" si="4"/>
        <v>0</v>
      </c>
      <c r="W30" s="1142"/>
      <c r="X30" s="1142"/>
      <c r="Y30" s="1496" t="str">
        <f t="shared" si="5"/>
        <v/>
      </c>
      <c r="Z30" s="1497" t="str">
        <f t="shared" si="6"/>
        <v/>
      </c>
      <c r="AA30" s="1495" t="str">
        <f t="shared" si="29"/>
        <v/>
      </c>
      <c r="AB30" s="1971" t="str">
        <f t="shared" si="7"/>
        <v/>
      </c>
      <c r="AC30" s="1972" t="str">
        <f t="shared" si="8"/>
        <v/>
      </c>
      <c r="AD30" s="2037">
        <v>29</v>
      </c>
      <c r="AE30" s="2052"/>
      <c r="AF30" s="966"/>
      <c r="AG30" s="2302"/>
      <c r="AH30" s="2303"/>
      <c r="AI30" s="1559"/>
      <c r="AJ30" s="1537"/>
      <c r="AK30" s="1560"/>
      <c r="AL30" s="1537"/>
      <c r="AM30" s="1554"/>
      <c r="AN30" s="1554"/>
      <c r="AO30" s="1518">
        <f t="shared" si="9"/>
        <v>0</v>
      </c>
      <c r="AP30" s="1403">
        <f t="shared" si="10"/>
        <v>0</v>
      </c>
      <c r="AQ30" s="1403">
        <f t="shared" si="11"/>
        <v>0</v>
      </c>
      <c r="AR30" s="1518">
        <f t="shared" si="12"/>
        <v>0</v>
      </c>
      <c r="AS30" s="1518">
        <f t="shared" si="13"/>
        <v>0</v>
      </c>
      <c r="AT30" s="1522">
        <f t="shared" si="14"/>
        <v>0</v>
      </c>
      <c r="AU30" s="1522">
        <f t="shared" si="15"/>
        <v>0</v>
      </c>
      <c r="AV30" s="1521">
        <f t="shared" si="16"/>
        <v>0</v>
      </c>
      <c r="AW30" s="2056">
        <f t="shared" si="17"/>
        <v>0</v>
      </c>
      <c r="AX30" s="1520">
        <f t="shared" si="18"/>
        <v>0</v>
      </c>
      <c r="AY30" s="1565" t="e">
        <f t="shared" si="19"/>
        <v>#VALUE!</v>
      </c>
      <c r="AZ30" s="1545" t="str">
        <f t="shared" si="20"/>
        <v/>
      </c>
      <c r="BA30" s="1545" t="str">
        <f t="shared" si="21"/>
        <v/>
      </c>
      <c r="BB30" s="1545">
        <f t="shared" si="22"/>
        <v>0</v>
      </c>
      <c r="BC30" s="1545" t="str">
        <f t="shared" si="23"/>
        <v/>
      </c>
      <c r="BD30" s="1520">
        <f t="shared" si="24"/>
        <v>0</v>
      </c>
      <c r="BE30" s="1520">
        <f t="shared" si="25"/>
        <v>0</v>
      </c>
      <c r="BF30" s="1511"/>
      <c r="BG30" s="1545">
        <f t="shared" si="26"/>
        <v>0</v>
      </c>
      <c r="BH30" s="1555">
        <f t="shared" si="27"/>
        <v>0</v>
      </c>
      <c r="BI30" s="1539" t="e">
        <f t="shared" ref="BI30:BI38" si="32">BA30/(1+AW30+AX30)</f>
        <v>#VALUE!</v>
      </c>
      <c r="BJ30" s="1539" t="e">
        <f t="shared" ref="BJ30:BJ38" si="33">-FV(P30-J30,AS30,,-PMT(P30-K30,AR30,BI30)*(1)^-AS30/AV30)</f>
        <v>#VALUE!</v>
      </c>
      <c r="BK30" s="1539" t="e">
        <f t="shared" si="30"/>
        <v>#VALUE!</v>
      </c>
    </row>
    <row r="31" spans="1:64" s="1484" customFormat="1" ht="18" customHeight="1">
      <c r="A31" s="2564"/>
      <c r="B31" s="1292"/>
      <c r="C31" s="1374"/>
      <c r="D31" s="1299"/>
      <c r="E31" s="1146"/>
      <c r="F31" s="1146"/>
      <c r="G31" s="1146"/>
      <c r="H31" s="1312"/>
      <c r="I31" s="1313"/>
      <c r="J31" s="1314"/>
      <c r="K31" s="1314"/>
      <c r="L31" s="1315"/>
      <c r="M31" s="1301"/>
      <c r="N31" s="1316"/>
      <c r="O31" s="1358"/>
      <c r="P31" s="2315" t="str">
        <f t="shared" si="0"/>
        <v/>
      </c>
      <c r="Q31" s="1482" t="str">
        <f t="shared" si="28"/>
        <v/>
      </c>
      <c r="R31" s="1582" t="str">
        <f t="shared" si="31"/>
        <v/>
      </c>
      <c r="S31" s="1143" t="str">
        <f t="shared" si="1"/>
        <v/>
      </c>
      <c r="T31" s="1148">
        <f t="shared" si="2"/>
        <v>0</v>
      </c>
      <c r="U31" s="1144" t="str">
        <f t="shared" si="3"/>
        <v/>
      </c>
      <c r="V31" s="1372">
        <f t="shared" si="4"/>
        <v>0</v>
      </c>
      <c r="W31" s="1142"/>
      <c r="X31" s="1142"/>
      <c r="Y31" s="1496" t="str">
        <f t="shared" si="5"/>
        <v/>
      </c>
      <c r="Z31" s="1497" t="str">
        <f t="shared" si="6"/>
        <v/>
      </c>
      <c r="AA31" s="1495" t="str">
        <f t="shared" si="29"/>
        <v/>
      </c>
      <c r="AB31" s="1971" t="str">
        <f t="shared" si="7"/>
        <v/>
      </c>
      <c r="AC31" s="1972" t="str">
        <f t="shared" si="8"/>
        <v/>
      </c>
      <c r="AD31" s="2038">
        <v>30</v>
      </c>
      <c r="AE31" s="2052"/>
      <c r="AF31" s="966"/>
      <c r="AG31" s="2302"/>
      <c r="AH31" s="2303"/>
      <c r="AI31" s="1559"/>
      <c r="AJ31" s="1537"/>
      <c r="AK31" s="1560"/>
      <c r="AL31" s="1537"/>
      <c r="AM31" s="1554"/>
      <c r="AN31" s="1554"/>
      <c r="AO31" s="1518">
        <f t="shared" si="9"/>
        <v>0</v>
      </c>
      <c r="AP31" s="1403">
        <f t="shared" si="10"/>
        <v>0</v>
      </c>
      <c r="AQ31" s="1403">
        <f t="shared" si="11"/>
        <v>0</v>
      </c>
      <c r="AR31" s="1518">
        <f t="shared" si="12"/>
        <v>0</v>
      </c>
      <c r="AS31" s="1518">
        <f t="shared" si="13"/>
        <v>0</v>
      </c>
      <c r="AT31" s="1522">
        <f t="shared" si="14"/>
        <v>0</v>
      </c>
      <c r="AU31" s="1522">
        <f t="shared" si="15"/>
        <v>0</v>
      </c>
      <c r="AV31" s="1521">
        <f t="shared" si="16"/>
        <v>0</v>
      </c>
      <c r="AW31" s="2056">
        <f t="shared" si="17"/>
        <v>0</v>
      </c>
      <c r="AX31" s="1520">
        <f t="shared" si="18"/>
        <v>0</v>
      </c>
      <c r="AY31" s="1565" t="e">
        <f t="shared" si="19"/>
        <v>#VALUE!</v>
      </c>
      <c r="AZ31" s="1545" t="str">
        <f t="shared" si="20"/>
        <v/>
      </c>
      <c r="BA31" s="1545" t="str">
        <f t="shared" si="21"/>
        <v/>
      </c>
      <c r="BB31" s="1545">
        <f t="shared" si="22"/>
        <v>0</v>
      </c>
      <c r="BC31" s="1545" t="str">
        <f t="shared" si="23"/>
        <v/>
      </c>
      <c r="BD31" s="1520">
        <f t="shared" si="24"/>
        <v>0</v>
      </c>
      <c r="BE31" s="1520">
        <f t="shared" si="25"/>
        <v>0</v>
      </c>
      <c r="BF31" s="1511"/>
      <c r="BG31" s="1545">
        <f t="shared" si="26"/>
        <v>0</v>
      </c>
      <c r="BH31" s="1555">
        <f t="shared" si="27"/>
        <v>0</v>
      </c>
      <c r="BI31" s="1539" t="e">
        <f t="shared" si="32"/>
        <v>#VALUE!</v>
      </c>
      <c r="BJ31" s="1539" t="e">
        <f t="shared" si="33"/>
        <v>#VALUE!</v>
      </c>
      <c r="BK31" s="1539" t="e">
        <f t="shared" si="30"/>
        <v>#VALUE!</v>
      </c>
    </row>
    <row r="32" spans="1:64" s="1484" customFormat="1" ht="18" customHeight="1">
      <c r="A32" s="2564"/>
      <c r="B32" s="1292"/>
      <c r="C32" s="1145"/>
      <c r="D32" s="1299"/>
      <c r="E32" s="1146"/>
      <c r="F32" s="1146"/>
      <c r="G32" s="1146"/>
      <c r="H32" s="1312"/>
      <c r="I32" s="1313"/>
      <c r="J32" s="1314"/>
      <c r="K32" s="1314"/>
      <c r="L32" s="1315"/>
      <c r="M32" s="1301"/>
      <c r="N32" s="1316"/>
      <c r="O32" s="1358"/>
      <c r="P32" s="2315" t="str">
        <f t="shared" si="0"/>
        <v/>
      </c>
      <c r="Q32" s="1482" t="str">
        <f t="shared" si="28"/>
        <v/>
      </c>
      <c r="R32" s="1582" t="str">
        <f t="shared" si="31"/>
        <v/>
      </c>
      <c r="S32" s="1143" t="str">
        <f t="shared" si="1"/>
        <v/>
      </c>
      <c r="T32" s="1148">
        <f t="shared" si="2"/>
        <v>0</v>
      </c>
      <c r="U32" s="1144" t="str">
        <f t="shared" si="3"/>
        <v/>
      </c>
      <c r="V32" s="1372">
        <f t="shared" si="4"/>
        <v>0</v>
      </c>
      <c r="W32" s="1142"/>
      <c r="X32" s="1142"/>
      <c r="Y32" s="1496" t="str">
        <f t="shared" si="5"/>
        <v/>
      </c>
      <c r="Z32" s="1497" t="str">
        <f t="shared" si="6"/>
        <v/>
      </c>
      <c r="AA32" s="1495" t="str">
        <f t="shared" si="29"/>
        <v/>
      </c>
      <c r="AB32" s="1971" t="str">
        <f t="shared" si="7"/>
        <v/>
      </c>
      <c r="AC32" s="1972" t="str">
        <f t="shared" si="8"/>
        <v/>
      </c>
      <c r="AD32" s="2037">
        <v>31</v>
      </c>
      <c r="AE32" s="2052"/>
      <c r="AF32" s="966"/>
      <c r="AG32" s="2302"/>
      <c r="AH32" s="2303"/>
      <c r="AI32" s="1559"/>
      <c r="AJ32" s="1537"/>
      <c r="AK32" s="1560"/>
      <c r="AL32" s="1537"/>
      <c r="AM32" s="1554"/>
      <c r="AN32" s="1554"/>
      <c r="AO32" s="1518">
        <f t="shared" si="9"/>
        <v>0</v>
      </c>
      <c r="AP32" s="1403">
        <f t="shared" si="10"/>
        <v>0</v>
      </c>
      <c r="AQ32" s="1403">
        <f t="shared" si="11"/>
        <v>0</v>
      </c>
      <c r="AR32" s="1518">
        <f t="shared" si="12"/>
        <v>0</v>
      </c>
      <c r="AS32" s="1518">
        <f t="shared" si="13"/>
        <v>0</v>
      </c>
      <c r="AT32" s="1522">
        <f t="shared" si="14"/>
        <v>0</v>
      </c>
      <c r="AU32" s="1522">
        <f t="shared" si="15"/>
        <v>0</v>
      </c>
      <c r="AV32" s="1521">
        <f t="shared" si="16"/>
        <v>0</v>
      </c>
      <c r="AW32" s="2056">
        <f t="shared" si="17"/>
        <v>0</v>
      </c>
      <c r="AX32" s="1520">
        <f t="shared" si="18"/>
        <v>0</v>
      </c>
      <c r="AY32" s="1565" t="e">
        <f t="shared" si="19"/>
        <v>#VALUE!</v>
      </c>
      <c r="AZ32" s="1545" t="str">
        <f t="shared" si="20"/>
        <v/>
      </c>
      <c r="BA32" s="1545" t="str">
        <f t="shared" si="21"/>
        <v/>
      </c>
      <c r="BB32" s="1545">
        <f t="shared" si="22"/>
        <v>0</v>
      </c>
      <c r="BC32" s="1545" t="str">
        <f t="shared" si="23"/>
        <v/>
      </c>
      <c r="BD32" s="1520">
        <f t="shared" si="24"/>
        <v>0</v>
      </c>
      <c r="BE32" s="1520">
        <f t="shared" si="25"/>
        <v>0</v>
      </c>
      <c r="BF32" s="1511"/>
      <c r="BG32" s="1545">
        <f t="shared" si="26"/>
        <v>0</v>
      </c>
      <c r="BH32" s="1555">
        <f t="shared" si="27"/>
        <v>0</v>
      </c>
      <c r="BI32" s="1539" t="e">
        <f t="shared" si="32"/>
        <v>#VALUE!</v>
      </c>
      <c r="BJ32" s="1539" t="e">
        <f t="shared" si="33"/>
        <v>#VALUE!</v>
      </c>
      <c r="BK32" s="1539" t="e">
        <f t="shared" si="30"/>
        <v>#VALUE!</v>
      </c>
    </row>
    <row r="33" spans="1:63" s="1484" customFormat="1" ht="18" customHeight="1">
      <c r="A33" s="2564"/>
      <c r="B33" s="1292"/>
      <c r="C33" s="1145"/>
      <c r="D33" s="1299"/>
      <c r="E33" s="1146"/>
      <c r="F33" s="1146"/>
      <c r="G33" s="1146"/>
      <c r="H33" s="1312"/>
      <c r="I33" s="1313"/>
      <c r="J33" s="1314"/>
      <c r="K33" s="1314"/>
      <c r="L33" s="1315"/>
      <c r="M33" s="1301"/>
      <c r="N33" s="1301"/>
      <c r="O33" s="1358"/>
      <c r="P33" s="2315" t="str">
        <f t="shared" si="0"/>
        <v/>
      </c>
      <c r="Q33" s="1482" t="str">
        <f t="shared" si="28"/>
        <v/>
      </c>
      <c r="R33" s="1582" t="str">
        <f t="shared" si="31"/>
        <v/>
      </c>
      <c r="S33" s="1143" t="str">
        <f t="shared" si="1"/>
        <v/>
      </c>
      <c r="T33" s="1148">
        <f t="shared" si="2"/>
        <v>0</v>
      </c>
      <c r="U33" s="1144" t="str">
        <f t="shared" si="3"/>
        <v/>
      </c>
      <c r="V33" s="1372">
        <f t="shared" si="4"/>
        <v>0</v>
      </c>
      <c r="W33" s="1142"/>
      <c r="X33" s="1142"/>
      <c r="Y33" s="1496" t="str">
        <f t="shared" si="5"/>
        <v/>
      </c>
      <c r="Z33" s="1497" t="str">
        <f t="shared" si="6"/>
        <v/>
      </c>
      <c r="AA33" s="1495" t="str">
        <f t="shared" si="29"/>
        <v/>
      </c>
      <c r="AB33" s="1971" t="str">
        <f t="shared" si="7"/>
        <v/>
      </c>
      <c r="AC33" s="1972" t="str">
        <f t="shared" si="8"/>
        <v/>
      </c>
      <c r="AD33" s="2038">
        <v>32</v>
      </c>
      <c r="AE33" s="2052"/>
      <c r="AF33" s="966"/>
      <c r="AG33" s="2302"/>
      <c r="AH33" s="2303"/>
      <c r="AI33" s="1559"/>
      <c r="AJ33" s="1537"/>
      <c r="AK33" s="1560"/>
      <c r="AL33" s="1537"/>
      <c r="AM33" s="1554"/>
      <c r="AN33" s="1554"/>
      <c r="AO33" s="1518">
        <f t="shared" si="9"/>
        <v>0</v>
      </c>
      <c r="AP33" s="1403">
        <f t="shared" si="10"/>
        <v>0</v>
      </c>
      <c r="AQ33" s="1403">
        <f t="shared" si="11"/>
        <v>0</v>
      </c>
      <c r="AR33" s="1518">
        <f t="shared" si="12"/>
        <v>0</v>
      </c>
      <c r="AS33" s="1518">
        <f t="shared" si="13"/>
        <v>0</v>
      </c>
      <c r="AT33" s="1522">
        <f t="shared" si="14"/>
        <v>0</v>
      </c>
      <c r="AU33" s="1522">
        <f t="shared" si="15"/>
        <v>0</v>
      </c>
      <c r="AV33" s="1521">
        <f t="shared" si="16"/>
        <v>0</v>
      </c>
      <c r="AW33" s="2056">
        <f t="shared" si="17"/>
        <v>0</v>
      </c>
      <c r="AX33" s="1520">
        <f t="shared" si="18"/>
        <v>0</v>
      </c>
      <c r="AY33" s="1565" t="e">
        <f t="shared" si="19"/>
        <v>#VALUE!</v>
      </c>
      <c r="AZ33" s="1545" t="str">
        <f t="shared" si="20"/>
        <v/>
      </c>
      <c r="BA33" s="1545" t="str">
        <f t="shared" si="21"/>
        <v/>
      </c>
      <c r="BB33" s="1545">
        <f t="shared" si="22"/>
        <v>0</v>
      </c>
      <c r="BC33" s="1545" t="str">
        <f t="shared" si="23"/>
        <v/>
      </c>
      <c r="BD33" s="1520">
        <f t="shared" si="24"/>
        <v>0</v>
      </c>
      <c r="BE33" s="1520">
        <f t="shared" si="25"/>
        <v>0</v>
      </c>
      <c r="BF33" s="1511"/>
      <c r="BG33" s="1545">
        <f t="shared" si="26"/>
        <v>0</v>
      </c>
      <c r="BH33" s="1555">
        <f t="shared" si="27"/>
        <v>0</v>
      </c>
      <c r="BI33" s="1539" t="e">
        <f t="shared" si="32"/>
        <v>#VALUE!</v>
      </c>
      <c r="BJ33" s="1539" t="e">
        <f t="shared" si="33"/>
        <v>#VALUE!</v>
      </c>
      <c r="BK33" s="1539" t="e">
        <f t="shared" si="30"/>
        <v>#VALUE!</v>
      </c>
    </row>
    <row r="34" spans="1:63" s="1484" customFormat="1" ht="18" customHeight="1">
      <c r="A34" s="2564"/>
      <c r="B34" s="1292"/>
      <c r="C34" s="1145"/>
      <c r="D34" s="1299"/>
      <c r="E34" s="1146"/>
      <c r="F34" s="1146"/>
      <c r="G34" s="1146"/>
      <c r="H34" s="1312"/>
      <c r="I34" s="1313"/>
      <c r="J34" s="1314"/>
      <c r="K34" s="1314"/>
      <c r="L34" s="1315"/>
      <c r="M34" s="1301"/>
      <c r="N34" s="1301"/>
      <c r="O34" s="1358"/>
      <c r="P34" s="2315" t="str">
        <f t="shared" si="0"/>
        <v/>
      </c>
      <c r="Q34" s="1482" t="str">
        <f t="shared" si="28"/>
        <v/>
      </c>
      <c r="R34" s="1582" t="str">
        <f t="shared" si="31"/>
        <v/>
      </c>
      <c r="S34" s="1143" t="str">
        <f t="shared" si="1"/>
        <v/>
      </c>
      <c r="T34" s="1148">
        <f t="shared" si="2"/>
        <v>0</v>
      </c>
      <c r="U34" s="1144" t="str">
        <f t="shared" si="3"/>
        <v/>
      </c>
      <c r="V34" s="1372">
        <f t="shared" si="4"/>
        <v>0</v>
      </c>
      <c r="W34" s="1142"/>
      <c r="X34" s="1142"/>
      <c r="Y34" s="1496" t="str">
        <f t="shared" si="5"/>
        <v/>
      </c>
      <c r="Z34" s="1497" t="str">
        <f t="shared" si="6"/>
        <v/>
      </c>
      <c r="AA34" s="1495" t="str">
        <f t="shared" si="29"/>
        <v/>
      </c>
      <c r="AB34" s="1971" t="str">
        <f t="shared" si="7"/>
        <v/>
      </c>
      <c r="AC34" s="1972" t="str">
        <f t="shared" si="8"/>
        <v/>
      </c>
      <c r="AD34" s="2037">
        <v>33</v>
      </c>
      <c r="AE34" s="2052"/>
      <c r="AF34" s="966"/>
      <c r="AG34" s="2302"/>
      <c r="AH34" s="2303"/>
      <c r="AI34" s="1559"/>
      <c r="AJ34" s="1537"/>
      <c r="AK34" s="1560"/>
      <c r="AL34" s="1537"/>
      <c r="AM34" s="1554"/>
      <c r="AN34" s="1554"/>
      <c r="AO34" s="1518">
        <f t="shared" si="9"/>
        <v>0</v>
      </c>
      <c r="AP34" s="1403">
        <f t="shared" si="10"/>
        <v>0</v>
      </c>
      <c r="AQ34" s="1403">
        <f t="shared" si="11"/>
        <v>0</v>
      </c>
      <c r="AR34" s="1518">
        <f t="shared" si="12"/>
        <v>0</v>
      </c>
      <c r="AS34" s="1518">
        <f t="shared" si="13"/>
        <v>0</v>
      </c>
      <c r="AT34" s="1522">
        <f t="shared" si="14"/>
        <v>0</v>
      </c>
      <c r="AU34" s="1522">
        <f t="shared" si="15"/>
        <v>0</v>
      </c>
      <c r="AV34" s="1521">
        <f t="shared" si="16"/>
        <v>0</v>
      </c>
      <c r="AW34" s="2056">
        <f t="shared" si="17"/>
        <v>0</v>
      </c>
      <c r="AX34" s="1520">
        <f t="shared" si="18"/>
        <v>0</v>
      </c>
      <c r="AY34" s="1565" t="e">
        <f t="shared" si="19"/>
        <v>#VALUE!</v>
      </c>
      <c r="AZ34" s="1545" t="str">
        <f t="shared" si="20"/>
        <v/>
      </c>
      <c r="BA34" s="1545" t="str">
        <f t="shared" si="21"/>
        <v/>
      </c>
      <c r="BB34" s="1545">
        <f t="shared" si="22"/>
        <v>0</v>
      </c>
      <c r="BC34" s="1545" t="str">
        <f t="shared" si="23"/>
        <v/>
      </c>
      <c r="BD34" s="1520">
        <f t="shared" si="24"/>
        <v>0</v>
      </c>
      <c r="BE34" s="1520">
        <f t="shared" si="25"/>
        <v>0</v>
      </c>
      <c r="BF34" s="1511"/>
      <c r="BG34" s="1545">
        <f t="shared" si="26"/>
        <v>0</v>
      </c>
      <c r="BH34" s="1555">
        <f t="shared" si="27"/>
        <v>0</v>
      </c>
      <c r="BI34" s="1539" t="e">
        <f t="shared" si="32"/>
        <v>#VALUE!</v>
      </c>
      <c r="BJ34" s="1539" t="e">
        <f t="shared" si="33"/>
        <v>#VALUE!</v>
      </c>
      <c r="BK34" s="1539" t="e">
        <f t="shared" si="30"/>
        <v>#VALUE!</v>
      </c>
    </row>
    <row r="35" spans="1:63" s="1484" customFormat="1" ht="18" customHeight="1">
      <c r="A35" s="2564"/>
      <c r="B35" s="1292"/>
      <c r="C35" s="1145"/>
      <c r="D35" s="1299"/>
      <c r="E35" s="1146"/>
      <c r="F35" s="1146"/>
      <c r="G35" s="1146"/>
      <c r="H35" s="1312"/>
      <c r="I35" s="1313"/>
      <c r="J35" s="1314"/>
      <c r="K35" s="1314"/>
      <c r="L35" s="1315"/>
      <c r="M35" s="1301"/>
      <c r="N35" s="1301"/>
      <c r="O35" s="1358"/>
      <c r="P35" s="2315" t="str">
        <f t="shared" si="0"/>
        <v/>
      </c>
      <c r="Q35" s="1482" t="str">
        <f t="shared" si="28"/>
        <v/>
      </c>
      <c r="R35" s="1582" t="str">
        <f t="shared" si="31"/>
        <v/>
      </c>
      <c r="S35" s="1143" t="str">
        <f t="shared" si="1"/>
        <v/>
      </c>
      <c r="T35" s="1148">
        <f t="shared" si="2"/>
        <v>0</v>
      </c>
      <c r="U35" s="1144" t="str">
        <f t="shared" si="3"/>
        <v/>
      </c>
      <c r="V35" s="1372">
        <f t="shared" si="4"/>
        <v>0</v>
      </c>
      <c r="W35" s="1142"/>
      <c r="X35" s="1142"/>
      <c r="Y35" s="1496" t="str">
        <f t="shared" si="5"/>
        <v/>
      </c>
      <c r="Z35" s="1497" t="str">
        <f t="shared" si="6"/>
        <v/>
      </c>
      <c r="AA35" s="1495" t="str">
        <f t="shared" si="29"/>
        <v/>
      </c>
      <c r="AB35" s="1971" t="str">
        <f t="shared" si="7"/>
        <v/>
      </c>
      <c r="AC35" s="1972" t="str">
        <f t="shared" si="8"/>
        <v/>
      </c>
      <c r="AD35" s="2038">
        <v>34</v>
      </c>
      <c r="AE35" s="2052"/>
      <c r="AF35" s="966"/>
      <c r="AG35" s="2302"/>
      <c r="AH35" s="2303"/>
      <c r="AI35" s="1559"/>
      <c r="AJ35" s="1537"/>
      <c r="AK35" s="1560"/>
      <c r="AL35" s="1537"/>
      <c r="AM35" s="1554"/>
      <c r="AN35" s="1554"/>
      <c r="AO35" s="1518">
        <f t="shared" si="9"/>
        <v>0</v>
      </c>
      <c r="AP35" s="1403">
        <f t="shared" si="10"/>
        <v>0</v>
      </c>
      <c r="AQ35" s="1403">
        <f t="shared" si="11"/>
        <v>0</v>
      </c>
      <c r="AR35" s="1518">
        <f t="shared" si="12"/>
        <v>0</v>
      </c>
      <c r="AS35" s="1518">
        <f t="shared" si="13"/>
        <v>0</v>
      </c>
      <c r="AT35" s="1522">
        <f t="shared" si="14"/>
        <v>0</v>
      </c>
      <c r="AU35" s="1522">
        <f t="shared" si="15"/>
        <v>0</v>
      </c>
      <c r="AV35" s="1521">
        <f t="shared" si="16"/>
        <v>0</v>
      </c>
      <c r="AW35" s="2056">
        <f t="shared" si="17"/>
        <v>0</v>
      </c>
      <c r="AX35" s="1520">
        <f t="shared" si="18"/>
        <v>0</v>
      </c>
      <c r="AY35" s="1565" t="e">
        <f t="shared" si="19"/>
        <v>#VALUE!</v>
      </c>
      <c r="AZ35" s="1545" t="str">
        <f t="shared" si="20"/>
        <v/>
      </c>
      <c r="BA35" s="1545" t="str">
        <f t="shared" si="21"/>
        <v/>
      </c>
      <c r="BB35" s="1545">
        <f t="shared" si="22"/>
        <v>0</v>
      </c>
      <c r="BC35" s="1545" t="str">
        <f t="shared" si="23"/>
        <v/>
      </c>
      <c r="BD35" s="1520">
        <f t="shared" si="24"/>
        <v>0</v>
      </c>
      <c r="BE35" s="1520">
        <f t="shared" si="25"/>
        <v>0</v>
      </c>
      <c r="BF35" s="1511"/>
      <c r="BG35" s="1545">
        <f t="shared" si="26"/>
        <v>0</v>
      </c>
      <c r="BH35" s="1555">
        <f t="shared" si="27"/>
        <v>0</v>
      </c>
      <c r="BI35" s="1539" t="e">
        <f t="shared" si="32"/>
        <v>#VALUE!</v>
      </c>
      <c r="BJ35" s="1539" t="e">
        <f t="shared" si="33"/>
        <v>#VALUE!</v>
      </c>
      <c r="BK35" s="1539" t="e">
        <f t="shared" si="30"/>
        <v>#VALUE!</v>
      </c>
    </row>
    <row r="36" spans="1:63" s="1484" customFormat="1" ht="18" customHeight="1">
      <c r="A36" s="2564"/>
      <c r="B36" s="1292"/>
      <c r="C36" s="1145"/>
      <c r="D36" s="1299"/>
      <c r="E36" s="1146"/>
      <c r="F36" s="1146"/>
      <c r="G36" s="1146"/>
      <c r="H36" s="1312"/>
      <c r="I36" s="1313"/>
      <c r="J36" s="1314"/>
      <c r="K36" s="1314"/>
      <c r="L36" s="1315"/>
      <c r="M36" s="1301"/>
      <c r="N36" s="1301"/>
      <c r="O36" s="1358"/>
      <c r="P36" s="2315" t="str">
        <f t="shared" si="0"/>
        <v/>
      </c>
      <c r="Q36" s="1482" t="str">
        <f t="shared" si="28"/>
        <v/>
      </c>
      <c r="R36" s="1582" t="str">
        <f t="shared" si="31"/>
        <v/>
      </c>
      <c r="S36" s="1143" t="str">
        <f t="shared" si="1"/>
        <v/>
      </c>
      <c r="T36" s="1148">
        <f t="shared" si="2"/>
        <v>0</v>
      </c>
      <c r="U36" s="1144" t="str">
        <f t="shared" si="3"/>
        <v/>
      </c>
      <c r="V36" s="1372">
        <f t="shared" si="4"/>
        <v>0</v>
      </c>
      <c r="W36" s="1142"/>
      <c r="X36" s="1142"/>
      <c r="Y36" s="1496" t="str">
        <f t="shared" si="5"/>
        <v/>
      </c>
      <c r="Z36" s="1497" t="str">
        <f t="shared" si="6"/>
        <v/>
      </c>
      <c r="AA36" s="1495" t="str">
        <f t="shared" si="29"/>
        <v/>
      </c>
      <c r="AB36" s="1971" t="str">
        <f t="shared" si="7"/>
        <v/>
      </c>
      <c r="AC36" s="1972" t="str">
        <f t="shared" si="8"/>
        <v/>
      </c>
      <c r="AD36" s="2037">
        <v>35</v>
      </c>
      <c r="AE36" s="2052"/>
      <c r="AF36" s="966"/>
      <c r="AG36" s="2302"/>
      <c r="AH36" s="2303"/>
      <c r="AI36" s="1559"/>
      <c r="AJ36" s="1537"/>
      <c r="AK36" s="1560"/>
      <c r="AL36" s="1537"/>
      <c r="AM36" s="1554"/>
      <c r="AN36" s="1554"/>
      <c r="AO36" s="1518">
        <f t="shared" si="9"/>
        <v>0</v>
      </c>
      <c r="AP36" s="1403">
        <f t="shared" si="10"/>
        <v>0</v>
      </c>
      <c r="AQ36" s="1403">
        <f t="shared" si="11"/>
        <v>0</v>
      </c>
      <c r="AR36" s="1952">
        <f t="shared" si="12"/>
        <v>0</v>
      </c>
      <c r="AS36" s="1952">
        <f t="shared" si="13"/>
        <v>0</v>
      </c>
      <c r="AT36" s="1522">
        <f t="shared" si="14"/>
        <v>0</v>
      </c>
      <c r="AU36" s="1522">
        <f t="shared" si="15"/>
        <v>0</v>
      </c>
      <c r="AV36" s="1521">
        <f t="shared" si="16"/>
        <v>0</v>
      </c>
      <c r="AW36" s="2056">
        <f t="shared" si="17"/>
        <v>0</v>
      </c>
      <c r="AX36" s="1520">
        <f t="shared" si="18"/>
        <v>0</v>
      </c>
      <c r="AY36" s="1565" t="e">
        <f t="shared" si="19"/>
        <v>#VALUE!</v>
      </c>
      <c r="AZ36" s="1545" t="str">
        <f t="shared" si="20"/>
        <v/>
      </c>
      <c r="BA36" s="1545" t="str">
        <f t="shared" si="21"/>
        <v/>
      </c>
      <c r="BB36" s="1545">
        <f t="shared" si="22"/>
        <v>0</v>
      </c>
      <c r="BC36" s="1545" t="str">
        <f t="shared" si="23"/>
        <v/>
      </c>
      <c r="BD36" s="1520">
        <f t="shared" si="24"/>
        <v>0</v>
      </c>
      <c r="BE36" s="1520">
        <f t="shared" si="25"/>
        <v>0</v>
      </c>
      <c r="BF36" s="1511"/>
      <c r="BG36" s="1545">
        <f t="shared" si="26"/>
        <v>0</v>
      </c>
      <c r="BH36" s="1555">
        <f t="shared" si="27"/>
        <v>0</v>
      </c>
      <c r="BI36" s="1539" t="e">
        <f t="shared" si="32"/>
        <v>#VALUE!</v>
      </c>
      <c r="BJ36" s="1539" t="e">
        <f t="shared" si="33"/>
        <v>#VALUE!</v>
      </c>
      <c r="BK36" s="1539" t="e">
        <f t="shared" si="30"/>
        <v>#VALUE!</v>
      </c>
    </row>
    <row r="37" spans="1:63" s="1484" customFormat="1" ht="18" customHeight="1">
      <c r="A37" s="2564"/>
      <c r="B37" s="1292"/>
      <c r="C37" s="1145"/>
      <c r="D37" s="1299"/>
      <c r="E37" s="1146"/>
      <c r="F37" s="1146"/>
      <c r="G37" s="1146"/>
      <c r="H37" s="1312"/>
      <c r="I37" s="1313"/>
      <c r="J37" s="1314"/>
      <c r="K37" s="1314"/>
      <c r="L37" s="1315"/>
      <c r="M37" s="1301"/>
      <c r="N37" s="1301"/>
      <c r="O37" s="1358"/>
      <c r="P37" s="2315" t="str">
        <f t="shared" si="0"/>
        <v/>
      </c>
      <c r="Q37" s="1482" t="str">
        <f t="shared" si="28"/>
        <v/>
      </c>
      <c r="R37" s="1582" t="str">
        <f t="shared" si="31"/>
        <v/>
      </c>
      <c r="S37" s="1143" t="str">
        <f t="shared" si="1"/>
        <v/>
      </c>
      <c r="T37" s="1148">
        <f t="shared" si="2"/>
        <v>0</v>
      </c>
      <c r="U37" s="1144" t="str">
        <f t="shared" si="3"/>
        <v/>
      </c>
      <c r="V37" s="1372">
        <f t="shared" si="4"/>
        <v>0</v>
      </c>
      <c r="W37" s="1142"/>
      <c r="X37" s="1142"/>
      <c r="Y37" s="1496" t="str">
        <f t="shared" si="5"/>
        <v/>
      </c>
      <c r="Z37" s="1497" t="str">
        <f t="shared" si="6"/>
        <v/>
      </c>
      <c r="AA37" s="1495" t="str">
        <f t="shared" si="29"/>
        <v/>
      </c>
      <c r="AB37" s="1971" t="str">
        <f t="shared" si="7"/>
        <v/>
      </c>
      <c r="AC37" s="1972" t="str">
        <f t="shared" si="8"/>
        <v/>
      </c>
      <c r="AD37" s="2038">
        <v>36</v>
      </c>
      <c r="AE37" s="2052"/>
      <c r="AF37" s="966"/>
      <c r="AG37" s="2302"/>
      <c r="AH37" s="2303"/>
      <c r="AI37" s="1559"/>
      <c r="AJ37" s="1537"/>
      <c r="AK37" s="1560"/>
      <c r="AL37" s="1537"/>
      <c r="AM37" s="1554"/>
      <c r="AN37" s="1554"/>
      <c r="AO37" s="1518">
        <f t="shared" si="9"/>
        <v>0</v>
      </c>
      <c r="AP37" s="1403">
        <f t="shared" si="10"/>
        <v>0</v>
      </c>
      <c r="AQ37" s="1403">
        <f t="shared" si="11"/>
        <v>0</v>
      </c>
      <c r="AR37" s="1952">
        <f t="shared" si="12"/>
        <v>0</v>
      </c>
      <c r="AS37" s="1952">
        <f t="shared" si="13"/>
        <v>0</v>
      </c>
      <c r="AT37" s="1522">
        <f t="shared" si="14"/>
        <v>0</v>
      </c>
      <c r="AU37" s="1522">
        <f t="shared" si="15"/>
        <v>0</v>
      </c>
      <c r="AV37" s="1521">
        <f t="shared" si="16"/>
        <v>0</v>
      </c>
      <c r="AW37" s="2056">
        <f t="shared" si="17"/>
        <v>0</v>
      </c>
      <c r="AX37" s="1520">
        <f t="shared" si="18"/>
        <v>0</v>
      </c>
      <c r="AY37" s="1565" t="e">
        <f t="shared" si="19"/>
        <v>#VALUE!</v>
      </c>
      <c r="AZ37" s="1545" t="str">
        <f t="shared" si="20"/>
        <v/>
      </c>
      <c r="BA37" s="1545" t="str">
        <f t="shared" si="21"/>
        <v/>
      </c>
      <c r="BB37" s="1545">
        <f t="shared" si="22"/>
        <v>0</v>
      </c>
      <c r="BC37" s="1545" t="str">
        <f t="shared" si="23"/>
        <v/>
      </c>
      <c r="BD37" s="1520">
        <f t="shared" si="24"/>
        <v>0</v>
      </c>
      <c r="BE37" s="1520">
        <f t="shared" si="25"/>
        <v>0</v>
      </c>
      <c r="BF37" s="1511"/>
      <c r="BG37" s="1545">
        <f t="shared" si="26"/>
        <v>0</v>
      </c>
      <c r="BH37" s="1555">
        <f t="shared" si="27"/>
        <v>0</v>
      </c>
      <c r="BI37" s="1539" t="e">
        <f t="shared" si="32"/>
        <v>#VALUE!</v>
      </c>
      <c r="BJ37" s="1539" t="e">
        <f t="shared" si="33"/>
        <v>#VALUE!</v>
      </c>
      <c r="BK37" s="1539" t="e">
        <f t="shared" si="30"/>
        <v>#VALUE!</v>
      </c>
    </row>
    <row r="38" spans="1:63" s="1484" customFormat="1" ht="17.100000000000001" customHeight="1" thickBot="1">
      <c r="A38" s="2564"/>
      <c r="B38" s="1292"/>
      <c r="C38" s="1293"/>
      <c r="D38" s="1299"/>
      <c r="E38" s="1146"/>
      <c r="F38" s="1146"/>
      <c r="G38" s="1146"/>
      <c r="H38" s="2309"/>
      <c r="I38" s="2310"/>
      <c r="J38" s="2311"/>
      <c r="K38" s="2311"/>
      <c r="L38" s="2312"/>
      <c r="M38" s="2313"/>
      <c r="N38" s="2313"/>
      <c r="O38" s="2314"/>
      <c r="P38" s="2315" t="str">
        <f t="shared" ref="P38" si="34">IF(B38="","",IF(O38&lt;&gt;"",O38,BilMoG))</f>
        <v/>
      </c>
      <c r="Q38" s="2316" t="str">
        <f t="shared" si="28"/>
        <v/>
      </c>
      <c r="R38" s="2317" t="str">
        <f t="shared" si="31"/>
        <v/>
      </c>
      <c r="S38" s="2318" t="str">
        <f t="shared" si="1"/>
        <v/>
      </c>
      <c r="T38" s="2319">
        <f t="shared" si="2"/>
        <v>0</v>
      </c>
      <c r="U38" s="2320" t="str">
        <f t="shared" si="3"/>
        <v/>
      </c>
      <c r="V38" s="2321">
        <f t="shared" si="4"/>
        <v>0</v>
      </c>
      <c r="W38" s="1142"/>
      <c r="X38" s="1142"/>
      <c r="Y38" s="2042" t="str">
        <f t="shared" si="5"/>
        <v/>
      </c>
      <c r="Z38" s="2043" t="str">
        <f t="shared" si="6"/>
        <v/>
      </c>
      <c r="AA38" s="2044" t="str">
        <f t="shared" si="29"/>
        <v/>
      </c>
      <c r="AB38" s="2040" t="str">
        <f t="shared" si="7"/>
        <v/>
      </c>
      <c r="AC38" s="2041" t="str">
        <f t="shared" si="8"/>
        <v/>
      </c>
      <c r="AD38" s="2037">
        <v>37</v>
      </c>
      <c r="AE38" s="2052"/>
      <c r="AF38" s="1576"/>
      <c r="AG38" s="1539"/>
      <c r="AH38" s="1539"/>
      <c r="AI38" s="1577"/>
      <c r="AJ38" s="1537"/>
      <c r="AK38" s="1537"/>
      <c r="AL38" s="1537"/>
      <c r="AM38" s="1537"/>
      <c r="AN38" s="1537"/>
      <c r="AO38" s="1518">
        <f t="shared" si="9"/>
        <v>0</v>
      </c>
      <c r="AP38" s="1403">
        <f t="shared" si="10"/>
        <v>0</v>
      </c>
      <c r="AQ38" s="1403">
        <f t="shared" si="11"/>
        <v>0</v>
      </c>
      <c r="AR38" s="1952">
        <f t="shared" si="12"/>
        <v>0</v>
      </c>
      <c r="AS38" s="1952">
        <f t="shared" si="13"/>
        <v>0</v>
      </c>
      <c r="AT38" s="1522">
        <f t="shared" si="14"/>
        <v>0</v>
      </c>
      <c r="AU38" s="1522">
        <f t="shared" si="15"/>
        <v>0</v>
      </c>
      <c r="AV38" s="1521">
        <f t="shared" si="16"/>
        <v>0</v>
      </c>
      <c r="AW38" s="2056">
        <f t="shared" si="17"/>
        <v>0</v>
      </c>
      <c r="AX38" s="1520">
        <f t="shared" si="18"/>
        <v>0</v>
      </c>
      <c r="AY38" s="1565" t="e">
        <f t="shared" si="19"/>
        <v>#VALUE!</v>
      </c>
      <c r="AZ38" s="1545" t="str">
        <f t="shared" si="20"/>
        <v/>
      </c>
      <c r="BA38" s="1545" t="str">
        <f t="shared" si="21"/>
        <v/>
      </c>
      <c r="BB38" s="1545">
        <f t="shared" si="22"/>
        <v>0</v>
      </c>
      <c r="BC38" s="1545" t="str">
        <f t="shared" si="23"/>
        <v/>
      </c>
      <c r="BD38" s="1520">
        <f t="shared" si="24"/>
        <v>0</v>
      </c>
      <c r="BE38" s="1578">
        <f t="shared" si="25"/>
        <v>0</v>
      </c>
      <c r="BF38" s="1511"/>
      <c r="BG38" s="1545">
        <f t="shared" si="26"/>
        <v>0</v>
      </c>
      <c r="BH38" s="1555">
        <f t="shared" si="27"/>
        <v>0</v>
      </c>
      <c r="BI38" s="1539" t="e">
        <f t="shared" si="32"/>
        <v>#VALUE!</v>
      </c>
      <c r="BJ38" s="1539" t="e">
        <f t="shared" si="33"/>
        <v>#VALUE!</v>
      </c>
      <c r="BK38" s="1539" t="e">
        <f t="shared" si="30"/>
        <v>#VALUE!</v>
      </c>
    </row>
    <row r="39" spans="1:63" s="1484" customFormat="1" ht="17.100000000000001" customHeight="1" thickTop="1">
      <c r="A39" s="1498"/>
      <c r="B39" s="2565" t="s">
        <v>1517</v>
      </c>
      <c r="C39" s="2566"/>
      <c r="D39" s="2566"/>
      <c r="E39" s="1759">
        <f>SUMIF($B$27:$B$38,"m",E$27:E$38)</f>
        <v>0</v>
      </c>
      <c r="F39" s="1499">
        <f>SUMIF($B$27:$B$38,"m",F$27:F$38)</f>
        <v>0</v>
      </c>
      <c r="G39" s="2307">
        <f>SUMIF($B$27:$B$38,"m",G$27:G$38)</f>
        <v>0</v>
      </c>
      <c r="H39" s="2661" t="s">
        <v>2029</v>
      </c>
      <c r="I39" s="2662"/>
      <c r="J39" s="2662"/>
      <c r="K39" s="2662"/>
      <c r="L39" s="2662"/>
      <c r="M39" s="2662"/>
      <c r="N39" s="2662"/>
      <c r="O39" s="2662"/>
      <c r="P39" s="2662"/>
      <c r="Q39" s="2662"/>
      <c r="R39" s="2662"/>
      <c r="S39" s="1500">
        <f>SUM(S27:S38,S15:S16,S13,S19)</f>
        <v>0</v>
      </c>
      <c r="T39" s="1500">
        <f>SUM(T27:T38,T15:T16,T13,T20)</f>
        <v>0</v>
      </c>
      <c r="U39" s="1500">
        <f>SUM(U27:U38,U15:U16,U13,U19)</f>
        <v>0</v>
      </c>
      <c r="V39" s="1501">
        <f>SUM(V27:V38,V15:V16,V13,V20)</f>
        <v>0</v>
      </c>
      <c r="W39" s="1502"/>
      <c r="Y39" s="2476" t="s">
        <v>1480</v>
      </c>
      <c r="Z39" s="2477"/>
      <c r="AA39" s="2478"/>
      <c r="AB39" s="2543" t="str">
        <f>IF(ReSummeM,Durchschnitt&amp;" Rentenerwartung/Leistungsmonat",Summenzeichen&amp;" der erwartbaren Rentenleistungen")</f>
        <v>∑ der erwartbaren Rentenleistungen</v>
      </c>
      <c r="AC39" s="2544"/>
      <c r="AD39" s="2038">
        <v>38</v>
      </c>
      <c r="AE39" s="2051"/>
      <c r="AF39" s="966"/>
      <c r="AJ39" s="1510"/>
      <c r="AK39" s="1510"/>
      <c r="AL39" s="1510"/>
      <c r="AM39" s="1510"/>
      <c r="AN39" s="1510"/>
      <c r="BA39" s="1484" t="s">
        <v>143</v>
      </c>
      <c r="BB39" s="1539" t="e">
        <f>+SUM(BB27:BB38)+AW10+AW12+AW14</f>
        <v>#VALUE!</v>
      </c>
      <c r="BC39" s="1539" t="e">
        <f>+SUM(BC27:BC38)+AX10+AX12+AX14</f>
        <v>#VALUE!</v>
      </c>
    </row>
    <row r="40" spans="1:63" s="1484" customFormat="1" ht="17.100000000000001" customHeight="1" thickBot="1">
      <c r="A40" s="1503"/>
      <c r="B40" s="2509" t="s">
        <v>1518</v>
      </c>
      <c r="C40" s="2510"/>
      <c r="D40" s="2510"/>
      <c r="E40" s="1504">
        <f>SUMIF($B$27:$B$38,"w",E$27:E$38)</f>
        <v>0</v>
      </c>
      <c r="F40" s="1504">
        <f>SUMIF($B$27:$B$38,"w",F$27:F$38)</f>
        <v>0</v>
      </c>
      <c r="G40" s="2308">
        <f>SUMIF($B$27:$B$38,"w",G$27:G$38)</f>
        <v>0</v>
      </c>
      <c r="H40" s="2663" t="str">
        <f>"1 Euro Rente hat einen Barwert von: "&amp;TEXT(T39,"#.##0")&amp;" / "&amp;TEXT(S39,"#.##0")&amp;" bzw. "&amp;TEXT(V39,"#.##0")&amp;" / "&amp;TEXT(U39,"#.##0")&amp;" :"</f>
        <v>1 Euro Rente hat einen Barwert von: 0 / 0 bzw. 0 / 0 :</v>
      </c>
      <c r="I40" s="2664"/>
      <c r="J40" s="2664"/>
      <c r="K40" s="2664"/>
      <c r="L40" s="2664"/>
      <c r="M40" s="2664"/>
      <c r="N40" s="2664"/>
      <c r="O40" s="2664"/>
      <c r="P40" s="2664"/>
      <c r="Q40" s="2664"/>
      <c r="R40" s="2665"/>
      <c r="S40" s="2304"/>
      <c r="T40" s="2325">
        <f>IFERROR(+T39/S39,0)</f>
        <v>0</v>
      </c>
      <c r="U40" s="2325"/>
      <c r="V40" s="2326">
        <f>IFERROR(+V39/U39,0)</f>
        <v>0</v>
      </c>
      <c r="Y40" s="2671" t="s">
        <v>1481</v>
      </c>
      <c r="Z40" s="2465"/>
      <c r="AA40" s="2672"/>
      <c r="AB40" s="1962">
        <f>SUM(AB27:AB38,AB19,AB15:AB16,AB13)</f>
        <v>0</v>
      </c>
      <c r="AC40" s="1963">
        <f>SUM(AC27:AC38,AC19,AC15:AC16,AC13)</f>
        <v>0</v>
      </c>
      <c r="AD40" s="2037">
        <v>39</v>
      </c>
      <c r="AE40" s="2051"/>
      <c r="AF40" s="966"/>
      <c r="AG40" s="1570"/>
      <c r="AH40" s="1579"/>
      <c r="AI40" s="1579"/>
      <c r="AJ40" s="1510"/>
      <c r="AK40" s="1510"/>
      <c r="AL40" s="1510"/>
      <c r="AM40" s="1510"/>
      <c r="AN40" s="1510"/>
      <c r="AO40" s="1511"/>
      <c r="AP40" s="1513" t="s">
        <v>1375</v>
      </c>
      <c r="AQ40" s="1580">
        <v>203</v>
      </c>
      <c r="AR40" s="1513" t="s">
        <v>1425</v>
      </c>
      <c r="AS40" s="1513" t="str">
        <f>VLOOKUP(TOs+4,'TO Ziff.5'!$B$7:$P$425,4)</f>
        <v>5.3.</v>
      </c>
      <c r="AT40" s="1513"/>
      <c r="AU40" s="1513"/>
      <c r="AV40" s="1513" t="s">
        <v>1044</v>
      </c>
      <c r="AW40" s="1513" t="s">
        <v>1045</v>
      </c>
      <c r="AX40" s="1513" t="s">
        <v>1376</v>
      </c>
      <c r="AY40" s="1513" t="s">
        <v>1377</v>
      </c>
      <c r="AZ40" s="1513"/>
      <c r="BA40" s="1511"/>
    </row>
    <row r="41" spans="1:63" ht="17.100000000000001" customHeight="1" thickTop="1">
      <c r="A41" s="1505"/>
      <c r="B41" s="1506" t="s">
        <v>844</v>
      </c>
      <c r="C41" s="1506"/>
      <c r="D41" s="1506"/>
      <c r="E41" s="1506"/>
      <c r="F41" s="1506"/>
      <c r="G41" s="1506"/>
      <c r="H41" s="2666" t="s">
        <v>2028</v>
      </c>
      <c r="I41" s="2667"/>
      <c r="J41" s="2667"/>
      <c r="K41" s="2667"/>
      <c r="L41" s="2667"/>
      <c r="M41" s="2667"/>
      <c r="N41" s="2667"/>
      <c r="O41" s="2667"/>
      <c r="P41" s="2667"/>
      <c r="Q41" s="2667"/>
      <c r="R41" s="2667"/>
      <c r="S41" s="2305"/>
      <c r="T41" s="2654">
        <f>IFERROR(IF(T40&gt;V40,V40/T40,T40/V40),0)</f>
        <v>0</v>
      </c>
      <c r="U41" s="2655"/>
      <c r="V41" s="2322"/>
      <c r="W41" s="968"/>
      <c r="X41" s="968"/>
      <c r="Y41" s="1467" t="s">
        <v>1857</v>
      </c>
      <c r="Z41" s="1547">
        <f>IFERROR(VLOOKUP(YEAR(Dat_EzE),MonatlicheBezugsgroesse,4),"")</f>
        <v>39.550000000000004</v>
      </c>
      <c r="AA41" s="1547">
        <f>IFERROR(VLOOKUP(YEAR(Dat_EzE),MonatlicheBezugsgroesse,5),"")</f>
        <v>4746</v>
      </c>
      <c r="AB41" s="2673">
        <f>+ABS(Barwertdifferenz-AC40)</f>
        <v>0</v>
      </c>
      <c r="AC41" s="2673"/>
      <c r="AD41" s="2038">
        <v>40</v>
      </c>
      <c r="AE41" s="2051"/>
      <c r="AF41" s="1404"/>
      <c r="AG41" s="468"/>
      <c r="AJ41" s="1150"/>
      <c r="AK41" s="1150"/>
      <c r="AL41" s="1150"/>
      <c r="AM41" s="1150"/>
      <c r="AN41" s="1150"/>
      <c r="AO41" s="1206" t="s">
        <v>1616</v>
      </c>
      <c r="AP41" s="1427">
        <f>+KoKaDRV+Z15+Z16+Dat_bstdKoKa_M+F39</f>
        <v>0</v>
      </c>
      <c r="AQ41" s="1427">
        <f>KoKaDRV_F+AA15+AA16+Dat_bstdKoKa_F+F40</f>
        <v>0</v>
      </c>
      <c r="AR41" s="1427">
        <f>+AP41-AQ41</f>
        <v>0</v>
      </c>
      <c r="AV41" s="1206">
        <f>VLOOKUP(TOs+4,'TO Ziff.5'!$B$7:$P$425,10)</f>
        <v>0</v>
      </c>
      <c r="AW41" s="1206">
        <f>VLOOKUP(TOs+4,'TO Ziff.5'!$B$7:$P$425,11)</f>
        <v>0</v>
      </c>
      <c r="AX41" s="1206">
        <f>VLOOKUP(TOs,'TO Ziff.5'!$B$7:$P$425,12)</f>
        <v>0</v>
      </c>
      <c r="AY41" s="1206">
        <f>VLOOKUP(TOs+4,'TO Ziff.5'!$B$7:$P$425,13)</f>
        <v>0</v>
      </c>
      <c r="AZ41" s="1206">
        <f>SUM(AV41:AY41)</f>
        <v>0</v>
      </c>
      <c r="BC41" s="468" t="e">
        <f>+BA27/AW11</f>
        <v>#VALUE!</v>
      </c>
    </row>
    <row r="42" spans="1:63" ht="14.25" customHeight="1">
      <c r="B42" s="1505"/>
      <c r="C42" s="1505"/>
      <c r="D42" s="1505"/>
      <c r="E42" s="1505"/>
      <c r="F42" s="1505"/>
      <c r="G42" s="1505"/>
      <c r="H42" s="2659" t="str">
        <f>"korrigierter Rentenwert: "&amp;TEXT(S39,"#.##0,00 €")&amp;" * (1 - "&amp;TEXT(T41,"0,00%")&amp;") = "</f>
        <v xml:space="preserve">korrigierter Rentenwert: 0,00 € * (1 - 0,00%) = </v>
      </c>
      <c r="I42" s="2660"/>
      <c r="J42" s="2660"/>
      <c r="K42" s="2660"/>
      <c r="L42" s="2660"/>
      <c r="M42" s="2660"/>
      <c r="N42" s="2660"/>
      <c r="O42" s="2660"/>
      <c r="P42" s="2660"/>
      <c r="Q42" s="2660"/>
      <c r="R42" s="2660"/>
      <c r="S42" s="2306">
        <f>S39*IF(T40&lt;V40,(1-T41),1)</f>
        <v>0</v>
      </c>
      <c r="T42" s="1513"/>
      <c r="U42" s="2306">
        <f>IF(T41=0,0,IF(V40&lt;T40,U39*T41,1))</f>
        <v>0</v>
      </c>
      <c r="V42" s="2323"/>
      <c r="AK42" s="1150"/>
      <c r="AP42" s="1206" t="str">
        <f>IFERROR(IF(AZ41=0,"","TO "&amp;IF(AZ41&gt;0,"ermöglicht u.a.","")&amp;": "&amp;IF(AV41&gt;0,"Tarifwechel"&amp;IF(AW41+AX41+AY41&gt;0,"; ","."),"")&amp;IF(AW41&gt;0,"doppelten Kostenabzug"&amp;IF(AX41+AY41&gt;0,"; ","."),"")&amp;IF(AX41&gt;0," Abweichungen vom gerichtl. festgelegten Ausgleichswert"&amp;IF(AY41&gt;0,"; ","."),"")&amp;IF(AY41&gt;0," eine Verzinsung d. AusglWerts zwischen EzE und RK ist ggfls. geltend zu machen","")),"")</f>
        <v/>
      </c>
    </row>
    <row r="43" spans="1:63" ht="14.25" customHeight="1" thickBot="1">
      <c r="B43" s="1505"/>
      <c r="C43" s="1505"/>
      <c r="D43" s="1505"/>
      <c r="E43" s="1505"/>
      <c r="F43" s="1505"/>
      <c r="G43" s="1505"/>
      <c r="H43" s="2668" t="s">
        <v>2027</v>
      </c>
      <c r="I43" s="2669"/>
      <c r="J43" s="2669"/>
      <c r="K43" s="2669"/>
      <c r="L43" s="2669"/>
      <c r="M43" s="2669"/>
      <c r="N43" s="2669"/>
      <c r="O43" s="2669"/>
      <c r="P43" s="2669"/>
      <c r="Q43" s="2669"/>
      <c r="R43" s="2670"/>
      <c r="S43" s="2656">
        <f>+S42-U42</f>
        <v>0</v>
      </c>
      <c r="T43" s="2657"/>
      <c r="U43" s="2658"/>
      <c r="V43" s="2324"/>
      <c r="AK43" s="1150"/>
    </row>
    <row r="44" spans="1:63" ht="14.25" customHeight="1" thickTop="1">
      <c r="AK44" s="1150"/>
    </row>
    <row r="45" spans="1:63" ht="14.25" customHeight="1">
      <c r="AK45" s="1150"/>
    </row>
    <row r="46" spans="1:63" ht="14.25" customHeight="1">
      <c r="AK46" s="1150"/>
    </row>
    <row r="47" spans="1:63" ht="14.25" customHeight="1">
      <c r="AK47" s="1150"/>
    </row>
    <row r="48" spans="1:63" ht="14.25" customHeight="1">
      <c r="AK48" s="1150"/>
    </row>
    <row r="49" spans="37:37" ht="14.25" customHeight="1">
      <c r="AK49" s="1150"/>
    </row>
  </sheetData>
  <sheetProtection algorithmName="SHA-512" hashValue="vkW8RPpkWaTUxVL9a0i9AWTvBC9HmExE0faUovwhO+nkSORBi4DXrZ5m1Ea05fpOCxdMHdQs0BXg02bh94FVYg==" saltValue="DYnAJ72aDzBnp3DbAfIWUQ==" spinCount="100000" sheet="1" objects="1" scenarios="1" selectLockedCells="1"/>
  <mergeCells count="144">
    <mergeCell ref="T41:U41"/>
    <mergeCell ref="S43:U43"/>
    <mergeCell ref="H42:R42"/>
    <mergeCell ref="H39:R39"/>
    <mergeCell ref="H40:R40"/>
    <mergeCell ref="H41:R41"/>
    <mergeCell ref="H43:R43"/>
    <mergeCell ref="BA25:BA26"/>
    <mergeCell ref="S11:T11"/>
    <mergeCell ref="Y40:AA40"/>
    <mergeCell ref="AB41:AC41"/>
    <mergeCell ref="U9:V9"/>
    <mergeCell ref="AY25:AY26"/>
    <mergeCell ref="X2:X12"/>
    <mergeCell ref="U4:V4"/>
    <mergeCell ref="Y2:AA2"/>
    <mergeCell ref="Y10:Z10"/>
    <mergeCell ref="Y6:Z6"/>
    <mergeCell ref="AU25:AU26"/>
    <mergeCell ref="R2:V2"/>
    <mergeCell ref="AO24:BC24"/>
    <mergeCell ref="AV8:AX8"/>
    <mergeCell ref="BB25:BC25"/>
    <mergeCell ref="BA17:BC17"/>
    <mergeCell ref="AW17:AW18"/>
    <mergeCell ref="AZ25:AZ26"/>
    <mergeCell ref="S22:V23"/>
    <mergeCell ref="X21:X26"/>
    <mergeCell ref="AR8:AS8"/>
    <mergeCell ref="AX17:AX18"/>
    <mergeCell ref="AO8:AP8"/>
    <mergeCell ref="AV17:AV18"/>
    <mergeCell ref="AT25:AT26"/>
    <mergeCell ref="AL13:AL16"/>
    <mergeCell ref="AK10:AM11"/>
    <mergeCell ref="A8:A9"/>
    <mergeCell ref="A10:A20"/>
    <mergeCell ref="E22:E26"/>
    <mergeCell ref="I22:I26"/>
    <mergeCell ref="B22:B26"/>
    <mergeCell ref="C22:C26"/>
    <mergeCell ref="F22:F26"/>
    <mergeCell ref="G22:G26"/>
    <mergeCell ref="B15:F16"/>
    <mergeCell ref="G15:I16"/>
    <mergeCell ref="G17:I17"/>
    <mergeCell ref="D22:D26"/>
    <mergeCell ref="B17:F17"/>
    <mergeCell ref="B18:I19"/>
    <mergeCell ref="B8:I8"/>
    <mergeCell ref="B11:I11"/>
    <mergeCell ref="B12:I12"/>
    <mergeCell ref="B21:Q21"/>
    <mergeCell ref="B20:I20"/>
    <mergeCell ref="O23:P23"/>
    <mergeCell ref="K22:K26"/>
    <mergeCell ref="L9:N9"/>
    <mergeCell ref="L22:L26"/>
    <mergeCell ref="J19:Q19"/>
    <mergeCell ref="A22:A23"/>
    <mergeCell ref="A24:A38"/>
    <mergeCell ref="B39:D39"/>
    <mergeCell ref="Y22:AA23"/>
    <mergeCell ref="J22:J26"/>
    <mergeCell ref="S21:V21"/>
    <mergeCell ref="R22:R26"/>
    <mergeCell ref="O25:P25"/>
    <mergeCell ref="N22:N26"/>
    <mergeCell ref="O24:P24"/>
    <mergeCell ref="H22:H26"/>
    <mergeCell ref="Y20:AA21"/>
    <mergeCell ref="Y24:Y26"/>
    <mergeCell ref="B40:D40"/>
    <mergeCell ref="U25:V25"/>
    <mergeCell ref="J18:Q18"/>
    <mergeCell ref="AA24:AA26"/>
    <mergeCell ref="M22:M26"/>
    <mergeCell ref="Q22:Q26"/>
    <mergeCell ref="O22:P22"/>
    <mergeCell ref="AB11:AC11"/>
    <mergeCell ref="L10:N10"/>
    <mergeCell ref="J20:Q20"/>
    <mergeCell ref="S17:V17"/>
    <mergeCell ref="U10:V10"/>
    <mergeCell ref="S10:T10"/>
    <mergeCell ref="Y11:AA11"/>
    <mergeCell ref="Y17:AA17"/>
    <mergeCell ref="Z24:Z26"/>
    <mergeCell ref="J16:Q16"/>
    <mergeCell ref="AB39:AC39"/>
    <mergeCell ref="AB4:AC10"/>
    <mergeCell ref="Y3:AA5"/>
    <mergeCell ref="AB2:AC3"/>
    <mergeCell ref="O2:Q3"/>
    <mergeCell ref="B4:D4"/>
    <mergeCell ref="E4:G4"/>
    <mergeCell ref="B5:D5"/>
    <mergeCell ref="B2:N3"/>
    <mergeCell ref="B1:Q1"/>
    <mergeCell ref="R1:V1"/>
    <mergeCell ref="J9:K9"/>
    <mergeCell ref="AJ6:AK8"/>
    <mergeCell ref="J15:Q15"/>
    <mergeCell ref="O6:Q6"/>
    <mergeCell ref="Y39:AA39"/>
    <mergeCell ref="H6:K6"/>
    <mergeCell ref="L6:N6"/>
    <mergeCell ref="J17:Q17"/>
    <mergeCell ref="J14:Q14"/>
    <mergeCell ref="AB14:AC14"/>
    <mergeCell ref="AB17:AC17"/>
    <mergeCell ref="AB20:AC21"/>
    <mergeCell ref="AB22:AC26"/>
    <mergeCell ref="U11:V11"/>
    <mergeCell ref="J8:Q8"/>
    <mergeCell ref="J11:Q11"/>
    <mergeCell ref="J10:K10"/>
    <mergeCell ref="O9:Q9"/>
    <mergeCell ref="O10:Q10"/>
    <mergeCell ref="Y8:AA9"/>
    <mergeCell ref="AO1:AR1"/>
    <mergeCell ref="BG3:BG4"/>
    <mergeCell ref="AS3:BF3"/>
    <mergeCell ref="BB9:BC9"/>
    <mergeCell ref="BD24:BG24"/>
    <mergeCell ref="H4:Q5"/>
    <mergeCell ref="E7:F7"/>
    <mergeCell ref="H7:K7"/>
    <mergeCell ref="B13:I13"/>
    <mergeCell ref="B14:I14"/>
    <mergeCell ref="B9:I9"/>
    <mergeCell ref="B10:I10"/>
    <mergeCell ref="L7:N7"/>
    <mergeCell ref="B6:D6"/>
    <mergeCell ref="J12:Q13"/>
    <mergeCell ref="AO17:AS17"/>
    <mergeCell ref="O7:Q7"/>
    <mergeCell ref="E6:F6"/>
    <mergeCell ref="E5:G5"/>
    <mergeCell ref="S4:T4"/>
    <mergeCell ref="B7:D7"/>
    <mergeCell ref="R3:R7"/>
    <mergeCell ref="S9:T9"/>
    <mergeCell ref="S8:V8"/>
  </mergeCells>
  <conditionalFormatting sqref="B27:C38">
    <cfRule type="expression" dxfId="421" priority="1127">
      <formula>OR(B27="w",B27="f")</formula>
    </cfRule>
    <cfRule type="expression" dxfId="420" priority="1128">
      <formula>B27="m"</formula>
    </cfRule>
  </conditionalFormatting>
  <conditionalFormatting sqref="B4:E4 H4">
    <cfRule type="expression" dxfId="419" priority="1740">
      <formula>$AK$3=1</formula>
    </cfRule>
  </conditionalFormatting>
  <conditionalFormatting sqref="B5:E5">
    <cfRule type="expression" dxfId="418" priority="1742">
      <formula>$AK$3=2</formula>
    </cfRule>
  </conditionalFormatting>
  <conditionalFormatting sqref="B15:F16">
    <cfRule type="expression" dxfId="417" priority="467">
      <formula>TO_vorhanden&gt;12</formula>
    </cfRule>
  </conditionalFormatting>
  <conditionalFormatting sqref="E27:E38">
    <cfRule type="expression" dxfId="410" priority="2401">
      <formula>AND($BH27&gt;5%,$BH27&lt;10%,$T27+$V27&gt;0,$H27&lt;&gt;"K")</formula>
    </cfRule>
    <cfRule type="expression" dxfId="409" priority="2400">
      <formula>AND($BH27&lt;=5%,E27&gt;0,$T27+$V27&gt;0,$H27&lt;&gt;"K")</formula>
    </cfRule>
    <cfRule type="expression" dxfId="408" priority="2399">
      <formula>AND(D27&gt;0,E27=0,$H27&lt;&gt;"K")</formula>
    </cfRule>
  </conditionalFormatting>
  <conditionalFormatting sqref="F27:F38">
    <cfRule type="expression" dxfId="407" priority="2405">
      <formula>AND($BH27&gt;5%,$BH27&lt;10%,$T27+$V27&gt;0,$H27&lt;&gt;"K")</formula>
    </cfRule>
    <cfRule type="expression" dxfId="406" priority="2404">
      <formula>AND($BH27&lt;=5%,F27&gt;0,$T27+$V27&gt;0,$H27&lt;&gt;"K")</formula>
    </cfRule>
    <cfRule type="expression" dxfId="405" priority="2403">
      <formula>AND(E27&gt;0,F27=0,$H27&lt;&gt;"K")</formula>
    </cfRule>
    <cfRule type="expression" dxfId="404" priority="2402">
      <formula>AND(F27&gt;0,$BH27&gt;10%,$T27+$V27&gt;0,$H27&lt;&gt;"K")</formula>
    </cfRule>
    <cfRule type="expression" dxfId="403" priority="2408">
      <formula>AND(F27&gt;0,$BH27&gt;10%,$T27+$V27&gt;0,$H27&lt;&gt;"K",L27&lt;&gt;"i")</formula>
    </cfRule>
    <cfRule type="expression" dxfId="402" priority="2407">
      <formula>AND(F27&gt;0,$BH27&gt;10%,$T27+$V27&gt;0,$H27&lt;&gt;"K")</formula>
    </cfRule>
    <cfRule type="expression" dxfId="401" priority="2406">
      <formula>AND(F27&gt;0,$BH27&gt;10%,$T27+$V27&gt;0,$H27&lt;&gt;"K")</formula>
    </cfRule>
  </conditionalFormatting>
  <conditionalFormatting sqref="G27:G38">
    <cfRule type="expression" dxfId="400" priority="465">
      <formula>AND(G27="",H27="K")</formula>
    </cfRule>
    <cfRule type="expression" dxfId="399" priority="1832">
      <formula>AND($I27&gt;0,$F28&gt;0,$E27=0,G27=0)</formula>
    </cfRule>
  </conditionalFormatting>
  <conditionalFormatting sqref="H27:H38">
    <cfRule type="expression" dxfId="398" priority="474">
      <formula>H27="u"</formula>
    </cfRule>
    <cfRule type="expression" dxfId="397" priority="488">
      <formula>AND(E27=0,F27+G27&gt;0,H27&lt;&gt;"k")</formula>
    </cfRule>
  </conditionalFormatting>
  <conditionalFormatting sqref="I27:I38">
    <cfRule type="expression" dxfId="396" priority="1138">
      <formula>AND(B27&lt;&gt;"",I27="")</formula>
    </cfRule>
  </conditionalFormatting>
  <conditionalFormatting sqref="J9:R10">
    <cfRule type="expression" dxfId="395" priority="456">
      <formula>DRV_VersorgungenVerbergen</formula>
    </cfRule>
  </conditionalFormatting>
  <conditionalFormatting sqref="J11:S13 T12 V12 Z13:AA13">
    <cfRule type="expression" dxfId="394" priority="912">
      <formula>DRV_VersorgungenVerbergen</formula>
    </cfRule>
  </conditionalFormatting>
  <conditionalFormatting sqref="J15:S16 U15:U16 Z15:AA16">
    <cfRule type="expression" dxfId="393" priority="911">
      <formula>BeamtV_Verbergen</formula>
    </cfRule>
  </conditionalFormatting>
  <conditionalFormatting sqref="J18:V18 J19:Q19 S19:V19 J20 T20 V20">
    <cfRule type="expression" dxfId="392" priority="910">
      <formula>BerstdV_verbergen</formula>
    </cfRule>
  </conditionalFormatting>
  <conditionalFormatting sqref="L27:L38">
    <cfRule type="expression" dxfId="391" priority="2699">
      <formula>OR(AND(C27="p",IF(AP27=1,T27,V27)&gt;$BC$12,,L27="e"),AND(C27="b",IF(AP27=1,T27,V27)&gt;$BC$11,L27="e"))</formula>
    </cfRule>
    <cfRule type="expression" dxfId="390" priority="2698">
      <formula>AND(L27="e",$T27+$V27&gt;$BC$12,C27="p")</formula>
    </cfRule>
  </conditionalFormatting>
  <conditionalFormatting sqref="L9:N9">
    <cfRule type="expression" dxfId="389" priority="2700">
      <formula>AND($AO$12=1,$T$6&gt;0)</formula>
    </cfRule>
  </conditionalFormatting>
  <conditionalFormatting sqref="L10:N10">
    <cfRule type="expression" dxfId="388" priority="2701">
      <formula>AND($AO$13=1,$V$6&gt;0)</formula>
    </cfRule>
  </conditionalFormatting>
  <conditionalFormatting sqref="Q27:Q38">
    <cfRule type="expression" dxfId="387" priority="1090">
      <formula>ABS(Q27)&lt;=0.05</formula>
    </cfRule>
    <cfRule type="expression" dxfId="386" priority="1089">
      <formula>AND(ABS(Q27)&lt;0.1,ABS(Q27)&gt;0.05,L27="e")</formula>
    </cfRule>
    <cfRule type="expression" dxfId="385" priority="1091">
      <formula>AND(ABS(Q27)&gt;0.1,L27="e")</formula>
    </cfRule>
  </conditionalFormatting>
  <conditionalFormatting sqref="R19:R20">
    <cfRule type="expression" dxfId="384" priority="473">
      <formula>BeamtV_Verbergen</formula>
    </cfRule>
  </conditionalFormatting>
  <conditionalFormatting sqref="R1:V1">
    <cfRule type="expression" dxfId="383" priority="4">
      <formula>V3&gt;Enddatum</formula>
    </cfRule>
  </conditionalFormatting>
  <conditionalFormatting sqref="R2:V2">
    <cfRule type="expression" dxfId="382" priority="6">
      <formula>V3&gt;Enddatum</formula>
    </cfRule>
  </conditionalFormatting>
  <conditionalFormatting sqref="S6">
    <cfRule type="expression" dxfId="381" priority="940">
      <formula>AND(T6="",S6="")</formula>
    </cfRule>
  </conditionalFormatting>
  <conditionalFormatting sqref="S10">
    <cfRule type="expression" dxfId="380" priority="7">
      <formula>DRV_VersorgungenVerbergen</formula>
    </cfRule>
  </conditionalFormatting>
  <conditionalFormatting sqref="S27:S38 U27:U38">
    <cfRule type="expression" dxfId="379" priority="927">
      <formula>AND($E27="",$H27="K")</formula>
    </cfRule>
  </conditionalFormatting>
  <conditionalFormatting sqref="S9:V9">
    <cfRule type="expression" dxfId="378" priority="455">
      <formula>DRV_VersorgungenVerbergen</formula>
    </cfRule>
  </conditionalFormatting>
  <conditionalFormatting sqref="S39:V39 B39:B40 E39:H40 T40:V40">
    <cfRule type="expression" dxfId="377" priority="645">
      <formula>$A$21=1</formula>
    </cfRule>
    <cfRule type="expression" dxfId="376" priority="914">
      <formula>b_p_AVverbergen</formula>
    </cfRule>
  </conditionalFormatting>
  <conditionalFormatting sqref="T27:T38">
    <cfRule type="expression" dxfId="375" priority="2705">
      <formula>AND(T27&lt;$BC$10,T27&gt;0)</formula>
    </cfRule>
    <cfRule type="expression" dxfId="374" priority="2702">
      <formula>AND(E27&gt;0,G27=0)</formula>
    </cfRule>
    <cfRule type="expression" dxfId="373" priority="2703">
      <formula>AND($B27="m",$T$6="")</formula>
    </cfRule>
    <cfRule type="expression" dxfId="372" priority="2704">
      <formula>AND(L27="e",T27&gt;$BC$11)</formula>
    </cfRule>
  </conditionalFormatting>
  <conditionalFormatting sqref="U6">
    <cfRule type="expression" dxfId="371" priority="639">
      <formula>AND(V6="",U6="")</formula>
    </cfRule>
  </conditionalFormatting>
  <conditionalFormatting sqref="U10:U13">
    <cfRule type="expression" dxfId="370" priority="459">
      <formula>DRV_VersorgungenVerbergen</formula>
    </cfRule>
  </conditionalFormatting>
  <conditionalFormatting sqref="V3">
    <cfRule type="expression" dxfId="369" priority="1732">
      <formula>V3=""</formula>
    </cfRule>
    <cfRule type="expression" dxfId="368" priority="5">
      <formula>V3&gt;Enddatum</formula>
    </cfRule>
    <cfRule type="expression" dxfId="367" priority="1731">
      <formula>AND($T$6+$V$6&gt;0,$V$3="")</formula>
    </cfRule>
  </conditionalFormatting>
  <conditionalFormatting sqref="V27:V38">
    <cfRule type="expression" dxfId="366" priority="2706">
      <formula>AND(E27&gt;0,G27=0)</formula>
    </cfRule>
    <cfRule type="expression" dxfId="365" priority="2707">
      <formula>AND(B27="w",$V$6="")</formula>
    </cfRule>
    <cfRule type="expression" dxfId="364" priority="2709">
      <formula>AND(V27&lt;$BC$10,V27&gt;0)</formula>
    </cfRule>
    <cfRule type="expression" dxfId="363" priority="2708">
      <formula>AND(L27="e",V27&gt;$BC$11)</formula>
    </cfRule>
  </conditionalFormatting>
  <conditionalFormatting sqref="X13">
    <cfRule type="expression" dxfId="362" priority="1928">
      <formula>OR($Z$13&lt;T13,$AA$13&lt;V13)</formula>
    </cfRule>
    <cfRule type="expression" dxfId="361" priority="1927">
      <formula>OR($Z$13&gt;$T$13,$AA$13,$V$13)</formula>
    </cfRule>
  </conditionalFormatting>
  <conditionalFormatting sqref="X15:X16">
    <cfRule type="expression" dxfId="360" priority="2000">
      <formula>OR($Z$16&lt;$T$16,$AA$16&lt;$V$16)</formula>
    </cfRule>
    <cfRule type="expression" dxfId="359" priority="1999">
      <formula>OR(Z15&gt;T15,AA15&gt;V15)</formula>
    </cfRule>
  </conditionalFormatting>
  <conditionalFormatting sqref="X19">
    <cfRule type="expression" dxfId="358" priority="2710">
      <formula>OR($T$19&lt;$AW$15,$V$19&lt;$AX$15)</formula>
    </cfRule>
  </conditionalFormatting>
  <conditionalFormatting sqref="X20">
    <cfRule type="expression" dxfId="357" priority="2001">
      <formula>OR(#REF!&gt;#REF!,#REF!&gt;#REF!)</formula>
    </cfRule>
    <cfRule type="expression" dxfId="356" priority="2002">
      <formula>OR($Z$16&lt;$T$16,$AA$16&lt;$V$16)</formula>
    </cfRule>
  </conditionalFormatting>
  <conditionalFormatting sqref="X27:X38">
    <cfRule type="expression" dxfId="355" priority="1120">
      <formula>$T27+$V27&lt;$AA27</formula>
    </cfRule>
  </conditionalFormatting>
  <conditionalFormatting sqref="AI14:AI37">
    <cfRule type="expression" dxfId="354" priority="2713">
      <formula>AND(BO14&lt;AC14+#REF!,T14="e")</formula>
    </cfRule>
    <cfRule type="expression" dxfId="353" priority="2714">
      <formula>BO14&gt;AC14+#REF!</formula>
    </cfRule>
  </conditionalFormatting>
  <dataValidations count="23">
    <dataValidation type="date" allowBlank="1" showInputMessage="1" showErrorMessage="1" errorTitle="Nur Datumseingaben möglich" error="Nur Daten zwischen 1.7.1977 und dem Versionsdatum möglich. Das Programm wird i.d.R. monatlich aktualisiert. Bitte aktalisieren Sie die aktuelle Version über die Schaltfläche im Inhaltsverzeichnis." sqref="V3" xr:uid="{D34E5700-FAC3-48E1-8115-A425D314A6C8}">
      <formula1>28307</formula1>
      <formula2>47848</formula2>
    </dataValidation>
    <dataValidation type="date" allowBlank="1" showInputMessage="1" showErrorMessage="1" errorTitle="ungültige Datumseingabe" error="Es sind nur Daten zwischen 1.1.1920 und Heute zulässig" sqref="T3" xr:uid="{56E78E8C-B30A-46B3-98D0-C470BF743124}">
      <formula1>7306</formula1>
      <formula2>TODAY()</formula2>
    </dataValidation>
    <dataValidation type="decimal" allowBlank="1" showInputMessage="1" showErrorMessage="1" errorTitle="Fehleingabe" error="Es sind nur positive Zahlen bis 10.000 € erlaubt" sqref="S15:S16" xr:uid="{C2B68139-7B49-49F3-A215-15FBCF938F18}">
      <formula1>0</formula1>
      <formula2>10000</formula2>
    </dataValidation>
    <dataValidation type="decimal" operator="greaterThanOrEqual" allowBlank="1" showInputMessage="1" showErrorMessage="1" errorTitle="unzulässige Dateneingabe" error="Es sind nur Zahlen &gt;= 0 zugelassen" sqref="U15:U16 S19 U19" xr:uid="{1EFE6BC1-C43D-42D8-9D89-C64F5CB8EC5C}">
      <formula1>0</formula1>
    </dataValidation>
    <dataValidation type="list" allowBlank="1" showInputMessage="1" showErrorMessage="1" error="Es ist nur die Eingabe von &quot;U&quot; und &quot;K&quot; zulässig" sqref="H27:H38" xr:uid="{8F14694B-E889-4B6A-97A8-2F84AB66C97B}">
      <formula1>$AP$3:$AP$4</formula1>
    </dataValidation>
    <dataValidation type="list" allowBlank="1" showInputMessage="1" showErrorMessage="1" errorTitle="unzulässige Dateneingabe" error="Es ist nur die Eingabe von &quot;i&quot; für interne und &quot;e&quot; für externe Teilung erlaubt" sqref="L27:L28 L30:L38" xr:uid="{D5D96568-6479-49C5-AA5C-1C5DF9B9D066}">
      <formula1>$AQ$3:$AQ$6</formula1>
    </dataValidation>
    <dataValidation type="list" allowBlank="1" showInputMessage="1" showErrorMessage="1" error="Eingabe nur &quot;b&quot; für betriebliche und &quot;p&quot; für private Versorgung zulässig" sqref="C27:C38" xr:uid="{A8C7F609-9D7A-49E1-942E-0DACA979A17D}">
      <formula1>$AR$3:$AR$4</formula1>
    </dataValidation>
    <dataValidation type="decimal" allowBlank="1" showInputMessage="1" showErrorMessage="1" errorTitle="Fehleingabe" error="Es sind nur Eingaben zwischen 0 und 5% zulässig" sqref="J27:J36" xr:uid="{28E79C5E-61E8-428C-AB5B-DD565BCF8C2A}">
      <formula1>0</formula1>
      <formula2>0.05</formula2>
    </dataValidation>
    <dataValidation type="decimal" allowBlank="1" showInputMessage="1" showErrorMessage="1" errorTitle="Fehleingabe!" error="Es sind nur Eingaben zwischen 0 und 5% zulässig" sqref="K27:K36" xr:uid="{FCC071FE-D127-4AC0-AEFB-53ACF68CD003}">
      <formula1>0</formula1>
      <formula2>0.05</formula2>
    </dataValidation>
    <dataValidation type="decimal" allowBlank="1" showInputMessage="1" showErrorMessage="1" errorTitle="Fehleingabe" error="Es sind nur Eingaben zwischen 0 und 100% zulässig" sqref="M27:N36" xr:uid="{17E042FD-8000-45C7-B96F-F39B8F5F61BC}">
      <formula1>0</formula1>
      <formula2>1</formula2>
    </dataValidation>
    <dataValidation type="decimal" allowBlank="1" showInputMessage="1" showErrorMessage="1" errorTitle="Fehleingabe" error="Nur Eingaben zwischen 0 und 100 zulässig" sqref="I27:I38" xr:uid="{40146927-CEA5-42DC-9A76-D977E2A8C420}">
      <formula1>0</formula1>
      <formula2>100</formula2>
    </dataValidation>
    <dataValidation type="date" allowBlank="1" showInputMessage="1" showErrorMessage="1" error="Nur Datumseingaben zulässig!" sqref="U6" xr:uid="{CE25FDD1-0690-4D89-8721-39AD34695BFE}">
      <formula1>10959</formula1>
      <formula2>TODAY()</formula2>
    </dataValidation>
    <dataValidation type="decimal" allowBlank="1" showInputMessage="1" showErrorMessage="1" errorTitle="Eingabebeschränkung" error="Nur Werte zwischen 0,001% und 10% zulässig" sqref="O27" xr:uid="{68CAC070-FD28-4507-931B-624241B23AB7}">
      <formula1>0</formula1>
      <formula2>0.1</formula2>
    </dataValidation>
    <dataValidation type="decimal" allowBlank="1" showInputMessage="1" showErrorMessage="1" errorTitle="Eingabebeschränkung" error="Es sind nur Eingaben zwischen 0,01 und 10% zulässig." sqref="O28" xr:uid="{B85E4F0D-0935-4F41-80A4-62C8D8D65670}">
      <formula1>0</formula1>
      <formula2>0.1</formula2>
    </dataValidation>
    <dataValidation type="decimal" allowBlank="1" showInputMessage="1" showErrorMessage="1" errorTitle="Eingabebeschränkung" error="Es sind nur Eingaben zwischen 0,001 und 10% zulässig." sqref="O30:O38" xr:uid="{A04E7AE9-1896-485A-B17B-49627DE724CC}">
      <formula1>0</formula1>
      <formula2>0.1</formula2>
    </dataValidation>
    <dataValidation type="decimal" allowBlank="1" showInputMessage="1" showErrorMessage="1" errorTitle="Fehleingabe" error="Es sind nur Zahleneingaben zwischen 0 und 10.000 zulässig" sqref="E27:E38" xr:uid="{E1019326-E8F0-4F9C-9172-5FDE3DC7527D}">
      <formula1>0</formula1>
      <formula2>2000000</formula2>
    </dataValidation>
    <dataValidation type="list" allowBlank="1" showInputMessage="1" showErrorMessage="1" errorTitle="Fehlermeldurn Geschlechtseingabe" error="Nur Eingabe M und W erlaubt._x000a_" sqref="B27:B38" xr:uid="{B3CAAEFA-7088-45BF-B532-B9C2C20229A5}">
      <formula1>$AO$3:$AO$4</formula1>
    </dataValidation>
    <dataValidation type="list" allowBlank="1" showInputMessage="1" showErrorMessage="1" sqref="L29" xr:uid="{B15DE409-674C-48F4-8B96-539A36BC7B5D}">
      <formula1>$AQ$3:$AQ$6</formula1>
    </dataValidation>
    <dataValidation type="decimal" allowBlank="1" showInputMessage="1" showErrorMessage="1" errorTitle="Fehleingabe" error="Es sind nur Zahleneingaben zwischen 0 und 10.000 zulässig" sqref="O29" xr:uid="{03DD6242-D1C9-4F76-B899-2FCF06FE045C}">
      <formula1>0</formula1>
      <formula2>0.1</formula2>
    </dataValidation>
    <dataValidation type="decimal" allowBlank="1" showInputMessage="1" showErrorMessage="1" sqref="F27:G38" xr:uid="{47878577-9F4B-4154-85B4-42F97BD869CE}">
      <formula1>0</formula1>
      <formula2>20000000</formula2>
    </dataValidation>
    <dataValidation allowBlank="1" showInputMessage="1" showErrorMessage="1" errorTitle="unzulässige Dateneingabe" error="Nur positive Zahlen bis 1000 zulässig" sqref="Z13:AA13" xr:uid="{01216812-D676-4AC9-AF3C-3FD98E966620}"/>
    <dataValidation type="decimal" allowBlank="1" showInputMessage="1" showErrorMessage="1" errorTitle="unzulässige Dateneingabe" error="Nur positive Zahlen bis 1000 zulässig" sqref="S9:V11" xr:uid="{BCA22D5F-DBF2-4E91-A779-D76040A4CFD5}">
      <formula1>-100</formula1>
      <formula2>100</formula2>
    </dataValidation>
    <dataValidation type="date" allowBlank="1" showInputMessage="1" showErrorMessage="1" error="Nur Datumseingaben zulässig!" sqref="S6" xr:uid="{206EE4E2-EF8B-4E6D-8714-D4EDA98797E5}">
      <formula1>7306</formula1>
      <formula2>TODAY()</formula2>
    </dataValidation>
  </dataValidations>
  <hyperlinks>
    <hyperlink ref="B20:I20" location="Tenorierungsvorschlag" display="Link zum rechtswahrenden Tenorierungsvorschlag" xr:uid="{D0886C71-3C3D-4D91-B20C-3DCF583A816A}"/>
    <hyperlink ref="J12:Q13" location="Berechnungsparameter" display="Zum Ändern der Dynamikannahmen hier klicken" xr:uid="{F5879CA7-1ABD-4789-9855-5BFBA7F34A72}"/>
  </hyperlinks>
  <printOptions horizontalCentered="1" verticalCentered="1"/>
  <pageMargins left="0" right="0" top="0" bottom="0" header="0.31496062992125984" footer="0.31496062992125984"/>
  <pageSetup paperSize="9" scale="55" orientation="landscape" r:id="rId1"/>
  <headerFooter>
    <oddHeader>&amp;L© Jörn Hauß, FA-FamR, Duisburg/Augsburg&amp;C&amp;"Arial,Fett"&amp;14Stammdatenerfassung&amp;RProgramm Kapitalwertkontrolle 2023</oddHeader>
    <oddFooter>&amp;L&amp;F&amp;   [Register]&amp;C&amp;Z  &amp;  [Datei]&amp;R  &amp;D  &amp;  [Zeit]</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31265" r:id="rId4" name="Check Box 1">
              <controlPr defaultSize="0" autoFill="0" autoLine="0" autoPict="0">
                <anchor moveWithCells="1">
                  <from>
                    <xdr:col>24</xdr:col>
                    <xdr:colOff>28575</xdr:colOff>
                    <xdr:row>5</xdr:row>
                    <xdr:rowOff>28575</xdr:rowOff>
                  </from>
                  <to>
                    <xdr:col>24</xdr:col>
                    <xdr:colOff>714375</xdr:colOff>
                    <xdr:row>5</xdr:row>
                    <xdr:rowOff>219075</xdr:rowOff>
                  </to>
                </anchor>
              </controlPr>
            </control>
          </mc:Choice>
        </mc:AlternateContent>
        <mc:AlternateContent xmlns:mc="http://schemas.openxmlformats.org/markup-compatibility/2006">
          <mc:Choice Requires="x14">
            <control shapeId="1931285" r:id="rId5" name="Check Box 21">
              <controlPr defaultSize="0" autoFill="0" autoLine="0" autoPict="0">
                <anchor moveWithCells="1">
                  <from>
                    <xdr:col>9</xdr:col>
                    <xdr:colOff>66675</xdr:colOff>
                    <xdr:row>10</xdr:row>
                    <xdr:rowOff>28575</xdr:rowOff>
                  </from>
                  <to>
                    <xdr:col>12</xdr:col>
                    <xdr:colOff>257175</xdr:colOff>
                    <xdr:row>10</xdr:row>
                    <xdr:rowOff>219075</xdr:rowOff>
                  </to>
                </anchor>
              </controlPr>
            </control>
          </mc:Choice>
        </mc:AlternateContent>
        <mc:AlternateContent xmlns:mc="http://schemas.openxmlformats.org/markup-compatibility/2006">
          <mc:Choice Requires="x14">
            <control shapeId="1931394" r:id="rId6" name="TO_Auswahl">
              <controlPr defaultSize="0" autoLine="0" autoPict="0">
                <anchor>
                  <from>
                    <xdr:col>1</xdr:col>
                    <xdr:colOff>28575</xdr:colOff>
                    <xdr:row>15</xdr:row>
                    <xdr:rowOff>152400</xdr:rowOff>
                  </from>
                  <to>
                    <xdr:col>6</xdr:col>
                    <xdr:colOff>28575</xdr:colOff>
                    <xdr:row>16</xdr:row>
                    <xdr:rowOff>190500</xdr:rowOff>
                  </to>
                </anchor>
              </controlPr>
            </control>
          </mc:Choice>
        </mc:AlternateContent>
        <mc:AlternateContent xmlns:mc="http://schemas.openxmlformats.org/markup-compatibility/2006">
          <mc:Choice Requires="x14">
            <control shapeId="1931403" r:id="rId7" name="Option Button 139">
              <controlPr defaultSize="0" autoFill="0" autoLine="0" autoPict="0">
                <anchor moveWithCells="1">
                  <from>
                    <xdr:col>1</xdr:col>
                    <xdr:colOff>38100</xdr:colOff>
                    <xdr:row>3</xdr:row>
                    <xdr:rowOff>28575</xdr:rowOff>
                  </from>
                  <to>
                    <xdr:col>3</xdr:col>
                    <xdr:colOff>28575</xdr:colOff>
                    <xdr:row>4</xdr:row>
                    <xdr:rowOff>0</xdr:rowOff>
                  </to>
                </anchor>
              </controlPr>
            </control>
          </mc:Choice>
        </mc:AlternateContent>
        <mc:AlternateContent xmlns:mc="http://schemas.openxmlformats.org/markup-compatibility/2006">
          <mc:Choice Requires="x14">
            <control shapeId="1931404" r:id="rId8" name="Option Button 140">
              <controlPr defaultSize="0" autoFill="0" autoLine="0" autoPict="0">
                <anchor moveWithCells="1">
                  <from>
                    <xdr:col>1</xdr:col>
                    <xdr:colOff>66675</xdr:colOff>
                    <xdr:row>4</xdr:row>
                    <xdr:rowOff>28575</xdr:rowOff>
                  </from>
                  <to>
                    <xdr:col>3</xdr:col>
                    <xdr:colOff>28575</xdr:colOff>
                    <xdr:row>5</xdr:row>
                    <xdr:rowOff>28575</xdr:rowOff>
                  </to>
                </anchor>
              </controlPr>
            </control>
          </mc:Choice>
        </mc:AlternateContent>
        <mc:AlternateContent xmlns:mc="http://schemas.openxmlformats.org/markup-compatibility/2006">
          <mc:Choice Requires="x14">
            <control shapeId="1931406" r:id="rId9" name="Check Box 142">
              <controlPr defaultSize="0" autoFill="0" autoLine="0" autoPict="0">
                <anchor moveWithCells="1">
                  <from>
                    <xdr:col>20</xdr:col>
                    <xdr:colOff>638175</xdr:colOff>
                    <xdr:row>3</xdr:row>
                    <xdr:rowOff>28575</xdr:rowOff>
                  </from>
                  <to>
                    <xdr:col>21</xdr:col>
                    <xdr:colOff>866775</xdr:colOff>
                    <xdr:row>3</xdr:row>
                    <xdr:rowOff>219075</xdr:rowOff>
                  </to>
                </anchor>
              </controlPr>
            </control>
          </mc:Choice>
        </mc:AlternateContent>
        <mc:AlternateContent xmlns:mc="http://schemas.openxmlformats.org/markup-compatibility/2006">
          <mc:Choice Requires="x14">
            <control shapeId="1931407" r:id="rId10" name="Check Box 143">
              <controlPr defaultSize="0" autoFill="0" autoLine="0" autoPict="0">
                <anchor moveWithCells="1">
                  <from>
                    <xdr:col>18</xdr:col>
                    <xdr:colOff>676275</xdr:colOff>
                    <xdr:row>3</xdr:row>
                    <xdr:rowOff>28575</xdr:rowOff>
                  </from>
                  <to>
                    <xdr:col>20</xdr:col>
                    <xdr:colOff>28575</xdr:colOff>
                    <xdr:row>3</xdr:row>
                    <xdr:rowOff>219075</xdr:rowOff>
                  </to>
                </anchor>
              </controlPr>
            </control>
          </mc:Choice>
        </mc:AlternateContent>
        <mc:AlternateContent xmlns:mc="http://schemas.openxmlformats.org/markup-compatibility/2006">
          <mc:Choice Requires="x14">
            <control shapeId="1931420" r:id="rId11" name="Check Box 156">
              <controlPr defaultSize="0" autoFill="0" autoLine="0" autoPict="0">
                <anchor moveWithCells="1">
                  <from>
                    <xdr:col>24</xdr:col>
                    <xdr:colOff>28575</xdr:colOff>
                    <xdr:row>5</xdr:row>
                    <xdr:rowOff>219075</xdr:rowOff>
                  </from>
                  <to>
                    <xdr:col>26</xdr:col>
                    <xdr:colOff>904875</xdr:colOff>
                    <xdr:row>6</xdr:row>
                    <xdr:rowOff>219075</xdr:rowOff>
                  </to>
                </anchor>
              </controlPr>
            </control>
          </mc:Choice>
        </mc:AlternateContent>
        <mc:AlternateContent xmlns:mc="http://schemas.openxmlformats.org/markup-compatibility/2006">
          <mc:Choice Requires="x14">
            <control shapeId="1931435" r:id="rId12" name="Check Box 171">
              <controlPr defaultSize="0" autoFill="0" autoLine="0" autoPict="0">
                <anchor moveWithCells="1">
                  <from>
                    <xdr:col>27</xdr:col>
                    <xdr:colOff>28575</xdr:colOff>
                    <xdr:row>8</xdr:row>
                    <xdr:rowOff>219075</xdr:rowOff>
                  </from>
                  <to>
                    <xdr:col>28</xdr:col>
                    <xdr:colOff>828675</xdr:colOff>
                    <xdr:row>9</xdr:row>
                    <xdr:rowOff>219075</xdr:rowOff>
                  </to>
                </anchor>
              </controlPr>
            </control>
          </mc:Choice>
        </mc:AlternateContent>
        <mc:AlternateContent xmlns:mc="http://schemas.openxmlformats.org/markup-compatibility/2006">
          <mc:Choice Requires="x14">
            <control shapeId="1931451" r:id="rId13" name="Check Box 187">
              <controlPr defaultSize="0" autoFill="0" autoLine="0" autoPict="0">
                <anchor moveWithCells="1">
                  <from>
                    <xdr:col>26</xdr:col>
                    <xdr:colOff>9525</xdr:colOff>
                    <xdr:row>24</xdr:row>
                    <xdr:rowOff>219075</xdr:rowOff>
                  </from>
                  <to>
                    <xdr:col>26</xdr:col>
                    <xdr:colOff>914400</xdr:colOff>
                    <xdr:row>26</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66" id="{2BF23E20-C735-4183-A008-C0B1B224E4A8}">
            <xm:f>AND($L27="i",'TO Ziff.5'!$S7&gt;1)</xm:f>
            <x14:dxf>
              <fill>
                <patternFill>
                  <bgColor theme="7" tint="0.59996337778862885"/>
                </patternFill>
              </fill>
            </x14:dxf>
          </x14:cfRule>
          <xm:sqref>D27:D28</xm:sqref>
        </x14:conditionalFormatting>
        <x14:conditionalFormatting xmlns:xm="http://schemas.microsoft.com/office/excel/2006/main">
          <x14:cfRule type="expression" priority="472" id="{5B9C2ED8-C039-486F-85DC-93C2A5022499}">
            <xm:f>AND($L$28="i",'TO Ziff.5'!$S$8&gt;1)</xm:f>
            <x14:dxf>
              <fill>
                <patternFill>
                  <bgColor theme="7"/>
                </patternFill>
              </fill>
            </x14:dxf>
          </x14:cfRule>
          <xm:sqref>D28</xm:sqref>
        </x14:conditionalFormatting>
        <x14:conditionalFormatting xmlns:xm="http://schemas.microsoft.com/office/excel/2006/main">
          <x14:cfRule type="expression" priority="468" id="{DFCF0D40-BDA7-407F-96A2-18C93856D1B4}">
            <xm:f>AND($L29="i",'TO Ziff.5'!$S10&gt;1)</xm:f>
            <x14:dxf>
              <fill>
                <patternFill>
                  <bgColor theme="7"/>
                </patternFill>
              </fill>
            </x14:dxf>
          </x14:cfRule>
          <x14:cfRule type="expression" priority="2717" id="{2BF23E20-C735-4183-A008-C0B1B224E4A8}">
            <xm:f>AND($L29="i",'TO Ziff.5'!$S10&gt;1)</xm:f>
            <x14:dxf>
              <fill>
                <patternFill>
                  <bgColor theme="7" tint="0.59996337778862885"/>
                </patternFill>
              </fill>
            </x14:dxf>
          </x14:cfRule>
          <xm:sqref>D29:D33</xm:sqref>
        </x14:conditionalFormatting>
        <x14:conditionalFormatting xmlns:xm="http://schemas.microsoft.com/office/excel/2006/main">
          <x14:cfRule type="expression" priority="2187" id="{DFCF0D40-BDA7-407F-96A2-18C93856D1B4}">
            <xm:f>AND($L34="i",'TO Ziff.5'!$S16&gt;1)</xm:f>
            <x14:dxf>
              <fill>
                <patternFill>
                  <bgColor theme="7"/>
                </patternFill>
              </fill>
            </x14:dxf>
          </x14:cfRule>
          <x14:cfRule type="expression" priority="2185" id="{2BF23E20-C735-4183-A008-C0B1B224E4A8}">
            <xm:f>AND($L34="i",'TO Ziff.5'!$S16&gt;1)</xm:f>
            <x14:dxf>
              <fill>
                <patternFill>
                  <bgColor theme="7" tint="0.59996337778862885"/>
                </patternFill>
              </fill>
            </x14:dxf>
          </x14:cfRule>
          <xm:sqref>D34:D38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911A8-7EE6-434A-A1D6-343A42951954}">
  <sheetPr codeName="Tabelle41"/>
  <dimension ref="B1:E38"/>
  <sheetViews>
    <sheetView workbookViewId="0">
      <selection activeCell="B1" sqref="B1:E38"/>
    </sheetView>
  </sheetViews>
  <sheetFormatPr baseColWidth="10" defaultRowHeight="14.25"/>
  <sheetData>
    <row r="1" spans="2:5">
      <c r="B1" s="2674" t="s">
        <v>2030</v>
      </c>
      <c r="C1" s="2675"/>
      <c r="D1" s="2675"/>
      <c r="E1" s="2675"/>
    </row>
    <row r="2" spans="2:5">
      <c r="B2" s="2675"/>
      <c r="C2" s="2675"/>
      <c r="D2" s="2675"/>
      <c r="E2" s="2675"/>
    </row>
    <row r="3" spans="2:5">
      <c r="B3" s="2675"/>
      <c r="C3" s="2675"/>
      <c r="D3" s="2675"/>
      <c r="E3" s="2675"/>
    </row>
    <row r="4" spans="2:5">
      <c r="B4" s="2675"/>
      <c r="C4" s="2675"/>
      <c r="D4" s="2675"/>
      <c r="E4" s="2675"/>
    </row>
    <row r="5" spans="2:5">
      <c r="B5" s="2675"/>
      <c r="C5" s="2675"/>
      <c r="D5" s="2675"/>
      <c r="E5" s="2675"/>
    </row>
    <row r="6" spans="2:5">
      <c r="B6" s="2675"/>
      <c r="C6" s="2675"/>
      <c r="D6" s="2675"/>
      <c r="E6" s="2675"/>
    </row>
    <row r="7" spans="2:5">
      <c r="B7" s="2675"/>
      <c r="C7" s="2675"/>
      <c r="D7" s="2675"/>
      <c r="E7" s="2675"/>
    </row>
    <row r="8" spans="2:5">
      <c r="B8" s="2675"/>
      <c r="C8" s="2675"/>
      <c r="D8" s="2675"/>
      <c r="E8" s="2675"/>
    </row>
    <row r="9" spans="2:5">
      <c r="B9" s="2675"/>
      <c r="C9" s="2675"/>
      <c r="D9" s="2675"/>
      <c r="E9" s="2675"/>
    </row>
    <row r="10" spans="2:5">
      <c r="B10" s="2675"/>
      <c r="C10" s="2675"/>
      <c r="D10" s="2675"/>
      <c r="E10" s="2675"/>
    </row>
    <row r="11" spans="2:5">
      <c r="B11" s="2675"/>
      <c r="C11" s="2675"/>
      <c r="D11" s="2675"/>
      <c r="E11" s="2675"/>
    </row>
    <row r="12" spans="2:5">
      <c r="B12" s="2675"/>
      <c r="C12" s="2675"/>
      <c r="D12" s="2675"/>
      <c r="E12" s="2675"/>
    </row>
    <row r="13" spans="2:5">
      <c r="B13" s="2675"/>
      <c r="C13" s="2675"/>
      <c r="D13" s="2675"/>
      <c r="E13" s="2675"/>
    </row>
    <row r="14" spans="2:5">
      <c r="B14" s="2675"/>
      <c r="C14" s="2675"/>
      <c r="D14" s="2675"/>
      <c r="E14" s="2675"/>
    </row>
    <row r="15" spans="2:5">
      <c r="B15" s="2675"/>
      <c r="C15" s="2675"/>
      <c r="D15" s="2675"/>
      <c r="E15" s="2675"/>
    </row>
    <row r="16" spans="2:5">
      <c r="B16" s="2675"/>
      <c r="C16" s="2675"/>
      <c r="D16" s="2675"/>
      <c r="E16" s="2675"/>
    </row>
    <row r="17" spans="2:5">
      <c r="B17" s="2675"/>
      <c r="C17" s="2675"/>
      <c r="D17" s="2675"/>
      <c r="E17" s="2675"/>
    </row>
    <row r="18" spans="2:5">
      <c r="B18" s="2675"/>
      <c r="C18" s="2675"/>
      <c r="D18" s="2675"/>
      <c r="E18" s="2675"/>
    </row>
    <row r="19" spans="2:5">
      <c r="B19" s="2675"/>
      <c r="C19" s="2675"/>
      <c r="D19" s="2675"/>
      <c r="E19" s="2675"/>
    </row>
    <row r="20" spans="2:5">
      <c r="B20" s="2675"/>
      <c r="C20" s="2675"/>
      <c r="D20" s="2675"/>
      <c r="E20" s="2675"/>
    </row>
    <row r="21" spans="2:5">
      <c r="B21" s="2675"/>
      <c r="C21" s="2675"/>
      <c r="D21" s="2675"/>
      <c r="E21" s="2675"/>
    </row>
    <row r="22" spans="2:5">
      <c r="B22" s="2675"/>
      <c r="C22" s="2675"/>
      <c r="D22" s="2675"/>
      <c r="E22" s="2675"/>
    </row>
    <row r="23" spans="2:5">
      <c r="B23" s="2675"/>
      <c r="C23" s="2675"/>
      <c r="D23" s="2675"/>
      <c r="E23" s="2675"/>
    </row>
    <row r="24" spans="2:5">
      <c r="B24" s="2675"/>
      <c r="C24" s="2675"/>
      <c r="D24" s="2675"/>
      <c r="E24" s="2675"/>
    </row>
    <row r="25" spans="2:5">
      <c r="B25" s="2675"/>
      <c r="C25" s="2675"/>
      <c r="D25" s="2675"/>
      <c r="E25" s="2675"/>
    </row>
    <row r="26" spans="2:5">
      <c r="B26" s="2675"/>
      <c r="C26" s="2675"/>
      <c r="D26" s="2675"/>
      <c r="E26" s="2675"/>
    </row>
    <row r="27" spans="2:5">
      <c r="B27" s="2675"/>
      <c r="C27" s="2675"/>
      <c r="D27" s="2675"/>
      <c r="E27" s="2675"/>
    </row>
    <row r="28" spans="2:5">
      <c r="B28" s="2675"/>
      <c r="C28" s="2675"/>
      <c r="D28" s="2675"/>
      <c r="E28" s="2675"/>
    </row>
    <row r="29" spans="2:5">
      <c r="B29" s="2675"/>
      <c r="C29" s="2675"/>
      <c r="D29" s="2675"/>
      <c r="E29" s="2675"/>
    </row>
    <row r="30" spans="2:5">
      <c r="B30" s="2675"/>
      <c r="C30" s="2675"/>
      <c r="D30" s="2675"/>
      <c r="E30" s="2675"/>
    </row>
    <row r="31" spans="2:5">
      <c r="B31" s="2675"/>
      <c r="C31" s="2675"/>
      <c r="D31" s="2675"/>
      <c r="E31" s="2675"/>
    </row>
    <row r="32" spans="2:5">
      <c r="B32" s="2675"/>
      <c r="C32" s="2675"/>
      <c r="D32" s="2675"/>
      <c r="E32" s="2675"/>
    </row>
    <row r="33" spans="2:5">
      <c r="B33" s="2675"/>
      <c r="C33" s="2675"/>
      <c r="D33" s="2675"/>
      <c r="E33" s="2675"/>
    </row>
    <row r="34" spans="2:5">
      <c r="B34" s="2675"/>
      <c r="C34" s="2675"/>
      <c r="D34" s="2675"/>
      <c r="E34" s="2675"/>
    </row>
    <row r="35" spans="2:5">
      <c r="B35" s="2675"/>
      <c r="C35" s="2675"/>
      <c r="D35" s="2675"/>
      <c r="E35" s="2675"/>
    </row>
    <row r="36" spans="2:5">
      <c r="B36" s="2675"/>
      <c r="C36" s="2675"/>
      <c r="D36" s="2675"/>
      <c r="E36" s="2675"/>
    </row>
    <row r="37" spans="2:5">
      <c r="B37" s="2675"/>
      <c r="C37" s="2675"/>
      <c r="D37" s="2675"/>
      <c r="E37" s="2675"/>
    </row>
    <row r="38" spans="2:5">
      <c r="B38" s="2675"/>
      <c r="C38" s="2675"/>
      <c r="D38" s="2675"/>
      <c r="E38" s="2675"/>
    </row>
  </sheetData>
  <sheetProtection algorithmName="SHA-512" hashValue="Pup9Y62obQsOgBz3A6nbEKP1xkkAfBXk9Ik4E7/eZlXMqQOlmxOUJxsIi5hQVo12lHJ1Tj1+KzKT1CfzgahNxA==" saltValue="zRJIHGzhVEPFATMytw35bg==" spinCount="100000" sheet="1" objects="1" scenarios="1" formatColumns="0" autoFilter="0"/>
  <mergeCells count="1">
    <mergeCell ref="B1:E38"/>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78BB-9C44-4518-88DE-382FA4EB24D4}">
  <sheetPr codeName="Tabelle7"/>
  <dimension ref="D2:S32"/>
  <sheetViews>
    <sheetView topLeftCell="D1" workbookViewId="0">
      <selection activeCell="P2" sqref="P2:R8"/>
    </sheetView>
  </sheetViews>
  <sheetFormatPr baseColWidth="10" defaultRowHeight="14.25"/>
  <cols>
    <col min="16" max="16" width="21.625" customWidth="1"/>
    <col min="17" max="17" width="18.125" customWidth="1"/>
    <col min="18" max="18" width="34.875" customWidth="1"/>
    <col min="19" max="19" width="18.125" customWidth="1"/>
  </cols>
  <sheetData>
    <row r="2" spans="4:19">
      <c r="P2" t="s">
        <v>1890</v>
      </c>
      <c r="Q2" s="58">
        <v>45017</v>
      </c>
    </row>
    <row r="3" spans="4:19">
      <c r="P3" t="s">
        <v>1891</v>
      </c>
      <c r="Q3" s="58">
        <v>49248</v>
      </c>
    </row>
    <row r="4" spans="4:19">
      <c r="P4" t="s">
        <v>1892</v>
      </c>
      <c r="Q4">
        <f>ROUND(YEARFRAC(Q2,Q3,4),2)</f>
        <v>11.58</v>
      </c>
      <c r="R4" s="1939" t="s">
        <v>1896</v>
      </c>
    </row>
    <row r="5" spans="4:19">
      <c r="P5" t="s">
        <v>1893</v>
      </c>
      <c r="Q5" s="148">
        <f>47.09*12</f>
        <v>565.08000000000004</v>
      </c>
    </row>
    <row r="6" spans="4:19" ht="15" thickBot="1">
      <c r="P6" t="s">
        <v>1894</v>
      </c>
      <c r="Q6" s="148">
        <f>Q5*YEARFRAC(Q2,Q3,4)</f>
        <v>6543.9403333333339</v>
      </c>
    </row>
    <row r="7" spans="4:19">
      <c r="H7" s="2680" t="s">
        <v>1887</v>
      </c>
      <c r="I7" s="2681"/>
      <c r="J7" s="2681"/>
      <c r="K7" s="2681"/>
      <c r="L7" s="2681"/>
      <c r="M7" s="2681"/>
      <c r="N7" s="2682"/>
      <c r="P7" t="s">
        <v>617</v>
      </c>
      <c r="Q7" s="1941">
        <v>1.8369217090344052E-2</v>
      </c>
    </row>
    <row r="8" spans="4:19" ht="15" thickBot="1">
      <c r="H8" s="2683"/>
      <c r="I8" s="2684"/>
      <c r="J8" s="2684"/>
      <c r="K8" s="2684"/>
      <c r="L8" s="2684"/>
      <c r="M8" s="2684"/>
      <c r="N8" s="2685"/>
      <c r="P8" t="s">
        <v>1895</v>
      </c>
      <c r="Q8" s="148">
        <f>-PV(Q7,YEARFRAC(Q2,Q3,4),Q5)</f>
        <v>5846.7000007168572</v>
      </c>
      <c r="R8" s="1940" t="s">
        <v>1897</v>
      </c>
    </row>
    <row r="9" spans="4:19" ht="42.75">
      <c r="D9">
        <v>2004</v>
      </c>
      <c r="E9">
        <v>3172.17</v>
      </c>
      <c r="F9">
        <v>26.13</v>
      </c>
      <c r="H9" s="1921" t="s">
        <v>60</v>
      </c>
      <c r="I9" s="1920" t="s">
        <v>1881</v>
      </c>
      <c r="J9" s="1922" t="s">
        <v>1626</v>
      </c>
      <c r="K9" s="1927" t="s">
        <v>1882</v>
      </c>
      <c r="L9" s="1920" t="s">
        <v>1626</v>
      </c>
      <c r="M9" s="1928" t="s">
        <v>1883</v>
      </c>
      <c r="N9" s="1922" t="s">
        <v>1884</v>
      </c>
    </row>
    <row r="10" spans="4:19" ht="15">
      <c r="D10">
        <v>2024</v>
      </c>
      <c r="E10">
        <v>5814.97</v>
      </c>
      <c r="F10">
        <v>38.92</v>
      </c>
      <c r="H10" s="1923">
        <v>38534</v>
      </c>
      <c r="I10" s="146">
        <v>0</v>
      </c>
      <c r="J10" s="1924">
        <v>100</v>
      </c>
      <c r="K10" s="1929">
        <f t="shared" ref="K10:K29" si="0">VLOOKUP(H10,aktRW,2)</f>
        <v>26.13</v>
      </c>
      <c r="L10" s="498">
        <v>100</v>
      </c>
      <c r="M10" s="498">
        <f>+L10+0.073*L10</f>
        <v>107.3</v>
      </c>
      <c r="N10" s="1925">
        <f>+M10/J10</f>
        <v>1.073</v>
      </c>
      <c r="O10">
        <f>YEAR(H10)</f>
        <v>2005</v>
      </c>
    </row>
    <row r="11" spans="4:19" ht="15">
      <c r="E11" s="145">
        <f>_xlfn.RRI(20,E9,E10)</f>
        <v>3.076473356874998E-2</v>
      </c>
      <c r="F11" s="145">
        <f>_xlfn.RRI(20,F9,F10)</f>
        <v>2.0120960396642573E-2</v>
      </c>
      <c r="H11" s="1923">
        <v>38899</v>
      </c>
      <c r="I11" s="146">
        <v>0</v>
      </c>
      <c r="J11" s="1924">
        <v>100</v>
      </c>
      <c r="K11" s="1929">
        <f t="shared" si="0"/>
        <v>26.13</v>
      </c>
      <c r="L11" s="498">
        <f>+L10*K11/K10</f>
        <v>100</v>
      </c>
      <c r="M11" s="498">
        <f t="shared" ref="M11:M29" si="1">+L11+0.073*L11</f>
        <v>107.3</v>
      </c>
      <c r="N11" s="1925">
        <f t="shared" ref="N11:N29" si="2">+M11/J11</f>
        <v>1.073</v>
      </c>
      <c r="O11">
        <f t="shared" ref="O11:O29" si="3">YEAR(H11)</f>
        <v>2006</v>
      </c>
    </row>
    <row r="12" spans="4:19" ht="15">
      <c r="H12" s="1923">
        <v>39264</v>
      </c>
      <c r="I12" s="146">
        <v>0</v>
      </c>
      <c r="J12" s="1924">
        <v>100</v>
      </c>
      <c r="K12" s="1929">
        <f t="shared" si="0"/>
        <v>26.27</v>
      </c>
      <c r="L12" s="498">
        <f t="shared" ref="L12:L29" si="4">+L11*K12/K11</f>
        <v>100.53578262533487</v>
      </c>
      <c r="M12" s="498">
        <f t="shared" si="1"/>
        <v>107.87489475698432</v>
      </c>
      <c r="N12" s="1925">
        <f t="shared" si="2"/>
        <v>1.0787489475698431</v>
      </c>
      <c r="O12">
        <f t="shared" si="3"/>
        <v>2007</v>
      </c>
    </row>
    <row r="13" spans="4:19" ht="15">
      <c r="H13" s="1923">
        <v>39630</v>
      </c>
      <c r="I13" s="146">
        <v>2.5600000000000001E-2</v>
      </c>
      <c r="J13" s="1924">
        <f>+J12+J12*I13</f>
        <v>102.56</v>
      </c>
      <c r="K13" s="1929">
        <f t="shared" si="0"/>
        <v>26.56</v>
      </c>
      <c r="L13" s="498">
        <f t="shared" si="4"/>
        <v>101.64561806352852</v>
      </c>
      <c r="M13" s="498">
        <f t="shared" si="1"/>
        <v>109.0657481821661</v>
      </c>
      <c r="N13" s="1925">
        <f t="shared" si="2"/>
        <v>1.0634335821194043</v>
      </c>
      <c r="O13">
        <f t="shared" si="3"/>
        <v>2008</v>
      </c>
    </row>
    <row r="14" spans="4:19" ht="15">
      <c r="H14" s="1923">
        <v>39995</v>
      </c>
      <c r="I14" s="146">
        <v>2.2599999999999999E-2</v>
      </c>
      <c r="J14" s="1924">
        <f t="shared" ref="J14:J29" si="5">+J13+J13*I14</f>
        <v>104.87785600000001</v>
      </c>
      <c r="K14" s="1929">
        <f t="shared" si="0"/>
        <v>27.2</v>
      </c>
      <c r="L14" s="498">
        <f t="shared" si="4"/>
        <v>104.09491006505934</v>
      </c>
      <c r="M14" s="498">
        <f t="shared" si="1"/>
        <v>111.69383849980866</v>
      </c>
      <c r="N14" s="1925">
        <f t="shared" si="2"/>
        <v>1.0649897200397447</v>
      </c>
      <c r="O14">
        <f t="shared" si="3"/>
        <v>2009</v>
      </c>
    </row>
    <row r="15" spans="4:19" ht="15.75" thickBot="1">
      <c r="H15" s="1923">
        <v>40360</v>
      </c>
      <c r="I15" s="146">
        <v>6.6E-3</v>
      </c>
      <c r="J15" s="1924">
        <f t="shared" si="5"/>
        <v>105.57004984960001</v>
      </c>
      <c r="K15" s="1929">
        <f t="shared" si="0"/>
        <v>27.2</v>
      </c>
      <c r="L15" s="498">
        <f t="shared" si="4"/>
        <v>104.09491006505935</v>
      </c>
      <c r="M15" s="498">
        <f t="shared" si="1"/>
        <v>111.69383849980869</v>
      </c>
      <c r="N15" s="1925">
        <f t="shared" si="2"/>
        <v>1.0580068746669431</v>
      </c>
      <c r="O15">
        <f t="shared" si="3"/>
        <v>2010</v>
      </c>
    </row>
    <row r="16" spans="4:19" ht="15">
      <c r="H16" s="1923">
        <v>40725</v>
      </c>
      <c r="I16" s="146">
        <v>3.5999999999999999E-3</v>
      </c>
      <c r="J16" s="1924">
        <f t="shared" si="5"/>
        <v>105.95010202905857</v>
      </c>
      <c r="K16" s="1929">
        <f t="shared" si="0"/>
        <v>27.469280000000001</v>
      </c>
      <c r="L16" s="498">
        <f t="shared" si="4"/>
        <v>105.12544967470345</v>
      </c>
      <c r="M16" s="498">
        <f t="shared" si="1"/>
        <v>112.7996075009568</v>
      </c>
      <c r="N16" s="1925">
        <f t="shared" si="2"/>
        <v>1.0646484084557053</v>
      </c>
      <c r="O16">
        <f t="shared" si="3"/>
        <v>2011</v>
      </c>
      <c r="Q16" s="2686" t="s">
        <v>1888</v>
      </c>
      <c r="R16" s="2687"/>
      <c r="S16" s="2688"/>
    </row>
    <row r="17" spans="8:19" ht="15">
      <c r="H17" s="1923">
        <v>41091</v>
      </c>
      <c r="I17" s="146">
        <v>3.3000000000000002E-2</v>
      </c>
      <c r="J17" s="1924">
        <f t="shared" si="5"/>
        <v>109.4464553960175</v>
      </c>
      <c r="K17" s="1929">
        <f t="shared" si="0"/>
        <v>28.07</v>
      </c>
      <c r="L17" s="498">
        <f t="shared" si="4"/>
        <v>107.42441637964029</v>
      </c>
      <c r="M17" s="498">
        <f t="shared" si="1"/>
        <v>115.26639877535403</v>
      </c>
      <c r="N17" s="1925">
        <f t="shared" si="2"/>
        <v>1.0531761705600957</v>
      </c>
      <c r="O17">
        <f t="shared" si="3"/>
        <v>2012</v>
      </c>
      <c r="Q17" s="89" t="s">
        <v>60</v>
      </c>
      <c r="R17" s="66" t="s">
        <v>559</v>
      </c>
      <c r="S17" s="167" t="s">
        <v>1889</v>
      </c>
    </row>
    <row r="18" spans="8:19" ht="15">
      <c r="H18" s="1923">
        <v>41456</v>
      </c>
      <c r="I18" s="146">
        <v>2.4E-2</v>
      </c>
      <c r="J18" s="1924">
        <f t="shared" si="5"/>
        <v>112.07317032552191</v>
      </c>
      <c r="K18" s="1929">
        <f t="shared" si="0"/>
        <v>28.14</v>
      </c>
      <c r="L18" s="498">
        <f t="shared" si="4"/>
        <v>107.69230769230774</v>
      </c>
      <c r="M18" s="498">
        <f t="shared" si="1"/>
        <v>115.55384615384619</v>
      </c>
      <c r="N18" s="1925">
        <f t="shared" si="2"/>
        <v>1.0310571729006548</v>
      </c>
      <c r="O18">
        <f t="shared" si="3"/>
        <v>2013</v>
      </c>
      <c r="Q18" s="1933">
        <v>39264</v>
      </c>
      <c r="R18" s="440">
        <v>5223</v>
      </c>
      <c r="S18" s="1934"/>
    </row>
    <row r="19" spans="8:19" ht="15">
      <c r="H19" s="1923">
        <v>41821</v>
      </c>
      <c r="I19" s="146">
        <v>2.8000000000000001E-2</v>
      </c>
      <c r="J19" s="1924">
        <f t="shared" si="5"/>
        <v>115.21121909463653</v>
      </c>
      <c r="K19" s="1929">
        <f t="shared" si="0"/>
        <v>28.61</v>
      </c>
      <c r="L19" s="498">
        <f t="shared" si="4"/>
        <v>109.49100650593192</v>
      </c>
      <c r="M19" s="498">
        <f t="shared" si="1"/>
        <v>117.48384998086495</v>
      </c>
      <c r="N19" s="1925">
        <f t="shared" si="2"/>
        <v>1.0197257776116546</v>
      </c>
      <c r="O19">
        <f t="shared" si="3"/>
        <v>2014</v>
      </c>
      <c r="Q19" s="1933">
        <v>41091</v>
      </c>
      <c r="R19" s="440">
        <v>5635</v>
      </c>
      <c r="S19" s="1935">
        <f>+R19/R18-1</f>
        <v>7.88818686578594E-2</v>
      </c>
    </row>
    <row r="20" spans="8:19" ht="15">
      <c r="H20" s="1923">
        <v>42186</v>
      </c>
      <c r="I20" s="146">
        <v>2.1999999999999999E-2</v>
      </c>
      <c r="J20" s="1924">
        <f t="shared" si="5"/>
        <v>117.74586591471854</v>
      </c>
      <c r="K20" s="1929">
        <f t="shared" si="0"/>
        <v>29.21</v>
      </c>
      <c r="L20" s="498">
        <f t="shared" si="4"/>
        <v>111.78721775736706</v>
      </c>
      <c r="M20" s="498">
        <f t="shared" si="1"/>
        <v>119.94768465365486</v>
      </c>
      <c r="N20" s="1925">
        <f t="shared" si="2"/>
        <v>1.0186997541003355</v>
      </c>
      <c r="O20">
        <f t="shared" si="3"/>
        <v>2015</v>
      </c>
      <c r="Q20" s="1933">
        <v>42917</v>
      </c>
      <c r="R20" s="440">
        <v>8441</v>
      </c>
      <c r="S20" s="1935">
        <f>+R20/R19-1</f>
        <v>0.49795918367346936</v>
      </c>
    </row>
    <row r="21" spans="8:19" ht="15">
      <c r="H21" s="1923">
        <v>42552</v>
      </c>
      <c r="I21" s="146">
        <v>2.1999999999999999E-2</v>
      </c>
      <c r="J21" s="1924">
        <f t="shared" si="5"/>
        <v>120.33627496484235</v>
      </c>
      <c r="K21" s="1929">
        <f t="shared" si="0"/>
        <v>30.45</v>
      </c>
      <c r="L21" s="498">
        <f t="shared" si="4"/>
        <v>116.53272101033299</v>
      </c>
      <c r="M21" s="498">
        <f t="shared" si="1"/>
        <v>125.03960964408731</v>
      </c>
      <c r="N21" s="1925">
        <f t="shared" si="2"/>
        <v>1.0390849283029502</v>
      </c>
      <c r="O21">
        <f t="shared" si="3"/>
        <v>2016</v>
      </c>
      <c r="Q21" s="1933">
        <v>44743</v>
      </c>
      <c r="R21" s="440">
        <v>15147</v>
      </c>
      <c r="S21" s="1935">
        <f>+R21/R20-1</f>
        <v>0.79445563321881285</v>
      </c>
    </row>
    <row r="22" spans="8:19" ht="15.75" thickBot="1">
      <c r="H22" s="1923">
        <v>42917</v>
      </c>
      <c r="I22" s="146">
        <v>2.35E-2</v>
      </c>
      <c r="J22" s="1924">
        <f t="shared" si="5"/>
        <v>123.16417742651615</v>
      </c>
      <c r="K22" s="1929">
        <f t="shared" si="0"/>
        <v>31.03</v>
      </c>
      <c r="L22" s="498">
        <f t="shared" si="4"/>
        <v>118.75239188672029</v>
      </c>
      <c r="M22" s="498">
        <f t="shared" si="1"/>
        <v>127.42131649445088</v>
      </c>
      <c r="N22" s="1925">
        <f t="shared" si="2"/>
        <v>1.0345647505377502</v>
      </c>
      <c r="O22">
        <f t="shared" si="3"/>
        <v>2017</v>
      </c>
      <c r="Q22" s="1936">
        <v>45474</v>
      </c>
      <c r="R22" s="1937">
        <v>15117</v>
      </c>
      <c r="S22" s="1938">
        <f>+R22/R21-1</f>
        <v>-1.9805902158843702E-3</v>
      </c>
    </row>
    <row r="23" spans="8:19" ht="15">
      <c r="H23" s="1923">
        <v>43282</v>
      </c>
      <c r="I23" s="146">
        <v>2.9899999999999999E-2</v>
      </c>
      <c r="J23" s="1924">
        <f t="shared" si="5"/>
        <v>126.84678633156898</v>
      </c>
      <c r="K23" s="1929">
        <f t="shared" si="0"/>
        <v>32.03</v>
      </c>
      <c r="L23" s="498">
        <f t="shared" si="4"/>
        <v>122.57941063911218</v>
      </c>
      <c r="M23" s="498">
        <f t="shared" si="1"/>
        <v>131.52770761576738</v>
      </c>
      <c r="N23" s="1925">
        <f t="shared" si="2"/>
        <v>1.0369021669336012</v>
      </c>
      <c r="O23">
        <f t="shared" si="3"/>
        <v>2018</v>
      </c>
    </row>
    <row r="24" spans="8:19" ht="15">
      <c r="H24" s="1923">
        <v>43647</v>
      </c>
      <c r="I24" s="146">
        <v>3.09E-2</v>
      </c>
      <c r="J24" s="1924">
        <f t="shared" si="5"/>
        <v>130.76635202921446</v>
      </c>
      <c r="K24" s="1929">
        <f t="shared" si="0"/>
        <v>33.049999999999997</v>
      </c>
      <c r="L24" s="498">
        <f t="shared" si="4"/>
        <v>126.48296976655189</v>
      </c>
      <c r="M24" s="498">
        <f t="shared" si="1"/>
        <v>135.71622655951018</v>
      </c>
      <c r="N24" s="1925">
        <f t="shared" si="2"/>
        <v>1.0378528149901274</v>
      </c>
      <c r="O24">
        <f t="shared" si="3"/>
        <v>2019</v>
      </c>
    </row>
    <row r="25" spans="8:19" ht="15">
      <c r="H25" s="1923">
        <v>44013</v>
      </c>
      <c r="I25" s="146">
        <v>1.06E-2</v>
      </c>
      <c r="J25" s="1924">
        <f t="shared" si="5"/>
        <v>132.15247536072414</v>
      </c>
      <c r="K25" s="1929">
        <f t="shared" si="0"/>
        <v>34.19</v>
      </c>
      <c r="L25" s="498">
        <f t="shared" si="4"/>
        <v>130.84577114427864</v>
      </c>
      <c r="M25" s="498">
        <f t="shared" si="1"/>
        <v>140.39751243781097</v>
      </c>
      <c r="N25" s="1925">
        <f t="shared" si="2"/>
        <v>1.0623903340030607</v>
      </c>
      <c r="O25">
        <f t="shared" si="3"/>
        <v>2020</v>
      </c>
    </row>
    <row r="26" spans="8:19" ht="15">
      <c r="H26" s="1923">
        <v>44378</v>
      </c>
      <c r="I26" s="146">
        <v>1.2E-2</v>
      </c>
      <c r="J26" s="1924">
        <f t="shared" si="5"/>
        <v>133.73830506505283</v>
      </c>
      <c r="K26" s="1929">
        <f t="shared" si="0"/>
        <v>34.19</v>
      </c>
      <c r="L26" s="498">
        <f t="shared" si="4"/>
        <v>130.84577114427864</v>
      </c>
      <c r="M26" s="498">
        <f t="shared" si="1"/>
        <v>140.39751243781097</v>
      </c>
      <c r="N26" s="1925">
        <f t="shared" si="2"/>
        <v>1.0497928201611273</v>
      </c>
      <c r="O26">
        <f t="shared" si="3"/>
        <v>2021</v>
      </c>
    </row>
    <row r="27" spans="8:19" ht="15">
      <c r="H27" s="1923">
        <v>44743</v>
      </c>
      <c r="I27" s="146">
        <v>1.7999999999999999E-2</v>
      </c>
      <c r="J27" s="1924">
        <f t="shared" si="5"/>
        <v>136.14559455622378</v>
      </c>
      <c r="K27" s="1929">
        <f t="shared" si="0"/>
        <v>36.020000000000003</v>
      </c>
      <c r="L27" s="498">
        <f t="shared" si="4"/>
        <v>137.84921546115584</v>
      </c>
      <c r="M27" s="498">
        <f t="shared" si="1"/>
        <v>147.91220818982021</v>
      </c>
      <c r="N27" s="1925">
        <f t="shared" si="2"/>
        <v>1.0864266939517986</v>
      </c>
      <c r="O27">
        <f t="shared" si="3"/>
        <v>2022</v>
      </c>
    </row>
    <row r="28" spans="8:19" ht="15">
      <c r="H28" s="1923">
        <v>45108</v>
      </c>
      <c r="I28" s="146">
        <v>0</v>
      </c>
      <c r="J28" s="1924">
        <f t="shared" si="5"/>
        <v>136.14559455622378</v>
      </c>
      <c r="K28" s="1929">
        <f t="shared" si="0"/>
        <v>37.6</v>
      </c>
      <c r="L28" s="498">
        <f t="shared" si="4"/>
        <v>143.89590508993501</v>
      </c>
      <c r="M28" s="498">
        <f t="shared" si="1"/>
        <v>154.40030616150028</v>
      </c>
      <c r="N28" s="1925">
        <f t="shared" si="2"/>
        <v>1.134082279083499</v>
      </c>
      <c r="O28">
        <f t="shared" si="3"/>
        <v>2023</v>
      </c>
    </row>
    <row r="29" spans="8:19" ht="15">
      <c r="H29" s="1923">
        <v>45474</v>
      </c>
      <c r="I29" s="146">
        <v>5.2999999999999999E-2</v>
      </c>
      <c r="J29" s="1924">
        <f t="shared" si="5"/>
        <v>143.36131106770364</v>
      </c>
      <c r="K29" s="1929">
        <f t="shared" si="0"/>
        <v>39.32</v>
      </c>
      <c r="L29" s="498">
        <f t="shared" si="4"/>
        <v>150.47837734404905</v>
      </c>
      <c r="M29" s="498">
        <f t="shared" si="1"/>
        <v>161.46329889016462</v>
      </c>
      <c r="N29" s="1925">
        <f t="shared" si="2"/>
        <v>1.1262682915470281</v>
      </c>
      <c r="O29">
        <f t="shared" si="3"/>
        <v>2024</v>
      </c>
    </row>
    <row r="30" spans="8:19">
      <c r="H30" s="2676" t="s">
        <v>1885</v>
      </c>
      <c r="I30" s="2677"/>
      <c r="J30" s="1925">
        <f>+J29/J10</f>
        <v>1.4336131106770365</v>
      </c>
      <c r="K30" s="1930">
        <f>+K29/K10</f>
        <v>1.5047837734404899</v>
      </c>
      <c r="L30" s="146">
        <f>+L29/L10</f>
        <v>1.5047837734404905</v>
      </c>
      <c r="M30" s="146">
        <f>+M29/M10</f>
        <v>1.5047837734404905</v>
      </c>
      <c r="N30" s="1925"/>
    </row>
    <row r="31" spans="8:19" ht="15" thickBot="1">
      <c r="H31" s="2678" t="s">
        <v>1886</v>
      </c>
      <c r="I31" s="2679"/>
      <c r="J31" s="1926">
        <f>_xlfn.RRI(COUNT(J10:J29),J10,J29)</f>
        <v>1.8173051593956879E-2</v>
      </c>
      <c r="K31" s="1931">
        <f>_xlfn.RRI(COUNT(K10:K29),K10,K29)</f>
        <v>2.0642632515461834E-2</v>
      </c>
      <c r="L31" s="1932">
        <f>_xlfn.RRI(COUNT(L10:L29),L10,L29)</f>
        <v>2.0642632515461834E-2</v>
      </c>
      <c r="M31" s="1932">
        <f>_xlfn.RRI(COUNT(M10:M29),M10,M29)</f>
        <v>2.0642632515461834E-2</v>
      </c>
      <c r="N31" s="1926"/>
    </row>
    <row r="32" spans="8:19">
      <c r="J32" s="148"/>
    </row>
  </sheetData>
  <sheetProtection algorithmName="SHA-512" hashValue="bsYDVed/oGFveBgmfmfsoAIr8zvw8G61qg81+Qo9PVLcaygJtPmJUX9jcWWE16FoKRUXXqUeu7qskPQxcstR+Q==" saltValue="AYv7RpKbw7BQ96DWlxumTg==" spinCount="100000" sheet="1" objects="1" scenarios="1" formatColumns="0" autoFilter="0"/>
  <mergeCells count="4">
    <mergeCell ref="H30:I30"/>
    <mergeCell ref="H31:I31"/>
    <mergeCell ref="H7:N8"/>
    <mergeCell ref="Q16:S16"/>
  </mergeCells>
  <pageMargins left="0.7" right="0.7" top="0.78740157499999996" bottom="0.78740157499999996"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7">
    <tabColor rgb="FF92D050"/>
    <pageSetUpPr fitToPage="1"/>
  </sheetPr>
  <dimension ref="A1:AI50"/>
  <sheetViews>
    <sheetView showGridLines="0" showRowColHeaders="0" showOutlineSymbols="0" zoomScale="120" zoomScaleNormal="120" workbookViewId="0">
      <selection activeCell="E15" sqref="E15"/>
    </sheetView>
  </sheetViews>
  <sheetFormatPr baseColWidth="10" defaultColWidth="0" defaultRowHeight="14.25" zeroHeight="1"/>
  <cols>
    <col min="1" max="1" width="2.125" customWidth="1"/>
    <col min="2" max="2" width="45.875" customWidth="1"/>
    <col min="3" max="3" width="15.625" customWidth="1"/>
    <col min="4" max="4" width="10.625" customWidth="1"/>
    <col min="5" max="7" width="16.125" customWidth="1"/>
    <col min="8" max="8" width="19.375" customWidth="1"/>
    <col min="9" max="9" width="20.5" customWidth="1"/>
    <col min="10" max="10" width="6" style="106" customWidth="1"/>
    <col min="11" max="11" width="2.125" style="106" customWidth="1"/>
    <col min="12" max="12" width="18.625" style="106" hidden="1" customWidth="1"/>
    <col min="13" max="13" width="11.625" style="106" hidden="1" customWidth="1"/>
    <col min="14" max="14" width="2.5" style="106" hidden="1" customWidth="1"/>
    <col min="15" max="15" width="10" style="106" hidden="1" customWidth="1"/>
    <col min="16" max="16" width="22.125" hidden="1" customWidth="1"/>
    <col min="17" max="22" width="15.125" hidden="1" customWidth="1"/>
    <col min="23" max="26" width="16.625" hidden="1" customWidth="1"/>
    <col min="27" max="28" width="12.625" hidden="1" customWidth="1"/>
    <col min="29" max="31" width="6.5" hidden="1" customWidth="1"/>
    <col min="32" max="35" width="15.625" hidden="1" customWidth="1"/>
    <col min="36" max="16384" width="11" hidden="1"/>
  </cols>
  <sheetData>
    <row r="1" spans="1:34" ht="16.5" thickBot="1">
      <c r="A1" s="1866">
        <v>140</v>
      </c>
      <c r="B1" s="2699" t="s">
        <v>340</v>
      </c>
      <c r="C1" s="2699"/>
      <c r="D1" s="2699"/>
      <c r="E1" s="2699"/>
      <c r="F1" s="2699"/>
      <c r="G1" s="2699"/>
      <c r="H1" s="2699"/>
      <c r="I1" s="54"/>
      <c r="J1" s="54"/>
      <c r="K1" s="54"/>
      <c r="L1" s="2697" t="s">
        <v>1559</v>
      </c>
      <c r="M1" s="2698"/>
      <c r="N1" s="54"/>
      <c r="O1" s="54"/>
      <c r="P1" t="e">
        <f>VLOOKUP(E_Alter,CHOOSE(IF(E_Rentenalter&lt;60,60,IF(E_Rentenalter&gt;67,67,E_Rentenalter))-59,HRIR60,HRIR61,HRIR62,HRIR63,HRIR62,HRIR,HRIR66,HRIR67),2)</f>
        <v>#VALUE!</v>
      </c>
      <c r="R1" t="s">
        <v>171</v>
      </c>
      <c r="S1" s="15">
        <v>2</v>
      </c>
      <c r="U1" t="s">
        <v>1207</v>
      </c>
      <c r="V1" t="e">
        <f>YEAR(E_Datum1)+IF(MONTH(E_Datum1)&gt;6,1,0)</f>
        <v>#VALUE!</v>
      </c>
      <c r="W1" t="s">
        <v>1215</v>
      </c>
      <c r="X1" t="e">
        <f>+V1-1900+2</f>
        <v>#VALUE!</v>
      </c>
      <c r="AA1" t="s">
        <v>21</v>
      </c>
      <c r="AB1" t="s">
        <v>61</v>
      </c>
    </row>
    <row r="2" spans="1:34" ht="36" customHeight="1" thickBot="1">
      <c r="A2" s="30"/>
      <c r="B2" s="2700" t="s">
        <v>1571</v>
      </c>
      <c r="C2" s="2701"/>
      <c r="D2" s="2701"/>
      <c r="E2" s="2701"/>
      <c r="F2" s="2701"/>
      <c r="G2" s="2701"/>
      <c r="H2" s="2701"/>
      <c r="I2" s="2705" t="s">
        <v>1995</v>
      </c>
      <c r="J2" s="2706"/>
      <c r="K2" s="878"/>
      <c r="L2" s="2723" t="s">
        <v>1558</v>
      </c>
      <c r="M2" s="2723"/>
      <c r="N2" s="878"/>
      <c r="O2" s="878"/>
      <c r="P2" s="58">
        <f ca="1">TODAY()</f>
        <v>46239</v>
      </c>
      <c r="Q2" t="str">
        <f ca="1">IF(TODAY()&gt;Laufzeitbegrenzung,"Die Laufzeit des Programms ist vorerst auf den "&amp;TEXT(Laufzeitbegrenzung,"TT.MM.JJJJ")&amp;" begrenzt. Kontaktieren Sie bitte Austor oder Verlag.","Das Programm ermöglicht die Kontrolle der von einem Versorgungsträger im Versorgungsausgleich mitgeteilten Kapitalwerte einer Versorgung und die für die ausgleichsberechtigte Person aus einem Ausgleichswert resultierende Rentenerwartung.")</f>
        <v>Das Programm ermöglicht die Kontrolle der von einem Versorgungsträger im Versorgungsausgleich mitgeteilten Kapitalwerte einer Versorgung und die für die ausgleichsberechtigte Person aus einem Ausgleichswert resultierende Rentenerwartung.</v>
      </c>
      <c r="U2" t="s">
        <v>1208</v>
      </c>
      <c r="V2" t="e">
        <f>YEAR(E_BerDat2)+IF(MONTH(E_BerDat2)&gt;6,1,0)</f>
        <v>#VALUE!</v>
      </c>
      <c r="W2" t="e">
        <f>+V2-1900+2</f>
        <v>#VALUE!</v>
      </c>
      <c r="Z2" t="s">
        <v>1017</v>
      </c>
      <c r="AA2" s="148">
        <f>VLOOKUP(YEAR(E_BerDat1),MonatlicheBezugsgröße,4)</f>
        <v>39.550000000000004</v>
      </c>
      <c r="AB2" s="148">
        <f>VLOOKUP(YEAR(E_BerDat1),MonatlicheBezugsgröße,5)</f>
        <v>4746</v>
      </c>
    </row>
    <row r="3" spans="1:34" ht="24" customHeight="1">
      <c r="A3" s="30"/>
      <c r="B3" s="2714" t="s">
        <v>1570</v>
      </c>
      <c r="C3" s="2715"/>
      <c r="D3" s="2715"/>
      <c r="E3" s="2715"/>
      <c r="F3" s="2715"/>
      <c r="G3" s="2715"/>
      <c r="H3" s="2716"/>
      <c r="I3" s="31"/>
      <c r="J3" s="1165"/>
      <c r="K3" s="31"/>
      <c r="L3" s="2724" t="str">
        <f>IF(E_RenteKapital=1,"Berechnung nur bei Barwertberechnung möglich","nach BGH XII ZB 443/14 (Flugsicherung)")</f>
        <v>nach BGH XII ZB 443/14 (Flugsicherung)</v>
      </c>
      <c r="M3" s="2724"/>
      <c r="N3" s="31"/>
      <c r="O3" s="31"/>
      <c r="P3" s="3" t="s">
        <v>114</v>
      </c>
      <c r="Q3" s="1259">
        <v>44926</v>
      </c>
      <c r="R3" s="147">
        <v>46387</v>
      </c>
      <c r="S3" s="3"/>
      <c r="T3" s="3" t="str">
        <f ca="1">LEFT(CELL("dateiname",T3),FIND("[",CELL("Dateiname",T3))-1)</f>
        <v>https://d.docs.live.net/a7fa01d38a6bdd72/KapitalwertKontrolle/</v>
      </c>
      <c r="U3" s="3"/>
      <c r="V3" s="3"/>
      <c r="AF3" s="71" t="s">
        <v>1189</v>
      </c>
      <c r="AH3" t="s">
        <v>1538</v>
      </c>
    </row>
    <row r="4" spans="1:34" ht="12" hidden="1" customHeight="1" thickBot="1">
      <c r="A4" s="19"/>
      <c r="B4" s="622"/>
      <c r="C4" s="623"/>
      <c r="D4" s="623"/>
      <c r="E4" s="623"/>
      <c r="F4" s="623"/>
      <c r="G4" s="623"/>
      <c r="H4" s="624"/>
      <c r="I4" s="31"/>
      <c r="J4" s="1166"/>
      <c r="K4" s="21"/>
      <c r="N4" s="21"/>
      <c r="O4" s="21"/>
      <c r="P4" s="3"/>
      <c r="Q4" s="3"/>
      <c r="R4" s="3"/>
      <c r="S4" s="3"/>
      <c r="T4" s="3"/>
      <c r="U4" s="3"/>
      <c r="V4" s="3"/>
    </row>
    <row r="5" spans="1:34" s="71" customFormat="1" ht="27" customHeight="1">
      <c r="A5" s="20"/>
      <c r="B5" s="1180" t="str">
        <f>"1. Geburtsdatum des Inhabers der Versorgung "</f>
        <v xml:space="preserve">1. Geburtsdatum des Inhabers der Versorgung </v>
      </c>
      <c r="C5" s="1370" t="str">
        <f>IFERROR(IF(Dat_GebDat_M+Dat_GebDat_F=0,"",IF(E5&lt;&gt;"","","Übernahme aus Datenerfassung:")),"")</f>
        <v/>
      </c>
      <c r="D5" s="1371" t="str">
        <f>IF(E5&lt;&gt;"",E5,IF(AND(Dat_GebDat_M="",+Dat_GebDat_F=""),"",IF(E_sex=1,Dat_GebDat_M,IF(E_sex=2,Dat_GebDat_F,IF(E_sex=3,E5)))))</f>
        <v/>
      </c>
      <c r="E5" s="1183"/>
      <c r="F5" s="1946" t="str">
        <f>IFERROR(IF(E5&gt;0,"",IF(Dat_GebDat_M&gt;0,TEXT(Dat_GebDat_M,"TT.MM.JJJ")&amp;" "&amp;männlich,"")),"")</f>
        <v xml:space="preserve"> ♂</v>
      </c>
      <c r="G5" s="1946" t="str">
        <f>IFERROR(IF(E5&gt;0,"",IF(Dat_GebDat_F&gt;0,TEXT(Dat_GebDat_F,"TT.MM.JJJ")&amp;" "&amp;weiblich,"")),"")</f>
        <v xml:space="preserve"> ♀</v>
      </c>
      <c r="H5" s="1185" t="str">
        <f>"Version "&amp;TEXT(MONTH(Enddatum),"00")&amp;"/"&amp;TEXT(YEAR(Enddatum),"####")</f>
        <v>Version 07/2026</v>
      </c>
      <c r="I5" s="2719" t="str">
        <f>IFERROR("aktueller RW im EzE: "&amp;TEXT(VLOOKUP(E_BerDat1,aktRW,IF(Ost,3,2)),"#0,00 €")&amp;CHAR(10)&amp;"Kosten 1 EP DRV: "&amp;TEXT(VLOOKUP(E_BerDat1,UmrechnungEP_Kap,IF(Ost,3,2)),"#.##0,0000 €"),"")</f>
        <v>aktueller RW im EzE: 40,79 €
Kosten 1 EP DRV: 9.661,5840 €</v>
      </c>
      <c r="J5" s="2720"/>
      <c r="K5" s="51"/>
      <c r="L5" s="1337" t="s">
        <v>1552</v>
      </c>
      <c r="M5" s="1336">
        <f>DATE(YEAR(E6),12,31)</f>
        <v>366</v>
      </c>
      <c r="N5" s="1322"/>
      <c r="O5" s="1322"/>
      <c r="P5" s="539" t="s">
        <v>77</v>
      </c>
      <c r="Q5" s="1260">
        <v>2</v>
      </c>
      <c r="R5" s="539" t="s">
        <v>91</v>
      </c>
      <c r="S5" s="1274" t="e">
        <f>IF(Rentenalter&gt;E_Alter,ROUND(Rentenalter-E_Alter,2),0)</f>
        <v>#VALUE!</v>
      </c>
      <c r="T5" s="539" t="s">
        <v>159</v>
      </c>
      <c r="U5" s="1261">
        <f>IF(E_RenteKapital=2,IF(E_KapWert&gt;0,E_KapWert,E_Ergebnis),E_Kapital)*VLOOKUP(IF(EzE_P&gt;0,EzE_P,E_BerDat1),Umrechnungsfaktoren,IF(Ost,3,2))</f>
        <v>0</v>
      </c>
      <c r="V5" s="539">
        <f>VLOOKUP(E_BerDat1,aktRW,IF(Ost,3,2))</f>
        <v>40.79</v>
      </c>
      <c r="W5" s="779">
        <f>+V5*Entgeltpunkte1</f>
        <v>0</v>
      </c>
      <c r="X5" s="779" t="e">
        <f>IF(E_BerDat1&gt;E_Renteneintritt,W5,-FV(RententrendDRV,YEARFRAC(E_BerDat1,E_Renteneintritt,3),,'Einzel-Bewertung'!W5))*IF(KV_Beitrag,(1+KV_Beitragssatz),1)</f>
        <v>#VALUE!</v>
      </c>
      <c r="Z5" s="71" t="s">
        <v>186</v>
      </c>
      <c r="AF5" s="71" t="s">
        <v>1192</v>
      </c>
      <c r="AG5" s="786" t="e">
        <f>DATE(YEAR(E_Datum1)+65,MONTH(E_Datum1)+VLOOKUP(YEAR(E_Datum1),Renteneintrittstabelle,2)+1,1)</f>
        <v>#VALUE!</v>
      </c>
    </row>
    <row r="6" spans="1:34" s="71" customFormat="1" ht="27" customHeight="1">
      <c r="A6" s="20"/>
      <c r="B6" s="1181" t="s">
        <v>119</v>
      </c>
      <c r="C6" s="1184" t="str">
        <f>IF(AND(Dat_EzE&gt;0,E6=0),"Übernahme aus Datenerfassung:","")</f>
        <v>Übernahme aus Datenerfassung:</v>
      </c>
      <c r="D6" s="1234">
        <f>IF(E6&lt;&gt;"",E6,IF(Dat_EzE=0,"",Dat_EzE))</f>
        <v>46203</v>
      </c>
      <c r="E6" s="1183"/>
      <c r="F6" s="2704" t="str">
        <f>IFERROR(IF(E_BerDat1&gt;0," Versicherungsalter im Berechnungszeitpunkt: "&amp;TEXT(E_Alter,"#0,00") &amp;" bzw. "&amp;TEXT(INT(E_Alter),"0")&amp;"/"&amp;TEXT((E_Alter-INT(E_Alter))*12,"0")&amp;" Monate",""),"")</f>
        <v/>
      </c>
      <c r="G6" s="2704"/>
      <c r="H6" s="2704"/>
      <c r="I6" s="2708" t="str">
        <f>IFERROR("Kosten 1 € Rente: "&amp;TEXT(VLOOKUP(E_BerDat1,UmrechnungEP_Kap,IF(Ost,3,2))/VLOOKUP(E_BerDat1,aktRW,IF(Ost,3,2)),"#.##0,00 €")&amp;CHAR(10)&amp;"Beitragskosten (KoKa) DRV für "&amp;TEXT(E_Kapital,"#.##0,00 €")&amp;" Rente: "&amp;TEXT(E_Kapital*VLOOKUP(E_BerDat1,UmrechnungEP_Kap,IF(Ost,3,2))/VLOOKUP(E_BerDat1,aktRW,IF(Ost,3,2)),"#.##0 €")&amp;CHAR(10)&amp;"Barwert der DRV-Rente: "&amp;TEXT(E_BarwertDRV,"#.##0 €"),"")</f>
        <v/>
      </c>
      <c r="J6" s="2709"/>
      <c r="K6" s="22"/>
      <c r="L6" s="1350" t="s">
        <v>255</v>
      </c>
      <c r="M6" s="1354" t="str">
        <f>CHOOSE(E_sex,"w","m","u")</f>
        <v>w</v>
      </c>
      <c r="N6" s="1352"/>
      <c r="O6" s="1352"/>
      <c r="P6" s="539" t="s">
        <v>78</v>
      </c>
      <c r="Q6" s="1260" t="e">
        <f>YEARFRAC(E_Datum1,E_BerDat1,0)</f>
        <v>#VALUE!</v>
      </c>
      <c r="R6" s="539" t="s">
        <v>81</v>
      </c>
      <c r="S6" s="66" t="e">
        <f>ROUND(YEARFRAC(E_Datum1,E_BerDat1,4),2)</f>
        <v>#VALUE!</v>
      </c>
      <c r="T6" s="539" t="s">
        <v>160</v>
      </c>
      <c r="U6" s="1261"/>
      <c r="V6" s="539">
        <f>VLOOKUP(E_BerDat1,aktRW,IF(Ost,3,2))</f>
        <v>40.79</v>
      </c>
      <c r="W6" s="779">
        <f>+V6*Entgeltpunkte1</f>
        <v>0</v>
      </c>
      <c r="X6" s="779" t="e">
        <f>IF(E_BerDat1&gt;Q41,W6,-FV(RententrendDRV,YEARFRAC(E_BerDat1,Q41,3),,'Einzel-Bewertung'!W6))*IF(KV_Beitrag,(1+KV_Beitragssatz),1)</f>
        <v>#VALUE!</v>
      </c>
      <c r="Z6" s="16" t="b">
        <v>0</v>
      </c>
      <c r="AA6" s="71" t="s">
        <v>184</v>
      </c>
      <c r="AB6" s="16" t="b">
        <v>0</v>
      </c>
      <c r="AF6" s="71" t="s">
        <v>1193</v>
      </c>
      <c r="AG6" s="71" t="e">
        <f>IF(YEARFRAC(E_Datum1,AG5,3)&gt;67,67,YEARFRAC(E_Datum1,AG5,3))</f>
        <v>#VALUE!</v>
      </c>
    </row>
    <row r="7" spans="1:34" s="71" customFormat="1" ht="27" customHeight="1" thickBot="1">
      <c r="A7" s="20"/>
      <c r="B7" s="2717" t="s">
        <v>120</v>
      </c>
      <c r="C7" s="2718"/>
      <c r="D7" s="2718"/>
      <c r="E7" s="1697"/>
      <c r="F7" s="1697"/>
      <c r="G7" s="1697"/>
      <c r="H7" s="1698" t="str">
        <f>CHOOSE(E_sex,männlich,weiblich,divers)</f>
        <v>♂</v>
      </c>
      <c r="I7" s="2710"/>
      <c r="J7" s="2711"/>
      <c r="K7" s="22"/>
      <c r="L7" s="1337" t="s">
        <v>1553</v>
      </c>
      <c r="M7" s="1338">
        <f>YEARFRAC(E6,M5,3)</f>
        <v>1.0027397260273974</v>
      </c>
      <c r="N7" s="1320"/>
      <c r="O7" s="1320"/>
      <c r="P7" s="1262" t="str">
        <f>CHOOSE(E_sex=1,Dat_GebDat_M,6,"")</f>
        <v/>
      </c>
      <c r="Q7" s="1262"/>
      <c r="R7" s="1262" t="s">
        <v>79</v>
      </c>
      <c r="S7" s="1263">
        <v>1</v>
      </c>
      <c r="T7" s="1262"/>
      <c r="U7" s="1264"/>
      <c r="V7" s="539"/>
      <c r="W7" s="779"/>
      <c r="X7" s="779"/>
      <c r="Z7" s="71" t="s">
        <v>187</v>
      </c>
      <c r="AA7" s="71" t="e">
        <f>YEAR(E_Datum1)</f>
        <v>#VALUE!</v>
      </c>
      <c r="AB7" s="780">
        <f>IF(Längerlebigkeitszuschlag,_xlfn.IFNA(VLOOKUP(AA7,AA9:AB30,2),0),0)</f>
        <v>0</v>
      </c>
      <c r="AF7" s="71" t="s">
        <v>256</v>
      </c>
      <c r="AG7" s="619" t="e">
        <f>VLOOKUP(IF(E_Alter&gt;AG6,E_Alter,AG6),CHOOSE(E_sex,Lebenserwartung_M_V2,Lebenserwartung_F_V2,Lebenserwartung_N_V2),E_Versicherungsjahrgang-1900+2)</f>
        <v>#VALUE!</v>
      </c>
    </row>
    <row r="8" spans="1:34" s="71" customFormat="1" ht="27" customHeight="1">
      <c r="A8" s="20"/>
      <c r="B8" s="2702" t="s">
        <v>115</v>
      </c>
      <c r="C8" s="2703"/>
      <c r="D8" s="2703"/>
      <c r="E8" s="2707"/>
      <c r="F8" s="2707"/>
      <c r="G8" s="2707"/>
      <c r="H8" s="2707"/>
      <c r="I8" s="2712" t="str">
        <f>IFERROR(IF(E_RenteKapital=2,IF(E_BerDat1&gt;0,IF(AND(E_Kapital&gt;0,E_Kapital&lt;AA2),"Ausgl.Wert &lt;= "&amp;TEXT(AA2,"0,00 €") &amp;" § 18 III VersAusglG","")&amp;IF(AND(E_Ergebnis&gt;0,E_Ergebnis&lt;AB2),CHAR(10)&amp;"Kapitalwert &lt;= "&amp;TEXT(AB2,"#.##0,00")&amp;" § 18 III VersAusglG",""),""),""),"")</f>
        <v/>
      </c>
      <c r="J8" s="2713"/>
      <c r="K8" s="64"/>
      <c r="L8" s="1337" t="e">
        <f>"mit "&amp;TEXT(E_Rezins/100,"0,00%")&amp;" auf-gezinster AusglW:"</f>
        <v>#VALUE!</v>
      </c>
      <c r="M8" s="1339" t="e">
        <f>E_Ergebnis*(1+E_Rezins/100)^RK_Zeitabstand_EzE</f>
        <v>#VALUE!</v>
      </c>
      <c r="N8" s="1321"/>
      <c r="O8" s="1321"/>
      <c r="P8" s="1265" t="s">
        <v>85</v>
      </c>
      <c r="Q8" s="1266" t="b">
        <v>1</v>
      </c>
      <c r="R8" s="1267" t="s">
        <v>86</v>
      </c>
      <c r="S8" s="1364" t="str">
        <f>IFERROR(ROUND(IF(OR(E_Datum1="",E_BerDat1=""),"",IF(AND(E_Invalidität,F9&lt;&gt;"Rentner!"),VLOOKUP(E_Alter,CHOOSE(IF(E_Rentenalter&lt;60,60,IF(E_Rentenalter&gt;67,67,E_Rentenalter))-59,HRIR60,HRIR61,HRIR62,HRIR63,HRIR64,HRIR,HRIR66,HRIR67),CHOOSE(E_sex,7,16,25),1)*J11,0)),4),"")</f>
        <v/>
      </c>
      <c r="T8" s="2727" t="s">
        <v>1209</v>
      </c>
      <c r="U8" s="2725" t="e">
        <f>+E_Ifaktor+E_HFaktor</f>
        <v>#VALUE!</v>
      </c>
      <c r="X8" s="779" t="e">
        <f>-FV(E_ReTrend1,E_LXYAlterABer/2,,E_RenteausKapitalAglBer)</f>
        <v>#VALUE!</v>
      </c>
      <c r="AF8" s="71" t="s">
        <v>257</v>
      </c>
      <c r="AG8" s="71" t="e">
        <f>IF(AG6-E_Alter&lt;0,0,AG6-E_Alter)</f>
        <v>#VALUE!</v>
      </c>
    </row>
    <row r="9" spans="1:34" s="71" customFormat="1" ht="27" customHeight="1" thickBot="1">
      <c r="A9" s="20"/>
      <c r="B9" s="2717" t="str">
        <f>IF(E_RenteKapital=2,"5. Höhe des Ehezeitanteils (Ausgleichswert) der Monatsrente eingeben","5. Zu verrentenden Kapitalbetrag eingeben")</f>
        <v>5. Höhe des Ehezeitanteils (Ausgleichswert) der Monatsrente eingeben</v>
      </c>
      <c r="C9" s="2718"/>
      <c r="D9" s="2735"/>
      <c r="E9" s="1141"/>
      <c r="F9" s="2768" t="str">
        <f>IFERROR(IF(E_BerDat1="","",IF(E_Alter&gt;=IF(E_Rentenaltereingabe&gt;0,E_Rentenaltereingabe,E_Rentenalter),"Rentner"&amp;CHOOSE(E_sex,"","in","")&amp;"! Bitte Kapitalverzehr beachten","")),"")</f>
        <v/>
      </c>
      <c r="G9" s="2768"/>
      <c r="H9" s="2769"/>
      <c r="I9" s="2758" t="str">
        <f>IF(F9&lt;&gt;"","BGH XII ZB 447/13 v. 17.2.2016 - FamRB 2016, 176","")</f>
        <v/>
      </c>
      <c r="J9" s="2759"/>
      <c r="K9" s="78"/>
      <c r="L9" s="1348" t="s">
        <v>1534</v>
      </c>
      <c r="M9" s="344" t="e">
        <f>ROUND(E_Alterswahl+YEARFRAC(E_BerDat1,RK_Datum,3),4)</f>
        <v>#VALUE!</v>
      </c>
      <c r="N9" s="1330"/>
      <c r="O9" s="1330"/>
      <c r="P9" s="1268" t="s">
        <v>87</v>
      </c>
      <c r="Q9" s="1269" t="b">
        <v>0</v>
      </c>
      <c r="R9" s="1270" t="s">
        <v>88</v>
      </c>
      <c r="S9" s="1363" t="str">
        <f>IFERROR(ROUND(IF(OR(E_Datum1="",E_BerDat1=""),"",IF(E_Hinterbliebene,VLOOKUP(E_Alter,CHOOSE(IF(E_Rentenalter&lt;60,60,IF(E_Rentenalter&gt;67,67,E_Rentenalter))-59,HRIR60,HRIR61,HRIR62,HRIR63,HRIR64,HRIR,HRIR66,HRIR67),CHOOSE(E_sex,8,17,26),1)*J12,0)),4),"")</f>
        <v/>
      </c>
      <c r="T9" s="2728"/>
      <c r="U9" s="2726"/>
      <c r="V9" s="2722" t="s">
        <v>1541</v>
      </c>
      <c r="W9" s="2722"/>
      <c r="X9" s="2722"/>
      <c r="Y9" s="2722"/>
      <c r="AB9" s="781"/>
      <c r="AF9" s="71" t="s">
        <v>1190</v>
      </c>
      <c r="AG9" s="789" t="str">
        <f>+Berechnungstext!C19</f>
        <v/>
      </c>
    </row>
    <row r="10" spans="1:34" s="71" customFormat="1" ht="27" customHeight="1" thickBot="1">
      <c r="A10" s="20"/>
      <c r="B10" s="2702" t="s">
        <v>121</v>
      </c>
      <c r="C10" s="2703"/>
      <c r="D10" s="2752"/>
      <c r="E10" s="56"/>
      <c r="F10" s="2767" t="str">
        <f>IF(OR(E_Datum1="",E_BerDat1=""),"",IF(AND(E_Datum1&gt;0,E_BerDat1&gt;0,E_Rentenaltereingabe=0),"Programm rechnet mit Regelaltersgrenze (§ 235 SGB VI): " &amp; TEXT(VLOOKUP(YEAR(E_Datum1),Renteneintrittstabelle,3),"#0,0#") &amp; " Jahre","Programm rechnet mit Renteneintrittsalter " &amp; TEXT(E_Rentenaltereingabe,"#0,00") &amp; " Jahre"))</f>
        <v/>
      </c>
      <c r="G10" s="2739"/>
      <c r="H10" s="2740"/>
      <c r="I10" s="2760" t="str">
        <f>IFERROR("Regel-Renteneintritt Pflicht.: "&amp;IF(E_Datum1&gt;0,TEXT(DATE(YEAR(E_Datum1)+IF(E_Rentenaltereingabe="",65,E_Rentenaltereingabe),MONTH(E_Datum1)+IF(E_Rentenaltereingabe="",VLOOKUP(YEAR(E_Datum1),Renteneintrittstabelle,2),(E_Rentenaltereingabe-INT(E_Rentenaltereingabe))*12)+1,1),"TT.MM.JJJJ"),""),"")</f>
        <v/>
      </c>
      <c r="J10" s="2761"/>
      <c r="K10" s="81"/>
      <c r="L10" s="1340" t="str">
        <f>"Biometrische Korrektur VVR"&amp;CHOOSE(E_sex,"m","w","u")&amp;"EZE zu RK"</f>
        <v>Biometrische Korrektur VVRmEZE zu RK</v>
      </c>
      <c r="M10" s="1341" t="e">
        <f>+U13</f>
        <v>#VALUE!</v>
      </c>
      <c r="N10" s="1326"/>
      <c r="O10" s="1326"/>
      <c r="P10" s="71" t="s">
        <v>155</v>
      </c>
      <c r="Q10" s="782" t="e">
        <f>VLOOKUP(ROUND(E_Alter,0),CHOOSE(E_sex,G_Kohorte_M,G_Kohorte_F,G_Kohorte_N),E_Tabschritt)</f>
        <v>#VALUE!</v>
      </c>
      <c r="R10" s="783"/>
      <c r="T10" s="539" t="s">
        <v>1535</v>
      </c>
      <c r="U10" s="1331" t="e">
        <f>VLOOKUP(ROUND(RK_AlterAusglBer,0),CHOOSE(E_sex,G_Kohorte_M,G_Kohorte_F,G_Kohorte_N),E_Tabschritt)</f>
        <v>#VALUE!</v>
      </c>
      <c r="V10" s="1334" t="s">
        <v>1540</v>
      </c>
      <c r="W10" s="613" t="e">
        <f>ROUND(IF(OR(E_Datum1="",E_BerDat1=""),"",IF(AND(E_InvaliditätAusglBer,F9&lt;&gt;"Rentner!"),VLOOKUP(RK_AlterAusglBer,CHOOSE(IF(E_Rentenalter&lt;60,60,IF(E_Rentenalter&gt;67,67,E_Rentenalter))-59,HRIR60,HRIR61,HRIR62,HRIR63,HRIR64,HRIR,HRIR66,HRIR67),CHOOSE(E_sex,16,7,25),1)*J11,0)),4)</f>
        <v>#VALUE!</v>
      </c>
      <c r="X10" s="2721" t="e">
        <f>ROUND(W10+W11,4)</f>
        <v>#VALUE!</v>
      </c>
      <c r="Y10" s="66" t="s">
        <v>1537</v>
      </c>
      <c r="AB10" s="781"/>
      <c r="AF10" s="71" t="s">
        <v>1191</v>
      </c>
      <c r="AG10" s="789" t="str">
        <f>+Berechnungstext!C20</f>
        <v/>
      </c>
    </row>
    <row r="11" spans="1:34" s="71" customFormat="1" ht="27" customHeight="1">
      <c r="A11" s="20"/>
      <c r="B11" s="2717" t="s">
        <v>122</v>
      </c>
      <c r="C11" s="2718"/>
      <c r="D11" s="2718"/>
      <c r="E11" s="27"/>
      <c r="F11" s="2739" t="str">
        <f>IFERROR(IF(OR(E_Rentenalter&lt;60,E_Rentenalter&gt;67),"Der Invaliditätswert kann nur zwischen Renteneintrittsalter 60 und 67 sicher berechnet werden. Deaktivieren Sie bitte die Checkbox.",IF(E_Invalidität=TRUE,IF(E_Rentner=0,"Programm rechnet mit einer Invaliditätsversorgung in Höhe von "&amp;TEXT(J11,"###%")&amp;" der Altersversorgung. Invaliditätssatz: "&amp;TEXT(E_Ifaktor,"#0,00%")&amp;".","Da ein 'Rentnerfall' vorliegt, wird keine Invaliditätsversicherung berechnet."),"")),"")</f>
        <v>Der Invaliditätswert kann nur zwischen Renteneintrittsalter 60 und 67 sicher berechnet werden. Deaktivieren Sie bitte die Checkbox.</v>
      </c>
      <c r="G11" s="2739"/>
      <c r="H11" s="2740"/>
      <c r="I11" s="638" t="s">
        <v>693</v>
      </c>
      <c r="J11" s="639">
        <v>1</v>
      </c>
      <c r="K11" s="1196"/>
      <c r="L11" s="1342" t="str">
        <f>"aufgezinster korr. AusglWert RK"</f>
        <v>aufgezinster korr. AusglWert RK</v>
      </c>
      <c r="M11" s="1343" t="e">
        <f>RK_aufgezinsterBW*(1+RK_biometrKorrektur)</f>
        <v>#VALUE!</v>
      </c>
      <c r="N11" s="1330"/>
      <c r="O11" s="1330"/>
      <c r="P11" s="71" t="s">
        <v>154</v>
      </c>
      <c r="Q11" s="782" t="e">
        <f>VLOOKUP(ROUND(E_Rentenalter,0),CHOOSE(E_sex,G_Kohorte_M,G_Kohorte_F,G_Kohorte_N),E_Tabschritt)</f>
        <v>#VALUE!</v>
      </c>
      <c r="R11" s="71" t="s">
        <v>101</v>
      </c>
      <c r="S11" s="71" t="e">
        <f>TEXT(E_VVR2,"###.##0")&amp;" / "&amp;TEXT(E_VVR1,"###.##0")</f>
        <v>#VALUE!</v>
      </c>
      <c r="T11" s="539"/>
      <c r="U11" s="540" t="e">
        <f>+E_VVR2</f>
        <v>#VALUE!</v>
      </c>
      <c r="V11" s="1334" t="s">
        <v>1542</v>
      </c>
      <c r="W11" s="613" t="str">
        <f>IFERROR(ROUND(IF(OR(E_Datum1="",E_BerDat1=""),"",IF(E_HinterbliebeneAusglBer,VLOOKUP(RK_AlterAusglBer,CHOOSE(IF(E_Rentenalter&lt;60,60,IF(E_Rentenalter&gt;67,67,E_Rentenalter))-59,HRIR60,HRIR61,HRIR62,HRIR63,HRIR64,HRIR,HRIR66,HRIR67),CHOOSE(E_sex,17,8,26),1)*J12,0)),4),"")</f>
        <v/>
      </c>
      <c r="X11" s="2722"/>
      <c r="Y11" s="66" t="e">
        <f>ROUND(X10/HRIR_Zuschlag,4)</f>
        <v>#VALUE!</v>
      </c>
      <c r="Z11" s="789" t="e">
        <f>+RK_Nebenleistungen-T22</f>
        <v>#VALUE!</v>
      </c>
      <c r="AB11" s="781"/>
      <c r="AF11" s="71" t="s">
        <v>1194</v>
      </c>
      <c r="AG11" s="1042" t="e">
        <f>-PV(E_Rezins/100-RententrendDRV,AG7,E_Kapital*12)</f>
        <v>#VALUE!</v>
      </c>
    </row>
    <row r="12" spans="1:34" s="71" customFormat="1" ht="27" customHeight="1">
      <c r="A12" s="2729"/>
      <c r="B12" s="2717" t="s">
        <v>123</v>
      </c>
      <c r="C12" s="2718"/>
      <c r="D12" s="2718"/>
      <c r="E12" s="27"/>
      <c r="F12" s="2739" t="str">
        <f>IFERROR(IF(OR(E_Rentenalter&lt;60,E_Rentenalter&gt;67),"Der Hinterbliebenenwert kann nur zwischen Renteneintrittsalter 60 und 67 sicher berechnet werden. Deaktivieren Sie bitte die Checkbox.",IF(E_Hinterbliebene=TRUE,"Höhe d. "&amp;CHOOSE(E_sex,"Witwenversorgung","Witwerversorgung","Hinterbliebenenversorgung")&amp;": "  &amp; TEXT(J12,"#0,00%")&amp; ". Alternativen rechts eingeben. Hinterbliebenenfaktor = "&amp;TEXT(E_HFaktor,"#0,00%"),"")),"")</f>
        <v>Der Hinterbliebenenwert kann nur zwischen Renteneintrittsalter 60 und 67 sicher berechnet werden. Deaktivieren Sie bitte die Checkbox.</v>
      </c>
      <c r="G12" s="2739"/>
      <c r="H12" s="2740"/>
      <c r="I12" s="605" t="s">
        <v>694</v>
      </c>
      <c r="J12" s="88">
        <v>0.6</v>
      </c>
      <c r="K12" s="1196"/>
      <c r="L12" s="1342" t="s">
        <v>1544</v>
      </c>
      <c r="M12" s="1341" t="e">
        <f>+Z13</f>
        <v>#VALUE!</v>
      </c>
      <c r="N12" s="1326"/>
      <c r="O12" s="1326"/>
      <c r="P12" s="71" t="s">
        <v>80</v>
      </c>
      <c r="Q12" s="1356" t="e">
        <f>ROUND(IF(E_Alter&gt;=E_Rentenalter,1,E_VVR2/E_VVR1),4)</f>
        <v>#VALUE!</v>
      </c>
      <c r="R12" s="71" t="e" vm="1">
        <f>_xleta.PV</f>
        <v>#VALUE!</v>
      </c>
      <c r="S12" s="783">
        <v>100</v>
      </c>
      <c r="T12" s="539" t="s">
        <v>1536</v>
      </c>
      <c r="U12" s="540" t="e">
        <f>ROUND(IF(E_RelegalterABer&lt;=RK_AlterAusglBer,1,U11/U10),4)</f>
        <v>#VALUE!</v>
      </c>
      <c r="V12" s="2722" t="s">
        <v>1543</v>
      </c>
      <c r="W12" s="2722"/>
      <c r="X12" s="2722"/>
      <c r="Y12" s="2722"/>
      <c r="AB12" s="781"/>
      <c r="AF12" s="71" t="s">
        <v>1195</v>
      </c>
      <c r="AG12" s="153" t="e">
        <f>-PV(E_Rezins/100-RententrendDRV,AG8,,AG11)</f>
        <v>#VALUE!</v>
      </c>
    </row>
    <row r="13" spans="1:34" s="71" customFormat="1" ht="27" customHeight="1">
      <c r="A13" s="2729"/>
      <c r="B13" s="2717" t="str">
        <f>IFERROR(IF(E_RezinsAngabe="",IF(E_Rezins&gt;0,"9. Rechnungszins: "&amp;TEXT(E_Rezins/100,"#0,00%")&amp;". Anderen Wunschzinssatz rechts eingeben","9. Ermittlung des BilMoG-Zinssatzes erforderlich. Ggfls. neue Version laden"),"9. Programm rechnet mit eingegebenem Rechnungszins von "&amp;TEXT(E_RezinsAngabe,"#0,0#%")),"")</f>
        <v/>
      </c>
      <c r="C13" s="2718"/>
      <c r="D13" s="2735"/>
      <c r="E13" s="57"/>
      <c r="F13" s="2750" t="str">
        <f>IFERROR(IF(E_BerDat1="","",IF(E_Rezins=0,"Kein Zinssatz vorhanden. Bitte BilMoG-Zins ermitteln!",IF(E_BerDat1&lt;BilMoGAnfang,"Kein BilMoG-Zins für diesen Zeitraum vorhanden, Vorschlag 6% (BGH XII ZB 230/16 Rn. 60)","Das Programm rechnet mit dem vom BGH (XII ZB 84/13, FamRB 2016, 455)  gebilligten BilMoG-7-Zins von "&amp;TEXT(E_Rezins,"#0,00")&amp;"%, falls keine andere Eingabe erfolgt."))),"")</f>
        <v/>
      </c>
      <c r="G13" s="2750"/>
      <c r="H13" s="2751"/>
      <c r="I13" s="2693" t="str">
        <f>IF(E_Bilmog10_test=0,"","BliMoG-10: "&amp;TEXT(VLOOKUP(E_BerDat1,BilMoG10,16)/100,"#0,00%"))</f>
        <v>BliMoG-10: 2,17%</v>
      </c>
      <c r="J13" s="2694"/>
      <c r="K13" s="52"/>
      <c r="L13" s="1342" t="s">
        <v>1545</v>
      </c>
      <c r="M13" s="1343" t="e">
        <f>+RK_AusgW*(1+M12)</f>
        <v>#VALUE!</v>
      </c>
      <c r="N13" s="1327"/>
      <c r="O13" s="1327"/>
      <c r="P13" s="71" t="s">
        <v>128</v>
      </c>
      <c r="Q13" s="71">
        <f>IF(OR(E_BerDat1&lt;BilMoGMin,E_BerDat1&gt;BilMoGmax),0,1)</f>
        <v>1</v>
      </c>
      <c r="R13" s="71" t="s">
        <v>827</v>
      </c>
      <c r="S13" s="785"/>
      <c r="T13" s="539" t="s">
        <v>1537</v>
      </c>
      <c r="U13" s="1335" t="e">
        <f>+U12/E_VVR-1</f>
        <v>#VALUE!</v>
      </c>
      <c r="V13" s="1333" t="str">
        <f>+V10</f>
        <v>Invaliditätskorrektur</v>
      </c>
      <c r="W13" s="1332" t="e">
        <f>ROUND(IF(OR(E_Datum1="",E_BerDat1=""),"",IF(AND(E_Invalidität,F9&lt;&gt;"Rentner!"),VLOOKUP(E_Alter+RK_Zeitabstand_EzE,CHOOSE(IF(E_Rentenalter&lt;60,60,IF(E_Rentenalter&gt;67,67,E_Rentenalter))-59,HRIR60,HRIR61,HRIR62,HRIR63,HRIR64,HRIR,HRIR66,HRIR67),CHOOSE(E_sex,7,16,25),1)*J11,0)),4)</f>
        <v>#VALUE!</v>
      </c>
      <c r="X13" s="2721" t="e">
        <f>ROUND(W14+W13,4)</f>
        <v>#VALUE!</v>
      </c>
      <c r="Y13" s="539"/>
      <c r="Z13" s="789" t="e">
        <f>ROUND(X13-HRIR_Zuschlag,4)</f>
        <v>#VALUE!</v>
      </c>
      <c r="AB13" s="781"/>
      <c r="AF13" s="783" t="s">
        <v>1196</v>
      </c>
      <c r="AG13" s="71" t="e">
        <f>+AG12*(1+(AG10+AG9))</f>
        <v>#VALUE!</v>
      </c>
    </row>
    <row r="14" spans="1:34" s="71" customFormat="1" ht="27" customHeight="1">
      <c r="A14" s="2729"/>
      <c r="B14" s="2717" t="str">
        <f>"10. Annahme eines Rententrends (Leistungsdynamik) in Höhe von (in %)?"</f>
        <v>10. Annahme eines Rententrends (Leistungsdynamik) in Höhe von (in %)?</v>
      </c>
      <c r="C14" s="2718"/>
      <c r="D14" s="2735"/>
      <c r="E14" s="75"/>
      <c r="F14" s="2744" t="str">
        <f>IF(E_Kapital="","","Bei Betriebsrenten ist nach BGH XII ZB 408/14 (FamRB 2018, 218) ein Rententrend anzugeben (§ 16 BetrAVG); i.d.R.ein Satz zwischen 1 bis 2%. ")</f>
        <v/>
      </c>
      <c r="G14" s="2745"/>
      <c r="H14" s="2746"/>
      <c r="I14" s="2695" t="str">
        <f ca="1">R13&amp;" Dynamisierung letzte 10 Jahre: "&amp;CHAR(10)&amp;"VPI: "&amp;TEXT(_xlfn.RRI(10,VLOOKUP(VPI_10,VPI_Jahr,2),VLOOKUP(Heute,VPI_Jahr,2)),"0,00%")&amp;" / DRV: "&amp;TEXT(DRV_10,"0,00%")</f>
        <v>Ø Dynamisierung letzte 10 Jahre: 
VPI: 3,41% / DRV: 3,40%</v>
      </c>
      <c r="J14" s="2696"/>
      <c r="K14" s="82"/>
      <c r="L14" s="1344" t="s">
        <v>1554</v>
      </c>
      <c r="M14" s="1351" t="e">
        <f>IF(+S36&lt;0,0,S36)</f>
        <v>#VALUE!</v>
      </c>
      <c r="N14" s="1327"/>
      <c r="O14" s="1327"/>
      <c r="P14" s="71" t="s">
        <v>83</v>
      </c>
      <c r="Q14" s="153" t="e">
        <f>IF(E_ReZins1-E_ReTrend1=0,E_Kapital/E_LxyRAlter/12,((E_Kapital*IF(E_Anwartschaftszeit&gt;0,(1+(E_ReZins1-IF(E_Volldynamik,E_ReTrend1,0)))^(E_Anwartschaftszeit),1)*(E_ReZins1-E_ReTrend1))/(1-1/(1+(E_ReZins1-E_ReTrend1))^E_LxyRAlter)/E_VVR/12)/IF(OR(E_Invalidität,E_Hinterbliebene),(1+U8),1))</f>
        <v>#VALUE!</v>
      </c>
      <c r="R14" s="783" t="s">
        <v>826</v>
      </c>
      <c r="S14" s="786">
        <f ca="1">DATE(YEAR(Heute)-10,MONTH(Heute),DAY(Heute))</f>
        <v>42587</v>
      </c>
      <c r="T14" s="787" t="s">
        <v>828</v>
      </c>
      <c r="U14" s="788">
        <f ca="1">_xlfn.RRI(10,VLOOKUP(VPI_10,aktRW,IF(Ost,3,2)),VLOOKUP(Heute,aktRW,IF(Ost,3,2)))</f>
        <v>3.3952519650456203E-2</v>
      </c>
      <c r="V14" s="1333" t="str">
        <f>+V11</f>
        <v>Hinterbliebenenkorrektur</v>
      </c>
      <c r="W14" s="1332" t="e">
        <f>ROUND(IFERROR(IF(OR(E_Datum1="",E_BerDat1=""),"",IF(E_Hinterbliebene,VLOOKUP(E_Alter+RK_Zeitabstand_EzE,CHOOSE(IF(E_Rentenalter&lt;60,60,IF(E_Rentenalter&gt;67,67,E_Rentenalter))-59,HRIR60,HRIR61,HRIR62,HRIR63,HRIR64,HRIR,HRIR66,HRIR67),CHOOSE(E_sex,8,17,26),1)*J12,0)),""),4)</f>
        <v>#VALUE!</v>
      </c>
      <c r="X14" s="2722"/>
      <c r="Y14" s="66" t="e">
        <f>ROUND(+X13/HRIR_Zuschlag,4)</f>
        <v>#VALUE!</v>
      </c>
      <c r="Z14" s="71" t="e">
        <f>RK_AlterAusglBer+RK_Zeitabstand_EzE</f>
        <v>#VALUE!</v>
      </c>
      <c r="AB14" s="781"/>
      <c r="AF14" s="783" t="s">
        <v>1197</v>
      </c>
      <c r="AG14" s="71" t="e">
        <f>IF(E_Alter&gt;AG6,1,VLOOKUP(AG6,G_Kohorte_M,YEAR(E_Datum1)-1900+2)/E_VVR1)</f>
        <v>#VALUE!</v>
      </c>
    </row>
    <row r="15" spans="1:34" s="71" customFormat="1" ht="32.1" customHeight="1" thickBot="1">
      <c r="A15" s="20"/>
      <c r="B15" s="2741" t="str">
        <f>IF(E_RenteKapital=1,"11. Monatsrente aus dem Kapital nach Mitteilung des Versorgungsträgers:","11. Kapitalwert der Versorgung nach Mitteilung des Versorgungsträgers")</f>
        <v>11. Kapitalwert der Versorgung nach Mitteilung des Versorgungsträgers</v>
      </c>
      <c r="C15" s="2742"/>
      <c r="D15" s="2743"/>
      <c r="E15" s="1589"/>
      <c r="F15" s="2689" t="str">
        <f>IF(E_Kapital="","",IF(E_RenteKapital=1,"zu erwartende Monatsrente bei interner Teilung:","Barwert der Monatsrente:"))</f>
        <v/>
      </c>
      <c r="G15" s="2690"/>
      <c r="H15" s="1590">
        <f>IF(E_Datum1=0,"",IFERROR(ROUND(IF(E_Kapital=0,0,IF(E_RenteKapital=1,E_RenteausKapital,E_BarwertderRente)),0),""))</f>
        <v>0</v>
      </c>
      <c r="I15" s="2756" t="str">
        <f>IFERROR(IF(X6&gt;ErgebnisABer,"Externe Teilung in DRV kann günstiger als die interne sein.",""),"")</f>
        <v/>
      </c>
      <c r="J15" s="2757"/>
      <c r="K15" s="83"/>
      <c r="L15" s="1344" t="s">
        <v>1555</v>
      </c>
      <c r="M15" s="1351" t="e">
        <f>+S35</f>
        <v>#VALUE!</v>
      </c>
      <c r="N15" s="1329"/>
      <c r="O15" s="1329"/>
      <c r="P15" s="71" t="s">
        <v>84</v>
      </c>
      <c r="Q15" s="1241" t="e">
        <f>Z17</f>
        <v>#VALUE!</v>
      </c>
      <c r="W15" s="2766" t="s">
        <v>1539</v>
      </c>
      <c r="X15" s="2766"/>
      <c r="Y15" s="2766"/>
      <c r="Z15" s="2722"/>
      <c r="AB15" s="781"/>
      <c r="AF15" s="71" t="s">
        <v>559</v>
      </c>
      <c r="AG15" s="153" t="e">
        <f>+AG13*AG14</f>
        <v>#VALUE!</v>
      </c>
    </row>
    <row r="16" spans="1:34" s="71" customFormat="1" ht="27" customHeight="1" thickTop="1">
      <c r="A16" s="20"/>
      <c r="B16" s="2772" t="s">
        <v>137</v>
      </c>
      <c r="C16" s="2773"/>
      <c r="D16" s="2773"/>
      <c r="E16" s="2773"/>
      <c r="F16" s="2773"/>
      <c r="G16" s="1591"/>
      <c r="H16" s="1592"/>
      <c r="I16" s="2719" t="str">
        <f>IFERROR(IF(E_Ergebnis=0,"",IF(E_RenteKapital=1,"",IF(E_Ergebnis&gt;VLOOKUP(YEAR(E_BerDat1),BBMG,IF(Ost,5,4)),"nur interne Teilung möglich"&amp;CHAR(10)&amp;"§ 17, extern d. Vereinbarung","externe Teilung möglich, § 17 "))),"")</f>
        <v/>
      </c>
      <c r="J16" s="2720"/>
      <c r="K16" s="84"/>
      <c r="L16" s="1349" t="s">
        <v>1556</v>
      </c>
      <c r="M16" s="1345" t="e">
        <f>+RK_Nebenleistungen</f>
        <v>#VALUE!</v>
      </c>
      <c r="N16" s="1328"/>
      <c r="O16" s="1328"/>
      <c r="P16" s="71" t="s">
        <v>102</v>
      </c>
      <c r="Q16" s="1948" t="e">
        <f>ROUND(IF(E_RezinsAngabe+E_ReTrend1=0,E_Ergebnis/E_LXYAlterABer/12,((IF(E_RenteKapital=2,IF(E_KapWert&gt;0,E_KapWert,E_Ergebnis),E_Kapital)*IF(E_AnwartschaftszeitABer&gt;0,(1+E_ReZins1)^(E_AnwartschaftszeitABer),1)*(E_ReZins1-E_ReTrend1))/(1-1/(1+(E_ReZins1-E_ReTrend1))^E_LXYAlterABer)/E_VVRAusglBer/12)/IF(OR(E_InvaliditätAusglBer,E_HinterbliebeneAusglBer),(1+T22),1)),2)</f>
        <v>#VALUE!</v>
      </c>
      <c r="R16" s="71" t="e">
        <f>((IF(E_RenteKapital=2,IF(E_KapWert&gt;0,E_KapWert,E_Ergebnis),E_Kapital)*IF(E_AnwartschaftszeitABer&gt;0,(1+E_ReZins1)^(E_AnwartschaftszeitABer),1)*(E_ReZins1-E_ReTrend1))/(1-1/(1+(E_ReZins1-E_ReTrend1))^E_LXYAlterABer)/E_VVRAusglBer/12)/IF(OR(E_InvaliditätAusglBer,E_HinterbliebeneAusglBer),(1+T22),1)</f>
        <v>#VALUE!</v>
      </c>
      <c r="S16" s="1991" t="e">
        <f>-PMT(0%,E_LXYAlterABer,E_Ergebnis,,1)</f>
        <v>#VALUE!</v>
      </c>
      <c r="T16" s="153" t="e">
        <f>S16/12</f>
        <v>#VALUE!</v>
      </c>
      <c r="W16" s="66" t="s">
        <v>1463</v>
      </c>
      <c r="X16" s="1128" t="s">
        <v>1464</v>
      </c>
      <c r="Y16" s="66" t="s">
        <v>1465</v>
      </c>
      <c r="Z16" s="66" t="s">
        <v>1466</v>
      </c>
      <c r="AB16" s="781"/>
    </row>
    <row r="17" spans="1:33" s="71" customFormat="1" ht="26.25" customHeight="1" thickBot="1">
      <c r="A17" s="20"/>
      <c r="B17" s="2691" t="str">
        <f>"13. Geburtsdatum der ausgleichsberechtigten Person ("&amp;CHOOSE(E_sex,"weiblich","männlich","unisex")&amp;")"</f>
        <v>13. Geburtsdatum der ausgleichsberechtigten Person (weiblich)</v>
      </c>
      <c r="C17" s="2692"/>
      <c r="D17" s="1282" t="str">
        <f>IF(E17&lt;&gt;"",E17,IF(E_sex=1,Dat_GebDat_F,IF(E_sex=2,Dat_GebDat_M,IF(AND(E_sex=3,E17&lt;&gt;""),E17,""))))</f>
        <v/>
      </c>
      <c r="E17" s="1283"/>
      <c r="F17" s="2770"/>
      <c r="G17" s="2771"/>
      <c r="H17" s="1593" t="str">
        <f>IFERROR(IF(E_RenteKapital=1,E_RenteausKapitalAglBer,IF(E_BerDat2="","",+E_RenteausKapitalAglBer))/IF(E_Halbteilung,2,1),"")</f>
        <v/>
      </c>
      <c r="I17" s="2776" t="str">
        <f>IFERROR("Rentenerwerb in DRV für AusglBer. zum "&amp;TEXT(E_BerDat1,"T.M.JJ")&amp;": "&amp;TEXT(IF(E_RenteKapital=2,IF(E_KapWert&gt;0,E_KapWert,E_Ergebnis),E_Kapital)/VLOOKUP(E_BerDat1,UmrechnungEP_Kap,IF(Ost,3,2))*VLOOKUP(E_BerDat1,aktRW,IF(Ost,3,2)),"#.##0,00 €"),"")</f>
        <v>Rentenerwerb in DRV für AusglBer. zum 30.6.26: 0,00 €</v>
      </c>
      <c r="J17" s="2777"/>
      <c r="K17" s="85"/>
      <c r="L17" s="1347" t="s">
        <v>1557</v>
      </c>
      <c r="M17" s="1346" t="e">
        <f>IF(E_ReZins1-E_ReTrend1=0,M13/RK_Leistungszeit/12,M13*IF(RK_AnwZeit&gt;0,(1+E_ReZins1)^(RK_AnwZeit),1)*(E_ReZins1-E_ReTrend1)/(1-1/(1+(E_ReZins1-E_ReTrend1))^RK_Leistungezeit)/RK_VVRAglBer_Faktor/12/IF(OR(E_InvaliditätAusglBer,E_HinterbliebeneAusglBer),(1+RK_Nebenleistungen),1))</f>
        <v>#VALUE!</v>
      </c>
      <c r="N17" s="1353"/>
      <c r="O17" s="1353"/>
      <c r="P17" s="71" t="s">
        <v>1615</v>
      </c>
      <c r="Q17" s="16" t="b">
        <v>1</v>
      </c>
      <c r="R17" s="153" t="e">
        <f>-PMT(E_RezinsAngabe,E_LXYAlterABer,E_Kapital,,K26)/12/IF(OR(E_InvaliditätAusglBer,E_HinterbliebeneAusglBer),(1+T22),1)</f>
        <v>#VALUE!</v>
      </c>
      <c r="W17" s="1950" t="e">
        <f>ROUND(-PV(E_Rezins/100-E_ReTrend1,E_LxyRAlter,E_Kapital*12*IF(E_Volldynamik,(1+E_ReTrend1)^E_Anwartschaftszeit,1)),2)</f>
        <v>#VALUE!</v>
      </c>
      <c r="X17" s="1950" t="e">
        <f>ROUND(-PV(E_Rezins/100,E_Anwartschaftszeit,,W17),2)</f>
        <v>#VALUE!</v>
      </c>
      <c r="Y17" s="1950" t="e">
        <f>ROUND(X17*(1+HRIR_Zuschlag),2)</f>
        <v>#VALUE!</v>
      </c>
      <c r="Z17" s="1950" t="e">
        <f>ROUND(Y17*E_VVR,2)</f>
        <v>#VALUE!</v>
      </c>
      <c r="AB17" s="781"/>
    </row>
    <row r="18" spans="1:33" ht="19.5" customHeight="1" thickTop="1">
      <c r="A18" s="18"/>
      <c r="B18" s="2753" t="str">
        <f ca="1">IF(TODAY()&gt;Laufzeitbegrenzung,"Die Laufzeit des Programms ist vorerst auf den "&amp;TEXT(Laufzeitbegrenzung,"TT.MM.JJJJ")&amp;" begrenzt. Kontaktieren Sie bitte Autor oder Verlag.",IF(E15="","","Die Abweichung beträgt ca. "&amp;TEXT(E_Abweichung,"##0%")&amp;IF(E_Abweichung &gt;5%,". Je nachdem, für wen Sie die Berechnung vornehmen, sollten Sie sie prüfen lassen.","")))</f>
        <v/>
      </c>
      <c r="C18" s="2754"/>
      <c r="D18" s="2754"/>
      <c r="E18" s="2754"/>
      <c r="F18" s="2754"/>
      <c r="G18" s="2754"/>
      <c r="H18" s="2755"/>
      <c r="I18" s="2774" t="str">
        <f>IFERROR(IF(E_AlterABer&gt;E_Rentenalter,"DRV als ZV nur bis zur Bewilligung einer Volltente wg. Alters (§ 187 SGV VI)",""),"")</f>
        <v/>
      </c>
      <c r="J18" s="2775"/>
      <c r="K18" s="86"/>
      <c r="L18" s="2794"/>
      <c r="M18" s="2794"/>
      <c r="N18" s="2794"/>
      <c r="O18" s="2794"/>
      <c r="P18" s="71" t="s">
        <v>93</v>
      </c>
      <c r="Q18" s="71" t="e">
        <f>"Monatsrente = {["&amp;TEXT(E_Kapital,"###.###")&amp;IF(E_Anwartschaftszeit&gt;0," x (1 + "&amp;TEXT(E_ReZins1,"##0,00%")&amp;")^"&amp;TEXT(E_Anwartschaftszeit,"#0,00"),"")&amp;" x ("&amp;TEXT(E_ReZins1,"#0,00%")&amp;IF(E_ReTrend1&gt;0," - "&amp;TEXT(E_ReTrend1,"#0,00%"),"")&amp;"] / [1-1/(1+"&amp;TEXT(E_ReZins1,"#0,00%")&amp;IF(E_ReTrend1&gt;0," - "&amp;TEXT(E_ReTrend1,"#0,00%"),"")&amp;")^"&amp;TEXT(E_LxyRAlterI,"#0,0")&amp;"]} "&amp;IF(E_VVR&lt;1,"/ "&amp;TEXT(E_VVR,"0,####"),"")&amp;IF(U8&gt;0," / (1 + "&amp;TEXT(U8,"#0,00%")&amp;")","")&amp;" / 12 "</f>
        <v>#VALUE!</v>
      </c>
      <c r="T18" t="s">
        <v>161</v>
      </c>
      <c r="U18" s="15" t="b">
        <v>0</v>
      </c>
      <c r="W18" s="2762" t="s">
        <v>1898</v>
      </c>
      <c r="X18" s="2762"/>
      <c r="Y18" s="2762"/>
      <c r="Z18" s="2199" t="e">
        <f>IF(E_RenteKapital=2,-PV(-E_ReTrend1,E_LxyRAlter,IF(E_Volldynamik,AA18,E_Kapital*12),,K26),IF(E_Volldynamik,-PV(-E_ReTrend1,LebenserwartungabRente,E_Ergebnis*12*(1+E_ReTrend1)^Anwartschaftszeit,,),-PV(-E_ReTrend1,LebenserwartungabRente,E_Ergebnis*12)))</f>
        <v>#VALUE!</v>
      </c>
      <c r="AA18" s="1242" t="e">
        <f>-FV(E_ReTrend1,E_Anwartschaftszeit,,E_Kapital*12,)</f>
        <v>#VALUE!</v>
      </c>
      <c r="AB18" s="790"/>
    </row>
    <row r="19" spans="1:33" ht="16.5" hidden="1" customHeight="1">
      <c r="A19" s="18"/>
      <c r="B19" s="2747" t="str">
        <f>IFERROR(IF(B20="","","Darstellung der finanzmathematischen Berechnungsparameter. Geringe Ergebnisabweichungen beruhen auf Rundungs- und Interpolationsdifferenzen:"),"")</f>
        <v/>
      </c>
      <c r="C19" s="2748"/>
      <c r="D19" s="2748"/>
      <c r="E19" s="2748"/>
      <c r="F19" s="2748"/>
      <c r="G19" s="2748"/>
      <c r="H19" s="2749"/>
      <c r="I19" s="2784" t="str">
        <f>IFERROR("Barwertfaktor (Jahr): "&amp;TEXT(IF(E_RenteKapital=2,+E_Ergebnis/E_Kapital/12,E_Kapital/E_Ergebnis/12),"###,####"),"")</f>
        <v/>
      </c>
      <c r="J19" s="2785"/>
      <c r="K19" s="53"/>
      <c r="L19" s="2794"/>
      <c r="M19" s="2794"/>
      <c r="N19" s="2794"/>
      <c r="O19" s="2794"/>
      <c r="P19" s="71" t="s">
        <v>94</v>
      </c>
      <c r="Q19" s="71" t="e">
        <f>"Monatsrente = {["&amp;"Kapital "&amp;IF(E_Anwartschaftszeit&gt;0," x (1 + "&amp;"Rezins"&amp;")^Anw.zeit","")&amp;" x ("&amp;"Rezins"&amp;IF(E_ReTrend1&gt;0," - "&amp;"Retrend)","")&amp;"] / [1-1/(1+("&amp;"Rezins"&amp;IF(E_ReTrend1&gt;0," - "&amp;"Retrend","")&amp;")^"&amp;"Lebenserw."&amp;"]}"&amp;IF(E_Anwartschaftszeit&gt;0," / Vorversterbensfaktor","")&amp;IF(U8&gt;0," / (1 + "&amp;IF(E_Ifaktor&gt;0,"Invaliditätsfator ","")&amp;IF(AND(E_Ifaktor&gt;0,E_HFaktor&gt;0),"+","")&amp;IF(E_HFaktor&gt;0," Hinterbliebenenfaktor)",")"),"")&amp;" / 12 "</f>
        <v>#VALUE!</v>
      </c>
      <c r="W19" s="2762" t="s">
        <v>1899</v>
      </c>
      <c r="X19" s="2762"/>
      <c r="Y19" s="2762"/>
      <c r="Z19" s="2200" t="e">
        <f>IF(E_RenteKapital=2,-PV(-E_ReTrend1,E_LXYAlterABer,ErgebnisABer*12,,K26),IF(E_Volldynamik,-PV(-E_ReTrend1,E_LXYAlterABer,ErgebnisABer*12*(1+E_ReTrend1)^E_AnwartschaftszeitABer,,),-PV(-E_ReTrend1,E_LXYAlterABer,E_Ergebnis*12)))</f>
        <v>#VALUE!</v>
      </c>
      <c r="AA19" s="1242" t="e">
        <f>-FV(E_ReTrend1,E_AnwartschaftszeitABer,,ErgebnisABer*12,1)</f>
        <v>#VALUE!</v>
      </c>
      <c r="AB19" s="790"/>
    </row>
    <row r="20" spans="1:33" ht="32.25" hidden="1" customHeight="1">
      <c r="A20" s="18"/>
      <c r="B20" s="2763" t="str">
        <f>IFERROR(IF(E_RenteKapital=1,Q19,E_BarwertText),"")</f>
        <v/>
      </c>
      <c r="C20" s="2764"/>
      <c r="D20" s="2764"/>
      <c r="E20" s="2764"/>
      <c r="F20" s="2764"/>
      <c r="G20" s="2764"/>
      <c r="H20" s="2765"/>
      <c r="I20" s="1311"/>
      <c r="J20" s="1317"/>
      <c r="K20" s="23"/>
      <c r="L20" s="2794"/>
      <c r="M20" s="2794"/>
      <c r="N20" s="2794"/>
      <c r="O20" s="2794"/>
      <c r="P20" t="s">
        <v>89</v>
      </c>
      <c r="Q20" s="791" t="e">
        <f>ABS(1-H15/E15)</f>
        <v>#DIV/0!</v>
      </c>
      <c r="AA20" s="71"/>
      <c r="AB20" s="790"/>
    </row>
    <row r="21" spans="1:33" ht="17.25" hidden="1" customHeight="1">
      <c r="A21" s="18"/>
      <c r="B21" s="2736" t="str">
        <f>IFERROR(IF(E_RenteKapital=2,T_Barwert,T_Verrentung),"")</f>
        <v/>
      </c>
      <c r="C21" s="2737"/>
      <c r="D21" s="2737"/>
      <c r="E21" s="2737"/>
      <c r="F21" s="2737"/>
      <c r="G21" s="2737"/>
      <c r="H21" s="2738"/>
      <c r="I21" s="1318"/>
      <c r="J21" s="1319"/>
      <c r="K21" s="21"/>
      <c r="L21" s="21"/>
      <c r="M21" s="21"/>
      <c r="N21" s="21"/>
      <c r="O21" s="21"/>
      <c r="P21" t="s">
        <v>90</v>
      </c>
      <c r="AA21" s="71"/>
      <c r="AB21" s="790"/>
    </row>
    <row r="22" spans="1:33" ht="20.25" customHeight="1" thickBot="1">
      <c r="A22" s="18"/>
      <c r="B22" s="24" t="s">
        <v>117</v>
      </c>
      <c r="C22" s="1182"/>
      <c r="D22" s="2733" t="s">
        <v>846</v>
      </c>
      <c r="E22" s="2733"/>
      <c r="F22" s="2733" t="s">
        <v>118</v>
      </c>
      <c r="G22" s="2733"/>
      <c r="H22" s="2734"/>
      <c r="I22" s="2795" t="s">
        <v>116</v>
      </c>
      <c r="J22" s="2796"/>
      <c r="K22" s="87"/>
      <c r="L22" s="87"/>
      <c r="M22" s="87"/>
      <c r="N22" s="87"/>
      <c r="O22" s="87"/>
      <c r="P22" t="s">
        <v>110</v>
      </c>
      <c r="Q22" s="15" t="b">
        <v>0</v>
      </c>
      <c r="R22" s="3" t="s">
        <v>111</v>
      </c>
      <c r="S22" s="1324">
        <f>IF(E_InvaliditätAusglBer,VLOOKUP(E_AlterABer,CHOOSE(IF(E_RelegalterABer&lt;60,60,IF(E_RelegalterABer&gt;67,67,E_RelegalterABer))-59,HRIR60,HRIR61,HRIR62,HRIR63,HRIR64,HRIR,HRIR66,HRIR67),CHOOSE(E_sex,16,7,25),1),0)*J11</f>
        <v>0</v>
      </c>
      <c r="T22" s="2783">
        <f>ROUND(E_IFaktorAusglBer+E_HfaktorAusglBer,4)</f>
        <v>0</v>
      </c>
      <c r="W22" t="s">
        <v>1905</v>
      </c>
      <c r="AA22" s="71"/>
      <c r="AB22" s="790"/>
    </row>
    <row r="23" spans="1:33" s="71" customFormat="1" ht="19.5" hidden="1" customHeight="1">
      <c r="A23" s="20"/>
      <c r="B23" s="2730" t="s">
        <v>158</v>
      </c>
      <c r="C23" s="2731"/>
      <c r="D23" s="2731"/>
      <c r="E23" s="2731"/>
      <c r="F23" s="2731"/>
      <c r="G23" s="2731"/>
      <c r="H23" s="2732"/>
      <c r="I23" s="2786" t="str">
        <f>IF(E_BerDat2="","","Renten-Barwerte Berecht.")</f>
        <v/>
      </c>
      <c r="J23" s="2787"/>
      <c r="K23" s="658"/>
      <c r="L23" s="658"/>
      <c r="M23" s="658"/>
      <c r="N23" s="658"/>
      <c r="O23" s="658"/>
      <c r="P23" s="71" t="s">
        <v>112</v>
      </c>
      <c r="Q23" s="16" t="b">
        <v>0</v>
      </c>
      <c r="R23" s="539" t="s">
        <v>113</v>
      </c>
      <c r="S23" s="1325">
        <f>IF(E_HinterbliebeneAusglBer,VLOOKUP(E_AlterABer,CHOOSE(IF(E_RelegalterABer&lt;60,60,IF(E_RelegalterABer&gt;67,67,E_RelegalterABer))-59,HRIR60,HRIR61,HRIR62,HRIR63,HRIR64,HRIR,HRIR66,HRIR67),CHOOSE(E_sex,17,8,26),1)*J12,0)</f>
        <v>0</v>
      </c>
      <c r="T23" s="2783"/>
      <c r="U23" s="789"/>
      <c r="W23"/>
      <c r="X23" s="1942" t="str">
        <f>" x "&amp;"(1 + "&amp;IF(E_Ifaktor&gt;0,TEXT(E_Ifaktor,"##0,00%"),"")&amp;IF(AND(E_Ifaktor&gt;0,E_HFaktor&gt;0)," + ","")&amp;IF(E_HFaktor&gt;0,TEXT(E_HFaktor,"##0,00%")&amp;IF(AND(E_Ifaktor&gt;0,E_HFaktor&gt;0),")",")"),")")</f>
        <v xml:space="preserve"> x (1 +  + )</v>
      </c>
      <c r="Y23"/>
      <c r="Z23"/>
      <c r="AB23" s="781"/>
    </row>
    <row r="24" spans="1:33" s="313" customFormat="1" ht="17.25" hidden="1" customHeight="1">
      <c r="A24" s="55"/>
      <c r="B24" s="2797" t="str">
        <f>IFERROR(IF(E_Kapital+E_Ergebnis=0,"","Bei Einzahlung des Kapitalbetrags von "&amp;TEXT(IF(E_RenteKapital=2,IF(E_KapWert&gt;0,E_KapWert,E_Ergebnis),E_Kapital),"###.##0")&amp;" zum "&amp;TEXT(E_BerDat1,"TT.MM.JJJJ")&amp;" in die DRV, werden "&amp;TEXT(Entgeltpunkte1,"##0,0000")&amp;" EP begründet. Daraus resultiert im Renteneintrittsalter bzw. bei einem Rentenbezieher im Berechnungszeitpunkt bei Annahme einer Dynamik von "&amp;TEXT(RententrendDRV,"0,00%")&amp;" eine Rente der ausgleichspflichtigen Person in Höhe von: "&amp;TEXT(X5,"#.##0 €")&amp;"."&amp;"."),"")</f>
        <v/>
      </c>
      <c r="C24" s="2798"/>
      <c r="D24" s="2798"/>
      <c r="E24" s="2798"/>
      <c r="F24" s="2798"/>
      <c r="G24" s="2798"/>
      <c r="H24" s="2799"/>
      <c r="I24" s="2790" t="str">
        <f>IFERROR("Quellversorgung: "&amp;TEXT(E33,"#.##0 €"),"")</f>
        <v/>
      </c>
      <c r="J24" s="2791"/>
      <c r="K24" s="79"/>
      <c r="L24" s="79"/>
      <c r="M24" s="79"/>
      <c r="N24" s="79"/>
      <c r="O24" s="79"/>
      <c r="P24" s="313" t="s">
        <v>92</v>
      </c>
      <c r="Q24" s="313" t="e">
        <f>IF(E_RenteKapital=2,"Barwert der Rente = ["&amp;TEXT(E_Kapital*12,"#.##0,00 €")&amp;"/"&amp;TEXT(E_ReZins1-E_ReTrend1,"#0,00%")&amp;" × (1-1/(1+"&amp;TEXT(E_ReZins1-E_ReTrend1,"#0,00%")&amp;")^"&amp;TEXT(E_LxyRAlter,"#0,00")&amp;")]"&amp;IF(E_Anwartschaftszeit&gt;0," / [( 1+"&amp;TEXT(E_ReZins1-IF(E_Volldynamik,E_ReTrend1,0),"#0,00%")&amp;")^"&amp;TEXT(E_Anwartschaftszeit,"#0,00")&amp;"]"&amp;E_T_VVR&amp;IF(U8&gt;0,E_T_HRIR,""),IF(U8&gt;0,E_T_HRIR,"")),"")</f>
        <v>#VALUE!</v>
      </c>
      <c r="AA24" s="71"/>
      <c r="AB24" s="792"/>
      <c r="AG24" s="793"/>
    </row>
    <row r="25" spans="1:33" ht="17.25" hidden="1" customHeight="1" thickBot="1">
      <c r="A25" s="18"/>
      <c r="B25" s="2797"/>
      <c r="C25" s="2798"/>
      <c r="D25" s="2798"/>
      <c r="E25" s="2798"/>
      <c r="F25" s="2798"/>
      <c r="G25" s="2798"/>
      <c r="H25" s="2799"/>
      <c r="I25" s="2788" t="str">
        <f>IFERROR("DRV: "&amp;+TEXT(E30/IF(E_Halbteilung,2,1),"#.##0 €"),"")</f>
        <v/>
      </c>
      <c r="J25" s="2789"/>
      <c r="K25" s="80"/>
      <c r="L25" s="80"/>
      <c r="M25" s="80"/>
      <c r="N25" s="80"/>
      <c r="O25" s="80"/>
      <c r="Q25" t="e">
        <f>IF(E_RenteKapital=2,"Barwert der Rente = ["&amp;"Jahresrente"&amp;"/( Rechnungszins - Rententrend)  × (1-1 / (1+Rechnungszins - Rententrend)^Restlebenserwartung "&amp;")]"&amp;IF(E_Anwartschaftszeit&gt;0," / [( 1 + Rechnungszins)^Anwartschaftszeit]"&amp;IF(E_T_VVR&lt;&gt;""," x Vorversterbensrisikofaktor ",""),"")&amp;IF(E_Ifaktor&gt;0," x (1 + Invaliditätsfaktor)","")&amp;IF(E_HFaktor&gt;0," x (1 + Hinterbliebenenfaktor)",""),"")</f>
        <v>#VALUE!</v>
      </c>
      <c r="AA25" s="71"/>
      <c r="AB25" s="790"/>
    </row>
    <row r="26" spans="1:33" ht="23.25" customHeight="1" thickTop="1" thickBot="1">
      <c r="A26" s="1943"/>
      <c r="B26" s="1945" t="s">
        <v>1904</v>
      </c>
      <c r="C26" s="2778" t="str">
        <f>IFERROR("Ausglpfl.: "&amp;Summenzeichen &amp;IFERROR(TEXT(Z18,"#.##0 €")&amp;" p.a.≙"&amp;TEXT(Z18/(Berechnungstext!C16*12),"#.##0 €")&amp;" p.m. über "&amp;TEXT(E_LxyRAlter,"0,0")&amp;" Jahre",""),"")</f>
        <v>Ausglpfl.: ∑</v>
      </c>
      <c r="D26" s="2779"/>
      <c r="E26" s="2780"/>
      <c r="F26" s="2781" t="str">
        <f>"Ausglber.: "&amp;Summenzeichen&amp;IFERROR(TEXT(Z19,"#.##0 €")&amp;" p.a.≙"&amp;TEXT(Z19/(E_LXYAlterABer*12),"#.### €")&amp;" p.m. über "&amp;TEXT(E_LXYAlterABer,"0,00")&amp;" Jahre","")</f>
        <v>Ausglber.: ∑</v>
      </c>
      <c r="G26" s="2779"/>
      <c r="H26" s="2782"/>
      <c r="I26" s="2792"/>
      <c r="J26" s="2792"/>
      <c r="K26" s="2054">
        <v>1</v>
      </c>
      <c r="L26" s="21"/>
      <c r="M26" s="21"/>
      <c r="N26" s="21"/>
      <c r="O26" s="21"/>
      <c r="P26" s="403" t="s">
        <v>95</v>
      </c>
      <c r="Q26" s="1273" t="e">
        <f>IF(E_RezinsAngabe&lt;&gt;"",E_RezinsAngabe*100,IF(E_BerDat1&lt;IF(E_BilMoG10,BilMoG10Anfang,BilMoGAnfang),6,IF(E_BerDat1&lt;=BilMogEnde,VLOOKUP(E_BerDat1,IF(E_BilMoG10,BilMoG10,BilmoGZins),IF(AND(Realdauer=TRUE,E_LxyRAlter&lt;15),E_LxyRAlter+1,16)),0)))</f>
        <v>#VALUE!</v>
      </c>
      <c r="R26" s="58">
        <f>BilMogEnde</f>
        <v>46234</v>
      </c>
      <c r="S26" s="794" t="e">
        <f>IF(E_Anwartschaftszeit&gt;0," x "&amp;TEXT(E_VVR2,"###.###")&amp;" / "&amp;TEXT(E_VVR1,"###.###"),"")</f>
        <v>#VALUE!</v>
      </c>
      <c r="T26">
        <f>VLOOKUP(E_BerDat1,BilmoGZins,16)</f>
        <v>2.4</v>
      </c>
      <c r="U26" t="s">
        <v>396</v>
      </c>
      <c r="V26" s="15" t="b">
        <v>0</v>
      </c>
      <c r="AB26" s="790"/>
    </row>
    <row r="27" spans="1:33" ht="14.25" customHeight="1" thickTop="1">
      <c r="A27" s="25"/>
      <c r="B27" s="2793" t="str">
        <f>"Datenpflege bis "&amp;TEXT(Enddatum,"TT.MM.JJ")&amp;" Aktualisierung unter &lt;Parameter&gt; möglich. Laufzeitbegrenzung bis: "&amp;TEXT(Laufzeitbegrenzung,"TT.MM.JJ")</f>
        <v>Datenpflege bis 31.07.26 Aktualisierung unter &lt;Parameter&gt; möglich. Laufzeitbegrenzung bis: 31.12.26</v>
      </c>
      <c r="C27" s="2793"/>
      <c r="D27" s="2793"/>
      <c r="E27" s="2793"/>
      <c r="F27" s="2793"/>
      <c r="G27" s="2793"/>
      <c r="H27" s="2793"/>
      <c r="I27" s="2792"/>
      <c r="J27" s="2792"/>
      <c r="K27" s="21"/>
      <c r="L27" s="21"/>
      <c r="M27" s="21"/>
      <c r="N27" s="21"/>
      <c r="O27" s="21"/>
      <c r="P27" t="s">
        <v>97</v>
      </c>
      <c r="Q27" s="58" t="e">
        <f>DATE(YEAR(E_Datum1)+E_Rentenalter,MONTH(E_Datum1)+(E_Rentenalter-INT(E_Rentenalter))*12,DAY(E_Datum1))</f>
        <v>#VALUE!</v>
      </c>
      <c r="AA27" s="71"/>
      <c r="AB27" s="790"/>
    </row>
    <row r="28" spans="1:33" ht="18" hidden="1" customHeight="1">
      <c r="B28" s="637"/>
      <c r="C28" s="637"/>
      <c r="D28" s="637"/>
      <c r="E28" s="637"/>
      <c r="F28" s="637"/>
      <c r="G28" s="637"/>
      <c r="H28" s="637"/>
      <c r="I28" s="637"/>
      <c r="J28" s="637"/>
      <c r="K28" s="617"/>
      <c r="L28" s="617"/>
      <c r="M28" s="617"/>
      <c r="N28" s="617"/>
      <c r="O28" s="617"/>
      <c r="P28" t="s">
        <v>96</v>
      </c>
      <c r="Q28">
        <f>IF(F9="Rentner!",1,0)</f>
        <v>0</v>
      </c>
      <c r="U28" s="395" t="e">
        <f>E_Kapital*IF(E_AnwartschaftszeitABer&gt;0,(1+E_ReZins1)^(E_AnwartschaftszeitABer),1)*((E_ReZins1-E_ReTrend1)/(1-1/(1+(E_ReZins1-E_ReTrend1))^E_LXYAlterABer))/E_VVRAusglBer/12/IF(OR(E_InvaliditätAusglBer,E_HinterbliebeneAusglBer),(1+T22),1)</f>
        <v>#VALUE!</v>
      </c>
      <c r="AA28" s="71"/>
      <c r="AB28" s="790"/>
    </row>
    <row r="29" spans="1:33" ht="18" hidden="1" customHeight="1">
      <c r="B29" t="s">
        <v>822</v>
      </c>
      <c r="E29" s="148">
        <f>IF(E_RenteKapital=2,E_Ergebnis,E_Kapital)/VLOOKUP(E_BerDat1,UmrechnungEP_Kap,IF(Ost,3,2))*VLOOKUP(E_BerDat1,aktRW,IF(Ost,3,2))</f>
        <v>0</v>
      </c>
      <c r="P29" t="s">
        <v>853</v>
      </c>
      <c r="Q29" s="91" t="str">
        <f>IF(E_Datum1="","",IF(E_Rentenaltereingabe="",VLOOKUP(YEAR(E_Datum1),Renteneintrittstabelle,3),E_Rentenaltereingabe))</f>
        <v/>
      </c>
      <c r="U29" s="395" t="s">
        <v>1546</v>
      </c>
      <c r="AA29" s="71"/>
      <c r="AB29" s="790"/>
    </row>
    <row r="30" spans="1:33" ht="18" hidden="1" customHeight="1">
      <c r="B30" t="s">
        <v>821</v>
      </c>
      <c r="E30" s="148" t="e">
        <f>-PV(E_ReZins1-RententrendDRV,E_AnwartschaftszeitABer,,-PV(E_ReZins1-RententrendDRV,E_LXYAlterABer,E29*12))</f>
        <v>#VALUE!</v>
      </c>
      <c r="I30" s="148"/>
      <c r="U30" t="s">
        <v>1547</v>
      </c>
      <c r="V30">
        <v>66534</v>
      </c>
      <c r="W30">
        <v>66534</v>
      </c>
      <c r="X30">
        <v>66556</v>
      </c>
      <c r="AA30" s="71"/>
      <c r="AB30" s="790"/>
    </row>
    <row r="31" spans="1:33" ht="18" hidden="1" customHeight="1">
      <c r="B31" t="s">
        <v>823</v>
      </c>
      <c r="I31" s="148"/>
      <c r="P31" t="s">
        <v>98</v>
      </c>
      <c r="Q31" s="618" t="e">
        <f>IF(E_RezinsAngabe&lt;&gt;"",E_RezinsAngabe,IF(E_Rezins/100&gt;0,E_Rezins/100,0))</f>
        <v>#VALUE!</v>
      </c>
      <c r="U31" t="s">
        <v>104</v>
      </c>
      <c r="V31" t="e">
        <f>E_AnwartschaftszeitABer</f>
        <v>#VALUE!</v>
      </c>
      <c r="W31">
        <v>20</v>
      </c>
      <c r="X31">
        <v>20</v>
      </c>
    </row>
    <row r="32" spans="1:33" ht="18" hidden="1" customHeight="1">
      <c r="P32" t="s">
        <v>856</v>
      </c>
      <c r="Q32" t="e">
        <f>YEAR(E_Datum1)+IF(MONTH(E_Datum1)&gt;6,1,0)</f>
        <v>#VALUE!</v>
      </c>
      <c r="R32" s="395"/>
      <c r="S32" s="71"/>
      <c r="T32" s="71"/>
      <c r="U32" t="s">
        <v>1548</v>
      </c>
      <c r="V32" t="e">
        <f>(1+E_ReZins1)^(E_AnwartschaftszeitABer)</f>
        <v>#VALUE!</v>
      </c>
      <c r="W32">
        <v>1.485947396</v>
      </c>
      <c r="X32" t="e">
        <f>(1+E_ReZins1)^(E_AnwartschaftszeitABer)</f>
        <v>#VALUE!</v>
      </c>
    </row>
    <row r="33" spans="2:24" ht="18" hidden="1" customHeight="1">
      <c r="B33" t="s">
        <v>824</v>
      </c>
      <c r="E33" s="148" t="e">
        <f>-PV(E_ReZins1,E_AnwartschaftszeitABer,,-PV(E_ReZins1-E_ReTrend1,E_LXYAlterABer,ErgebnisABer*12))</f>
        <v>#VALUE!</v>
      </c>
      <c r="P33" s="71" t="s">
        <v>82</v>
      </c>
      <c r="Q33" s="1323" t="e">
        <f>ROUND(VLOOKUP(IF(E_Rentenalter&gt;E_Alter,ROUND(E_Rentenalter,2),ROUND(E_Alter,2)),CHOOSE(E_sex,Lebenserwartung_M_V2,Lebenserwartung_F_V2,Lebenserwartung_N_V2),E_Tabschritt),2)</f>
        <v>#VALUE!</v>
      </c>
      <c r="R33" s="1357" t="s">
        <v>1533</v>
      </c>
      <c r="V33" t="e">
        <f>+V32*V30</f>
        <v>#VALUE!</v>
      </c>
      <c r="W33">
        <f>+W32*W30</f>
        <v>98866.024045464001</v>
      </c>
      <c r="X33" t="e">
        <f>+X32*X30</f>
        <v>#VALUE!</v>
      </c>
    </row>
    <row r="34" spans="2:24" ht="18" hidden="1" customHeight="1">
      <c r="P34" s="71" t="s">
        <v>105</v>
      </c>
      <c r="Q34" s="71" t="e">
        <f>ROUND(IF(E_BerDat2="","",IF(E_Rentenaltereingabe="",VLOOKUP(YEAR(E_BerDat2),Renteneintrittstabelle,3),E_Rentenaltereingabe)),4)</f>
        <v>#VALUE!</v>
      </c>
      <c r="R34" s="746" t="s">
        <v>1533</v>
      </c>
      <c r="U34" s="395" t="s">
        <v>1549</v>
      </c>
      <c r="V34" t="e">
        <f>(E_ReZins1-E_ReTrend1)/(1-1/(1+(E_ReZins1-E_ReTrend1))^E_LXYAlterABer)/E_VVRAusglBer/12</f>
        <v>#VALUE!</v>
      </c>
      <c r="W34">
        <v>5.0570600000000004E-3</v>
      </c>
      <c r="X34" t="e">
        <f>(E_ReZins1-E_ReTrend1)/(1-1/(1+(E_ReZins1-E_ReTrend1))^E_LXYAlterABer)/E_VVRAusglBer/12</f>
        <v>#VALUE!</v>
      </c>
    </row>
    <row r="35" spans="2:24" ht="18" hidden="1" customHeight="1">
      <c r="P35" s="71" t="s">
        <v>106</v>
      </c>
      <c r="Q35" s="1949" t="e">
        <f>VLOOKUP(IF(E_RelegalterABer&gt;E_AlterABer,ROUND(E_RelegalterABer,2),ROUND(E_AlterABer,2)),CHOOSE(E_sex,Lebenserwartung_F_V2,Lebenserwartung_M_V2,Lebenserwartung_N_V2),E_Tabschritt2)</f>
        <v>#VALUE!</v>
      </c>
      <c r="R35" s="746" t="s">
        <v>1533</v>
      </c>
      <c r="S35" t="e">
        <f>VLOOKUP(IF(E_RelegalterABer&gt;M9,E_RelegalterABer,M9),CHOOSE(E_sex,Lebenserwartung_F_V2,Lebenserwartung_M_V2,Lebenserwartung_N_V2),E_Tabschritt2)</f>
        <v>#VALUE!</v>
      </c>
      <c r="V35" t="e">
        <f>+V34*V33</f>
        <v>#VALUE!</v>
      </c>
      <c r="W35">
        <f>+W34*W33</f>
        <v>499.97141555935423</v>
      </c>
    </row>
    <row r="36" spans="2:24" ht="18" hidden="1" customHeight="1">
      <c r="E36" s="148"/>
      <c r="P36" s="71" t="s">
        <v>104</v>
      </c>
      <c r="Q36" s="1356" t="e">
        <f>ROUND(IF(E_RelegalterABer-E_AlterABer&lt;0,0,E_RelegalterABer-E_AlterABer),2)</f>
        <v>#VALUE!</v>
      </c>
      <c r="R36" s="746" t="str">
        <f>+R35</f>
        <v>RK</v>
      </c>
      <c r="S36" s="1355" t="e">
        <f>ROUND(E_AnwartschaftszeitABer-M7,4)</f>
        <v>#VALUE!</v>
      </c>
    </row>
    <row r="37" spans="2:24" ht="18" hidden="1" customHeight="1">
      <c r="B37" t="s">
        <v>1211</v>
      </c>
      <c r="E37" s="148"/>
      <c r="P37" s="71" t="s">
        <v>109</v>
      </c>
      <c r="Q37" s="784" t="e">
        <f>IF(+E_VVR2AglBer/E_VVR1AglBer&gt;1,1,+E_VVR2AglBer/E_VVR1AglBer)</f>
        <v>#VALUE!</v>
      </c>
    </row>
    <row r="38" spans="2:24" ht="18" hidden="1" customHeight="1">
      <c r="B38" t="s">
        <v>1212</v>
      </c>
      <c r="E38" s="148"/>
      <c r="G38" t="e">
        <f>E37*(1+E_ReZins1)^-Anwartschaftszeit</f>
        <v>#VALUE!</v>
      </c>
      <c r="P38" s="71" t="s">
        <v>109</v>
      </c>
      <c r="Q38" s="71" t="e">
        <f>TEXT(E_VVR2AglBer,"###.##0")&amp;" / "&amp;TEXT(E_VVR1AglBer,"###.##0")</f>
        <v>#VALUE!</v>
      </c>
    </row>
    <row r="39" spans="2:24" ht="18" hidden="1" customHeight="1">
      <c r="B39" t="s">
        <v>1213</v>
      </c>
      <c r="E39" s="148"/>
      <c r="P39" s="71" t="s">
        <v>108</v>
      </c>
      <c r="Q39" s="782" t="e">
        <f>VLOOKUP(E_RelegalterABer,CHOOSE(E_sex,G_Kohorte_F,G_Kohorte_M,G_Kohorte_N),E_Tabschritt2)</f>
        <v>#VALUE!</v>
      </c>
      <c r="R39" s="71" t="s">
        <v>107</v>
      </c>
      <c r="S39" s="782" t="e">
        <f>VLOOKUP(E_AlterABer,CHOOSE(E_sex,G_Kohorte_F,G_Kohorte_M,G_Kohorte_N),E_Tabschritt2)</f>
        <v>#VALUE!</v>
      </c>
      <c r="T39" t="s">
        <v>1550</v>
      </c>
      <c r="U39" t="e">
        <f>VLOOKUP(RK_AlterAusglBer,CHOOSE(E_sex,G_Kohorte_F,G_Kohorte_M,G_Kohorte_N),E_Tabschritt2)</f>
        <v>#VALUE!</v>
      </c>
      <c r="V39" t="s">
        <v>1551</v>
      </c>
      <c r="W39" t="e">
        <f>+E_VVR2AglBer/RK_VVAAusglBer</f>
        <v>#VALUE!</v>
      </c>
    </row>
    <row r="40" spans="2:24" ht="18" hidden="1" customHeight="1">
      <c r="B40" s="403" t="s">
        <v>1214</v>
      </c>
      <c r="C40" s="403"/>
      <c r="D40" s="403"/>
      <c r="E40" s="501"/>
      <c r="G40" t="e">
        <f>+G38*E_VVR</f>
        <v>#VALUE!</v>
      </c>
      <c r="P40" s="71" t="s">
        <v>103</v>
      </c>
      <c r="Q40" s="619" t="e">
        <f>ROUND(IF(E_BerDat2="","",YEARFRAC(E_BerDat2,E_BerDat1,0)),4)</f>
        <v>#VALUE!</v>
      </c>
      <c r="R40" t="e">
        <f>+(E_RelegalterABer-INT(E_RelegalterABer))*12</f>
        <v>#VALUE!</v>
      </c>
    </row>
    <row r="41" spans="2:24" ht="18" hidden="1" customHeight="1">
      <c r="P41" t="s">
        <v>156</v>
      </c>
      <c r="Q41" s="58" t="e">
        <f>DATE(YEAR(E_BerDat2)+E_RelegalterABer,MONTH(E_BerDat2+1)+R40,1)</f>
        <v>#VALUE!</v>
      </c>
      <c r="R41" t="e">
        <f>YEARFRAC(E_BerDat1,Q41,3)</f>
        <v>#VALUE!</v>
      </c>
    </row>
    <row r="42" spans="2:24" ht="18" hidden="1" customHeight="1">
      <c r="R42" s="795" t="e">
        <f>-FV(2.2%,R41,,50000)</f>
        <v>#VALUE!</v>
      </c>
    </row>
    <row r="43" spans="2:24" ht="18" hidden="1" customHeight="1">
      <c r="P43" t="s">
        <v>174</v>
      </c>
      <c r="Q43" t="str">
        <f>IF(E_Rentenalter&gt;0,E_Rentenalter,VLOOKUP(Geburtsjahr,Renteneintrittstabelle,3))</f>
        <v/>
      </c>
    </row>
    <row r="44" spans="2:24" ht="18" hidden="1" customHeight="1">
      <c r="P44" t="s">
        <v>68</v>
      </c>
      <c r="Q44" s="15" t="b">
        <v>0</v>
      </c>
    </row>
    <row r="45" spans="2:24" ht="18" hidden="1" customHeight="1">
      <c r="P45" t="s">
        <v>57</v>
      </c>
      <c r="Q45" s="15" t="b">
        <v>0</v>
      </c>
    </row>
    <row r="46" spans="2:24" ht="18" hidden="1" customHeight="1"/>
    <row r="47" spans="2:24" ht="18" hidden="1" customHeight="1"/>
    <row r="50" customFormat="1" hidden="1"/>
  </sheetData>
  <sheetProtection algorithmName="SHA-512" hashValue="CU4JUrK3StRwmBpIphbWphRot4S3eKzr6hMvRRHYLY+6x/s59keDJKXOsgi0StkZUovvcLlKzyNmbG1fzZlZtQ==" saltValue="SbxJ3Gigl+praYqGG8jo0w==" spinCount="100000" sheet="1" objects="1" scenarios="1" formatColumns="0" selectLockedCells="1" autoFilter="0"/>
  <dataConsolidate/>
  <mergeCells count="68">
    <mergeCell ref="C26:E26"/>
    <mergeCell ref="F26:H26"/>
    <mergeCell ref="T22:T23"/>
    <mergeCell ref="I19:J19"/>
    <mergeCell ref="I23:J23"/>
    <mergeCell ref="I25:J25"/>
    <mergeCell ref="I24:J24"/>
    <mergeCell ref="I26:J27"/>
    <mergeCell ref="B27:H27"/>
    <mergeCell ref="L18:O20"/>
    <mergeCell ref="I22:J22"/>
    <mergeCell ref="B24:H25"/>
    <mergeCell ref="I15:J15"/>
    <mergeCell ref="I9:J9"/>
    <mergeCell ref="I10:J10"/>
    <mergeCell ref="W19:Y19"/>
    <mergeCell ref="B20:H20"/>
    <mergeCell ref="W15:Z15"/>
    <mergeCell ref="W18:Y18"/>
    <mergeCell ref="B12:D12"/>
    <mergeCell ref="F10:H10"/>
    <mergeCell ref="F9:H9"/>
    <mergeCell ref="B14:D14"/>
    <mergeCell ref="F17:G17"/>
    <mergeCell ref="B16:F16"/>
    <mergeCell ref="I16:J16"/>
    <mergeCell ref="I18:J18"/>
    <mergeCell ref="I17:J17"/>
    <mergeCell ref="A12:A14"/>
    <mergeCell ref="B23:H23"/>
    <mergeCell ref="D22:E22"/>
    <mergeCell ref="F22:H22"/>
    <mergeCell ref="B9:D9"/>
    <mergeCell ref="B21:H21"/>
    <mergeCell ref="F11:H11"/>
    <mergeCell ref="B15:D15"/>
    <mergeCell ref="F14:H14"/>
    <mergeCell ref="B19:H19"/>
    <mergeCell ref="F13:H13"/>
    <mergeCell ref="F12:H12"/>
    <mergeCell ref="B11:D11"/>
    <mergeCell ref="B10:D10"/>
    <mergeCell ref="B18:H18"/>
    <mergeCell ref="B13:D13"/>
    <mergeCell ref="X13:X14"/>
    <mergeCell ref="L2:M2"/>
    <mergeCell ref="L3:M3"/>
    <mergeCell ref="V9:Y9"/>
    <mergeCell ref="X10:X11"/>
    <mergeCell ref="V12:Y12"/>
    <mergeCell ref="U8:U9"/>
    <mergeCell ref="T8:T9"/>
    <mergeCell ref="F15:G15"/>
    <mergeCell ref="B17:C17"/>
    <mergeCell ref="I13:J13"/>
    <mergeCell ref="I14:J14"/>
    <mergeCell ref="L1:M1"/>
    <mergeCell ref="B1:H1"/>
    <mergeCell ref="B2:H2"/>
    <mergeCell ref="B8:D8"/>
    <mergeCell ref="F6:H6"/>
    <mergeCell ref="I2:J2"/>
    <mergeCell ref="E8:H8"/>
    <mergeCell ref="I6:J7"/>
    <mergeCell ref="I8:J8"/>
    <mergeCell ref="B3:H3"/>
    <mergeCell ref="B7:D7"/>
    <mergeCell ref="I5:J5"/>
  </mergeCells>
  <phoneticPr fontId="61" type="noConversion"/>
  <conditionalFormatting sqref="B7 E7:H7">
    <cfRule type="expression" dxfId="352" priority="19">
      <formula>E_sex=2</formula>
    </cfRule>
    <cfRule type="expression" dxfId="351" priority="20">
      <formula>E_sex=1</formula>
    </cfRule>
  </conditionalFormatting>
  <conditionalFormatting sqref="B18:D18">
    <cfRule type="expression" dxfId="350" priority="59">
      <formula>AND(E_Abweichung&gt;5%,E_Abweichung&lt;10%)</formula>
    </cfRule>
    <cfRule type="expression" dxfId="349" priority="60">
      <formula>ABS(E_Abweichung)&lt;5%</formula>
    </cfRule>
    <cfRule type="expression" dxfId="348" priority="61">
      <formula>E_Abweichung&gt;0.05</formula>
    </cfRule>
  </conditionalFormatting>
  <conditionalFormatting sqref="B7:H7">
    <cfRule type="expression" dxfId="347" priority="7">
      <formula>E_sex=3</formula>
    </cfRule>
  </conditionalFormatting>
  <conditionalFormatting sqref="C26:E26">
    <cfRule type="expression" dxfId="346" priority="4">
      <formula>E_sex =2</formula>
    </cfRule>
    <cfRule type="expression" dxfId="345" priority="5">
      <formula>E_sex=1</formula>
    </cfRule>
  </conditionalFormatting>
  <conditionalFormatting sqref="C26:H26">
    <cfRule type="expression" dxfId="344" priority="1">
      <formula>E_sex=3</formula>
    </cfRule>
  </conditionalFormatting>
  <conditionalFormatting sqref="D17">
    <cfRule type="expression" dxfId="340" priority="17">
      <formula>E_sex=2</formula>
    </cfRule>
    <cfRule type="expression" dxfId="339" priority="18">
      <formula>E_sex=1</formula>
    </cfRule>
  </conditionalFormatting>
  <conditionalFormatting sqref="E5">
    <cfRule type="expression" dxfId="338" priority="25">
      <formula>AND($E$5="",$D$5="")</formula>
    </cfRule>
  </conditionalFormatting>
  <conditionalFormatting sqref="E6">
    <cfRule type="expression" dxfId="337" priority="24">
      <formula>AND($E$6="",$D$6="")</formula>
    </cfRule>
  </conditionalFormatting>
  <conditionalFormatting sqref="E9">
    <cfRule type="expression" dxfId="336" priority="10">
      <formula>E_Rente_Kapital=1</formula>
    </cfRule>
    <cfRule type="expression" dxfId="335" priority="27">
      <formula>AND(E9&gt;0,E9&lt;=$AA$2)</formula>
    </cfRule>
    <cfRule type="expression" dxfId="334" priority="31">
      <formula>E9=""</formula>
    </cfRule>
  </conditionalFormatting>
  <conditionalFormatting sqref="E13">
    <cfRule type="expression" dxfId="333" priority="52">
      <formula>AND(E_Rezins=0,E13=0)</formula>
    </cfRule>
  </conditionalFormatting>
  <conditionalFormatting sqref="E14">
    <cfRule type="expression" dxfId="332" priority="8">
      <formula>AND(E_Volldynamik,E14="")</formula>
    </cfRule>
  </conditionalFormatting>
  <conditionalFormatting sqref="F26:H26">
    <cfRule type="expression" dxfId="331" priority="2">
      <formula>E_sex=2</formula>
    </cfRule>
    <cfRule type="expression" dxfId="330" priority="6">
      <formula>E_sex=1</formula>
    </cfRule>
  </conditionalFormatting>
  <conditionalFormatting sqref="H15">
    <cfRule type="expression" dxfId="329" priority="26">
      <formula>IF(E_RenteKapital=2,AND($H$15&gt;0,$H$15&lt;=$AB$2))</formula>
    </cfRule>
  </conditionalFormatting>
  <conditionalFormatting sqref="H17">
    <cfRule type="expression" dxfId="328" priority="13" stopIfTrue="1">
      <formula>AND(E_Invalidität=TRUE,OR(E_Rentenalter&lt;60,E_Rentenalter&gt;67),$E$9&gt;0)</formula>
    </cfRule>
  </conditionalFormatting>
  <conditionalFormatting sqref="I2:J2">
    <cfRule type="expression" dxfId="327" priority="544">
      <formula>AND($D$6&gt;Enddatum,D6&lt;&gt;"")</formula>
    </cfRule>
  </conditionalFormatting>
  <conditionalFormatting sqref="I8:J8">
    <cfRule type="expression" dxfId="326" priority="28">
      <formula>$I$8&lt;&gt;""</formula>
    </cfRule>
  </conditionalFormatting>
  <conditionalFormatting sqref="L4:M17">
    <cfRule type="expression" dxfId="325" priority="9">
      <formula>E_RenteKapital=1</formula>
    </cfRule>
  </conditionalFormatting>
  <dataValidations count="6">
    <dataValidation type="decimal" allowBlank="1" showInputMessage="1" showErrorMessage="1" error="Werte nur zwischen 0 und 10.000.000 möglich" sqref="E9" xr:uid="{00000000-0002-0000-0C00-000002000000}">
      <formula1>0</formula1>
      <formula2>10000000</formula2>
    </dataValidation>
    <dataValidation type="decimal" allowBlank="1" showInputMessage="1" showErrorMessage="1" sqref="E14" xr:uid="{00000000-0002-0000-0C00-000004000000}">
      <formula1>0</formula1>
      <formula2>0.1</formula2>
    </dataValidation>
    <dataValidation allowBlank="1" showInputMessage="1" showErrorMessage="1" error="Es sind nur Berechnungen zwischen Renteneintrittsalter 60 und 67 zulässig!" sqref="E10" xr:uid="{00000000-0002-0000-0C00-000005000000}"/>
    <dataValidation type="decimal" allowBlank="1" showInputMessage="1" showErrorMessage="1" sqref="E13" xr:uid="{BC72D73A-92F3-42EF-84E7-98FD39C2A865}">
      <formula1>-0.1</formula1>
      <formula2>0.1</formula2>
    </dataValidation>
    <dataValidation type="date" allowBlank="1" showInputMessage="1" showErrorMessage="1" errorTitle="Eingabebeschränkung" error="Es sind nur Eingaben zwischen dem 1.1.1920 und dem Datum der Programmpflege zulässig" sqref="E5" xr:uid="{19B95D2D-59C4-4028-96C5-86ECE426FAB4}">
      <formula1>7306</formula1>
      <formula2>Enddatum</formula2>
    </dataValidation>
    <dataValidation allowBlank="1" showInputMessage="1" showErrorMessage="1" errorTitle="Eingabebeschränkung" error="Es sind nur Datumsangaben zwischen dem 1.7.1977 und dem Pflegedatum der Version zulässing" sqref="E6" xr:uid="{6B871CDD-4932-44A4-91EB-3B131C937E4F}"/>
  </dataValidations>
  <hyperlinks>
    <hyperlink ref="B22" r:id="rId1" display="© Rechtsanwalt Jörn Hauß, Vom-Rath-Str. 10, 47051 Duisburg" xr:uid="{00000000-0004-0000-0C00-000001000000}"/>
    <hyperlink ref="I22" r:id="rId2" display="VersAusglKasse" xr:uid="{00000000-0004-0000-0C00-000002000000}"/>
    <hyperlink ref="D22:E22" r:id="rId3" display="Mail an Rechtsanwalt Hauß" xr:uid="{7D38EC7A-F71C-4675-9D08-6D1BFA9F6A0B}"/>
    <hyperlink ref="I18:J18" r:id="rId4" display="https://www.gesetze-im-internet.de/sgb_6/__187.html" xr:uid="{C61B8869-DCCE-411F-9A8C-646FAE9EBF0B}"/>
    <hyperlink ref="I9:J9" r:id="rId5" display="https://juris.bundesgerichtshof.de/cgi-bin/rechtsprechung/document.py?Gericht=bgh&amp;Art=en&amp;sid=71f83d96929445805a9bb9d022abe257&amp;nr=74127&amp;pos=0&amp;anz=1" xr:uid="{A6D19D5A-4909-4942-B3E4-2EAF8E9EA3CB}"/>
    <hyperlink ref="F14:H14" r:id="rId6" display="https://juris.bundesgerichtshof.de/cgi-bin/rechtsprechung/document.py?Gericht=bgh&amp;Art=en&amp;sid=112808a87d072f9363b1a5b84dc00e67&amp;nr=82918&amp;pos=0&amp;anz=1" xr:uid="{0ECF0E3F-0D41-4609-855B-29EC9909C645}"/>
    <hyperlink ref="F13:H13" r:id="rId7" display="https://juris.bundesgerichtshof.de/cgi-bin/rechtsprechung/document.py?Gericht=bgh&amp;Art=en&amp;sid=53c3a989ad9cee0d8b28cc75365b87c0&amp;nr=76197&amp;pos=0&amp;anz=1" xr:uid="{D31AC216-BAF0-4FA1-9FD0-98498B0429B8}"/>
  </hyperlinks>
  <printOptions horizontalCentered="1" verticalCentered="1"/>
  <pageMargins left="0.11811023622047245" right="0.11811023622047245" top="0.39370078740157483" bottom="0.39370078740157483" header="0.31496062992125984" footer="0.31496062992125984"/>
  <pageSetup paperSize="9" scale="81" orientation="landscape" r:id="rId8"/>
  <drawing r:id="rId9"/>
  <legacyDrawing r:id="rId10"/>
  <mc:AlternateContent xmlns:mc="http://schemas.openxmlformats.org/markup-compatibility/2006">
    <mc:Choice Requires="x14">
      <controls>
        <mc:AlternateContent xmlns:mc="http://schemas.openxmlformats.org/markup-compatibility/2006">
          <mc:Choice Requires="x14">
            <control shapeId="5121" r:id="rId11" name="Kontrollkästchen 1">
              <controlPr defaultSize="0" autoFill="0" autoLine="0" autoPict="0">
                <anchor moveWithCells="1">
                  <from>
                    <xdr:col>4</xdr:col>
                    <xdr:colOff>333375</xdr:colOff>
                    <xdr:row>10</xdr:row>
                    <xdr:rowOff>104775</xdr:rowOff>
                  </from>
                  <to>
                    <xdr:col>4</xdr:col>
                    <xdr:colOff>723900</xdr:colOff>
                    <xdr:row>10</xdr:row>
                    <xdr:rowOff>295275</xdr:rowOff>
                  </to>
                </anchor>
              </controlPr>
            </control>
          </mc:Choice>
        </mc:AlternateContent>
        <mc:AlternateContent xmlns:mc="http://schemas.openxmlformats.org/markup-compatibility/2006">
          <mc:Choice Requires="x14">
            <control shapeId="5122" r:id="rId12" name="Kontrollkästchen 2">
              <controlPr defaultSize="0" autoFill="0" autoLine="0" autoPict="0">
                <anchor moveWithCells="1">
                  <from>
                    <xdr:col>4</xdr:col>
                    <xdr:colOff>333375</xdr:colOff>
                    <xdr:row>11</xdr:row>
                    <xdr:rowOff>104775</xdr:rowOff>
                  </from>
                  <to>
                    <xdr:col>4</xdr:col>
                    <xdr:colOff>723900</xdr:colOff>
                    <xdr:row>11</xdr:row>
                    <xdr:rowOff>295275</xdr:rowOff>
                  </to>
                </anchor>
              </controlPr>
            </control>
          </mc:Choice>
        </mc:AlternateContent>
        <mc:AlternateContent xmlns:mc="http://schemas.openxmlformats.org/markup-compatibility/2006">
          <mc:Choice Requires="x14">
            <control shapeId="5143" r:id="rId13" name="Optionsfeld 23">
              <controlPr defaultSize="0" autoFill="0" autoLine="0" autoPict="0">
                <anchor moveWithCells="1">
                  <from>
                    <xdr:col>4</xdr:col>
                    <xdr:colOff>76200</xdr:colOff>
                    <xdr:row>6</xdr:row>
                    <xdr:rowOff>104775</xdr:rowOff>
                  </from>
                  <to>
                    <xdr:col>4</xdr:col>
                    <xdr:colOff>942975</xdr:colOff>
                    <xdr:row>6</xdr:row>
                    <xdr:rowOff>295275</xdr:rowOff>
                  </to>
                </anchor>
              </controlPr>
            </control>
          </mc:Choice>
        </mc:AlternateContent>
        <mc:AlternateContent xmlns:mc="http://schemas.openxmlformats.org/markup-compatibility/2006">
          <mc:Choice Requires="x14">
            <control shapeId="5147" r:id="rId14" name="Optionsfeld 27">
              <controlPr defaultSize="0" autoFill="0" autoLine="0" autoPict="0">
                <anchor moveWithCells="1">
                  <from>
                    <xdr:col>5</xdr:col>
                    <xdr:colOff>295275</xdr:colOff>
                    <xdr:row>6</xdr:row>
                    <xdr:rowOff>104775</xdr:rowOff>
                  </from>
                  <to>
                    <xdr:col>5</xdr:col>
                    <xdr:colOff>1038225</xdr:colOff>
                    <xdr:row>6</xdr:row>
                    <xdr:rowOff>295275</xdr:rowOff>
                  </to>
                </anchor>
              </controlPr>
            </control>
          </mc:Choice>
        </mc:AlternateContent>
        <mc:AlternateContent xmlns:mc="http://schemas.openxmlformats.org/markup-compatibility/2006">
          <mc:Choice Requires="x14">
            <control shapeId="5149" r:id="rId15" name="Gruppenfeld 29">
              <controlPr defaultSize="0" autoFill="0" autoPict="0">
                <anchor moveWithCells="1">
                  <from>
                    <xdr:col>3</xdr:col>
                    <xdr:colOff>828675</xdr:colOff>
                    <xdr:row>6</xdr:row>
                    <xdr:rowOff>28575</xdr:rowOff>
                  </from>
                  <to>
                    <xdr:col>7</xdr:col>
                    <xdr:colOff>1266825</xdr:colOff>
                    <xdr:row>7</xdr:row>
                    <xdr:rowOff>0</xdr:rowOff>
                  </to>
                </anchor>
              </controlPr>
            </control>
          </mc:Choice>
        </mc:AlternateContent>
        <mc:AlternateContent xmlns:mc="http://schemas.openxmlformats.org/markup-compatibility/2006">
          <mc:Choice Requires="x14">
            <control shapeId="5150" r:id="rId16" name="Gruppenfeld 30">
              <controlPr defaultSize="0" autoFill="0" autoPict="0">
                <anchor moveWithCells="1">
                  <from>
                    <xdr:col>3</xdr:col>
                    <xdr:colOff>828675</xdr:colOff>
                    <xdr:row>7</xdr:row>
                    <xdr:rowOff>28575</xdr:rowOff>
                  </from>
                  <to>
                    <xdr:col>7</xdr:col>
                    <xdr:colOff>1266825</xdr:colOff>
                    <xdr:row>8</xdr:row>
                    <xdr:rowOff>0</xdr:rowOff>
                  </to>
                </anchor>
              </controlPr>
            </control>
          </mc:Choice>
        </mc:AlternateContent>
        <mc:AlternateContent xmlns:mc="http://schemas.openxmlformats.org/markup-compatibility/2006">
          <mc:Choice Requires="x14">
            <control shapeId="5207" r:id="rId17" name="Kontrollkästchen 87">
              <controlPr defaultSize="0" autoFill="0" autoLine="0" autoPict="0">
                <anchor moveWithCells="1">
                  <from>
                    <xdr:col>6</xdr:col>
                    <xdr:colOff>790575</xdr:colOff>
                    <xdr:row>15</xdr:row>
                    <xdr:rowOff>38100</xdr:rowOff>
                  </from>
                  <to>
                    <xdr:col>7</xdr:col>
                    <xdr:colOff>847725</xdr:colOff>
                    <xdr:row>15</xdr:row>
                    <xdr:rowOff>295275</xdr:rowOff>
                  </to>
                </anchor>
              </controlPr>
            </control>
          </mc:Choice>
        </mc:AlternateContent>
        <mc:AlternateContent xmlns:mc="http://schemas.openxmlformats.org/markup-compatibility/2006">
          <mc:Choice Requires="x14">
            <control shapeId="5208" r:id="rId18" name="Kontrollkästchen 88">
              <controlPr defaultSize="0" autoFill="0" autoLine="0" autoPict="0">
                <anchor moveWithCells="1">
                  <from>
                    <xdr:col>5</xdr:col>
                    <xdr:colOff>66675</xdr:colOff>
                    <xdr:row>15</xdr:row>
                    <xdr:rowOff>66675</xdr:rowOff>
                  </from>
                  <to>
                    <xdr:col>6</xdr:col>
                    <xdr:colOff>219075</xdr:colOff>
                    <xdr:row>15</xdr:row>
                    <xdr:rowOff>295275</xdr:rowOff>
                  </to>
                </anchor>
              </controlPr>
            </control>
          </mc:Choice>
        </mc:AlternateContent>
        <mc:AlternateContent xmlns:mc="http://schemas.openxmlformats.org/markup-compatibility/2006">
          <mc:Choice Requires="x14">
            <control shapeId="5342" r:id="rId19" name="Option Button 222">
              <controlPr defaultSize="0" autoFill="0" autoLine="0" autoPict="0">
                <anchor moveWithCells="1">
                  <from>
                    <xdr:col>6</xdr:col>
                    <xdr:colOff>295275</xdr:colOff>
                    <xdr:row>7</xdr:row>
                    <xdr:rowOff>66675</xdr:rowOff>
                  </from>
                  <to>
                    <xdr:col>7</xdr:col>
                    <xdr:colOff>228600</xdr:colOff>
                    <xdr:row>7</xdr:row>
                    <xdr:rowOff>295275</xdr:rowOff>
                  </to>
                </anchor>
              </controlPr>
            </control>
          </mc:Choice>
        </mc:AlternateContent>
        <mc:AlternateContent xmlns:mc="http://schemas.openxmlformats.org/markup-compatibility/2006">
          <mc:Choice Requires="x14">
            <control shapeId="5801" r:id="rId20" name="Check Box 681">
              <controlPr defaultSize="0" autoFill="0" autoLine="0" autoPict="0">
                <anchor moveWithCells="1">
                  <from>
                    <xdr:col>5</xdr:col>
                    <xdr:colOff>66675</xdr:colOff>
                    <xdr:row>16</xdr:row>
                    <xdr:rowOff>66675</xdr:rowOff>
                  </from>
                  <to>
                    <xdr:col>7</xdr:col>
                    <xdr:colOff>57150</xdr:colOff>
                    <xdr:row>16</xdr:row>
                    <xdr:rowOff>295275</xdr:rowOff>
                  </to>
                </anchor>
              </controlPr>
            </control>
          </mc:Choice>
        </mc:AlternateContent>
        <mc:AlternateContent xmlns:mc="http://schemas.openxmlformats.org/markup-compatibility/2006">
          <mc:Choice Requires="x14">
            <control shapeId="589771" r:id="rId21" name="Optionsfeld 26">
              <controlPr defaultSize="0" autoFill="0" autoLine="0" autoPict="0">
                <anchor moveWithCells="1">
                  <from>
                    <xdr:col>4</xdr:col>
                    <xdr:colOff>66675</xdr:colOff>
                    <xdr:row>7</xdr:row>
                    <xdr:rowOff>104775</xdr:rowOff>
                  </from>
                  <to>
                    <xdr:col>5</xdr:col>
                    <xdr:colOff>533400</xdr:colOff>
                    <xdr:row>7</xdr:row>
                    <xdr:rowOff>257175</xdr:rowOff>
                  </to>
                </anchor>
              </controlPr>
            </control>
          </mc:Choice>
        </mc:AlternateContent>
        <mc:AlternateContent xmlns:mc="http://schemas.openxmlformats.org/markup-compatibility/2006">
          <mc:Choice Requires="x14">
            <control shapeId="589777" r:id="rId22" name="Check Box 2001">
              <controlPr defaultSize="0" autoFill="0" autoLine="0" autoPict="0">
                <anchor moveWithCells="1">
                  <from>
                    <xdr:col>8</xdr:col>
                    <xdr:colOff>28575</xdr:colOff>
                    <xdr:row>12</xdr:row>
                    <xdr:rowOff>66675</xdr:rowOff>
                  </from>
                  <to>
                    <xdr:col>8</xdr:col>
                    <xdr:colOff>828675</xdr:colOff>
                    <xdr:row>12</xdr:row>
                    <xdr:rowOff>295275</xdr:rowOff>
                  </to>
                </anchor>
              </controlPr>
            </control>
          </mc:Choice>
        </mc:AlternateContent>
        <mc:AlternateContent xmlns:mc="http://schemas.openxmlformats.org/markup-compatibility/2006">
          <mc:Choice Requires="x14">
            <control shapeId="589782" r:id="rId23" name="Check Box 2006">
              <controlPr defaultSize="0" autoFill="0" autoLine="0" autoPict="0">
                <anchor moveWithCells="1">
                  <from>
                    <xdr:col>8</xdr:col>
                    <xdr:colOff>28575</xdr:colOff>
                    <xdr:row>2</xdr:row>
                    <xdr:rowOff>66675</xdr:rowOff>
                  </from>
                  <to>
                    <xdr:col>10</xdr:col>
                    <xdr:colOff>0</xdr:colOff>
                    <xdr:row>4</xdr:row>
                    <xdr:rowOff>0</xdr:rowOff>
                  </to>
                </anchor>
              </controlPr>
            </control>
          </mc:Choice>
        </mc:AlternateContent>
        <mc:AlternateContent xmlns:mc="http://schemas.openxmlformats.org/markup-compatibility/2006">
          <mc:Choice Requires="x14">
            <control shapeId="589784" r:id="rId24" name="Option Button 2008">
              <controlPr defaultSize="0" autoFill="0" autoLine="0" autoPict="0">
                <anchor moveWithCells="1">
                  <from>
                    <xdr:col>6</xdr:col>
                    <xdr:colOff>276225</xdr:colOff>
                    <xdr:row>6</xdr:row>
                    <xdr:rowOff>85725</xdr:rowOff>
                  </from>
                  <to>
                    <xdr:col>7</xdr:col>
                    <xdr:colOff>85725</xdr:colOff>
                    <xdr:row>6</xdr:row>
                    <xdr:rowOff>314325</xdr:rowOff>
                  </to>
                </anchor>
              </controlPr>
            </control>
          </mc:Choice>
        </mc:AlternateContent>
        <mc:AlternateContent xmlns:mc="http://schemas.openxmlformats.org/markup-compatibility/2006">
          <mc:Choice Requires="x14">
            <control shapeId="589785" r:id="rId25" name="Check Box 2009">
              <controlPr defaultSize="0" autoFill="0" autoLine="0" autoPict="0">
                <anchor moveWithCells="1">
                  <from>
                    <xdr:col>2</xdr:col>
                    <xdr:colOff>1171575</xdr:colOff>
                    <xdr:row>13</xdr:row>
                    <xdr:rowOff>66675</xdr:rowOff>
                  </from>
                  <to>
                    <xdr:col>3</xdr:col>
                    <xdr:colOff>752475</xdr:colOff>
                    <xdr:row>13</xdr:row>
                    <xdr:rowOff>295275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16" id="{2A8AAC1E-14AF-40B0-808F-B0DF6A2130C3}">
            <xm:f>AND($E$5="",Fallerfassung!$T$6+Fallerfassung!$V$6&gt;0,E5="",D5&gt;0)</xm:f>
            <x14:dxf>
              <fill>
                <patternFill>
                  <bgColor theme="4" tint="0.59996337778862885"/>
                </patternFill>
              </fill>
            </x14:dxf>
          </x14:cfRule>
          <xm:sqref>D5</xm:sqref>
        </x14:conditionalFormatting>
        <x14:conditionalFormatting xmlns:xm="http://schemas.microsoft.com/office/excel/2006/main">
          <x14:cfRule type="expression" priority="21" id="{D08C7B7F-78CA-4677-8516-1267111F4976}">
            <xm:f>AND($E$6=0,Fallerfassung!$V$3&gt;0)</xm:f>
            <x14:dxf>
              <fill>
                <patternFill>
                  <bgColor theme="4" tint="0.59996337778862885"/>
                </patternFill>
              </fill>
            </x14:dxf>
          </x14:cfRule>
          <xm:sqref>D6</xm:sqref>
        </x14:conditionalFormatting>
        <x14:conditionalFormatting xmlns:xm="http://schemas.microsoft.com/office/excel/2006/main">
          <x14:cfRule type="expression" priority="16" id="{F654F09B-7D2C-4102-B355-CAFF4446EA28}">
            <xm:f>Fallerfassung!$U$6+Fallerfassung!$S$6=0</xm:f>
            <x14:dxf>
              <fill>
                <patternFill>
                  <bgColor theme="0" tint="-0.14996795556505021"/>
                </patternFill>
              </fill>
            </x14:dxf>
          </x14:cfRule>
          <xm:sqref>D17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8">
    <pageSetUpPr fitToPage="1"/>
  </sheetPr>
  <dimension ref="A1:J34"/>
  <sheetViews>
    <sheetView showGridLines="0" showRowColHeaders="0" showZeros="0" zoomScale="160" zoomScaleNormal="160" workbookViewId="0">
      <selection activeCell="B15" sqref="B15"/>
    </sheetView>
  </sheetViews>
  <sheetFormatPr baseColWidth="10" defaultColWidth="11" defaultRowHeight="14.25" zeroHeight="1"/>
  <cols>
    <col min="1" max="1" width="11" customWidth="1"/>
    <col min="2" max="2" width="71" customWidth="1"/>
    <col min="3" max="3" width="14.625" customWidth="1"/>
    <col min="4" max="9" width="11" customWidth="1"/>
    <col min="10" max="10" width="11.625" customWidth="1"/>
  </cols>
  <sheetData>
    <row r="1" spans="1:10"/>
    <row r="2" spans="1:10" ht="15" thickBot="1">
      <c r="A2" s="1867">
        <v>160</v>
      </c>
    </row>
    <row r="3" spans="1:10" ht="36.75" customHeight="1">
      <c r="B3" s="2808" t="s">
        <v>1177</v>
      </c>
      <c r="C3" s="2809"/>
    </row>
    <row r="4" spans="1:10" ht="36.75" customHeight="1" thickBot="1">
      <c r="B4" s="2810" t="s">
        <v>69</v>
      </c>
      <c r="C4" s="2811"/>
    </row>
    <row r="5" spans="1:10" ht="18" hidden="1">
      <c r="B5" s="2812" t="e">
        <f>Name &amp;IF(Aktennummer&lt;&gt;""," / " &amp; Aktennummer,"")&amp; IF(#NAME?&lt;&gt;""," / " &amp;#NAME?,"")</f>
        <v>#NAME?</v>
      </c>
      <c r="C5" s="2813"/>
    </row>
    <row r="6" spans="1:10" ht="18" hidden="1">
      <c r="B6" s="2814" t="e">
        <f>"Versorgungsträger: "&amp;VT_Name</f>
        <v>#NAME?</v>
      </c>
      <c r="C6" s="2815"/>
    </row>
    <row r="7" spans="1:10" ht="18" hidden="1">
      <c r="B7" s="2816" t="s">
        <v>67</v>
      </c>
      <c r="C7" s="2817"/>
    </row>
    <row r="8" spans="1:10" ht="15.75" thickBot="1">
      <c r="B8" s="70"/>
      <c r="C8" s="1300"/>
    </row>
    <row r="9" spans="1:10">
      <c r="B9" s="32" t="str">
        <f>"Geburtsdatum"&amp;IF(E_sex=1," des Versorungsinhabers (m): ","der Versorgungsinhaberin (w):")</f>
        <v xml:space="preserve">Geburtsdatum des Versorungsinhabers (m): </v>
      </c>
      <c r="C9" s="33" t="str">
        <f>IF(E_Datum1="","",E_Datum1)</f>
        <v/>
      </c>
    </row>
    <row r="10" spans="1:10">
      <c r="B10" s="6" t="str">
        <f>"Berechnungszeitpunkt:"</f>
        <v>Berechnungszeitpunkt:</v>
      </c>
      <c r="C10" s="7">
        <f>IF(E_BerDat1=0,"",E_BerDat1)</f>
        <v>46203</v>
      </c>
    </row>
    <row r="11" spans="1:10" ht="15">
      <c r="B11" s="8" t="str">
        <f>IF(E_RenteKapital=1,"zu verrentender Kapitalbetrag:","zu kapitalisierende Monatsrente:")</f>
        <v>zu kapitalisierende Monatsrente:</v>
      </c>
      <c r="C11" s="625" t="str">
        <f>IF(E_Kapital="","",E_Kapital)</f>
        <v/>
      </c>
    </row>
    <row r="12" spans="1:10">
      <c r="B12" s="6" t="str">
        <f>"Alter "&amp;CHOOSE(E_sex,"des Versorgungsinhabers","der Versorgungsinhaberin","der/des Versorgungsinhabenden")&amp;" im Berechnungszeitpunkt:"</f>
        <v>Alter des Versorgungsinhabers im Berechnungszeitpunkt:</v>
      </c>
      <c r="C12" s="9" t="str">
        <f>IFERROR(IF(E_BerDat1="","",E_Alter),"")</f>
        <v/>
      </c>
    </row>
    <row r="13" spans="1:10">
      <c r="B13" s="13" t="s">
        <v>66</v>
      </c>
      <c r="C13" s="10" t="str">
        <f>IFERROR(IF(E_BerDat1="","",IF(E_RezinsAngabe="",E_ReZins1,E_RezinsAngabe)),"")</f>
        <v/>
      </c>
    </row>
    <row r="14" spans="1:10">
      <c r="B14" s="13" t="str">
        <f>IF(E_Volldynamik,"Dynamik in Anwartschafts- und Leistungsphase:","Leistungsdynamik: ")</f>
        <v>Dynamik in Anwartschafts- und Leistungsphase:</v>
      </c>
      <c r="C14" s="10">
        <f>IF(C10="","",E_ReTrend1)</f>
        <v>0</v>
      </c>
      <c r="J14" s="148"/>
    </row>
    <row r="15" spans="1:10">
      <c r="B15" s="13" t="s">
        <v>65</v>
      </c>
      <c r="C15" s="11" t="str">
        <f>IF(C10="","",IF(E_Rentenaltereingabe="",E_Rentenalter,E_Rentenaltereingabe))</f>
        <v/>
      </c>
      <c r="J15" s="148"/>
    </row>
    <row r="16" spans="1:10">
      <c r="B16" s="13" t="str">
        <f>"Lebenserwartung "&amp;IF(E_sex=3," - unisex ","")&amp;"im "&amp;IF(C12&gt;C15,"Berechnungszeitpunkt: ","Renteneintritt: ")&amp;" Generationensterbetafel DESTATIS 2020"</f>
        <v>Lebenserwartung im Renteneintritt:  Generationensterbetafel DESTATIS 2020</v>
      </c>
      <c r="C16" s="11" t="str">
        <f>IFERROR(IF(E_BerDat1="","",E_LxyRAlter),"")</f>
        <v/>
      </c>
    </row>
    <row r="17" spans="2:3">
      <c r="B17" s="13" t="s">
        <v>64</v>
      </c>
      <c r="C17" s="11" t="str">
        <f>IFERROR(IF(C12="","",IF(C15-C12&lt;0,"keine",ROUND(E_Rentenalter-E_Alterswahl,2))),"")</f>
        <v/>
      </c>
    </row>
    <row r="18" spans="2:3">
      <c r="B18" s="6" t="str">
        <f>IFERROR(IF(C12&gt;=C15,"kein Vorversterbensrisiko, da Renteneintrittsalter erreicht","Vorversterbensrisiko  (Kohortensterbetafel DESTATIS 2020"&amp;IF(E_sex=3," - unisex","")&amp;"): "&amp;IF(E_BerDat1="","",IF(E_Rentner="Rentner!","",E_VVR_T))),"")</f>
        <v>kein Vorversterbensrisiko, da Renteneintrittsalter erreicht</v>
      </c>
      <c r="C18" s="17" t="str">
        <f>IFERROR(IF(E_BerDat1="","",IF(C12&gt;=C15,"",E_VVR)),"")</f>
        <v/>
      </c>
    </row>
    <row r="19" spans="2:3">
      <c r="B19" s="13" t="str">
        <f>IF(C12&gt;=C15,"Invaliditätszuschlag entfällt, da Rentenbezug","Invaliditätszuschlag"&amp;IF(E_sex=3," - unisex","")&amp;": ")</f>
        <v>Invaliditätszuschlag entfällt, da Rentenbezug</v>
      </c>
      <c r="C19" s="10" t="str">
        <f>IF(E_BerDat1="","",IF(E_Rentner=1,"",E_Ifaktor))</f>
        <v/>
      </c>
    </row>
    <row r="20" spans="2:3" ht="15" thickBot="1">
      <c r="B20" s="14" t="str">
        <f>"Hinterbliebenenzuschlag"&amp;IF(E_sex=3," - unisex","")&amp;": "</f>
        <v xml:space="preserve">Hinterbliebenenzuschlag: </v>
      </c>
      <c r="C20" s="12" t="str">
        <f>IF(E_BerDat1="","",E_HFaktor)</f>
        <v/>
      </c>
    </row>
    <row r="21" spans="2:3" s="403" customFormat="1" ht="29.25" customHeight="1" thickTop="1" thickBot="1">
      <c r="B21" s="2196" t="str">
        <f>IF(E_RenteKapital=1,"zu erwartende Monatsrente im Berechnungszeitpunkt:","Barwert der Rente:")</f>
        <v>Barwert der Rente:</v>
      </c>
      <c r="C21" s="2197">
        <f>E_Ergebnis</f>
        <v>0</v>
      </c>
    </row>
    <row r="22" spans="2:3" ht="29.25" hidden="1" customHeight="1" thickBot="1">
      <c r="B22" s="1130" t="str">
        <f>IF(E_BerDat2=0,"","Rentenerwartung der am "&amp;TEXT(E_BerDat2,"TT.MM.JJJJ")&amp;" geborenen auglber.Person bei Renteneintritt im Alter "&amp;TEXT(Berechnungstext!C15,"0,00"))</f>
        <v xml:space="preserve">Rentenerwartung der am  geborenen auglber.Person bei Renteneintritt im Alter </v>
      </c>
      <c r="C22" s="1131" t="str">
        <f>IF(ErgebnisABer&gt;0,ErgebnisABer,"")</f>
        <v/>
      </c>
    </row>
    <row r="23" spans="2:3" ht="29.25" hidden="1" customHeight="1" thickBot="1">
      <c r="B23" s="2198" t="str">
        <f>Summenzeichen&amp;" der über die Leistungszeit von "&amp;TEXT(LebenserwartungabRente,"0,00")&amp;" Jahren erwartbaren Rentenzahlungen unter Beachtung der Dynamik der Versorgung:"</f>
        <v>∑ der über die Leistungszeit von  Jahren erwartbaren Rentenzahlungen unter Beachtung der Dynamik der Versorgung:</v>
      </c>
      <c r="C23" s="1131" t="str">
        <f>IFERROR(-PV(-C14,LebenserwartungabRente,C21*12,,),"")</f>
        <v/>
      </c>
    </row>
    <row r="24" spans="2:3" ht="25.5" customHeight="1">
      <c r="B24" s="2800" t="str">
        <f>IF(E_BerDat1="","",'Einzel-Bewertung'!B20)</f>
        <v/>
      </c>
      <c r="C24" s="2801"/>
    </row>
    <row r="25" spans="2:3" ht="25.5" customHeight="1">
      <c r="B25" s="2802"/>
      <c r="C25" s="2803"/>
    </row>
    <row r="26" spans="2:3">
      <c r="B26" s="2804" t="str">
        <f>IF(E_BerDat1="","",'Einzel-Bewertung'!B21)</f>
        <v/>
      </c>
      <c r="C26" s="2805"/>
    </row>
    <row r="27" spans="2:3" ht="15" thickBot="1">
      <c r="B27" s="2806"/>
      <c r="C27" s="2807"/>
    </row>
    <row r="28" spans="2:3" hidden="1">
      <c r="B28" s="655"/>
      <c r="C28" s="655"/>
    </row>
    <row r="34" ht="15" hidden="1" customHeight="1"/>
  </sheetData>
  <sheetProtection algorithmName="SHA-512" hashValue="k90Dx+DRwzZ1emz4W1On1BQFC6vQTq1xROiWDRtJRagX+ixdbncf8xyRD5FOAMiUkhyrA4V/DsQekb8Ab0Ui8A==" saltValue="ivhGxGVrxwdGwcFsTkrgxg==" spinCount="100000" sheet="1" objects="1" scenarios="1" formatColumns="0" autoFilter="0"/>
  <mergeCells count="7">
    <mergeCell ref="B24:C25"/>
    <mergeCell ref="B26:C27"/>
    <mergeCell ref="B3:C3"/>
    <mergeCell ref="B4:C4"/>
    <mergeCell ref="B5:C5"/>
    <mergeCell ref="B6:C6"/>
    <mergeCell ref="B7:C7"/>
  </mergeCells>
  <phoneticPr fontId="61" type="noConversion"/>
  <printOptions horizontalCentered="1" verticalCentered="1"/>
  <pageMargins left="0.70866141732283472" right="0.70866141732283472" top="0.78740157480314965" bottom="0.78740157480314965"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23">
    <pageSetUpPr fitToPage="1"/>
  </sheetPr>
  <dimension ref="A1:AE65"/>
  <sheetViews>
    <sheetView showGridLines="0" showRowColHeaders="0" zoomScale="145" zoomScaleNormal="145" workbookViewId="0">
      <selection activeCell="B7" sqref="B7:C7"/>
    </sheetView>
  </sheetViews>
  <sheetFormatPr baseColWidth="10" defaultColWidth="0" defaultRowHeight="14.25" zeroHeight="1"/>
  <cols>
    <col min="1" max="1" width="2.625" customWidth="1"/>
    <col min="2" max="3" width="11.625" style="4" customWidth="1"/>
    <col min="4" max="4" width="6.5" style="4" customWidth="1"/>
    <col min="5" max="5" width="11.375" style="259" customWidth="1"/>
    <col min="6" max="6" width="7.125" hidden="1" customWidth="1"/>
    <col min="7" max="7" width="6.625" style="4" customWidth="1"/>
    <col min="8" max="8" width="3.125" customWidth="1"/>
    <col min="9" max="20" width="5.625" hidden="1" customWidth="1"/>
    <col min="21" max="21" width="0.625" hidden="1" customWidth="1"/>
    <col min="22" max="23" width="12.625" customWidth="1"/>
    <col min="24" max="25" width="5.625" customWidth="1"/>
    <col min="26" max="26" width="4.625" customWidth="1"/>
    <col min="27" max="27" width="10.375" style="68" hidden="1" customWidth="1"/>
    <col min="28" max="28" width="2.625" customWidth="1"/>
    <col min="29" max="16384" width="10.5" hidden="1"/>
  </cols>
  <sheetData>
    <row r="1" spans="1:31" ht="15.75" thickBot="1">
      <c r="A1" s="25"/>
      <c r="B1" s="2858"/>
      <c r="C1" s="2858"/>
      <c r="D1" s="2858"/>
      <c r="E1" s="2858"/>
      <c r="F1" s="2858"/>
      <c r="G1" s="2858"/>
      <c r="H1" s="25"/>
      <c r="I1" s="25"/>
      <c r="J1" s="25"/>
      <c r="K1" s="25"/>
      <c r="L1" s="25"/>
      <c r="M1" s="25"/>
      <c r="N1" s="25"/>
      <c r="O1" s="25"/>
      <c r="P1" s="25"/>
      <c r="Q1" s="25"/>
      <c r="R1" s="25"/>
      <c r="S1" s="25"/>
      <c r="T1" s="25"/>
      <c r="U1" s="25"/>
      <c r="V1" s="25"/>
      <c r="W1" s="25"/>
      <c r="X1" s="25"/>
      <c r="Y1" s="25"/>
      <c r="Z1" s="25"/>
      <c r="AA1" s="2834"/>
      <c r="AB1" s="2835"/>
      <c r="AE1" t="s">
        <v>818</v>
      </c>
    </row>
    <row r="2" spans="1:31" ht="18">
      <c r="A2" s="18"/>
      <c r="B2" s="2849" t="s">
        <v>1869</v>
      </c>
      <c r="C2" s="2850"/>
      <c r="D2" s="2850"/>
      <c r="E2" s="2850"/>
      <c r="F2" s="2850"/>
      <c r="G2" s="2851"/>
      <c r="H2" s="311"/>
      <c r="I2" s="655"/>
      <c r="J2" s="655"/>
      <c r="K2" s="655"/>
      <c r="L2" s="656" t="s">
        <v>139</v>
      </c>
      <c r="M2" s="655"/>
      <c r="N2" s="655"/>
      <c r="O2" s="655"/>
      <c r="P2" s="655"/>
      <c r="Q2" s="655"/>
      <c r="R2" s="655"/>
      <c r="S2" s="655"/>
      <c r="T2" s="655"/>
      <c r="U2" s="655"/>
      <c r="V2" s="2821" t="s">
        <v>140</v>
      </c>
      <c r="W2" s="2822"/>
      <c r="X2" s="2822"/>
      <c r="Y2" s="2822"/>
      <c r="Z2" s="2822"/>
      <c r="AA2" s="2823"/>
      <c r="AB2" s="25"/>
      <c r="AE2" t="s">
        <v>819</v>
      </c>
    </row>
    <row r="3" spans="1:31" ht="14.85" customHeight="1" thickBot="1">
      <c r="A3" s="18"/>
      <c r="B3" s="2852" t="str">
        <f>IF(OR(Ehevon="",Ehebis=""),"Bitte zunächst die Ehezeit ausfüllen →→→→→→→→→→→→→→→→→→→→→","Ehezeit wird in rosa angezeigt")</f>
        <v>Bitte zunächst die Ehezeit ausfüllen →→→→→→→→→→→→→→→→→→→→→</v>
      </c>
      <c r="C3" s="2853"/>
      <c r="D3" s="2853"/>
      <c r="E3" s="2853"/>
      <c r="F3" s="2853"/>
      <c r="G3" s="2854"/>
      <c r="H3" s="2859" t="s">
        <v>825</v>
      </c>
      <c r="L3" s="650" t="s">
        <v>141</v>
      </c>
      <c r="V3" s="2824" t="s">
        <v>170</v>
      </c>
      <c r="W3" s="2825"/>
      <c r="X3" s="25"/>
      <c r="Y3" s="25"/>
      <c r="Z3" s="25"/>
      <c r="AA3" s="2031"/>
      <c r="AB3" s="25"/>
      <c r="AD3" s="15" t="b">
        <v>0</v>
      </c>
      <c r="AE3" t="s">
        <v>536</v>
      </c>
    </row>
    <row r="4" spans="1:31" ht="14.85" customHeight="1" thickBot="1">
      <c r="A4" s="18"/>
      <c r="B4" s="2855" t="s">
        <v>142</v>
      </c>
      <c r="C4" s="2856"/>
      <c r="D4" s="2856"/>
      <c r="E4" s="2856"/>
      <c r="F4" s="2856"/>
      <c r="G4" s="2857"/>
      <c r="H4" s="2859"/>
      <c r="L4" s="15">
        <v>2</v>
      </c>
      <c r="V4" s="1297"/>
      <c r="W4" s="1298"/>
      <c r="X4" s="2860"/>
      <c r="Y4" s="2861"/>
      <c r="Z4" s="2861"/>
      <c r="AA4" s="2862"/>
      <c r="AB4" s="25"/>
      <c r="AE4" s="15">
        <v>3</v>
      </c>
    </row>
    <row r="5" spans="1:31" ht="14.85" customHeight="1" thickBot="1">
      <c r="A5" s="18"/>
      <c r="B5" s="2836" t="s">
        <v>1572</v>
      </c>
      <c r="C5" s="2838" t="s">
        <v>1573</v>
      </c>
      <c r="D5" s="2840" t="s">
        <v>1574</v>
      </c>
      <c r="E5" s="2842" t="s">
        <v>1575</v>
      </c>
      <c r="F5" s="1177"/>
      <c r="G5" s="2844" t="str">
        <f>CHOOSE(BerBasis,"5. Tage","5. volle Monate","5. Jahre")</f>
        <v>5. Jahre</v>
      </c>
      <c r="H5" s="1176"/>
      <c r="L5" s="15"/>
      <c r="V5" s="1179" t="str">
        <f>IF(V4&gt;0,V4,IF(Dat_EzA&lt;&gt;"",Dat_EzA,""))</f>
        <v/>
      </c>
      <c r="W5" s="1179">
        <f>IF(W4&gt;0,W4,IF(Dat_EzE&lt;&gt;"",Dat_EzE,""))</f>
        <v>46203</v>
      </c>
      <c r="X5" s="2863"/>
      <c r="Y5" s="2864"/>
      <c r="Z5" s="2864"/>
      <c r="AA5" s="2865"/>
      <c r="AB5" s="25"/>
      <c r="AE5" s="15"/>
    </row>
    <row r="6" spans="1:31" ht="14.85" customHeight="1" thickBot="1">
      <c r="A6" s="18"/>
      <c r="B6" s="2837"/>
      <c r="C6" s="2839"/>
      <c r="D6" s="2841"/>
      <c r="E6" s="2843"/>
      <c r="F6" s="1178"/>
      <c r="G6" s="2845"/>
      <c r="H6" s="25"/>
      <c r="L6">
        <f>IF(L4=1,360,365)</f>
        <v>365</v>
      </c>
      <c r="V6" s="2826" t="s">
        <v>1576</v>
      </c>
      <c r="W6" s="2827"/>
      <c r="X6" s="2846" t="str">
        <f>CHOOSE(BerBasis,"7. Tage","7. volle Monate","7. Jahre")</f>
        <v>7. Jahre</v>
      </c>
      <c r="Y6" s="2847"/>
      <c r="Z6" s="2848"/>
      <c r="AA6" s="2032" t="str">
        <f>CHOOSE(BerBasis,"8. Tage","8. volle Monate","8. Jahre")</f>
        <v>8. Jahre</v>
      </c>
      <c r="AB6" s="25"/>
      <c r="AC6" t="s">
        <v>820</v>
      </c>
      <c r="AD6" s="15" t="b">
        <v>0</v>
      </c>
    </row>
    <row r="7" spans="1:31" ht="15" thickTop="1">
      <c r="A7" s="18"/>
      <c r="B7" s="61"/>
      <c r="C7" s="63"/>
      <c r="D7" s="48"/>
      <c r="E7" s="1031" t="str">
        <f t="shared" ref="E7:E15" si="0">IFERROR(IF(C7+B7=0,"",IF(TZ_Faktor,CHOOSE(BerBasis,C7-B7+1,DATEDIF(B7,C7+1,"M"),YEARFRAC(B7,C7,3))*IF(D7&lt;&gt;0,D7,1),"")),"")</f>
        <v/>
      </c>
      <c r="F7" s="1031"/>
      <c r="G7" s="1373" t="str">
        <f t="shared" ref="G7:G26" si="1">IF(OR(B7="",C7=""),"",CHOOSE(BerBasis,C7-B7+1,DATEDIF(B7,C7+1,"M"),YEARFRAC(B7,C7,3)))</f>
        <v/>
      </c>
      <c r="H7" s="657"/>
      <c r="K7">
        <f t="shared" ref="K7:K26" si="2">IF(OR(B7="",C7=""),0,1)</f>
        <v>0</v>
      </c>
      <c r="V7" s="635" t="str">
        <f t="shared" ref="V7:V26" si="3">IF(OR(Ehevon="",Ehebis="",B7=""),"",IF(AND(Ehevon&gt;=B7,Ehevon&lt;=C7),Ehevon,IF(AND(Ehevon&lt;B7,Ehebis&gt;=B7),B7,"")))</f>
        <v/>
      </c>
      <c r="W7" s="636" t="str">
        <f>IFERROR(IF(OR(Ehevon="",Ehebis="",C7=""),"",IF(AND(Ehebis&lt;=C7,Ehebis&gt;=B7),Ehebis,IF(AND(Ehebis&gt;=C7,V7&lt;&gt;""),C7,""))),"")</f>
        <v/>
      </c>
      <c r="X7" s="2828" t="str">
        <f t="shared" ref="X7:X15" si="4">IF(OR(V7="",W7=""),"",CHOOSE(BerBasis,W7-V7+1,DATEDIF(V7,W7+1,"m"),YEARFRAC(V7,W7,3)))</f>
        <v/>
      </c>
      <c r="Y7" s="2829"/>
      <c r="Z7" s="2830"/>
      <c r="AA7" s="2033" t="str">
        <f t="shared" ref="AA7:AA15" si="5">IF(OR(V7="",W7=""),"",CHOOSE(BerBasis,W7-V7+1,DATEDIF(V7,W7+1,"m"),YEARFRAC(V7,W7,3)))</f>
        <v/>
      </c>
      <c r="AB7" s="25"/>
    </row>
    <row r="8" spans="1:31">
      <c r="A8" s="18"/>
      <c r="B8" s="62"/>
      <c r="C8" s="63"/>
      <c r="D8" s="49"/>
      <c r="E8" s="1031" t="str">
        <f t="shared" si="0"/>
        <v/>
      </c>
      <c r="F8" s="1031"/>
      <c r="G8" s="1032" t="str">
        <f t="shared" si="1"/>
        <v/>
      </c>
      <c r="H8" s="657"/>
      <c r="K8">
        <f t="shared" si="2"/>
        <v>0</v>
      </c>
      <c r="V8" s="635" t="str">
        <f t="shared" si="3"/>
        <v/>
      </c>
      <c r="W8" s="636" t="str">
        <f t="shared" ref="W8:W26" si="6">IF(OR(Ehevon="",Ehebis="",C8=""),"",IF(AND(Ehebis&lt;=C8,Ehebis&gt;=B8),Ehebis,IF(AND(Ehebis&gt;=C8,V8&lt;&gt;""),C8,"")))</f>
        <v/>
      </c>
      <c r="X8" s="2818" t="str">
        <f t="shared" si="4"/>
        <v/>
      </c>
      <c r="Y8" s="2819"/>
      <c r="Z8" s="2820"/>
      <c r="AA8" s="2033" t="str">
        <f t="shared" si="5"/>
        <v/>
      </c>
      <c r="AB8" s="25"/>
    </row>
    <row r="9" spans="1:31">
      <c r="A9" s="18"/>
      <c r="B9" s="62"/>
      <c r="C9" s="63"/>
      <c r="D9" s="39"/>
      <c r="E9" s="1031" t="str">
        <f t="shared" si="0"/>
        <v/>
      </c>
      <c r="F9" s="1031"/>
      <c r="G9" s="1032" t="str">
        <f t="shared" si="1"/>
        <v/>
      </c>
      <c r="H9" s="657"/>
      <c r="K9">
        <f t="shared" si="2"/>
        <v>0</v>
      </c>
      <c r="V9" s="635" t="str">
        <f t="shared" si="3"/>
        <v/>
      </c>
      <c r="W9" s="636" t="str">
        <f t="shared" si="6"/>
        <v/>
      </c>
      <c r="X9" s="2818" t="str">
        <f t="shared" si="4"/>
        <v/>
      </c>
      <c r="Y9" s="2819"/>
      <c r="Z9" s="2820"/>
      <c r="AA9" s="2033" t="str">
        <f t="shared" si="5"/>
        <v/>
      </c>
      <c r="AB9" s="26"/>
    </row>
    <row r="10" spans="1:31">
      <c r="A10" s="18"/>
      <c r="B10" s="62"/>
      <c r="C10" s="63"/>
      <c r="D10" s="49"/>
      <c r="E10" s="1031" t="str">
        <f t="shared" si="0"/>
        <v/>
      </c>
      <c r="F10" s="1031"/>
      <c r="G10" s="1032" t="str">
        <f t="shared" si="1"/>
        <v/>
      </c>
      <c r="H10" s="657"/>
      <c r="K10">
        <f t="shared" si="2"/>
        <v>0</v>
      </c>
      <c r="V10" s="635" t="str">
        <f t="shared" si="3"/>
        <v/>
      </c>
      <c r="W10" s="636" t="str">
        <f t="shared" si="6"/>
        <v/>
      </c>
      <c r="X10" s="2818" t="str">
        <f t="shared" si="4"/>
        <v/>
      </c>
      <c r="Y10" s="2819"/>
      <c r="Z10" s="2820"/>
      <c r="AA10" s="2033" t="str">
        <f t="shared" si="5"/>
        <v/>
      </c>
      <c r="AB10" s="26"/>
    </row>
    <row r="11" spans="1:31">
      <c r="A11" s="18"/>
      <c r="B11" s="62"/>
      <c r="C11" s="63"/>
      <c r="D11" s="49"/>
      <c r="E11" s="1031" t="str">
        <f t="shared" si="0"/>
        <v/>
      </c>
      <c r="F11" s="1031"/>
      <c r="G11" s="1032" t="str">
        <f t="shared" si="1"/>
        <v/>
      </c>
      <c r="H11" s="657"/>
      <c r="K11">
        <f t="shared" si="2"/>
        <v>0</v>
      </c>
      <c r="V11" s="635" t="str">
        <f t="shared" si="3"/>
        <v/>
      </c>
      <c r="W11" s="636" t="str">
        <f t="shared" si="6"/>
        <v/>
      </c>
      <c r="X11" s="2818" t="str">
        <f t="shared" si="4"/>
        <v/>
      </c>
      <c r="Y11" s="2819"/>
      <c r="Z11" s="2820"/>
      <c r="AA11" s="2033" t="str">
        <f t="shared" si="5"/>
        <v/>
      </c>
      <c r="AB11" s="40"/>
    </row>
    <row r="12" spans="1:31">
      <c r="A12" s="18"/>
      <c r="B12" s="62"/>
      <c r="C12" s="63"/>
      <c r="D12" s="49"/>
      <c r="E12" s="1031" t="str">
        <f t="shared" si="0"/>
        <v/>
      </c>
      <c r="F12" s="1033"/>
      <c r="G12" s="1032" t="str">
        <f t="shared" si="1"/>
        <v/>
      </c>
      <c r="H12" s="657"/>
      <c r="K12">
        <f t="shared" si="2"/>
        <v>0</v>
      </c>
      <c r="V12" s="28" t="str">
        <f t="shared" si="3"/>
        <v/>
      </c>
      <c r="W12" s="35" t="str">
        <f t="shared" si="6"/>
        <v/>
      </c>
      <c r="X12" s="2818" t="str">
        <f t="shared" si="4"/>
        <v/>
      </c>
      <c r="Y12" s="2819"/>
      <c r="Z12" s="2820"/>
      <c r="AA12" s="2033" t="str">
        <f t="shared" si="5"/>
        <v/>
      </c>
      <c r="AB12" s="25"/>
    </row>
    <row r="13" spans="1:31">
      <c r="A13" s="18"/>
      <c r="B13" s="62"/>
      <c r="C13" s="63"/>
      <c r="D13" s="49"/>
      <c r="E13" s="1031" t="str">
        <f t="shared" si="0"/>
        <v/>
      </c>
      <c r="F13" s="1033"/>
      <c r="G13" s="1032" t="str">
        <f t="shared" si="1"/>
        <v/>
      </c>
      <c r="H13" s="657"/>
      <c r="K13">
        <f t="shared" si="2"/>
        <v>0</v>
      </c>
      <c r="V13" s="28" t="str">
        <f t="shared" si="3"/>
        <v/>
      </c>
      <c r="W13" s="35" t="str">
        <f t="shared" si="6"/>
        <v/>
      </c>
      <c r="X13" s="2818" t="str">
        <f t="shared" si="4"/>
        <v/>
      </c>
      <c r="Y13" s="2819"/>
      <c r="Z13" s="2820"/>
      <c r="AA13" s="2033" t="str">
        <f t="shared" si="5"/>
        <v/>
      </c>
      <c r="AB13" s="25"/>
    </row>
    <row r="14" spans="1:31">
      <c r="A14" s="18"/>
      <c r="B14" s="62"/>
      <c r="C14" s="63"/>
      <c r="D14" s="49"/>
      <c r="E14" s="1031" t="str">
        <f t="shared" si="0"/>
        <v/>
      </c>
      <c r="F14" s="1033"/>
      <c r="G14" s="1032" t="str">
        <f t="shared" si="1"/>
        <v/>
      </c>
      <c r="H14" s="657"/>
      <c r="K14">
        <f t="shared" si="2"/>
        <v>0</v>
      </c>
      <c r="V14" s="28" t="str">
        <f t="shared" si="3"/>
        <v/>
      </c>
      <c r="W14" s="35" t="str">
        <f t="shared" si="6"/>
        <v/>
      </c>
      <c r="X14" s="2818" t="str">
        <f t="shared" si="4"/>
        <v/>
      </c>
      <c r="Y14" s="2819"/>
      <c r="Z14" s="2820"/>
      <c r="AA14" s="2033" t="str">
        <f t="shared" si="5"/>
        <v/>
      </c>
      <c r="AB14" s="25"/>
    </row>
    <row r="15" spans="1:31" ht="15" thickBot="1">
      <c r="A15" s="18"/>
      <c r="B15" s="62"/>
      <c r="C15" s="63"/>
      <c r="D15" s="49"/>
      <c r="E15" s="1031" t="str">
        <f t="shared" si="0"/>
        <v/>
      </c>
      <c r="F15" s="1033"/>
      <c r="G15" s="1032" t="str">
        <f t="shared" si="1"/>
        <v/>
      </c>
      <c r="H15" s="657"/>
      <c r="K15">
        <f t="shared" si="2"/>
        <v>0</v>
      </c>
      <c r="V15" s="28" t="str">
        <f t="shared" si="3"/>
        <v/>
      </c>
      <c r="W15" s="35" t="str">
        <f t="shared" si="6"/>
        <v/>
      </c>
      <c r="X15" s="2818" t="str">
        <f t="shared" si="4"/>
        <v/>
      </c>
      <c r="Y15" s="2819"/>
      <c r="Z15" s="2820"/>
      <c r="AA15" s="2033" t="str">
        <f t="shared" si="5"/>
        <v/>
      </c>
      <c r="AB15" s="25"/>
    </row>
    <row r="16" spans="1:31" hidden="1">
      <c r="A16" s="18"/>
      <c r="B16" s="36"/>
      <c r="C16" s="37"/>
      <c r="D16" s="38"/>
      <c r="E16" s="1031" t="str">
        <f t="shared" ref="E16:E26" si="7">IF(C16+B16=0,"",IF(TZ_Faktor,CHOOSE(BerBasis,C16-B16+1,DATEDIF(B16,C16+1,"M"),YEARFRAC(B16,C16,3))*IF(D16&lt;&gt;0,D16,1),""))</f>
        <v/>
      </c>
      <c r="F16" s="1033"/>
      <c r="G16" s="1032" t="str">
        <f t="shared" si="1"/>
        <v/>
      </c>
      <c r="H16" s="657"/>
      <c r="K16">
        <f t="shared" si="2"/>
        <v>0</v>
      </c>
      <c r="V16" s="28" t="str">
        <f t="shared" si="3"/>
        <v/>
      </c>
      <c r="W16" s="35" t="str">
        <f t="shared" si="6"/>
        <v/>
      </c>
      <c r="X16" s="1037" t="str">
        <f t="shared" ref="X16:X26" si="8">IF(OR(V16="",Tage),"",ROUND(YEARFRAC(V16,W16+1,1),3)*IF(D16&gt;0,D16,1))</f>
        <v/>
      </c>
      <c r="Y16" s="1038"/>
      <c r="Z16" s="1039"/>
      <c r="AA16" s="2033" t="str">
        <f t="shared" ref="AA16:AA26" si="9">IF(OR(V16="",Tage),"",DATEDIF(V16,W16+1,"m")*IF(D16&gt;0,D16,1))</f>
        <v/>
      </c>
      <c r="AB16" s="25"/>
    </row>
    <row r="17" spans="1:30" hidden="1">
      <c r="A17" s="18"/>
      <c r="B17" s="36"/>
      <c r="C17" s="37"/>
      <c r="D17" s="38"/>
      <c r="E17" s="1031" t="str">
        <f t="shared" si="7"/>
        <v/>
      </c>
      <c r="F17" s="1033"/>
      <c r="G17" s="1032" t="str">
        <f t="shared" si="1"/>
        <v/>
      </c>
      <c r="H17" s="657"/>
      <c r="K17">
        <f t="shared" si="2"/>
        <v>0</v>
      </c>
      <c r="V17" s="28" t="str">
        <f t="shared" si="3"/>
        <v/>
      </c>
      <c r="W17" s="35" t="str">
        <f t="shared" si="6"/>
        <v/>
      </c>
      <c r="X17" s="1037" t="str">
        <f t="shared" si="8"/>
        <v/>
      </c>
      <c r="Y17" s="1038"/>
      <c r="Z17" s="1039"/>
      <c r="AA17" s="2033" t="str">
        <f t="shared" si="9"/>
        <v/>
      </c>
      <c r="AB17" s="25"/>
    </row>
    <row r="18" spans="1:30" hidden="1">
      <c r="A18" s="18"/>
      <c r="B18" s="36"/>
      <c r="C18" s="37"/>
      <c r="D18" s="38"/>
      <c r="E18" s="1031" t="str">
        <f t="shared" si="7"/>
        <v/>
      </c>
      <c r="F18" s="1033"/>
      <c r="G18" s="1032" t="str">
        <f t="shared" si="1"/>
        <v/>
      </c>
      <c r="H18" s="657"/>
      <c r="K18">
        <f t="shared" si="2"/>
        <v>0</v>
      </c>
      <c r="V18" s="28" t="str">
        <f t="shared" si="3"/>
        <v/>
      </c>
      <c r="W18" s="35" t="str">
        <f t="shared" si="6"/>
        <v/>
      </c>
      <c r="X18" s="1037" t="str">
        <f t="shared" si="8"/>
        <v/>
      </c>
      <c r="Y18" s="1038"/>
      <c r="Z18" s="1039"/>
      <c r="AA18" s="2033" t="str">
        <f t="shared" si="9"/>
        <v/>
      </c>
      <c r="AB18" s="25"/>
    </row>
    <row r="19" spans="1:30" hidden="1">
      <c r="A19" s="25"/>
      <c r="B19" s="36"/>
      <c r="C19" s="37"/>
      <c r="D19" s="38"/>
      <c r="E19" s="1031" t="str">
        <f t="shared" si="7"/>
        <v/>
      </c>
      <c r="F19" s="1033"/>
      <c r="G19" s="1032" t="str">
        <f t="shared" si="1"/>
        <v/>
      </c>
      <c r="H19" s="657"/>
      <c r="K19">
        <f t="shared" si="2"/>
        <v>0</v>
      </c>
      <c r="V19" s="28" t="str">
        <f t="shared" si="3"/>
        <v/>
      </c>
      <c r="W19" s="35" t="str">
        <f t="shared" si="6"/>
        <v/>
      </c>
      <c r="X19" s="1037" t="str">
        <f t="shared" si="8"/>
        <v/>
      </c>
      <c r="Y19" s="1038"/>
      <c r="Z19" s="1039"/>
      <c r="AA19" s="2033" t="str">
        <f t="shared" si="9"/>
        <v/>
      </c>
      <c r="AB19" s="25"/>
    </row>
    <row r="20" spans="1:30" hidden="1">
      <c r="A20" s="25"/>
      <c r="B20" s="36"/>
      <c r="C20" s="37"/>
      <c r="D20" s="38"/>
      <c r="E20" s="1031" t="str">
        <f t="shared" si="7"/>
        <v/>
      </c>
      <c r="F20" s="1033"/>
      <c r="G20" s="1032" t="str">
        <f t="shared" si="1"/>
        <v/>
      </c>
      <c r="H20" s="657"/>
      <c r="K20">
        <f t="shared" si="2"/>
        <v>0</v>
      </c>
      <c r="V20" s="28" t="str">
        <f t="shared" si="3"/>
        <v/>
      </c>
      <c r="W20" s="35" t="str">
        <f t="shared" si="6"/>
        <v/>
      </c>
      <c r="X20" s="1037" t="str">
        <f t="shared" si="8"/>
        <v/>
      </c>
      <c r="Y20" s="1038"/>
      <c r="Z20" s="1039"/>
      <c r="AA20" s="2033" t="str">
        <f t="shared" si="9"/>
        <v/>
      </c>
      <c r="AB20" s="25"/>
    </row>
    <row r="21" spans="1:30" hidden="1">
      <c r="A21" s="25"/>
      <c r="B21" s="36"/>
      <c r="C21" s="37"/>
      <c r="D21" s="38"/>
      <c r="E21" s="1031" t="str">
        <f t="shared" si="7"/>
        <v/>
      </c>
      <c r="F21" s="1033"/>
      <c r="G21" s="1032" t="str">
        <f t="shared" si="1"/>
        <v/>
      </c>
      <c r="H21" s="657"/>
      <c r="K21">
        <f t="shared" si="2"/>
        <v>0</v>
      </c>
      <c r="V21" s="28" t="str">
        <f t="shared" si="3"/>
        <v/>
      </c>
      <c r="W21" s="35" t="str">
        <f t="shared" si="6"/>
        <v/>
      </c>
      <c r="X21" s="1037" t="str">
        <f t="shared" si="8"/>
        <v/>
      </c>
      <c r="Y21" s="1038"/>
      <c r="Z21" s="1039"/>
      <c r="AA21" s="2033" t="str">
        <f t="shared" si="9"/>
        <v/>
      </c>
      <c r="AB21" s="25"/>
    </row>
    <row r="22" spans="1:30" hidden="1">
      <c r="A22" s="25"/>
      <c r="B22" s="36"/>
      <c r="C22" s="37"/>
      <c r="D22" s="38"/>
      <c r="E22" s="1031" t="str">
        <f t="shared" si="7"/>
        <v/>
      </c>
      <c r="F22" s="1033"/>
      <c r="G22" s="1032" t="str">
        <f t="shared" si="1"/>
        <v/>
      </c>
      <c r="H22" s="657"/>
      <c r="K22">
        <f t="shared" si="2"/>
        <v>0</v>
      </c>
      <c r="V22" s="28" t="str">
        <f t="shared" si="3"/>
        <v/>
      </c>
      <c r="W22" s="35" t="str">
        <f t="shared" si="6"/>
        <v/>
      </c>
      <c r="X22" s="1037" t="str">
        <f t="shared" si="8"/>
        <v/>
      </c>
      <c r="Y22" s="1038"/>
      <c r="Z22" s="1039"/>
      <c r="AA22" s="2033" t="str">
        <f t="shared" si="9"/>
        <v/>
      </c>
      <c r="AB22" s="25"/>
    </row>
    <row r="23" spans="1:30" hidden="1">
      <c r="A23" s="25"/>
      <c r="B23" s="36"/>
      <c r="C23" s="37"/>
      <c r="D23" s="38"/>
      <c r="E23" s="1031" t="str">
        <f t="shared" si="7"/>
        <v/>
      </c>
      <c r="F23" s="1033"/>
      <c r="G23" s="1032" t="str">
        <f t="shared" si="1"/>
        <v/>
      </c>
      <c r="H23" s="657"/>
      <c r="K23">
        <f t="shared" si="2"/>
        <v>0</v>
      </c>
      <c r="V23" s="28" t="str">
        <f t="shared" si="3"/>
        <v/>
      </c>
      <c r="W23" s="35" t="str">
        <f t="shared" si="6"/>
        <v/>
      </c>
      <c r="X23" s="1037" t="str">
        <f t="shared" si="8"/>
        <v/>
      </c>
      <c r="Y23" s="1038"/>
      <c r="Z23" s="1039"/>
      <c r="AA23" s="2033" t="str">
        <f t="shared" si="9"/>
        <v/>
      </c>
      <c r="AB23" s="25"/>
    </row>
    <row r="24" spans="1:30" hidden="1">
      <c r="A24" s="25"/>
      <c r="B24" s="36"/>
      <c r="C24" s="37"/>
      <c r="D24" s="38"/>
      <c r="E24" s="1031" t="str">
        <f t="shared" si="7"/>
        <v/>
      </c>
      <c r="F24" s="1033"/>
      <c r="G24" s="1032" t="str">
        <f t="shared" si="1"/>
        <v/>
      </c>
      <c r="H24" s="657"/>
      <c r="K24">
        <f t="shared" si="2"/>
        <v>0</v>
      </c>
      <c r="V24" s="28" t="str">
        <f t="shared" si="3"/>
        <v/>
      </c>
      <c r="W24" s="35" t="str">
        <f t="shared" si="6"/>
        <v/>
      </c>
      <c r="X24" s="1037" t="str">
        <f t="shared" si="8"/>
        <v/>
      </c>
      <c r="Y24" s="1038"/>
      <c r="Z24" s="1039"/>
      <c r="AA24" s="2033" t="str">
        <f t="shared" si="9"/>
        <v/>
      </c>
      <c r="AB24" s="41"/>
    </row>
    <row r="25" spans="1:30" hidden="1">
      <c r="A25" s="25"/>
      <c r="B25" s="42"/>
      <c r="C25" s="43"/>
      <c r="D25" s="44"/>
      <c r="E25" s="1031" t="str">
        <f t="shared" si="7"/>
        <v/>
      </c>
      <c r="F25" s="1033"/>
      <c r="G25" s="1032" t="str">
        <f t="shared" si="1"/>
        <v/>
      </c>
      <c r="H25" s="657"/>
      <c r="K25">
        <f t="shared" si="2"/>
        <v>0</v>
      </c>
      <c r="V25" s="28" t="str">
        <f t="shared" si="3"/>
        <v/>
      </c>
      <c r="W25" s="35" t="str">
        <f t="shared" si="6"/>
        <v/>
      </c>
      <c r="X25" s="1037" t="str">
        <f t="shared" si="8"/>
        <v/>
      </c>
      <c r="Y25" s="1038"/>
      <c r="Z25" s="1039"/>
      <c r="AA25" s="2033" t="str">
        <f t="shared" si="9"/>
        <v/>
      </c>
      <c r="AB25" s="25"/>
    </row>
    <row r="26" spans="1:30" ht="15" hidden="1" thickBot="1">
      <c r="A26" s="25"/>
      <c r="B26" s="45"/>
      <c r="C26" s="46"/>
      <c r="D26" s="47"/>
      <c r="E26" s="1031" t="str">
        <f t="shared" si="7"/>
        <v/>
      </c>
      <c r="F26" s="1033"/>
      <c r="G26" s="1032" t="str">
        <f t="shared" si="1"/>
        <v/>
      </c>
      <c r="H26" s="657"/>
      <c r="K26">
        <f t="shared" si="2"/>
        <v>0</v>
      </c>
      <c r="V26" s="28" t="str">
        <f t="shared" si="3"/>
        <v/>
      </c>
      <c r="W26" s="35" t="str">
        <f t="shared" si="6"/>
        <v/>
      </c>
      <c r="X26" s="1037" t="str">
        <f t="shared" si="8"/>
        <v/>
      </c>
      <c r="Y26" s="1038"/>
      <c r="Z26" s="1039"/>
      <c r="AA26" s="2033" t="str">
        <f t="shared" si="9"/>
        <v/>
      </c>
      <c r="AB26" s="25"/>
    </row>
    <row r="27" spans="1:30" ht="20.85" customHeight="1" thickTop="1" thickBot="1">
      <c r="A27" s="25"/>
      <c r="B27" s="2876" t="s">
        <v>143</v>
      </c>
      <c r="C27" s="2877"/>
      <c r="D27" s="2878"/>
      <c r="E27" s="1034" t="str">
        <f>IF(SUM(E7:E26)=0,"",SUM(E7:E26))</f>
        <v/>
      </c>
      <c r="F27" s="2889"/>
      <c r="G27" s="2892" t="str">
        <f>IF(SUM(G7:G26)=0,"",SUM(G7:G26))</f>
        <v/>
      </c>
      <c r="H27" s="25"/>
      <c r="Q27" t="e">
        <f>+X27/G27</f>
        <v>#VALUE!</v>
      </c>
      <c r="V27" s="2895" t="s">
        <v>143</v>
      </c>
      <c r="W27" s="2896"/>
      <c r="X27" s="2897" t="str">
        <f>IF(SUM(X7:X26)&gt;0,SUM(X7:X26),"")</f>
        <v/>
      </c>
      <c r="Y27" s="2898"/>
      <c r="Z27" s="2899"/>
      <c r="AA27" s="2034" t="str">
        <f>IF(SUM(AA7:AA26)=0,"",SUM(AA7:AA26))</f>
        <v/>
      </c>
      <c r="AB27" s="25"/>
    </row>
    <row r="28" spans="1:30" ht="17.100000000000001" customHeight="1">
      <c r="A28" s="25"/>
      <c r="B28" s="2879"/>
      <c r="C28" s="2880"/>
      <c r="D28" s="2881"/>
      <c r="E28" s="1035" t="str">
        <f>IF(BerBasis=3,"Ruhegehaltsquote","")</f>
        <v>Ruhegehaltsquote</v>
      </c>
      <c r="F28" s="2890"/>
      <c r="G28" s="2893"/>
      <c r="H28" s="25"/>
      <c r="V28" s="2903" t="str">
        <f>"9. Ehezeitanteil: "&amp;IFERROR(TEXT(AA27,"#.##0,00")&amp;" / "&amp;TEXT(G27,"#.##0,00")&amp;" = "&amp;TEXT(X27/G27,"0,00%"),"")</f>
        <v xml:space="preserve">9. Ehezeitanteil: </v>
      </c>
      <c r="W28" s="2904"/>
      <c r="X28" s="2904"/>
      <c r="Y28" s="2904"/>
      <c r="Z28" s="2905"/>
      <c r="AA28" s="2831"/>
      <c r="AB28" s="25"/>
      <c r="AC28" t="s">
        <v>172</v>
      </c>
      <c r="AD28" s="15" t="b">
        <v>1</v>
      </c>
    </row>
    <row r="29" spans="1:30" ht="17.100000000000001" customHeight="1" thickBot="1">
      <c r="A29" s="25"/>
      <c r="B29" s="2882"/>
      <c r="C29" s="2883"/>
      <c r="D29" s="2884"/>
      <c r="E29" s="1036" t="str">
        <f>IFERROR(IF(BerBasis=3,IF(71.75/40*E27/100&gt;0.7175,0.7175,71.75/40*E27/100),""),"")</f>
        <v/>
      </c>
      <c r="F29" s="2891"/>
      <c r="G29" s="2894"/>
      <c r="H29" s="25"/>
      <c r="V29" s="2887" t="s">
        <v>1831</v>
      </c>
      <c r="W29" s="2888"/>
      <c r="X29" s="2906">
        <v>2360.14</v>
      </c>
      <c r="Y29" s="2907"/>
      <c r="Z29" s="2908"/>
      <c r="AA29" s="2832"/>
      <c r="AB29" s="25"/>
    </row>
    <row r="30" spans="1:30" ht="17.100000000000001" customHeight="1">
      <c r="A30" s="25"/>
      <c r="B30" s="2870" t="s">
        <v>144</v>
      </c>
      <c r="C30" s="2871"/>
      <c r="D30" s="2871"/>
      <c r="E30" s="2871"/>
      <c r="F30" s="2871"/>
      <c r="G30" s="2871"/>
      <c r="H30" s="25"/>
      <c r="I30" s="25"/>
      <c r="J30" s="25"/>
      <c r="K30" s="25"/>
      <c r="L30" s="25"/>
      <c r="M30" s="25"/>
      <c r="N30" s="25"/>
      <c r="O30" s="25"/>
      <c r="P30" s="25"/>
      <c r="Q30" s="25"/>
      <c r="R30" s="25"/>
      <c r="S30" s="25"/>
      <c r="T30" s="25"/>
      <c r="U30" s="25"/>
      <c r="V30" s="2887" t="s">
        <v>1832</v>
      </c>
      <c r="W30" s="2888"/>
      <c r="X30" s="2909">
        <f>IFERROR(+X27/G27*X29,0)</f>
        <v>0</v>
      </c>
      <c r="Y30" s="2910"/>
      <c r="Z30" s="2911"/>
      <c r="AA30" s="2832"/>
      <c r="AB30" s="25"/>
    </row>
    <row r="31" spans="1:30" ht="17.100000000000001" customHeight="1">
      <c r="A31" s="25"/>
      <c r="B31" s="2872"/>
      <c r="C31" s="2873"/>
      <c r="D31" s="2873"/>
      <c r="E31" s="2873"/>
      <c r="F31" s="2873"/>
      <c r="G31" s="2873"/>
      <c r="H31" s="25"/>
      <c r="I31" s="25"/>
      <c r="J31" s="25"/>
      <c r="K31" s="25"/>
      <c r="L31" s="25"/>
      <c r="M31" s="25"/>
      <c r="N31" s="25"/>
      <c r="O31" s="25"/>
      <c r="P31" s="25"/>
      <c r="Q31" s="25"/>
      <c r="R31" s="25"/>
      <c r="S31" s="25"/>
      <c r="T31" s="25"/>
      <c r="U31" s="25"/>
      <c r="V31" s="2887" t="s">
        <v>1987</v>
      </c>
      <c r="W31" s="2888"/>
      <c r="X31" s="2866"/>
      <c r="Y31" s="2867"/>
      <c r="Z31" s="2868"/>
      <c r="AA31" s="2833"/>
      <c r="AB31" s="25"/>
    </row>
    <row r="32" spans="1:30" ht="17.100000000000001" customHeight="1" thickBot="1">
      <c r="A32" s="25"/>
      <c r="B32" s="2874"/>
      <c r="C32" s="2875"/>
      <c r="D32" s="2875"/>
      <c r="E32" s="2875"/>
      <c r="F32" s="2875"/>
      <c r="G32" s="2875"/>
      <c r="H32" s="312"/>
      <c r="I32" s="312"/>
      <c r="J32" s="312"/>
      <c r="K32" s="312"/>
      <c r="L32" s="312"/>
      <c r="M32" s="312"/>
      <c r="N32" s="312"/>
      <c r="O32" s="312"/>
      <c r="P32" s="312"/>
      <c r="Q32" s="312"/>
      <c r="R32" s="312"/>
      <c r="S32" s="312"/>
      <c r="T32" s="312"/>
      <c r="U32" s="312"/>
      <c r="V32" s="2885" t="s">
        <v>1577</v>
      </c>
      <c r="W32" s="2886"/>
      <c r="X32" s="2900">
        <f>IFERROR(IF(X31=0,X30,+X31*X29),"")</f>
        <v>0</v>
      </c>
      <c r="Y32" s="2901"/>
      <c r="Z32" s="2902"/>
      <c r="AA32" s="2036"/>
      <c r="AB32" s="25"/>
    </row>
    <row r="33" spans="1:28">
      <c r="A33" s="25"/>
      <c r="B33" s="2869" t="s">
        <v>145</v>
      </c>
      <c r="C33" s="2869"/>
      <c r="D33" s="2869"/>
      <c r="E33" s="2869"/>
      <c r="F33" s="2869"/>
      <c r="G33" s="2869"/>
      <c r="H33" s="2869"/>
      <c r="I33" s="2869"/>
      <c r="J33" s="2869"/>
      <c r="K33" s="2869"/>
      <c r="L33" s="2869"/>
      <c r="M33" s="2869"/>
      <c r="N33" s="2869"/>
      <c r="O33" s="2869"/>
      <c r="P33" s="2869"/>
      <c r="Q33" s="2869"/>
      <c r="R33" s="2869"/>
      <c r="S33" s="2869"/>
      <c r="T33" s="2869"/>
      <c r="U33" s="2869"/>
      <c r="V33" s="2869"/>
      <c r="W33" s="2869"/>
      <c r="X33" s="2869"/>
      <c r="Y33" s="2869"/>
      <c r="Z33" s="2869"/>
      <c r="AA33" s="2869"/>
      <c r="AB33" s="25"/>
    </row>
    <row r="34" spans="1:28" hidden="1">
      <c r="B34" s="640"/>
      <c r="C34" s="640"/>
      <c r="D34" s="640"/>
      <c r="E34" s="641"/>
      <c r="F34" s="640"/>
      <c r="G34" s="642"/>
    </row>
    <row r="35" spans="1:28" hidden="1">
      <c r="B35" s="643"/>
      <c r="C35" s="643"/>
      <c r="D35" s="643"/>
      <c r="E35" s="644"/>
      <c r="F35" s="645"/>
    </row>
    <row r="36" spans="1:28" hidden="1">
      <c r="B36" s="643"/>
      <c r="C36" s="643"/>
      <c r="D36" s="643"/>
      <c r="E36" s="644"/>
      <c r="F36" s="645"/>
    </row>
    <row r="37" spans="1:28" hidden="1">
      <c r="B37" s="643"/>
      <c r="C37" s="643"/>
      <c r="D37" s="643"/>
      <c r="E37" s="644"/>
      <c r="F37" s="645"/>
    </row>
    <row r="38" spans="1:28" hidden="1">
      <c r="B38" s="643"/>
      <c r="C38" s="643"/>
      <c r="D38" s="643"/>
      <c r="E38" s="644"/>
      <c r="F38" s="645"/>
    </row>
    <row r="39" spans="1:28" hidden="1">
      <c r="B39" s="643"/>
      <c r="C39" s="643"/>
      <c r="D39" s="643"/>
      <c r="E39" s="644"/>
      <c r="F39" s="645"/>
    </row>
    <row r="40" spans="1:28" hidden="1">
      <c r="B40" s="643"/>
      <c r="C40" s="643"/>
      <c r="D40" s="643"/>
      <c r="E40" s="644"/>
      <c r="F40" s="645"/>
    </row>
    <row r="41" spans="1:28" hidden="1">
      <c r="B41" s="643"/>
      <c r="C41" s="643"/>
      <c r="D41" s="643"/>
      <c r="E41" s="644"/>
      <c r="F41" s="645"/>
    </row>
    <row r="42" spans="1:28" hidden="1">
      <c r="B42" s="643"/>
      <c r="C42" s="643"/>
      <c r="D42" s="643"/>
      <c r="E42" s="644"/>
      <c r="F42" s="645"/>
    </row>
    <row r="43" spans="1:28" hidden="1">
      <c r="B43" s="643"/>
      <c r="C43" s="643"/>
      <c r="D43" s="643"/>
      <c r="E43" s="644"/>
      <c r="F43" s="645"/>
    </row>
    <row r="44" spans="1:28" hidden="1">
      <c r="B44" s="643"/>
      <c r="C44" s="643"/>
      <c r="D44" s="643"/>
      <c r="E44" s="644"/>
      <c r="F44" s="645"/>
    </row>
    <row r="45" spans="1:28" hidden="1">
      <c r="B45" s="643"/>
      <c r="C45" s="643"/>
      <c r="D45" s="643"/>
      <c r="E45" s="644"/>
      <c r="F45" s="645"/>
    </row>
    <row r="46" spans="1:28" hidden="1">
      <c r="B46" s="643"/>
      <c r="C46" s="643"/>
      <c r="D46" s="643"/>
      <c r="E46" s="644"/>
      <c r="F46" s="645"/>
    </row>
    <row r="47" spans="1:28" hidden="1">
      <c r="B47" s="643"/>
      <c r="C47" s="643"/>
      <c r="D47" s="643"/>
      <c r="E47" s="644"/>
      <c r="F47" s="645"/>
    </row>
    <row r="48" spans="1:28" hidden="1">
      <c r="B48" s="643"/>
      <c r="C48" s="643"/>
      <c r="D48" s="643"/>
      <c r="E48" s="644"/>
      <c r="F48" s="645"/>
    </row>
    <row r="49" spans="1:30" hidden="1">
      <c r="B49" s="643"/>
      <c r="C49" s="643"/>
      <c r="D49" s="643"/>
      <c r="E49" s="644"/>
      <c r="F49" s="645"/>
    </row>
    <row r="50" spans="1:30" hidden="1">
      <c r="B50" s="643"/>
      <c r="C50" s="643"/>
      <c r="D50" s="643"/>
      <c r="E50" s="644"/>
      <c r="F50" s="645"/>
    </row>
    <row r="51" spans="1:30" hidden="1">
      <c r="B51" s="643"/>
      <c r="C51" s="643"/>
      <c r="D51" s="643"/>
      <c r="E51" s="644"/>
      <c r="F51" s="645"/>
    </row>
    <row r="52" spans="1:30" hidden="1">
      <c r="B52" s="643"/>
      <c r="C52" s="643"/>
      <c r="D52" s="643"/>
      <c r="E52" s="644"/>
      <c r="F52" s="645"/>
    </row>
    <row r="53" spans="1:30" hidden="1">
      <c r="B53" s="643"/>
      <c r="C53" s="643"/>
      <c r="D53" s="643"/>
      <c r="E53" s="644"/>
      <c r="F53" s="645"/>
    </row>
    <row r="54" spans="1:30" hidden="1">
      <c r="B54" s="643"/>
      <c r="C54" s="643"/>
      <c r="D54" s="643"/>
      <c r="E54" s="644"/>
      <c r="F54" s="645"/>
    </row>
    <row r="55" spans="1:30" ht="27" hidden="1">
      <c r="B55" s="646"/>
      <c r="C55" s="646"/>
      <c r="D55" s="647"/>
      <c r="E55" s="648"/>
      <c r="F55" s="649"/>
      <c r="G55" s="640"/>
    </row>
    <row r="56" spans="1:30" ht="27" hidden="1">
      <c r="B56" s="646"/>
      <c r="C56" s="646"/>
      <c r="D56" s="647"/>
      <c r="E56" s="648"/>
      <c r="F56" s="649"/>
    </row>
    <row r="57" spans="1:30" ht="27" hidden="1">
      <c r="B57" s="646"/>
      <c r="C57" s="646"/>
      <c r="D57" s="647"/>
      <c r="E57" s="648"/>
      <c r="F57" s="649"/>
    </row>
    <row r="59" spans="1:30" s="25" customFormat="1" hidden="1">
      <c r="A59"/>
      <c r="B59" s="4"/>
      <c r="C59" s="4"/>
      <c r="D59" s="4"/>
      <c r="E59" s="259"/>
      <c r="F59"/>
      <c r="G59" s="4"/>
      <c r="H59"/>
      <c r="I59"/>
      <c r="J59"/>
      <c r="K59"/>
      <c r="L59"/>
      <c r="M59"/>
      <c r="N59"/>
      <c r="O59"/>
      <c r="P59"/>
      <c r="Q59"/>
      <c r="R59"/>
      <c r="S59"/>
      <c r="T59"/>
      <c r="U59"/>
      <c r="V59" s="650"/>
      <c r="W59" s="651"/>
      <c r="X59" s="651"/>
      <c r="Y59"/>
      <c r="Z59"/>
      <c r="AA59" s="68"/>
      <c r="AB59"/>
      <c r="AC59"/>
      <c r="AD59"/>
    </row>
    <row r="60" spans="1:30" s="25" customFormat="1" hidden="1">
      <c r="A60"/>
      <c r="B60" s="4"/>
      <c r="C60" s="4"/>
      <c r="D60" s="4"/>
      <c r="E60" s="259"/>
      <c r="F60"/>
      <c r="G60" s="4"/>
      <c r="H60"/>
      <c r="I60"/>
      <c r="J60"/>
      <c r="K60"/>
      <c r="L60"/>
      <c r="M60"/>
      <c r="N60"/>
      <c r="O60"/>
      <c r="P60"/>
      <c r="Q60"/>
      <c r="R60"/>
      <c r="S60"/>
      <c r="T60"/>
      <c r="U60"/>
      <c r="V60"/>
      <c r="W60"/>
      <c r="X60"/>
      <c r="Y60"/>
      <c r="Z60"/>
      <c r="AA60" s="68"/>
      <c r="AB60"/>
      <c r="AC60"/>
      <c r="AD60"/>
    </row>
    <row r="61" spans="1:30" hidden="1">
      <c r="B61" s="652"/>
      <c r="C61" s="652"/>
      <c r="D61" s="652"/>
      <c r="E61" s="653"/>
      <c r="F61" s="654"/>
      <c r="G61" s="652"/>
      <c r="H61" s="654"/>
      <c r="I61" s="654"/>
      <c r="J61" s="654"/>
      <c r="K61" s="654"/>
      <c r="L61" s="654"/>
      <c r="M61" s="654"/>
      <c r="N61" s="654"/>
      <c r="O61" s="654"/>
      <c r="P61" s="654"/>
      <c r="Q61" s="654"/>
      <c r="R61" s="654"/>
      <c r="S61" s="654"/>
      <c r="T61" s="654"/>
      <c r="U61" s="654"/>
      <c r="V61" s="654"/>
      <c r="W61" s="654"/>
      <c r="X61" s="654"/>
      <c r="Y61" s="654"/>
      <c r="Z61" s="654"/>
      <c r="AA61" s="2035"/>
    </row>
    <row r="62" spans="1:30" hidden="1">
      <c r="B62" s="652"/>
      <c r="C62" s="652"/>
      <c r="D62" s="652"/>
      <c r="E62" s="653"/>
      <c r="F62" s="654"/>
      <c r="G62" s="652"/>
      <c r="H62" s="654"/>
      <c r="I62" s="654"/>
      <c r="J62" s="654"/>
      <c r="K62" s="654"/>
      <c r="L62" s="654"/>
      <c r="M62" s="654"/>
      <c r="N62" s="654"/>
      <c r="O62" s="654"/>
      <c r="P62" s="654"/>
      <c r="Q62" s="654"/>
      <c r="R62" s="654"/>
      <c r="S62" s="654"/>
      <c r="T62" s="654"/>
      <c r="U62" s="654"/>
      <c r="V62" s="654"/>
      <c r="W62" s="654"/>
      <c r="X62" s="654"/>
      <c r="Y62" s="654"/>
      <c r="Z62" s="654"/>
      <c r="AA62" s="2035"/>
    </row>
    <row r="63" spans="1:30" hidden="1">
      <c r="B63" s="652"/>
      <c r="C63" s="652"/>
      <c r="D63" s="652"/>
      <c r="E63" s="653"/>
      <c r="F63" s="654"/>
      <c r="G63" s="652"/>
      <c r="H63" s="654"/>
      <c r="I63" s="654"/>
      <c r="J63" s="654"/>
      <c r="K63" s="654"/>
      <c r="L63" s="654"/>
      <c r="M63" s="654"/>
      <c r="N63" s="654"/>
      <c r="O63" s="654"/>
      <c r="P63" s="654"/>
      <c r="Q63" s="654"/>
      <c r="R63" s="654"/>
      <c r="S63" s="654"/>
      <c r="T63" s="654"/>
      <c r="U63" s="654"/>
      <c r="V63" s="654"/>
      <c r="W63" s="654"/>
      <c r="X63" s="654"/>
      <c r="Y63" s="654"/>
      <c r="Z63" s="654"/>
      <c r="AA63" s="2035"/>
    </row>
    <row r="64" spans="1:30" hidden="1">
      <c r="B64" s="652"/>
      <c r="C64" s="652"/>
      <c r="D64" s="652"/>
      <c r="E64" s="653"/>
      <c r="F64" s="654"/>
      <c r="G64" s="652"/>
      <c r="H64" s="654"/>
      <c r="I64" s="654"/>
      <c r="J64" s="654"/>
      <c r="K64" s="654"/>
      <c r="L64" s="654"/>
      <c r="M64" s="654"/>
      <c r="N64" s="654"/>
      <c r="O64" s="654"/>
      <c r="P64" s="654"/>
      <c r="Q64" s="654"/>
      <c r="R64" s="654"/>
      <c r="S64" s="654"/>
      <c r="T64" s="654"/>
      <c r="U64" s="654"/>
      <c r="V64" s="654"/>
      <c r="W64" s="654"/>
      <c r="X64" s="654"/>
      <c r="Y64" s="654"/>
      <c r="Z64" s="654"/>
      <c r="AA64" s="2035"/>
    </row>
    <row r="65" spans="2:27" hidden="1">
      <c r="B65" s="652"/>
      <c r="C65" s="652"/>
      <c r="D65" s="652"/>
      <c r="E65" s="653"/>
      <c r="F65" s="654"/>
      <c r="G65" s="652"/>
      <c r="H65" s="654"/>
      <c r="I65" s="654"/>
      <c r="J65" s="654"/>
      <c r="K65" s="654"/>
      <c r="L65" s="654"/>
      <c r="M65" s="654"/>
      <c r="N65" s="654"/>
      <c r="O65" s="654"/>
      <c r="P65" s="654"/>
      <c r="Q65" s="654"/>
      <c r="R65" s="654"/>
      <c r="S65" s="654"/>
      <c r="T65" s="654"/>
      <c r="U65" s="654"/>
      <c r="V65" s="654"/>
      <c r="W65" s="654"/>
      <c r="X65" s="654"/>
      <c r="Y65" s="654"/>
      <c r="Z65" s="654"/>
      <c r="AA65" s="2035"/>
    </row>
  </sheetData>
  <sheetProtection algorithmName="SHA-512" hashValue="97LOoIlmVEwtZOH39UYYfF1cpb1YackQ+OgyMVvdjBPjHcYJd4zpG9GwSHuL/y5+KsMIdrERa3z7nywl669j9A==" saltValue="FvxV3FMSSwtGpAjhFVWmNQ==" spinCount="100000" sheet="1" objects="1" scenarios="1" formatColumns="0" selectLockedCells="1" autoFilter="0"/>
  <dataConsolidate/>
  <mergeCells count="43">
    <mergeCell ref="X31:Z31"/>
    <mergeCell ref="B33:AA33"/>
    <mergeCell ref="B30:G32"/>
    <mergeCell ref="B27:D29"/>
    <mergeCell ref="V32:W32"/>
    <mergeCell ref="V31:W31"/>
    <mergeCell ref="F27:F29"/>
    <mergeCell ref="G27:G29"/>
    <mergeCell ref="V27:W27"/>
    <mergeCell ref="X27:Z27"/>
    <mergeCell ref="V29:W29"/>
    <mergeCell ref="V30:W30"/>
    <mergeCell ref="X32:Z32"/>
    <mergeCell ref="V28:Z28"/>
    <mergeCell ref="X29:Z29"/>
    <mergeCell ref="X30:Z30"/>
    <mergeCell ref="AA28:AA31"/>
    <mergeCell ref="AA1:AB1"/>
    <mergeCell ref="B5:B6"/>
    <mergeCell ref="C5:C6"/>
    <mergeCell ref="D5:D6"/>
    <mergeCell ref="E5:E6"/>
    <mergeCell ref="G5:G6"/>
    <mergeCell ref="X6:Z6"/>
    <mergeCell ref="B2:G2"/>
    <mergeCell ref="B3:G3"/>
    <mergeCell ref="B4:G4"/>
    <mergeCell ref="B1:G1"/>
    <mergeCell ref="H3:H4"/>
    <mergeCell ref="X4:AA4"/>
    <mergeCell ref="X5:AA5"/>
    <mergeCell ref="X13:Z13"/>
    <mergeCell ref="X14:Z14"/>
    <mergeCell ref="X15:Z15"/>
    <mergeCell ref="X11:Z11"/>
    <mergeCell ref="V2:AA2"/>
    <mergeCell ref="V3:W3"/>
    <mergeCell ref="V6:W6"/>
    <mergeCell ref="X7:Z7"/>
    <mergeCell ref="X8:Z8"/>
    <mergeCell ref="X9:Z9"/>
    <mergeCell ref="X10:Z10"/>
    <mergeCell ref="X12:Z12"/>
  </mergeCells>
  <conditionalFormatting sqref="B7:C7">
    <cfRule type="expression" dxfId="324" priority="18">
      <formula>B7=""</formula>
    </cfRule>
  </conditionalFormatting>
  <conditionalFormatting sqref="B7:C15">
    <cfRule type="expression" dxfId="323" priority="520">
      <formula>AND(B7&gt;=$V$5,B7&lt;=$W$5)</formula>
    </cfRule>
  </conditionalFormatting>
  <conditionalFormatting sqref="B11:D15">
    <cfRule type="expression" dxfId="322" priority="5">
      <formula>OR(Ehevon="",Ehebis="")</formula>
    </cfRule>
  </conditionalFormatting>
  <conditionalFormatting sqref="B3:G3">
    <cfRule type="expression" dxfId="321" priority="12">
      <formula>"WENN(ODER(Ehevon&lt;&gt;"""";Ehebis&lt;&gt;"""")"</formula>
    </cfRule>
  </conditionalFormatting>
  <conditionalFormatting sqref="B7:G10 E8:E26 G8:G26 E11:G11">
    <cfRule type="expression" dxfId="320" priority="13">
      <formula>OR(Ehevon="",Ehebis="")</formula>
    </cfRule>
  </conditionalFormatting>
  <conditionalFormatting sqref="E7:G11 E8:E26">
    <cfRule type="expression" dxfId="319" priority="8">
      <formula>$AE$4&lt;3</formula>
    </cfRule>
  </conditionalFormatting>
  <conditionalFormatting sqref="E7:G28 X7:AA26 X27 AA27:AA28 F29:G29">
    <cfRule type="expression" dxfId="318" priority="14">
      <formula>BerBasis=3</formula>
    </cfRule>
  </conditionalFormatting>
  <conditionalFormatting sqref="H3:H5">
    <cfRule type="expression" dxfId="317" priority="9">
      <formula>OR(Ehevon&lt;&gt;"",Ehebis&lt;&gt;"")</formula>
    </cfRule>
  </conditionalFormatting>
  <conditionalFormatting sqref="V4">
    <cfRule type="expression" dxfId="316" priority="4">
      <formula>AND($V$4="",V5="")</formula>
    </cfRule>
  </conditionalFormatting>
  <conditionalFormatting sqref="W4">
    <cfRule type="expression" dxfId="314" priority="3">
      <formula>AND(W4="",W5="")</formula>
    </cfRule>
  </conditionalFormatting>
  <dataValidations count="7">
    <dataValidation type="date" operator="greaterThan" allowBlank="1" showInputMessage="1" showErrorMessage="1" sqref="C7:C24" xr:uid="{00000000-0002-0000-0E00-000000000000}">
      <formula1>B7</formula1>
    </dataValidation>
    <dataValidation type="date" operator="lessThan" allowBlank="1" showInputMessage="1" showErrorMessage="1" sqref="B16:B24" xr:uid="{00000000-0002-0000-0E00-000001000000}">
      <formula1>TODAY()</formula1>
    </dataValidation>
    <dataValidation type="decimal" operator="lessThan" allowBlank="1" showInputMessage="1" showErrorMessage="1" sqref="D7:D24" xr:uid="{00000000-0002-0000-0E00-000002000000}">
      <formula1>1</formula1>
    </dataValidation>
    <dataValidation type="date" allowBlank="1" showInputMessage="1" showErrorMessage="1" sqref="B7" xr:uid="{00000000-0002-0000-0E00-000003000000}">
      <formula1>18264</formula1>
      <formula2>73415</formula2>
    </dataValidation>
    <dataValidation type="date" operator="greaterThan" allowBlank="1" showInputMessage="1" showErrorMessage="1" sqref="B8:B15" xr:uid="{00000000-0002-0000-0E00-000004000000}">
      <formula1>C7</formula1>
    </dataValidation>
    <dataValidation type="date" allowBlank="1" showInputMessage="1" showErrorMessage="1" sqref="V4:W4" xr:uid="{C1CB8DEC-9B8B-4E9E-9F4F-F0EC8A272E34}">
      <formula1>18264</formula1>
      <formula2>51501</formula2>
    </dataValidation>
    <dataValidation type="decimal" allowBlank="1" showInputMessage="1" showErrorMessage="1" sqref="AA1:AA28 AA32:AA1048576" xr:uid="{B1998475-42EA-45AD-9D88-A8FA3B93C351}">
      <formula1>0</formula1>
      <formula2>0.2</formula2>
    </dataValidation>
  </dataValidations>
  <printOptions horizontalCentered="1" verticalCentered="1"/>
  <pageMargins left="0.31496062992125984" right="0.31496062992125984" top="0.78740157480314965" bottom="0.39370078740157483" header="0.31496062992125984" footer="0.51181102362204722"/>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773" r:id="rId4" name="Drop Down 29">
              <controlPr defaultSize="0" autoLine="0" autoPict="0">
                <anchor moveWithCells="1">
                  <from>
                    <xdr:col>4</xdr:col>
                    <xdr:colOff>695325</xdr:colOff>
                    <xdr:row>1</xdr:row>
                    <xdr:rowOff>9525</xdr:rowOff>
                  </from>
                  <to>
                    <xdr:col>6</xdr:col>
                    <xdr:colOff>504825</xdr:colOff>
                    <xdr:row>1</xdr:row>
                    <xdr:rowOff>200025</xdr:rowOff>
                  </to>
                </anchor>
              </controlPr>
            </control>
          </mc:Choice>
        </mc:AlternateContent>
        <mc:AlternateContent xmlns:mc="http://schemas.openxmlformats.org/markup-compatibility/2006">
          <mc:Choice Requires="x14">
            <control shapeId="31779" r:id="rId5" name="Check Box 35">
              <controlPr defaultSize="0" autoFill="0" autoLine="0" autoPict="0">
                <anchor moveWithCells="1">
                  <from>
                    <xdr:col>4</xdr:col>
                    <xdr:colOff>0</xdr:colOff>
                    <xdr:row>4</xdr:row>
                    <xdr:rowOff>142875</xdr:rowOff>
                  </from>
                  <to>
                    <xdr:col>4</xdr:col>
                    <xdr:colOff>752475</xdr:colOff>
                    <xdr:row>5</xdr:row>
                    <xdr:rowOff>180975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5390D795-4DC5-4BC6-99F9-4F200C2B4F08}">
            <xm:f>AND($V$4="",Fallerfassung!$T$3&gt;0)</xm:f>
            <x14:dxf>
              <fill>
                <patternFill>
                  <bgColor theme="4" tint="0.59996337778862885"/>
                </patternFill>
              </fill>
            </x14:dxf>
          </x14:cfRule>
          <xm:sqref>V5</xm:sqref>
        </x14:conditionalFormatting>
        <x14:conditionalFormatting xmlns:xm="http://schemas.microsoft.com/office/excel/2006/main">
          <x14:cfRule type="expression" priority="1" id="{2BACB859-F008-4D7E-8608-742AB5C3CC29}">
            <xm:f>AND($W$4="",Fallerfassung!$V$3&gt;0)</xm:f>
            <x14:dxf>
              <fill>
                <patternFill>
                  <bgColor theme="4" tint="0.59996337778862885"/>
                </patternFill>
              </fill>
            </x14:dxf>
          </x14:cfRule>
          <xm:sqref>W5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9"/>
  <dimension ref="A1:DQ113"/>
  <sheetViews>
    <sheetView workbookViewId="0">
      <selection sqref="A1:M2"/>
    </sheetView>
  </sheetViews>
  <sheetFormatPr baseColWidth="10" defaultColWidth="11.125" defaultRowHeight="15"/>
  <cols>
    <col min="1" max="1" width="3.625" customWidth="1"/>
    <col min="2" max="2" width="7.125" customWidth="1"/>
    <col min="3" max="3" width="8.125" customWidth="1"/>
    <col min="4" max="4" width="3.625" customWidth="1"/>
    <col min="5" max="5" width="7.125" customWidth="1"/>
    <col min="6" max="6" width="8.125" customWidth="1"/>
    <col min="7" max="7" width="1.625" hidden="1" customWidth="1"/>
    <col min="8" max="8" width="3.625" customWidth="1"/>
    <col min="9" max="9" width="7.125" customWidth="1"/>
    <col min="10" max="10" width="8.125" customWidth="1"/>
    <col min="11" max="11" width="3.625" customWidth="1"/>
    <col min="12" max="12" width="7.125" customWidth="1"/>
    <col min="13" max="13" width="8.125" customWidth="1"/>
    <col min="14" max="14" width="7" style="25" hidden="1" customWidth="1"/>
    <col min="15" max="17" width="11.125" customWidth="1"/>
    <col min="18" max="18" width="13.125" customWidth="1"/>
    <col min="19" max="19" width="49.125" customWidth="1"/>
    <col min="22" max="22" width="2.625" customWidth="1"/>
    <col min="23" max="23" width="3.125" customWidth="1"/>
    <col min="24" max="24" width="3.625" style="128" customWidth="1"/>
    <col min="25" max="52" width="4.125" style="128" customWidth="1"/>
    <col min="53" max="59" width="4.125" style="128" hidden="1" customWidth="1"/>
    <col min="60" max="60" width="4.125" hidden="1" customWidth="1"/>
    <col min="64" max="64" width="9.125" style="4" customWidth="1"/>
    <col min="65" max="71" width="9.125" customWidth="1"/>
    <col min="76" max="76" width="11.125" style="150"/>
    <col min="77" max="77" width="11.625" style="148" bestFit="1" customWidth="1"/>
    <col min="81" max="81" width="4.125" style="514" customWidth="1"/>
    <col min="82" max="82" width="4.125" style="128" customWidth="1"/>
    <col min="83" max="101" width="4.125" style="518" customWidth="1"/>
    <col min="102" max="102" width="4.125" style="362" customWidth="1"/>
    <col min="103" max="118" width="4.625" style="362" customWidth="1"/>
    <col min="119" max="121" width="4.125" style="362" customWidth="1"/>
  </cols>
  <sheetData>
    <row r="1" spans="1:121" s="71" customFormat="1" ht="15" customHeight="1" thickBot="1">
      <c r="A1" s="2997" t="s">
        <v>1986</v>
      </c>
      <c r="B1" s="2998"/>
      <c r="C1" s="2998"/>
      <c r="D1" s="2998"/>
      <c r="E1" s="2998"/>
      <c r="F1" s="2998"/>
      <c r="G1" s="2998"/>
      <c r="H1" s="2998"/>
      <c r="I1" s="2998"/>
      <c r="J1" s="2998"/>
      <c r="K1" s="2998"/>
      <c r="L1" s="2998"/>
      <c r="M1" s="2998"/>
      <c r="N1" s="1304"/>
      <c r="O1" s="1304"/>
      <c r="P1" s="1305"/>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L1" s="128"/>
      <c r="BX1" s="152"/>
      <c r="BY1" s="153"/>
      <c r="CC1" s="796"/>
      <c r="CD1" s="128"/>
      <c r="CE1" s="518"/>
      <c r="CF1" s="518"/>
      <c r="CG1" s="518"/>
      <c r="CH1" s="518"/>
      <c r="CI1" s="518"/>
      <c r="CJ1" s="518"/>
      <c r="CK1" s="518"/>
      <c r="CL1" s="518"/>
      <c r="CM1" s="518"/>
      <c r="CN1" s="518"/>
      <c r="CO1" s="518"/>
      <c r="CP1" s="518"/>
      <c r="CQ1" s="518"/>
      <c r="CR1" s="518"/>
      <c r="CS1" s="518"/>
      <c r="CT1" s="518"/>
      <c r="CU1" s="518"/>
      <c r="CV1" s="518"/>
      <c r="CW1" s="518"/>
      <c r="CX1" s="347"/>
      <c r="CY1" s="347"/>
      <c r="CZ1" s="347"/>
      <c r="DA1" s="347"/>
      <c r="DB1" s="347"/>
      <c r="DC1" s="347"/>
      <c r="DD1" s="347"/>
      <c r="DE1" s="347"/>
      <c r="DF1" s="347"/>
      <c r="DG1" s="347"/>
      <c r="DH1" s="347"/>
      <c r="DI1" s="347"/>
      <c r="DJ1" s="347"/>
      <c r="DK1" s="347"/>
      <c r="DL1" s="347"/>
      <c r="DM1" s="347"/>
      <c r="DN1" s="347"/>
      <c r="DO1" s="347"/>
      <c r="DP1" s="347"/>
      <c r="DQ1" s="347"/>
    </row>
    <row r="2" spans="1:121" s="71" customFormat="1" ht="15" customHeight="1">
      <c r="A2" s="2999"/>
      <c r="B2" s="3000"/>
      <c r="C2" s="3000"/>
      <c r="D2" s="3000"/>
      <c r="E2" s="3000"/>
      <c r="F2" s="3000"/>
      <c r="G2" s="3000"/>
      <c r="H2" s="3000"/>
      <c r="I2" s="3000"/>
      <c r="J2" s="3000"/>
      <c r="K2" s="3000"/>
      <c r="L2" s="3000"/>
      <c r="M2" s="3000"/>
      <c r="N2" s="1306"/>
      <c r="O2" s="1306"/>
      <c r="P2" s="1307"/>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L2" s="128"/>
      <c r="BX2" s="152"/>
      <c r="BY2" s="153"/>
      <c r="CC2" s="2916" t="s">
        <v>590</v>
      </c>
      <c r="CD2" s="2917"/>
      <c r="CE2" s="2917"/>
      <c r="CF2" s="2917"/>
      <c r="CG2" s="2917"/>
      <c r="CH2" s="2917"/>
      <c r="CI2" s="2917"/>
      <c r="CJ2" s="2917"/>
      <c r="CK2" s="2917"/>
      <c r="CL2" s="2917"/>
      <c r="CM2" s="2917"/>
      <c r="CN2" s="2917"/>
      <c r="CO2" s="2917"/>
      <c r="CP2" s="2917"/>
      <c r="CQ2" s="2917"/>
      <c r="CR2" s="2917"/>
      <c r="CS2" s="2917"/>
      <c r="CT2" s="2917"/>
      <c r="CU2" s="2917"/>
      <c r="CV2" s="2917"/>
      <c r="CW2" s="2918"/>
      <c r="CX2" s="317"/>
      <c r="CY2" s="347"/>
      <c r="CZ2" s="347"/>
      <c r="DA2" s="347"/>
      <c r="DB2" s="347"/>
      <c r="DC2" s="347"/>
      <c r="DD2" s="347"/>
      <c r="DE2" s="347"/>
      <c r="DF2" s="347"/>
      <c r="DG2" s="347"/>
      <c r="DH2" s="347"/>
      <c r="DI2" s="347"/>
      <c r="DJ2" s="347"/>
      <c r="DK2" s="347"/>
      <c r="DL2" s="347"/>
      <c r="DM2" s="347"/>
      <c r="DN2" s="347"/>
      <c r="DO2" s="347"/>
      <c r="DP2" s="347"/>
      <c r="DQ2" s="347"/>
    </row>
    <row r="3" spans="1:121" ht="9.75" hidden="1" customHeight="1">
      <c r="A3" s="3001" t="s">
        <v>11</v>
      </c>
      <c r="B3" s="3002"/>
      <c r="C3" s="3002"/>
      <c r="D3" s="3002"/>
      <c r="E3" s="3002"/>
      <c r="F3" s="3003"/>
      <c r="G3" s="151"/>
      <c r="H3" s="3001" t="s">
        <v>11</v>
      </c>
      <c r="I3" s="3002"/>
      <c r="J3" s="3002"/>
      <c r="K3" s="3002"/>
      <c r="L3" s="3002"/>
      <c r="M3" s="3003"/>
      <c r="P3" s="616"/>
      <c r="CC3" s="2919"/>
      <c r="CD3" s="2920"/>
      <c r="CE3" s="2920"/>
      <c r="CF3" s="2920"/>
      <c r="CG3" s="2920"/>
      <c r="CH3" s="2920"/>
      <c r="CI3" s="2920"/>
      <c r="CJ3" s="2920"/>
      <c r="CK3" s="2920"/>
      <c r="CL3" s="2920"/>
      <c r="CM3" s="2920"/>
      <c r="CN3" s="2920"/>
      <c r="CO3" s="2920"/>
      <c r="CP3" s="2920"/>
      <c r="CQ3" s="2920"/>
      <c r="CR3" s="2920"/>
      <c r="CS3" s="2920"/>
      <c r="CT3" s="2920"/>
      <c r="CU3" s="2920"/>
      <c r="CV3" s="2920"/>
      <c r="CW3" s="2921"/>
      <c r="CX3" s="535"/>
    </row>
    <row r="4" spans="1:121" ht="15.75" customHeight="1" thickBot="1">
      <c r="A4" s="3004" t="s">
        <v>218</v>
      </c>
      <c r="B4" s="3005"/>
      <c r="C4" s="3005"/>
      <c r="D4" s="3005"/>
      <c r="E4" s="3005"/>
      <c r="F4" s="3006"/>
      <c r="G4" s="151"/>
      <c r="H4" s="3004" t="s">
        <v>219</v>
      </c>
      <c r="I4" s="3005"/>
      <c r="J4" s="3005"/>
      <c r="K4" s="3005"/>
      <c r="L4" s="3005"/>
      <c r="M4" s="3006"/>
      <c r="O4" s="2395" t="s">
        <v>585</v>
      </c>
      <c r="P4" s="2925"/>
      <c r="CC4" s="2919"/>
      <c r="CD4" s="2920"/>
      <c r="CE4" s="2920"/>
      <c r="CF4" s="2920"/>
      <c r="CG4" s="2920"/>
      <c r="CH4" s="2920"/>
      <c r="CI4" s="2920"/>
      <c r="CJ4" s="2920"/>
      <c r="CK4" s="2920"/>
      <c r="CL4" s="2920"/>
      <c r="CM4" s="2920"/>
      <c r="CN4" s="2920"/>
      <c r="CO4" s="2920"/>
      <c r="CP4" s="2920"/>
      <c r="CQ4" s="2920"/>
      <c r="CR4" s="2920"/>
      <c r="CS4" s="2920"/>
      <c r="CT4" s="2920"/>
      <c r="CU4" s="2920"/>
      <c r="CV4" s="2920"/>
      <c r="CW4" s="2921"/>
      <c r="CX4" s="535"/>
    </row>
    <row r="5" spans="1:121" ht="15.75" hidden="1" customHeight="1" thickBot="1">
      <c r="A5" s="2958" t="s">
        <v>220</v>
      </c>
      <c r="B5" s="2959"/>
      <c r="C5" s="2959"/>
      <c r="D5" s="2959"/>
      <c r="E5" s="2959"/>
      <c r="F5" s="2960"/>
      <c r="G5" s="151"/>
      <c r="H5" s="2958" t="s">
        <v>220</v>
      </c>
      <c r="I5" s="2959"/>
      <c r="J5" s="2959"/>
      <c r="K5" s="2959"/>
      <c r="L5" s="2959"/>
      <c r="M5" s="2960"/>
      <c r="P5" s="616"/>
      <c r="CC5" s="2919"/>
      <c r="CD5" s="2920"/>
      <c r="CE5" s="2920"/>
      <c r="CF5" s="2920"/>
      <c r="CG5" s="2920"/>
      <c r="CH5" s="2920"/>
      <c r="CI5" s="2920"/>
      <c r="CJ5" s="2920"/>
      <c r="CK5" s="2920"/>
      <c r="CL5" s="2920"/>
      <c r="CM5" s="2920"/>
      <c r="CN5" s="2920"/>
      <c r="CO5" s="2920"/>
      <c r="CP5" s="2920"/>
      <c r="CQ5" s="2920"/>
      <c r="CR5" s="2920"/>
      <c r="CS5" s="2920"/>
      <c r="CT5" s="2920"/>
      <c r="CU5" s="2920"/>
      <c r="CV5" s="2920"/>
      <c r="CW5" s="2921"/>
      <c r="CX5" s="535"/>
    </row>
    <row r="6" spans="1:121" ht="7.5" customHeight="1" thickBot="1">
      <c r="A6" s="2995" t="s">
        <v>221</v>
      </c>
      <c r="B6" s="2926" t="s">
        <v>222</v>
      </c>
      <c r="C6" s="2928" t="s">
        <v>223</v>
      </c>
      <c r="D6" s="2947" t="s">
        <v>221</v>
      </c>
      <c r="E6" s="2926" t="s">
        <v>222</v>
      </c>
      <c r="F6" s="2928" t="str">
        <f>+C6</f>
        <v>Durchschn. Lebenserwar-tung im Alter x</v>
      </c>
      <c r="G6" s="853"/>
      <c r="H6" s="2995" t="s">
        <v>221</v>
      </c>
      <c r="I6" s="2926" t="s">
        <v>222</v>
      </c>
      <c r="J6" s="2928" t="str">
        <f>+F6</f>
        <v>Durchschn. Lebenserwar-tung im Alter x</v>
      </c>
      <c r="K6" s="2947" t="s">
        <v>221</v>
      </c>
      <c r="L6" s="2926" t="s">
        <v>222</v>
      </c>
      <c r="M6" s="2928" t="str">
        <f>+J6</f>
        <v>Durchschn. Lebenserwar-tung im Alter x</v>
      </c>
      <c r="O6" s="2926" t="s">
        <v>222</v>
      </c>
      <c r="P6" s="2928" t="str">
        <f>+L6</f>
        <v>Überlebende im Alter x</v>
      </c>
      <c r="CC6" s="2919"/>
      <c r="CD6" s="2920"/>
      <c r="CE6" s="2920"/>
      <c r="CF6" s="2920"/>
      <c r="CG6" s="2920"/>
      <c r="CH6" s="2920"/>
      <c r="CI6" s="2920"/>
      <c r="CJ6" s="2920"/>
      <c r="CK6" s="2920"/>
      <c r="CL6" s="2920"/>
      <c r="CM6" s="2920"/>
      <c r="CN6" s="2920"/>
      <c r="CO6" s="2920"/>
      <c r="CP6" s="2920"/>
      <c r="CQ6" s="2920"/>
      <c r="CR6" s="2920"/>
      <c r="CS6" s="2920"/>
      <c r="CT6" s="2920"/>
      <c r="CU6" s="2920"/>
      <c r="CV6" s="2920"/>
      <c r="CW6" s="2921"/>
      <c r="CX6" s="535"/>
    </row>
    <row r="7" spans="1:121" s="71" customFormat="1" ht="11.25" customHeight="1" thickBot="1">
      <c r="A7" s="2996"/>
      <c r="B7" s="2927" t="s">
        <v>224</v>
      </c>
      <c r="C7" s="2929" t="s">
        <v>225</v>
      </c>
      <c r="D7" s="2948"/>
      <c r="E7" s="2927" t="s">
        <v>224</v>
      </c>
      <c r="F7" s="2929" t="s">
        <v>225</v>
      </c>
      <c r="G7" s="854"/>
      <c r="H7" s="2996"/>
      <c r="I7" s="2927" t="s">
        <v>224</v>
      </c>
      <c r="J7" s="2929" t="s">
        <v>225</v>
      </c>
      <c r="K7" s="2948"/>
      <c r="L7" s="2927" t="s">
        <v>224</v>
      </c>
      <c r="M7" s="2929" t="s">
        <v>225</v>
      </c>
      <c r="N7" s="64"/>
      <c r="O7" s="2927" t="s">
        <v>224</v>
      </c>
      <c r="P7" s="2929" t="s">
        <v>225</v>
      </c>
      <c r="W7" s="2930" t="s">
        <v>226</v>
      </c>
      <c r="X7" s="2931"/>
      <c r="Y7" s="2931"/>
      <c r="Z7" s="2931"/>
      <c r="AA7" s="2931"/>
      <c r="AB7" s="2931"/>
      <c r="AC7" s="2931"/>
      <c r="AD7" s="2931"/>
      <c r="AE7" s="2931"/>
      <c r="AF7" s="2931"/>
      <c r="AG7" s="2931"/>
      <c r="AH7" s="2931"/>
      <c r="AI7" s="2931"/>
      <c r="AJ7" s="2931"/>
      <c r="AK7" s="2931"/>
      <c r="AL7" s="2931"/>
      <c r="AM7" s="2931"/>
      <c r="AN7" s="2931"/>
      <c r="AO7" s="2931"/>
      <c r="AP7" s="2931"/>
      <c r="AQ7" s="2931"/>
      <c r="AR7" s="2931"/>
      <c r="AS7" s="2931"/>
      <c r="AT7" s="2931"/>
      <c r="AU7" s="2931"/>
      <c r="AV7" s="2931"/>
      <c r="AW7" s="2931"/>
      <c r="AX7" s="2931"/>
      <c r="AY7" s="2931"/>
      <c r="AZ7" s="2931"/>
      <c r="BA7" s="2931"/>
      <c r="BB7" s="2931"/>
      <c r="BC7" s="2931"/>
      <c r="BD7" s="2931"/>
      <c r="BE7" s="2931"/>
      <c r="BF7" s="2931"/>
      <c r="BG7" s="2931"/>
      <c r="BH7" s="2932"/>
      <c r="BL7" s="128"/>
      <c r="BX7" s="152"/>
      <c r="BY7" s="153"/>
      <c r="CC7" s="2919"/>
      <c r="CD7" s="2920"/>
      <c r="CE7" s="2920"/>
      <c r="CF7" s="2920"/>
      <c r="CG7" s="2920"/>
      <c r="CH7" s="2920"/>
      <c r="CI7" s="2920"/>
      <c r="CJ7" s="2920"/>
      <c r="CK7" s="2920"/>
      <c r="CL7" s="2920"/>
      <c r="CM7" s="2920"/>
      <c r="CN7" s="2920"/>
      <c r="CO7" s="2920"/>
      <c r="CP7" s="2920"/>
      <c r="CQ7" s="2920"/>
      <c r="CR7" s="2920"/>
      <c r="CS7" s="2920"/>
      <c r="CT7" s="2920"/>
      <c r="CU7" s="2920"/>
      <c r="CV7" s="2920"/>
      <c r="CW7" s="2921"/>
      <c r="CX7" s="317"/>
      <c r="CY7" s="347"/>
      <c r="CZ7" s="347"/>
      <c r="DA7" s="347"/>
      <c r="DB7" s="347"/>
      <c r="DC7" s="347"/>
      <c r="DD7" s="347"/>
      <c r="DE7" s="347"/>
      <c r="DF7" s="347"/>
      <c r="DG7" s="347"/>
      <c r="DH7" s="347"/>
      <c r="DI7" s="347"/>
      <c r="DJ7" s="347"/>
      <c r="DK7" s="347"/>
      <c r="DL7" s="347"/>
      <c r="DM7" s="347"/>
      <c r="DN7" s="347"/>
      <c r="DO7" s="347"/>
      <c r="DP7" s="347"/>
      <c r="DQ7" s="347"/>
    </row>
    <row r="8" spans="1:121" s="71" customFormat="1" ht="11.25" customHeight="1" thickBot="1">
      <c r="A8" s="2996"/>
      <c r="B8" s="2927" t="s">
        <v>227</v>
      </c>
      <c r="C8" s="2929" t="s">
        <v>228</v>
      </c>
      <c r="D8" s="2948"/>
      <c r="E8" s="2927" t="s">
        <v>227</v>
      </c>
      <c r="F8" s="2929" t="s">
        <v>228</v>
      </c>
      <c r="G8" s="854"/>
      <c r="H8" s="2996"/>
      <c r="I8" s="2927" t="s">
        <v>227</v>
      </c>
      <c r="J8" s="2929" t="s">
        <v>228</v>
      </c>
      <c r="K8" s="2948"/>
      <c r="L8" s="2927" t="s">
        <v>227</v>
      </c>
      <c r="M8" s="2929" t="s">
        <v>228</v>
      </c>
      <c r="N8" s="64"/>
      <c r="O8" s="2927" t="s">
        <v>227</v>
      </c>
      <c r="P8" s="2929" t="s">
        <v>228</v>
      </c>
      <c r="S8" s="2949" t="s">
        <v>229</v>
      </c>
      <c r="T8" s="2950"/>
      <c r="U8" s="2951"/>
      <c r="W8" s="2933"/>
      <c r="X8" s="2934"/>
      <c r="Y8" s="2934"/>
      <c r="Z8" s="2934"/>
      <c r="AA8" s="2934"/>
      <c r="AB8" s="2934"/>
      <c r="AC8" s="2934"/>
      <c r="AD8" s="2934"/>
      <c r="AE8" s="2934"/>
      <c r="AF8" s="2934"/>
      <c r="AG8" s="2934"/>
      <c r="AH8" s="2934"/>
      <c r="AI8" s="2934"/>
      <c r="AJ8" s="2934"/>
      <c r="AK8" s="2934"/>
      <c r="AL8" s="2934"/>
      <c r="AM8" s="2934"/>
      <c r="AN8" s="2934"/>
      <c r="AO8" s="2934"/>
      <c r="AP8" s="2934"/>
      <c r="AQ8" s="2934"/>
      <c r="AR8" s="2934"/>
      <c r="AS8" s="2934"/>
      <c r="AT8" s="2934"/>
      <c r="AU8" s="2934"/>
      <c r="AV8" s="2934"/>
      <c r="AW8" s="2934"/>
      <c r="AX8" s="2934"/>
      <c r="AY8" s="2934"/>
      <c r="AZ8" s="2934"/>
      <c r="BA8" s="2934"/>
      <c r="BB8" s="2934"/>
      <c r="BC8" s="2934"/>
      <c r="BD8" s="2934"/>
      <c r="BE8" s="2934"/>
      <c r="BF8" s="2934"/>
      <c r="BG8" s="2934"/>
      <c r="BH8" s="2935"/>
      <c r="BL8" s="128"/>
      <c r="BX8" s="152"/>
      <c r="BY8" s="153"/>
      <c r="CC8" s="2922"/>
      <c r="CD8" s="2923"/>
      <c r="CE8" s="2923"/>
      <c r="CF8" s="2923"/>
      <c r="CG8" s="2923"/>
      <c r="CH8" s="2923"/>
      <c r="CI8" s="2923"/>
      <c r="CJ8" s="2923"/>
      <c r="CK8" s="2923"/>
      <c r="CL8" s="2923"/>
      <c r="CM8" s="2923"/>
      <c r="CN8" s="2923"/>
      <c r="CO8" s="2923"/>
      <c r="CP8" s="2923"/>
      <c r="CQ8" s="2923"/>
      <c r="CR8" s="2923"/>
      <c r="CS8" s="2923"/>
      <c r="CT8" s="2923"/>
      <c r="CU8" s="2923"/>
      <c r="CV8" s="2923"/>
      <c r="CW8" s="2924"/>
      <c r="CX8" s="317"/>
      <c r="CY8" s="347"/>
      <c r="CZ8" s="347"/>
      <c r="DA8" s="347"/>
      <c r="DB8" s="347"/>
      <c r="DC8" s="347"/>
      <c r="DD8" s="347"/>
      <c r="DE8" s="347"/>
      <c r="DF8" s="347"/>
      <c r="DG8" s="347"/>
      <c r="DH8" s="347"/>
      <c r="DI8" s="347"/>
      <c r="DJ8" s="347"/>
      <c r="DK8" s="347"/>
      <c r="DL8" s="347"/>
      <c r="DM8" s="347"/>
      <c r="DN8" s="347"/>
      <c r="DO8" s="347"/>
      <c r="DP8" s="347"/>
      <c r="DQ8" s="347"/>
    </row>
    <row r="9" spans="1:121" ht="7.5" customHeight="1">
      <c r="A9" s="2996"/>
      <c r="B9" s="2927"/>
      <c r="C9" s="2929" t="s">
        <v>227</v>
      </c>
      <c r="D9" s="2948"/>
      <c r="E9" s="2927"/>
      <c r="F9" s="2929" t="s">
        <v>227</v>
      </c>
      <c r="G9" s="853"/>
      <c r="H9" s="2996"/>
      <c r="I9" s="2927"/>
      <c r="J9" s="2929" t="s">
        <v>227</v>
      </c>
      <c r="K9" s="2948"/>
      <c r="L9" s="2927"/>
      <c r="M9" s="2929" t="s">
        <v>227</v>
      </c>
      <c r="O9" s="2927"/>
      <c r="P9" s="2929" t="s">
        <v>227</v>
      </c>
      <c r="S9" s="2952"/>
      <c r="T9" s="2953"/>
      <c r="U9" s="2954"/>
      <c r="W9" s="2961" t="s">
        <v>230</v>
      </c>
      <c r="X9" s="2962"/>
      <c r="Y9" s="2962"/>
      <c r="Z9" s="2962"/>
      <c r="AA9" s="2962"/>
      <c r="AB9" s="2962"/>
      <c r="AC9" s="2962"/>
      <c r="AD9" s="2962"/>
      <c r="AE9" s="2962"/>
      <c r="AF9" s="2962"/>
      <c r="AG9" s="2962"/>
      <c r="AH9" s="2962"/>
      <c r="AI9" s="2962"/>
      <c r="AJ9" s="2962"/>
      <c r="AK9" s="2962"/>
      <c r="AL9" s="2962"/>
      <c r="AM9" s="2962"/>
      <c r="AN9" s="2962"/>
      <c r="AO9" s="2962"/>
      <c r="AP9" s="2962"/>
      <c r="AQ9" s="2962"/>
      <c r="AR9" s="2962"/>
      <c r="AS9" s="2962"/>
      <c r="AT9" s="2962"/>
      <c r="AU9" s="2962"/>
      <c r="AV9" s="2962"/>
      <c r="AW9" s="2962"/>
      <c r="AX9" s="2962"/>
      <c r="AY9" s="2962"/>
      <c r="AZ9" s="2962"/>
      <c r="BA9" s="2962"/>
      <c r="BB9" s="2962"/>
      <c r="BC9" s="2962"/>
      <c r="BD9" s="2962"/>
      <c r="BE9" s="2962"/>
      <c r="BF9" s="2962"/>
      <c r="BG9" s="2962"/>
      <c r="BH9" s="2963"/>
      <c r="CC9" s="2912" t="s">
        <v>597</v>
      </c>
      <c r="CD9" s="2913"/>
      <c r="CE9" s="2913"/>
      <c r="CF9" s="2913"/>
      <c r="CG9" s="2913"/>
      <c r="CH9" s="2913"/>
      <c r="CI9" s="2913"/>
      <c r="CJ9" s="2913"/>
      <c r="CK9" s="2913"/>
      <c r="CL9" s="2913"/>
      <c r="CM9" s="2913"/>
      <c r="CN9" s="2913"/>
      <c r="CO9" s="2913"/>
      <c r="CP9" s="2913"/>
      <c r="CQ9" s="2913"/>
      <c r="CR9" s="2913"/>
      <c r="CS9" s="2913"/>
      <c r="CT9" s="2913"/>
      <c r="CU9" s="2913"/>
      <c r="CV9" s="2913"/>
      <c r="CW9" s="2914"/>
      <c r="CX9" s="535"/>
    </row>
    <row r="10" spans="1:121" ht="7.5" customHeight="1">
      <c r="A10" s="2996"/>
      <c r="B10" s="2927"/>
      <c r="C10" s="2929" t="s">
        <v>231</v>
      </c>
      <c r="D10" s="2948"/>
      <c r="E10" s="2927"/>
      <c r="F10" s="2929" t="s">
        <v>231</v>
      </c>
      <c r="G10" s="853"/>
      <c r="H10" s="2996"/>
      <c r="I10" s="2927"/>
      <c r="J10" s="2929" t="s">
        <v>231</v>
      </c>
      <c r="K10" s="2948"/>
      <c r="L10" s="2927"/>
      <c r="M10" s="2929" t="s">
        <v>231</v>
      </c>
      <c r="O10" s="2927"/>
      <c r="P10" s="2929" t="s">
        <v>231</v>
      </c>
      <c r="S10" s="2955"/>
      <c r="T10" s="2956"/>
      <c r="U10" s="2957"/>
      <c r="W10" s="2964"/>
      <c r="X10" s="2965"/>
      <c r="Y10" s="2965"/>
      <c r="Z10" s="2965"/>
      <c r="AA10" s="2965"/>
      <c r="AB10" s="2965"/>
      <c r="AC10" s="2965"/>
      <c r="AD10" s="2965"/>
      <c r="AE10" s="2965"/>
      <c r="AF10" s="2965"/>
      <c r="AG10" s="2965"/>
      <c r="AH10" s="2965"/>
      <c r="AI10" s="2965"/>
      <c r="AJ10" s="2965"/>
      <c r="AK10" s="2965"/>
      <c r="AL10" s="2965"/>
      <c r="AM10" s="2965"/>
      <c r="AN10" s="2965"/>
      <c r="AO10" s="2965"/>
      <c r="AP10" s="2965"/>
      <c r="AQ10" s="2965"/>
      <c r="AR10" s="2965"/>
      <c r="AS10" s="2965"/>
      <c r="AT10" s="2965"/>
      <c r="AU10" s="2965"/>
      <c r="AV10" s="2965"/>
      <c r="AW10" s="2965"/>
      <c r="AX10" s="2965"/>
      <c r="AY10" s="2965"/>
      <c r="AZ10" s="2965"/>
      <c r="BA10" s="2965"/>
      <c r="BB10" s="2965"/>
      <c r="BC10" s="2965"/>
      <c r="BD10" s="2965"/>
      <c r="BE10" s="2965"/>
      <c r="BF10" s="2965"/>
      <c r="BG10" s="2965"/>
      <c r="BH10" s="2966"/>
      <c r="CC10" s="2912"/>
      <c r="CD10" s="2913"/>
      <c r="CE10" s="2913"/>
      <c r="CF10" s="2913"/>
      <c r="CG10" s="2913"/>
      <c r="CH10" s="2913"/>
      <c r="CI10" s="2913"/>
      <c r="CJ10" s="2913"/>
      <c r="CK10" s="2913"/>
      <c r="CL10" s="2913"/>
      <c r="CM10" s="2913"/>
      <c r="CN10" s="2913"/>
      <c r="CO10" s="2913"/>
      <c r="CP10" s="2913"/>
      <c r="CQ10" s="2913"/>
      <c r="CR10" s="2913"/>
      <c r="CS10" s="2913"/>
      <c r="CT10" s="2913"/>
      <c r="CU10" s="2913"/>
      <c r="CV10" s="2913"/>
      <c r="CW10" s="2914"/>
      <c r="CX10" s="535"/>
    </row>
    <row r="11" spans="1:121">
      <c r="A11" s="2996"/>
      <c r="B11" s="154" t="s">
        <v>232</v>
      </c>
      <c r="C11" s="155" t="s">
        <v>233</v>
      </c>
      <c r="D11" s="2948"/>
      <c r="E11" s="154" t="s">
        <v>232</v>
      </c>
      <c r="F11" s="155" t="s">
        <v>233</v>
      </c>
      <c r="G11" s="855"/>
      <c r="H11" s="2996"/>
      <c r="I11" s="154" t="s">
        <v>586</v>
      </c>
      <c r="J11" s="155" t="s">
        <v>587</v>
      </c>
      <c r="K11" s="2948"/>
      <c r="L11" s="154" t="s">
        <v>586</v>
      </c>
      <c r="M11" s="155" t="s">
        <v>587</v>
      </c>
      <c r="O11" s="154" t="s">
        <v>588</v>
      </c>
      <c r="P11" s="155" t="s">
        <v>589</v>
      </c>
      <c r="S11" s="156"/>
      <c r="T11" s="157" t="s">
        <v>175</v>
      </c>
      <c r="U11" s="158" t="s">
        <v>176</v>
      </c>
      <c r="W11" s="159"/>
      <c r="X11" s="29"/>
      <c r="Y11" s="160">
        <v>40</v>
      </c>
      <c r="Z11" s="160">
        <f>+Y11+1</f>
        <v>41</v>
      </c>
      <c r="AA11" s="160">
        <f t="shared" ref="AA11:BH11" si="0">+Z11+1</f>
        <v>42</v>
      </c>
      <c r="AB11" s="160">
        <f t="shared" si="0"/>
        <v>43</v>
      </c>
      <c r="AC11" s="160">
        <f t="shared" si="0"/>
        <v>44</v>
      </c>
      <c r="AD11" s="160">
        <f t="shared" si="0"/>
        <v>45</v>
      </c>
      <c r="AE11" s="160">
        <f t="shared" si="0"/>
        <v>46</v>
      </c>
      <c r="AF11" s="160">
        <f t="shared" si="0"/>
        <v>47</v>
      </c>
      <c r="AG11" s="160">
        <f t="shared" si="0"/>
        <v>48</v>
      </c>
      <c r="AH11" s="160">
        <f t="shared" si="0"/>
        <v>49</v>
      </c>
      <c r="AI11" s="160">
        <f t="shared" si="0"/>
        <v>50</v>
      </c>
      <c r="AJ11" s="160">
        <f t="shared" si="0"/>
        <v>51</v>
      </c>
      <c r="AK11" s="160">
        <f t="shared" si="0"/>
        <v>52</v>
      </c>
      <c r="AL11" s="160">
        <f t="shared" si="0"/>
        <v>53</v>
      </c>
      <c r="AM11" s="160">
        <f t="shared" si="0"/>
        <v>54</v>
      </c>
      <c r="AN11" s="160">
        <f t="shared" si="0"/>
        <v>55</v>
      </c>
      <c r="AO11" s="160">
        <f t="shared" si="0"/>
        <v>56</v>
      </c>
      <c r="AP11" s="160">
        <f t="shared" si="0"/>
        <v>57</v>
      </c>
      <c r="AQ11" s="160">
        <f t="shared" si="0"/>
        <v>58</v>
      </c>
      <c r="AR11" s="160">
        <f t="shared" si="0"/>
        <v>59</v>
      </c>
      <c r="AS11" s="160">
        <f t="shared" si="0"/>
        <v>60</v>
      </c>
      <c r="AT11" s="160">
        <f t="shared" si="0"/>
        <v>61</v>
      </c>
      <c r="AU11" s="160">
        <f t="shared" si="0"/>
        <v>62</v>
      </c>
      <c r="AV11" s="160">
        <f t="shared" si="0"/>
        <v>63</v>
      </c>
      <c r="AW11" s="160">
        <f t="shared" si="0"/>
        <v>64</v>
      </c>
      <c r="AX11" s="160">
        <f t="shared" si="0"/>
        <v>65</v>
      </c>
      <c r="AY11" s="160">
        <f t="shared" si="0"/>
        <v>66</v>
      </c>
      <c r="AZ11" s="160">
        <f t="shared" si="0"/>
        <v>67</v>
      </c>
      <c r="BA11" s="160">
        <f t="shared" si="0"/>
        <v>68</v>
      </c>
      <c r="BB11" s="160">
        <f t="shared" si="0"/>
        <v>69</v>
      </c>
      <c r="BC11" s="160">
        <f t="shared" si="0"/>
        <v>70</v>
      </c>
      <c r="BD11" s="160">
        <f t="shared" si="0"/>
        <v>71</v>
      </c>
      <c r="BE11" s="160">
        <f t="shared" si="0"/>
        <v>72</v>
      </c>
      <c r="BF11" s="160">
        <f t="shared" si="0"/>
        <v>73</v>
      </c>
      <c r="BG11" s="160">
        <f t="shared" si="0"/>
        <v>74</v>
      </c>
      <c r="BH11" s="161">
        <f t="shared" si="0"/>
        <v>75</v>
      </c>
      <c r="CC11" s="2945" t="s">
        <v>591</v>
      </c>
      <c r="CD11" s="2946"/>
      <c r="CE11" s="2946"/>
      <c r="CF11" s="2946"/>
      <c r="CG11" s="2946"/>
      <c r="CH11" s="529">
        <v>67</v>
      </c>
      <c r="CI11" s="2944" t="s">
        <v>592</v>
      </c>
      <c r="CJ11" s="2944"/>
      <c r="CK11" s="2944"/>
      <c r="CL11" s="2944"/>
      <c r="CM11" s="2944"/>
      <c r="CN11" s="2944"/>
      <c r="CO11" s="529" t="s">
        <v>384</v>
      </c>
      <c r="CP11" s="2944" t="s">
        <v>594</v>
      </c>
      <c r="CQ11" s="2944"/>
      <c r="CR11" s="2944"/>
      <c r="CS11" s="2944"/>
      <c r="CT11" s="2915">
        <v>18255</v>
      </c>
      <c r="CU11" s="2915"/>
      <c r="CV11" s="2915"/>
      <c r="CW11" s="530"/>
      <c r="CX11" s="535"/>
    </row>
    <row r="12" spans="1:121" ht="14.25">
      <c r="A12" s="162"/>
      <c r="B12" s="163"/>
      <c r="C12" s="164"/>
      <c r="D12" s="165"/>
      <c r="E12" s="163"/>
      <c r="F12" s="164"/>
      <c r="G12" s="151"/>
      <c r="H12" s="162"/>
      <c r="I12" s="163"/>
      <c r="J12" s="164"/>
      <c r="K12" s="165"/>
      <c r="L12" s="163"/>
      <c r="M12" s="164"/>
      <c r="O12" s="163"/>
      <c r="P12" s="164"/>
      <c r="S12" s="166" t="s">
        <v>7</v>
      </c>
      <c r="T12" s="50">
        <v>50</v>
      </c>
      <c r="U12" s="167">
        <v>50</v>
      </c>
      <c r="W12" s="2967" t="s">
        <v>234</v>
      </c>
      <c r="X12" s="29">
        <v>40</v>
      </c>
      <c r="Y12" s="168"/>
      <c r="Z12" s="169">
        <f t="shared" ref="Z12:BH12" si="1">VLOOKUP(Z$11,Sterbetafel,2)/VLOOKUP($X12,Sterbetafel,2)</f>
        <v>0.99868480078300237</v>
      </c>
      <c r="AA12" s="169">
        <f t="shared" si="1"/>
        <v>0.99725745279556299</v>
      </c>
      <c r="AB12" s="169">
        <f t="shared" si="1"/>
        <v>0.99570776069491451</v>
      </c>
      <c r="AC12" s="169">
        <f t="shared" si="1"/>
        <v>0.99400513845275473</v>
      </c>
      <c r="AD12" s="169">
        <f t="shared" si="1"/>
        <v>0.99213939072631618</v>
      </c>
      <c r="AE12" s="169">
        <f t="shared" si="1"/>
        <v>0.9901003221728315</v>
      </c>
      <c r="AF12" s="169">
        <f t="shared" si="1"/>
        <v>0.98785734676399817</v>
      </c>
      <c r="AG12" s="169">
        <f t="shared" si="1"/>
        <v>0.98540026915704904</v>
      </c>
      <c r="AH12" s="169">
        <f t="shared" si="1"/>
        <v>0.98268830798091433</v>
      </c>
      <c r="AI12" s="169">
        <f t="shared" si="1"/>
        <v>0.97970107255005912</v>
      </c>
      <c r="AJ12" s="169">
        <f t="shared" si="1"/>
        <v>0.97641817217894866</v>
      </c>
      <c r="AK12" s="169">
        <f t="shared" si="1"/>
        <v>0.9727988254965132</v>
      </c>
      <c r="AL12" s="169">
        <f t="shared" si="1"/>
        <v>0.96879205578891558</v>
      </c>
      <c r="AM12" s="169">
        <f t="shared" si="1"/>
        <v>0.96436727702785363</v>
      </c>
      <c r="AN12" s="169">
        <f t="shared" si="1"/>
        <v>0.95946331715672284</v>
      </c>
      <c r="AO12" s="169">
        <f t="shared" si="1"/>
        <v>0.95403939480445332</v>
      </c>
      <c r="AP12" s="169">
        <f t="shared" si="1"/>
        <v>0.94801394722890586</v>
      </c>
      <c r="AQ12" s="169">
        <f t="shared" si="1"/>
        <v>0.94134619305901068</v>
      </c>
      <c r="AR12" s="169">
        <f t="shared" si="1"/>
        <v>0.93395456955262834</v>
      </c>
      <c r="AS12" s="169">
        <f t="shared" si="1"/>
        <v>0.92578809999592182</v>
      </c>
      <c r="AT12" s="169">
        <f t="shared" si="1"/>
        <v>0.91677541698951914</v>
      </c>
      <c r="AU12" s="169">
        <f t="shared" si="1"/>
        <v>0.90686554381958318</v>
      </c>
      <c r="AV12" s="169">
        <f t="shared" si="1"/>
        <v>0.89599730842950942</v>
      </c>
      <c r="AW12" s="169">
        <f t="shared" si="1"/>
        <v>0.8841299294482281</v>
      </c>
      <c r="AX12" s="169">
        <f t="shared" si="1"/>
        <v>0.87124301619020428</v>
      </c>
      <c r="AY12" s="169">
        <f t="shared" si="1"/>
        <v>0.85731617796990334</v>
      </c>
      <c r="AZ12" s="169">
        <f t="shared" si="1"/>
        <v>0.84236980547286</v>
      </c>
      <c r="BA12" s="169">
        <f t="shared" si="1"/>
        <v>0.82637331267077196</v>
      </c>
      <c r="BB12" s="169">
        <f t="shared" si="1"/>
        <v>0.80934709024917417</v>
      </c>
      <c r="BC12" s="169">
        <f t="shared" si="1"/>
        <v>0.79127074752253168</v>
      </c>
      <c r="BD12" s="169">
        <f t="shared" si="1"/>
        <v>0.77212389380530977</v>
      </c>
      <c r="BE12" s="169">
        <f t="shared" si="1"/>
        <v>0.75185555238367119</v>
      </c>
      <c r="BF12" s="169">
        <f t="shared" si="1"/>
        <v>0.73044533257208111</v>
      </c>
      <c r="BG12" s="169">
        <f t="shared" si="1"/>
        <v>0.70785245299946986</v>
      </c>
      <c r="BH12" s="170">
        <f t="shared" si="1"/>
        <v>0.68402593695200031</v>
      </c>
      <c r="CC12" s="522" t="s">
        <v>7</v>
      </c>
      <c r="CD12" s="519">
        <v>5.0000000000000001E-3</v>
      </c>
      <c r="CE12" s="519">
        <v>6.0000000000000001E-3</v>
      </c>
      <c r="CF12" s="519">
        <v>7.0000000000000001E-3</v>
      </c>
      <c r="CG12" s="519">
        <v>8.0000000000000002E-3</v>
      </c>
      <c r="CH12" s="519">
        <v>8.9999999999999993E-3</v>
      </c>
      <c r="CI12" s="519">
        <v>0.01</v>
      </c>
      <c r="CJ12" s="519">
        <v>1.0999999999999999E-2</v>
      </c>
      <c r="CK12" s="519">
        <v>1.2E-2</v>
      </c>
      <c r="CL12" s="519">
        <v>1.2999999999999999E-2</v>
      </c>
      <c r="CM12" s="519">
        <v>1.4E-2</v>
      </c>
      <c r="CN12" s="519">
        <v>1.4999999999999999E-2</v>
      </c>
      <c r="CO12" s="519">
        <v>1.6E-2</v>
      </c>
      <c r="CP12" s="519">
        <v>1.7000000000000001E-2</v>
      </c>
      <c r="CQ12" s="519">
        <v>1.7999999999999999E-2</v>
      </c>
      <c r="CR12" s="519">
        <v>1.9E-2</v>
      </c>
      <c r="CS12" s="519">
        <v>0.02</v>
      </c>
      <c r="CT12" s="519">
        <v>2.1000000000000001E-2</v>
      </c>
      <c r="CU12" s="519">
        <v>2.1999999999999999E-2</v>
      </c>
      <c r="CV12" s="519">
        <v>2.3E-2</v>
      </c>
      <c r="CW12" s="523">
        <v>2.4E-2</v>
      </c>
      <c r="CX12" s="535"/>
    </row>
    <row r="13" spans="1:121" thickBot="1">
      <c r="A13" s="171">
        <v>0</v>
      </c>
      <c r="B13" s="2192">
        <v>100000</v>
      </c>
      <c r="C13" s="172">
        <v>78.17</v>
      </c>
      <c r="D13" s="173"/>
      <c r="E13" s="2192"/>
      <c r="F13" s="172"/>
      <c r="G13" s="151"/>
      <c r="H13" s="171">
        <v>0</v>
      </c>
      <c r="I13" s="2192">
        <v>100000</v>
      </c>
      <c r="J13" s="172">
        <v>82.99</v>
      </c>
      <c r="K13" s="173"/>
      <c r="L13" s="2192"/>
      <c r="M13" s="172"/>
      <c r="O13" s="2192">
        <f>+(I13+B13)/2</f>
        <v>100000</v>
      </c>
      <c r="P13" s="172">
        <f>+(J13+C13)/2</f>
        <v>80.58</v>
      </c>
      <c r="S13" s="174" t="s">
        <v>235</v>
      </c>
      <c r="T13" s="175">
        <f>VLOOKUP(T12,Sterbetafel,2)</f>
        <v>96093</v>
      </c>
      <c r="U13" s="176">
        <f>VLOOKUP(U12,Sterbetafel,9)</f>
        <v>97748</v>
      </c>
      <c r="W13" s="2967"/>
      <c r="X13" s="29">
        <v>41</v>
      </c>
      <c r="Y13" s="177">
        <f t="shared" ref="Y13:Y47" si="2">VLOOKUP($X13,Sterbetafel,9)/VLOOKUP(Y$11,Sterbetafel,9)</f>
        <v>0.99928172547750083</v>
      </c>
      <c r="Z13" s="168"/>
      <c r="AA13" s="169">
        <f t="shared" ref="AA13:BH13" si="3">VLOOKUP(AA$11,Sterbetafel,2)/VLOOKUP($X13,Sterbetafel,2)</f>
        <v>0.99857077229340008</v>
      </c>
      <c r="AB13" s="169">
        <f t="shared" si="3"/>
        <v>0.99701903935480574</v>
      </c>
      <c r="AC13" s="169">
        <f t="shared" si="3"/>
        <v>0.99531417487621865</v>
      </c>
      <c r="AD13" s="169">
        <f t="shared" si="3"/>
        <v>0.99344597008830582</v>
      </c>
      <c r="AE13" s="169">
        <f t="shared" si="3"/>
        <v>0.99140421622173447</v>
      </c>
      <c r="AF13" s="169">
        <f t="shared" si="3"/>
        <v>0.98915828696850594</v>
      </c>
      <c r="AG13" s="169">
        <f t="shared" si="3"/>
        <v>0.98669797355928746</v>
      </c>
      <c r="AH13" s="169">
        <f t="shared" si="3"/>
        <v>0.98398244091674747</v>
      </c>
      <c r="AI13" s="169">
        <f t="shared" si="3"/>
        <v>0.98099127150222043</v>
      </c>
      <c r="AJ13" s="169">
        <f t="shared" si="3"/>
        <v>0.97770404777704045</v>
      </c>
      <c r="AK13" s="169">
        <f t="shared" si="3"/>
        <v>0.97407993466387632</v>
      </c>
      <c r="AL13" s="169">
        <f t="shared" si="3"/>
        <v>0.9700678883160635</v>
      </c>
      <c r="AM13" s="169">
        <f t="shared" si="3"/>
        <v>0.96563728242560354</v>
      </c>
      <c r="AN13" s="169">
        <f t="shared" si="3"/>
        <v>0.96072686437649946</v>
      </c>
      <c r="AO13" s="169">
        <f t="shared" si="3"/>
        <v>0.95529579909141948</v>
      </c>
      <c r="AP13" s="169">
        <f t="shared" si="3"/>
        <v>0.94926241641570108</v>
      </c>
      <c r="AQ13" s="169">
        <f t="shared" si="3"/>
        <v>0.9425858812720127</v>
      </c>
      <c r="AR13" s="169">
        <f t="shared" si="3"/>
        <v>0.93518452350569137</v>
      </c>
      <c r="AS13" s="169">
        <f t="shared" si="3"/>
        <v>0.92700729927007297</v>
      </c>
      <c r="AT13" s="169">
        <f t="shared" si="3"/>
        <v>0.91798274717982742</v>
      </c>
      <c r="AU13" s="169">
        <f t="shared" si="3"/>
        <v>0.9080598233882905</v>
      </c>
      <c r="AV13" s="169">
        <f t="shared" si="3"/>
        <v>0.89717727527946511</v>
      </c>
      <c r="AW13" s="169">
        <f t="shared" si="3"/>
        <v>0.88529426777601961</v>
      </c>
      <c r="AX13" s="169">
        <f t="shared" si="3"/>
        <v>0.87239038333928842</v>
      </c>
      <c r="AY13" s="169">
        <f t="shared" si="3"/>
        <v>0.8584452044306059</v>
      </c>
      <c r="AZ13" s="169">
        <f t="shared" si="3"/>
        <v>0.8434791485886376</v>
      </c>
      <c r="BA13" s="169">
        <f t="shared" si="3"/>
        <v>0.82746158950538518</v>
      </c>
      <c r="BB13" s="169">
        <f t="shared" si="3"/>
        <v>0.81041294471951408</v>
      </c>
      <c r="BC13" s="169">
        <f t="shared" si="3"/>
        <v>0.79231279669235877</v>
      </c>
      <c r="BD13" s="169">
        <f t="shared" si="3"/>
        <v>0.77314072788525345</v>
      </c>
      <c r="BE13" s="169">
        <f t="shared" si="3"/>
        <v>0.75284569445153382</v>
      </c>
      <c r="BF13" s="169">
        <f t="shared" si="3"/>
        <v>0.73140727885253431</v>
      </c>
      <c r="BG13" s="169">
        <f t="shared" si="3"/>
        <v>0.70878464601092339</v>
      </c>
      <c r="BH13" s="170">
        <f t="shared" si="3"/>
        <v>0.68492675208003673</v>
      </c>
      <c r="CC13" s="522">
        <v>30</v>
      </c>
      <c r="CD13" s="520">
        <f t="shared" ref="CD13:CM22" si="4">(((1+CD$12)^$CA$15-1)/CD$12)*$CA$18*(1+CD$12)^($CH$11-$CC13)*12</f>
        <v>256.18022824728581</v>
      </c>
      <c r="CE13" s="520">
        <f t="shared" si="4"/>
        <v>267.94755447781597</v>
      </c>
      <c r="CF13" s="520">
        <f t="shared" si="4"/>
        <v>280.24957162923107</v>
      </c>
      <c r="CG13" s="520">
        <f t="shared" si="4"/>
        <v>293.11030901866479</v>
      </c>
      <c r="CH13" s="520">
        <f t="shared" si="4"/>
        <v>306.55486361689378</v>
      </c>
      <c r="CI13" s="520">
        <f t="shared" si="4"/>
        <v>320.60944692175718</v>
      </c>
      <c r="CJ13" s="520">
        <f t="shared" si="4"/>
        <v>335.30143386333424</v>
      </c>
      <c r="CK13" s="520">
        <f t="shared" si="4"/>
        <v>350.6594138281306</v>
      </c>
      <c r="CL13" s="520">
        <f t="shared" si="4"/>
        <v>366.71324389250719</v>
      </c>
      <c r="CM13" s="520">
        <f t="shared" si="4"/>
        <v>383.49410436002984</v>
      </c>
      <c r="CN13" s="520">
        <f t="shared" ref="CN13:CW22" si="5">(((1+CN$12)^$CA$15-1)/CN$12)*$CA$18*(1+CN$12)^($CH$11-$CC13)*12</f>
        <v>401.03455670079745</v>
      </c>
      <c r="CO13" s="520">
        <f t="shared" si="5"/>
        <v>419.36860399553268</v>
      </c>
      <c r="CP13" s="520">
        <f t="shared" si="5"/>
        <v>438.53175399090401</v>
      </c>
      <c r="CQ13" s="520">
        <f t="shared" si="5"/>
        <v>458.56108487771058</v>
      </c>
      <c r="CR13" s="520">
        <f t="shared" si="5"/>
        <v>479.49531390753077</v>
      </c>
      <c r="CS13" s="520">
        <f t="shared" si="5"/>
        <v>501.37486896899395</v>
      </c>
      <c r="CT13" s="520">
        <f t="shared" si="5"/>
        <v>524.24196324924435</v>
      </c>
      <c r="CU13" s="520">
        <f t="shared" si="5"/>
        <v>548.14067311206259</v>
      </c>
      <c r="CV13" s="520">
        <f t="shared" si="5"/>
        <v>573.11701932899427</v>
      </c>
      <c r="CW13" s="524">
        <f t="shared" si="5"/>
        <v>599.21905180619569</v>
      </c>
      <c r="CX13" s="535"/>
      <c r="CY13" s="517"/>
      <c r="CZ13" s="517"/>
      <c r="DA13" s="517"/>
      <c r="DB13" s="517"/>
      <c r="DC13" s="517"/>
      <c r="DD13" s="517"/>
      <c r="DE13" s="517"/>
      <c r="DF13" s="517"/>
      <c r="DG13" s="517"/>
      <c r="DH13" s="517"/>
      <c r="DI13" s="517"/>
      <c r="DJ13" s="517"/>
      <c r="DK13" s="517"/>
      <c r="DL13" s="516">
        <v>3.9E-2</v>
      </c>
      <c r="DM13" s="516">
        <v>0.04</v>
      </c>
      <c r="DN13" s="516">
        <v>4.1000000000000002E-2</v>
      </c>
      <c r="DO13" s="516">
        <v>4.2000000000000003E-2</v>
      </c>
      <c r="DP13" s="516">
        <v>4.2999999999999997E-2</v>
      </c>
      <c r="DQ13" s="516">
        <v>4.3999999999999997E-2</v>
      </c>
    </row>
    <row r="14" spans="1:121" ht="14.25">
      <c r="A14" s="162">
        <v>1</v>
      </c>
      <c r="B14" s="2193">
        <v>99675</v>
      </c>
      <c r="C14" s="178">
        <v>77.42</v>
      </c>
      <c r="D14" s="162">
        <v>51</v>
      </c>
      <c r="E14" s="2193">
        <f>+B64</f>
        <v>95771</v>
      </c>
      <c r="F14" s="178">
        <f>+C64</f>
        <v>29.03</v>
      </c>
      <c r="G14" s="151"/>
      <c r="H14" s="162">
        <v>1</v>
      </c>
      <c r="I14" s="2193">
        <v>99711</v>
      </c>
      <c r="J14" s="178">
        <v>82.23</v>
      </c>
      <c r="K14" s="162">
        <v>51</v>
      </c>
      <c r="L14" s="2193">
        <f>+I64</f>
        <v>97568</v>
      </c>
      <c r="M14" s="178">
        <f>+J64</f>
        <v>33.22</v>
      </c>
      <c r="O14" s="2193">
        <f t="shared" ref="O14:O77" si="6">+(I14+B14)/2</f>
        <v>99693</v>
      </c>
      <c r="P14" s="178">
        <f t="shared" ref="P14:P77" si="7">+(J14+C14)/2</f>
        <v>79.825000000000003</v>
      </c>
      <c r="S14" s="166" t="s">
        <v>174</v>
      </c>
      <c r="T14" s="50">
        <v>67</v>
      </c>
      <c r="U14" s="167">
        <v>67</v>
      </c>
      <c r="W14" s="2967"/>
      <c r="X14" s="29">
        <v>42</v>
      </c>
      <c r="Y14" s="177">
        <f t="shared" si="2"/>
        <v>0.99850275169957914</v>
      </c>
      <c r="Z14" s="177">
        <f t="shared" ref="Z14:Z47" si="8">VLOOKUP($X14,Sterbetafel,9)/VLOOKUP(Z$11,Sterbetafel,9)</f>
        <v>0.9992204663028843</v>
      </c>
      <c r="AA14" s="168"/>
      <c r="AB14" s="169">
        <f t="shared" ref="AB14:BH14" si="9">VLOOKUP(AB$11,Sterbetafel,2)/VLOOKUP($X14,Sterbetafel,2)</f>
        <v>0.99844604610744769</v>
      </c>
      <c r="AC14" s="169">
        <f t="shared" si="9"/>
        <v>0.99673874150181463</v>
      </c>
      <c r="AD14" s="169">
        <f t="shared" si="9"/>
        <v>0.99486786280222872</v>
      </c>
      <c r="AE14" s="169">
        <f t="shared" si="9"/>
        <v>0.99282318662781777</v>
      </c>
      <c r="AF14" s="169">
        <f t="shared" si="9"/>
        <v>0.99057404283596584</v>
      </c>
      <c r="AG14" s="169">
        <f t="shared" si="9"/>
        <v>0.98811020804580074</v>
      </c>
      <c r="AH14" s="169">
        <f t="shared" si="9"/>
        <v>0.98539078873383423</v>
      </c>
      <c r="AI14" s="169">
        <f t="shared" si="9"/>
        <v>0.98239533813832236</v>
      </c>
      <c r="AJ14" s="169">
        <f t="shared" si="9"/>
        <v>0.97910340949752084</v>
      </c>
      <c r="AK14" s="169">
        <f t="shared" si="9"/>
        <v>0.97547410928794154</v>
      </c>
      <c r="AL14" s="169">
        <f t="shared" si="9"/>
        <v>0.97145632060522413</v>
      </c>
      <c r="AM14" s="169">
        <f t="shared" si="9"/>
        <v>0.96701937330675258</v>
      </c>
      <c r="AN14" s="169">
        <f t="shared" si="9"/>
        <v>0.96210192710729436</v>
      </c>
      <c r="AO14" s="169">
        <f t="shared" si="9"/>
        <v>0.95666308848336146</v>
      </c>
      <c r="AP14" s="169">
        <f t="shared" si="9"/>
        <v>0.95062107038797727</v>
      </c>
      <c r="AQ14" s="169">
        <f t="shared" si="9"/>
        <v>0.94393497929765369</v>
      </c>
      <c r="AR14" s="169">
        <f t="shared" si="9"/>
        <v>0.93652302816541433</v>
      </c>
      <c r="AS14" s="169">
        <f t="shared" si="9"/>
        <v>0.92833410008689876</v>
      </c>
      <c r="AT14" s="169">
        <f t="shared" si="9"/>
        <v>0.91929663139600271</v>
      </c>
      <c r="AU14" s="169">
        <f t="shared" si="9"/>
        <v>0.90935950518836584</v>
      </c>
      <c r="AV14" s="169">
        <f t="shared" si="9"/>
        <v>0.89846138117875585</v>
      </c>
      <c r="AW14" s="169">
        <f t="shared" si="9"/>
        <v>0.8865613658436845</v>
      </c>
      <c r="AX14" s="169">
        <f t="shared" si="9"/>
        <v>0.87363901242140773</v>
      </c>
      <c r="AY14" s="169">
        <f t="shared" si="9"/>
        <v>0.85967387415018148</v>
      </c>
      <c r="AZ14" s="169">
        <f t="shared" si="9"/>
        <v>0.8446863977917497</v>
      </c>
      <c r="BA14" s="169">
        <f t="shared" si="9"/>
        <v>0.82864591320349634</v>
      </c>
      <c r="BB14" s="169">
        <f t="shared" si="9"/>
        <v>0.81157286714716559</v>
      </c>
      <c r="BC14" s="169">
        <f t="shared" si="9"/>
        <v>0.79344681286101315</v>
      </c>
      <c r="BD14" s="169">
        <f t="shared" si="9"/>
        <v>0.77424730358329497</v>
      </c>
      <c r="BE14" s="169">
        <f t="shared" si="9"/>
        <v>0.75392322240965082</v>
      </c>
      <c r="BF14" s="169">
        <f t="shared" si="9"/>
        <v>0.73245412257833664</v>
      </c>
      <c r="BG14" s="169">
        <f t="shared" si="9"/>
        <v>0.70979911056586409</v>
      </c>
      <c r="BH14" s="170">
        <f t="shared" si="9"/>
        <v>0.68590706946787305</v>
      </c>
      <c r="BZ14" s="2942" t="s">
        <v>593</v>
      </c>
      <c r="CA14" s="2943"/>
      <c r="CC14" s="522">
        <v>31</v>
      </c>
      <c r="CD14" s="521">
        <f t="shared" si="4"/>
        <v>254.90569974854316</v>
      </c>
      <c r="CE14" s="521">
        <f t="shared" si="4"/>
        <v>266.34945773142738</v>
      </c>
      <c r="CF14" s="521">
        <f t="shared" si="4"/>
        <v>278.30146139943497</v>
      </c>
      <c r="CG14" s="521">
        <f t="shared" si="4"/>
        <v>290.78403672486587</v>
      </c>
      <c r="CH14" s="521">
        <f t="shared" si="4"/>
        <v>303.82047930316531</v>
      </c>
      <c r="CI14" s="521">
        <f t="shared" si="4"/>
        <v>317.43509596213585</v>
      </c>
      <c r="CJ14" s="521">
        <f t="shared" si="4"/>
        <v>331.65324813386178</v>
      </c>
      <c r="CK14" s="521">
        <f t="shared" si="4"/>
        <v>346.50139706337018</v>
      </c>
      <c r="CL14" s="521">
        <f t="shared" si="4"/>
        <v>362.00715093041197</v>
      </c>
      <c r="CM14" s="521">
        <f t="shared" si="4"/>
        <v>378.19931396452643</v>
      </c>
      <c r="CN14" s="521">
        <f t="shared" si="5"/>
        <v>395.10793763625372</v>
      </c>
      <c r="CO14" s="521">
        <f t="shared" si="5"/>
        <v>412.76437401135104</v>
      </c>
      <c r="CP14" s="521">
        <f t="shared" si="5"/>
        <v>431.20133135782123</v>
      </c>
      <c r="CQ14" s="521">
        <f t="shared" si="5"/>
        <v>450.45293209991212</v>
      </c>
      <c r="CR14" s="521">
        <f t="shared" si="5"/>
        <v>470.55477321641888</v>
      </c>
      <c r="CS14" s="521">
        <f t="shared" si="5"/>
        <v>491.54398918528807</v>
      </c>
      <c r="CT14" s="521">
        <f t="shared" si="5"/>
        <v>513.45931758006327</v>
      </c>
      <c r="CU14" s="521">
        <f t="shared" si="5"/>
        <v>536.34116742863262</v>
      </c>
      <c r="CV14" s="521">
        <f t="shared" si="5"/>
        <v>560.23169044867484</v>
      </c>
      <c r="CW14" s="525">
        <f t="shared" si="5"/>
        <v>585.17485527948793</v>
      </c>
      <c r="CX14" s="536"/>
    </row>
    <row r="15" spans="1:121" ht="14.25">
      <c r="A15" s="171">
        <v>2</v>
      </c>
      <c r="B15" s="2192">
        <v>99649</v>
      </c>
      <c r="C15" s="172">
        <v>76.44</v>
      </c>
      <c r="D15" s="171">
        <v>52</v>
      </c>
      <c r="E15" s="2192">
        <f t="shared" ref="E15:F63" si="10">+B65</f>
        <v>95416</v>
      </c>
      <c r="F15" s="172">
        <f t="shared" si="10"/>
        <v>28.14</v>
      </c>
      <c r="G15" s="151"/>
      <c r="H15" s="171">
        <v>2</v>
      </c>
      <c r="I15" s="2192">
        <v>99690</v>
      </c>
      <c r="J15" s="172">
        <v>81.25</v>
      </c>
      <c r="K15" s="171">
        <v>52</v>
      </c>
      <c r="L15" s="2192">
        <f t="shared" ref="L15:M63" si="11">+I65</f>
        <v>97369</v>
      </c>
      <c r="M15" s="172">
        <f t="shared" si="11"/>
        <v>32.28</v>
      </c>
      <c r="O15" s="2192">
        <f t="shared" si="6"/>
        <v>99669.5</v>
      </c>
      <c r="P15" s="172">
        <f t="shared" si="7"/>
        <v>78.844999999999999</v>
      </c>
      <c r="S15" s="156" t="s">
        <v>236</v>
      </c>
      <c r="T15" s="180">
        <f>IF(T12&gt;S12,T14+(T12-S12),T14)</f>
        <v>67</v>
      </c>
      <c r="U15" s="180">
        <f>IF(U12&gt;T12,U14+(U12-T12),U14)</f>
        <v>67</v>
      </c>
      <c r="W15" s="2967"/>
      <c r="X15" s="29">
        <v>43</v>
      </c>
      <c r="Y15" s="177">
        <f t="shared" si="2"/>
        <v>0.99765296212366461</v>
      </c>
      <c r="Z15" s="177">
        <f t="shared" si="8"/>
        <v>0.99837006590603072</v>
      </c>
      <c r="AA15" s="177">
        <f t="shared" ref="AA15:AA47" si="12">VLOOKUP($X15,Sterbetafel,9)/VLOOKUP(AA$11,Sterbetafel,9)</f>
        <v>0.99914893617021272</v>
      </c>
      <c r="AB15" s="168"/>
      <c r="AC15" s="169">
        <f t="shared" ref="AC15:BH15" si="13">VLOOKUP(AC$11,Sterbetafel,2)/VLOOKUP($X15,Sterbetafel,2)</f>
        <v>0.99829003819256013</v>
      </c>
      <c r="AD15" s="169">
        <f t="shared" si="13"/>
        <v>0.99641624770895831</v>
      </c>
      <c r="AE15" s="169">
        <f t="shared" si="13"/>
        <v>0.9943683892569346</v>
      </c>
      <c r="AF15" s="169">
        <f t="shared" si="13"/>
        <v>0.99211574495970833</v>
      </c>
      <c r="AG15" s="169">
        <f t="shared" si="13"/>
        <v>0.98964807552501977</v>
      </c>
      <c r="AH15" s="169">
        <f t="shared" si="13"/>
        <v>0.98692442378382805</v>
      </c>
      <c r="AI15" s="169">
        <f t="shared" si="13"/>
        <v>0.98392431115161316</v>
      </c>
      <c r="AJ15" s="169">
        <f t="shared" si="13"/>
        <v>0.98062725904385484</v>
      </c>
      <c r="AK15" s="169">
        <f t="shared" si="13"/>
        <v>0.97699231029151268</v>
      </c>
      <c r="AL15" s="169">
        <f t="shared" si="13"/>
        <v>0.97296826843328588</v>
      </c>
      <c r="AM15" s="169">
        <f t="shared" si="13"/>
        <v>0.96852441559239422</v>
      </c>
      <c r="AN15" s="169">
        <f t="shared" si="13"/>
        <v>0.96359931601527704</v>
      </c>
      <c r="AO15" s="169">
        <f t="shared" si="13"/>
        <v>0.95815201253289373</v>
      </c>
      <c r="AP15" s="169">
        <f t="shared" si="13"/>
        <v>0.95210059080716336</v>
      </c>
      <c r="AQ15" s="169">
        <f t="shared" si="13"/>
        <v>0.94540409366904554</v>
      </c>
      <c r="AR15" s="169">
        <f t="shared" si="13"/>
        <v>0.93798060678045936</v>
      </c>
      <c r="AS15" s="169">
        <f t="shared" si="13"/>
        <v>0.929778933680104</v>
      </c>
      <c r="AT15" s="169">
        <f t="shared" si="13"/>
        <v>0.92072739932215886</v>
      </c>
      <c r="AU15" s="169">
        <f t="shared" si="13"/>
        <v>0.91077480724532323</v>
      </c>
      <c r="AV15" s="169">
        <f t="shared" si="13"/>
        <v>0.89985972169603634</v>
      </c>
      <c r="AW15" s="169">
        <f t="shared" si="13"/>
        <v>0.88794118550525791</v>
      </c>
      <c r="AX15" s="169">
        <f t="shared" si="13"/>
        <v>0.87499872008846746</v>
      </c>
      <c r="AY15" s="169">
        <f t="shared" si="13"/>
        <v>0.86101184686114496</v>
      </c>
      <c r="AZ15" s="169">
        <f t="shared" si="13"/>
        <v>0.84600104440781054</v>
      </c>
      <c r="BA15" s="169">
        <f t="shared" si="13"/>
        <v>0.82993559485168389</v>
      </c>
      <c r="BB15" s="169">
        <f t="shared" si="13"/>
        <v>0.81283597677728514</v>
      </c>
      <c r="BC15" s="169">
        <f t="shared" si="13"/>
        <v>0.79468171160009415</v>
      </c>
      <c r="BD15" s="169">
        <f t="shared" si="13"/>
        <v>0.77545232073559078</v>
      </c>
      <c r="BE15" s="169">
        <f t="shared" si="13"/>
        <v>0.75509660772247422</v>
      </c>
      <c r="BF15" s="169">
        <f t="shared" si="13"/>
        <v>0.73359409397622433</v>
      </c>
      <c r="BG15" s="169">
        <f t="shared" si="13"/>
        <v>0.71090382232780069</v>
      </c>
      <c r="BH15" s="170">
        <f t="shared" si="13"/>
        <v>0.68697459631590263</v>
      </c>
      <c r="BZ15" s="531" t="s">
        <v>595</v>
      </c>
      <c r="CA15" s="532">
        <f>IF(CT11&lt;&gt;"",CA16,CA17)</f>
        <v>17.049347022519509</v>
      </c>
      <c r="CC15" s="522">
        <v>32</v>
      </c>
      <c r="CD15" s="520">
        <f t="shared" si="4"/>
        <v>253.63751218760521</v>
      </c>
      <c r="CE15" s="520">
        <f t="shared" si="4"/>
        <v>264.7608923771644</v>
      </c>
      <c r="CF15" s="520">
        <f t="shared" si="4"/>
        <v>276.36689314740318</v>
      </c>
      <c r="CG15" s="520">
        <f t="shared" si="4"/>
        <v>288.47622690958912</v>
      </c>
      <c r="CH15" s="520">
        <f t="shared" si="4"/>
        <v>301.11048493871681</v>
      </c>
      <c r="CI15" s="520">
        <f t="shared" si="4"/>
        <v>314.29217421993644</v>
      </c>
      <c r="CJ15" s="520">
        <f t="shared" si="4"/>
        <v>328.04475581984354</v>
      </c>
      <c r="CK15" s="520">
        <f t="shared" si="4"/>
        <v>342.39268484522745</v>
      </c>
      <c r="CL15" s="520">
        <f t="shared" si="4"/>
        <v>357.36145205371361</v>
      </c>
      <c r="CM15" s="520">
        <f t="shared" si="4"/>
        <v>372.97762718395109</v>
      </c>
      <c r="CN15" s="520">
        <f t="shared" si="5"/>
        <v>389.2689040751269</v>
      </c>
      <c r="CO15" s="520">
        <f t="shared" si="5"/>
        <v>406.26414764896765</v>
      </c>
      <c r="CP15" s="520">
        <f t="shared" si="5"/>
        <v>423.99344282971606</v>
      </c>
      <c r="CQ15" s="520">
        <f t="shared" si="5"/>
        <v>442.4881454812496</v>
      </c>
      <c r="CR15" s="520">
        <f t="shared" si="5"/>
        <v>461.78093544300191</v>
      </c>
      <c r="CS15" s="520">
        <f t="shared" si="5"/>
        <v>481.90587175028247</v>
      </c>
      <c r="CT15" s="520">
        <f t="shared" si="5"/>
        <v>502.89845012738812</v>
      </c>
      <c r="CU15" s="520">
        <f t="shared" si="5"/>
        <v>524.79566284602015</v>
      </c>
      <c r="CV15" s="520">
        <f t="shared" si="5"/>
        <v>547.63606104464793</v>
      </c>
      <c r="CW15" s="524">
        <f t="shared" si="5"/>
        <v>571.45981960887491</v>
      </c>
      <c r="CX15" s="536"/>
    </row>
    <row r="16" spans="1:121" ht="14.25">
      <c r="A16" s="162">
        <v>3</v>
      </c>
      <c r="B16" s="2193">
        <v>99631</v>
      </c>
      <c r="C16" s="178">
        <v>75.45</v>
      </c>
      <c r="D16" s="162">
        <v>53</v>
      </c>
      <c r="E16" s="2193">
        <f t="shared" si="10"/>
        <v>95023</v>
      </c>
      <c r="F16" s="178">
        <f t="shared" si="10"/>
        <v>27.25</v>
      </c>
      <c r="G16" s="151"/>
      <c r="H16" s="162">
        <v>3</v>
      </c>
      <c r="I16" s="2193">
        <v>99675</v>
      </c>
      <c r="J16" s="178">
        <v>80.260000000000005</v>
      </c>
      <c r="K16" s="162">
        <v>53</v>
      </c>
      <c r="L16" s="2193">
        <f t="shared" si="11"/>
        <v>97149</v>
      </c>
      <c r="M16" s="178">
        <f t="shared" si="11"/>
        <v>31.35</v>
      </c>
      <c r="O16" s="2193">
        <f t="shared" si="6"/>
        <v>99653</v>
      </c>
      <c r="P16" s="178">
        <f t="shared" si="7"/>
        <v>77.855000000000004</v>
      </c>
      <c r="S16" s="174" t="s">
        <v>237</v>
      </c>
      <c r="T16" s="175">
        <f>VLOOKUP(T15,Sterbetafel,2)</f>
        <v>82623</v>
      </c>
      <c r="U16" s="176">
        <f>VLOOKUP(U15,Sterbetafel,9)</f>
        <v>90177</v>
      </c>
      <c r="W16" s="2967"/>
      <c r="X16" s="29">
        <v>44</v>
      </c>
      <c r="Y16" s="177">
        <f t="shared" si="2"/>
        <v>0.99673235674975724</v>
      </c>
      <c r="Z16" s="177">
        <f t="shared" si="8"/>
        <v>0.99744879880943949</v>
      </c>
      <c r="AA16" s="177">
        <f t="shared" si="12"/>
        <v>0.99822695035460995</v>
      </c>
      <c r="AB16" s="177">
        <f t="shared" ref="AB16:AB47" si="14">VLOOKUP($X16,Sterbetafel,9)/VLOOKUP(AB$11,Sterbetafel,9)</f>
        <v>0.99907722884724592</v>
      </c>
      <c r="AC16" s="168"/>
      <c r="AD16" s="169">
        <f t="shared" ref="AD16:BH16" si="15">VLOOKUP(AD$11,Sterbetafel,2)/VLOOKUP($X16,Sterbetafel,2)</f>
        <v>0.9981229999179454</v>
      </c>
      <c r="AE16" s="169">
        <f t="shared" si="15"/>
        <v>0.99607163370804952</v>
      </c>
      <c r="AF16" s="169">
        <f t="shared" si="15"/>
        <v>0.99381513087716422</v>
      </c>
      <c r="AG16" s="169">
        <f t="shared" si="15"/>
        <v>0.99134323459423979</v>
      </c>
      <c r="AH16" s="169">
        <f t="shared" si="15"/>
        <v>0.98861491753507835</v>
      </c>
      <c r="AI16" s="169">
        <f t="shared" si="15"/>
        <v>0.98560966603758104</v>
      </c>
      <c r="AJ16" s="169">
        <f t="shared" si="15"/>
        <v>0.98230696643964877</v>
      </c>
      <c r="AK16" s="169">
        <f t="shared" si="15"/>
        <v>0.97866579141708376</v>
      </c>
      <c r="AL16" s="169">
        <f t="shared" si="15"/>
        <v>0.97463485681463857</v>
      </c>
      <c r="AM16" s="169">
        <f t="shared" si="15"/>
        <v>0.97018339213916471</v>
      </c>
      <c r="AN16" s="169">
        <f t="shared" si="15"/>
        <v>0.96524985640436534</v>
      </c>
      <c r="AO16" s="169">
        <f t="shared" si="15"/>
        <v>0.95979322228604247</v>
      </c>
      <c r="AP16" s="169">
        <f t="shared" si="15"/>
        <v>0.9537314351358005</v>
      </c>
      <c r="AQ16" s="169">
        <f t="shared" si="15"/>
        <v>0.94702346762944123</v>
      </c>
      <c r="AR16" s="169">
        <f t="shared" si="15"/>
        <v>0.93958726511856894</v>
      </c>
      <c r="AS16" s="169">
        <f t="shared" si="15"/>
        <v>0.93137154344793638</v>
      </c>
      <c r="AT16" s="169">
        <f t="shared" si="15"/>
        <v>0.92230450480019688</v>
      </c>
      <c r="AU16" s="169">
        <f t="shared" si="15"/>
        <v>0.91233486502010341</v>
      </c>
      <c r="AV16" s="169">
        <f t="shared" si="15"/>
        <v>0.9014010831213588</v>
      </c>
      <c r="AW16" s="169">
        <f t="shared" si="15"/>
        <v>0.8894621317797653</v>
      </c>
      <c r="AX16" s="169">
        <f t="shared" si="15"/>
        <v>0.87649749733322391</v>
      </c>
      <c r="AY16" s="169">
        <f t="shared" si="15"/>
        <v>0.86248666611963565</v>
      </c>
      <c r="AZ16" s="169">
        <f t="shared" si="15"/>
        <v>0.8474501518010995</v>
      </c>
      <c r="BA16" s="169">
        <f t="shared" si="15"/>
        <v>0.83135718388446711</v>
      </c>
      <c r="BB16" s="169">
        <f t="shared" si="15"/>
        <v>0.81422827603183723</v>
      </c>
      <c r="BC16" s="169">
        <f t="shared" si="15"/>
        <v>0.79604291458111098</v>
      </c>
      <c r="BD16" s="169">
        <f t="shared" si="15"/>
        <v>0.7767805858701895</v>
      </c>
      <c r="BE16" s="169">
        <f t="shared" si="15"/>
        <v>0.75639000574382542</v>
      </c>
      <c r="BF16" s="169">
        <f t="shared" si="15"/>
        <v>0.73485066053991954</v>
      </c>
      <c r="BG16" s="169">
        <f t="shared" si="15"/>
        <v>0.71212152293427422</v>
      </c>
      <c r="BH16" s="170">
        <f t="shared" si="15"/>
        <v>0.68815130877164188</v>
      </c>
      <c r="BZ16" s="531" t="s">
        <v>596</v>
      </c>
      <c r="CA16" s="532">
        <f>VLOOKUP(CH11,Lebenserwartung_M_V2,YEAR(CT11)-1900+2)</f>
        <v>17.049347022519509</v>
      </c>
      <c r="CC16" s="522">
        <v>33</v>
      </c>
      <c r="CD16" s="521">
        <f t="shared" si="4"/>
        <v>252.3756340175176</v>
      </c>
      <c r="CE16" s="521">
        <f t="shared" si="4"/>
        <v>263.18180156775787</v>
      </c>
      <c r="CF16" s="521">
        <f t="shared" si="4"/>
        <v>274.44577273823563</v>
      </c>
      <c r="CG16" s="521">
        <f t="shared" si="4"/>
        <v>286.1867330452273</v>
      </c>
      <c r="CH16" s="521">
        <f t="shared" si="4"/>
        <v>298.42466297196916</v>
      </c>
      <c r="CI16" s="521">
        <f t="shared" si="4"/>
        <v>311.18037051478859</v>
      </c>
      <c r="CJ16" s="521">
        <f t="shared" si="4"/>
        <v>324.47552504435566</v>
      </c>
      <c r="CK16" s="521">
        <f t="shared" si="4"/>
        <v>338.33269253480972</v>
      </c>
      <c r="CL16" s="521">
        <f t="shared" si="4"/>
        <v>352.77537221491968</v>
      </c>
      <c r="CM16" s="521">
        <f t="shared" si="4"/>
        <v>367.82803469817657</v>
      </c>
      <c r="CN16" s="521">
        <f t="shared" si="5"/>
        <v>383.51616165037126</v>
      </c>
      <c r="CO16" s="521">
        <f t="shared" si="5"/>
        <v>399.86628705607052</v>
      </c>
      <c r="CP16" s="521">
        <f t="shared" si="5"/>
        <v>416.9060401472135</v>
      </c>
      <c r="CQ16" s="521">
        <f t="shared" si="5"/>
        <v>434.66419006016662</v>
      </c>
      <c r="CR16" s="521">
        <f t="shared" si="5"/>
        <v>453.17069228950135</v>
      </c>
      <c r="CS16" s="521">
        <f t="shared" si="5"/>
        <v>472.45673701008093</v>
      </c>
      <c r="CT16" s="521">
        <f t="shared" si="5"/>
        <v>492.55479934122241</v>
      </c>
      <c r="CU16" s="521">
        <f t="shared" si="5"/>
        <v>513.4986916301566</v>
      </c>
      <c r="CV16" s="521">
        <f t="shared" si="5"/>
        <v>535.32361783445549</v>
      </c>
      <c r="CW16" s="525">
        <f t="shared" si="5"/>
        <v>558.06623008679196</v>
      </c>
      <c r="CX16" s="536"/>
    </row>
    <row r="17" spans="1:102" ht="14.25">
      <c r="A17" s="171">
        <v>4</v>
      </c>
      <c r="B17" s="2192">
        <v>99617</v>
      </c>
      <c r="C17" s="172">
        <v>74.47</v>
      </c>
      <c r="D17" s="171">
        <v>54</v>
      </c>
      <c r="E17" s="2192">
        <f t="shared" si="10"/>
        <v>94589</v>
      </c>
      <c r="F17" s="172">
        <f t="shared" si="10"/>
        <v>26.37</v>
      </c>
      <c r="G17" s="151"/>
      <c r="H17" s="171">
        <v>4</v>
      </c>
      <c r="I17" s="2192">
        <v>99663</v>
      </c>
      <c r="J17" s="172">
        <v>79.27</v>
      </c>
      <c r="K17" s="171">
        <v>54</v>
      </c>
      <c r="L17" s="2192">
        <f t="shared" si="11"/>
        <v>96906</v>
      </c>
      <c r="M17" s="172">
        <f t="shared" si="11"/>
        <v>30.43</v>
      </c>
      <c r="O17" s="2192">
        <f t="shared" si="6"/>
        <v>99640</v>
      </c>
      <c r="P17" s="172">
        <f t="shared" si="7"/>
        <v>76.87</v>
      </c>
      <c r="S17" s="156" t="s">
        <v>238</v>
      </c>
      <c r="T17" s="179">
        <f>+T16/T13</f>
        <v>0.85982329618182385</v>
      </c>
      <c r="U17" s="180">
        <f>+U16/U13</f>
        <v>0.92254572983590455</v>
      </c>
      <c r="W17" s="2967"/>
      <c r="X17" s="29">
        <v>45</v>
      </c>
      <c r="Y17" s="177">
        <f t="shared" si="2"/>
        <v>0.99571058595014572</v>
      </c>
      <c r="Z17" s="177">
        <f t="shared" si="8"/>
        <v>0.99642629357036561</v>
      </c>
      <c r="AA17" s="177">
        <f t="shared" si="12"/>
        <v>0.99720364741641332</v>
      </c>
      <c r="AB17" s="177">
        <f t="shared" si="14"/>
        <v>0.99805305427111224</v>
      </c>
      <c r="AC17" s="177">
        <f t="shared" ref="AC17:AC47" si="16">VLOOKUP($X17,Sterbetafel,9)/VLOOKUP(AC$11,Sterbetafel,9)</f>
        <v>0.99897487947221519</v>
      </c>
      <c r="AD17" s="168"/>
      <c r="AE17" s="169">
        <f t="shared" ref="AE17:BH17" si="17">VLOOKUP(AE$11,Sterbetafel,2)/VLOOKUP($X17,Sterbetafel,2)</f>
        <v>0.99794477613474053</v>
      </c>
      <c r="AF17" s="169">
        <f t="shared" si="17"/>
        <v>0.99568402988295501</v>
      </c>
      <c r="AG17" s="169">
        <f t="shared" si="17"/>
        <v>0.99320748512531731</v>
      </c>
      <c r="AH17" s="169">
        <f t="shared" si="17"/>
        <v>0.99047403738452211</v>
      </c>
      <c r="AI17" s="169">
        <f t="shared" si="17"/>
        <v>0.98746313442191691</v>
      </c>
      <c r="AJ17" s="169">
        <f t="shared" si="17"/>
        <v>0.98415422399884911</v>
      </c>
      <c r="AK17" s="169">
        <f t="shared" si="17"/>
        <v>0.98050620163801339</v>
      </c>
      <c r="AL17" s="169">
        <f t="shared" si="17"/>
        <v>0.97646768674277851</v>
      </c>
      <c r="AM17" s="169">
        <f t="shared" si="17"/>
        <v>0.97200785095516529</v>
      </c>
      <c r="AN17" s="169">
        <f t="shared" si="17"/>
        <v>0.96706503755921613</v>
      </c>
      <c r="AO17" s="169">
        <f t="shared" si="17"/>
        <v>0.96159814207762584</v>
      </c>
      <c r="AP17" s="169">
        <f t="shared" si="17"/>
        <v>0.95552495555578387</v>
      </c>
      <c r="AQ17" s="169">
        <f t="shared" si="17"/>
        <v>0.94880437351638525</v>
      </c>
      <c r="AR17" s="169">
        <f t="shared" si="17"/>
        <v>0.94135418700481954</v>
      </c>
      <c r="AS17" s="169">
        <f t="shared" si="17"/>
        <v>0.93312301542445508</v>
      </c>
      <c r="AT17" s="169">
        <f t="shared" si="17"/>
        <v>0.92403892594000803</v>
      </c>
      <c r="AU17" s="169">
        <f t="shared" si="17"/>
        <v>0.9140505379548467</v>
      </c>
      <c r="AV17" s="169">
        <f t="shared" si="17"/>
        <v>0.9030961947530135</v>
      </c>
      <c r="AW17" s="169">
        <f t="shared" si="17"/>
        <v>0.89113479185720301</v>
      </c>
      <c r="AX17" s="169">
        <f t="shared" si="17"/>
        <v>0.87814577702876284</v>
      </c>
      <c r="AY17" s="169">
        <f t="shared" si="17"/>
        <v>0.86410859802904028</v>
      </c>
      <c r="AZ17" s="169">
        <f t="shared" si="17"/>
        <v>0.84904380709668803</v>
      </c>
      <c r="BA17" s="169">
        <f t="shared" si="17"/>
        <v>0.83292057587372703</v>
      </c>
      <c r="BB17" s="169">
        <f t="shared" si="17"/>
        <v>0.81575945659881</v>
      </c>
      <c r="BC17" s="169">
        <f t="shared" si="17"/>
        <v>0.79753989703328432</v>
      </c>
      <c r="BD17" s="169">
        <f t="shared" si="17"/>
        <v>0.77824134493849739</v>
      </c>
      <c r="BE17" s="169">
        <f t="shared" si="17"/>
        <v>0.75781241971781776</v>
      </c>
      <c r="BF17" s="169">
        <f t="shared" si="17"/>
        <v>0.73623256913259272</v>
      </c>
      <c r="BG17" s="169">
        <f t="shared" si="17"/>
        <v>0.71346068870551727</v>
      </c>
      <c r="BH17" s="170">
        <f t="shared" si="17"/>
        <v>0.68944539783995973</v>
      </c>
      <c r="BZ17" s="531" t="s">
        <v>595</v>
      </c>
      <c r="CA17" s="532">
        <f>VLOOKUP($CH$11,Sterbetafel,IF(CO11="m",3,IF(CO11="w",10,IF(CO11="d",16))))</f>
        <v>17.594999999999999</v>
      </c>
      <c r="CC17" s="522">
        <v>34</v>
      </c>
      <c r="CD17" s="520">
        <f t="shared" si="4"/>
        <v>251.12003384827628</v>
      </c>
      <c r="CE17" s="520">
        <f t="shared" si="4"/>
        <v>261.61212879498794</v>
      </c>
      <c r="CF17" s="520">
        <f t="shared" si="4"/>
        <v>272.53800669139588</v>
      </c>
      <c r="CG17" s="520">
        <f t="shared" si="4"/>
        <v>283.91540976709052</v>
      </c>
      <c r="CH17" s="520">
        <f t="shared" si="4"/>
        <v>295.76279779184262</v>
      </c>
      <c r="CI17" s="520">
        <f t="shared" si="4"/>
        <v>308.09937674731543</v>
      </c>
      <c r="CJ17" s="520">
        <f t="shared" si="4"/>
        <v>320.94512862943191</v>
      </c>
      <c r="CK17" s="520">
        <f t="shared" si="4"/>
        <v>334.32084242570136</v>
      </c>
      <c r="CL17" s="520">
        <f t="shared" si="4"/>
        <v>348.24814631285261</v>
      </c>
      <c r="CM17" s="520">
        <f t="shared" si="4"/>
        <v>362.74954112246206</v>
      </c>
      <c r="CN17" s="520">
        <f t="shared" si="5"/>
        <v>377.84843512351858</v>
      </c>
      <c r="CO17" s="520">
        <f t="shared" si="5"/>
        <v>393.5691801732977</v>
      </c>
      <c r="CP17" s="520">
        <f t="shared" si="5"/>
        <v>409.93710928929545</v>
      </c>
      <c r="CQ17" s="520">
        <f t="shared" si="5"/>
        <v>426.97857569760959</v>
      </c>
      <c r="CR17" s="520">
        <f t="shared" si="5"/>
        <v>444.72099341462354</v>
      </c>
      <c r="CS17" s="520">
        <f t="shared" si="5"/>
        <v>463.192879421648</v>
      </c>
      <c r="CT17" s="520">
        <f t="shared" si="5"/>
        <v>482.42389749385165</v>
      </c>
      <c r="CU17" s="520">
        <f t="shared" si="5"/>
        <v>502.44490374770714</v>
      </c>
      <c r="CV17" s="520">
        <f t="shared" si="5"/>
        <v>523.28799397307489</v>
      </c>
      <c r="CW17" s="524">
        <f t="shared" si="5"/>
        <v>544.98655281913284</v>
      </c>
      <c r="CX17" s="536"/>
    </row>
    <row r="18" spans="1:102" ht="15.75" thickBot="1">
      <c r="A18" s="162">
        <v>5</v>
      </c>
      <c r="B18" s="2193">
        <v>99606</v>
      </c>
      <c r="C18" s="178">
        <v>73.47</v>
      </c>
      <c r="D18" s="162">
        <v>55</v>
      </c>
      <c r="E18" s="2193">
        <f t="shared" si="10"/>
        <v>94108</v>
      </c>
      <c r="F18" s="178">
        <f t="shared" si="10"/>
        <v>25.51</v>
      </c>
      <c r="G18" s="151"/>
      <c r="H18" s="162">
        <v>5</v>
      </c>
      <c r="I18" s="2193">
        <v>99653</v>
      </c>
      <c r="J18" s="178">
        <v>78.28</v>
      </c>
      <c r="K18" s="162">
        <v>55</v>
      </c>
      <c r="L18" s="2193">
        <f t="shared" si="11"/>
        <v>96638</v>
      </c>
      <c r="M18" s="178">
        <f t="shared" si="11"/>
        <v>29.51</v>
      </c>
      <c r="O18" s="2193">
        <f t="shared" si="6"/>
        <v>99629.5</v>
      </c>
      <c r="P18" s="178">
        <f t="shared" si="7"/>
        <v>75.875</v>
      </c>
      <c r="S18" s="156" t="s">
        <v>239</v>
      </c>
      <c r="T18" s="2969">
        <f>+T17*U17</f>
        <v>0.79322631030597379</v>
      </c>
      <c r="U18" s="2970"/>
      <c r="W18" s="2967"/>
      <c r="X18" s="29">
        <v>46</v>
      </c>
      <c r="Y18" s="177">
        <f t="shared" si="2"/>
        <v>0.99458764972483005</v>
      </c>
      <c r="Z18" s="177">
        <f t="shared" si="8"/>
        <v>0.99530255018880909</v>
      </c>
      <c r="AA18" s="177">
        <f t="shared" si="12"/>
        <v>0.99607902735562315</v>
      </c>
      <c r="AB18" s="177">
        <f t="shared" si="14"/>
        <v>0.99692747627159894</v>
      </c>
      <c r="AC18" s="177">
        <f t="shared" si="16"/>
        <v>0.99784826186247144</v>
      </c>
      <c r="AD18" s="177">
        <f t="shared" ref="AD18:AD47" si="18">VLOOKUP($X18,Sterbetafel,9)/VLOOKUP(AD$11,Sterbetafel,9)</f>
        <v>0.99887222628627159</v>
      </c>
      <c r="AE18" s="168"/>
      <c r="AF18" s="169">
        <f t="shared" ref="AF18:BH18" si="19">VLOOKUP(AF$11,Sterbetafel,2)/VLOOKUP($X18,Sterbetafel,2)</f>
        <v>0.99773459783963014</v>
      </c>
      <c r="AG18" s="169">
        <f t="shared" si="19"/>
        <v>0.99525295274577041</v>
      </c>
      <c r="AH18" s="169">
        <f t="shared" si="19"/>
        <v>0.99251387558823223</v>
      </c>
      <c r="AI18" s="169">
        <f t="shared" si="19"/>
        <v>0.98949677180192153</v>
      </c>
      <c r="AJ18" s="169">
        <f t="shared" si="19"/>
        <v>0.98618104682174379</v>
      </c>
      <c r="AK18" s="169">
        <f t="shared" si="19"/>
        <v>0.98252551151751055</v>
      </c>
      <c r="AL18" s="169">
        <f t="shared" si="19"/>
        <v>0.97847867947648615</v>
      </c>
      <c r="AM18" s="169">
        <f t="shared" si="19"/>
        <v>0.97400965885102919</v>
      </c>
      <c r="AN18" s="169">
        <f t="shared" si="19"/>
        <v>0.96905666594585693</v>
      </c>
      <c r="AO18" s="169">
        <f t="shared" si="19"/>
        <v>0.96357851163078068</v>
      </c>
      <c r="AP18" s="169">
        <f t="shared" si="19"/>
        <v>0.95749281764542338</v>
      </c>
      <c r="AQ18" s="169">
        <f t="shared" si="19"/>
        <v>0.95075839485959657</v>
      </c>
      <c r="AR18" s="169">
        <f t="shared" si="19"/>
        <v>0.94329286501292309</v>
      </c>
      <c r="AS18" s="169">
        <f t="shared" si="19"/>
        <v>0.93504474169266727</v>
      </c>
      <c r="AT18" s="169">
        <f t="shared" si="19"/>
        <v>0.92594194392099927</v>
      </c>
      <c r="AU18" s="169">
        <f t="shared" si="19"/>
        <v>0.91593298528518319</v>
      </c>
      <c r="AV18" s="169">
        <f t="shared" si="19"/>
        <v>0.9049560820899365</v>
      </c>
      <c r="AW18" s="169">
        <f t="shared" si="19"/>
        <v>0.8929700452050704</v>
      </c>
      <c r="AX18" s="169">
        <f t="shared" si="19"/>
        <v>0.8799542800654907</v>
      </c>
      <c r="AY18" s="169">
        <f t="shared" si="19"/>
        <v>0.86588819210610324</v>
      </c>
      <c r="AZ18" s="169">
        <f t="shared" si="19"/>
        <v>0.85079237589200207</v>
      </c>
      <c r="BA18" s="169">
        <f t="shared" si="19"/>
        <v>0.83463593957554605</v>
      </c>
      <c r="BB18" s="169">
        <f t="shared" si="19"/>
        <v>0.81743947772182923</v>
      </c>
      <c r="BC18" s="169">
        <f t="shared" si="19"/>
        <v>0.79918239576575745</v>
      </c>
      <c r="BD18" s="169">
        <f t="shared" si="19"/>
        <v>0.7798440991422364</v>
      </c>
      <c r="BE18" s="169">
        <f t="shared" si="19"/>
        <v>0.75937310143853032</v>
      </c>
      <c r="BF18" s="169">
        <f t="shared" si="19"/>
        <v>0.73774880808954513</v>
      </c>
      <c r="BG18" s="169">
        <f t="shared" si="19"/>
        <v>0.71493002996509225</v>
      </c>
      <c r="BH18" s="170">
        <f t="shared" si="19"/>
        <v>0.6908652806524358</v>
      </c>
      <c r="BZ18" s="533" t="s">
        <v>598</v>
      </c>
      <c r="CA18" s="534">
        <v>1</v>
      </c>
      <c r="CC18" s="522">
        <v>35</v>
      </c>
      <c r="CD18" s="521">
        <f t="shared" si="4"/>
        <v>249.87068044604607</v>
      </c>
      <c r="CE18" s="521">
        <f t="shared" si="4"/>
        <v>260.05181788766197</v>
      </c>
      <c r="CF18" s="521">
        <f t="shared" si="4"/>
        <v>270.64350217616277</v>
      </c>
      <c r="CG18" s="521">
        <f t="shared" si="4"/>
        <v>281.66211286417712</v>
      </c>
      <c r="CH18" s="521">
        <f t="shared" si="4"/>
        <v>293.12467571044863</v>
      </c>
      <c r="CI18" s="521">
        <f t="shared" si="4"/>
        <v>305.04888786862909</v>
      </c>
      <c r="CJ18" s="521">
        <f t="shared" si="4"/>
        <v>317.45314404493763</v>
      </c>
      <c r="CK18" s="521">
        <f t="shared" si="4"/>
        <v>330.35656366176022</v>
      </c>
      <c r="CL18" s="521">
        <f t="shared" si="4"/>
        <v>343.77901906500756</v>
      </c>
      <c r="CM18" s="521">
        <f t="shared" si="4"/>
        <v>357.74116481505132</v>
      </c>
      <c r="CN18" s="521">
        <f t="shared" si="5"/>
        <v>372.26446810198877</v>
      </c>
      <c r="CO18" s="521">
        <f t="shared" si="5"/>
        <v>387.37124032804888</v>
      </c>
      <c r="CP18" s="521">
        <f t="shared" si="5"/>
        <v>403.08466990097889</v>
      </c>
      <c r="CQ18" s="521">
        <f t="shared" si="5"/>
        <v>419.4288562844888</v>
      </c>
      <c r="CR18" s="521">
        <f t="shared" si="5"/>
        <v>436.42884535291819</v>
      </c>
      <c r="CS18" s="521">
        <f t="shared" si="5"/>
        <v>454.11066609965485</v>
      </c>
      <c r="CT18" s="521">
        <f t="shared" si="5"/>
        <v>472.50136875009963</v>
      </c>
      <c r="CU18" s="521">
        <f t="shared" si="5"/>
        <v>491.62906433239448</v>
      </c>
      <c r="CV18" s="521">
        <f t="shared" si="5"/>
        <v>511.52296576058154</v>
      </c>
      <c r="CW18" s="525">
        <f t="shared" si="5"/>
        <v>532.21343048743438</v>
      </c>
      <c r="CX18" s="536"/>
    </row>
    <row r="19" spans="1:102" ht="14.25">
      <c r="A19" s="171">
        <v>6</v>
      </c>
      <c r="B19" s="2192">
        <v>99595</v>
      </c>
      <c r="C19" s="172">
        <v>72.48</v>
      </c>
      <c r="D19" s="171">
        <v>56</v>
      </c>
      <c r="E19" s="2192">
        <f t="shared" si="10"/>
        <v>93576</v>
      </c>
      <c r="F19" s="172">
        <f t="shared" si="10"/>
        <v>24.65</v>
      </c>
      <c r="G19" s="151"/>
      <c r="H19" s="171">
        <v>6</v>
      </c>
      <c r="I19" s="2192">
        <v>99645</v>
      </c>
      <c r="J19" s="172">
        <v>77.290000000000006</v>
      </c>
      <c r="K19" s="171">
        <v>56</v>
      </c>
      <c r="L19" s="2192">
        <f t="shared" si="11"/>
        <v>96342</v>
      </c>
      <c r="M19" s="172">
        <f t="shared" si="11"/>
        <v>28.6</v>
      </c>
      <c r="O19" s="2192">
        <f t="shared" si="6"/>
        <v>99620</v>
      </c>
      <c r="P19" s="172">
        <f t="shared" si="7"/>
        <v>74.885000000000005</v>
      </c>
      <c r="S19" s="181" t="s">
        <v>240</v>
      </c>
      <c r="T19" s="182">
        <f>VLOOKUP(T15,Sterbetafel,3)</f>
        <v>16.07</v>
      </c>
      <c r="U19" s="183">
        <f>VLOOKUP(U15,Sterbetafel,10)</f>
        <v>19.12</v>
      </c>
      <c r="W19" s="2967"/>
      <c r="X19" s="29">
        <v>47</v>
      </c>
      <c r="Y19" s="177">
        <f t="shared" si="2"/>
        <v>0.99336354807381033</v>
      </c>
      <c r="Z19" s="177">
        <f t="shared" si="8"/>
        <v>0.99407756866477015</v>
      </c>
      <c r="AA19" s="177">
        <f t="shared" si="12"/>
        <v>0.99485309017223911</v>
      </c>
      <c r="AB19" s="177">
        <f t="shared" si="14"/>
        <v>0.99570049484870604</v>
      </c>
      <c r="AC19" s="177">
        <f t="shared" si="16"/>
        <v>0.99662014717076886</v>
      </c>
      <c r="AD19" s="177">
        <f t="shared" si="18"/>
        <v>0.99764285133707231</v>
      </c>
      <c r="AE19" s="177">
        <f t="shared" ref="AE19:AE47" si="20">VLOOKUP($X19,Sterbetafel,9)/VLOOKUP(AE$11,Sterbetafel,9)</f>
        <v>0.99876923702867371</v>
      </c>
      <c r="AF19" s="168"/>
      <c r="AG19" s="169">
        <f t="shared" ref="AG19:BH19" si="21">VLOOKUP(AG$11,Sterbetafel,2)/VLOOKUP($X19,Sterbetafel,2)</f>
        <v>0.99751272021714676</v>
      </c>
      <c r="AH19" s="169">
        <f t="shared" si="21"/>
        <v>0.99476742385930872</v>
      </c>
      <c r="AI19" s="169">
        <f t="shared" si="21"/>
        <v>0.99174346960048709</v>
      </c>
      <c r="AJ19" s="169">
        <f t="shared" si="21"/>
        <v>0.98842021611468323</v>
      </c>
      <c r="AK19" s="169">
        <f t="shared" si="21"/>
        <v>0.98475638074989935</v>
      </c>
      <c r="AL19" s="169">
        <f t="shared" si="21"/>
        <v>0.98070036019113871</v>
      </c>
      <c r="AM19" s="169">
        <f t="shared" si="21"/>
        <v>0.97622119244940297</v>
      </c>
      <c r="AN19" s="169">
        <f t="shared" si="21"/>
        <v>0.97125695354669583</v>
      </c>
      <c r="AO19" s="169">
        <f t="shared" si="21"/>
        <v>0.96576636083101974</v>
      </c>
      <c r="AP19" s="169">
        <f t="shared" si="21"/>
        <v>0.95966684899837962</v>
      </c>
      <c r="AQ19" s="169">
        <f t="shared" si="21"/>
        <v>0.95291713539677791</v>
      </c>
      <c r="AR19" s="169">
        <f t="shared" si="21"/>
        <v>0.94543465472221933</v>
      </c>
      <c r="AS19" s="169">
        <f t="shared" si="21"/>
        <v>0.93716780365970709</v>
      </c>
      <c r="AT19" s="169">
        <f t="shared" si="21"/>
        <v>0.92804433756824534</v>
      </c>
      <c r="AU19" s="169">
        <f t="shared" si="21"/>
        <v>0.91801265313283731</v>
      </c>
      <c r="AV19" s="169">
        <f t="shared" si="21"/>
        <v>0.90701082637548636</v>
      </c>
      <c r="AW19" s="169">
        <f t="shared" si="21"/>
        <v>0.89499757464419516</v>
      </c>
      <c r="AX19" s="169">
        <f t="shared" si="21"/>
        <v>0.88195225661296484</v>
      </c>
      <c r="AY19" s="169">
        <f t="shared" si="21"/>
        <v>0.86785423095579661</v>
      </c>
      <c r="AZ19" s="169">
        <f t="shared" si="21"/>
        <v>0.85272413899868926</v>
      </c>
      <c r="BA19" s="169">
        <f t="shared" si="21"/>
        <v>0.83653101875264468</v>
      </c>
      <c r="BB19" s="169">
        <f t="shared" si="21"/>
        <v>0.81929551154366154</v>
      </c>
      <c r="BC19" s="169">
        <f t="shared" si="21"/>
        <v>0.80099697604574116</v>
      </c>
      <c r="BD19" s="169">
        <f t="shared" si="21"/>
        <v>0.78161477093288478</v>
      </c>
      <c r="BE19" s="169">
        <f t="shared" si="21"/>
        <v>0.76109729289009531</v>
      </c>
      <c r="BF19" s="169">
        <f t="shared" si="21"/>
        <v>0.73942390059137397</v>
      </c>
      <c r="BG19" s="169">
        <f t="shared" si="21"/>
        <v>0.71655331138472333</v>
      </c>
      <c r="BH19" s="170">
        <f t="shared" si="21"/>
        <v>0.69243392195514641</v>
      </c>
      <c r="CC19" s="522">
        <v>36</v>
      </c>
      <c r="CD19" s="520">
        <f t="shared" si="4"/>
        <v>248.6275427323842</v>
      </c>
      <c r="CE19" s="520">
        <f t="shared" si="4"/>
        <v>258.50081300960431</v>
      </c>
      <c r="CF19" s="520">
        <f t="shared" si="4"/>
        <v>268.76216700711291</v>
      </c>
      <c r="CG19" s="520">
        <f t="shared" si="4"/>
        <v>279.42669927001702</v>
      </c>
      <c r="CH19" s="520">
        <f t="shared" si="4"/>
        <v>290.5100849459352</v>
      </c>
      <c r="CI19" s="520">
        <f t="shared" si="4"/>
        <v>302.02860185012776</v>
      </c>
      <c r="CJ19" s="520">
        <f t="shared" si="4"/>
        <v>313.99915335799966</v>
      </c>
      <c r="CK19" s="520">
        <f t="shared" si="4"/>
        <v>326.43929215588958</v>
      </c>
      <c r="CL19" s="520">
        <f t="shared" si="4"/>
        <v>339.36724488154749</v>
      </c>
      <c r="CM19" s="520">
        <f t="shared" si="4"/>
        <v>352.80193768742731</v>
      </c>
      <c r="CN19" s="520">
        <f t="shared" si="5"/>
        <v>366.76302276058016</v>
      </c>
      <c r="CO19" s="520">
        <f t="shared" si="5"/>
        <v>381.27090583469379</v>
      </c>
      <c r="CP19" s="520">
        <f t="shared" si="5"/>
        <v>396.34677473055933</v>
      </c>
      <c r="CQ19" s="520">
        <f t="shared" si="5"/>
        <v>412.01262896315211</v>
      </c>
      <c r="CR19" s="520">
        <f t="shared" si="5"/>
        <v>428.2913104542867</v>
      </c>
      <c r="CS19" s="520">
        <f t="shared" si="5"/>
        <v>445.20653539181842</v>
      </c>
      <c r="CT19" s="520">
        <f t="shared" si="5"/>
        <v>462.78292727727683</v>
      </c>
      <c r="CU19" s="520">
        <f t="shared" si="5"/>
        <v>481.04605120586547</v>
      </c>
      <c r="CV19" s="520">
        <f t="shared" si="5"/>
        <v>500.02244942383334</v>
      </c>
      <c r="CW19" s="524">
        <f t="shared" si="5"/>
        <v>519.73967821038514</v>
      </c>
      <c r="CX19" s="536"/>
    </row>
    <row r="20" spans="1:102" ht="14.25">
      <c r="A20" s="162">
        <v>7</v>
      </c>
      <c r="B20" s="2193">
        <v>99586</v>
      </c>
      <c r="C20" s="178">
        <v>71.489999999999995</v>
      </c>
      <c r="D20" s="162">
        <v>57</v>
      </c>
      <c r="E20" s="2193">
        <f t="shared" si="10"/>
        <v>92985</v>
      </c>
      <c r="F20" s="178">
        <f t="shared" si="10"/>
        <v>23.8</v>
      </c>
      <c r="G20" s="151"/>
      <c r="H20" s="162">
        <v>7</v>
      </c>
      <c r="I20" s="2193">
        <v>99638</v>
      </c>
      <c r="J20" s="178">
        <v>76.290000000000006</v>
      </c>
      <c r="K20" s="162">
        <v>57</v>
      </c>
      <c r="L20" s="2193">
        <f t="shared" si="11"/>
        <v>96017</v>
      </c>
      <c r="M20" s="178">
        <f t="shared" si="11"/>
        <v>27.7</v>
      </c>
      <c r="O20" s="2193">
        <f t="shared" si="6"/>
        <v>99612</v>
      </c>
      <c r="P20" s="178">
        <f t="shared" si="7"/>
        <v>73.89</v>
      </c>
      <c r="S20" s="156" t="s">
        <v>241</v>
      </c>
      <c r="T20" s="2971">
        <f>IF(T19&gt;U19,U19,T19)</f>
        <v>16.07</v>
      </c>
      <c r="U20" s="2972"/>
      <c r="W20" s="2967"/>
      <c r="X20" s="29">
        <v>48</v>
      </c>
      <c r="Y20" s="177">
        <f t="shared" si="2"/>
        <v>0.99200793136937515</v>
      </c>
      <c r="Z20" s="177">
        <f t="shared" si="8"/>
        <v>0.99272097755550381</v>
      </c>
      <c r="AA20" s="177">
        <f t="shared" si="12"/>
        <v>0.99349544072948326</v>
      </c>
      <c r="AB20" s="177">
        <f t="shared" si="14"/>
        <v>0.99434168897541986</v>
      </c>
      <c r="AC20" s="177">
        <f t="shared" si="16"/>
        <v>0.99526008627251972</v>
      </c>
      <c r="AD20" s="177">
        <f t="shared" si="18"/>
        <v>0.99628139478176059</v>
      </c>
      <c r="AE20" s="177">
        <f t="shared" si="20"/>
        <v>0.99740624332489092</v>
      </c>
      <c r="AF20" s="177">
        <f t="shared" ref="AF20:AF47" si="22">VLOOKUP($X20,Sterbetafel,9)/VLOOKUP(AF$11,Sterbetafel,9)</f>
        <v>0.99863532670686006</v>
      </c>
      <c r="AG20" s="168"/>
      <c r="AH20" s="169">
        <f t="shared" ref="AH20:BH20" si="23">VLOOKUP(AH$11,Sterbetafel,2)/VLOOKUP($X20,Sterbetafel,2)</f>
        <v>0.99724785829574147</v>
      </c>
      <c r="AI20" s="169">
        <f t="shared" si="23"/>
        <v>0.99421636386210321</v>
      </c>
      <c r="AJ20" s="169">
        <f t="shared" si="23"/>
        <v>0.99088482390431654</v>
      </c>
      <c r="AK20" s="169">
        <f t="shared" si="23"/>
        <v>0.98721185283284363</v>
      </c>
      <c r="AL20" s="169">
        <f t="shared" si="23"/>
        <v>0.98314571866076228</v>
      </c>
      <c r="AM20" s="169">
        <f t="shared" si="23"/>
        <v>0.97865538219591941</v>
      </c>
      <c r="AN20" s="169">
        <f t="shared" si="23"/>
        <v>0.97367876505400819</v>
      </c>
      <c r="AO20" s="169">
        <f t="shared" si="23"/>
        <v>0.96817448164549103</v>
      </c>
      <c r="AP20" s="169">
        <f t="shared" si="23"/>
        <v>0.96205976079129252</v>
      </c>
      <c r="AQ20" s="169">
        <f t="shared" si="23"/>
        <v>0.95529321690187474</v>
      </c>
      <c r="AR20" s="169">
        <f t="shared" si="23"/>
        <v>0.94779207879816252</v>
      </c>
      <c r="AS20" s="169">
        <f t="shared" si="23"/>
        <v>0.93950461449323341</v>
      </c>
      <c r="AT20" s="169">
        <f t="shared" si="23"/>
        <v>0.93035839920539665</v>
      </c>
      <c r="AU20" s="169">
        <f t="shared" si="23"/>
        <v>0.92030170094773001</v>
      </c>
      <c r="AV20" s="169">
        <f t="shared" si="23"/>
        <v>0.90927244133592688</v>
      </c>
      <c r="AW20" s="169">
        <f t="shared" si="23"/>
        <v>0.89722923478044947</v>
      </c>
      <c r="AX20" s="169">
        <f t="shared" si="23"/>
        <v>0.88415138848652897</v>
      </c>
      <c r="AY20" s="169">
        <f t="shared" si="23"/>
        <v>0.87001820965939658</v>
      </c>
      <c r="AZ20" s="169">
        <f t="shared" si="23"/>
        <v>0.8548503910938211</v>
      </c>
      <c r="BA20" s="169">
        <f t="shared" si="23"/>
        <v>0.83861689359764935</v>
      </c>
      <c r="BB20" s="169">
        <f t="shared" si="23"/>
        <v>0.82133840996565</v>
      </c>
      <c r="BC20" s="169">
        <f t="shared" si="23"/>
        <v>0.80299424740305425</v>
      </c>
      <c r="BD20" s="169">
        <f t="shared" si="23"/>
        <v>0.78356371311509332</v>
      </c>
      <c r="BE20" s="169">
        <f t="shared" si="23"/>
        <v>0.76299507511484499</v>
      </c>
      <c r="BF20" s="169">
        <f t="shared" si="23"/>
        <v>0.74126764060754047</v>
      </c>
      <c r="BG20" s="169">
        <f t="shared" si="23"/>
        <v>0.71834002400364194</v>
      </c>
      <c r="BH20" s="170">
        <f t="shared" si="23"/>
        <v>0.69416049331622731</v>
      </c>
      <c r="CC20" s="522">
        <v>37</v>
      </c>
      <c r="CD20" s="521">
        <f t="shared" si="4"/>
        <v>247.39058978346691</v>
      </c>
      <c r="CE20" s="521">
        <f t="shared" si="4"/>
        <v>256.95905865765843</v>
      </c>
      <c r="CF20" s="521">
        <f t="shared" si="4"/>
        <v>266.89390963963558</v>
      </c>
      <c r="CG20" s="521">
        <f t="shared" si="4"/>
        <v>277.20902705358827</v>
      </c>
      <c r="CH20" s="521">
        <f t="shared" si="4"/>
        <v>287.91881560548592</v>
      </c>
      <c r="CI20" s="521">
        <f t="shared" si="4"/>
        <v>299.03821965359197</v>
      </c>
      <c r="CJ20" s="521">
        <f t="shared" si="4"/>
        <v>310.5827431829868</v>
      </c>
      <c r="CK20" s="521">
        <f t="shared" si="4"/>
        <v>322.56847050977223</v>
      </c>
      <c r="CL20" s="521">
        <f t="shared" si="4"/>
        <v>335.0120877409156</v>
      </c>
      <c r="CM20" s="521">
        <f t="shared" si="4"/>
        <v>347.93090501718666</v>
      </c>
      <c r="CN20" s="521">
        <f t="shared" si="5"/>
        <v>361.34287956707408</v>
      </c>
      <c r="CO20" s="521">
        <f t="shared" si="5"/>
        <v>375.26663960107658</v>
      </c>
      <c r="CP20" s="521">
        <f t="shared" si="5"/>
        <v>389.72150907626292</v>
      </c>
      <c r="CQ20" s="521">
        <f t="shared" si="5"/>
        <v>404.72753336262485</v>
      </c>
      <c r="CR20" s="521">
        <f t="shared" si="5"/>
        <v>420.30550584326465</v>
      </c>
      <c r="CS20" s="521">
        <f t="shared" si="5"/>
        <v>436.47699548217497</v>
      </c>
      <c r="CT20" s="521">
        <f t="shared" si="5"/>
        <v>453.26437539400285</v>
      </c>
      <c r="CU20" s="521">
        <f t="shared" si="5"/>
        <v>470.69085245192309</v>
      </c>
      <c r="CV20" s="521">
        <f t="shared" si="5"/>
        <v>488.78049797051176</v>
      </c>
      <c r="CW20" s="525">
        <f t="shared" si="5"/>
        <v>507.55827950232919</v>
      </c>
      <c r="CX20" s="536"/>
    </row>
    <row r="21" spans="1:102" ht="15.75" thickBot="1">
      <c r="A21" s="171">
        <v>8</v>
      </c>
      <c r="B21" s="2192">
        <v>99577</v>
      </c>
      <c r="C21" s="172">
        <v>70.489999999999995</v>
      </c>
      <c r="D21" s="171">
        <v>58</v>
      </c>
      <c r="E21" s="2192">
        <f t="shared" si="10"/>
        <v>92331</v>
      </c>
      <c r="F21" s="172">
        <f t="shared" si="10"/>
        <v>22.97</v>
      </c>
      <c r="G21" s="151"/>
      <c r="H21" s="171">
        <v>8</v>
      </c>
      <c r="I21" s="2192">
        <v>99631</v>
      </c>
      <c r="J21" s="172">
        <v>75.3</v>
      </c>
      <c r="K21" s="171">
        <v>58</v>
      </c>
      <c r="L21" s="2192">
        <f t="shared" si="11"/>
        <v>95657</v>
      </c>
      <c r="M21" s="172">
        <f t="shared" si="11"/>
        <v>26.8</v>
      </c>
      <c r="O21" s="2192">
        <f t="shared" si="6"/>
        <v>99604</v>
      </c>
      <c r="P21" s="172">
        <f t="shared" si="7"/>
        <v>72.894999999999996</v>
      </c>
      <c r="S21" s="184" t="str">
        <f>"Wahrscheinlich gemeinsame Zeit: "&amp;TEXT(T20,"#0,00")&amp;" x "&amp;TEXT(T18,"#0,00%")</f>
        <v>Wahrscheinlich gemeinsame Zeit: 16,07 x 79,32%</v>
      </c>
      <c r="T21" s="2973">
        <f>+T20*T18</f>
        <v>12.747146806617</v>
      </c>
      <c r="U21" s="2974"/>
      <c r="W21" s="2967"/>
      <c r="X21" s="29">
        <v>49</v>
      </c>
      <c r="Y21" s="177">
        <f t="shared" si="2"/>
        <v>0.99052079961152473</v>
      </c>
      <c r="Z21" s="177">
        <f t="shared" si="8"/>
        <v>0.99123277686101019</v>
      </c>
      <c r="AA21" s="177">
        <f t="shared" si="12"/>
        <v>0.9920060790273556</v>
      </c>
      <c r="AB21" s="177">
        <f t="shared" si="14"/>
        <v>0.99285105865174006</v>
      </c>
      <c r="AC21" s="177">
        <f t="shared" si="16"/>
        <v>0.99376807916772392</v>
      </c>
      <c r="AD21" s="177">
        <f t="shared" si="18"/>
        <v>0.99478785662033653</v>
      </c>
      <c r="AE21" s="177">
        <f t="shared" si="20"/>
        <v>0.99591101888865152</v>
      </c>
      <c r="AF21" s="177">
        <f t="shared" si="22"/>
        <v>0.99713825973602732</v>
      </c>
      <c r="AG21" s="177">
        <f t="shared" ref="AG21:AG47" si="24">VLOOKUP($X21,Sterbetafel,9)/VLOOKUP(AG$11,Sterbetafel,9)</f>
        <v>0.99850088723000674</v>
      </c>
      <c r="AH21" s="168"/>
      <c r="AI21" s="169">
        <f t="shared" ref="AI21:BH21" si="25">VLOOKUP(AI$11,Sterbetafel,2)/VLOOKUP($X21,Sterbetafel,2)</f>
        <v>0.9969601394393377</v>
      </c>
      <c r="AJ21" s="169">
        <f t="shared" si="25"/>
        <v>0.99361940530782478</v>
      </c>
      <c r="AK21" s="169">
        <f t="shared" si="25"/>
        <v>0.98993629780258541</v>
      </c>
      <c r="AL21" s="169">
        <f t="shared" si="25"/>
        <v>0.98585894217002468</v>
      </c>
      <c r="AM21" s="169">
        <f t="shared" si="25"/>
        <v>0.98135621355798563</v>
      </c>
      <c r="AN21" s="169">
        <f t="shared" si="25"/>
        <v>0.97636586226215427</v>
      </c>
      <c r="AO21" s="169">
        <f t="shared" si="25"/>
        <v>0.97084638847965476</v>
      </c>
      <c r="AP21" s="169">
        <f t="shared" si="25"/>
        <v>0.96471479260473514</v>
      </c>
      <c r="AQ21" s="169">
        <f t="shared" si="25"/>
        <v>0.95792957483451957</v>
      </c>
      <c r="AR21" s="169">
        <f t="shared" si="25"/>
        <v>0.95040773556325608</v>
      </c>
      <c r="AS21" s="169">
        <f t="shared" si="25"/>
        <v>0.94209740003734987</v>
      </c>
      <c r="AT21" s="169">
        <f t="shared" si="25"/>
        <v>0.93292594360176784</v>
      </c>
      <c r="AU21" s="169">
        <f t="shared" si="25"/>
        <v>0.92284149150291539</v>
      </c>
      <c r="AV21" s="169">
        <f t="shared" si="25"/>
        <v>0.9117817940364783</v>
      </c>
      <c r="AW21" s="169">
        <f t="shared" si="25"/>
        <v>0.89970535139958085</v>
      </c>
      <c r="AX21" s="169">
        <f t="shared" si="25"/>
        <v>0.88659141369078498</v>
      </c>
      <c r="AY21" s="169">
        <f t="shared" si="25"/>
        <v>0.87241923100865271</v>
      </c>
      <c r="AZ21" s="169">
        <f t="shared" si="25"/>
        <v>0.857209553254622</v>
      </c>
      <c r="BA21" s="169">
        <f t="shared" si="25"/>
        <v>0.84093125557653603</v>
      </c>
      <c r="BB21" s="169">
        <f t="shared" si="25"/>
        <v>0.82360508787583264</v>
      </c>
      <c r="BC21" s="169">
        <f t="shared" si="25"/>
        <v>0.80521030025107376</v>
      </c>
      <c r="BD21" s="169">
        <f t="shared" si="25"/>
        <v>0.78572614280082165</v>
      </c>
      <c r="BE21" s="169">
        <f t="shared" si="25"/>
        <v>0.76510074077148138</v>
      </c>
      <c r="BF21" s="169">
        <f t="shared" si="25"/>
        <v>0.74331334426161477</v>
      </c>
      <c r="BG21" s="169">
        <f t="shared" si="25"/>
        <v>0.720322453468346</v>
      </c>
      <c r="BH21" s="170">
        <f t="shared" si="25"/>
        <v>0.69607619363808027</v>
      </c>
      <c r="CC21" s="522">
        <v>38</v>
      </c>
      <c r="CD21" s="520">
        <f t="shared" si="4"/>
        <v>246.15979082932034</v>
      </c>
      <c r="CE21" s="520">
        <f t="shared" si="4"/>
        <v>255.4264996597002</v>
      </c>
      <c r="CF21" s="520">
        <f t="shared" si="4"/>
        <v>265.03863916547732</v>
      </c>
      <c r="CG21" s="520">
        <f t="shared" si="4"/>
        <v>275.00895541030582</v>
      </c>
      <c r="CH21" s="520">
        <f t="shared" si="4"/>
        <v>285.35065966846969</v>
      </c>
      <c r="CI21" s="520">
        <f t="shared" si="4"/>
        <v>296.07744520157615</v>
      </c>
      <c r="CJ21" s="520">
        <f t="shared" si="4"/>
        <v>307.20350463203442</v>
      </c>
      <c r="CK21" s="520">
        <f t="shared" si="4"/>
        <v>318.74354793455751</v>
      </c>
      <c r="CL21" s="520">
        <f t="shared" si="4"/>
        <v>330.71282106704393</v>
      </c>
      <c r="CM21" s="520">
        <f t="shared" si="4"/>
        <v>343.1271252634977</v>
      </c>
      <c r="CN21" s="520">
        <f t="shared" si="5"/>
        <v>356.00283701189574</v>
      </c>
      <c r="CO21" s="520">
        <f t="shared" si="5"/>
        <v>369.35692874121713</v>
      </c>
      <c r="CP21" s="520">
        <f t="shared" si="5"/>
        <v>383.2069902421465</v>
      </c>
      <c r="CQ21" s="520">
        <f t="shared" si="5"/>
        <v>397.57125084737208</v>
      </c>
      <c r="CR21" s="520">
        <f t="shared" si="5"/>
        <v>412.4686023977082</v>
      </c>
      <c r="CS21" s="520">
        <f t="shared" si="5"/>
        <v>427.91862302174013</v>
      </c>
      <c r="CT21" s="520">
        <f t="shared" si="5"/>
        <v>443.94160175710363</v>
      </c>
      <c r="CU21" s="520">
        <f t="shared" si="5"/>
        <v>460.55856404297771</v>
      </c>
      <c r="CV21" s="520">
        <f t="shared" si="5"/>
        <v>477.79129811389231</v>
      </c>
      <c r="CW21" s="524">
        <f t="shared" si="5"/>
        <v>495.66238232649334</v>
      </c>
      <c r="CX21" s="536"/>
    </row>
    <row r="22" spans="1:102" ht="14.25">
      <c r="A22" s="162">
        <v>9</v>
      </c>
      <c r="B22" s="2193">
        <v>99569</v>
      </c>
      <c r="C22" s="178">
        <v>69.5</v>
      </c>
      <c r="D22" s="162">
        <v>59</v>
      </c>
      <c r="E22" s="2193">
        <f t="shared" si="10"/>
        <v>91606</v>
      </c>
      <c r="F22" s="178">
        <f t="shared" si="10"/>
        <v>22.14</v>
      </c>
      <c r="G22" s="151"/>
      <c r="H22" s="162">
        <v>9</v>
      </c>
      <c r="I22" s="2193">
        <v>99624</v>
      </c>
      <c r="J22" s="178">
        <v>74.3</v>
      </c>
      <c r="K22" s="162">
        <v>59</v>
      </c>
      <c r="L22" s="2193">
        <f t="shared" si="11"/>
        <v>95261</v>
      </c>
      <c r="M22" s="178">
        <f t="shared" si="11"/>
        <v>25.91</v>
      </c>
      <c r="O22" s="2193">
        <f t="shared" si="6"/>
        <v>99596.5</v>
      </c>
      <c r="P22" s="178">
        <f t="shared" si="7"/>
        <v>71.900000000000006</v>
      </c>
      <c r="W22" s="2967"/>
      <c r="X22" s="29">
        <v>50</v>
      </c>
      <c r="Y22" s="177">
        <f t="shared" si="2"/>
        <v>0.98887180317254775</v>
      </c>
      <c r="Z22" s="177">
        <f t="shared" si="8"/>
        <v>0.98958259513854441</v>
      </c>
      <c r="AA22" s="177">
        <f t="shared" si="12"/>
        <v>0.99035460992907798</v>
      </c>
      <c r="AB22" s="177">
        <f t="shared" si="14"/>
        <v>0.99119818285065309</v>
      </c>
      <c r="AC22" s="177">
        <f t="shared" si="16"/>
        <v>0.99211367673179396</v>
      </c>
      <c r="AD22" s="177">
        <f t="shared" si="18"/>
        <v>0.99313175648215879</v>
      </c>
      <c r="AE22" s="177">
        <f t="shared" si="20"/>
        <v>0.99425304893554256</v>
      </c>
      <c r="AF22" s="177">
        <f t="shared" si="22"/>
        <v>0.99547824670034224</v>
      </c>
      <c r="AG22" s="177">
        <f t="shared" si="24"/>
        <v>0.99683860572314342</v>
      </c>
      <c r="AH22" s="177">
        <f t="shared" ref="AH22:AH47" si="26">VLOOKUP($X22,Sterbetafel,9)/VLOOKUP(AH$11,Sterbetafel,9)</f>
        <v>0.99833522280438358</v>
      </c>
      <c r="AI22" s="168"/>
      <c r="AJ22" s="169">
        <f t="shared" ref="AJ22:BH22" si="27">VLOOKUP(AJ$11,Sterbetafel,2)/VLOOKUP($X22,Sterbetafel,2)</f>
        <v>0.99664907953753135</v>
      </c>
      <c r="AK22" s="169">
        <f t="shared" si="27"/>
        <v>0.99295474176058607</v>
      </c>
      <c r="AL22" s="169">
        <f t="shared" si="27"/>
        <v>0.98886495374272843</v>
      </c>
      <c r="AM22" s="169">
        <f t="shared" si="27"/>
        <v>0.9843484957280968</v>
      </c>
      <c r="AN22" s="169">
        <f t="shared" si="27"/>
        <v>0.97934292820496816</v>
      </c>
      <c r="AO22" s="169">
        <f t="shared" si="27"/>
        <v>0.97380662483219382</v>
      </c>
      <c r="AP22" s="169">
        <f t="shared" si="27"/>
        <v>0.96765633292747655</v>
      </c>
      <c r="AQ22" s="169">
        <f t="shared" si="27"/>
        <v>0.96085042614966754</v>
      </c>
      <c r="AR22" s="169">
        <f t="shared" si="27"/>
        <v>0.95330565181646942</v>
      </c>
      <c r="AS22" s="169">
        <f t="shared" si="27"/>
        <v>0.94496997700144647</v>
      </c>
      <c r="AT22" s="169">
        <f t="shared" si="27"/>
        <v>0.93577055560758848</v>
      </c>
      <c r="AU22" s="169">
        <f t="shared" si="27"/>
        <v>0.9256553547084595</v>
      </c>
      <c r="AV22" s="169">
        <f t="shared" si="27"/>
        <v>0.91456193479233661</v>
      </c>
      <c r="AW22" s="169">
        <f t="shared" si="27"/>
        <v>0.90244866951807101</v>
      </c>
      <c r="AX22" s="169">
        <f t="shared" si="27"/>
        <v>0.88929474571508849</v>
      </c>
      <c r="AY22" s="169">
        <f t="shared" si="27"/>
        <v>0.87507935021281469</v>
      </c>
      <c r="AZ22" s="169">
        <f t="shared" si="27"/>
        <v>0.85982329618182385</v>
      </c>
      <c r="BA22" s="169">
        <f t="shared" si="27"/>
        <v>0.84349536386625457</v>
      </c>
      <c r="BB22" s="169">
        <f t="shared" si="27"/>
        <v>0.82611636643668118</v>
      </c>
      <c r="BC22" s="169">
        <f t="shared" si="27"/>
        <v>0.80766549072252924</v>
      </c>
      <c r="BD22" s="169">
        <f t="shared" si="27"/>
        <v>0.78812192355322452</v>
      </c>
      <c r="BE22" s="169">
        <f t="shared" si="27"/>
        <v>0.76743363200233106</v>
      </c>
      <c r="BF22" s="169">
        <f t="shared" si="27"/>
        <v>0.74557980289927461</v>
      </c>
      <c r="BG22" s="169">
        <f t="shared" si="27"/>
        <v>0.72251880990290651</v>
      </c>
      <c r="BH22" s="170">
        <f t="shared" si="27"/>
        <v>0.6981986200867909</v>
      </c>
      <c r="CC22" s="522">
        <v>39</v>
      </c>
      <c r="CD22" s="521">
        <f t="shared" si="4"/>
        <v>244.93511525305513</v>
      </c>
      <c r="CE22" s="521">
        <f t="shared" si="4"/>
        <v>253.90308117266423</v>
      </c>
      <c r="CF22" s="521">
        <f t="shared" si="4"/>
        <v>263.19626530831908</v>
      </c>
      <c r="CG22" s="521">
        <f t="shared" si="4"/>
        <v>272.82634465308115</v>
      </c>
      <c r="CH22" s="521">
        <f t="shared" si="4"/>
        <v>282.80541096974207</v>
      </c>
      <c r="CI22" s="521">
        <f t="shared" si="4"/>
        <v>293.14598534809517</v>
      </c>
      <c r="CJ22" s="521">
        <f t="shared" si="4"/>
        <v>303.86103326610737</v>
      </c>
      <c r="CK22" s="521">
        <f t="shared" si="4"/>
        <v>314.96398017248771</v>
      </c>
      <c r="CL22" s="521">
        <f t="shared" si="4"/>
        <v>326.46872760813824</v>
      </c>
      <c r="CM22" s="521">
        <f t="shared" si="4"/>
        <v>338.38966988510617</v>
      </c>
      <c r="CN22" s="521">
        <f t="shared" si="5"/>
        <v>350.74171134176919</v>
      </c>
      <c r="CO22" s="521">
        <f t="shared" si="5"/>
        <v>363.54028419411134</v>
      </c>
      <c r="CP22" s="521">
        <f t="shared" si="5"/>
        <v>376.8013670030939</v>
      </c>
      <c r="CQ22" s="521">
        <f t="shared" si="5"/>
        <v>390.54150377934388</v>
      </c>
      <c r="CR22" s="521">
        <f t="shared" si="5"/>
        <v>404.77782374652423</v>
      </c>
      <c r="CS22" s="521">
        <f t="shared" si="5"/>
        <v>419.52806178601975</v>
      </c>
      <c r="CT22" s="521">
        <f t="shared" si="5"/>
        <v>434.81057958580197</v>
      </c>
      <c r="CU22" s="521">
        <f t="shared" si="5"/>
        <v>450.64438751759064</v>
      </c>
      <c r="CV22" s="521">
        <f t="shared" si="5"/>
        <v>467.04916726675685</v>
      </c>
      <c r="CW22" s="525">
        <f t="shared" si="5"/>
        <v>484.0452952407162</v>
      </c>
      <c r="CX22" s="536"/>
    </row>
    <row r="23" spans="1:102" thickBot="1">
      <c r="A23" s="171">
        <v>10</v>
      </c>
      <c r="B23" s="2192">
        <v>99561</v>
      </c>
      <c r="C23" s="172">
        <v>68.510000000000005</v>
      </c>
      <c r="D23" s="171">
        <v>60</v>
      </c>
      <c r="E23" s="2192">
        <f t="shared" si="10"/>
        <v>90805</v>
      </c>
      <c r="F23" s="172">
        <f t="shared" si="10"/>
        <v>21.34</v>
      </c>
      <c r="G23" s="151"/>
      <c r="H23" s="171">
        <v>10</v>
      </c>
      <c r="I23" s="2192">
        <v>99617</v>
      </c>
      <c r="J23" s="172">
        <v>73.31</v>
      </c>
      <c r="K23" s="171">
        <v>60</v>
      </c>
      <c r="L23" s="2192">
        <f t="shared" si="11"/>
        <v>94822</v>
      </c>
      <c r="M23" s="172">
        <f t="shared" si="11"/>
        <v>25.03</v>
      </c>
      <c r="O23" s="2192">
        <f t="shared" si="6"/>
        <v>99589</v>
      </c>
      <c r="P23" s="172">
        <f t="shared" si="7"/>
        <v>70.91</v>
      </c>
      <c r="W23" s="2967"/>
      <c r="X23" s="29">
        <v>51</v>
      </c>
      <c r="Y23" s="177">
        <f t="shared" si="2"/>
        <v>0.98705082550987377</v>
      </c>
      <c r="Z23" s="177">
        <f t="shared" si="8"/>
        <v>0.98776030857385833</v>
      </c>
      <c r="AA23" s="177">
        <f t="shared" si="12"/>
        <v>0.98853090172239111</v>
      </c>
      <c r="AB23" s="177">
        <f t="shared" si="14"/>
        <v>0.98937292122982068</v>
      </c>
      <c r="AC23" s="177">
        <f t="shared" si="16"/>
        <v>0.99028672925653383</v>
      </c>
      <c r="AD23" s="177">
        <f t="shared" si="18"/>
        <v>0.99130293424368043</v>
      </c>
      <c r="AE23" s="177">
        <f t="shared" si="20"/>
        <v>0.99242216187075971</v>
      </c>
      <c r="AF23" s="177">
        <f t="shared" si="22"/>
        <v>0.99364510347075119</v>
      </c>
      <c r="AG23" s="177">
        <f t="shared" si="24"/>
        <v>0.99500295743335576</v>
      </c>
      <c r="AH23" s="177">
        <f t="shared" si="26"/>
        <v>0.99649681853928562</v>
      </c>
      <c r="AI23" s="177">
        <f t="shared" ref="AI23:AI47" si="28">VLOOKUP($X23,Sterbetafel,9)/VLOOKUP(AI$11,Sterbetafel,9)</f>
        <v>0.99815853009780253</v>
      </c>
      <c r="AJ23" s="168"/>
      <c r="AK23" s="169">
        <f t="shared" ref="AK23:BH23" si="29">VLOOKUP(AK$11,Sterbetafel,2)/VLOOKUP($X23,Sterbetafel,2)</f>
        <v>0.99629324116903861</v>
      </c>
      <c r="AL23" s="169">
        <f t="shared" si="29"/>
        <v>0.99218970251955185</v>
      </c>
      <c r="AM23" s="169">
        <f t="shared" si="29"/>
        <v>0.9876580593290244</v>
      </c>
      <c r="AN23" s="169">
        <f t="shared" si="29"/>
        <v>0.98263566215242615</v>
      </c>
      <c r="AO23" s="169">
        <f t="shared" si="29"/>
        <v>0.97708074469306994</v>
      </c>
      <c r="AP23" s="169">
        <f t="shared" si="29"/>
        <v>0.97090977435758219</v>
      </c>
      <c r="AQ23" s="169">
        <f t="shared" si="29"/>
        <v>0.96408098484927585</v>
      </c>
      <c r="AR23" s="169">
        <f t="shared" si="29"/>
        <v>0.95651084357477734</v>
      </c>
      <c r="AS23" s="169">
        <f t="shared" si="29"/>
        <v>0.94814714266322786</v>
      </c>
      <c r="AT23" s="169">
        <f t="shared" si="29"/>
        <v>0.93891679109542558</v>
      </c>
      <c r="AU23" s="169">
        <f t="shared" si="29"/>
        <v>0.9287675810005116</v>
      </c>
      <c r="AV23" s="169">
        <f t="shared" si="29"/>
        <v>0.91763686293345581</v>
      </c>
      <c r="AW23" s="169">
        <f t="shared" si="29"/>
        <v>0.90548287059757127</v>
      </c>
      <c r="AX23" s="169">
        <f t="shared" si="29"/>
        <v>0.89228472084451449</v>
      </c>
      <c r="AY23" s="169">
        <f t="shared" si="29"/>
        <v>0.87802153052594212</v>
      </c>
      <c r="AZ23" s="169">
        <f t="shared" si="29"/>
        <v>0.8627141827901974</v>
      </c>
      <c r="BA23" s="169">
        <f t="shared" si="29"/>
        <v>0.84633135291476547</v>
      </c>
      <c r="BB23" s="169">
        <f t="shared" si="29"/>
        <v>0.82889392404798945</v>
      </c>
      <c r="BC23" s="169">
        <f t="shared" si="29"/>
        <v>0.8103810130415261</v>
      </c>
      <c r="BD23" s="169">
        <f t="shared" si="29"/>
        <v>0.79077173674703194</v>
      </c>
      <c r="BE23" s="169">
        <f t="shared" si="29"/>
        <v>0.77001388729364839</v>
      </c>
      <c r="BF23" s="169">
        <f t="shared" si="29"/>
        <v>0.74808658153303187</v>
      </c>
      <c r="BG23" s="169">
        <f t="shared" si="29"/>
        <v>0.72494805316849564</v>
      </c>
      <c r="BH23" s="170">
        <f t="shared" si="29"/>
        <v>0.70054609432918102</v>
      </c>
      <c r="CC23" s="522">
        <v>40</v>
      </c>
      <c r="CD23" s="520">
        <f t="shared" ref="CD23:CM32" si="30">(((1+CD$12)^$CA$15-1)/CD$12)*$CA$18*(1+CD$12)^($CH$11-$CC23)*12</f>
        <v>243.71653259010463</v>
      </c>
      <c r="CE23" s="520">
        <f t="shared" si="30"/>
        <v>252.3887486805807</v>
      </c>
      <c r="CF23" s="520">
        <f t="shared" si="30"/>
        <v>261.3666984193834</v>
      </c>
      <c r="CG23" s="520">
        <f t="shared" si="30"/>
        <v>270.66105620345354</v>
      </c>
      <c r="CH23" s="520">
        <f t="shared" si="30"/>
        <v>280.28286518309415</v>
      </c>
      <c r="CI23" s="520">
        <f t="shared" si="30"/>
        <v>290.24354984959916</v>
      </c>
      <c r="CJ23" s="520">
        <f t="shared" si="30"/>
        <v>300.55492904659479</v>
      </c>
      <c r="CK23" s="520">
        <f t="shared" si="30"/>
        <v>311.22922941945433</v>
      </c>
      <c r="CL23" s="520">
        <f t="shared" si="30"/>
        <v>322.27909931701697</v>
      </c>
      <c r="CM23" s="520">
        <f t="shared" si="30"/>
        <v>333.71762316085415</v>
      </c>
      <c r="CN23" s="520">
        <f t="shared" ref="CN23:CW32" si="31">(((1+CN$12)^$CA$15-1)/CN$12)*$CA$18*(1+CN$12)^($CH$11-$CC23)*12</f>
        <v>345.55833629730967</v>
      </c>
      <c r="CO23" s="520">
        <f t="shared" si="31"/>
        <v>357.81524034853476</v>
      </c>
      <c r="CP23" s="520">
        <f t="shared" si="31"/>
        <v>370.50281907875512</v>
      </c>
      <c r="CQ23" s="520">
        <f t="shared" si="31"/>
        <v>383.63605479306869</v>
      </c>
      <c r="CR23" s="520">
        <f t="shared" si="31"/>
        <v>397.23044528608864</v>
      </c>
      <c r="CS23" s="520">
        <f t="shared" si="31"/>
        <v>411.30202135884292</v>
      </c>
      <c r="CT23" s="520">
        <f t="shared" si="31"/>
        <v>425.86736492243102</v>
      </c>
      <c r="CU23" s="520">
        <f t="shared" si="31"/>
        <v>440.94362770801433</v>
      </c>
      <c r="CV23" s="520">
        <f t="shared" si="31"/>
        <v>456.54855060289049</v>
      </c>
      <c r="CW23" s="524">
        <f t="shared" si="31"/>
        <v>472.70048363351191</v>
      </c>
      <c r="CX23" s="536"/>
    </row>
    <row r="24" spans="1:102" ht="14.25">
      <c r="A24" s="162">
        <v>11</v>
      </c>
      <c r="B24" s="2193">
        <v>99553</v>
      </c>
      <c r="C24" s="178">
        <v>67.510000000000005</v>
      </c>
      <c r="D24" s="162">
        <v>61</v>
      </c>
      <c r="E24" s="2193">
        <f t="shared" si="10"/>
        <v>89921</v>
      </c>
      <c r="F24" s="178">
        <f t="shared" si="10"/>
        <v>20.54</v>
      </c>
      <c r="G24" s="151"/>
      <c r="H24" s="162">
        <v>11</v>
      </c>
      <c r="I24" s="2193">
        <v>99611</v>
      </c>
      <c r="J24" s="178">
        <v>72.31</v>
      </c>
      <c r="K24" s="162">
        <v>61</v>
      </c>
      <c r="L24" s="2193">
        <f t="shared" si="11"/>
        <v>94336</v>
      </c>
      <c r="M24" s="178">
        <f t="shared" si="11"/>
        <v>24.15</v>
      </c>
      <c r="O24" s="2193">
        <f t="shared" si="6"/>
        <v>99582</v>
      </c>
      <c r="P24" s="178">
        <f t="shared" si="7"/>
        <v>69.91</v>
      </c>
      <c r="S24" s="2975" t="s">
        <v>242</v>
      </c>
      <c r="T24" s="2976"/>
      <c r="U24" s="2977"/>
      <c r="W24" s="2967"/>
      <c r="X24" s="29">
        <v>52</v>
      </c>
      <c r="Y24" s="177">
        <f t="shared" si="2"/>
        <v>0.98503763353836193</v>
      </c>
      <c r="Z24" s="177">
        <f t="shared" si="8"/>
        <v>0.98574566953845533</v>
      </c>
      <c r="AA24" s="177">
        <f t="shared" si="12"/>
        <v>0.98651469098277611</v>
      </c>
      <c r="AB24" s="177">
        <f t="shared" si="14"/>
        <v>0.9873549931045672</v>
      </c>
      <c r="AC24" s="177">
        <f t="shared" si="16"/>
        <v>0.98826693732555193</v>
      </c>
      <c r="AD24" s="177">
        <f t="shared" si="18"/>
        <v>0.98928106965780704</v>
      </c>
      <c r="AE24" s="177">
        <f t="shared" si="20"/>
        <v>0.99039801450469422</v>
      </c>
      <c r="AF24" s="177">
        <f t="shared" si="22"/>
        <v>0.99161846178914781</v>
      </c>
      <c r="AG24" s="177">
        <f t="shared" si="24"/>
        <v>0.99297354626853496</v>
      </c>
      <c r="AH24" s="177">
        <f t="shared" si="26"/>
        <v>0.99446436049064968</v>
      </c>
      <c r="AI24" s="177">
        <f t="shared" si="28"/>
        <v>0.99612268281703975</v>
      </c>
      <c r="AJ24" s="177">
        <f t="shared" ref="AJ24:AJ47" si="32">VLOOKUP($X24,Sterbetafel,9)/VLOOKUP(AJ$11,Sterbetafel,9)</f>
        <v>0.99796039685142668</v>
      </c>
      <c r="AK24" s="168"/>
      <c r="AL24" s="169">
        <f t="shared" ref="AL24:BH24" si="33">VLOOKUP(AL$11,Sterbetafel,2)/VLOOKUP($X24,Sterbetafel,2)</f>
        <v>0.99588119392973928</v>
      </c>
      <c r="AM24" s="169">
        <f t="shared" si="33"/>
        <v>0.99133269053408235</v>
      </c>
      <c r="AN24" s="169">
        <f t="shared" si="33"/>
        <v>0.98629160727760545</v>
      </c>
      <c r="AO24" s="169">
        <f t="shared" si="33"/>
        <v>0.98071602247002598</v>
      </c>
      <c r="AP24" s="169">
        <f t="shared" si="33"/>
        <v>0.97452209273077894</v>
      </c>
      <c r="AQ24" s="169">
        <f t="shared" si="33"/>
        <v>0.96766789636958161</v>
      </c>
      <c r="AR24" s="169">
        <f t="shared" si="33"/>
        <v>0.960069590005869</v>
      </c>
      <c r="AS24" s="169">
        <f t="shared" si="33"/>
        <v>0.95167477152678792</v>
      </c>
      <c r="AT24" s="169">
        <f t="shared" si="33"/>
        <v>0.94241007797434395</v>
      </c>
      <c r="AU24" s="169">
        <f t="shared" si="33"/>
        <v>0.93222310723568369</v>
      </c>
      <c r="AV24" s="169">
        <f t="shared" si="33"/>
        <v>0.92105097677538361</v>
      </c>
      <c r="AW24" s="169">
        <f t="shared" si="33"/>
        <v>0.90885176490316089</v>
      </c>
      <c r="AX24" s="169">
        <f t="shared" si="33"/>
        <v>0.89560451077387437</v>
      </c>
      <c r="AY24" s="169">
        <f t="shared" si="33"/>
        <v>0.88128825354238283</v>
      </c>
      <c r="AZ24" s="169">
        <f t="shared" si="33"/>
        <v>0.86592395405382749</v>
      </c>
      <c r="BA24" s="169">
        <f t="shared" si="33"/>
        <v>0.84948017104049633</v>
      </c>
      <c r="BB24" s="169">
        <f t="shared" si="33"/>
        <v>0.83197786534753082</v>
      </c>
      <c r="BC24" s="169">
        <f t="shared" si="33"/>
        <v>0.81339607612978959</v>
      </c>
      <c r="BD24" s="169">
        <f t="shared" si="33"/>
        <v>0.79371384254213129</v>
      </c>
      <c r="BE24" s="169">
        <f t="shared" si="33"/>
        <v>0.77287876247170284</v>
      </c>
      <c r="BF24" s="169">
        <f t="shared" si="33"/>
        <v>0.750869875073363</v>
      </c>
      <c r="BG24" s="169">
        <f t="shared" si="33"/>
        <v>0.72764525865682905</v>
      </c>
      <c r="BH24" s="170">
        <f t="shared" si="33"/>
        <v>0.70315251110924792</v>
      </c>
      <c r="CC24" s="522">
        <v>41</v>
      </c>
      <c r="CD24" s="521">
        <f t="shared" si="30"/>
        <v>242.50401252746735</v>
      </c>
      <c r="CE24" s="521">
        <f t="shared" si="30"/>
        <v>250.88344799262498</v>
      </c>
      <c r="CF24" s="521">
        <f t="shared" si="30"/>
        <v>259.54984947307196</v>
      </c>
      <c r="CG24" s="521">
        <f t="shared" si="30"/>
        <v>268.51295258279117</v>
      </c>
      <c r="CH24" s="521">
        <f t="shared" si="30"/>
        <v>277.78281980485053</v>
      </c>
      <c r="CI24" s="521">
        <f t="shared" si="30"/>
        <v>287.36985133623688</v>
      </c>
      <c r="CJ24" s="521">
        <f t="shared" si="30"/>
        <v>297.28479628743298</v>
      </c>
      <c r="CK24" s="521">
        <f t="shared" si="30"/>
        <v>307.5387642484726</v>
      </c>
      <c r="CL24" s="521">
        <f t="shared" si="30"/>
        <v>318.14323723298816</v>
      </c>
      <c r="CM24" s="521">
        <f t="shared" si="30"/>
        <v>329.11008201267668</v>
      </c>
      <c r="CN24" s="521">
        <f t="shared" si="31"/>
        <v>340.45156285449229</v>
      </c>
      <c r="CO24" s="521">
        <f t="shared" si="31"/>
        <v>352.18035467375472</v>
      </c>
      <c r="CP24" s="521">
        <f t="shared" si="31"/>
        <v>364.30955661627843</v>
      </c>
      <c r="CQ24" s="521">
        <f t="shared" si="31"/>
        <v>376.8527060835645</v>
      </c>
      <c r="CR24" s="521">
        <f t="shared" si="31"/>
        <v>389.82379321500355</v>
      </c>
      <c r="CS24" s="521">
        <f t="shared" si="31"/>
        <v>403.23727584200287</v>
      </c>
      <c r="CT24" s="521">
        <f t="shared" si="31"/>
        <v>417.10809492892361</v>
      </c>
      <c r="CU24" s="521">
        <f t="shared" si="31"/>
        <v>431.45169051664811</v>
      </c>
      <c r="CV24" s="521">
        <f t="shared" si="31"/>
        <v>446.28401818464363</v>
      </c>
      <c r="CW24" s="525">
        <f t="shared" si="31"/>
        <v>461.62156604835144</v>
      </c>
      <c r="CX24" s="536"/>
    </row>
    <row r="25" spans="1:102" ht="14.25">
      <c r="A25" s="171">
        <v>12</v>
      </c>
      <c r="B25" s="2192">
        <v>99545</v>
      </c>
      <c r="C25" s="172">
        <v>66.52</v>
      </c>
      <c r="D25" s="171">
        <v>62</v>
      </c>
      <c r="E25" s="2192">
        <f t="shared" si="10"/>
        <v>88949</v>
      </c>
      <c r="F25" s="172">
        <f t="shared" si="10"/>
        <v>19.760000000000002</v>
      </c>
      <c r="G25" s="151"/>
      <c r="H25" s="171">
        <v>12</v>
      </c>
      <c r="I25" s="2192">
        <v>99603</v>
      </c>
      <c r="J25" s="172">
        <v>71.319999999999993</v>
      </c>
      <c r="K25" s="171">
        <v>62</v>
      </c>
      <c r="L25" s="2192">
        <f t="shared" si="11"/>
        <v>93797</v>
      </c>
      <c r="M25" s="172">
        <f t="shared" si="11"/>
        <v>23.29</v>
      </c>
      <c r="O25" s="2192">
        <f t="shared" si="6"/>
        <v>99574</v>
      </c>
      <c r="P25" s="172">
        <f t="shared" si="7"/>
        <v>68.919999999999987</v>
      </c>
      <c r="S25" s="2978"/>
      <c r="T25" s="2979"/>
      <c r="U25" s="2980"/>
      <c r="W25" s="2967"/>
      <c r="X25" s="29">
        <v>53</v>
      </c>
      <c r="Y25" s="177">
        <f t="shared" si="2"/>
        <v>0.98281199417287146</v>
      </c>
      <c r="Z25" s="177">
        <f t="shared" si="8"/>
        <v>0.98351843040383891</v>
      </c>
      <c r="AA25" s="177">
        <f t="shared" si="12"/>
        <v>0.98428571428571432</v>
      </c>
      <c r="AB25" s="177">
        <f t="shared" si="14"/>
        <v>0.98512411779021658</v>
      </c>
      <c r="AC25" s="177">
        <f t="shared" si="16"/>
        <v>0.98603400152245624</v>
      </c>
      <c r="AD25" s="177">
        <f t="shared" si="18"/>
        <v>0.98704584247744453</v>
      </c>
      <c r="AE25" s="177">
        <f t="shared" si="20"/>
        <v>0.98816026364773735</v>
      </c>
      <c r="AF25" s="177">
        <f t="shared" si="22"/>
        <v>0.9893779533974254</v>
      </c>
      <c r="AG25" s="177">
        <f t="shared" si="24"/>
        <v>0.99072997613657221</v>
      </c>
      <c r="AH25" s="177">
        <f t="shared" si="26"/>
        <v>0.99221742194441886</v>
      </c>
      <c r="AI25" s="177">
        <f t="shared" si="28"/>
        <v>0.99387199738102061</v>
      </c>
      <c r="AJ25" s="177">
        <f t="shared" si="32"/>
        <v>0.99570555919973758</v>
      </c>
      <c r="AK25" s="177">
        <f t="shared" ref="AK25:AK47" si="34">VLOOKUP($X25,Sterbetafel,9)/VLOOKUP(AK$11,Sterbetafel,9)</f>
        <v>0.99774055397508443</v>
      </c>
      <c r="AL25" s="168"/>
      <c r="AM25" s="169">
        <f t="shared" ref="AM25:BH25" si="35">VLOOKUP(AM$11,Sterbetafel,2)/VLOOKUP($X25,Sterbetafel,2)</f>
        <v>0.9954326847184366</v>
      </c>
      <c r="AN25" s="169">
        <f t="shared" si="35"/>
        <v>0.99037075234416927</v>
      </c>
      <c r="AO25" s="169">
        <f t="shared" si="35"/>
        <v>0.98477210780547864</v>
      </c>
      <c r="AP25" s="169">
        <f t="shared" si="35"/>
        <v>0.97855256095892573</v>
      </c>
      <c r="AQ25" s="169">
        <f t="shared" si="35"/>
        <v>0.97167001673279096</v>
      </c>
      <c r="AR25" s="169">
        <f t="shared" si="35"/>
        <v>0.96404028498363559</v>
      </c>
      <c r="AS25" s="169">
        <f t="shared" si="35"/>
        <v>0.95561074687181002</v>
      </c>
      <c r="AT25" s="169">
        <f t="shared" si="35"/>
        <v>0.94630773602180529</v>
      </c>
      <c r="AU25" s="169">
        <f t="shared" si="35"/>
        <v>0.93607863359397203</v>
      </c>
      <c r="AV25" s="169">
        <f t="shared" si="35"/>
        <v>0.92486029698073102</v>
      </c>
      <c r="AW25" s="169">
        <f t="shared" si="35"/>
        <v>0.91261063111036278</v>
      </c>
      <c r="AX25" s="169">
        <f t="shared" si="35"/>
        <v>0.89930858844700756</v>
      </c>
      <c r="AY25" s="169">
        <f t="shared" si="35"/>
        <v>0.88493312145480563</v>
      </c>
      <c r="AZ25" s="169">
        <f t="shared" si="35"/>
        <v>0.86950527766961683</v>
      </c>
      <c r="BA25" s="169">
        <f t="shared" si="35"/>
        <v>0.85299348578765144</v>
      </c>
      <c r="BB25" s="169">
        <f t="shared" si="35"/>
        <v>0.83541879334476921</v>
      </c>
      <c r="BC25" s="169">
        <f t="shared" si="35"/>
        <v>0.81676015280511038</v>
      </c>
      <c r="BD25" s="169">
        <f t="shared" si="35"/>
        <v>0.79699651663281523</v>
      </c>
      <c r="BE25" s="169">
        <f t="shared" si="35"/>
        <v>0.7760752659882344</v>
      </c>
      <c r="BF25" s="169">
        <f t="shared" si="35"/>
        <v>0.75397535333550825</v>
      </c>
      <c r="BG25" s="169">
        <f t="shared" si="35"/>
        <v>0.73065468360291719</v>
      </c>
      <c r="BH25" s="170">
        <f t="shared" si="35"/>
        <v>0.70606063795081186</v>
      </c>
      <c r="BY25" s="148">
        <f>SUM(BY26:BY72)</f>
        <v>119127.74559733819</v>
      </c>
      <c r="CC25" s="522">
        <v>42</v>
      </c>
      <c r="CD25" s="520">
        <f t="shared" si="30"/>
        <v>241.29752490295263</v>
      </c>
      <c r="CE25" s="520">
        <f t="shared" si="30"/>
        <v>249.3871252411779</v>
      </c>
      <c r="CF25" s="520">
        <f t="shared" si="30"/>
        <v>257.7456300626335</v>
      </c>
      <c r="CG25" s="520">
        <f t="shared" si="30"/>
        <v>266.38189740356268</v>
      </c>
      <c r="CH25" s="520">
        <f t="shared" si="30"/>
        <v>275.30507413761205</v>
      </c>
      <c r="CI25" s="520">
        <f t="shared" si="30"/>
        <v>284.52460528340282</v>
      </c>
      <c r="CJ25" s="520">
        <f t="shared" si="30"/>
        <v>294.0502436077478</v>
      </c>
      <c r="CK25" s="520">
        <f t="shared" si="30"/>
        <v>303.89205953406383</v>
      </c>
      <c r="CL25" s="520">
        <f t="shared" si="30"/>
        <v>314.06045136524011</v>
      </c>
      <c r="CM25" s="520">
        <f t="shared" si="30"/>
        <v>324.56615583104207</v>
      </c>
      <c r="CN25" s="520">
        <f t="shared" si="31"/>
        <v>335.42025896994318</v>
      </c>
      <c r="CO25" s="520">
        <f t="shared" si="31"/>
        <v>346.63420735605774</v>
      </c>
      <c r="CP25" s="520">
        <f t="shared" si="31"/>
        <v>358.21981968168978</v>
      </c>
      <c r="CQ25" s="520">
        <f t="shared" si="31"/>
        <v>370.18929870684133</v>
      </c>
      <c r="CR25" s="520">
        <f t="shared" si="31"/>
        <v>382.55524358685335</v>
      </c>
      <c r="CS25" s="520">
        <f t="shared" si="31"/>
        <v>395.33066259019887</v>
      </c>
      <c r="CT25" s="520">
        <f t="shared" si="31"/>
        <v>408.52898621833856</v>
      </c>
      <c r="CU25" s="520">
        <f t="shared" si="31"/>
        <v>422.16408074036008</v>
      </c>
      <c r="CV25" s="520">
        <f t="shared" si="31"/>
        <v>436.25026215507694</v>
      </c>
      <c r="CW25" s="524">
        <f t="shared" si="31"/>
        <v>450.80231059409323</v>
      </c>
      <c r="CX25" s="536"/>
    </row>
    <row r="26" spans="1:102" ht="14.25">
      <c r="A26" s="162">
        <v>13</v>
      </c>
      <c r="B26" s="2193">
        <v>99536</v>
      </c>
      <c r="C26" s="178">
        <v>65.52</v>
      </c>
      <c r="D26" s="162">
        <v>63</v>
      </c>
      <c r="E26" s="2193">
        <f t="shared" si="10"/>
        <v>87883</v>
      </c>
      <c r="F26" s="178">
        <f t="shared" si="10"/>
        <v>18.989999999999998</v>
      </c>
      <c r="G26" s="151"/>
      <c r="H26" s="162">
        <v>13</v>
      </c>
      <c r="I26" s="2193">
        <v>99595</v>
      </c>
      <c r="J26" s="178">
        <v>70.319999999999993</v>
      </c>
      <c r="K26" s="162">
        <v>63</v>
      </c>
      <c r="L26" s="2193">
        <f t="shared" si="11"/>
        <v>93201</v>
      </c>
      <c r="M26" s="178">
        <f t="shared" si="11"/>
        <v>22.44</v>
      </c>
      <c r="O26" s="2193">
        <f t="shared" si="6"/>
        <v>99565.5</v>
      </c>
      <c r="P26" s="178">
        <f t="shared" si="7"/>
        <v>67.919999999999987</v>
      </c>
      <c r="S26" s="185" t="s">
        <v>243</v>
      </c>
      <c r="T26" s="2981">
        <v>70</v>
      </c>
      <c r="U26" s="2982"/>
      <c r="W26" s="2967"/>
      <c r="X26" s="29">
        <v>54</v>
      </c>
      <c r="Y26" s="177">
        <f t="shared" si="2"/>
        <v>0.98035367432826159</v>
      </c>
      <c r="Z26" s="177">
        <f t="shared" si="8"/>
        <v>0.98105834354151267</v>
      </c>
      <c r="AA26" s="177">
        <f t="shared" si="12"/>
        <v>0.98182370820668696</v>
      </c>
      <c r="AB26" s="177">
        <f t="shared" si="14"/>
        <v>0.98266001460209296</v>
      </c>
      <c r="AC26" s="177">
        <f t="shared" si="16"/>
        <v>0.98356762243085516</v>
      </c>
      <c r="AD26" s="177">
        <f t="shared" si="18"/>
        <v>0.98457693245549871</v>
      </c>
      <c r="AE26" s="177">
        <f t="shared" si="20"/>
        <v>0.98568856611028044</v>
      </c>
      <c r="AF26" s="177">
        <f t="shared" si="22"/>
        <v>0.98690321003747761</v>
      </c>
      <c r="AG26" s="177">
        <f t="shared" si="24"/>
        <v>0.98825185094535883</v>
      </c>
      <c r="AH26" s="177">
        <f t="shared" si="26"/>
        <v>0.98973557618653674</v>
      </c>
      <c r="AI26" s="177">
        <f t="shared" si="28"/>
        <v>0.99138601301305396</v>
      </c>
      <c r="AJ26" s="177">
        <f t="shared" si="32"/>
        <v>0.99321498852082646</v>
      </c>
      <c r="AK26" s="177">
        <f t="shared" si="34"/>
        <v>0.9952448931384732</v>
      </c>
      <c r="AL26" s="177">
        <f t="shared" ref="AL26:AL47" si="36">VLOOKUP($X26,Sterbetafel,9)/VLOOKUP(AL$11,Sterbetafel,9)</f>
        <v>0.99749868758299109</v>
      </c>
      <c r="AM26" s="168"/>
      <c r="AN26" s="169">
        <f t="shared" ref="AN26:BH26" si="37">VLOOKUP(AN$11,Sterbetafel,2)/VLOOKUP($X26,Sterbetafel,2)</f>
        <v>0.99491484210637604</v>
      </c>
      <c r="AO26" s="169">
        <f t="shared" si="37"/>
        <v>0.98929050946727426</v>
      </c>
      <c r="AP26" s="169">
        <f t="shared" si="37"/>
        <v>0.98304242565203137</v>
      </c>
      <c r="AQ26" s="169">
        <f t="shared" si="37"/>
        <v>0.97612830244531601</v>
      </c>
      <c r="AR26" s="169">
        <f t="shared" si="37"/>
        <v>0.96846356341646489</v>
      </c>
      <c r="AS26" s="169">
        <f t="shared" si="37"/>
        <v>0.9599953482963135</v>
      </c>
      <c r="AT26" s="169">
        <f t="shared" si="37"/>
        <v>0.95064965270803159</v>
      </c>
      <c r="AU26" s="169">
        <f t="shared" si="37"/>
        <v>0.94037361638245465</v>
      </c>
      <c r="AV26" s="169">
        <f t="shared" si="37"/>
        <v>0.92910380699658524</v>
      </c>
      <c r="AW26" s="169">
        <f t="shared" si="37"/>
        <v>0.91679793633509177</v>
      </c>
      <c r="AX26" s="169">
        <f t="shared" si="37"/>
        <v>0.90343486029030862</v>
      </c>
      <c r="AY26" s="169">
        <f t="shared" si="37"/>
        <v>0.88899343475456982</v>
      </c>
      <c r="AZ26" s="169">
        <f t="shared" si="37"/>
        <v>0.87349480383554112</v>
      </c>
      <c r="BA26" s="169">
        <f t="shared" si="37"/>
        <v>0.85690725137172397</v>
      </c>
      <c r="BB26" s="169">
        <f t="shared" si="37"/>
        <v>0.83925192147078409</v>
      </c>
      <c r="BC26" s="169">
        <f t="shared" si="37"/>
        <v>0.82050767002505576</v>
      </c>
      <c r="BD26" s="169">
        <f t="shared" si="37"/>
        <v>0.80065335292687312</v>
      </c>
      <c r="BE26" s="169">
        <f t="shared" si="37"/>
        <v>0.77963610990707166</v>
      </c>
      <c r="BF26" s="169">
        <f t="shared" si="37"/>
        <v>0.75743479685798565</v>
      </c>
      <c r="BG26" s="169">
        <f t="shared" si="37"/>
        <v>0.73400712556428338</v>
      </c>
      <c r="BH26" s="170">
        <f t="shared" si="37"/>
        <v>0.70930023575680046</v>
      </c>
      <c r="BV26">
        <f>T26</f>
        <v>70</v>
      </c>
      <c r="BW26">
        <f t="shared" ref="BW26:BW72" si="38">VLOOKUP(BV26,Sterbetafel,IF(St_Sex="m",2,9))</f>
        <v>87183</v>
      </c>
      <c r="BY26" s="148">
        <f>+T29</f>
        <v>12000</v>
      </c>
      <c r="CC26" s="522">
        <v>43</v>
      </c>
      <c r="CD26" s="521">
        <f t="shared" si="30"/>
        <v>240.09703970443047</v>
      </c>
      <c r="CE26" s="521">
        <f t="shared" si="30"/>
        <v>247.89972687989854</v>
      </c>
      <c r="CF26" s="521">
        <f t="shared" si="30"/>
        <v>255.95395239586253</v>
      </c>
      <c r="CG26" s="521">
        <f t="shared" si="30"/>
        <v>264.26775536067726</v>
      </c>
      <c r="CH26" s="521">
        <f t="shared" si="30"/>
        <v>272.84942927414482</v>
      </c>
      <c r="CI26" s="521">
        <f t="shared" si="30"/>
        <v>281.70752998356716</v>
      </c>
      <c r="CJ26" s="521">
        <f t="shared" si="30"/>
        <v>290.85088388501271</v>
      </c>
      <c r="CK26" s="521">
        <f t="shared" si="30"/>
        <v>300.28859637753345</v>
      </c>
      <c r="CL26" s="521">
        <f t="shared" si="30"/>
        <v>310.03006057772961</v>
      </c>
      <c r="CM26" s="521">
        <f t="shared" si="30"/>
        <v>320.0849663028028</v>
      </c>
      <c r="CN26" s="521">
        <f t="shared" si="31"/>
        <v>330.46330932999331</v>
      </c>
      <c r="CO26" s="521">
        <f t="shared" si="31"/>
        <v>341.17540094100173</v>
      </c>
      <c r="CP26" s="521">
        <f t="shared" si="31"/>
        <v>352.23187775977368</v>
      </c>
      <c r="CQ26" s="521">
        <f t="shared" si="31"/>
        <v>363.64371189277142</v>
      </c>
      <c r="CR26" s="521">
        <f t="shared" si="31"/>
        <v>375.42222138062158</v>
      </c>
      <c r="CS26" s="521">
        <f t="shared" si="31"/>
        <v>387.57908097078325</v>
      </c>
      <c r="CT26" s="521">
        <f t="shared" si="31"/>
        <v>400.12633322070383</v>
      </c>
      <c r="CU26" s="521">
        <f t="shared" si="31"/>
        <v>413.07639994164401</v>
      </c>
      <c r="CV26" s="521">
        <f t="shared" si="31"/>
        <v>426.44209399323262</v>
      </c>
      <c r="CW26" s="525">
        <f t="shared" si="31"/>
        <v>440.23663143954411</v>
      </c>
      <c r="CX26" s="536"/>
    </row>
    <row r="27" spans="1:102" ht="14.25">
      <c r="A27" s="171">
        <v>14</v>
      </c>
      <c r="B27" s="2192">
        <v>99526</v>
      </c>
      <c r="C27" s="172">
        <v>64.53</v>
      </c>
      <c r="D27" s="171">
        <v>64</v>
      </c>
      <c r="E27" s="2192">
        <f t="shared" si="10"/>
        <v>86719</v>
      </c>
      <c r="F27" s="172">
        <f t="shared" si="10"/>
        <v>18.239999999999998</v>
      </c>
      <c r="G27" s="151"/>
      <c r="H27" s="171">
        <v>14</v>
      </c>
      <c r="I27" s="2192">
        <v>99585</v>
      </c>
      <c r="J27" s="172">
        <v>69.33</v>
      </c>
      <c r="K27" s="171">
        <v>64</v>
      </c>
      <c r="L27" s="2192">
        <f t="shared" si="11"/>
        <v>92543</v>
      </c>
      <c r="M27" s="172">
        <f t="shared" si="11"/>
        <v>21.59</v>
      </c>
      <c r="O27" s="2192">
        <f t="shared" si="6"/>
        <v>99555.5</v>
      </c>
      <c r="P27" s="172">
        <f t="shared" si="7"/>
        <v>66.930000000000007</v>
      </c>
      <c r="S27" s="185" t="s">
        <v>244</v>
      </c>
      <c r="T27" s="2981" t="s">
        <v>245</v>
      </c>
      <c r="U27" s="2982"/>
      <c r="W27" s="2967"/>
      <c r="X27" s="29">
        <v>55</v>
      </c>
      <c r="Y27" s="177">
        <f t="shared" si="2"/>
        <v>0.97764244091939134</v>
      </c>
      <c r="Z27" s="177">
        <f t="shared" si="8"/>
        <v>0.97834516132297999</v>
      </c>
      <c r="AA27" s="177">
        <f t="shared" si="12"/>
        <v>0.97910840932117527</v>
      </c>
      <c r="AB27" s="177">
        <f t="shared" si="14"/>
        <v>0.97994240285552037</v>
      </c>
      <c r="AC27" s="177">
        <f t="shared" si="16"/>
        <v>0.98084750063435677</v>
      </c>
      <c r="AD27" s="177">
        <f t="shared" si="18"/>
        <v>0.98185401934487526</v>
      </c>
      <c r="AE27" s="177">
        <f t="shared" si="20"/>
        <v>0.98296257870271475</v>
      </c>
      <c r="AF27" s="177">
        <f t="shared" si="22"/>
        <v>0.98417386345119762</v>
      </c>
      <c r="AG27" s="177">
        <f t="shared" si="24"/>
        <v>0.98551877460278614</v>
      </c>
      <c r="AH27" s="177">
        <f t="shared" si="26"/>
        <v>0.98699839650294652</v>
      </c>
      <c r="AI27" s="177">
        <f t="shared" si="28"/>
        <v>0.98864426893644886</v>
      </c>
      <c r="AJ27" s="177">
        <f t="shared" si="32"/>
        <v>0.99046818629058708</v>
      </c>
      <c r="AK27" s="177">
        <f t="shared" si="34"/>
        <v>0.99249247707175792</v>
      </c>
      <c r="AL27" s="177">
        <f t="shared" si="36"/>
        <v>0.99474003849756565</v>
      </c>
      <c r="AM27" s="177">
        <f t="shared" ref="AM27:AM47" si="39">VLOOKUP($X27,Sterbetafel,9)/VLOOKUP(AM$11,Sterbetafel,9)</f>
        <v>0.99723443336841888</v>
      </c>
      <c r="AN27" s="168"/>
      <c r="AO27" s="169">
        <f t="shared" ref="AO27:BH27" si="40">VLOOKUP(AO$11,Sterbetafel,2)/VLOOKUP($X27,Sterbetafel,2)</f>
        <v>0.99434692055935736</v>
      </c>
      <c r="AP27" s="169">
        <f t="shared" si="40"/>
        <v>0.98806690185744039</v>
      </c>
      <c r="AQ27" s="169">
        <f t="shared" si="40"/>
        <v>0.98111743953755259</v>
      </c>
      <c r="AR27" s="169">
        <f t="shared" si="40"/>
        <v>0.97341352488630084</v>
      </c>
      <c r="AS27" s="169">
        <f t="shared" si="40"/>
        <v>0.96490202745781439</v>
      </c>
      <c r="AT27" s="169">
        <f t="shared" si="40"/>
        <v>0.95550856462787437</v>
      </c>
      <c r="AU27" s="169">
        <f t="shared" si="40"/>
        <v>0.94518000595060991</v>
      </c>
      <c r="AV27" s="169">
        <f t="shared" si="40"/>
        <v>0.93385259489097627</v>
      </c>
      <c r="AW27" s="169">
        <f t="shared" si="40"/>
        <v>0.92148382709227694</v>
      </c>
      <c r="AX27" s="169">
        <f t="shared" si="40"/>
        <v>0.90805245037616356</v>
      </c>
      <c r="AY27" s="169">
        <f t="shared" si="40"/>
        <v>0.89353721256428786</v>
      </c>
      <c r="AZ27" s="169">
        <f t="shared" si="40"/>
        <v>0.87795936583499812</v>
      </c>
      <c r="BA27" s="169">
        <f t="shared" si="40"/>
        <v>0.86128703192077183</v>
      </c>
      <c r="BB27" s="169">
        <f t="shared" si="40"/>
        <v>0.84354146299995747</v>
      </c>
      <c r="BC27" s="169">
        <f t="shared" si="40"/>
        <v>0.82470140689420668</v>
      </c>
      <c r="BD27" s="169">
        <f t="shared" si="40"/>
        <v>0.80474561142517109</v>
      </c>
      <c r="BE27" s="169">
        <f t="shared" si="40"/>
        <v>0.78362094614698008</v>
      </c>
      <c r="BF27" s="169">
        <f t="shared" si="40"/>
        <v>0.76130615888128528</v>
      </c>
      <c r="BG27" s="169">
        <f t="shared" si="40"/>
        <v>0.73775874527139029</v>
      </c>
      <c r="BH27" s="170">
        <f t="shared" si="40"/>
        <v>0.71292557487142427</v>
      </c>
      <c r="BV27">
        <f>+BV26+1</f>
        <v>71</v>
      </c>
      <c r="BW27">
        <f t="shared" si="38"/>
        <v>86024</v>
      </c>
      <c r="BX27" s="150">
        <f>+BW27/BW$26</f>
        <v>0.98670612390030166</v>
      </c>
      <c r="BY27" s="148">
        <f>IF(BV27&lt;=BV$26+T$28-1,-PV(+T$30,BV27-BV$26,,T$29*BX27,1)*BX27,0)</f>
        <v>11233.718941642584</v>
      </c>
      <c r="CC27" s="522">
        <v>44</v>
      </c>
      <c r="CD27" s="520">
        <f t="shared" si="30"/>
        <v>238.90252706908507</v>
      </c>
      <c r="CE27" s="520">
        <f t="shared" si="30"/>
        <v>246.42119968180768</v>
      </c>
      <c r="CF27" s="520">
        <f t="shared" si="30"/>
        <v>254.17472929082672</v>
      </c>
      <c r="CG27" s="520">
        <f t="shared" si="30"/>
        <v>262.17039222289407</v>
      </c>
      <c r="CH27" s="520">
        <f t="shared" si="30"/>
        <v>270.41568808141204</v>
      </c>
      <c r="CI27" s="520">
        <f t="shared" si="30"/>
        <v>278.91834651838326</v>
      </c>
      <c r="CJ27" s="520">
        <f t="shared" si="30"/>
        <v>287.68633420871686</v>
      </c>
      <c r="CK27" s="520">
        <f t="shared" si="30"/>
        <v>296.72786203313586</v>
      </c>
      <c r="CL27" s="520">
        <f t="shared" si="30"/>
        <v>306.05139247554746</v>
      </c>
      <c r="CM27" s="520">
        <f t="shared" si="30"/>
        <v>315.66564724142279</v>
      </c>
      <c r="CN27" s="520">
        <f t="shared" si="31"/>
        <v>325.57961510344171</v>
      </c>
      <c r="CO27" s="520">
        <f t="shared" si="31"/>
        <v>335.80255998130087</v>
      </c>
      <c r="CP27" s="520">
        <f t="shared" si="31"/>
        <v>346.34402926231422</v>
      </c>
      <c r="CQ27" s="520">
        <f t="shared" si="31"/>
        <v>357.21386237010955</v>
      </c>
      <c r="CR27" s="520">
        <f t="shared" si="31"/>
        <v>368.42219958844123</v>
      </c>
      <c r="CS27" s="520">
        <f t="shared" si="31"/>
        <v>379.97949114782665</v>
      </c>
      <c r="CT27" s="520">
        <f t="shared" si="31"/>
        <v>391.89650658247194</v>
      </c>
      <c r="CU27" s="520">
        <f t="shared" si="31"/>
        <v>404.18434436560068</v>
      </c>
      <c r="CV27" s="520">
        <f t="shared" si="31"/>
        <v>416.85444183111701</v>
      </c>
      <c r="CW27" s="524">
        <f t="shared" si="31"/>
        <v>429.91858539017994</v>
      </c>
      <c r="CX27" s="536"/>
    </row>
    <row r="28" spans="1:102" ht="14.25">
      <c r="A28" s="162">
        <v>15</v>
      </c>
      <c r="B28" s="2193">
        <v>99513</v>
      </c>
      <c r="C28" s="178">
        <v>63.54</v>
      </c>
      <c r="D28" s="162">
        <v>65</v>
      </c>
      <c r="E28" s="2193">
        <f t="shared" si="10"/>
        <v>85455</v>
      </c>
      <c r="F28" s="178">
        <f t="shared" si="10"/>
        <v>17.5</v>
      </c>
      <c r="G28" s="151"/>
      <c r="H28" s="162">
        <v>15</v>
      </c>
      <c r="I28" s="2193">
        <v>99574</v>
      </c>
      <c r="J28" s="178">
        <v>68.34</v>
      </c>
      <c r="K28" s="162">
        <v>65</v>
      </c>
      <c r="L28" s="2193">
        <f t="shared" si="11"/>
        <v>91821</v>
      </c>
      <c r="M28" s="178">
        <f t="shared" si="11"/>
        <v>20.76</v>
      </c>
      <c r="O28" s="2193">
        <f t="shared" si="6"/>
        <v>99543.5</v>
      </c>
      <c r="P28" s="178">
        <f t="shared" si="7"/>
        <v>65.94</v>
      </c>
      <c r="S28" s="185" t="s">
        <v>246</v>
      </c>
      <c r="T28" s="2981">
        <v>30</v>
      </c>
      <c r="U28" s="2982"/>
      <c r="W28" s="2967"/>
      <c r="X28" s="29">
        <v>56</v>
      </c>
      <c r="Y28" s="177">
        <f t="shared" si="2"/>
        <v>0.97464794431854973</v>
      </c>
      <c r="Z28" s="177">
        <f t="shared" si="8"/>
        <v>0.97534851230549624</v>
      </c>
      <c r="AA28" s="177">
        <f t="shared" si="12"/>
        <v>0.97610942249240118</v>
      </c>
      <c r="AB28" s="177">
        <f t="shared" si="14"/>
        <v>0.97694086152348503</v>
      </c>
      <c r="AC28" s="177">
        <f t="shared" si="16"/>
        <v>0.97784318700837347</v>
      </c>
      <c r="AD28" s="177">
        <f t="shared" si="18"/>
        <v>0.97884662277493295</v>
      </c>
      <c r="AE28" s="177">
        <f t="shared" si="20"/>
        <v>0.97995178664062743</v>
      </c>
      <c r="AF28" s="177">
        <f t="shared" si="22"/>
        <v>0.98115936125142578</v>
      </c>
      <c r="AG28" s="177">
        <f t="shared" si="24"/>
        <v>0.98250015297069082</v>
      </c>
      <c r="AH28" s="177">
        <f t="shared" si="26"/>
        <v>0.98397524282256332</v>
      </c>
      <c r="AI28" s="177">
        <f t="shared" si="28"/>
        <v>0.98561607398616846</v>
      </c>
      <c r="AJ28" s="177">
        <f t="shared" si="32"/>
        <v>0.98743440472285993</v>
      </c>
      <c r="AK28" s="177">
        <f t="shared" si="34"/>
        <v>0.98945249514732614</v>
      </c>
      <c r="AL28" s="177">
        <f t="shared" si="36"/>
        <v>0.99169317234351362</v>
      </c>
      <c r="AM28" s="177">
        <f t="shared" si="39"/>
        <v>0.99417992693950841</v>
      </c>
      <c r="AN28" s="177">
        <f t="shared" ref="AN28:AN47" si="41">VLOOKUP($X28,Sterbetafel,9)/VLOOKUP(AN$11,Sterbetafel,9)</f>
        <v>0.99693702270328444</v>
      </c>
      <c r="AO28" s="168"/>
      <c r="AP28" s="169">
        <f t="shared" ref="AP28:BH28" si="42">VLOOKUP(AP$11,Sterbetafel,2)/VLOOKUP($X28,Sterbetafel,2)</f>
        <v>0.99368427802000514</v>
      </c>
      <c r="AQ28" s="169">
        <f t="shared" si="42"/>
        <v>0.98669530648884329</v>
      </c>
      <c r="AR28" s="169">
        <f t="shared" si="42"/>
        <v>0.97894759340001714</v>
      </c>
      <c r="AS28" s="169">
        <f t="shared" si="42"/>
        <v>0.97038770624946569</v>
      </c>
      <c r="AT28" s="169">
        <f t="shared" si="42"/>
        <v>0.96094083953150378</v>
      </c>
      <c r="AU28" s="169">
        <f t="shared" si="42"/>
        <v>0.95055356074207065</v>
      </c>
      <c r="AV28" s="169">
        <f t="shared" si="42"/>
        <v>0.93916175087629306</v>
      </c>
      <c r="AW28" s="169">
        <f t="shared" si="42"/>
        <v>0.92672266393092251</v>
      </c>
      <c r="AX28" s="169">
        <f t="shared" si="42"/>
        <v>0.91321492690433448</v>
      </c>
      <c r="AY28" s="169">
        <f t="shared" si="42"/>
        <v>0.89861716679490466</v>
      </c>
      <c r="AZ28" s="169">
        <f t="shared" si="42"/>
        <v>0.88295075660425748</v>
      </c>
      <c r="BA28" s="169">
        <f t="shared" si="42"/>
        <v>0.86618363682995636</v>
      </c>
      <c r="BB28" s="169">
        <f t="shared" si="42"/>
        <v>0.84833718047362572</v>
      </c>
      <c r="BC28" s="169">
        <f t="shared" si="42"/>
        <v>0.82939001453364114</v>
      </c>
      <c r="BD28" s="169">
        <f t="shared" si="42"/>
        <v>0.80932076600837821</v>
      </c>
      <c r="BE28" s="169">
        <f t="shared" si="42"/>
        <v>0.78807600239377618</v>
      </c>
      <c r="BF28" s="169">
        <f t="shared" si="42"/>
        <v>0.76563435068821062</v>
      </c>
      <c r="BG28" s="169">
        <f t="shared" si="42"/>
        <v>0.74195306488843293</v>
      </c>
      <c r="BH28" s="170">
        <f t="shared" si="42"/>
        <v>0.71697871249038214</v>
      </c>
      <c r="BV28">
        <f t="shared" ref="BV28:BV72" si="43">+BV27+1</f>
        <v>72</v>
      </c>
      <c r="BW28">
        <f t="shared" si="38"/>
        <v>84768</v>
      </c>
      <c r="BX28" s="150">
        <f t="shared" ref="BX28:BX72" si="44">+BW28/BW$26</f>
        <v>0.97229964557310489</v>
      </c>
      <c r="BY28" s="148">
        <f t="shared" ref="BY28:BY72" si="45">IF(BV28&lt;=BV$26+T$28-1,-PV(+T$30,BV28-BV$26,,T$29*BX28,1)*BX28,0)</f>
        <v>10488.534771985045</v>
      </c>
      <c r="CC28" s="522">
        <v>45</v>
      </c>
      <c r="CD28" s="521">
        <f t="shared" si="30"/>
        <v>237.71395728267174</v>
      </c>
      <c r="CE28" s="521">
        <f t="shared" si="30"/>
        <v>244.95149073738338</v>
      </c>
      <c r="CF28" s="521">
        <f t="shared" si="30"/>
        <v>252.40787417162539</v>
      </c>
      <c r="CG28" s="521">
        <f t="shared" si="30"/>
        <v>260.08967482429966</v>
      </c>
      <c r="CH28" s="521">
        <f t="shared" si="30"/>
        <v>268.00365518474939</v>
      </c>
      <c r="CI28" s="521">
        <f t="shared" si="30"/>
        <v>276.15677873107256</v>
      </c>
      <c r="CJ28" s="521">
        <f t="shared" si="30"/>
        <v>284.55621583453694</v>
      </c>
      <c r="CK28" s="521">
        <f t="shared" si="30"/>
        <v>293.20934983511438</v>
      </c>
      <c r="CL28" s="521">
        <f t="shared" si="30"/>
        <v>302.12378329274185</v>
      </c>
      <c r="CM28" s="521">
        <f t="shared" si="30"/>
        <v>311.30734441954917</v>
      </c>
      <c r="CN28" s="521">
        <f t="shared" si="31"/>
        <v>320.76809369797218</v>
      </c>
      <c r="CO28" s="521">
        <f t="shared" si="31"/>
        <v>330.51433069025677</v>
      </c>
      <c r="CP28" s="521">
        <f t="shared" si="31"/>
        <v>340.55460104455688</v>
      </c>
      <c r="CQ28" s="521">
        <f t="shared" si="31"/>
        <v>350.89770370344741</v>
      </c>
      <c r="CR28" s="521">
        <f t="shared" si="31"/>
        <v>361.55269832035452</v>
      </c>
      <c r="CS28" s="521">
        <f t="shared" si="31"/>
        <v>372.52891289002616</v>
      </c>
      <c r="CT28" s="521">
        <f t="shared" si="31"/>
        <v>383.83595159889524</v>
      </c>
      <c r="CU28" s="521">
        <f t="shared" si="31"/>
        <v>395.48370290176194</v>
      </c>
      <c r="CV28" s="521">
        <f t="shared" si="31"/>
        <v>407.48234783100401</v>
      </c>
      <c r="CW28" s="525">
        <f t="shared" si="31"/>
        <v>419.84236854509743</v>
      </c>
      <c r="CX28" s="536"/>
    </row>
    <row r="29" spans="1:102" ht="14.25">
      <c r="A29" s="171">
        <v>16</v>
      </c>
      <c r="B29" s="2192">
        <v>99496</v>
      </c>
      <c r="C29" s="172">
        <v>62.55</v>
      </c>
      <c r="D29" s="171">
        <v>66</v>
      </c>
      <c r="E29" s="2192">
        <f t="shared" si="10"/>
        <v>84089</v>
      </c>
      <c r="F29" s="172">
        <f t="shared" si="10"/>
        <v>16.78</v>
      </c>
      <c r="G29" s="151"/>
      <c r="H29" s="171">
        <v>16</v>
      </c>
      <c r="I29" s="2192">
        <v>99561</v>
      </c>
      <c r="J29" s="172">
        <v>67.349999999999994</v>
      </c>
      <c r="K29" s="171">
        <v>66</v>
      </c>
      <c r="L29" s="2192">
        <f t="shared" si="11"/>
        <v>91032</v>
      </c>
      <c r="M29" s="172">
        <f t="shared" si="11"/>
        <v>19.93</v>
      </c>
      <c r="O29" s="2192">
        <f t="shared" si="6"/>
        <v>99528.5</v>
      </c>
      <c r="P29" s="172">
        <f t="shared" si="7"/>
        <v>64.949999999999989</v>
      </c>
      <c r="S29" s="185" t="s">
        <v>247</v>
      </c>
      <c r="T29" s="2983">
        <v>12000</v>
      </c>
      <c r="U29" s="2984"/>
      <c r="W29" s="2967"/>
      <c r="X29" s="29">
        <v>57</v>
      </c>
      <c r="Y29" s="177">
        <f t="shared" si="2"/>
        <v>0.9713600679831661</v>
      </c>
      <c r="Z29" s="177">
        <f t="shared" si="8"/>
        <v>0.97205827267481293</v>
      </c>
      <c r="AA29" s="177">
        <f t="shared" si="12"/>
        <v>0.97281661600810532</v>
      </c>
      <c r="AB29" s="177">
        <f t="shared" si="14"/>
        <v>0.9736452502636489</v>
      </c>
      <c r="AC29" s="177">
        <f t="shared" si="16"/>
        <v>0.97454453184470946</v>
      </c>
      <c r="AD29" s="177">
        <f t="shared" si="18"/>
        <v>0.97554458262212473</v>
      </c>
      <c r="AE29" s="177">
        <f t="shared" si="20"/>
        <v>0.97664601832921383</v>
      </c>
      <c r="AF29" s="177">
        <f t="shared" si="22"/>
        <v>0.97784951930910868</v>
      </c>
      <c r="AG29" s="177">
        <f t="shared" si="24"/>
        <v>0.97918578800301859</v>
      </c>
      <c r="AH29" s="177">
        <f t="shared" si="26"/>
        <v>0.98065590178835882</v>
      </c>
      <c r="AI29" s="177">
        <f t="shared" si="28"/>
        <v>0.98229119777386753</v>
      </c>
      <c r="AJ29" s="177">
        <f t="shared" si="32"/>
        <v>0.98410339455559204</v>
      </c>
      <c r="AK29" s="177">
        <f t="shared" si="34"/>
        <v>0.98611467715597367</v>
      </c>
      <c r="AL29" s="177">
        <f t="shared" si="36"/>
        <v>0.98834779565409836</v>
      </c>
      <c r="AM29" s="177">
        <f t="shared" si="39"/>
        <v>0.99082616143479252</v>
      </c>
      <c r="AN29" s="177">
        <f t="shared" si="41"/>
        <v>0.99357395641466095</v>
      </c>
      <c r="AO29" s="177">
        <f t="shared" ref="AO29:AO47" si="46">VLOOKUP($X29,Sterbetafel,9)/VLOOKUP(AO$11,Sterbetafel,9)</f>
        <v>0.99662660106703205</v>
      </c>
      <c r="AP29" s="186"/>
      <c r="AQ29" s="169">
        <f t="shared" ref="AQ29:BH29" si="47">VLOOKUP(AQ$11,Sterbetafel,2)/VLOOKUP($X29,Sterbetafel,2)</f>
        <v>0.99296660751734156</v>
      </c>
      <c r="AR29" s="169">
        <f t="shared" si="47"/>
        <v>0.98516965101898157</v>
      </c>
      <c r="AS29" s="169">
        <f t="shared" si="47"/>
        <v>0.97655535839113838</v>
      </c>
      <c r="AT29" s="169">
        <f t="shared" si="47"/>
        <v>0.96704844867451745</v>
      </c>
      <c r="AU29" s="169">
        <f t="shared" si="47"/>
        <v>0.95659514975533688</v>
      </c>
      <c r="AV29" s="169">
        <f t="shared" si="47"/>
        <v>0.9451309350970587</v>
      </c>
      <c r="AW29" s="169">
        <f t="shared" si="47"/>
        <v>0.93261278700865735</v>
      </c>
      <c r="AX29" s="169">
        <f t="shared" si="47"/>
        <v>0.91901919664462006</v>
      </c>
      <c r="AY29" s="169">
        <f t="shared" si="47"/>
        <v>0.90432865515943428</v>
      </c>
      <c r="AZ29" s="169">
        <f t="shared" si="47"/>
        <v>0.88856267139861267</v>
      </c>
      <c r="BA29" s="169">
        <f t="shared" si="47"/>
        <v>0.87168898209388612</v>
      </c>
      <c r="BB29" s="169">
        <f t="shared" si="47"/>
        <v>0.8537290960907673</v>
      </c>
      <c r="BC29" s="169">
        <f t="shared" si="47"/>
        <v>0.83466150454374366</v>
      </c>
      <c r="BD29" s="169">
        <f t="shared" si="47"/>
        <v>0.81446469860730231</v>
      </c>
      <c r="BE29" s="169">
        <f t="shared" si="47"/>
        <v>0.79308490616766147</v>
      </c>
      <c r="BF29" s="169">
        <f t="shared" si="47"/>
        <v>0.7705006183793085</v>
      </c>
      <c r="BG29" s="169">
        <f t="shared" si="47"/>
        <v>0.74666881755121794</v>
      </c>
      <c r="BH29" s="170">
        <f t="shared" si="47"/>
        <v>0.72153573156960804</v>
      </c>
      <c r="BV29">
        <f t="shared" si="43"/>
        <v>73</v>
      </c>
      <c r="BW29">
        <f t="shared" si="38"/>
        <v>83403</v>
      </c>
      <c r="BX29" s="150">
        <f t="shared" si="44"/>
        <v>0.95664292350572933</v>
      </c>
      <c r="BY29" s="148">
        <f t="shared" si="45"/>
        <v>9762.9475182093684</v>
      </c>
      <c r="CC29" s="522">
        <v>46</v>
      </c>
      <c r="CD29" s="520">
        <f t="shared" si="30"/>
        <v>236.5313007787779</v>
      </c>
      <c r="CE29" s="520">
        <f t="shared" si="30"/>
        <v>243.49054745266739</v>
      </c>
      <c r="CF29" s="520">
        <f t="shared" si="30"/>
        <v>250.65330106417622</v>
      </c>
      <c r="CG29" s="520">
        <f t="shared" si="30"/>
        <v>258.02547105585279</v>
      </c>
      <c r="CH29" s="520">
        <f t="shared" si="30"/>
        <v>265.61313695217984</v>
      </c>
      <c r="CI29" s="520">
        <f t="shared" si="30"/>
        <v>273.42255319908168</v>
      </c>
      <c r="CJ29" s="520">
        <f t="shared" si="30"/>
        <v>281.4601541390079</v>
      </c>
      <c r="CK29" s="520">
        <f t="shared" si="30"/>
        <v>289.73255912560717</v>
      </c>
      <c r="CL29" s="520">
        <f t="shared" si="30"/>
        <v>298.24657778158127</v>
      </c>
      <c r="CM29" s="520">
        <f t="shared" si="30"/>
        <v>307.00921540389459</v>
      </c>
      <c r="CN29" s="520">
        <f t="shared" si="31"/>
        <v>316.02767852016973</v>
      </c>
      <c r="CO29" s="520">
        <f t="shared" si="31"/>
        <v>325.30938060064642</v>
      </c>
      <c r="CP29" s="520">
        <f t="shared" si="31"/>
        <v>334.86194792975112</v>
      </c>
      <c r="CQ29" s="520">
        <f t="shared" si="31"/>
        <v>344.69322564189338</v>
      </c>
      <c r="CR29" s="520">
        <f t="shared" si="31"/>
        <v>354.811283925765</v>
      </c>
      <c r="CS29" s="520">
        <f t="shared" si="31"/>
        <v>365.22442440198643</v>
      </c>
      <c r="CT29" s="520">
        <f t="shared" si="31"/>
        <v>375.9411866786437</v>
      </c>
      <c r="CU29" s="520">
        <f t="shared" si="31"/>
        <v>386.97035508978661</v>
      </c>
      <c r="CV29" s="520">
        <f t="shared" si="31"/>
        <v>398.32096562170477</v>
      </c>
      <c r="CW29" s="524">
        <f t="shared" si="31"/>
        <v>410.00231303232192</v>
      </c>
      <c r="CX29" s="536"/>
    </row>
    <row r="30" spans="1:102" ht="14.25">
      <c r="A30" s="162">
        <v>17</v>
      </c>
      <c r="B30" s="2193">
        <v>99474</v>
      </c>
      <c r="C30" s="178">
        <v>61.56</v>
      </c>
      <c r="D30" s="162">
        <v>67</v>
      </c>
      <c r="E30" s="2193">
        <f t="shared" si="10"/>
        <v>82623</v>
      </c>
      <c r="F30" s="178">
        <f t="shared" si="10"/>
        <v>16.07</v>
      </c>
      <c r="G30" s="151"/>
      <c r="H30" s="162">
        <v>17</v>
      </c>
      <c r="I30" s="2193">
        <v>99546</v>
      </c>
      <c r="J30" s="178">
        <v>66.36</v>
      </c>
      <c r="K30" s="162">
        <v>67</v>
      </c>
      <c r="L30" s="2193">
        <f t="shared" si="11"/>
        <v>90177</v>
      </c>
      <c r="M30" s="178">
        <f t="shared" si="11"/>
        <v>19.12</v>
      </c>
      <c r="O30" s="2193">
        <f t="shared" si="6"/>
        <v>99510</v>
      </c>
      <c r="P30" s="178">
        <f t="shared" si="7"/>
        <v>63.96</v>
      </c>
      <c r="S30" s="185" t="s">
        <v>248</v>
      </c>
      <c r="T30" s="2985">
        <v>0.04</v>
      </c>
      <c r="U30" s="2986"/>
      <c r="W30" s="2967"/>
      <c r="X30" s="29">
        <v>58</v>
      </c>
      <c r="Y30" s="177">
        <f t="shared" si="2"/>
        <v>0.96771811265781804</v>
      </c>
      <c r="Z30" s="177">
        <f t="shared" si="8"/>
        <v>0.96841369954544076</v>
      </c>
      <c r="AA30" s="177">
        <f t="shared" si="12"/>
        <v>0.96916919959473147</v>
      </c>
      <c r="AB30" s="177">
        <f t="shared" si="14"/>
        <v>0.9699947270219843</v>
      </c>
      <c r="AC30" s="177">
        <f t="shared" si="16"/>
        <v>0.97089063689418931</v>
      </c>
      <c r="AD30" s="177">
        <f t="shared" si="18"/>
        <v>0.9718869381451678</v>
      </c>
      <c r="AE30" s="177">
        <f t="shared" si="20"/>
        <v>0.97298424419964802</v>
      </c>
      <c r="AF30" s="177">
        <f t="shared" si="22"/>
        <v>0.97418323284992669</v>
      </c>
      <c r="AG30" s="177">
        <f t="shared" si="24"/>
        <v>0.97551449142344326</v>
      </c>
      <c r="AH30" s="177">
        <f t="shared" si="26"/>
        <v>0.97697909325816301</v>
      </c>
      <c r="AI30" s="177">
        <f t="shared" si="28"/>
        <v>0.97860825796947248</v>
      </c>
      <c r="AJ30" s="177">
        <f t="shared" si="32"/>
        <v>0.98041366021646437</v>
      </c>
      <c r="AK30" s="177">
        <f t="shared" si="34"/>
        <v>0.9824174018424755</v>
      </c>
      <c r="AL30" s="177">
        <f t="shared" si="36"/>
        <v>0.9846421476288999</v>
      </c>
      <c r="AM30" s="177">
        <f t="shared" si="39"/>
        <v>0.98711122118341488</v>
      </c>
      <c r="AN30" s="177">
        <f t="shared" si="41"/>
        <v>0.9898487137564933</v>
      </c>
      <c r="AO30" s="177">
        <f t="shared" si="46"/>
        <v>0.99288991301820595</v>
      </c>
      <c r="AP30" s="177">
        <f t="shared" ref="AP30:AP47" si="48">VLOOKUP($X30,Sterbetafel,9)/VLOOKUP(AP$11,Sterbetafel,9)</f>
        <v>0.99625066394492645</v>
      </c>
      <c r="AQ30" s="168"/>
      <c r="AR30" s="169">
        <f t="shared" ref="AR30:BH30" si="49">VLOOKUP(AR$11,Sterbetafel,2)/VLOOKUP($X30,Sterbetafel,2)</f>
        <v>0.99214781600979085</v>
      </c>
      <c r="AS30" s="169">
        <f t="shared" si="49"/>
        <v>0.98347250652543561</v>
      </c>
      <c r="AT30" s="169">
        <f t="shared" si="49"/>
        <v>0.97389825735668412</v>
      </c>
      <c r="AU30" s="169">
        <f t="shared" si="49"/>
        <v>0.96337091551050025</v>
      </c>
      <c r="AV30" s="169">
        <f t="shared" si="49"/>
        <v>0.95182549739524103</v>
      </c>
      <c r="AW30" s="169">
        <f t="shared" si="49"/>
        <v>0.93921868061647762</v>
      </c>
      <c r="AX30" s="169">
        <f t="shared" si="49"/>
        <v>0.92552880397699577</v>
      </c>
      <c r="AY30" s="169">
        <f t="shared" si="49"/>
        <v>0.91073420627958113</v>
      </c>
      <c r="AZ30" s="169">
        <f t="shared" si="49"/>
        <v>0.89485654872144782</v>
      </c>
      <c r="BA30" s="169">
        <f t="shared" si="49"/>
        <v>0.87786333950677453</v>
      </c>
      <c r="BB30" s="169">
        <f t="shared" si="49"/>
        <v>0.85977623983277551</v>
      </c>
      <c r="BC30" s="169">
        <f t="shared" si="49"/>
        <v>0.84057358850223651</v>
      </c>
      <c r="BD30" s="169">
        <f t="shared" si="49"/>
        <v>0.82023372431794306</v>
      </c>
      <c r="BE30" s="169">
        <f t="shared" si="49"/>
        <v>0.79870249428685924</v>
      </c>
      <c r="BF30" s="169">
        <f t="shared" si="49"/>
        <v>0.77595823721177071</v>
      </c>
      <c r="BG30" s="169">
        <f t="shared" si="49"/>
        <v>0.75195763069824872</v>
      </c>
      <c r="BH30" s="170">
        <f t="shared" si="49"/>
        <v>0.72664652175325728</v>
      </c>
      <c r="BV30">
        <f t="shared" si="43"/>
        <v>74</v>
      </c>
      <c r="BW30">
        <f t="shared" si="38"/>
        <v>81916</v>
      </c>
      <c r="BX30" s="150">
        <f t="shared" si="44"/>
        <v>0.93958684605943821</v>
      </c>
      <c r="BY30" s="148">
        <f t="shared" si="45"/>
        <v>9055.6941306264143</v>
      </c>
      <c r="CC30" s="522">
        <v>47</v>
      </c>
      <c r="CD30" s="521">
        <f t="shared" si="30"/>
        <v>235.35452813808752</v>
      </c>
      <c r="CE30" s="521">
        <f t="shared" si="30"/>
        <v>242.03831754738312</v>
      </c>
      <c r="CF30" s="521">
        <f t="shared" si="30"/>
        <v>248.91092459203202</v>
      </c>
      <c r="CG30" s="521">
        <f t="shared" si="30"/>
        <v>255.97764985699683</v>
      </c>
      <c r="CH30" s="521">
        <f t="shared" si="30"/>
        <v>263.24394147887</v>
      </c>
      <c r="CI30" s="521">
        <f t="shared" si="30"/>
        <v>270.71539920701161</v>
      </c>
      <c r="CJ30" s="521">
        <f t="shared" si="30"/>
        <v>278.39777857468641</v>
      </c>
      <c r="CK30" s="521">
        <f t="shared" si="30"/>
        <v>286.2969951834063</v>
      </c>
      <c r="CL30" s="521">
        <f t="shared" si="30"/>
        <v>294.41912910323924</v>
      </c>
      <c r="CM30" s="521">
        <f t="shared" si="30"/>
        <v>302.77042939240096</v>
      </c>
      <c r="CN30" s="521">
        <f t="shared" si="31"/>
        <v>311.3573187390835</v>
      </c>
      <c r="CO30" s="521">
        <f t="shared" si="31"/>
        <v>320.18639822898268</v>
      </c>
      <c r="CP30" s="521">
        <f t="shared" si="31"/>
        <v>329.2644522416432</v>
      </c>
      <c r="CQ30" s="521">
        <f t="shared" si="31"/>
        <v>338.59845347926654</v>
      </c>
      <c r="CR30" s="521">
        <f t="shared" si="31"/>
        <v>348.19556813127082</v>
      </c>
      <c r="CS30" s="521">
        <f t="shared" si="31"/>
        <v>358.06316117841811</v>
      </c>
      <c r="CT30" s="521">
        <f t="shared" si="31"/>
        <v>368.20880184000367</v>
      </c>
      <c r="CU30" s="521">
        <f t="shared" si="31"/>
        <v>378.64026916808871</v>
      </c>
      <c r="CV30" s="521">
        <f t="shared" si="31"/>
        <v>389.36555779247783</v>
      </c>
      <c r="CW30" s="525">
        <f t="shared" si="31"/>
        <v>400.39288382062682</v>
      </c>
      <c r="CX30" s="536"/>
    </row>
    <row r="31" spans="1:102" ht="14.25">
      <c r="A31" s="171">
        <v>18</v>
      </c>
      <c r="B31" s="2192">
        <v>99446</v>
      </c>
      <c r="C31" s="172">
        <v>60.58</v>
      </c>
      <c r="D31" s="171">
        <v>68</v>
      </c>
      <c r="E31" s="2192">
        <f t="shared" si="10"/>
        <v>81054</v>
      </c>
      <c r="F31" s="172">
        <f t="shared" si="10"/>
        <v>15.37</v>
      </c>
      <c r="G31" s="151"/>
      <c r="H31" s="171">
        <v>18</v>
      </c>
      <c r="I31" s="2192">
        <v>99529</v>
      </c>
      <c r="J31" s="172">
        <v>65.37</v>
      </c>
      <c r="K31" s="171">
        <v>68</v>
      </c>
      <c r="L31" s="2192">
        <f t="shared" si="11"/>
        <v>89253</v>
      </c>
      <c r="M31" s="172">
        <f t="shared" si="11"/>
        <v>18.309999999999999</v>
      </c>
      <c r="O31" s="2192">
        <f t="shared" si="6"/>
        <v>99487.5</v>
      </c>
      <c r="P31" s="172">
        <f t="shared" si="7"/>
        <v>62.975000000000001</v>
      </c>
      <c r="S31" s="185" t="s">
        <v>249</v>
      </c>
      <c r="T31" s="2987">
        <f>+T29*T28</f>
        <v>360000</v>
      </c>
      <c r="U31" s="2988"/>
      <c r="W31" s="2967"/>
      <c r="X31" s="29">
        <v>59</v>
      </c>
      <c r="Y31" s="177">
        <f t="shared" si="2"/>
        <v>0.96371196179993524</v>
      </c>
      <c r="Z31" s="177">
        <f t="shared" si="8"/>
        <v>0.96440466910313127</v>
      </c>
      <c r="AA31" s="177">
        <f t="shared" si="12"/>
        <v>0.96515704154002024</v>
      </c>
      <c r="AB31" s="177">
        <f t="shared" si="14"/>
        <v>0.96597915145615321</v>
      </c>
      <c r="AC31" s="177">
        <f t="shared" si="16"/>
        <v>0.96687135244861711</v>
      </c>
      <c r="AD31" s="177">
        <f t="shared" si="18"/>
        <v>0.96786352922051533</v>
      </c>
      <c r="AE31" s="177">
        <f t="shared" si="20"/>
        <v>0.96895629265712568</v>
      </c>
      <c r="AF31" s="177">
        <f t="shared" si="22"/>
        <v>0.97015031774482641</v>
      </c>
      <c r="AG31" s="177">
        <f t="shared" si="24"/>
        <v>0.97147606518591034</v>
      </c>
      <c r="AH31" s="177">
        <f t="shared" si="26"/>
        <v>0.97293460387494768</v>
      </c>
      <c r="AI31" s="177">
        <f t="shared" si="28"/>
        <v>0.97455702418463808</v>
      </c>
      <c r="AJ31" s="177">
        <f t="shared" si="32"/>
        <v>0.97635495244342407</v>
      </c>
      <c r="AK31" s="177">
        <f t="shared" si="34"/>
        <v>0.97835039899762755</v>
      </c>
      <c r="AL31" s="177">
        <f t="shared" si="36"/>
        <v>0.9805659348011817</v>
      </c>
      <c r="AM31" s="177">
        <f t="shared" si="39"/>
        <v>0.98302478690689943</v>
      </c>
      <c r="AN31" s="177">
        <f t="shared" si="41"/>
        <v>0.98575094683250897</v>
      </c>
      <c r="AO31" s="177">
        <f t="shared" si="46"/>
        <v>0.98877955616449731</v>
      </c>
      <c r="AP31" s="177">
        <f t="shared" si="48"/>
        <v>0.99212639428434546</v>
      </c>
      <c r="AQ31" s="177">
        <f t="shared" ref="AQ31:AQ47" si="50">VLOOKUP($X31,Sterbetafel,9)/VLOOKUP(AQ$11,Sterbetafel,9)</f>
        <v>0.99586020887127968</v>
      </c>
      <c r="AR31" s="168"/>
      <c r="AS31" s="169">
        <f t="shared" ref="AS31:BH31" si="51">VLOOKUP(AS$11,Sterbetafel,2)/VLOOKUP($X31,Sterbetafel,2)</f>
        <v>0.99125603126432771</v>
      </c>
      <c r="AT31" s="169">
        <f t="shared" si="51"/>
        <v>0.98160600834006506</v>
      </c>
      <c r="AU31" s="169">
        <f t="shared" si="51"/>
        <v>0.97099534964958623</v>
      </c>
      <c r="AV31" s="169">
        <f t="shared" si="51"/>
        <v>0.95935855729974018</v>
      </c>
      <c r="AW31" s="169">
        <f t="shared" si="51"/>
        <v>0.94665196602842605</v>
      </c>
      <c r="AX31" s="169">
        <f t="shared" si="51"/>
        <v>0.93285374320459358</v>
      </c>
      <c r="AY31" s="169">
        <f t="shared" si="51"/>
        <v>0.91794205619719227</v>
      </c>
      <c r="AZ31" s="169">
        <f t="shared" si="51"/>
        <v>0.90193873763727261</v>
      </c>
      <c r="BA31" s="169">
        <f t="shared" si="51"/>
        <v>0.88481103857825905</v>
      </c>
      <c r="BB31" s="169">
        <f t="shared" si="51"/>
        <v>0.86658079165120183</v>
      </c>
      <c r="BC31" s="169">
        <f t="shared" si="51"/>
        <v>0.84722616422505082</v>
      </c>
      <c r="BD31" s="169">
        <f t="shared" si="51"/>
        <v>0.82672532366875529</v>
      </c>
      <c r="BE31" s="169">
        <f t="shared" si="51"/>
        <v>0.80502368840468963</v>
      </c>
      <c r="BF31" s="169">
        <f t="shared" si="51"/>
        <v>0.78209942580180336</v>
      </c>
      <c r="BG31" s="169">
        <f t="shared" si="51"/>
        <v>0.75790887059799572</v>
      </c>
      <c r="BH31" s="170">
        <f t="shared" si="51"/>
        <v>0.73239744121564088</v>
      </c>
      <c r="BV31">
        <f t="shared" si="43"/>
        <v>75</v>
      </c>
      <c r="BW31">
        <f t="shared" si="38"/>
        <v>80296</v>
      </c>
      <c r="BX31" s="150">
        <f t="shared" si="44"/>
        <v>0.9210052418476079</v>
      </c>
      <c r="BY31" s="148">
        <f t="shared" si="45"/>
        <v>8366.4024850882943</v>
      </c>
      <c r="CC31" s="522">
        <v>48</v>
      </c>
      <c r="CD31" s="520">
        <f t="shared" si="30"/>
        <v>234.1836100876493</v>
      </c>
      <c r="CE31" s="520">
        <f t="shared" si="30"/>
        <v>240.59474905306473</v>
      </c>
      <c r="CF31" s="520">
        <f t="shared" si="30"/>
        <v>247.18065997222641</v>
      </c>
      <c r="CG31" s="520">
        <f t="shared" si="30"/>
        <v>253.94608120733812</v>
      </c>
      <c r="CH31" s="520">
        <f t="shared" si="30"/>
        <v>260.89587857172444</v>
      </c>
      <c r="CI31" s="520">
        <f t="shared" si="30"/>
        <v>268.03504871981346</v>
      </c>
      <c r="CJ31" s="520">
        <f t="shared" si="30"/>
        <v>275.36872262580255</v>
      </c>
      <c r="CK31" s="520">
        <f t="shared" si="30"/>
        <v>282.90216915356353</v>
      </c>
      <c r="CL31" s="520">
        <f t="shared" si="30"/>
        <v>290.64079871988076</v>
      </c>
      <c r="CM31" s="520">
        <f t="shared" si="30"/>
        <v>298.59016705364985</v>
      </c>
      <c r="CN31" s="520">
        <f t="shared" si="31"/>
        <v>306.75597905328431</v>
      </c>
      <c r="CO31" s="520">
        <f t="shared" si="31"/>
        <v>315.1440927450617</v>
      </c>
      <c r="CP31" s="520">
        <f t="shared" si="31"/>
        <v>323.76052334478192</v>
      </c>
      <c r="CQ31" s="520">
        <f t="shared" si="31"/>
        <v>332.6114474256056</v>
      </c>
      <c r="CR31" s="520">
        <f t="shared" si="31"/>
        <v>341.70320719457396</v>
      </c>
      <c r="CS31" s="520">
        <f t="shared" si="31"/>
        <v>351.04231488080205</v>
      </c>
      <c r="CT31" s="520">
        <f t="shared" si="31"/>
        <v>360.63545723800564</v>
      </c>
      <c r="CU31" s="520">
        <f t="shared" si="31"/>
        <v>370.48950016447037</v>
      </c>
      <c r="CV31" s="520">
        <f t="shared" si="31"/>
        <v>380.61149344328237</v>
      </c>
      <c r="CW31" s="524">
        <f t="shared" si="31"/>
        <v>391.00867560608083</v>
      </c>
      <c r="CX31" s="536"/>
    </row>
    <row r="32" spans="1:102" ht="14.25">
      <c r="A32" s="162">
        <v>19</v>
      </c>
      <c r="B32" s="2193">
        <v>99410</v>
      </c>
      <c r="C32" s="178">
        <v>59.6</v>
      </c>
      <c r="D32" s="162">
        <v>69</v>
      </c>
      <c r="E32" s="2193">
        <f t="shared" si="10"/>
        <v>79384</v>
      </c>
      <c r="F32" s="178">
        <f t="shared" si="10"/>
        <v>14.68</v>
      </c>
      <c r="G32" s="151"/>
      <c r="H32" s="162">
        <v>19</v>
      </c>
      <c r="I32" s="2193">
        <v>99509</v>
      </c>
      <c r="J32" s="178">
        <v>64.38</v>
      </c>
      <c r="K32" s="162">
        <v>69</v>
      </c>
      <c r="L32" s="2193">
        <f t="shared" si="11"/>
        <v>88257</v>
      </c>
      <c r="M32" s="178">
        <f t="shared" si="11"/>
        <v>17.510000000000002</v>
      </c>
      <c r="O32" s="2193">
        <f t="shared" si="6"/>
        <v>99459.5</v>
      </c>
      <c r="P32" s="178">
        <f t="shared" si="7"/>
        <v>61.989999999999995</v>
      </c>
      <c r="S32" s="185" t="s">
        <v>250</v>
      </c>
      <c r="T32" s="2987">
        <f>-PV(St_Zins,T28,St_Forderung,,1)</f>
        <v>215804.57559229282</v>
      </c>
      <c r="U32" s="2988"/>
      <c r="W32" s="2967"/>
      <c r="X32" s="29">
        <v>60</v>
      </c>
      <c r="Y32" s="177">
        <f t="shared" si="2"/>
        <v>0.95927079961152473</v>
      </c>
      <c r="Z32" s="177">
        <f t="shared" si="8"/>
        <v>0.9599603146481468</v>
      </c>
      <c r="AA32" s="177">
        <f t="shared" si="12"/>
        <v>0.96070921985815605</v>
      </c>
      <c r="AB32" s="177">
        <f t="shared" si="14"/>
        <v>0.96152754116978989</v>
      </c>
      <c r="AC32" s="177">
        <f t="shared" si="16"/>
        <v>0.96241563055062163</v>
      </c>
      <c r="AD32" s="177">
        <f t="shared" si="18"/>
        <v>0.96340323498333735</v>
      </c>
      <c r="AE32" s="177">
        <f t="shared" si="20"/>
        <v>0.96449096253801636</v>
      </c>
      <c r="AF32" s="177">
        <f t="shared" si="22"/>
        <v>0.96567948509043511</v>
      </c>
      <c r="AG32" s="177">
        <f t="shared" si="24"/>
        <v>0.96699912296803936</v>
      </c>
      <c r="AH32" s="177">
        <f t="shared" si="26"/>
        <v>0.96845094013951449</v>
      </c>
      <c r="AI32" s="177">
        <f t="shared" si="28"/>
        <v>0.97006588370094526</v>
      </c>
      <c r="AJ32" s="177">
        <f t="shared" si="32"/>
        <v>0.97185552640209905</v>
      </c>
      <c r="AK32" s="177">
        <f t="shared" si="34"/>
        <v>0.97384177715700071</v>
      </c>
      <c r="AL32" s="177">
        <f t="shared" si="36"/>
        <v>0.97604710290378693</v>
      </c>
      <c r="AM32" s="177">
        <f t="shared" si="39"/>
        <v>0.978494623655914</v>
      </c>
      <c r="AN32" s="177">
        <f t="shared" si="41"/>
        <v>0.98120822036879907</v>
      </c>
      <c r="AO32" s="177">
        <f t="shared" si="46"/>
        <v>0.98422287268273445</v>
      </c>
      <c r="AP32" s="177">
        <f t="shared" si="48"/>
        <v>0.98755428726163075</v>
      </c>
      <c r="AQ32" s="177">
        <f t="shared" si="50"/>
        <v>0.99127089496848109</v>
      </c>
      <c r="AR32" s="177">
        <f t="shared" ref="AR32:AR47" si="52">VLOOKUP($X32,Sterbetafel,9)/VLOOKUP(AR$11,Sterbetafel,9)</f>
        <v>0.99539160831819951</v>
      </c>
      <c r="AS32" s="168"/>
      <c r="AT32" s="169">
        <f t="shared" ref="AT32:BH32" si="53">VLOOKUP(AT$11,Sterbetafel,2)/VLOOKUP($X32,Sterbetafel,2)</f>
        <v>0.99026485325697922</v>
      </c>
      <c r="AU32" s="169">
        <f t="shared" si="53"/>
        <v>0.97956059688343156</v>
      </c>
      <c r="AV32" s="169">
        <f t="shared" si="53"/>
        <v>0.96782115522273005</v>
      </c>
      <c r="AW32" s="169">
        <f t="shared" si="53"/>
        <v>0.95500247783712355</v>
      </c>
      <c r="AX32" s="169">
        <f t="shared" si="53"/>
        <v>0.94108253950773635</v>
      </c>
      <c r="AY32" s="169">
        <f t="shared" si="53"/>
        <v>0.92603931501569292</v>
      </c>
      <c r="AZ32" s="169">
        <f t="shared" si="53"/>
        <v>0.909894829579869</v>
      </c>
      <c r="BA32" s="169">
        <f t="shared" si="53"/>
        <v>0.89261604537195094</v>
      </c>
      <c r="BB32" s="169">
        <f t="shared" si="53"/>
        <v>0.87422498761081435</v>
      </c>
      <c r="BC32" s="169">
        <f t="shared" si="53"/>
        <v>0.85469963107758384</v>
      </c>
      <c r="BD32" s="169">
        <f t="shared" si="53"/>
        <v>0.83401795055338357</v>
      </c>
      <c r="BE32" s="169">
        <f t="shared" si="53"/>
        <v>0.8121248829910247</v>
      </c>
      <c r="BF32" s="169">
        <f t="shared" si="53"/>
        <v>0.7889984031716315</v>
      </c>
      <c r="BG32" s="169">
        <f t="shared" si="53"/>
        <v>0.76459446065745273</v>
      </c>
      <c r="BH32" s="170">
        <f t="shared" si="53"/>
        <v>0.73885799240129946</v>
      </c>
      <c r="BV32">
        <f t="shared" si="43"/>
        <v>76</v>
      </c>
      <c r="BW32">
        <f t="shared" si="38"/>
        <v>78532</v>
      </c>
      <c r="BX32" s="150">
        <f t="shared" si="44"/>
        <v>0.90077193948361489</v>
      </c>
      <c r="BY32" s="148">
        <f t="shared" si="45"/>
        <v>7695.0404611053864</v>
      </c>
      <c r="CC32" s="522">
        <v>49</v>
      </c>
      <c r="CD32" s="521">
        <f t="shared" si="30"/>
        <v>233.01851750014856</v>
      </c>
      <c r="CE32" s="521">
        <f t="shared" si="30"/>
        <v>239.15979031119753</v>
      </c>
      <c r="CF32" s="521">
        <f t="shared" si="30"/>
        <v>245.46242301114842</v>
      </c>
      <c r="CG32" s="521">
        <f t="shared" si="30"/>
        <v>251.93063611839102</v>
      </c>
      <c r="CH32" s="521">
        <f t="shared" si="30"/>
        <v>258.56875973411746</v>
      </c>
      <c r="CI32" s="521">
        <f t="shared" si="30"/>
        <v>265.38123635625095</v>
      </c>
      <c r="CJ32" s="521">
        <f t="shared" si="30"/>
        <v>272.37262376439423</v>
      </c>
      <c r="CK32" s="521">
        <f t="shared" si="30"/>
        <v>279.54759797782958</v>
      </c>
      <c r="CL32" s="521">
        <f t="shared" si="30"/>
        <v>286.91095628813503</v>
      </c>
      <c r="CM32" s="521">
        <f t="shared" si="30"/>
        <v>294.46762036849094</v>
      </c>
      <c r="CN32" s="521">
        <f t="shared" si="31"/>
        <v>302.22263946136388</v>
      </c>
      <c r="CO32" s="521">
        <f t="shared" si="31"/>
        <v>310.18119364671429</v>
      </c>
      <c r="CP32" s="521">
        <f t="shared" si="31"/>
        <v>318.34859719250932</v>
      </c>
      <c r="CQ32" s="521">
        <f t="shared" si="31"/>
        <v>326.73030198978938</v>
      </c>
      <c r="CR32" s="521">
        <f t="shared" si="31"/>
        <v>335.33190107416476</v>
      </c>
      <c r="CS32" s="521">
        <f t="shared" si="31"/>
        <v>344.15913223608044</v>
      </c>
      <c r="CT32" s="521">
        <f t="shared" si="31"/>
        <v>353.21788172184688</v>
      </c>
      <c r="CU32" s="521">
        <f t="shared" si="31"/>
        <v>362.51418802785747</v>
      </c>
      <c r="CV32" s="521">
        <f t="shared" si="31"/>
        <v>372.05424579010992</v>
      </c>
      <c r="CW32" s="525">
        <f t="shared" si="31"/>
        <v>381.84440977156328</v>
      </c>
      <c r="CX32" s="536"/>
    </row>
    <row r="33" spans="1:102" ht="14.25">
      <c r="A33" s="171">
        <v>20</v>
      </c>
      <c r="B33" s="2192">
        <v>99368</v>
      </c>
      <c r="C33" s="172">
        <v>58.63</v>
      </c>
      <c r="D33" s="171">
        <v>70</v>
      </c>
      <c r="E33" s="2192">
        <f t="shared" si="10"/>
        <v>77611</v>
      </c>
      <c r="F33" s="172">
        <f t="shared" si="10"/>
        <v>14.01</v>
      </c>
      <c r="G33" s="151"/>
      <c r="H33" s="171">
        <v>20</v>
      </c>
      <c r="I33" s="2192">
        <v>99489</v>
      </c>
      <c r="J33" s="172">
        <v>63.4</v>
      </c>
      <c r="K33" s="171">
        <v>70</v>
      </c>
      <c r="L33" s="2192">
        <f t="shared" si="11"/>
        <v>87183</v>
      </c>
      <c r="M33" s="172">
        <f t="shared" si="11"/>
        <v>16.72</v>
      </c>
      <c r="O33" s="2192">
        <f t="shared" si="6"/>
        <v>99428.5</v>
      </c>
      <c r="P33" s="172">
        <f t="shared" si="7"/>
        <v>61.015000000000001</v>
      </c>
      <c r="S33" s="2993" t="s">
        <v>251</v>
      </c>
      <c r="T33" s="2989">
        <f>+BY25</f>
        <v>119127.74559733819</v>
      </c>
      <c r="U33" s="2990"/>
      <c r="W33" s="2967"/>
      <c r="X33" s="29">
        <v>61</v>
      </c>
      <c r="Y33" s="177">
        <f t="shared" si="2"/>
        <v>0.95435415992230499</v>
      </c>
      <c r="Z33" s="177">
        <f t="shared" si="8"/>
        <v>0.95504014092349432</v>
      </c>
      <c r="AA33" s="177">
        <f t="shared" si="12"/>
        <v>0.95578520770010134</v>
      </c>
      <c r="AB33" s="177">
        <f t="shared" si="14"/>
        <v>0.95659933479354264</v>
      </c>
      <c r="AC33" s="177">
        <f t="shared" si="16"/>
        <v>0.95748287236741947</v>
      </c>
      <c r="AD33" s="177">
        <f t="shared" si="18"/>
        <v>0.9584654149394457</v>
      </c>
      <c r="AE33" s="177">
        <f t="shared" si="20"/>
        <v>0.95954756746310255</v>
      </c>
      <c r="AF33" s="177">
        <f t="shared" si="22"/>
        <v>0.96072999837053941</v>
      </c>
      <c r="AG33" s="177">
        <f t="shared" si="24"/>
        <v>0.96204287258561261</v>
      </c>
      <c r="AH33" s="177">
        <f t="shared" si="26"/>
        <v>0.96348724862375013</v>
      </c>
      <c r="AI33" s="177">
        <f t="shared" si="28"/>
        <v>0.96509391496501207</v>
      </c>
      <c r="AJ33" s="177">
        <f t="shared" si="32"/>
        <v>0.96687438504427681</v>
      </c>
      <c r="AK33" s="177">
        <f t="shared" si="34"/>
        <v>0.96885045548377824</v>
      </c>
      <c r="AL33" s="177">
        <f t="shared" si="36"/>
        <v>0.97104447806976912</v>
      </c>
      <c r="AM33" s="177">
        <f t="shared" si="39"/>
        <v>0.97347945431655414</v>
      </c>
      <c r="AN33" s="177">
        <f t="shared" si="41"/>
        <v>0.97617914278027274</v>
      </c>
      <c r="AO33" s="177">
        <f t="shared" si="46"/>
        <v>0.97917834381681923</v>
      </c>
      <c r="AP33" s="177">
        <f t="shared" si="48"/>
        <v>0.98249268358728137</v>
      </c>
      <c r="AQ33" s="177">
        <f t="shared" si="50"/>
        <v>0.98619024221959706</v>
      </c>
      <c r="AR33" s="177">
        <f t="shared" si="52"/>
        <v>0.99028983529461168</v>
      </c>
      <c r="AS33" s="177">
        <f t="shared" ref="AS33:AS47" si="54">VLOOKUP($X33,Sterbetafel,9)/VLOOKUP(AS$11,Sterbetafel,9)</f>
        <v>0.99487460715867626</v>
      </c>
      <c r="AT33" s="168"/>
      <c r="AU33" s="169">
        <f t="shared" ref="AU33:BH33" si="55">VLOOKUP(AU$11,Sterbetafel,2)/VLOOKUP($X33,Sterbetafel,2)</f>
        <v>0.98919051167135597</v>
      </c>
      <c r="AV33" s="169">
        <f t="shared" si="55"/>
        <v>0.977335661302699</v>
      </c>
      <c r="AW33" s="169">
        <f t="shared" si="55"/>
        <v>0.96439096540296487</v>
      </c>
      <c r="AX33" s="169">
        <f t="shared" si="55"/>
        <v>0.95033418222662114</v>
      </c>
      <c r="AY33" s="169">
        <f t="shared" si="55"/>
        <v>0.93514307002813579</v>
      </c>
      <c r="AZ33" s="169">
        <f t="shared" si="55"/>
        <v>0.91883987055304095</v>
      </c>
      <c r="BA33" s="169">
        <f t="shared" si="55"/>
        <v>0.90139122118303849</v>
      </c>
      <c r="BB33" s="169">
        <f t="shared" si="55"/>
        <v>0.88281936366366032</v>
      </c>
      <c r="BC33" s="169">
        <f t="shared" si="55"/>
        <v>0.86310205624937442</v>
      </c>
      <c r="BD33" s="169">
        <f t="shared" si="55"/>
        <v>0.84221705719464868</v>
      </c>
      <c r="BE33" s="169">
        <f t="shared" si="55"/>
        <v>0.82010876213565242</v>
      </c>
      <c r="BF33" s="169">
        <f t="shared" si="55"/>
        <v>0.79675492932685354</v>
      </c>
      <c r="BG33" s="169">
        <f t="shared" si="55"/>
        <v>0.77211107527718781</v>
      </c>
      <c r="BH33" s="170">
        <f t="shared" si="55"/>
        <v>0.74612159562282443</v>
      </c>
      <c r="BV33">
        <f t="shared" si="43"/>
        <v>77</v>
      </c>
      <c r="BW33">
        <f t="shared" si="38"/>
        <v>76614</v>
      </c>
      <c r="BX33" s="150">
        <f t="shared" si="44"/>
        <v>0.87877223770689239</v>
      </c>
      <c r="BY33" s="148">
        <f t="shared" si="45"/>
        <v>7042.073073540193</v>
      </c>
      <c r="CC33" s="522">
        <v>50</v>
      </c>
      <c r="CD33" s="520">
        <f t="shared" ref="CD33:CM42" si="56">(((1+CD$12)^$CA$15-1)/CD$12)*$CA$18*(1+CD$12)^($CH$11-$CC33)*12</f>
        <v>231.85922139318274</v>
      </c>
      <c r="CE33" s="520">
        <f t="shared" si="56"/>
        <v>237.73338997136926</v>
      </c>
      <c r="CF33" s="520">
        <f t="shared" si="56"/>
        <v>243.75613010044535</v>
      </c>
      <c r="CG33" s="520">
        <f t="shared" si="56"/>
        <v>249.93118662538785</v>
      </c>
      <c r="CH33" s="520">
        <f t="shared" si="56"/>
        <v>256.26239815076065</v>
      </c>
      <c r="CI33" s="520">
        <f t="shared" si="56"/>
        <v>262.75369936262473</v>
      </c>
      <c r="CJ33" s="520">
        <f t="shared" si="56"/>
        <v>269.40912340691818</v>
      </c>
      <c r="CK33" s="520">
        <f t="shared" si="56"/>
        <v>276.23280432591855</v>
      </c>
      <c r="CL33" s="520">
        <f t="shared" si="56"/>
        <v>283.22897955393393</v>
      </c>
      <c r="CM33" s="520">
        <f t="shared" si="56"/>
        <v>290.40199247385692</v>
      </c>
      <c r="CN33" s="520">
        <f t="shared" ref="CN33:CW42" si="57">(((1+CN$12)^$CA$15-1)/CN$12)*$CA$18*(1+CN$12)^($CH$11-$CC33)*12</f>
        <v>297.7562950358265</v>
      </c>
      <c r="CO33" s="520">
        <f t="shared" si="57"/>
        <v>305.2964504396794</v>
      </c>
      <c r="CP33" s="520">
        <f t="shared" si="57"/>
        <v>313.02713588250674</v>
      </c>
      <c r="CQ33" s="520">
        <f t="shared" si="57"/>
        <v>320.95314537307411</v>
      </c>
      <c r="CR33" s="520">
        <f t="shared" si="57"/>
        <v>329.07939261448956</v>
      </c>
      <c r="CS33" s="520">
        <f t="shared" si="57"/>
        <v>337.41091395694167</v>
      </c>
      <c r="CT33" s="520">
        <f t="shared" si="57"/>
        <v>345.95287142198526</v>
      </c>
      <c r="CU33" s="520">
        <f t="shared" si="57"/>
        <v>354.71055580025194</v>
      </c>
      <c r="CV33" s="520">
        <f t="shared" si="57"/>
        <v>363.68938982415438</v>
      </c>
      <c r="CW33" s="524">
        <f t="shared" si="57"/>
        <v>372.8949314175423</v>
      </c>
      <c r="CX33" s="536"/>
    </row>
    <row r="34" spans="1:102" ht="14.25">
      <c r="A34" s="162">
        <v>21</v>
      </c>
      <c r="B34" s="2193">
        <v>99322</v>
      </c>
      <c r="C34" s="178">
        <v>57.65</v>
      </c>
      <c r="D34" s="162">
        <v>71</v>
      </c>
      <c r="E34" s="2193">
        <f t="shared" si="10"/>
        <v>75733</v>
      </c>
      <c r="F34" s="178">
        <f t="shared" si="10"/>
        <v>13.34</v>
      </c>
      <c r="G34" s="151"/>
      <c r="H34" s="162">
        <v>21</v>
      </c>
      <c r="I34" s="2193">
        <v>99468</v>
      </c>
      <c r="J34" s="178">
        <v>62.41</v>
      </c>
      <c r="K34" s="162">
        <v>71</v>
      </c>
      <c r="L34" s="2193">
        <f t="shared" si="11"/>
        <v>86024</v>
      </c>
      <c r="M34" s="178">
        <f t="shared" si="11"/>
        <v>15.94</v>
      </c>
      <c r="O34" s="2193">
        <f t="shared" si="6"/>
        <v>99395</v>
      </c>
      <c r="P34" s="178">
        <f t="shared" si="7"/>
        <v>60.03</v>
      </c>
      <c r="S34" s="2994"/>
      <c r="T34" s="2991"/>
      <c r="U34" s="2992"/>
      <c r="W34" s="2967"/>
      <c r="X34" s="29">
        <v>62</v>
      </c>
      <c r="Y34" s="177">
        <f t="shared" si="2"/>
        <v>0.9489013434768534</v>
      </c>
      <c r="Z34" s="177">
        <f t="shared" si="8"/>
        <v>0.94958340504368421</v>
      </c>
      <c r="AA34" s="177">
        <f t="shared" si="12"/>
        <v>0.95032421479229989</v>
      </c>
      <c r="AB34" s="177">
        <f t="shared" si="14"/>
        <v>0.95113369027338368</v>
      </c>
      <c r="AC34" s="177">
        <f t="shared" si="16"/>
        <v>0.95201217964983509</v>
      </c>
      <c r="AD34" s="177">
        <f t="shared" si="18"/>
        <v>0.95298910834755746</v>
      </c>
      <c r="AE34" s="177">
        <f t="shared" si="20"/>
        <v>0.95406507786355821</v>
      </c>
      <c r="AF34" s="177">
        <f t="shared" si="22"/>
        <v>0.95524075281081966</v>
      </c>
      <c r="AG34" s="177">
        <f t="shared" si="24"/>
        <v>0.95654612576230391</v>
      </c>
      <c r="AH34" s="177">
        <f t="shared" si="26"/>
        <v>0.9579822491854848</v>
      </c>
      <c r="AI34" s="177">
        <f t="shared" si="28"/>
        <v>0.95957973564676513</v>
      </c>
      <c r="AJ34" s="177">
        <f t="shared" si="32"/>
        <v>0.96135003279763853</v>
      </c>
      <c r="AK34" s="177">
        <f t="shared" si="34"/>
        <v>0.96331481272273511</v>
      </c>
      <c r="AL34" s="177">
        <f t="shared" si="36"/>
        <v>0.96549629949870819</v>
      </c>
      <c r="AM34" s="177">
        <f t="shared" si="39"/>
        <v>0.96791736321796384</v>
      </c>
      <c r="AN34" s="177">
        <f t="shared" si="41"/>
        <v>0.97060162668929406</v>
      </c>
      <c r="AO34" s="177">
        <f t="shared" si="46"/>
        <v>0.9735836914326047</v>
      </c>
      <c r="AP34" s="177">
        <f t="shared" si="48"/>
        <v>0.97687909432704623</v>
      </c>
      <c r="AQ34" s="177">
        <f t="shared" si="50"/>
        <v>0.9805555265166167</v>
      </c>
      <c r="AR34" s="177">
        <f t="shared" si="52"/>
        <v>0.98463169607709344</v>
      </c>
      <c r="AS34" s="177">
        <f t="shared" si="54"/>
        <v>0.98919027229967726</v>
      </c>
      <c r="AT34" s="177">
        <f t="shared" ref="AT34:AT47" si="58">VLOOKUP($X34,Sterbetafel,9)/VLOOKUP(AT$11,Sterbetafel,9)</f>
        <v>0.99428638059701491</v>
      </c>
      <c r="AU34" s="168"/>
      <c r="AV34" s="169">
        <f t="shared" ref="AV34:BH34" si="59">VLOOKUP(AV$11,Sterbetafel,2)/VLOOKUP($X34,Sterbetafel,2)</f>
        <v>0.98801560444749237</v>
      </c>
      <c r="AW34" s="169">
        <f t="shared" si="59"/>
        <v>0.97492945395676178</v>
      </c>
      <c r="AX34" s="169">
        <f t="shared" si="59"/>
        <v>0.96071906373315041</v>
      </c>
      <c r="AY34" s="169">
        <f t="shared" si="59"/>
        <v>0.94536194898200088</v>
      </c>
      <c r="AZ34" s="169">
        <f t="shared" si="59"/>
        <v>0.92888059449797078</v>
      </c>
      <c r="BA34" s="169">
        <f t="shared" si="59"/>
        <v>0.91124127308907354</v>
      </c>
      <c r="BB34" s="169">
        <f t="shared" si="59"/>
        <v>0.89246646954996689</v>
      </c>
      <c r="BC34" s="169">
        <f t="shared" si="59"/>
        <v>0.8725336990859931</v>
      </c>
      <c r="BD34" s="169">
        <f t="shared" si="59"/>
        <v>0.85142047690249467</v>
      </c>
      <c r="BE34" s="169">
        <f t="shared" si="59"/>
        <v>0.82907059101282754</v>
      </c>
      <c r="BF34" s="169">
        <f t="shared" si="59"/>
        <v>0.8054615566223341</v>
      </c>
      <c r="BG34" s="169">
        <f t="shared" si="59"/>
        <v>0.78054840414169913</v>
      </c>
      <c r="BH34" s="170">
        <f t="shared" si="59"/>
        <v>0.75427492158427867</v>
      </c>
      <c r="BV34">
        <f t="shared" si="43"/>
        <v>78</v>
      </c>
      <c r="BW34">
        <f t="shared" si="38"/>
        <v>74537</v>
      </c>
      <c r="BX34" s="150">
        <f t="shared" si="44"/>
        <v>0.85494878588715695</v>
      </c>
      <c r="BY34" s="148">
        <f t="shared" si="45"/>
        <v>6409.065816066538</v>
      </c>
      <c r="CC34" s="522">
        <v>51</v>
      </c>
      <c r="CD34" s="521">
        <f t="shared" si="56"/>
        <v>230.70569292854003</v>
      </c>
      <c r="CE34" s="521">
        <f t="shared" si="56"/>
        <v>236.31549698943272</v>
      </c>
      <c r="CF34" s="521">
        <f t="shared" si="56"/>
        <v>242.0616982129547</v>
      </c>
      <c r="CG34" s="521">
        <f t="shared" si="56"/>
        <v>247.94760577915463</v>
      </c>
      <c r="CH34" s="521">
        <f t="shared" si="56"/>
        <v>253.97660867270628</v>
      </c>
      <c r="CI34" s="521">
        <f t="shared" si="56"/>
        <v>260.15217758675715</v>
      </c>
      <c r="CJ34" s="521">
        <f t="shared" si="56"/>
        <v>266.4778668713335</v>
      </c>
      <c r="CK34" s="521">
        <f t="shared" si="56"/>
        <v>272.95731652758752</v>
      </c>
      <c r="CL34" s="521">
        <f t="shared" si="56"/>
        <v>279.59425424870079</v>
      </c>
      <c r="CM34" s="521">
        <f t="shared" si="56"/>
        <v>286.39249750873461</v>
      </c>
      <c r="CN34" s="521">
        <f t="shared" si="57"/>
        <v>293.35595570032172</v>
      </c>
      <c r="CO34" s="521">
        <f t="shared" si="57"/>
        <v>300.48863232251909</v>
      </c>
      <c r="CP34" s="521">
        <f t="shared" si="57"/>
        <v>307.79462721977069</v>
      </c>
      <c r="CQ34" s="521">
        <f t="shared" si="57"/>
        <v>315.27813887335373</v>
      </c>
      <c r="CR34" s="521">
        <f t="shared" si="57"/>
        <v>322.9434667463097</v>
      </c>
      <c r="CS34" s="521">
        <f t="shared" si="57"/>
        <v>330.79501368327607</v>
      </c>
      <c r="CT34" s="521">
        <f t="shared" si="57"/>
        <v>338.83728836629314</v>
      </c>
      <c r="CU34" s="521">
        <f t="shared" si="57"/>
        <v>347.07490782803518</v>
      </c>
      <c r="CV34" s="521">
        <f t="shared" si="57"/>
        <v>355.51260002361136</v>
      </c>
      <c r="CW34" s="525">
        <f t="shared" si="57"/>
        <v>364.15520646244363</v>
      </c>
      <c r="CX34" s="536"/>
    </row>
    <row r="35" spans="1:102" ht="14.25">
      <c r="A35" s="171">
        <v>22</v>
      </c>
      <c r="B35" s="2192">
        <v>99275</v>
      </c>
      <c r="C35" s="172">
        <v>56.68</v>
      </c>
      <c r="D35" s="171">
        <v>72</v>
      </c>
      <c r="E35" s="2192">
        <f t="shared" si="10"/>
        <v>73745</v>
      </c>
      <c r="F35" s="172">
        <f t="shared" si="10"/>
        <v>12.69</v>
      </c>
      <c r="G35" s="151"/>
      <c r="H35" s="171">
        <v>22</v>
      </c>
      <c r="I35" s="2192">
        <v>99449</v>
      </c>
      <c r="J35" s="172">
        <v>61.42</v>
      </c>
      <c r="K35" s="171">
        <v>72</v>
      </c>
      <c r="L35" s="2192">
        <f t="shared" si="11"/>
        <v>84768</v>
      </c>
      <c r="M35" s="172">
        <f t="shared" si="11"/>
        <v>15.17</v>
      </c>
      <c r="O35" s="2192">
        <f t="shared" si="6"/>
        <v>99362</v>
      </c>
      <c r="P35" s="172">
        <f t="shared" si="7"/>
        <v>59.05</v>
      </c>
      <c r="W35" s="2967"/>
      <c r="X35" s="29">
        <v>63</v>
      </c>
      <c r="Y35" s="177">
        <f t="shared" si="2"/>
        <v>0.94287188410488831</v>
      </c>
      <c r="Z35" s="177">
        <f t="shared" si="8"/>
        <v>0.94354961175172358</v>
      </c>
      <c r="AA35" s="177">
        <f t="shared" si="12"/>
        <v>0.94428571428571428</v>
      </c>
      <c r="AB35" s="177">
        <f t="shared" si="14"/>
        <v>0.94509004623996107</v>
      </c>
      <c r="AC35" s="177">
        <f t="shared" si="16"/>
        <v>0.94596295356508497</v>
      </c>
      <c r="AD35" s="177">
        <f t="shared" si="18"/>
        <v>0.94693367471348455</v>
      </c>
      <c r="AE35" s="177">
        <f t="shared" si="20"/>
        <v>0.94800280736016596</v>
      </c>
      <c r="AF35" s="177">
        <f t="shared" si="22"/>
        <v>0.9491710118950627</v>
      </c>
      <c r="AG35" s="177">
        <f t="shared" si="24"/>
        <v>0.9504680903138959</v>
      </c>
      <c r="AH35" s="177">
        <f t="shared" si="26"/>
        <v>0.95189508839660508</v>
      </c>
      <c r="AI35" s="177">
        <f t="shared" si="28"/>
        <v>0.95348242419282236</v>
      </c>
      <c r="AJ35" s="177">
        <f t="shared" si="32"/>
        <v>0.95524147261397174</v>
      </c>
      <c r="AK35" s="177">
        <f t="shared" si="34"/>
        <v>0.95719376803705492</v>
      </c>
      <c r="AL35" s="177">
        <f t="shared" si="36"/>
        <v>0.95936139332365744</v>
      </c>
      <c r="AM35" s="177">
        <f t="shared" si="39"/>
        <v>0.96176707324623867</v>
      </c>
      <c r="AN35" s="177">
        <f t="shared" si="41"/>
        <v>0.96443428051077218</v>
      </c>
      <c r="AO35" s="177">
        <f t="shared" si="46"/>
        <v>0.96739739677399261</v>
      </c>
      <c r="AP35" s="177">
        <f t="shared" si="48"/>
        <v>0.97067186019142448</v>
      </c>
      <c r="AQ35" s="177">
        <f t="shared" si="50"/>
        <v>0.97432493178753254</v>
      </c>
      <c r="AR35" s="177">
        <f t="shared" si="52"/>
        <v>0.97837520076421625</v>
      </c>
      <c r="AS35" s="177">
        <f t="shared" si="54"/>
        <v>0.98290481111978234</v>
      </c>
      <c r="AT35" s="177">
        <f t="shared" si="58"/>
        <v>0.98796853799185891</v>
      </c>
      <c r="AU35" s="177">
        <f t="shared" ref="AU35:AU47" si="60">VLOOKUP($X35,Sterbetafel,9)/VLOOKUP(AU$11,Sterbetafel,9)</f>
        <v>0.99364585221275736</v>
      </c>
      <c r="AV35" s="168"/>
      <c r="AW35" s="169">
        <f t="shared" ref="AW35:BH35" si="61">VLOOKUP(AW$11,Sterbetafel,2)/VLOOKUP($X35,Sterbetafel,2)</f>
        <v>0.98675511759953571</v>
      </c>
      <c r="AX35" s="169">
        <f t="shared" si="61"/>
        <v>0.97237235870418626</v>
      </c>
      <c r="AY35" s="169">
        <f t="shared" si="61"/>
        <v>0.95682896578405385</v>
      </c>
      <c r="AZ35" s="169">
        <f t="shared" si="61"/>
        <v>0.94014769636903606</v>
      </c>
      <c r="BA35" s="169">
        <f t="shared" si="61"/>
        <v>0.92229441416428659</v>
      </c>
      <c r="BB35" s="169">
        <f t="shared" si="61"/>
        <v>0.90329187669970301</v>
      </c>
      <c r="BC35" s="169">
        <f t="shared" si="61"/>
        <v>0.88311732644538765</v>
      </c>
      <c r="BD35" s="169">
        <f t="shared" si="61"/>
        <v>0.86174800587144273</v>
      </c>
      <c r="BE35" s="169">
        <f t="shared" si="61"/>
        <v>0.83912702115312399</v>
      </c>
      <c r="BF35" s="169">
        <f t="shared" si="61"/>
        <v>0.81523161476053385</v>
      </c>
      <c r="BG35" s="169">
        <f t="shared" si="61"/>
        <v>0.79001627163387689</v>
      </c>
      <c r="BH35" s="170">
        <f t="shared" si="61"/>
        <v>0.76342409794840871</v>
      </c>
      <c r="BV35">
        <f t="shared" si="43"/>
        <v>79</v>
      </c>
      <c r="BW35">
        <f t="shared" si="38"/>
        <v>72292</v>
      </c>
      <c r="BX35" s="150">
        <f t="shared" si="44"/>
        <v>0.82919835288989829</v>
      </c>
      <c r="BY35" s="148">
        <f t="shared" si="45"/>
        <v>5796.9299693976855</v>
      </c>
      <c r="CC35" s="522">
        <v>52</v>
      </c>
      <c r="CD35" s="520">
        <f t="shared" si="56"/>
        <v>229.55790341148264</v>
      </c>
      <c r="CE35" s="520">
        <f t="shared" si="56"/>
        <v>234.90606062567861</v>
      </c>
      <c r="CF35" s="520">
        <f t="shared" si="56"/>
        <v>240.37904489866403</v>
      </c>
      <c r="CG35" s="520">
        <f t="shared" si="56"/>
        <v>245.97976763805022</v>
      </c>
      <c r="CH35" s="520">
        <f t="shared" si="56"/>
        <v>251.7112078024839</v>
      </c>
      <c r="CI35" s="520">
        <f t="shared" si="56"/>
        <v>257.57641345223476</v>
      </c>
      <c r="CJ35" s="520">
        <f t="shared" si="56"/>
        <v>263.57850333465234</v>
      </c>
      <c r="CK35" s="520">
        <f t="shared" si="56"/>
        <v>269.7206685055213</v>
      </c>
      <c r="CL35" s="520">
        <f t="shared" si="56"/>
        <v>276.00617398687149</v>
      </c>
      <c r="CM35" s="520">
        <f t="shared" si="56"/>
        <v>282.43836046226289</v>
      </c>
      <c r="CN35" s="520">
        <f t="shared" si="57"/>
        <v>289.02064601016923</v>
      </c>
      <c r="CO35" s="520">
        <f t="shared" si="57"/>
        <v>295.75652787649517</v>
      </c>
      <c r="CP35" s="520">
        <f t="shared" si="57"/>
        <v>302.64958428689351</v>
      </c>
      <c r="CQ35" s="520">
        <f t="shared" si="57"/>
        <v>309.70347629995456</v>
      </c>
      <c r="CR35" s="520">
        <f t="shared" si="57"/>
        <v>316.92194970197221</v>
      </c>
      <c r="CS35" s="520">
        <f t="shared" si="57"/>
        <v>324.30883694438825</v>
      </c>
      <c r="CT35" s="520">
        <f t="shared" si="57"/>
        <v>331.86805912467491</v>
      </c>
      <c r="CU35" s="520">
        <f t="shared" si="57"/>
        <v>339.6036280117761</v>
      </c>
      <c r="CV35" s="520">
        <f t="shared" si="57"/>
        <v>347.51964811692216</v>
      </c>
      <c r="CW35" s="524">
        <f t="shared" si="57"/>
        <v>355.62031881098017</v>
      </c>
      <c r="CX35" s="536"/>
    </row>
    <row r="36" spans="1:102" ht="14.25">
      <c r="A36" s="162">
        <v>23</v>
      </c>
      <c r="B36" s="2193">
        <v>99228</v>
      </c>
      <c r="C36" s="178">
        <v>55.71</v>
      </c>
      <c r="D36" s="162">
        <v>73</v>
      </c>
      <c r="E36" s="2193">
        <f t="shared" si="10"/>
        <v>71645</v>
      </c>
      <c r="F36" s="178">
        <f t="shared" si="10"/>
        <v>12.05</v>
      </c>
      <c r="G36" s="151"/>
      <c r="H36" s="162">
        <v>23</v>
      </c>
      <c r="I36" s="2193">
        <v>99430</v>
      </c>
      <c r="J36" s="178">
        <v>60.43</v>
      </c>
      <c r="K36" s="162">
        <v>73</v>
      </c>
      <c r="L36" s="2193">
        <f t="shared" si="11"/>
        <v>83403</v>
      </c>
      <c r="M36" s="178">
        <f t="shared" si="11"/>
        <v>14.41</v>
      </c>
      <c r="O36" s="2193">
        <f t="shared" si="6"/>
        <v>99329</v>
      </c>
      <c r="P36" s="178">
        <f t="shared" si="7"/>
        <v>58.07</v>
      </c>
      <c r="W36" s="2967"/>
      <c r="X36" s="29">
        <v>64</v>
      </c>
      <c r="Y36" s="177">
        <f t="shared" si="2"/>
        <v>0.93621519909355777</v>
      </c>
      <c r="Z36" s="177">
        <f t="shared" si="8"/>
        <v>0.93688814197637105</v>
      </c>
      <c r="AA36" s="177">
        <f t="shared" si="12"/>
        <v>0.93761904761904757</v>
      </c>
      <c r="AB36" s="177">
        <f t="shared" si="14"/>
        <v>0.93841770098158517</v>
      </c>
      <c r="AC36" s="177">
        <f t="shared" si="16"/>
        <v>0.93928444557218982</v>
      </c>
      <c r="AD36" s="177">
        <f t="shared" si="18"/>
        <v>0.94024831341949122</v>
      </c>
      <c r="AE36" s="177">
        <f t="shared" si="20"/>
        <v>0.94130989797890408</v>
      </c>
      <c r="AF36" s="177">
        <f t="shared" si="22"/>
        <v>0.94246985497800229</v>
      </c>
      <c r="AG36" s="177">
        <f t="shared" si="24"/>
        <v>0.94375777601011646</v>
      </c>
      <c r="AH36" s="177">
        <f t="shared" si="26"/>
        <v>0.94517469947196942</v>
      </c>
      <c r="AI36" s="177">
        <f t="shared" si="28"/>
        <v>0.94675082866145599</v>
      </c>
      <c r="AJ36" s="177">
        <f t="shared" si="32"/>
        <v>0.94849745818301079</v>
      </c>
      <c r="AK36" s="177">
        <f t="shared" si="34"/>
        <v>0.9504359703807167</v>
      </c>
      <c r="AL36" s="177">
        <f t="shared" si="36"/>
        <v>0.95258829221093377</v>
      </c>
      <c r="AM36" s="177">
        <f t="shared" si="39"/>
        <v>0.95497698800899844</v>
      </c>
      <c r="AN36" s="177">
        <f t="shared" si="41"/>
        <v>0.95762536476334359</v>
      </c>
      <c r="AO36" s="177">
        <f t="shared" si="46"/>
        <v>0.96056756139586053</v>
      </c>
      <c r="AP36" s="177">
        <f t="shared" si="48"/>
        <v>0.9638189070685399</v>
      </c>
      <c r="AQ36" s="177">
        <f t="shared" si="50"/>
        <v>0.96744618794233561</v>
      </c>
      <c r="AR36" s="177">
        <f t="shared" si="52"/>
        <v>0.97146786197919399</v>
      </c>
      <c r="AS36" s="177">
        <f t="shared" si="54"/>
        <v>0.9759654932399654</v>
      </c>
      <c r="AT36" s="177">
        <f t="shared" si="58"/>
        <v>0.98099347014925375</v>
      </c>
      <c r="AU36" s="177">
        <f t="shared" si="60"/>
        <v>0.9866307024744928</v>
      </c>
      <c r="AV36" s="177">
        <f t="shared" ref="AV36:AV47" si="62">VLOOKUP($X36,Sterbetafel,9)/VLOOKUP(AV$11,Sterbetafel,9)</f>
        <v>0.99293998991427135</v>
      </c>
      <c r="AW36" s="168"/>
      <c r="AX36" s="169">
        <f t="shared" ref="AX36:BH36" si="63">VLOOKUP(AX$11,Sterbetafel,2)/VLOOKUP($X36,Sterbetafel,2)</f>
        <v>0.98542418616450833</v>
      </c>
      <c r="AY36" s="169">
        <f t="shared" si="63"/>
        <v>0.96967215950368435</v>
      </c>
      <c r="AZ36" s="169">
        <f t="shared" si="63"/>
        <v>0.95276698301410301</v>
      </c>
      <c r="BA36" s="169">
        <f t="shared" si="63"/>
        <v>0.93467406220090177</v>
      </c>
      <c r="BB36" s="169">
        <f t="shared" si="63"/>
        <v>0.91541646006065569</v>
      </c>
      <c r="BC36" s="169">
        <f t="shared" si="63"/>
        <v>0.8949711135967896</v>
      </c>
      <c r="BD36" s="169">
        <f t="shared" si="63"/>
        <v>0.87331495981272844</v>
      </c>
      <c r="BE36" s="169">
        <f t="shared" si="63"/>
        <v>0.85039034121703438</v>
      </c>
      <c r="BF36" s="169">
        <f t="shared" si="63"/>
        <v>0.82617419481313203</v>
      </c>
      <c r="BG36" s="169">
        <f t="shared" si="63"/>
        <v>0.80062039460787138</v>
      </c>
      <c r="BH36" s="170">
        <f t="shared" si="63"/>
        <v>0.77367128310981448</v>
      </c>
      <c r="BV36">
        <f t="shared" si="43"/>
        <v>80</v>
      </c>
      <c r="BW36">
        <f t="shared" si="38"/>
        <v>69865</v>
      </c>
      <c r="BX36" s="150">
        <f t="shared" si="44"/>
        <v>0.80136035695032293</v>
      </c>
      <c r="BY36" s="148">
        <f t="shared" si="45"/>
        <v>5205.9927802549737</v>
      </c>
      <c r="CC36" s="522">
        <v>53</v>
      </c>
      <c r="CD36" s="521">
        <f t="shared" si="56"/>
        <v>228.41582429003256</v>
      </c>
      <c r="CE36" s="521">
        <f t="shared" si="56"/>
        <v>233.50503044302053</v>
      </c>
      <c r="CF36" s="521">
        <f t="shared" si="56"/>
        <v>238.70808828069923</v>
      </c>
      <c r="CG36" s="521">
        <f t="shared" si="56"/>
        <v>244.02754725997045</v>
      </c>
      <c r="CH36" s="521">
        <f t="shared" si="56"/>
        <v>249.46601367936967</v>
      </c>
      <c r="CI36" s="521">
        <f t="shared" si="56"/>
        <v>255.02615193290575</v>
      </c>
      <c r="CJ36" s="521">
        <f t="shared" si="56"/>
        <v>260.71068579095191</v>
      </c>
      <c r="CK36" s="521">
        <f t="shared" si="56"/>
        <v>266.52239970901303</v>
      </c>
      <c r="CL36" s="521">
        <f t="shared" si="56"/>
        <v>272.46414016473</v>
      </c>
      <c r="CM36" s="521">
        <f t="shared" si="56"/>
        <v>278.53881702392789</v>
      </c>
      <c r="CN36" s="521">
        <f t="shared" si="57"/>
        <v>284.74940493612735</v>
      </c>
      <c r="CO36" s="521">
        <f t="shared" si="57"/>
        <v>291.09894476032991</v>
      </c>
      <c r="CP36" s="521">
        <f t="shared" si="57"/>
        <v>297.59054502152759</v>
      </c>
      <c r="CQ36" s="521">
        <f t="shared" si="57"/>
        <v>304.22738339877657</v>
      </c>
      <c r="CR36" s="521">
        <f t="shared" si="57"/>
        <v>311.01270824531133</v>
      </c>
      <c r="CS36" s="521">
        <f t="shared" si="57"/>
        <v>317.94984014155722</v>
      </c>
      <c r="CT36" s="521">
        <f t="shared" si="57"/>
        <v>325.0421734815622</v>
      </c>
      <c r="CU36" s="521">
        <f t="shared" si="57"/>
        <v>332.29317809371435</v>
      </c>
      <c r="CV36" s="521">
        <f t="shared" si="57"/>
        <v>339.70640089630717</v>
      </c>
      <c r="CW36" s="525">
        <f t="shared" si="57"/>
        <v>347.28546758884778</v>
      </c>
      <c r="CX36" s="536"/>
    </row>
    <row r="37" spans="1:102" ht="14.25">
      <c r="A37" s="171">
        <v>24</v>
      </c>
      <c r="B37" s="2192">
        <v>99181</v>
      </c>
      <c r="C37" s="172">
        <v>54.73</v>
      </c>
      <c r="D37" s="171">
        <v>74</v>
      </c>
      <c r="E37" s="2192">
        <f t="shared" si="10"/>
        <v>69429</v>
      </c>
      <c r="F37" s="172">
        <f t="shared" si="10"/>
        <v>11.41</v>
      </c>
      <c r="G37" s="151"/>
      <c r="H37" s="171">
        <v>24</v>
      </c>
      <c r="I37" s="2192">
        <v>99411</v>
      </c>
      <c r="J37" s="172">
        <v>59.44</v>
      </c>
      <c r="K37" s="171">
        <v>74</v>
      </c>
      <c r="L37" s="2192">
        <f t="shared" si="11"/>
        <v>81916</v>
      </c>
      <c r="M37" s="172">
        <f t="shared" si="11"/>
        <v>13.66</v>
      </c>
      <c r="O37" s="2192">
        <f t="shared" si="6"/>
        <v>99296</v>
      </c>
      <c r="P37" s="172">
        <f t="shared" si="7"/>
        <v>57.084999999999994</v>
      </c>
      <c r="T37">
        <v>40</v>
      </c>
      <c r="U37">
        <v>38</v>
      </c>
      <c r="W37" s="2967"/>
      <c r="X37" s="29">
        <v>65</v>
      </c>
      <c r="Y37" s="177">
        <f t="shared" si="2"/>
        <v>0.92891105535772089</v>
      </c>
      <c r="Z37" s="177">
        <f t="shared" si="8"/>
        <v>0.9295787480891301</v>
      </c>
      <c r="AA37" s="177">
        <f t="shared" si="12"/>
        <v>0.9303039513677811</v>
      </c>
      <c r="AB37" s="177">
        <f t="shared" si="14"/>
        <v>0.9310963738135799</v>
      </c>
      <c r="AC37" s="177">
        <f t="shared" si="16"/>
        <v>0.9319563562547577</v>
      </c>
      <c r="AD37" s="177">
        <f t="shared" si="18"/>
        <v>0.93291270421848327</v>
      </c>
      <c r="AE37" s="177">
        <f t="shared" si="20"/>
        <v>0.93396600653016382</v>
      </c>
      <c r="AF37" s="177">
        <f t="shared" si="22"/>
        <v>0.93511691380153172</v>
      </c>
      <c r="AG37" s="177">
        <f t="shared" si="24"/>
        <v>0.93639478675885701</v>
      </c>
      <c r="AH37" s="177">
        <f t="shared" si="26"/>
        <v>0.93780065569752125</v>
      </c>
      <c r="AI37" s="177">
        <f t="shared" si="28"/>
        <v>0.93936448827597496</v>
      </c>
      <c r="AJ37" s="177">
        <f t="shared" si="32"/>
        <v>0.94109749098064943</v>
      </c>
      <c r="AK37" s="177">
        <f t="shared" si="34"/>
        <v>0.94302087933531209</v>
      </c>
      <c r="AL37" s="177">
        <f t="shared" si="36"/>
        <v>0.94515640922706357</v>
      </c>
      <c r="AM37" s="177">
        <f t="shared" si="39"/>
        <v>0.94752646894929105</v>
      </c>
      <c r="AN37" s="177">
        <f t="shared" si="41"/>
        <v>0.95015418365446302</v>
      </c>
      <c r="AO37" s="177">
        <f t="shared" si="46"/>
        <v>0.95307342592015942</v>
      </c>
      <c r="AP37" s="177">
        <f t="shared" si="48"/>
        <v>0.95629940531364233</v>
      </c>
      <c r="AQ37" s="177">
        <f t="shared" si="50"/>
        <v>0.95989838694502228</v>
      </c>
      <c r="AR37" s="177">
        <f t="shared" si="52"/>
        <v>0.96388868477131251</v>
      </c>
      <c r="AS37" s="177">
        <f t="shared" si="54"/>
        <v>0.96835122650861616</v>
      </c>
      <c r="AT37" s="177">
        <f t="shared" si="58"/>
        <v>0.97333997625508817</v>
      </c>
      <c r="AU37" s="177">
        <f t="shared" si="60"/>
        <v>0.97893322814162498</v>
      </c>
      <c r="AV37" s="177">
        <f t="shared" si="62"/>
        <v>0.98519329191746874</v>
      </c>
      <c r="AW37" s="177">
        <f t="shared" ref="AW37:AW47" si="64">VLOOKUP($X37,Sterbetafel,9)/VLOOKUP(AW$11,Sterbetafel,9)</f>
        <v>0.99219822136736435</v>
      </c>
      <c r="AX37" s="168"/>
      <c r="AY37" s="169">
        <f t="shared" ref="AY37:BH37" si="65">VLOOKUP(AY$11,Sterbetafel,2)/VLOOKUP($X37,Sterbetafel,2)</f>
        <v>0.98401497864373066</v>
      </c>
      <c r="AZ37" s="169">
        <f t="shared" si="65"/>
        <v>0.96685975074600672</v>
      </c>
      <c r="BA37" s="169">
        <f t="shared" si="65"/>
        <v>0.94849921011058447</v>
      </c>
      <c r="BB37" s="169">
        <f t="shared" si="65"/>
        <v>0.92895676086829326</v>
      </c>
      <c r="BC37" s="169">
        <f t="shared" si="65"/>
        <v>0.90820899888830375</v>
      </c>
      <c r="BD37" s="169">
        <f t="shared" si="65"/>
        <v>0.88623252003978703</v>
      </c>
      <c r="BE37" s="169">
        <f t="shared" si="65"/>
        <v>0.86296881399567027</v>
      </c>
      <c r="BF37" s="169">
        <f t="shared" si="65"/>
        <v>0.83839447662512434</v>
      </c>
      <c r="BG37" s="169">
        <f t="shared" si="65"/>
        <v>0.81246269966649109</v>
      </c>
      <c r="BH37" s="170">
        <f t="shared" si="65"/>
        <v>0.78511497279269793</v>
      </c>
      <c r="BV37">
        <f t="shared" si="43"/>
        <v>81</v>
      </c>
      <c r="BW37">
        <f t="shared" si="38"/>
        <v>67239</v>
      </c>
      <c r="BX37" s="150">
        <f t="shared" si="44"/>
        <v>0.77123980592546715</v>
      </c>
      <c r="BY37" s="148">
        <f t="shared" si="45"/>
        <v>4636.5333409252162</v>
      </c>
      <c r="CC37" s="522">
        <v>54</v>
      </c>
      <c r="CD37" s="520">
        <f t="shared" si="56"/>
        <v>227.2794271542613</v>
      </c>
      <c r="CE37" s="520">
        <f t="shared" si="56"/>
        <v>232.11235630518939</v>
      </c>
      <c r="CF37" s="520">
        <f t="shared" si="56"/>
        <v>237.04874705133989</v>
      </c>
      <c r="CG37" s="520">
        <f t="shared" si="56"/>
        <v>242.09082069441507</v>
      </c>
      <c r="CH37" s="520">
        <f t="shared" si="56"/>
        <v>247.24084606478658</v>
      </c>
      <c r="CI37" s="520">
        <f t="shared" si="56"/>
        <v>252.50114052762945</v>
      </c>
      <c r="CJ37" s="520">
        <f t="shared" si="56"/>
        <v>257.87407100984365</v>
      </c>
      <c r="CK37" s="520">
        <f t="shared" si="56"/>
        <v>263.3620550484319</v>
      </c>
      <c r="CL37" s="520">
        <f t="shared" si="56"/>
        <v>268.9675618605429</v>
      </c>
      <c r="CM37" s="520">
        <f t="shared" si="56"/>
        <v>274.69311343582626</v>
      </c>
      <c r="CN37" s="520">
        <f t="shared" si="57"/>
        <v>280.54128565135704</v>
      </c>
      <c r="CO37" s="520">
        <f t="shared" si="57"/>
        <v>286.51470940977356</v>
      </c>
      <c r="CP37" s="520">
        <f t="shared" si="57"/>
        <v>292.6160718009121</v>
      </c>
      <c r="CQ37" s="520">
        <f t="shared" si="57"/>
        <v>298.84811728759973</v>
      </c>
      <c r="CR37" s="520">
        <f t="shared" si="57"/>
        <v>305.213648915909</v>
      </c>
      <c r="CS37" s="520">
        <f t="shared" si="57"/>
        <v>311.71552955054625</v>
      </c>
      <c r="CT37" s="520">
        <f t="shared" si="57"/>
        <v>318.35668313571222</v>
      </c>
      <c r="CU37" s="520">
        <f t="shared" si="57"/>
        <v>325.14009598210799</v>
      </c>
      <c r="CV37" s="520">
        <f t="shared" si="57"/>
        <v>332.06881808045671</v>
      </c>
      <c r="CW37" s="524">
        <f t="shared" si="57"/>
        <v>339.14596444223417</v>
      </c>
      <c r="CX37" s="536"/>
    </row>
    <row r="38" spans="1:102" ht="14.25">
      <c r="A38" s="162">
        <v>25</v>
      </c>
      <c r="B38" s="2193">
        <v>99136</v>
      </c>
      <c r="C38" s="178">
        <v>53.76</v>
      </c>
      <c r="D38" s="162">
        <v>75</v>
      </c>
      <c r="E38" s="2193">
        <f t="shared" si="10"/>
        <v>67092</v>
      </c>
      <c r="F38" s="178">
        <f t="shared" si="10"/>
        <v>10.79</v>
      </c>
      <c r="G38" s="151"/>
      <c r="H38" s="162">
        <v>25</v>
      </c>
      <c r="I38" s="2193">
        <v>99393</v>
      </c>
      <c r="J38" s="178">
        <v>58.45</v>
      </c>
      <c r="K38" s="162">
        <v>75</v>
      </c>
      <c r="L38" s="2193">
        <f t="shared" si="11"/>
        <v>80296</v>
      </c>
      <c r="M38" s="178">
        <f t="shared" si="11"/>
        <v>12.93</v>
      </c>
      <c r="O38" s="2193">
        <f t="shared" si="6"/>
        <v>99264.5</v>
      </c>
      <c r="P38" s="178">
        <f t="shared" si="7"/>
        <v>56.105000000000004</v>
      </c>
      <c r="S38" t="s">
        <v>228</v>
      </c>
      <c r="T38">
        <f>VLOOKUP(T37,Sterbetafel,3)</f>
        <v>39.24</v>
      </c>
      <c r="U38">
        <f>VLOOKUP(U37,Sterbetafel,10)</f>
        <v>45.67</v>
      </c>
      <c r="W38" s="2967"/>
      <c r="X38" s="29">
        <v>66</v>
      </c>
      <c r="Y38" s="177">
        <f t="shared" si="2"/>
        <v>0.92092910326966659</v>
      </c>
      <c r="Z38" s="177">
        <f t="shared" si="8"/>
        <v>0.92159105864725599</v>
      </c>
      <c r="AA38" s="177">
        <f t="shared" si="12"/>
        <v>0.92231003039513682</v>
      </c>
      <c r="AB38" s="177">
        <f t="shared" si="14"/>
        <v>0.9230956437089316</v>
      </c>
      <c r="AC38" s="177">
        <f t="shared" si="16"/>
        <v>0.92394823648820101</v>
      </c>
      <c r="AD38" s="177">
        <f t="shared" si="18"/>
        <v>0.92489636673981956</v>
      </c>
      <c r="AE38" s="177">
        <f t="shared" si="20"/>
        <v>0.92594061822953222</v>
      </c>
      <c r="AF38" s="177">
        <f t="shared" si="22"/>
        <v>0.92708163597849114</v>
      </c>
      <c r="AG38" s="177">
        <f t="shared" si="24"/>
        <v>0.92834852842195437</v>
      </c>
      <c r="AH38" s="177">
        <f t="shared" si="26"/>
        <v>0.92974231700217547</v>
      </c>
      <c r="AI38" s="177">
        <f t="shared" si="28"/>
        <v>0.93129271187134266</v>
      </c>
      <c r="AJ38" s="177">
        <f t="shared" si="32"/>
        <v>0.93301082322072815</v>
      </c>
      <c r="AK38" s="177">
        <f t="shared" si="34"/>
        <v>0.93491768427322863</v>
      </c>
      <c r="AL38" s="177">
        <f t="shared" si="36"/>
        <v>0.93703486397183711</v>
      </c>
      <c r="AM38" s="177">
        <f t="shared" si="39"/>
        <v>0.93938455823168843</v>
      </c>
      <c r="AN38" s="177">
        <f t="shared" si="41"/>
        <v>0.94198969349531236</v>
      </c>
      <c r="AO38" s="177">
        <f t="shared" si="46"/>
        <v>0.94488385127981567</v>
      </c>
      <c r="AP38" s="177">
        <f t="shared" si="48"/>
        <v>0.94808211045960611</v>
      </c>
      <c r="AQ38" s="177">
        <f t="shared" si="50"/>
        <v>0.95165016674158709</v>
      </c>
      <c r="AR38" s="177">
        <f t="shared" si="52"/>
        <v>0.95560617671450021</v>
      </c>
      <c r="AS38" s="177">
        <f t="shared" si="54"/>
        <v>0.96003037269831892</v>
      </c>
      <c r="AT38" s="177">
        <f t="shared" si="58"/>
        <v>0.9649762550881954</v>
      </c>
      <c r="AU38" s="177">
        <f t="shared" si="60"/>
        <v>0.97052144524878192</v>
      </c>
      <c r="AV38" s="177">
        <f t="shared" si="62"/>
        <v>0.97672771751376053</v>
      </c>
      <c r="AW38" s="177">
        <f t="shared" si="64"/>
        <v>0.98367245496688027</v>
      </c>
      <c r="AX38" s="177">
        <f t="shared" ref="AX38:AX47" si="66">VLOOKUP($X38,Sterbetafel,9)/VLOOKUP(AX$11,Sterbetafel,9)</f>
        <v>0.99140719443264613</v>
      </c>
      <c r="AY38" s="168"/>
      <c r="AZ38" s="169">
        <f t="shared" ref="AZ38:BH38" si="67">VLOOKUP(AZ$11,Sterbetafel,2)/VLOOKUP($X38,Sterbetafel,2)</f>
        <v>0.98256609068962641</v>
      </c>
      <c r="BA38" s="169">
        <f t="shared" si="67"/>
        <v>0.96390728870601383</v>
      </c>
      <c r="BB38" s="169">
        <f t="shared" si="67"/>
        <v>0.94404737837291441</v>
      </c>
      <c r="BC38" s="169">
        <f t="shared" si="67"/>
        <v>0.92296257536657589</v>
      </c>
      <c r="BD38" s="169">
        <f t="shared" si="67"/>
        <v>0.90062909536324609</v>
      </c>
      <c r="BE38" s="169">
        <f t="shared" si="67"/>
        <v>0.87698747755354445</v>
      </c>
      <c r="BF38" s="169">
        <f t="shared" si="67"/>
        <v>0.8520139376137188</v>
      </c>
      <c r="BG38" s="169">
        <f t="shared" si="67"/>
        <v>0.8256609068962647</v>
      </c>
      <c r="BH38" s="170">
        <f t="shared" si="67"/>
        <v>0.79786892459180159</v>
      </c>
      <c r="BV38">
        <f t="shared" si="43"/>
        <v>82</v>
      </c>
      <c r="BW38">
        <f t="shared" si="38"/>
        <v>64390</v>
      </c>
      <c r="BX38" s="150">
        <f t="shared" si="44"/>
        <v>0.73856141678997056</v>
      </c>
      <c r="BY38" s="148">
        <f t="shared" si="45"/>
        <v>4088.4096650507176</v>
      </c>
      <c r="CC38" s="522">
        <v>55</v>
      </c>
      <c r="CD38" s="521">
        <f t="shared" si="56"/>
        <v>226.1486837355834</v>
      </c>
      <c r="CE38" s="521">
        <f t="shared" si="56"/>
        <v>230.72798837493974</v>
      </c>
      <c r="CF38" s="521">
        <f t="shared" si="56"/>
        <v>235.40094046806345</v>
      </c>
      <c r="CG38" s="521">
        <f t="shared" si="56"/>
        <v>240.16946497461819</v>
      </c>
      <c r="CH38" s="521">
        <f t="shared" si="56"/>
        <v>245.03552632783612</v>
      </c>
      <c r="CI38" s="521">
        <f t="shared" si="56"/>
        <v>250.00112923527661</v>
      </c>
      <c r="CJ38" s="521">
        <f t="shared" si="56"/>
        <v>255.06831949539435</v>
      </c>
      <c r="CK38" s="521">
        <f t="shared" si="56"/>
        <v>260.23918483046629</v>
      </c>
      <c r="CL38" s="521">
        <f t="shared" si="56"/>
        <v>265.51585573597526</v>
      </c>
      <c r="CM38" s="521">
        <f t="shared" si="56"/>
        <v>270.90050634696877</v>
      </c>
      <c r="CN38" s="521">
        <f t="shared" si="57"/>
        <v>276.39535532153405</v>
      </c>
      <c r="CO38" s="521">
        <f t="shared" si="57"/>
        <v>282.00266674190311</v>
      </c>
      <c r="CP38" s="521">
        <f t="shared" si="57"/>
        <v>287.72475103334523</v>
      </c>
      <c r="CQ38" s="521">
        <f t="shared" si="57"/>
        <v>293.56396590137496</v>
      </c>
      <c r="CR38" s="521">
        <f t="shared" si="57"/>
        <v>299.52271728744756</v>
      </c>
      <c r="CS38" s="521">
        <f t="shared" si="57"/>
        <v>305.60346034367279</v>
      </c>
      <c r="CT38" s="521">
        <f t="shared" si="57"/>
        <v>311.80870042675053</v>
      </c>
      <c r="CU38" s="521">
        <f t="shared" si="57"/>
        <v>318.14099411165165</v>
      </c>
      <c r="CV38" s="521">
        <f t="shared" si="57"/>
        <v>324.60295022527538</v>
      </c>
      <c r="CW38" s="525">
        <f t="shared" si="57"/>
        <v>331.19723090061933</v>
      </c>
      <c r="CX38" s="536"/>
    </row>
    <row r="39" spans="1:102" ht="14.25">
      <c r="A39" s="171">
        <v>26</v>
      </c>
      <c r="B39" s="2192">
        <v>99091</v>
      </c>
      <c r="C39" s="172">
        <v>52.78</v>
      </c>
      <c r="D39" s="171">
        <v>76</v>
      </c>
      <c r="E39" s="2192">
        <f t="shared" si="10"/>
        <v>64632</v>
      </c>
      <c r="F39" s="172">
        <f t="shared" si="10"/>
        <v>10.19</v>
      </c>
      <c r="G39" s="151"/>
      <c r="H39" s="171">
        <v>26</v>
      </c>
      <c r="I39" s="2192">
        <v>99375</v>
      </c>
      <c r="J39" s="172">
        <v>57.46</v>
      </c>
      <c r="K39" s="171">
        <v>76</v>
      </c>
      <c r="L39" s="2192">
        <f t="shared" si="11"/>
        <v>78532</v>
      </c>
      <c r="M39" s="172">
        <f t="shared" si="11"/>
        <v>12.21</v>
      </c>
      <c r="O39" s="2192">
        <f t="shared" si="6"/>
        <v>99233</v>
      </c>
      <c r="P39" s="172">
        <f t="shared" si="7"/>
        <v>55.120000000000005</v>
      </c>
      <c r="T39">
        <f>+T38+T37</f>
        <v>79.240000000000009</v>
      </c>
      <c r="U39">
        <f>+U38+U37</f>
        <v>83.67</v>
      </c>
      <c r="W39" s="2967"/>
      <c r="X39" s="29">
        <v>67</v>
      </c>
      <c r="Y39" s="177">
        <f t="shared" si="2"/>
        <v>0.91227945937196508</v>
      </c>
      <c r="Z39" s="177">
        <f t="shared" si="8"/>
        <v>0.91293519746499696</v>
      </c>
      <c r="AA39" s="177">
        <f t="shared" si="12"/>
        <v>0.91364741641337388</v>
      </c>
      <c r="AB39" s="177">
        <f t="shared" si="14"/>
        <v>0.91442565100997808</v>
      </c>
      <c r="AC39" s="177">
        <f t="shared" si="16"/>
        <v>0.91527023598071555</v>
      </c>
      <c r="AD39" s="177">
        <f t="shared" si="18"/>
        <v>0.91620946110704704</v>
      </c>
      <c r="AE39" s="177">
        <f t="shared" si="20"/>
        <v>0.91724390467181349</v>
      </c>
      <c r="AF39" s="177">
        <f t="shared" si="22"/>
        <v>0.91837420563793382</v>
      </c>
      <c r="AG39" s="177">
        <f t="shared" si="24"/>
        <v>0.91962919904546292</v>
      </c>
      <c r="AH39" s="177">
        <f t="shared" si="26"/>
        <v>0.92100989674296041</v>
      </c>
      <c r="AI39" s="177">
        <f t="shared" si="28"/>
        <v>0.92254572983590455</v>
      </c>
      <c r="AJ39" s="177">
        <f t="shared" si="32"/>
        <v>0.92424770416530011</v>
      </c>
      <c r="AK39" s="177">
        <f t="shared" si="34"/>
        <v>0.92613665540367063</v>
      </c>
      <c r="AL39" s="177">
        <f t="shared" si="36"/>
        <v>0.92823394991199082</v>
      </c>
      <c r="AM39" s="177">
        <f t="shared" si="39"/>
        <v>0.93056157513466653</v>
      </c>
      <c r="AN39" s="177">
        <f t="shared" si="41"/>
        <v>0.93314224218216435</v>
      </c>
      <c r="AO39" s="177">
        <f t="shared" si="46"/>
        <v>0.93600921716385377</v>
      </c>
      <c r="AP39" s="177">
        <f t="shared" si="48"/>
        <v>0.93917743732880632</v>
      </c>
      <c r="AQ39" s="177">
        <f t="shared" si="50"/>
        <v>0.94271198135003187</v>
      </c>
      <c r="AR39" s="177">
        <f t="shared" si="52"/>
        <v>0.94663083528411418</v>
      </c>
      <c r="AS39" s="177">
        <f t="shared" si="54"/>
        <v>0.951013477884879</v>
      </c>
      <c r="AT39" s="177">
        <f t="shared" si="58"/>
        <v>0.95591290705563092</v>
      </c>
      <c r="AU39" s="177">
        <f t="shared" si="60"/>
        <v>0.96140601511775425</v>
      </c>
      <c r="AV39" s="177">
        <f t="shared" si="62"/>
        <v>0.96755399620175753</v>
      </c>
      <c r="AW39" s="177">
        <f t="shared" si="64"/>
        <v>0.97443350658612748</v>
      </c>
      <c r="AX39" s="177">
        <f t="shared" si="66"/>
        <v>0.98209559904596988</v>
      </c>
      <c r="AY39" s="177">
        <f t="shared" ref="AY39:AY47" si="68">VLOOKUP($X39,Sterbetafel,9)/VLOOKUP(AY$11,Sterbetafel,9)</f>
        <v>0.99060769839177432</v>
      </c>
      <c r="AZ39" s="168"/>
      <c r="BA39" s="169">
        <f t="shared" ref="BA39:BH39" si="69">VLOOKUP(BA$11,Sterbetafel,2)/VLOOKUP($X39,Sterbetafel,2)</f>
        <v>0.98101013035111284</v>
      </c>
      <c r="BB39" s="169">
        <f t="shared" si="69"/>
        <v>0.96079784079493602</v>
      </c>
      <c r="BC39" s="169">
        <f t="shared" si="69"/>
        <v>0.9393389249966716</v>
      </c>
      <c r="BD39" s="169">
        <f t="shared" si="69"/>
        <v>0.91660917662152186</v>
      </c>
      <c r="BE39" s="169">
        <f t="shared" si="69"/>
        <v>0.89254807983249218</v>
      </c>
      <c r="BF39" s="169">
        <f t="shared" si="69"/>
        <v>0.86713142829478473</v>
      </c>
      <c r="BG39" s="169">
        <f t="shared" si="69"/>
        <v>0.84031080933880398</v>
      </c>
      <c r="BH39" s="170">
        <f t="shared" si="69"/>
        <v>0.81202570712755529</v>
      </c>
      <c r="BV39">
        <f t="shared" si="43"/>
        <v>83</v>
      </c>
      <c r="BW39">
        <f t="shared" si="38"/>
        <v>61287</v>
      </c>
      <c r="BX39" s="150">
        <f t="shared" si="44"/>
        <v>0.70296961563607585</v>
      </c>
      <c r="BY39" s="148">
        <f t="shared" si="45"/>
        <v>3561.4015477726093</v>
      </c>
      <c r="CC39" s="522">
        <v>56</v>
      </c>
      <c r="CD39" s="520">
        <f t="shared" si="56"/>
        <v>225.02356590605319</v>
      </c>
      <c r="CE39" s="520">
        <f t="shared" si="56"/>
        <v>229.35187711226612</v>
      </c>
      <c r="CF39" s="520">
        <f t="shared" si="56"/>
        <v>233.76458834961616</v>
      </c>
      <c r="CG39" s="520">
        <f t="shared" si="56"/>
        <v>238.26335810974024</v>
      </c>
      <c r="CH39" s="520">
        <f t="shared" si="56"/>
        <v>242.84987743095746</v>
      </c>
      <c r="CI39" s="520">
        <f t="shared" si="56"/>
        <v>247.52587052997688</v>
      </c>
      <c r="CJ39" s="520">
        <f t="shared" si="56"/>
        <v>252.29309544549392</v>
      </c>
      <c r="CK39" s="520">
        <f t="shared" si="56"/>
        <v>257.15334469413665</v>
      </c>
      <c r="CL39" s="520">
        <f t="shared" si="56"/>
        <v>262.10844593877124</v>
      </c>
      <c r="CM39" s="520">
        <f t="shared" si="56"/>
        <v>267.16026266959437</v>
      </c>
      <c r="CN39" s="520">
        <f t="shared" si="57"/>
        <v>272.31069489806316</v>
      </c>
      <c r="CO39" s="520">
        <f t="shared" si="57"/>
        <v>277.5616798640778</v>
      </c>
      <c r="CP39" s="520">
        <f t="shared" si="57"/>
        <v>282.915192756485</v>
      </c>
      <c r="CQ39" s="520">
        <f t="shared" si="57"/>
        <v>288.37324744732314</v>
      </c>
      <c r="CR39" s="520">
        <f t="shared" si="57"/>
        <v>293.93789723988971</v>
      </c>
      <c r="CS39" s="520">
        <f t="shared" si="57"/>
        <v>299.61123563105173</v>
      </c>
      <c r="CT39" s="520">
        <f t="shared" si="57"/>
        <v>305.3953970879046</v>
      </c>
      <c r="CU39" s="520">
        <f t="shared" si="57"/>
        <v>311.2925578391895</v>
      </c>
      <c r="CV39" s="520">
        <f t="shared" si="57"/>
        <v>317.30493668159863</v>
      </c>
      <c r="CW39" s="524">
        <f t="shared" si="57"/>
        <v>323.43479580138609</v>
      </c>
      <c r="CX39" s="536"/>
    </row>
    <row r="40" spans="1:102" ht="14.25">
      <c r="A40" s="162">
        <v>27</v>
      </c>
      <c r="B40" s="2193">
        <v>99046</v>
      </c>
      <c r="C40" s="178">
        <v>51.81</v>
      </c>
      <c r="D40" s="162">
        <v>77</v>
      </c>
      <c r="E40" s="2193">
        <f t="shared" si="10"/>
        <v>62047</v>
      </c>
      <c r="F40" s="178">
        <f t="shared" si="10"/>
        <v>9.59</v>
      </c>
      <c r="G40" s="151"/>
      <c r="H40" s="162">
        <v>27</v>
      </c>
      <c r="I40" s="2193">
        <v>99356</v>
      </c>
      <c r="J40" s="178">
        <v>56.48</v>
      </c>
      <c r="K40" s="162">
        <v>77</v>
      </c>
      <c r="L40" s="2193">
        <f t="shared" si="11"/>
        <v>76614</v>
      </c>
      <c r="M40" s="178">
        <f t="shared" si="11"/>
        <v>11.5</v>
      </c>
      <c r="O40" s="2193">
        <f t="shared" si="6"/>
        <v>99201</v>
      </c>
      <c r="P40" s="178">
        <f t="shared" si="7"/>
        <v>54.144999999999996</v>
      </c>
      <c r="U40">
        <f>VLOOKUP(U37,Sterbetafel,9)</f>
        <v>98971</v>
      </c>
      <c r="W40" s="2967"/>
      <c r="X40" s="29">
        <v>68</v>
      </c>
      <c r="Y40" s="177">
        <f t="shared" si="2"/>
        <v>0.90293177403690517</v>
      </c>
      <c r="Z40" s="177">
        <f t="shared" si="8"/>
        <v>0.90358079309960826</v>
      </c>
      <c r="AA40" s="177">
        <f t="shared" si="12"/>
        <v>0.90428571428571425</v>
      </c>
      <c r="AB40" s="177">
        <f t="shared" si="14"/>
        <v>0.90505597468970556</v>
      </c>
      <c r="AC40" s="177">
        <f t="shared" si="16"/>
        <v>0.90589190560771382</v>
      </c>
      <c r="AD40" s="177">
        <f t="shared" si="18"/>
        <v>0.90682150694952446</v>
      </c>
      <c r="AE40" s="177">
        <f t="shared" si="20"/>
        <v>0.90784535107259468</v>
      </c>
      <c r="AF40" s="177">
        <f t="shared" si="22"/>
        <v>0.9089640703927</v>
      </c>
      <c r="AG40" s="177">
        <f t="shared" si="24"/>
        <v>0.91020620449121947</v>
      </c>
      <c r="AH40" s="177">
        <f t="shared" si="26"/>
        <v>0.9115727548487913</v>
      </c>
      <c r="AI40" s="177">
        <f t="shared" si="28"/>
        <v>0.91309285100462412</v>
      </c>
      <c r="AJ40" s="177">
        <f t="shared" si="32"/>
        <v>0.91477738602820602</v>
      </c>
      <c r="AK40" s="177">
        <f t="shared" si="34"/>
        <v>0.9166469820990254</v>
      </c>
      <c r="AL40" s="177">
        <f t="shared" si="36"/>
        <v>0.91872278664731499</v>
      </c>
      <c r="AM40" s="177">
        <f t="shared" si="39"/>
        <v>0.9210265618227973</v>
      </c>
      <c r="AN40" s="177">
        <f t="shared" si="41"/>
        <v>0.92358078602620086</v>
      </c>
      <c r="AO40" s="177">
        <f t="shared" si="46"/>
        <v>0.9264183845052002</v>
      </c>
      <c r="AP40" s="177">
        <f t="shared" si="48"/>
        <v>0.92955414145411752</v>
      </c>
      <c r="AQ40" s="177">
        <f t="shared" si="50"/>
        <v>0.93305246871635117</v>
      </c>
      <c r="AR40" s="177">
        <f t="shared" si="52"/>
        <v>0.93693116805408294</v>
      </c>
      <c r="AS40" s="177">
        <f t="shared" si="54"/>
        <v>0.9412689038408808</v>
      </c>
      <c r="AT40" s="177">
        <f t="shared" si="58"/>
        <v>0.94611813093622799</v>
      </c>
      <c r="AU40" s="177">
        <f t="shared" si="60"/>
        <v>0.95155495378317001</v>
      </c>
      <c r="AV40" s="177">
        <f t="shared" si="62"/>
        <v>0.95763993948562787</v>
      </c>
      <c r="AW40" s="177">
        <f t="shared" si="64"/>
        <v>0.9644489588623667</v>
      </c>
      <c r="AX40" s="177">
        <f t="shared" si="66"/>
        <v>0.9720325415754566</v>
      </c>
      <c r="AY40" s="177">
        <f t="shared" si="68"/>
        <v>0.98045742156604276</v>
      </c>
      <c r="AZ40" s="177">
        <f t="shared" ref="AZ40:AZ47" si="70">VLOOKUP($X40,Sterbetafel,9)/VLOOKUP(AZ$11,Sterbetafel,9)</f>
        <v>0.98975348481320069</v>
      </c>
      <c r="BA40" s="168"/>
      <c r="BB40" s="169">
        <f t="shared" ref="BB40:BH40" si="71">VLOOKUP(BB$11,Sterbetafel,2)/VLOOKUP($X40,Sterbetafel,2)</f>
        <v>0.97939645174821721</v>
      </c>
      <c r="BC40" s="169">
        <f t="shared" si="71"/>
        <v>0.95752214573000716</v>
      </c>
      <c r="BD40" s="169">
        <f t="shared" si="71"/>
        <v>0.93435240703728384</v>
      </c>
      <c r="BE40" s="169">
        <f t="shared" si="71"/>
        <v>0.90982554839983221</v>
      </c>
      <c r="BF40" s="169">
        <f t="shared" si="71"/>
        <v>0.88391689490956649</v>
      </c>
      <c r="BG40" s="169">
        <f t="shared" si="71"/>
        <v>0.85657709675031457</v>
      </c>
      <c r="BH40" s="170">
        <f t="shared" si="71"/>
        <v>0.82774446665186174</v>
      </c>
      <c r="BV40">
        <f t="shared" si="43"/>
        <v>84</v>
      </c>
      <c r="BW40">
        <f t="shared" si="38"/>
        <v>57897</v>
      </c>
      <c r="BX40" s="150">
        <f t="shared" si="44"/>
        <v>0.66408588830391246</v>
      </c>
      <c r="BY40" s="148">
        <f t="shared" si="45"/>
        <v>3056.0678999005559</v>
      </c>
      <c r="CC40" s="522">
        <v>57</v>
      </c>
      <c r="CD40" s="521">
        <f t="shared" si="56"/>
        <v>223.9040456776649</v>
      </c>
      <c r="CE40" s="521">
        <f t="shared" si="56"/>
        <v>227.98397327263035</v>
      </c>
      <c r="CF40" s="521">
        <f t="shared" si="56"/>
        <v>232.13961107211139</v>
      </c>
      <c r="CG40" s="521">
        <f t="shared" si="56"/>
        <v>236.37237907712324</v>
      </c>
      <c r="CH40" s="521">
        <f t="shared" si="56"/>
        <v>240.68372391571606</v>
      </c>
      <c r="CI40" s="521">
        <f t="shared" si="56"/>
        <v>245.07511933661081</v>
      </c>
      <c r="CJ40" s="521">
        <f t="shared" si="56"/>
        <v>249.5480667116656</v>
      </c>
      <c r="CK40" s="521">
        <f t="shared" si="56"/>
        <v>254.10409554756586</v>
      </c>
      <c r="CL40" s="521">
        <f t="shared" si="56"/>
        <v>258.74476400668436</v>
      </c>
      <c r="CM40" s="521">
        <f t="shared" si="56"/>
        <v>263.47165943746978</v>
      </c>
      <c r="CN40" s="521">
        <f t="shared" si="57"/>
        <v>268.28639891434796</v>
      </c>
      <c r="CO40" s="521">
        <f t="shared" si="57"/>
        <v>273.1906297874782</v>
      </c>
      <c r="CP40" s="521">
        <f t="shared" si="57"/>
        <v>278.18603024236489</v>
      </c>
      <c r="CQ40" s="521">
        <f t="shared" si="57"/>
        <v>283.27430986966914</v>
      </c>
      <c r="CR40" s="521">
        <f t="shared" si="57"/>
        <v>288.45721024523027</v>
      </c>
      <c r="CS40" s="521">
        <f t="shared" si="57"/>
        <v>293.73650552063901</v>
      </c>
      <c r="CT40" s="521">
        <f t="shared" si="57"/>
        <v>299.11400302439239</v>
      </c>
      <c r="CU40" s="521">
        <f t="shared" si="57"/>
        <v>304.59154387396234</v>
      </c>
      <c r="CV40" s="521">
        <f t="shared" si="57"/>
        <v>310.17100359882568</v>
      </c>
      <c r="CW40" s="525">
        <f t="shared" si="57"/>
        <v>315.85429277479108</v>
      </c>
      <c r="CX40" s="536"/>
    </row>
    <row r="41" spans="1:102">
      <c r="A41" s="171">
        <v>28</v>
      </c>
      <c r="B41" s="2192">
        <v>98999</v>
      </c>
      <c r="C41" s="172">
        <v>50.83</v>
      </c>
      <c r="D41" s="171">
        <v>78</v>
      </c>
      <c r="E41" s="2192">
        <f t="shared" si="10"/>
        <v>59333</v>
      </c>
      <c r="F41" s="172">
        <f t="shared" si="10"/>
        <v>9.01</v>
      </c>
      <c r="G41" s="151"/>
      <c r="H41" s="171">
        <v>28</v>
      </c>
      <c r="I41" s="2192">
        <v>99336</v>
      </c>
      <c r="J41" s="172">
        <v>55.49</v>
      </c>
      <c r="K41" s="171">
        <v>78</v>
      </c>
      <c r="L41" s="2192">
        <f t="shared" si="11"/>
        <v>74537</v>
      </c>
      <c r="M41" s="172">
        <f t="shared" si="11"/>
        <v>10.8</v>
      </c>
      <c r="O41" s="2192">
        <f t="shared" si="6"/>
        <v>99167.5</v>
      </c>
      <c r="P41" s="172">
        <f t="shared" si="7"/>
        <v>53.16</v>
      </c>
      <c r="U41">
        <f>VLOOKUP(T37+T38,Sterbetafel,9)</f>
        <v>72292</v>
      </c>
      <c r="W41" s="2967"/>
      <c r="X41" s="29">
        <v>69</v>
      </c>
      <c r="Y41" s="177">
        <f t="shared" si="2"/>
        <v>0.89285569763677564</v>
      </c>
      <c r="Z41" s="177">
        <f t="shared" si="8"/>
        <v>0.89349747410834501</v>
      </c>
      <c r="AA41" s="177">
        <f t="shared" si="12"/>
        <v>0.89419452887537998</v>
      </c>
      <c r="AB41" s="177">
        <f t="shared" si="14"/>
        <v>0.89495619372110002</v>
      </c>
      <c r="AC41" s="177">
        <f t="shared" si="16"/>
        <v>0.89578279624460799</v>
      </c>
      <c r="AD41" s="177">
        <f t="shared" si="18"/>
        <v>0.89670202389661058</v>
      </c>
      <c r="AE41" s="177">
        <f t="shared" si="20"/>
        <v>0.8977144426474627</v>
      </c>
      <c r="AF41" s="177">
        <f t="shared" si="22"/>
        <v>0.8988206778556298</v>
      </c>
      <c r="AG41" s="177">
        <f t="shared" si="24"/>
        <v>0.90004895062106105</v>
      </c>
      <c r="AH41" s="177">
        <f t="shared" si="26"/>
        <v>0.90140025124858292</v>
      </c>
      <c r="AI41" s="177">
        <f t="shared" si="28"/>
        <v>0.90290338421246474</v>
      </c>
      <c r="AJ41" s="177">
        <f t="shared" si="32"/>
        <v>0.90456912102328635</v>
      </c>
      <c r="AK41" s="177">
        <f t="shared" si="34"/>
        <v>0.90641785373168049</v>
      </c>
      <c r="AL41" s="177">
        <f t="shared" si="36"/>
        <v>0.90847049377759936</v>
      </c>
      <c r="AM41" s="177">
        <f t="shared" si="39"/>
        <v>0.91074856046065256</v>
      </c>
      <c r="AN41" s="177">
        <f t="shared" si="41"/>
        <v>0.91327428133860389</v>
      </c>
      <c r="AO41" s="177">
        <f t="shared" si="46"/>
        <v>0.91608021423678143</v>
      </c>
      <c r="AP41" s="177">
        <f t="shared" si="48"/>
        <v>0.91918097836841395</v>
      </c>
      <c r="AQ41" s="177">
        <f t="shared" si="50"/>
        <v>0.92264026678653943</v>
      </c>
      <c r="AR41" s="177">
        <f t="shared" si="52"/>
        <v>0.92647568259833513</v>
      </c>
      <c r="AS41" s="177">
        <f t="shared" si="54"/>
        <v>0.93076501233890874</v>
      </c>
      <c r="AT41" s="177">
        <f t="shared" si="58"/>
        <v>0.93556012550881951</v>
      </c>
      <c r="AU41" s="177">
        <f t="shared" si="60"/>
        <v>0.94093627727965712</v>
      </c>
      <c r="AV41" s="177">
        <f t="shared" si="62"/>
        <v>0.94695335886954002</v>
      </c>
      <c r="AW41" s="177">
        <f t="shared" si="64"/>
        <v>0.95368639443285819</v>
      </c>
      <c r="AX41" s="177">
        <f t="shared" si="66"/>
        <v>0.96118534975659164</v>
      </c>
      <c r="AY41" s="177">
        <f t="shared" si="68"/>
        <v>0.96951621407856581</v>
      </c>
      <c r="AZ41" s="177">
        <f t="shared" si="70"/>
        <v>0.9787085398715859</v>
      </c>
      <c r="BA41" s="177">
        <f t="shared" ref="BA41:BA47" si="72">VLOOKUP($X41,Sterbetafel,9)/VLOOKUP(BA$11,Sterbetafel,9)</f>
        <v>0.98884071123659711</v>
      </c>
      <c r="BB41" s="168"/>
      <c r="BC41" s="169">
        <f t="shared" ref="BC41:BH41" si="73">VLOOKUP(BC$11,Sterbetafel,2)/VLOOKUP($X41,Sterbetafel,2)</f>
        <v>0.97766552453894995</v>
      </c>
      <c r="BD41" s="169">
        <f t="shared" si="73"/>
        <v>0.95400836440592562</v>
      </c>
      <c r="BE41" s="169">
        <f t="shared" si="73"/>
        <v>0.92896553461654741</v>
      </c>
      <c r="BF41" s="169">
        <f t="shared" si="73"/>
        <v>0.9025118411770634</v>
      </c>
      <c r="BG41" s="169">
        <f t="shared" si="73"/>
        <v>0.87459689609996971</v>
      </c>
      <c r="BH41" s="170">
        <f t="shared" si="73"/>
        <v>0.84515771440088683</v>
      </c>
      <c r="BL41" s="2762" t="s">
        <v>252</v>
      </c>
      <c r="BM41" s="2762"/>
      <c r="BN41" s="2762"/>
      <c r="BO41" s="2762"/>
      <c r="BP41" s="2762" t="s">
        <v>253</v>
      </c>
      <c r="BQ41" s="2762"/>
      <c r="BR41" s="2762"/>
      <c r="BS41" s="2762"/>
      <c r="BV41">
        <f t="shared" si="43"/>
        <v>85</v>
      </c>
      <c r="BW41">
        <f t="shared" si="38"/>
        <v>54194</v>
      </c>
      <c r="BX41" s="150">
        <f t="shared" si="44"/>
        <v>0.62161201151600654</v>
      </c>
      <c r="BY41" s="148">
        <f t="shared" si="45"/>
        <v>2574.6603933734009</v>
      </c>
      <c r="CC41" s="522">
        <v>58</v>
      </c>
      <c r="CD41" s="520">
        <f t="shared" si="56"/>
        <v>222.79009520165664</v>
      </c>
      <c r="CE41" s="520">
        <f t="shared" si="56"/>
        <v>226.62422790519918</v>
      </c>
      <c r="CF41" s="520">
        <f t="shared" si="56"/>
        <v>230.52592956515537</v>
      </c>
      <c r="CG41" s="520">
        <f t="shared" si="56"/>
        <v>234.49640781460636</v>
      </c>
      <c r="CH41" s="520">
        <f t="shared" si="56"/>
        <v>238.53689188871763</v>
      </c>
      <c r="CI41" s="520">
        <f t="shared" si="56"/>
        <v>242.64863300654537</v>
      </c>
      <c r="CJ41" s="520">
        <f t="shared" si="56"/>
        <v>246.83290475931318</v>
      </c>
      <c r="CK41" s="520">
        <f t="shared" si="56"/>
        <v>251.09100350549986</v>
      </c>
      <c r="CL41" s="520">
        <f t="shared" si="56"/>
        <v>255.42424877264006</v>
      </c>
      <c r="CM41" s="520">
        <f t="shared" si="56"/>
        <v>259.83398366614381</v>
      </c>
      <c r="CN41" s="520">
        <f t="shared" si="57"/>
        <v>264.32157528507196</v>
      </c>
      <c r="CO41" s="520">
        <f t="shared" si="57"/>
        <v>268.8884151451557</v>
      </c>
      <c r="CP41" s="520">
        <f t="shared" si="57"/>
        <v>273.53591960901173</v>
      </c>
      <c r="CQ41" s="520">
        <f t="shared" si="57"/>
        <v>278.26553032383993</v>
      </c>
      <c r="CR41" s="520">
        <f t="shared" si="57"/>
        <v>283.07871466656559</v>
      </c>
      <c r="CS41" s="520">
        <f t="shared" si="57"/>
        <v>287.97696619670489</v>
      </c>
      <c r="CT41" s="520">
        <f t="shared" si="57"/>
        <v>292.96180511693672</v>
      </c>
      <c r="CU41" s="520">
        <f t="shared" si="57"/>
        <v>298.03477874164605</v>
      </c>
      <c r="CV41" s="520">
        <f t="shared" si="57"/>
        <v>303.1974619734367</v>
      </c>
      <c r="CW41" s="524">
        <f t="shared" si="57"/>
        <v>308.45145778788191</v>
      </c>
      <c r="CX41" s="536"/>
    </row>
    <row r="42" spans="1:102" ht="14.25">
      <c r="A42" s="162">
        <v>29</v>
      </c>
      <c r="B42" s="2193">
        <v>98951</v>
      </c>
      <c r="C42" s="178">
        <v>49.85</v>
      </c>
      <c r="D42" s="162">
        <v>79</v>
      </c>
      <c r="E42" s="2193">
        <f t="shared" si="10"/>
        <v>56488</v>
      </c>
      <c r="F42" s="178">
        <f t="shared" si="10"/>
        <v>8.43</v>
      </c>
      <c r="G42" s="151"/>
      <c r="H42" s="162">
        <v>29</v>
      </c>
      <c r="I42" s="2193">
        <v>99314</v>
      </c>
      <c r="J42" s="178">
        <v>54.5</v>
      </c>
      <c r="K42" s="162">
        <v>79</v>
      </c>
      <c r="L42" s="2193">
        <f t="shared" si="11"/>
        <v>72292</v>
      </c>
      <c r="M42" s="178">
        <f t="shared" si="11"/>
        <v>10.119999999999999</v>
      </c>
      <c r="O42" s="2193">
        <f t="shared" si="6"/>
        <v>99132.5</v>
      </c>
      <c r="P42" s="178">
        <f t="shared" si="7"/>
        <v>52.174999999999997</v>
      </c>
      <c r="T42">
        <f>+T38*U42</f>
        <v>28.66231603196896</v>
      </c>
      <c r="U42">
        <f>+U41/U40</f>
        <v>0.73043618837841384</v>
      </c>
      <c r="W42" s="2967"/>
      <c r="X42" s="29">
        <v>70</v>
      </c>
      <c r="Y42" s="177">
        <f t="shared" si="2"/>
        <v>0.88199053091615409</v>
      </c>
      <c r="Z42" s="177">
        <f t="shared" si="8"/>
        <v>0.88262449760571793</v>
      </c>
      <c r="AA42" s="177">
        <f t="shared" si="12"/>
        <v>0.88331306990881464</v>
      </c>
      <c r="AB42" s="177">
        <f t="shared" si="14"/>
        <v>0.88406546605013381</v>
      </c>
      <c r="AC42" s="177">
        <f t="shared" si="16"/>
        <v>0.88488200964222274</v>
      </c>
      <c r="AD42" s="177">
        <f t="shared" si="18"/>
        <v>0.8857900512070227</v>
      </c>
      <c r="AE42" s="177">
        <f t="shared" si="20"/>
        <v>0.88679014982759152</v>
      </c>
      <c r="AF42" s="177">
        <f t="shared" si="22"/>
        <v>0.88788292325240348</v>
      </c>
      <c r="AG42" s="177">
        <f t="shared" si="24"/>
        <v>0.88909624915866126</v>
      </c>
      <c r="AH42" s="177">
        <f t="shared" si="26"/>
        <v>0.89043110580016549</v>
      </c>
      <c r="AI42" s="177">
        <f t="shared" si="28"/>
        <v>0.89191594712935307</v>
      </c>
      <c r="AJ42" s="177">
        <f t="shared" si="32"/>
        <v>0.89356141357822239</v>
      </c>
      <c r="AK42" s="177">
        <f t="shared" si="34"/>
        <v>0.8953876490464111</v>
      </c>
      <c r="AL42" s="177">
        <f t="shared" si="36"/>
        <v>0.89741531050242407</v>
      </c>
      <c r="AM42" s="177">
        <f t="shared" si="39"/>
        <v>0.89966565537737597</v>
      </c>
      <c r="AN42" s="177">
        <f t="shared" si="41"/>
        <v>0.90216064074173719</v>
      </c>
      <c r="AO42" s="177">
        <f t="shared" si="46"/>
        <v>0.90493242822445041</v>
      </c>
      <c r="AP42" s="177">
        <f t="shared" si="48"/>
        <v>0.90799545913744439</v>
      </c>
      <c r="AQ42" s="177">
        <f t="shared" si="50"/>
        <v>0.91141265145258576</v>
      </c>
      <c r="AR42" s="177">
        <f t="shared" si="52"/>
        <v>0.91520139406472745</v>
      </c>
      <c r="AS42" s="177">
        <f t="shared" si="54"/>
        <v>0.91943852692413153</v>
      </c>
      <c r="AT42" s="177">
        <f t="shared" si="58"/>
        <v>0.92417528833107188</v>
      </c>
      <c r="AU42" s="177">
        <f t="shared" si="60"/>
        <v>0.92948601767647154</v>
      </c>
      <c r="AV42" s="177">
        <f t="shared" si="62"/>
        <v>0.93542987736183092</v>
      </c>
      <c r="AW42" s="177">
        <f t="shared" si="64"/>
        <v>0.94208097857212325</v>
      </c>
      <c r="AX42" s="177">
        <f t="shared" si="66"/>
        <v>0.94948867906034562</v>
      </c>
      <c r="AY42" s="177">
        <f t="shared" si="68"/>
        <v>0.95771816504086471</v>
      </c>
      <c r="AZ42" s="177">
        <f t="shared" si="70"/>
        <v>0.96679862936225425</v>
      </c>
      <c r="BA42" s="177">
        <f t="shared" si="72"/>
        <v>0.97680750226883128</v>
      </c>
      <c r="BB42" s="177">
        <f t="shared" ref="BB42:BB47" si="74">VLOOKUP($X42,Sterbetafel,9)/VLOOKUP(BB$11,Sterbetafel,9)</f>
        <v>0.98783099357558046</v>
      </c>
      <c r="BC42" s="168"/>
      <c r="BD42" s="169">
        <f>VLOOKUP(BD$11,Sterbetafel,2)/VLOOKUP($X42,Sterbetafel,2)</f>
        <v>0.97580239914445122</v>
      </c>
      <c r="BE42" s="169">
        <f>VLOOKUP(BE$11,Sterbetafel,2)/VLOOKUP($X42,Sterbetafel,2)</f>
        <v>0.95018747342515886</v>
      </c>
      <c r="BF42" s="169">
        <f>VLOOKUP(BF$11,Sterbetafel,2)/VLOOKUP($X42,Sterbetafel,2)</f>
        <v>0.92312945329914575</v>
      </c>
      <c r="BG42" s="169">
        <f>VLOOKUP(BG$11,Sterbetafel,2)/VLOOKUP($X42,Sterbetafel,2)</f>
        <v>0.89457679968045767</v>
      </c>
      <c r="BH42" s="170">
        <f>VLOOKUP(BH$11,Sterbetafel,2)/VLOOKUP($X42,Sterbetafel,2)</f>
        <v>0.86446508871165173</v>
      </c>
      <c r="BL42" s="50" t="s">
        <v>7</v>
      </c>
      <c r="BM42" s="50">
        <v>65</v>
      </c>
      <c r="BN42" s="50">
        <v>66</v>
      </c>
      <c r="BO42" s="50">
        <v>67</v>
      </c>
      <c r="BP42" s="50" t="s">
        <v>7</v>
      </c>
      <c r="BQ42" s="50">
        <v>65</v>
      </c>
      <c r="BR42" s="50">
        <v>66</v>
      </c>
      <c r="BS42" s="50">
        <v>67</v>
      </c>
      <c r="BV42">
        <f t="shared" si="43"/>
        <v>86</v>
      </c>
      <c r="BW42">
        <f t="shared" si="38"/>
        <v>50170</v>
      </c>
      <c r="BX42" s="150">
        <f t="shared" si="44"/>
        <v>0.57545622426390464</v>
      </c>
      <c r="BY42" s="148">
        <f t="shared" si="45"/>
        <v>2121.6434502983961</v>
      </c>
      <c r="CC42" s="522">
        <v>59</v>
      </c>
      <c r="CD42" s="521">
        <f t="shared" si="56"/>
        <v>221.68168676781755</v>
      </c>
      <c r="CE42" s="521">
        <f t="shared" si="56"/>
        <v>225.27259235109261</v>
      </c>
      <c r="CF42" s="521">
        <f t="shared" si="56"/>
        <v>228.92346530799938</v>
      </c>
      <c r="CG42" s="521">
        <f t="shared" si="56"/>
        <v>232.63532521290313</v>
      </c>
      <c r="CH42" s="521">
        <f t="shared" si="56"/>
        <v>236.40920900764883</v>
      </c>
      <c r="CI42" s="521">
        <f t="shared" si="56"/>
        <v>240.24617129360925</v>
      </c>
      <c r="CJ42" s="521">
        <f t="shared" si="56"/>
        <v>244.14728462840077</v>
      </c>
      <c r="CK42" s="521">
        <f t="shared" si="56"/>
        <v>248.11363982756907</v>
      </c>
      <c r="CL42" s="521">
        <f t="shared" si="56"/>
        <v>252.14634627111559</v>
      </c>
      <c r="CM42" s="521">
        <f t="shared" si="56"/>
        <v>256.24653221513194</v>
      </c>
      <c r="CN42" s="521">
        <f t="shared" si="57"/>
        <v>260.41534510844531</v>
      </c>
      <c r="CO42" s="521">
        <f t="shared" si="57"/>
        <v>264.6539519145233</v>
      </c>
      <c r="CP42" s="521">
        <f t="shared" si="57"/>
        <v>268.96353943855627</v>
      </c>
      <c r="CQ42" s="521">
        <f t="shared" si="57"/>
        <v>273.34531465996071</v>
      </c>
      <c r="CR42" s="521">
        <f t="shared" si="57"/>
        <v>277.80050507023122</v>
      </c>
      <c r="CS42" s="521">
        <f t="shared" si="57"/>
        <v>282.33035901637732</v>
      </c>
      <c r="CT42" s="521">
        <f t="shared" si="57"/>
        <v>286.93614604988915</v>
      </c>
      <c r="CU42" s="521">
        <f t="shared" si="57"/>
        <v>291.61915728145414</v>
      </c>
      <c r="CV42" s="521">
        <f t="shared" si="57"/>
        <v>296.38070574138482</v>
      </c>
      <c r="CW42" s="525">
        <f t="shared" si="57"/>
        <v>301.22212674597841</v>
      </c>
      <c r="CX42" s="536"/>
    </row>
    <row r="43" spans="1:102" ht="14.25">
      <c r="A43" s="171">
        <v>30</v>
      </c>
      <c r="B43" s="2192">
        <v>98901</v>
      </c>
      <c r="C43" s="172">
        <v>48.88</v>
      </c>
      <c r="D43" s="171">
        <v>80</v>
      </c>
      <c r="E43" s="2192">
        <f t="shared" si="10"/>
        <v>53507</v>
      </c>
      <c r="F43" s="172">
        <f t="shared" si="10"/>
        <v>7.88</v>
      </c>
      <c r="G43" s="151"/>
      <c r="H43" s="171">
        <v>30</v>
      </c>
      <c r="I43" s="2192">
        <v>99289</v>
      </c>
      <c r="J43" s="172">
        <v>53.51</v>
      </c>
      <c r="K43" s="171">
        <v>80</v>
      </c>
      <c r="L43" s="2192">
        <f t="shared" si="11"/>
        <v>69865</v>
      </c>
      <c r="M43" s="172">
        <f t="shared" si="11"/>
        <v>9.4600000000000009</v>
      </c>
      <c r="O43" s="2192">
        <f t="shared" si="6"/>
        <v>99095</v>
      </c>
      <c r="P43" s="172">
        <f t="shared" si="7"/>
        <v>51.195</v>
      </c>
      <c r="R43" s="148">
        <f>-PMT(4%,14,120000)/12</f>
        <v>946.6897305639983</v>
      </c>
      <c r="W43" s="2967"/>
      <c r="X43" s="29">
        <v>71</v>
      </c>
      <c r="Y43" s="177">
        <f t="shared" si="2"/>
        <v>0.87026545807704758</v>
      </c>
      <c r="Z43" s="177">
        <f t="shared" si="8"/>
        <v>0.87089099689198901</v>
      </c>
      <c r="AA43" s="177">
        <f t="shared" si="12"/>
        <v>0.87157041540020264</v>
      </c>
      <c r="AB43" s="177">
        <f t="shared" si="14"/>
        <v>0.8723128092804413</v>
      </c>
      <c r="AC43" s="177">
        <f t="shared" si="16"/>
        <v>0.87311849784318696</v>
      </c>
      <c r="AD43" s="177">
        <f t="shared" si="18"/>
        <v>0.87401446801593108</v>
      </c>
      <c r="AE43" s="177">
        <f t="shared" si="20"/>
        <v>0.87500127144935058</v>
      </c>
      <c r="AF43" s="177">
        <f t="shared" si="22"/>
        <v>0.87607951767964809</v>
      </c>
      <c r="AG43" s="177">
        <f t="shared" si="24"/>
        <v>0.87727671378163941</v>
      </c>
      <c r="AH43" s="177">
        <f t="shared" si="26"/>
        <v>0.87859382500434069</v>
      </c>
      <c r="AI43" s="177">
        <f t="shared" si="28"/>
        <v>0.88005892703687028</v>
      </c>
      <c r="AJ43" s="177">
        <f t="shared" si="32"/>
        <v>0.88168251885864213</v>
      </c>
      <c r="AK43" s="177">
        <f t="shared" si="34"/>
        <v>0.88348447657878793</v>
      </c>
      <c r="AL43" s="177">
        <f t="shared" si="36"/>
        <v>0.8854851825546326</v>
      </c>
      <c r="AM43" s="177">
        <f t="shared" si="39"/>
        <v>0.88770561162363526</v>
      </c>
      <c r="AN43" s="177">
        <f t="shared" si="41"/>
        <v>0.8901674289616921</v>
      </c>
      <c r="AO43" s="177">
        <f t="shared" si="46"/>
        <v>0.89290236864503536</v>
      </c>
      <c r="AP43" s="177">
        <f t="shared" si="48"/>
        <v>0.89592468000458247</v>
      </c>
      <c r="AQ43" s="177">
        <f t="shared" si="50"/>
        <v>0.89929644458847757</v>
      </c>
      <c r="AR43" s="177">
        <f t="shared" si="52"/>
        <v>0.90303482012575975</v>
      </c>
      <c r="AS43" s="177">
        <f t="shared" si="54"/>
        <v>0.90721562506591302</v>
      </c>
      <c r="AT43" s="177">
        <f t="shared" si="58"/>
        <v>0.91188941655359568</v>
      </c>
      <c r="AU43" s="177">
        <f t="shared" si="60"/>
        <v>0.91712954572107852</v>
      </c>
      <c r="AV43" s="177">
        <f t="shared" si="62"/>
        <v>0.9229943884722267</v>
      </c>
      <c r="AW43" s="177">
        <f t="shared" si="64"/>
        <v>0.92955707076710281</v>
      </c>
      <c r="AX43" s="177">
        <f t="shared" si="66"/>
        <v>0.93686629420285117</v>
      </c>
      <c r="AY43" s="177">
        <f t="shared" si="68"/>
        <v>0.944986378416381</v>
      </c>
      <c r="AZ43" s="177">
        <f t="shared" si="70"/>
        <v>0.95394612817015423</v>
      </c>
      <c r="BA43" s="177">
        <f t="shared" si="72"/>
        <v>0.96382194436041368</v>
      </c>
      <c r="BB43" s="177">
        <f t="shared" si="74"/>
        <v>0.97469889073954474</v>
      </c>
      <c r="BC43" s="177">
        <f>VLOOKUP($X43,Sterbetafel,9)/VLOOKUP(BC$11,Sterbetafel,9)</f>
        <v>0.98670612390030166</v>
      </c>
      <c r="BD43" s="168"/>
      <c r="BE43" s="169">
        <f>VLOOKUP(BE$11,Sterbetafel,2)/VLOOKUP($X43,Sterbetafel,2)</f>
        <v>0.97374988446251964</v>
      </c>
      <c r="BF43" s="169">
        <f>VLOOKUP(BF$11,Sterbetafel,2)/VLOOKUP($X43,Sterbetafel,2)</f>
        <v>0.94602088917644889</v>
      </c>
      <c r="BG43" s="169">
        <f>VLOOKUP(BG$11,Sterbetafel,2)/VLOOKUP($X43,Sterbetafel,2)</f>
        <v>0.91676019700790934</v>
      </c>
      <c r="BH43" s="170">
        <f>VLOOKUP(BH$11,Sterbetafel,2)/VLOOKUP($X43,Sterbetafel,2)</f>
        <v>0.88590178653955343</v>
      </c>
      <c r="BL43" s="50">
        <f>+A43</f>
        <v>30</v>
      </c>
      <c r="BM43" s="69">
        <f t="shared" ref="BM43:BM62" si="75">1000/-PV(2%,BM$42-$BL43,,-PV(2%,$F$28,12))*$E$28/B43</f>
        <v>9.833569526954685</v>
      </c>
      <c r="BN43" s="69">
        <f>1000/-PV(2%,BN$42-$BL43,,-PV(2%,$F$29,12))*$E$29/B43</f>
        <v>10.224401876018863</v>
      </c>
      <c r="BO43" s="69">
        <f>1000/-PV(2%,BO$42-$BL43,,-PV(2%,$F$30,12))*$E$30/B43</f>
        <v>10.628894301770842</v>
      </c>
      <c r="BP43" s="50">
        <v>30</v>
      </c>
      <c r="BQ43" s="69">
        <f>1000/-PV(2%,BQ$42-$BL43,,-PV(2%,$M$28,12))*L28/I43</f>
        <v>9.1445282437731947</v>
      </c>
      <c r="BR43" s="69">
        <f>1000/-PV(2%,BR$42-$BL43,,-PV(2%,$M$29,12))</f>
        <v>10.42582864579229</v>
      </c>
      <c r="BS43" s="69">
        <f>1000/-PV(2%,BS$42-$BL43,,-PV(2%,$M$30,12))</f>
        <v>11.001983540808103</v>
      </c>
      <c r="BV43">
        <f t="shared" si="43"/>
        <v>87</v>
      </c>
      <c r="BW43">
        <f t="shared" si="38"/>
        <v>45840</v>
      </c>
      <c r="BX43" s="150">
        <f t="shared" si="44"/>
        <v>0.525790578438457</v>
      </c>
      <c r="BY43" s="148">
        <f t="shared" si="45"/>
        <v>1703.0997199620117</v>
      </c>
      <c r="CC43" s="522">
        <v>60</v>
      </c>
      <c r="CD43" s="520">
        <f t="shared" ref="CD43:CM53" si="76">(((1+CD$12)^$CA$15-1)/CD$12)*$CA$18*(1+CD$12)^($CH$11-$CC43)*12</f>
        <v>220.57879280379859</v>
      </c>
      <c r="CE43" s="520">
        <f t="shared" si="76"/>
        <v>223.92901824164272</v>
      </c>
      <c r="CF43" s="520">
        <f t="shared" si="76"/>
        <v>227.33214032571934</v>
      </c>
      <c r="CG43" s="520">
        <f t="shared" si="76"/>
        <v>230.78901310803883</v>
      </c>
      <c r="CH43" s="520">
        <f t="shared" si="76"/>
        <v>234.30050446744178</v>
      </c>
      <c r="CI43" s="520">
        <f t="shared" si="76"/>
        <v>237.8674963303061</v>
      </c>
      <c r="CJ43" s="520">
        <f t="shared" si="76"/>
        <v>241.49088489456062</v>
      </c>
      <c r="CK43" s="520">
        <f t="shared" si="76"/>
        <v>245.1715808572817</v>
      </c>
      <c r="CL43" s="520">
        <f t="shared" si="76"/>
        <v>248.91050964572122</v>
      </c>
      <c r="CM43" s="520">
        <f t="shared" si="76"/>
        <v>252.70861165200375</v>
      </c>
      <c r="CN43" s="520">
        <f t="shared" ref="CN43:CW53" si="77">(((1+CN$12)^$CA$15-1)/CN$12)*$CA$18*(1+CN$12)^($CH$11-$CC43)*12</f>
        <v>256.56684247137468</v>
      </c>
      <c r="CO43" s="520">
        <f t="shared" si="77"/>
        <v>260.48617314421585</v>
      </c>
      <c r="CP43" s="520">
        <f t="shared" si="77"/>
        <v>264.46759040172691</v>
      </c>
      <c r="CQ43" s="520">
        <f t="shared" si="77"/>
        <v>268.51209691548206</v>
      </c>
      <c r="CR43" s="520">
        <f t="shared" si="77"/>
        <v>272.62071155076666</v>
      </c>
      <c r="CS43" s="520">
        <f t="shared" si="77"/>
        <v>276.79446962389932</v>
      </c>
      <c r="CT43" s="520">
        <f t="shared" si="77"/>
        <v>281.03442316345655</v>
      </c>
      <c r="CU43" s="520">
        <f t="shared" si="77"/>
        <v>285.34164117559106</v>
      </c>
      <c r="CV43" s="520">
        <f t="shared" si="77"/>
        <v>289.71720991337719</v>
      </c>
      <c r="CW43" s="524">
        <f t="shared" si="77"/>
        <v>294.16223315036962</v>
      </c>
      <c r="CX43" s="536"/>
    </row>
    <row r="44" spans="1:102" ht="14.25">
      <c r="A44" s="162">
        <v>31</v>
      </c>
      <c r="B44" s="2193">
        <v>98847</v>
      </c>
      <c r="C44" s="178">
        <v>47.91</v>
      </c>
      <c r="D44" s="162">
        <v>81</v>
      </c>
      <c r="E44" s="2193">
        <f t="shared" si="10"/>
        <v>50386</v>
      </c>
      <c r="F44" s="178">
        <f t="shared" si="10"/>
        <v>7.33</v>
      </c>
      <c r="G44" s="151"/>
      <c r="H44" s="162">
        <v>31</v>
      </c>
      <c r="I44" s="2193">
        <v>99262</v>
      </c>
      <c r="J44" s="178">
        <v>52.53</v>
      </c>
      <c r="K44" s="162">
        <v>81</v>
      </c>
      <c r="L44" s="2193">
        <f t="shared" si="11"/>
        <v>67239</v>
      </c>
      <c r="M44" s="178">
        <f t="shared" si="11"/>
        <v>8.81</v>
      </c>
      <c r="O44" s="2193">
        <f t="shared" si="6"/>
        <v>99054.5</v>
      </c>
      <c r="P44" s="178">
        <f t="shared" si="7"/>
        <v>50.22</v>
      </c>
      <c r="W44" s="2967"/>
      <c r="X44" s="29">
        <v>72</v>
      </c>
      <c r="Y44" s="177">
        <f t="shared" si="2"/>
        <v>0.85755908060861119</v>
      </c>
      <c r="Z44" s="177">
        <f t="shared" si="8"/>
        <v>0.85817548619617923</v>
      </c>
      <c r="AA44" s="177">
        <f t="shared" si="12"/>
        <v>0.85884498480243165</v>
      </c>
      <c r="AB44" s="177">
        <f t="shared" si="14"/>
        <v>0.85957653930396694</v>
      </c>
      <c r="AC44" s="177">
        <f t="shared" si="16"/>
        <v>0.86037046434914999</v>
      </c>
      <c r="AD44" s="177">
        <f t="shared" si="18"/>
        <v>0.86125335284077054</v>
      </c>
      <c r="AE44" s="177">
        <f t="shared" si="20"/>
        <v>0.8622257483750877</v>
      </c>
      <c r="AF44" s="177">
        <f t="shared" si="22"/>
        <v>0.86328825158872413</v>
      </c>
      <c r="AG44" s="177">
        <f t="shared" si="24"/>
        <v>0.86446796793734315</v>
      </c>
      <c r="AH44" s="177">
        <f t="shared" si="26"/>
        <v>0.86576584857676875</v>
      </c>
      <c r="AI44" s="177">
        <f t="shared" si="28"/>
        <v>0.86720955927487009</v>
      </c>
      <c r="AJ44" s="177">
        <f t="shared" si="32"/>
        <v>0.86880944571990815</v>
      </c>
      <c r="AK44" s="177">
        <f t="shared" si="34"/>
        <v>0.87058509381836113</v>
      </c>
      <c r="AL44" s="177">
        <f t="shared" si="36"/>
        <v>0.87255658833338479</v>
      </c>
      <c r="AM44" s="177">
        <f t="shared" si="39"/>
        <v>0.87474459785771774</v>
      </c>
      <c r="AN44" s="177">
        <f t="shared" si="41"/>
        <v>0.87717047124319625</v>
      </c>
      <c r="AO44" s="177">
        <f t="shared" si="46"/>
        <v>0.87986547923024228</v>
      </c>
      <c r="AP44" s="177">
        <f t="shared" si="48"/>
        <v>0.88284366310132578</v>
      </c>
      <c r="AQ44" s="177">
        <f t="shared" si="50"/>
        <v>0.88616619797819296</v>
      </c>
      <c r="AR44" s="177">
        <f t="shared" si="52"/>
        <v>0.88984999107714591</v>
      </c>
      <c r="AS44" s="177">
        <f t="shared" si="54"/>
        <v>0.89396975385459065</v>
      </c>
      <c r="AT44" s="177">
        <f t="shared" si="58"/>
        <v>0.89857530529172325</v>
      </c>
      <c r="AU44" s="177">
        <f t="shared" si="60"/>
        <v>0.90373892555198998</v>
      </c>
      <c r="AV44" s="177">
        <f t="shared" si="62"/>
        <v>0.90951813821740113</v>
      </c>
      <c r="AW44" s="177">
        <f t="shared" si="64"/>
        <v>0.91598500156683915</v>
      </c>
      <c r="AX44" s="177">
        <f t="shared" si="66"/>
        <v>0.92318750612604961</v>
      </c>
      <c r="AY44" s="177">
        <f t="shared" si="68"/>
        <v>0.93118903242815709</v>
      </c>
      <c r="AZ44" s="177">
        <f t="shared" si="70"/>
        <v>0.9400179646694834</v>
      </c>
      <c r="BA44" s="177">
        <f t="shared" si="72"/>
        <v>0.94974958824913447</v>
      </c>
      <c r="BB44" s="177">
        <f t="shared" si="74"/>
        <v>0.96046772493966481</v>
      </c>
      <c r="BC44" s="177">
        <f>VLOOKUP($X44,Sterbetafel,9)/VLOOKUP(BC$11,Sterbetafel,9)</f>
        <v>0.97229964557310489</v>
      </c>
      <c r="BD44" s="177">
        <f>VLOOKUP($X44,Sterbetafel,9)/VLOOKUP(BD$11,Sterbetafel,9)</f>
        <v>0.98539942341672093</v>
      </c>
      <c r="BE44" s="168"/>
      <c r="BF44" s="169">
        <f>VLOOKUP(BF$11,Sterbetafel,2)/VLOOKUP($X44,Sterbetafel,2)</f>
        <v>0.97152349311817754</v>
      </c>
      <c r="BG44" s="169">
        <f>VLOOKUP(BG$11,Sterbetafel,2)/VLOOKUP($X44,Sterbetafel,2)</f>
        <v>0.9414739982371686</v>
      </c>
      <c r="BH44" s="170">
        <f>VLOOKUP(BH$11,Sterbetafel,2)/VLOOKUP($X44,Sterbetafel,2)</f>
        <v>0.90978371415011183</v>
      </c>
      <c r="BL44" s="50">
        <f t="shared" ref="BL44:BL83" si="78">+A44</f>
        <v>31</v>
      </c>
      <c r="BM44" s="69">
        <f t="shared" si="75"/>
        <v>9.6460211710169776</v>
      </c>
      <c r="BN44" s="69">
        <f t="shared" ref="BN44:BN79" si="79">1000/-PV(2%,BN$42-$BL44,,-PV(2%,$F$29,12))*$E$29/B44</f>
        <v>10.029399465445822</v>
      </c>
      <c r="BO44" s="69">
        <f t="shared" ref="BO44:BO80" si="80">1000/-PV(2%,BO$42-$BL44,,-PV(2%,$F$30,12))*$E$30/B44</f>
        <v>10.426177308082169</v>
      </c>
      <c r="BP44" s="50">
        <v>31</v>
      </c>
      <c r="BQ44" s="69">
        <f t="shared" ref="BQ44:BQ83" si="81">1000/-PV(2%,BQ$42-$BL44,,-PV(2%,$F$28,12))</f>
        <v>11.157688311877774</v>
      </c>
      <c r="BR44" s="69">
        <f t="shared" ref="BR44:BR83" si="82">1000/-PV(2%,BR$42-$BL44,,-PV(2%,$F$29,12))</f>
        <v>11.789604454339131</v>
      </c>
      <c r="BS44" s="69">
        <f t="shared" ref="BS44:BS83" si="83">1000/-PV(2%,BS$42-$BL44,,-PV(2%,$F$30,12))</f>
        <v>12.473480125049901</v>
      </c>
      <c r="BV44">
        <f t="shared" si="43"/>
        <v>88</v>
      </c>
      <c r="BW44">
        <f t="shared" si="38"/>
        <v>41247</v>
      </c>
      <c r="BX44" s="150">
        <f t="shared" si="44"/>
        <v>0.47310828946010114</v>
      </c>
      <c r="BY44" s="148">
        <f t="shared" si="45"/>
        <v>1325.8739981041504</v>
      </c>
      <c r="CC44" s="522">
        <v>61</v>
      </c>
      <c r="CD44" s="521">
        <f t="shared" si="76"/>
        <v>219.48138587442651</v>
      </c>
      <c r="CE44" s="521">
        <f t="shared" si="76"/>
        <v>222.59345749666278</v>
      </c>
      <c r="CF44" s="521">
        <f t="shared" si="76"/>
        <v>225.75187718542142</v>
      </c>
      <c r="CG44" s="521">
        <f t="shared" si="76"/>
        <v>228.95735427384798</v>
      </c>
      <c r="CH44" s="521">
        <f t="shared" si="76"/>
        <v>232.21060898656282</v>
      </c>
      <c r="CI44" s="521">
        <f t="shared" si="76"/>
        <v>235.51237260426353</v>
      </c>
      <c r="CJ44" s="521">
        <f t="shared" si="76"/>
        <v>238.86338763062378</v>
      </c>
      <c r="CK44" s="521">
        <f t="shared" si="76"/>
        <v>242.26440796174074</v>
      </c>
      <c r="CL44" s="521">
        <f t="shared" si="76"/>
        <v>245.71619905796763</v>
      </c>
      <c r="CM44" s="521">
        <f t="shared" si="76"/>
        <v>249.21953811834697</v>
      </c>
      <c r="CN44" s="521">
        <f t="shared" si="77"/>
        <v>252.77521425751206</v>
      </c>
      <c r="CO44" s="521">
        <f t="shared" si="77"/>
        <v>256.38402868525179</v>
      </c>
      <c r="CP44" s="521">
        <f t="shared" si="77"/>
        <v>260.04679488862041</v>
      </c>
      <c r="CQ44" s="521">
        <f t="shared" si="77"/>
        <v>263.76433881677997</v>
      </c>
      <c r="CR44" s="521">
        <f t="shared" si="77"/>
        <v>267.53749906846582</v>
      </c>
      <c r="CS44" s="521">
        <f t="shared" si="77"/>
        <v>271.36712708225434</v>
      </c>
      <c r="CT44" s="521">
        <f t="shared" si="77"/>
        <v>275.25408732953633</v>
      </c>
      <c r="CU44" s="521">
        <f t="shared" si="77"/>
        <v>279.19925751036305</v>
      </c>
      <c r="CV44" s="521">
        <f t="shared" si="77"/>
        <v>283.20352875207942</v>
      </c>
      <c r="CW44" s="525">
        <f t="shared" si="77"/>
        <v>287.26780581090776</v>
      </c>
      <c r="CX44" s="536"/>
    </row>
    <row r="45" spans="1:102" ht="14.25">
      <c r="A45" s="171">
        <v>32</v>
      </c>
      <c r="B45" s="2192">
        <v>98790</v>
      </c>
      <c r="C45" s="172">
        <v>46.93</v>
      </c>
      <c r="D45" s="171">
        <v>82</v>
      </c>
      <c r="E45" s="2192">
        <f t="shared" si="10"/>
        <v>47119</v>
      </c>
      <c r="F45" s="172">
        <f t="shared" si="10"/>
        <v>6.81</v>
      </c>
      <c r="G45" s="151"/>
      <c r="H45" s="171">
        <v>32</v>
      </c>
      <c r="I45" s="2192">
        <v>99232</v>
      </c>
      <c r="J45" s="172">
        <v>51.54</v>
      </c>
      <c r="K45" s="171">
        <v>82</v>
      </c>
      <c r="L45" s="2192">
        <f t="shared" si="11"/>
        <v>64390</v>
      </c>
      <c r="M45" s="172">
        <f t="shared" si="11"/>
        <v>8.18</v>
      </c>
      <c r="O45" s="2192">
        <f t="shared" si="6"/>
        <v>99011</v>
      </c>
      <c r="P45" s="172">
        <f t="shared" si="7"/>
        <v>49.234999999999999</v>
      </c>
      <c r="W45" s="2967"/>
      <c r="X45" s="29">
        <v>73</v>
      </c>
      <c r="Y45" s="177">
        <f t="shared" si="2"/>
        <v>0.84375</v>
      </c>
      <c r="Z45" s="177">
        <f t="shared" si="8"/>
        <v>0.84435647974730965</v>
      </c>
      <c r="AA45" s="177">
        <f t="shared" si="12"/>
        <v>0.84501519756838905</v>
      </c>
      <c r="AB45" s="177">
        <f t="shared" si="14"/>
        <v>0.84573497201265513</v>
      </c>
      <c r="AC45" s="177">
        <f t="shared" si="16"/>
        <v>0.84651611266176097</v>
      </c>
      <c r="AD45" s="177">
        <f t="shared" si="18"/>
        <v>0.84738478419897589</v>
      </c>
      <c r="AE45" s="177">
        <f t="shared" si="20"/>
        <v>0.84834152146715081</v>
      </c>
      <c r="AF45" s="177">
        <f t="shared" si="22"/>
        <v>0.84938691543099232</v>
      </c>
      <c r="AG45" s="177">
        <f t="shared" si="24"/>
        <v>0.85054763507312003</v>
      </c>
      <c r="AH45" s="177">
        <f t="shared" si="26"/>
        <v>0.85182461623310968</v>
      </c>
      <c r="AI45" s="177">
        <f t="shared" si="28"/>
        <v>0.8532450791832058</v>
      </c>
      <c r="AJ45" s="177">
        <f t="shared" si="32"/>
        <v>0.85481920301738279</v>
      </c>
      <c r="AK45" s="177">
        <f t="shared" si="34"/>
        <v>0.85656625825468069</v>
      </c>
      <c r="AL45" s="177">
        <f t="shared" si="36"/>
        <v>0.85850600623784079</v>
      </c>
      <c r="AM45" s="177">
        <f t="shared" si="39"/>
        <v>0.86065878273791097</v>
      </c>
      <c r="AN45" s="177">
        <f t="shared" si="41"/>
        <v>0.86304559283097748</v>
      </c>
      <c r="AO45" s="177">
        <f t="shared" si="46"/>
        <v>0.86569720371177683</v>
      </c>
      <c r="AP45" s="177">
        <f t="shared" si="48"/>
        <v>0.8686274305591718</v>
      </c>
      <c r="AQ45" s="177">
        <f t="shared" si="50"/>
        <v>0.87189646340571003</v>
      </c>
      <c r="AR45" s="177">
        <f t="shared" si="52"/>
        <v>0.87552093721459989</v>
      </c>
      <c r="AS45" s="177">
        <f t="shared" si="54"/>
        <v>0.87957436038050241</v>
      </c>
      <c r="AT45" s="177">
        <f t="shared" si="58"/>
        <v>0.88410574966078692</v>
      </c>
      <c r="AU45" s="177">
        <f t="shared" si="60"/>
        <v>0.88918622130771774</v>
      </c>
      <c r="AV45" s="177">
        <f t="shared" si="62"/>
        <v>0.89487237261402774</v>
      </c>
      <c r="AW45" s="177">
        <f t="shared" si="64"/>
        <v>0.90123510152037434</v>
      </c>
      <c r="AX45" s="177">
        <f t="shared" si="66"/>
        <v>0.90832162577188225</v>
      </c>
      <c r="AY45" s="177">
        <f t="shared" si="68"/>
        <v>0.9161943052992354</v>
      </c>
      <c r="AZ45" s="177">
        <f t="shared" si="70"/>
        <v>0.92488106723443897</v>
      </c>
      <c r="BA45" s="177">
        <f t="shared" si="72"/>
        <v>0.93445598467278412</v>
      </c>
      <c r="BB45" s="177">
        <f t="shared" si="74"/>
        <v>0.94500152962371253</v>
      </c>
      <c r="BC45" s="177">
        <f>VLOOKUP($X45,Sterbetafel,9)/VLOOKUP(BC$11,Sterbetafel,9)</f>
        <v>0.95664292350572933</v>
      </c>
      <c r="BD45" s="177">
        <f>VLOOKUP($X45,Sterbetafel,9)/VLOOKUP(BD$11,Sterbetafel,9)</f>
        <v>0.9695317585790012</v>
      </c>
      <c r="BE45" s="177">
        <f>VLOOKUP($X45,Sterbetafel,9)/VLOOKUP(BE$11,Sterbetafel,9)</f>
        <v>0.98389722536806345</v>
      </c>
      <c r="BF45" s="168"/>
      <c r="BG45" s="169">
        <f>VLOOKUP(BG$11,Sterbetafel,2)/VLOOKUP($X45,Sterbetafel,2)</f>
        <v>0.96906971875218084</v>
      </c>
      <c r="BH45" s="170">
        <f>VLOOKUP(BH$11,Sterbetafel,2)/VLOOKUP($X45,Sterbetafel,2)</f>
        <v>0.93645055481889872</v>
      </c>
      <c r="BL45" s="50">
        <f t="shared" si="78"/>
        <v>32</v>
      </c>
      <c r="BM45" s="69">
        <f t="shared" si="75"/>
        <v>9.4623399475964582</v>
      </c>
      <c r="BN45" s="69">
        <f t="shared" si="79"/>
        <v>9.8384178854425119</v>
      </c>
      <c r="BO45" s="69">
        <f t="shared" si="80"/>
        <v>10.227640214953864</v>
      </c>
      <c r="BP45" s="50">
        <v>32</v>
      </c>
      <c r="BQ45" s="69">
        <f t="shared" si="81"/>
        <v>10.938910109684093</v>
      </c>
      <c r="BR45" s="69">
        <f t="shared" si="82"/>
        <v>11.558435739548166</v>
      </c>
      <c r="BS45" s="69">
        <f t="shared" si="83"/>
        <v>12.228902083382257</v>
      </c>
      <c r="BV45">
        <f t="shared" si="43"/>
        <v>89</v>
      </c>
      <c r="BW45">
        <f t="shared" si="38"/>
        <v>36472</v>
      </c>
      <c r="BX45" s="150">
        <f t="shared" si="44"/>
        <v>0.41833843753942856</v>
      </c>
      <c r="BY45" s="148">
        <f t="shared" si="45"/>
        <v>996.78923570059567</v>
      </c>
      <c r="CC45" s="522">
        <v>62</v>
      </c>
      <c r="CD45" s="520">
        <f t="shared" si="76"/>
        <v>218.38943868102143</v>
      </c>
      <c r="CE45" s="520">
        <f t="shared" si="76"/>
        <v>221.26586232272643</v>
      </c>
      <c r="CF45" s="520">
        <f t="shared" si="76"/>
        <v>224.1825989924742</v>
      </c>
      <c r="CG45" s="520">
        <f t="shared" si="76"/>
        <v>227.14023241453174</v>
      </c>
      <c r="CH45" s="520">
        <f t="shared" si="76"/>
        <v>230.13935479342206</v>
      </c>
      <c r="CI45" s="520">
        <f t="shared" si="76"/>
        <v>233.18056693491434</v>
      </c>
      <c r="CJ45" s="520">
        <f t="shared" si="76"/>
        <v>236.26447836856948</v>
      </c>
      <c r="CK45" s="520">
        <f t="shared" si="76"/>
        <v>239.39170747207589</v>
      </c>
      <c r="CL45" s="520">
        <f t="shared" si="76"/>
        <v>242.56288159720395</v>
      </c>
      <c r="CM45" s="520">
        <f t="shared" si="76"/>
        <v>245.77863719758079</v>
      </c>
      <c r="CN45" s="520">
        <f t="shared" si="77"/>
        <v>249.03961995814001</v>
      </c>
      <c r="CO45" s="520">
        <f t="shared" si="77"/>
        <v>252.34648492642893</v>
      </c>
      <c r="CP45" s="520">
        <f t="shared" si="77"/>
        <v>255.69989664564446</v>
      </c>
      <c r="CQ45" s="520">
        <f t="shared" si="77"/>
        <v>259.10052928956776</v>
      </c>
      <c r="CR45" s="520">
        <f t="shared" si="77"/>
        <v>262.54906679927944</v>
      </c>
      <c r="CS45" s="520">
        <f t="shared" si="77"/>
        <v>266.04620302181797</v>
      </c>
      <c r="CT45" s="520">
        <f t="shared" si="77"/>
        <v>269.59264185067224</v>
      </c>
      <c r="CU45" s="520">
        <f t="shared" si="77"/>
        <v>273.18909736826134</v>
      </c>
      <c r="CV45" s="520">
        <f t="shared" si="77"/>
        <v>276.83629399030247</v>
      </c>
      <c r="CW45" s="524">
        <f t="shared" si="77"/>
        <v>280.5349666122147</v>
      </c>
      <c r="CX45" s="536"/>
    </row>
    <row r="46" spans="1:102" ht="14.25">
      <c r="A46" s="162">
        <v>33</v>
      </c>
      <c r="B46" s="2193">
        <v>98727</v>
      </c>
      <c r="C46" s="178">
        <v>45.96</v>
      </c>
      <c r="D46" s="162">
        <v>83</v>
      </c>
      <c r="E46" s="2193">
        <f t="shared" si="10"/>
        <v>43701</v>
      </c>
      <c r="F46" s="178">
        <f t="shared" si="10"/>
        <v>6.3</v>
      </c>
      <c r="G46" s="151"/>
      <c r="H46" s="162">
        <v>33</v>
      </c>
      <c r="I46" s="2193">
        <v>99198</v>
      </c>
      <c r="J46" s="178">
        <v>50.56</v>
      </c>
      <c r="K46" s="162">
        <v>83</v>
      </c>
      <c r="L46" s="2193">
        <f t="shared" si="11"/>
        <v>61287</v>
      </c>
      <c r="M46" s="178">
        <f t="shared" si="11"/>
        <v>7.57</v>
      </c>
      <c r="O46" s="2193">
        <f t="shared" si="6"/>
        <v>98962.5</v>
      </c>
      <c r="P46" s="178">
        <f t="shared" si="7"/>
        <v>48.260000000000005</v>
      </c>
      <c r="W46" s="2967"/>
      <c r="X46" s="29">
        <v>74</v>
      </c>
      <c r="Y46" s="177">
        <f t="shared" si="2"/>
        <v>0.82870670119779866</v>
      </c>
      <c r="Z46" s="177">
        <f t="shared" si="8"/>
        <v>0.82930236796015266</v>
      </c>
      <c r="AA46" s="177">
        <f t="shared" si="12"/>
        <v>0.82994934143870314</v>
      </c>
      <c r="AB46" s="177">
        <f t="shared" si="14"/>
        <v>0.8306562829561126</v>
      </c>
      <c r="AC46" s="177">
        <f t="shared" si="16"/>
        <v>0.83142349657447345</v>
      </c>
      <c r="AD46" s="177">
        <f t="shared" si="18"/>
        <v>0.83227668048443471</v>
      </c>
      <c r="AE46" s="177">
        <f t="shared" si="20"/>
        <v>0.8332163599930833</v>
      </c>
      <c r="AF46" s="177">
        <f t="shared" si="22"/>
        <v>0.83424311552875996</v>
      </c>
      <c r="AG46" s="177">
        <f t="shared" si="24"/>
        <v>0.83538314059026286</v>
      </c>
      <c r="AH46" s="177">
        <f t="shared" si="26"/>
        <v>0.83663735433199538</v>
      </c>
      <c r="AI46" s="177">
        <f t="shared" si="28"/>
        <v>0.83803249171338545</v>
      </c>
      <c r="AJ46" s="177">
        <f t="shared" si="32"/>
        <v>0.83957855034437523</v>
      </c>
      <c r="AK46" s="177">
        <f t="shared" si="34"/>
        <v>0.84129445716809248</v>
      </c>
      <c r="AL46" s="177">
        <f t="shared" si="36"/>
        <v>0.84319962120042413</v>
      </c>
      <c r="AM46" s="177">
        <f t="shared" si="39"/>
        <v>0.8453140156440262</v>
      </c>
      <c r="AN46" s="177">
        <f t="shared" si="41"/>
        <v>0.84765827107349079</v>
      </c>
      <c r="AO46" s="177">
        <f t="shared" si="46"/>
        <v>0.8502626061323203</v>
      </c>
      <c r="AP46" s="177">
        <f t="shared" si="48"/>
        <v>0.85314058968724293</v>
      </c>
      <c r="AQ46" s="177">
        <f t="shared" si="50"/>
        <v>0.85635133863700519</v>
      </c>
      <c r="AR46" s="177">
        <f t="shared" si="52"/>
        <v>0.85991119135847827</v>
      </c>
      <c r="AS46" s="177">
        <f t="shared" si="54"/>
        <v>0.86389234565818063</v>
      </c>
      <c r="AT46" s="177">
        <f t="shared" si="58"/>
        <v>0.86834294436906379</v>
      </c>
      <c r="AU46" s="177">
        <f t="shared" si="60"/>
        <v>0.87333283580498311</v>
      </c>
      <c r="AV46" s="177">
        <f t="shared" si="62"/>
        <v>0.87891760818016973</v>
      </c>
      <c r="AW46" s="177">
        <f t="shared" si="64"/>
        <v>0.88516689538917048</v>
      </c>
      <c r="AX46" s="177">
        <f t="shared" si="66"/>
        <v>0.89212707332745234</v>
      </c>
      <c r="AY46" s="177">
        <f t="shared" si="68"/>
        <v>0.8998593901045786</v>
      </c>
      <c r="AZ46" s="177">
        <f t="shared" si="70"/>
        <v>0.90839127493706817</v>
      </c>
      <c r="BA46" s="177">
        <f t="shared" si="72"/>
        <v>0.91779548026396873</v>
      </c>
      <c r="BB46" s="177">
        <f t="shared" si="74"/>
        <v>0.92815300769344078</v>
      </c>
      <c r="BC46" s="177">
        <f>VLOOKUP($X46,Sterbetafel,9)/VLOOKUP(BC$11,Sterbetafel,9)</f>
        <v>0.93958684605943821</v>
      </c>
      <c r="BD46" s="177">
        <f>VLOOKUP($X46,Sterbetafel,9)/VLOOKUP(BD$11,Sterbetafel,9)</f>
        <v>0.95224588486933881</v>
      </c>
      <c r="BE46" s="177">
        <f>VLOOKUP($X46,Sterbetafel,9)/VLOOKUP(BE$11,Sterbetafel,9)</f>
        <v>0.96635522838807097</v>
      </c>
      <c r="BF46" s="177">
        <f>VLOOKUP($X46,Sterbetafel,9)/VLOOKUP(BF$11,Sterbetafel,9)</f>
        <v>0.98217090512331695</v>
      </c>
      <c r="BG46" s="168"/>
      <c r="BH46" s="170">
        <f>VLOOKUP(BH$11,Sterbetafel,2)/VLOOKUP($X46,Sterbetafel,2)</f>
        <v>0.96633971395238305</v>
      </c>
      <c r="BL46" s="50">
        <f t="shared" si="78"/>
        <v>33</v>
      </c>
      <c r="BM46" s="69">
        <f t="shared" si="75"/>
        <v>9.2827236149819949</v>
      </c>
      <c r="BN46" s="69">
        <f t="shared" si="79"/>
        <v>9.651662754143242</v>
      </c>
      <c r="BO46" s="69">
        <f t="shared" si="80"/>
        <v>10.033496775077046</v>
      </c>
      <c r="BP46" s="50">
        <v>33</v>
      </c>
      <c r="BQ46" s="69">
        <f t="shared" si="81"/>
        <v>10.724421676160874</v>
      </c>
      <c r="BR46" s="69">
        <f t="shared" si="82"/>
        <v>11.331799744655067</v>
      </c>
      <c r="BS46" s="69">
        <f t="shared" si="83"/>
        <v>11.989119689590447</v>
      </c>
      <c r="BV46">
        <f t="shared" si="43"/>
        <v>90</v>
      </c>
      <c r="BW46">
        <f t="shared" si="38"/>
        <v>31623</v>
      </c>
      <c r="BX46" s="150">
        <f t="shared" si="44"/>
        <v>0.36271979629056122</v>
      </c>
      <c r="BY46" s="148">
        <f t="shared" si="45"/>
        <v>720.53814614321448</v>
      </c>
      <c r="CC46" s="522">
        <v>63</v>
      </c>
      <c r="CD46" s="521">
        <f t="shared" si="76"/>
        <v>217.30292406071786</v>
      </c>
      <c r="CE46" s="521">
        <f t="shared" si="76"/>
        <v>219.94618521145767</v>
      </c>
      <c r="CF46" s="521">
        <f t="shared" si="76"/>
        <v>222.62422938676681</v>
      </c>
      <c r="CG46" s="521">
        <f t="shared" si="76"/>
        <v>225.33753215727359</v>
      </c>
      <c r="CH46" s="521">
        <f t="shared" si="76"/>
        <v>228.0865756129059</v>
      </c>
      <c r="CI46" s="521">
        <f t="shared" si="76"/>
        <v>230.87184845041028</v>
      </c>
      <c r="CJ46" s="521">
        <f t="shared" si="76"/>
        <v>233.69384606188879</v>
      </c>
      <c r="CK46" s="521">
        <f t="shared" si="76"/>
        <v>236.55307062458093</v>
      </c>
      <c r="CL46" s="521">
        <f t="shared" si="76"/>
        <v>239.45003119171173</v>
      </c>
      <c r="CM46" s="521">
        <f t="shared" si="76"/>
        <v>242.38524378459644</v>
      </c>
      <c r="CN46" s="521">
        <f t="shared" si="77"/>
        <v>245.35923148585226</v>
      </c>
      <c r="CO46" s="521">
        <f t="shared" si="77"/>
        <v>248.37252453388675</v>
      </c>
      <c r="CP46" s="521">
        <f t="shared" si="77"/>
        <v>251.4256604185295</v>
      </c>
      <c r="CQ46" s="521">
        <f t="shared" si="77"/>
        <v>254.51918397796442</v>
      </c>
      <c r="CR46" s="521">
        <f t="shared" si="77"/>
        <v>257.6536474968396</v>
      </c>
      <c r="CS46" s="521">
        <f t="shared" si="77"/>
        <v>260.82961080570385</v>
      </c>
      <c r="CT46" s="521">
        <f t="shared" si="77"/>
        <v>264.04764138165751</v>
      </c>
      <c r="CU46" s="521">
        <f t="shared" si="77"/>
        <v>267.30831445035358</v>
      </c>
      <c r="CV46" s="521">
        <f t="shared" si="77"/>
        <v>270.61221308924979</v>
      </c>
      <c r="CW46" s="525">
        <f t="shared" si="77"/>
        <v>273.95992833224085</v>
      </c>
      <c r="CX46" s="536"/>
    </row>
    <row r="47" spans="1:102" thickBot="1">
      <c r="A47" s="171">
        <v>34</v>
      </c>
      <c r="B47" s="2192">
        <v>98658</v>
      </c>
      <c r="C47" s="172">
        <v>44.99</v>
      </c>
      <c r="D47" s="171">
        <v>84</v>
      </c>
      <c r="E47" s="2192">
        <f t="shared" si="10"/>
        <v>40132</v>
      </c>
      <c r="F47" s="172">
        <f t="shared" si="10"/>
        <v>5.82</v>
      </c>
      <c r="G47" s="151"/>
      <c r="H47" s="171">
        <v>34</v>
      </c>
      <c r="I47" s="2192">
        <v>99161</v>
      </c>
      <c r="J47" s="172">
        <v>49.58</v>
      </c>
      <c r="K47" s="171">
        <v>84</v>
      </c>
      <c r="L47" s="2192">
        <f t="shared" si="11"/>
        <v>57897</v>
      </c>
      <c r="M47" s="172">
        <f t="shared" si="11"/>
        <v>6.98</v>
      </c>
      <c r="O47" s="2192">
        <f t="shared" si="6"/>
        <v>98909.5</v>
      </c>
      <c r="P47" s="172">
        <f t="shared" si="7"/>
        <v>47.284999999999997</v>
      </c>
      <c r="W47" s="2968"/>
      <c r="X47" s="187">
        <v>75</v>
      </c>
      <c r="Y47" s="188">
        <f t="shared" si="2"/>
        <v>0.81231790223373257</v>
      </c>
      <c r="Z47" s="188">
        <f t="shared" si="8"/>
        <v>0.8129017888779777</v>
      </c>
      <c r="AA47" s="188">
        <f t="shared" si="12"/>
        <v>0.81353596757852076</v>
      </c>
      <c r="AB47" s="188">
        <f t="shared" si="14"/>
        <v>0.81422892836862171</v>
      </c>
      <c r="AC47" s="188">
        <f t="shared" si="16"/>
        <v>0.81498096929713271</v>
      </c>
      <c r="AD47" s="188">
        <f t="shared" si="18"/>
        <v>0.81581728033812895</v>
      </c>
      <c r="AE47" s="188">
        <f t="shared" si="20"/>
        <v>0.81673837641003733</v>
      </c>
      <c r="AF47" s="188">
        <f t="shared" si="22"/>
        <v>0.81774482646244095</v>
      </c>
      <c r="AG47" s="188">
        <f t="shared" si="24"/>
        <v>0.8188623059821738</v>
      </c>
      <c r="AH47" s="188">
        <f t="shared" si="26"/>
        <v>0.8200917159461143</v>
      </c>
      <c r="AI47" s="188">
        <f t="shared" si="28"/>
        <v>0.82145926259360802</v>
      </c>
      <c r="AJ47" s="188">
        <f t="shared" si="32"/>
        <v>0.8229747458183011</v>
      </c>
      <c r="AK47" s="188">
        <f t="shared" si="34"/>
        <v>0.82465671825735087</v>
      </c>
      <c r="AL47" s="188">
        <f t="shared" si="36"/>
        <v>0.82652420508703128</v>
      </c>
      <c r="AM47" s="188">
        <f t="shared" si="39"/>
        <v>0.82859678451282681</v>
      </c>
      <c r="AN47" s="188">
        <f t="shared" si="41"/>
        <v>0.83089467911173653</v>
      </c>
      <c r="AO47" s="188">
        <f t="shared" si="46"/>
        <v>0.83344750991260297</v>
      </c>
      <c r="AP47" s="188">
        <f t="shared" si="48"/>
        <v>0.83626857743941174</v>
      </c>
      <c r="AQ47" s="188">
        <f t="shared" si="50"/>
        <v>0.83941582947405835</v>
      </c>
      <c r="AR47" s="188">
        <f t="shared" si="52"/>
        <v>0.8429052812798522</v>
      </c>
      <c r="AS47" s="188">
        <f t="shared" si="54"/>
        <v>0.84680770285376816</v>
      </c>
      <c r="AT47" s="188">
        <f t="shared" si="58"/>
        <v>0.85117028493894165</v>
      </c>
      <c r="AU47" s="188">
        <f t="shared" si="60"/>
        <v>0.85606149450408864</v>
      </c>
      <c r="AV47" s="188">
        <f t="shared" si="62"/>
        <v>0.86153582043111121</v>
      </c>
      <c r="AW47" s="188">
        <f t="shared" si="64"/>
        <v>0.86766151950984949</v>
      </c>
      <c r="AX47" s="188">
        <f t="shared" si="66"/>
        <v>0.87448405048953948</v>
      </c>
      <c r="AY47" s="188">
        <f t="shared" si="68"/>
        <v>0.88206345021530885</v>
      </c>
      <c r="AZ47" s="188">
        <f t="shared" si="70"/>
        <v>0.89042660545371877</v>
      </c>
      <c r="BA47" s="188">
        <f t="shared" si="72"/>
        <v>0.89964482986566274</v>
      </c>
      <c r="BB47" s="188">
        <f t="shared" si="74"/>
        <v>0.90979752314264029</v>
      </c>
      <c r="BC47" s="188">
        <f>VLOOKUP($X47,Sterbetafel,9)/VLOOKUP(BC$11,Sterbetafel,9)</f>
        <v>0.9210052418476079</v>
      </c>
      <c r="BD47" s="188">
        <f>VLOOKUP($X47,Sterbetafel,9)/VLOOKUP(BD$11,Sterbetafel,9)</f>
        <v>0.93341393099600112</v>
      </c>
      <c r="BE47" s="188">
        <f>VLOOKUP($X47,Sterbetafel,9)/VLOOKUP(BE$11,Sterbetafel,9)</f>
        <v>0.94724424311060773</v>
      </c>
      <c r="BF47" s="188">
        <f>VLOOKUP($X47,Sterbetafel,9)/VLOOKUP(BF$11,Sterbetafel,9)</f>
        <v>0.9627471433881275</v>
      </c>
      <c r="BG47" s="188">
        <f>VLOOKUP($X47,Sterbetafel,9)/VLOOKUP(BG$11,Sterbetafel,9)</f>
        <v>0.98022364373260418</v>
      </c>
      <c r="BH47" s="189"/>
      <c r="BL47" s="50">
        <f t="shared" si="78"/>
        <v>34</v>
      </c>
      <c r="BM47" s="69">
        <f t="shared" si="75"/>
        <v>9.1070743330030908</v>
      </c>
      <c r="BN47" s="69">
        <f t="shared" si="79"/>
        <v>9.4690323427485072</v>
      </c>
      <c r="BO47" s="69">
        <f t="shared" si="80"/>
        <v>9.8436412351107911</v>
      </c>
      <c r="BP47" s="50">
        <v>34</v>
      </c>
      <c r="BQ47" s="69">
        <f t="shared" si="81"/>
        <v>10.514138898196935</v>
      </c>
      <c r="BR47" s="69">
        <f t="shared" si="82"/>
        <v>11.109607592799085</v>
      </c>
      <c r="BS47" s="69">
        <f t="shared" si="83"/>
        <v>11.754038911363185</v>
      </c>
      <c r="BV47">
        <f t="shared" si="43"/>
        <v>91</v>
      </c>
      <c r="BW47">
        <f t="shared" si="38"/>
        <v>26825</v>
      </c>
      <c r="BX47" s="150">
        <f t="shared" si="44"/>
        <v>0.30768613147058488</v>
      </c>
      <c r="BY47" s="148">
        <f t="shared" si="45"/>
        <v>498.53650381050267</v>
      </c>
      <c r="CC47" s="522">
        <v>64</v>
      </c>
      <c r="CD47" s="520">
        <f t="shared" si="76"/>
        <v>216.22181498578897</v>
      </c>
      <c r="CE47" s="520">
        <f t="shared" si="76"/>
        <v>218.63437893783072</v>
      </c>
      <c r="CF47" s="520">
        <f t="shared" si="76"/>
        <v>221.07669253899385</v>
      </c>
      <c r="CG47" s="520">
        <f t="shared" si="76"/>
        <v>223.54913904491426</v>
      </c>
      <c r="CH47" s="520">
        <f t="shared" si="76"/>
        <v>226.05210665302866</v>
      </c>
      <c r="CI47" s="520">
        <f t="shared" si="76"/>
        <v>228.5859885647626</v>
      </c>
      <c r="CJ47" s="520">
        <f t="shared" si="76"/>
        <v>231.15118304835687</v>
      </c>
      <c r="CK47" s="520">
        <f t="shared" si="76"/>
        <v>233.74809350255029</v>
      </c>
      <c r="CL47" s="520">
        <f t="shared" si="76"/>
        <v>236.37712852093955</v>
      </c>
      <c r="CM47" s="520">
        <f t="shared" si="76"/>
        <v>239.03870195719568</v>
      </c>
      <c r="CN47" s="520">
        <f t="shared" si="77"/>
        <v>241.73323299098746</v>
      </c>
      <c r="CO47" s="520">
        <f t="shared" si="77"/>
        <v>244.46114619477041</v>
      </c>
      <c r="CP47" s="520">
        <f t="shared" si="77"/>
        <v>247.2228716013073</v>
      </c>
      <c r="CQ47" s="520">
        <f t="shared" si="77"/>
        <v>250.01884477206721</v>
      </c>
      <c r="CR47" s="520">
        <f t="shared" si="77"/>
        <v>252.84950686637836</v>
      </c>
      <c r="CS47" s="520">
        <f t="shared" si="77"/>
        <v>255.71530471147435</v>
      </c>
      <c r="CT47" s="520">
        <f t="shared" si="77"/>
        <v>258.61669087331785</v>
      </c>
      <c r="CU47" s="520">
        <f t="shared" si="77"/>
        <v>261.5541237283303</v>
      </c>
      <c r="CV47" s="520">
        <f t="shared" si="77"/>
        <v>264.52806753592353</v>
      </c>
      <c r="CW47" s="524">
        <f t="shared" si="77"/>
        <v>267.53899251195395</v>
      </c>
      <c r="CX47" s="536"/>
    </row>
    <row r="48" spans="1:102" ht="14.25">
      <c r="A48" s="162">
        <v>35</v>
      </c>
      <c r="B48" s="2193">
        <v>98583</v>
      </c>
      <c r="C48" s="178">
        <v>44.03</v>
      </c>
      <c r="D48" s="162">
        <v>85</v>
      </c>
      <c r="E48" s="2193">
        <f t="shared" si="10"/>
        <v>36423</v>
      </c>
      <c r="F48" s="178">
        <f t="shared" si="10"/>
        <v>5.36</v>
      </c>
      <c r="G48" s="151"/>
      <c r="H48" s="162">
        <v>35</v>
      </c>
      <c r="I48" s="2193">
        <v>99120</v>
      </c>
      <c r="J48" s="178">
        <v>48.6</v>
      </c>
      <c r="K48" s="162">
        <v>85</v>
      </c>
      <c r="L48" s="2193">
        <f t="shared" si="11"/>
        <v>54194</v>
      </c>
      <c r="M48" s="178">
        <f t="shared" si="11"/>
        <v>6.42</v>
      </c>
      <c r="O48" s="2193">
        <f t="shared" si="6"/>
        <v>98851.5</v>
      </c>
      <c r="P48" s="178">
        <f t="shared" si="7"/>
        <v>46.314999999999998</v>
      </c>
      <c r="BG48" s="190"/>
      <c r="BL48" s="50">
        <f t="shared" si="78"/>
        <v>35</v>
      </c>
      <c r="BM48" s="69">
        <f t="shared" si="75"/>
        <v>8.9352968777918313</v>
      </c>
      <c r="BN48" s="69">
        <f t="shared" si="79"/>
        <v>9.2904276427455681</v>
      </c>
      <c r="BO48" s="69">
        <f t="shared" si="80"/>
        <v>9.6579706696194911</v>
      </c>
      <c r="BP48" s="50">
        <v>35</v>
      </c>
      <c r="BQ48" s="69">
        <f t="shared" si="81"/>
        <v>10.30797931195778</v>
      </c>
      <c r="BR48" s="69">
        <f t="shared" si="82"/>
        <v>10.891772149803021</v>
      </c>
      <c r="BS48" s="69">
        <f t="shared" si="83"/>
        <v>11.523567560159984</v>
      </c>
      <c r="BV48">
        <f t="shared" si="43"/>
        <v>92</v>
      </c>
      <c r="BW48">
        <f t="shared" si="38"/>
        <v>22215</v>
      </c>
      <c r="BX48" s="150">
        <f t="shared" si="44"/>
        <v>0.25480885034926531</v>
      </c>
      <c r="BY48" s="148">
        <f t="shared" si="45"/>
        <v>328.75835466961587</v>
      </c>
      <c r="CC48" s="522">
        <v>65</v>
      </c>
      <c r="CD48" s="521">
        <f t="shared" si="76"/>
        <v>215.14608456297412</v>
      </c>
      <c r="CE48" s="521">
        <f t="shared" si="76"/>
        <v>217.33039655847983</v>
      </c>
      <c r="CF48" s="521">
        <f t="shared" si="76"/>
        <v>219.53991314696515</v>
      </c>
      <c r="CG48" s="521">
        <f t="shared" si="76"/>
        <v>221.77493952868474</v>
      </c>
      <c r="CH48" s="521">
        <f t="shared" si="76"/>
        <v>224.03578459170333</v>
      </c>
      <c r="CI48" s="521">
        <f t="shared" si="76"/>
        <v>226.32276095521053</v>
      </c>
      <c r="CJ48" s="521">
        <f t="shared" si="76"/>
        <v>228.63618501321156</v>
      </c>
      <c r="CK48" s="521">
        <f t="shared" si="76"/>
        <v>230.97637697880464</v>
      </c>
      <c r="CL48" s="521">
        <f t="shared" si="76"/>
        <v>233.3436609288643</v>
      </c>
      <c r="CM48" s="521">
        <f t="shared" si="76"/>
        <v>235.73836484930538</v>
      </c>
      <c r="CN48" s="521">
        <f t="shared" si="77"/>
        <v>238.16082068077588</v>
      </c>
      <c r="CO48" s="521">
        <f t="shared" si="77"/>
        <v>240.61136436493152</v>
      </c>
      <c r="CP48" s="521">
        <f t="shared" si="77"/>
        <v>243.09033589115762</v>
      </c>
      <c r="CQ48" s="521">
        <f t="shared" si="77"/>
        <v>245.59807934387737</v>
      </c>
      <c r="CR48" s="521">
        <f t="shared" si="77"/>
        <v>248.13494295032228</v>
      </c>
      <c r="CS48" s="521">
        <f t="shared" si="77"/>
        <v>250.70127912889643</v>
      </c>
      <c r="CT48" s="521">
        <f t="shared" si="77"/>
        <v>253.29744453801945</v>
      </c>
      <c r="CU48" s="521">
        <f t="shared" si="77"/>
        <v>255.92380012556779</v>
      </c>
      <c r="CV48" s="521">
        <f t="shared" si="77"/>
        <v>258.58071117881093</v>
      </c>
      <c r="CW48" s="525">
        <f t="shared" si="77"/>
        <v>261.26854737495501</v>
      </c>
      <c r="CX48" s="536"/>
    </row>
    <row r="49" spans="1:102" ht="14.25">
      <c r="A49" s="171">
        <v>36</v>
      </c>
      <c r="B49" s="2192">
        <v>98500</v>
      </c>
      <c r="C49" s="172">
        <v>43.06</v>
      </c>
      <c r="D49" s="171">
        <v>86</v>
      </c>
      <c r="E49" s="2192">
        <f t="shared" si="10"/>
        <v>32604</v>
      </c>
      <c r="F49" s="172">
        <f t="shared" si="10"/>
        <v>4.93</v>
      </c>
      <c r="G49" s="151"/>
      <c r="H49" s="171">
        <v>36</v>
      </c>
      <c r="I49" s="2192">
        <v>99075</v>
      </c>
      <c r="J49" s="172">
        <v>47.62</v>
      </c>
      <c r="K49" s="171">
        <v>86</v>
      </c>
      <c r="L49" s="2192">
        <f t="shared" si="11"/>
        <v>50170</v>
      </c>
      <c r="M49" s="172">
        <f t="shared" si="11"/>
        <v>5.9</v>
      </c>
      <c r="O49" s="2192">
        <f t="shared" si="6"/>
        <v>98787.5</v>
      </c>
      <c r="P49" s="172">
        <f t="shared" si="7"/>
        <v>45.34</v>
      </c>
      <c r="BL49" s="50">
        <f t="shared" si="78"/>
        <v>36</v>
      </c>
      <c r="BM49" s="69">
        <f t="shared" si="75"/>
        <v>8.7674765811023398</v>
      </c>
      <c r="BN49" s="69">
        <f t="shared" si="79"/>
        <v>9.1159373773742072</v>
      </c>
      <c r="BO49" s="69">
        <f t="shared" si="80"/>
        <v>9.4765773118652152</v>
      </c>
      <c r="BP49" s="50">
        <v>36</v>
      </c>
      <c r="BQ49" s="69">
        <f t="shared" si="81"/>
        <v>10.105862070546843</v>
      </c>
      <c r="BR49" s="69">
        <f t="shared" si="82"/>
        <v>10.678207990002965</v>
      </c>
      <c r="BS49" s="69">
        <f t="shared" si="83"/>
        <v>11.297615255058806</v>
      </c>
      <c r="BV49">
        <f t="shared" si="43"/>
        <v>93</v>
      </c>
      <c r="BW49">
        <f t="shared" si="38"/>
        <v>17921</v>
      </c>
      <c r="BX49" s="150">
        <f t="shared" si="44"/>
        <v>0.20555612906185838</v>
      </c>
      <c r="BY49" s="148">
        <f t="shared" si="45"/>
        <v>205.71942581561052</v>
      </c>
      <c r="CC49" s="522">
        <v>66</v>
      </c>
      <c r="CD49" s="520">
        <f t="shared" si="76"/>
        <v>214.0757060328101</v>
      </c>
      <c r="CE49" s="520">
        <f t="shared" si="76"/>
        <v>216.03419141001973</v>
      </c>
      <c r="CF49" s="520">
        <f t="shared" si="76"/>
        <v>218.01381643194159</v>
      </c>
      <c r="CG49" s="520">
        <f t="shared" si="76"/>
        <v>220.01482096099676</v>
      </c>
      <c r="CH49" s="520">
        <f t="shared" si="76"/>
        <v>222.03744756363068</v>
      </c>
      <c r="CI49" s="520">
        <f t="shared" si="76"/>
        <v>224.08194153981242</v>
      </c>
      <c r="CJ49" s="520">
        <f t="shared" si="76"/>
        <v>226.14855095273151</v>
      </c>
      <c r="CK49" s="520">
        <f t="shared" si="76"/>
        <v>228.23752665889788</v>
      </c>
      <c r="CL49" s="520">
        <f t="shared" si="76"/>
        <v>230.34912233846427</v>
      </c>
      <c r="CM49" s="520">
        <f t="shared" si="76"/>
        <v>232.48359452594215</v>
      </c>
      <c r="CN49" s="520">
        <f t="shared" si="77"/>
        <v>234.64120264115851</v>
      </c>
      <c r="CO49" s="520">
        <f t="shared" si="77"/>
        <v>236.82220902060189</v>
      </c>
      <c r="CP49" s="520">
        <f t="shared" si="77"/>
        <v>239.02687894902425</v>
      </c>
      <c r="CQ49" s="520">
        <f t="shared" si="77"/>
        <v>241.25548069143159</v>
      </c>
      <c r="CR49" s="520">
        <f t="shared" si="77"/>
        <v>243.5082855253408</v>
      </c>
      <c r="CS49" s="520">
        <f t="shared" si="77"/>
        <v>245.78556777342789</v>
      </c>
      <c r="CT49" s="520">
        <f t="shared" si="77"/>
        <v>248.08760483645395</v>
      </c>
      <c r="CU49" s="520">
        <f t="shared" si="77"/>
        <v>250.41467722658297</v>
      </c>
      <c r="CV49" s="520">
        <f t="shared" si="77"/>
        <v>252.76706860098818</v>
      </c>
      <c r="CW49" s="524">
        <f t="shared" si="77"/>
        <v>255.14506579585452</v>
      </c>
      <c r="CX49" s="536"/>
    </row>
    <row r="50" spans="1:102" ht="14.25">
      <c r="A50" s="162">
        <v>37</v>
      </c>
      <c r="B50" s="2193">
        <v>98409</v>
      </c>
      <c r="C50" s="178">
        <v>42.1</v>
      </c>
      <c r="D50" s="162">
        <v>87</v>
      </c>
      <c r="E50" s="2193">
        <f t="shared" si="10"/>
        <v>28721</v>
      </c>
      <c r="F50" s="178">
        <f t="shared" si="10"/>
        <v>4.5199999999999996</v>
      </c>
      <c r="G50" s="151"/>
      <c r="H50" s="162">
        <v>37</v>
      </c>
      <c r="I50" s="2193">
        <v>99026</v>
      </c>
      <c r="J50" s="178">
        <v>46.64</v>
      </c>
      <c r="K50" s="162">
        <v>87</v>
      </c>
      <c r="L50" s="2193">
        <f t="shared" si="11"/>
        <v>45840</v>
      </c>
      <c r="M50" s="178">
        <f t="shared" si="11"/>
        <v>5.41</v>
      </c>
      <c r="O50" s="2193">
        <f t="shared" si="6"/>
        <v>98717.5</v>
      </c>
      <c r="P50" s="178">
        <f t="shared" si="7"/>
        <v>44.370000000000005</v>
      </c>
      <c r="BL50" s="50">
        <f t="shared" si="78"/>
        <v>37</v>
      </c>
      <c r="BM50" s="69">
        <f t="shared" si="75"/>
        <v>8.6035136994143535</v>
      </c>
      <c r="BN50" s="69">
        <f t="shared" si="79"/>
        <v>8.9454578388370667</v>
      </c>
      <c r="BO50" s="69">
        <f t="shared" si="80"/>
        <v>9.2993533512171176</v>
      </c>
      <c r="BP50" s="50">
        <v>37</v>
      </c>
      <c r="BQ50" s="69">
        <f t="shared" si="81"/>
        <v>9.9077079123008271</v>
      </c>
      <c r="BR50" s="69">
        <f t="shared" si="82"/>
        <v>10.468831362748004</v>
      </c>
      <c r="BS50" s="69">
        <f t="shared" si="83"/>
        <v>11.076093387312557</v>
      </c>
      <c r="BV50">
        <f t="shared" si="43"/>
        <v>94</v>
      </c>
      <c r="BW50">
        <f t="shared" si="38"/>
        <v>14054</v>
      </c>
      <c r="BX50" s="150">
        <f t="shared" si="44"/>
        <v>0.1612011516006561</v>
      </c>
      <c r="BY50" s="148">
        <f t="shared" si="45"/>
        <v>121.65147609070456</v>
      </c>
      <c r="CC50" s="522">
        <v>67</v>
      </c>
      <c r="CD50" s="521">
        <f t="shared" si="76"/>
        <v>213.01065276896531</v>
      </c>
      <c r="CE50" s="521">
        <f t="shared" si="76"/>
        <v>214.74571710737547</v>
      </c>
      <c r="CF50" s="521">
        <f t="shared" si="76"/>
        <v>216.49832813499663</v>
      </c>
      <c r="CG50" s="521">
        <f t="shared" si="76"/>
        <v>218.26867158829043</v>
      </c>
      <c r="CH50" s="521">
        <f t="shared" si="76"/>
        <v>220.05693514730496</v>
      </c>
      <c r="CI50" s="521">
        <f t="shared" si="76"/>
        <v>221.86330845525981</v>
      </c>
      <c r="CJ50" s="521">
        <f t="shared" si="76"/>
        <v>223.68798313821122</v>
      </c>
      <c r="CK50" s="521">
        <f t="shared" si="76"/>
        <v>225.53115282499789</v>
      </c>
      <c r="CL50" s="521">
        <f t="shared" si="76"/>
        <v>227.39301316728952</v>
      </c>
      <c r="CM50" s="521">
        <f t="shared" si="76"/>
        <v>229.27376185990352</v>
      </c>
      <c r="CN50" s="521">
        <f t="shared" si="77"/>
        <v>231.17359866123996</v>
      </c>
      <c r="CO50" s="521">
        <f t="shared" si="77"/>
        <v>233.09272541397823</v>
      </c>
      <c r="CP50" s="521">
        <f t="shared" si="77"/>
        <v>235.0313460659039</v>
      </c>
      <c r="CQ50" s="521">
        <f t="shared" si="77"/>
        <v>236.98966669099372</v>
      </c>
      <c r="CR50" s="521">
        <f t="shared" si="77"/>
        <v>238.9678955106387</v>
      </c>
      <c r="CS50" s="521">
        <f t="shared" si="77"/>
        <v>240.96624291512538</v>
      </c>
      <c r="CT50" s="521">
        <f t="shared" si="77"/>
        <v>242.98492148526344</v>
      </c>
      <c r="CU50" s="521">
        <f t="shared" si="77"/>
        <v>245.02414601426904</v>
      </c>
      <c r="CV50" s="521">
        <f t="shared" si="77"/>
        <v>247.08413352980278</v>
      </c>
      <c r="CW50" s="525">
        <f t="shared" si="77"/>
        <v>249.16510331626421</v>
      </c>
      <c r="CX50" s="536"/>
    </row>
    <row r="51" spans="1:102" ht="14.25">
      <c r="A51" s="171">
        <v>38</v>
      </c>
      <c r="B51" s="2192">
        <v>98310</v>
      </c>
      <c r="C51" s="172">
        <v>41.15</v>
      </c>
      <c r="D51" s="171">
        <v>88</v>
      </c>
      <c r="E51" s="2192">
        <f t="shared" si="10"/>
        <v>24840</v>
      </c>
      <c r="F51" s="172">
        <f t="shared" si="10"/>
        <v>4.1500000000000004</v>
      </c>
      <c r="G51" s="151"/>
      <c r="H51" s="171">
        <v>38</v>
      </c>
      <c r="I51" s="2192">
        <v>98971</v>
      </c>
      <c r="J51" s="172">
        <v>45.67</v>
      </c>
      <c r="K51" s="171">
        <v>88</v>
      </c>
      <c r="L51" s="2192">
        <f t="shared" si="11"/>
        <v>41247</v>
      </c>
      <c r="M51" s="172">
        <f t="shared" si="11"/>
        <v>4.95</v>
      </c>
      <c r="O51" s="2192">
        <f t="shared" si="6"/>
        <v>98640.5</v>
      </c>
      <c r="P51" s="172">
        <f t="shared" si="7"/>
        <v>43.41</v>
      </c>
      <c r="BL51" s="50">
        <f t="shared" si="78"/>
        <v>38</v>
      </c>
      <c r="BM51" s="69">
        <f t="shared" si="75"/>
        <v>8.4433113704514824</v>
      </c>
      <c r="BN51" s="69">
        <f t="shared" si="79"/>
        <v>8.7788883150948767</v>
      </c>
      <c r="BO51" s="69">
        <f t="shared" si="80"/>
        <v>9.1261940913190305</v>
      </c>
      <c r="BP51" s="50">
        <v>38</v>
      </c>
      <c r="BQ51" s="69">
        <f t="shared" si="81"/>
        <v>9.7134391297066909</v>
      </c>
      <c r="BR51" s="69">
        <f t="shared" si="82"/>
        <v>10.263560159556867</v>
      </c>
      <c r="BS51" s="69">
        <f t="shared" si="83"/>
        <v>10.858915085600545</v>
      </c>
      <c r="BV51">
        <f t="shared" si="43"/>
        <v>95</v>
      </c>
      <c r="BW51">
        <f t="shared" si="38"/>
        <v>10696</v>
      </c>
      <c r="BX51" s="150">
        <f t="shared" si="44"/>
        <v>0.12268446830230664</v>
      </c>
      <c r="BY51" s="148">
        <f t="shared" si="45"/>
        <v>67.752750991528117</v>
      </c>
      <c r="CC51" s="522">
        <v>68</v>
      </c>
      <c r="CD51" s="520">
        <f t="shared" si="76"/>
        <v>211.95089827757744</v>
      </c>
      <c r="CE51" s="520">
        <f t="shared" si="76"/>
        <v>213.46492754212272</v>
      </c>
      <c r="CF51" s="520">
        <f t="shared" si="76"/>
        <v>214.99337451340284</v>
      </c>
      <c r="CG51" s="520">
        <f t="shared" si="76"/>
        <v>216.53638054393895</v>
      </c>
      <c r="CH51" s="520">
        <f t="shared" si="76"/>
        <v>218.09408835213577</v>
      </c>
      <c r="CI51" s="520">
        <f t="shared" si="76"/>
        <v>219.66664203491072</v>
      </c>
      <c r="CJ51" s="520">
        <f t="shared" si="76"/>
        <v>221.25418708032765</v>
      </c>
      <c r="CK51" s="520">
        <f t="shared" si="76"/>
        <v>222.85687038043272</v>
      </c>
      <c r="CL51" s="520">
        <f t="shared" si="76"/>
        <v>224.47484024411605</v>
      </c>
      <c r="CM51" s="520">
        <f t="shared" si="76"/>
        <v>226.10824641016126</v>
      </c>
      <c r="CN51" s="520">
        <f t="shared" si="77"/>
        <v>227.75724006033494</v>
      </c>
      <c r="CO51" s="520">
        <f t="shared" si="77"/>
        <v>229.42197383265574</v>
      </c>
      <c r="CP51" s="520">
        <f t="shared" si="77"/>
        <v>231.10260183471379</v>
      </c>
      <c r="CQ51" s="520">
        <f t="shared" si="77"/>
        <v>232.79927965716473</v>
      </c>
      <c r="CR51" s="520">
        <f t="shared" si="77"/>
        <v>234.51216438728039</v>
      </c>
      <c r="CS51" s="520">
        <f t="shared" si="77"/>
        <v>236.24141462267193</v>
      </c>
      <c r="CT51" s="520">
        <f t="shared" si="77"/>
        <v>237.98719048507687</v>
      </c>
      <c r="CU51" s="520">
        <f t="shared" si="77"/>
        <v>239.74965363431414</v>
      </c>
      <c r="CV51" s="520">
        <f t="shared" si="77"/>
        <v>241.52896728230968</v>
      </c>
      <c r="CW51" s="524">
        <f t="shared" si="77"/>
        <v>243.32529620728928</v>
      </c>
      <c r="CX51" s="536"/>
    </row>
    <row r="52" spans="1:102" ht="14.25">
      <c r="A52" s="162">
        <v>39</v>
      </c>
      <c r="B52" s="2193">
        <v>98202</v>
      </c>
      <c r="C52" s="178">
        <v>40.19</v>
      </c>
      <c r="D52" s="162">
        <v>89</v>
      </c>
      <c r="E52" s="2193">
        <f t="shared" si="10"/>
        <v>21043</v>
      </c>
      <c r="F52" s="178">
        <f t="shared" si="10"/>
        <v>3.81</v>
      </c>
      <c r="G52" s="151"/>
      <c r="H52" s="162">
        <v>39</v>
      </c>
      <c r="I52" s="2193">
        <v>98912</v>
      </c>
      <c r="J52" s="178">
        <v>44.7</v>
      </c>
      <c r="K52" s="162">
        <v>89</v>
      </c>
      <c r="L52" s="2193">
        <f t="shared" si="11"/>
        <v>36472</v>
      </c>
      <c r="M52" s="178">
        <f t="shared" si="11"/>
        <v>4.54</v>
      </c>
      <c r="O52" s="2193">
        <f t="shared" si="6"/>
        <v>98557</v>
      </c>
      <c r="P52" s="178">
        <f t="shared" si="7"/>
        <v>42.445</v>
      </c>
      <c r="BL52" s="50">
        <f t="shared" si="78"/>
        <v>39</v>
      </c>
      <c r="BM52" s="69">
        <f t="shared" si="75"/>
        <v>8.2868599061027624</v>
      </c>
      <c r="BN52" s="69">
        <f t="shared" si="79"/>
        <v>8.6162187329855229</v>
      </c>
      <c r="BO52" s="69">
        <f t="shared" si="80"/>
        <v>8.9570890604996851</v>
      </c>
      <c r="BP52" s="50">
        <v>39</v>
      </c>
      <c r="BQ52" s="69">
        <f t="shared" si="81"/>
        <v>9.5229795389281318</v>
      </c>
      <c r="BR52" s="69">
        <f t="shared" si="82"/>
        <v>10.062313881918495</v>
      </c>
      <c r="BS52" s="69">
        <f t="shared" si="83"/>
        <v>10.64599518196132</v>
      </c>
      <c r="BV52">
        <f t="shared" si="43"/>
        <v>96</v>
      </c>
      <c r="BW52">
        <f t="shared" si="38"/>
        <v>7886</v>
      </c>
      <c r="BX52" s="150">
        <f t="shared" si="44"/>
        <v>9.0453414083020767E-2</v>
      </c>
      <c r="BY52" s="148">
        <f t="shared" si="45"/>
        <v>35.413133074146522</v>
      </c>
      <c r="CC52" s="522">
        <v>69</v>
      </c>
      <c r="CD52" s="521">
        <f t="shared" si="76"/>
        <v>210.89641619659454</v>
      </c>
      <c r="CE52" s="521">
        <f t="shared" si="76"/>
        <v>212.19177688083772</v>
      </c>
      <c r="CF52" s="521">
        <f t="shared" si="76"/>
        <v>213.49888233704357</v>
      </c>
      <c r="CG52" s="521">
        <f t="shared" si="76"/>
        <v>214.81783784120921</v>
      </c>
      <c r="CH52" s="521">
        <f t="shared" si="76"/>
        <v>216.14874960568463</v>
      </c>
      <c r="CI52" s="521">
        <f t="shared" si="76"/>
        <v>217.49172478704028</v>
      </c>
      <c r="CJ52" s="521">
        <f t="shared" si="76"/>
        <v>218.84687149389481</v>
      </c>
      <c r="CK52" s="521">
        <f t="shared" si="76"/>
        <v>220.21429879489398</v>
      </c>
      <c r="CL52" s="521">
        <f t="shared" si="76"/>
        <v>221.59411672666931</v>
      </c>
      <c r="CM52" s="521">
        <f t="shared" si="76"/>
        <v>222.98643630193413</v>
      </c>
      <c r="CN52" s="521">
        <f t="shared" si="77"/>
        <v>224.39136951757143</v>
      </c>
      <c r="CO52" s="521">
        <f t="shared" si="77"/>
        <v>225.80902936285011</v>
      </c>
      <c r="CP52" s="521">
        <f t="shared" si="77"/>
        <v>227.23952982764388</v>
      </c>
      <c r="CQ52" s="521">
        <f t="shared" si="77"/>
        <v>228.68298591077087</v>
      </c>
      <c r="CR52" s="521">
        <f t="shared" si="77"/>
        <v>230.13951362834189</v>
      </c>
      <c r="CS52" s="521">
        <f t="shared" si="77"/>
        <v>231.60923002222739</v>
      </c>
      <c r="CT52" s="521">
        <f t="shared" si="77"/>
        <v>233.09225316853761</v>
      </c>
      <c r="CU52" s="521">
        <f t="shared" si="77"/>
        <v>234.58870218621735</v>
      </c>
      <c r="CV52" s="521">
        <f t="shared" si="77"/>
        <v>236.09869724565951</v>
      </c>
      <c r="CW52" s="525">
        <f t="shared" si="77"/>
        <v>237.62235957743093</v>
      </c>
      <c r="CX52" s="536"/>
    </row>
    <row r="53" spans="1:102" thickBot="1">
      <c r="A53" s="171">
        <v>40</v>
      </c>
      <c r="B53" s="2192">
        <v>98084</v>
      </c>
      <c r="C53" s="172">
        <v>39.24</v>
      </c>
      <c r="D53" s="171">
        <v>90</v>
      </c>
      <c r="E53" s="2192">
        <f t="shared" si="10"/>
        <v>17418</v>
      </c>
      <c r="F53" s="172">
        <f t="shared" si="10"/>
        <v>3.5</v>
      </c>
      <c r="G53" s="151"/>
      <c r="H53" s="171">
        <v>40</v>
      </c>
      <c r="I53" s="2192">
        <v>98848</v>
      </c>
      <c r="J53" s="172">
        <v>43.73</v>
      </c>
      <c r="K53" s="171">
        <v>90</v>
      </c>
      <c r="L53" s="2192">
        <f t="shared" si="11"/>
        <v>31623</v>
      </c>
      <c r="M53" s="172">
        <f t="shared" si="11"/>
        <v>4.1500000000000004</v>
      </c>
      <c r="O53" s="2192">
        <f t="shared" si="6"/>
        <v>98466</v>
      </c>
      <c r="P53" s="172">
        <f t="shared" si="7"/>
        <v>41.484999999999999</v>
      </c>
      <c r="BL53" s="50">
        <f t="shared" si="78"/>
        <v>40</v>
      </c>
      <c r="BM53" s="69">
        <f t="shared" si="75"/>
        <v>8.134146486875828</v>
      </c>
      <c r="BN53" s="69">
        <f t="shared" si="79"/>
        <v>8.4574357635096753</v>
      </c>
      <c r="BO53" s="69">
        <f t="shared" si="80"/>
        <v>8.7920244024448646</v>
      </c>
      <c r="BP53" s="50">
        <v>40</v>
      </c>
      <c r="BQ53" s="69">
        <f t="shared" si="81"/>
        <v>9.3362544499295392</v>
      </c>
      <c r="BR53" s="69">
        <f t="shared" si="82"/>
        <v>9.8650136097240182</v>
      </c>
      <c r="BS53" s="69">
        <f t="shared" si="83"/>
        <v>10.43725017839345</v>
      </c>
      <c r="BV53">
        <f t="shared" si="43"/>
        <v>97</v>
      </c>
      <c r="BW53">
        <f t="shared" si="38"/>
        <v>5622</v>
      </c>
      <c r="BX53" s="150">
        <f t="shared" si="44"/>
        <v>6.4485048690685109E-2</v>
      </c>
      <c r="BY53" s="148">
        <f t="shared" si="45"/>
        <v>17.306097620907458</v>
      </c>
      <c r="CC53" s="526">
        <v>70</v>
      </c>
      <c r="CD53" s="527">
        <f t="shared" si="76"/>
        <v>209.84718029511896</v>
      </c>
      <c r="CE53" s="527">
        <f t="shared" si="76"/>
        <v>210.92621956345695</v>
      </c>
      <c r="CF53" s="527">
        <f t="shared" si="76"/>
        <v>212.01477888484965</v>
      </c>
      <c r="CG53" s="527">
        <f t="shared" si="76"/>
        <v>213.11293436627898</v>
      </c>
      <c r="CH53" s="527">
        <f t="shared" si="76"/>
        <v>214.22076274101551</v>
      </c>
      <c r="CI53" s="527">
        <f t="shared" si="76"/>
        <v>215.33834137330723</v>
      </c>
      <c r="CJ53" s="527">
        <f t="shared" si="76"/>
        <v>216.46574826300181</v>
      </c>
      <c r="CK53" s="527">
        <f t="shared" si="76"/>
        <v>217.6030620502905</v>
      </c>
      <c r="CL53" s="527">
        <f t="shared" si="76"/>
        <v>218.75036202040411</v>
      </c>
      <c r="CM53" s="527">
        <f t="shared" si="76"/>
        <v>219.90772810841634</v>
      </c>
      <c r="CN53" s="527">
        <f t="shared" si="77"/>
        <v>221.07524090401125</v>
      </c>
      <c r="CO53" s="527">
        <f t="shared" si="77"/>
        <v>222.2529816563486</v>
      </c>
      <c r="CP53" s="527">
        <f t="shared" si="77"/>
        <v>223.44103227890258</v>
      </c>
      <c r="CQ53" s="527">
        <f t="shared" si="77"/>
        <v>224.63947535439178</v>
      </c>
      <c r="CR53" s="527">
        <f t="shared" si="77"/>
        <v>225.84839413968785</v>
      </c>
      <c r="CS53" s="527">
        <f t="shared" si="77"/>
        <v>227.06787257081118</v>
      </c>
      <c r="CT53" s="527">
        <f t="shared" si="77"/>
        <v>228.29799526791149</v>
      </c>
      <c r="CU53" s="527">
        <f t="shared" si="77"/>
        <v>229.5388475403301</v>
      </c>
      <c r="CV53" s="527">
        <f t="shared" si="77"/>
        <v>230.79051539165155</v>
      </c>
      <c r="CW53" s="528">
        <f t="shared" si="77"/>
        <v>232.05308552483484</v>
      </c>
      <c r="CX53" s="536"/>
    </row>
    <row r="54" spans="1:102" ht="14.25" customHeight="1">
      <c r="A54" s="162">
        <v>41</v>
      </c>
      <c r="B54" s="2193">
        <v>97955</v>
      </c>
      <c r="C54" s="178">
        <v>38.29</v>
      </c>
      <c r="D54" s="162">
        <v>91</v>
      </c>
      <c r="E54" s="2193">
        <f t="shared" si="10"/>
        <v>14055</v>
      </c>
      <c r="F54" s="178">
        <f t="shared" si="10"/>
        <v>3.22</v>
      </c>
      <c r="G54" s="151"/>
      <c r="H54" s="162">
        <v>41</v>
      </c>
      <c r="I54" s="2193">
        <v>98777</v>
      </c>
      <c r="J54" s="178">
        <v>42.76</v>
      </c>
      <c r="K54" s="162">
        <v>91</v>
      </c>
      <c r="L54" s="2193">
        <f t="shared" si="11"/>
        <v>26825</v>
      </c>
      <c r="M54" s="178">
        <f t="shared" si="11"/>
        <v>3.81</v>
      </c>
      <c r="O54" s="2193">
        <f t="shared" si="6"/>
        <v>98366</v>
      </c>
      <c r="P54" s="178">
        <f t="shared" si="7"/>
        <v>40.524999999999999</v>
      </c>
      <c r="BL54" s="50">
        <f t="shared" si="78"/>
        <v>41</v>
      </c>
      <c r="BM54" s="69">
        <f t="shared" si="75"/>
        <v>7.9851554887521257</v>
      </c>
      <c r="BN54" s="69">
        <f t="shared" si="79"/>
        <v>8.3025231616767101</v>
      </c>
      <c r="BO54" s="69">
        <f t="shared" si="80"/>
        <v>8.6309832294881517</v>
      </c>
      <c r="BP54" s="50">
        <v>41</v>
      </c>
      <c r="BQ54" s="69">
        <f t="shared" si="81"/>
        <v>9.1531906371858227</v>
      </c>
      <c r="BR54" s="69">
        <f t="shared" si="82"/>
        <v>9.6715819703176642</v>
      </c>
      <c r="BS54" s="69">
        <f t="shared" si="83"/>
        <v>10.232598214111228</v>
      </c>
      <c r="BV54">
        <f t="shared" si="43"/>
        <v>98</v>
      </c>
      <c r="BW54">
        <f t="shared" si="38"/>
        <v>3867</v>
      </c>
      <c r="BX54" s="150">
        <f t="shared" si="44"/>
        <v>4.4354977461202295E-2</v>
      </c>
      <c r="BY54" s="148">
        <f t="shared" si="45"/>
        <v>7.8728589640681896</v>
      </c>
      <c r="CC54" s="2936" t="s">
        <v>599</v>
      </c>
      <c r="CD54" s="2937"/>
      <c r="CE54" s="2937"/>
      <c r="CF54" s="2937"/>
      <c r="CG54" s="2937"/>
      <c r="CH54" s="2937"/>
      <c r="CI54" s="2937"/>
      <c r="CJ54" s="2937"/>
      <c r="CK54" s="2937"/>
      <c r="CL54" s="2937"/>
      <c r="CM54" s="2937"/>
      <c r="CN54" s="2937"/>
      <c r="CO54" s="2937"/>
      <c r="CP54" s="2937"/>
      <c r="CQ54" s="2937"/>
      <c r="CR54" s="2937"/>
      <c r="CS54" s="2937"/>
      <c r="CT54" s="2937"/>
      <c r="CU54" s="2937"/>
      <c r="CV54" s="2937"/>
      <c r="CW54" s="2938"/>
      <c r="CX54" s="535"/>
    </row>
    <row r="55" spans="1:102" ht="15" customHeight="1" thickBot="1">
      <c r="A55" s="171">
        <v>42</v>
      </c>
      <c r="B55" s="2192">
        <v>97815</v>
      </c>
      <c r="C55" s="172">
        <v>37.340000000000003</v>
      </c>
      <c r="D55" s="171">
        <v>92</v>
      </c>
      <c r="E55" s="2192">
        <f t="shared" si="10"/>
        <v>11029</v>
      </c>
      <c r="F55" s="172">
        <f t="shared" si="10"/>
        <v>2.97</v>
      </c>
      <c r="G55" s="151"/>
      <c r="H55" s="171">
        <v>42</v>
      </c>
      <c r="I55" s="2192">
        <v>98700</v>
      </c>
      <c r="J55" s="172">
        <v>41.79</v>
      </c>
      <c r="K55" s="171">
        <v>92</v>
      </c>
      <c r="L55" s="2192">
        <f t="shared" si="11"/>
        <v>22215</v>
      </c>
      <c r="M55" s="172">
        <f t="shared" si="11"/>
        <v>3.49</v>
      </c>
      <c r="O55" s="2192">
        <f t="shared" si="6"/>
        <v>98257.5</v>
      </c>
      <c r="P55" s="172">
        <f t="shared" si="7"/>
        <v>39.564999999999998</v>
      </c>
      <c r="BL55" s="50">
        <f t="shared" si="78"/>
        <v>42</v>
      </c>
      <c r="BM55" s="69">
        <f t="shared" si="75"/>
        <v>7.8397886556626464</v>
      </c>
      <c r="BN55" s="69">
        <f t="shared" si="79"/>
        <v>8.1513787662588548</v>
      </c>
      <c r="BO55" s="69">
        <f t="shared" si="80"/>
        <v>8.4738593387528454</v>
      </c>
      <c r="BP55" s="50">
        <v>42</v>
      </c>
      <c r="BQ55" s="69">
        <f t="shared" si="81"/>
        <v>8.973716310966493</v>
      </c>
      <c r="BR55" s="69">
        <f t="shared" si="82"/>
        <v>9.4819431081545726</v>
      </c>
      <c r="BS55" s="69">
        <f t="shared" si="83"/>
        <v>10.031959033442378</v>
      </c>
      <c r="BV55">
        <f t="shared" si="43"/>
        <v>99</v>
      </c>
      <c r="BW55">
        <f t="shared" si="38"/>
        <v>2560</v>
      </c>
      <c r="BX55" s="150">
        <f t="shared" si="44"/>
        <v>2.9363522705114529E-2</v>
      </c>
      <c r="BY55" s="148">
        <f t="shared" si="45"/>
        <v>3.3176511537951305</v>
      </c>
      <c r="CC55" s="2939"/>
      <c r="CD55" s="2940"/>
      <c r="CE55" s="2940"/>
      <c r="CF55" s="2940"/>
      <c r="CG55" s="2940"/>
      <c r="CH55" s="2940"/>
      <c r="CI55" s="2940"/>
      <c r="CJ55" s="2940"/>
      <c r="CK55" s="2940"/>
      <c r="CL55" s="2940"/>
      <c r="CM55" s="2940"/>
      <c r="CN55" s="2940"/>
      <c r="CO55" s="2940"/>
      <c r="CP55" s="2940"/>
      <c r="CQ55" s="2940"/>
      <c r="CR55" s="2940"/>
      <c r="CS55" s="2940"/>
      <c r="CT55" s="2940"/>
      <c r="CU55" s="2940"/>
      <c r="CV55" s="2940"/>
      <c r="CW55" s="2941"/>
      <c r="CX55" s="535"/>
    </row>
    <row r="56" spans="1:102">
      <c r="A56" s="162">
        <v>43</v>
      </c>
      <c r="B56" s="2193">
        <v>97663</v>
      </c>
      <c r="C56" s="178">
        <v>36.4</v>
      </c>
      <c r="D56" s="162">
        <v>93</v>
      </c>
      <c r="E56" s="2193">
        <f t="shared" si="10"/>
        <v>8399</v>
      </c>
      <c r="F56" s="178">
        <f t="shared" si="10"/>
        <v>2.74</v>
      </c>
      <c r="G56" s="151"/>
      <c r="H56" s="162">
        <v>43</v>
      </c>
      <c r="I56" s="2193">
        <v>98616</v>
      </c>
      <c r="J56" s="178">
        <v>40.82</v>
      </c>
      <c r="K56" s="162">
        <v>93</v>
      </c>
      <c r="L56" s="2193">
        <f t="shared" si="11"/>
        <v>17921</v>
      </c>
      <c r="M56" s="178">
        <f t="shared" si="11"/>
        <v>3.21</v>
      </c>
      <c r="O56" s="2193">
        <f t="shared" si="6"/>
        <v>98139.5</v>
      </c>
      <c r="P56" s="178">
        <f t="shared" si="7"/>
        <v>38.61</v>
      </c>
      <c r="S56" s="148"/>
      <c r="BL56" s="50">
        <f t="shared" si="78"/>
        <v>43</v>
      </c>
      <c r="BM56" s="69">
        <f t="shared" si="75"/>
        <v>7.6980296926791034</v>
      </c>
      <c r="BN56" s="69">
        <f t="shared" si="79"/>
        <v>8.003985634690661</v>
      </c>
      <c r="BO56" s="69">
        <f t="shared" si="80"/>
        <v>8.3206351174006112</v>
      </c>
      <c r="BP56" s="50">
        <v>43</v>
      </c>
      <c r="BQ56" s="69">
        <f t="shared" si="81"/>
        <v>8.7977610891828366</v>
      </c>
      <c r="BR56" s="69">
        <f t="shared" si="82"/>
        <v>9.2960226550535019</v>
      </c>
      <c r="BS56" s="69">
        <f t="shared" si="83"/>
        <v>9.8352539543552737</v>
      </c>
      <c r="BV56">
        <f t="shared" si="43"/>
        <v>100</v>
      </c>
      <c r="BW56">
        <f t="shared" si="38"/>
        <v>1627</v>
      </c>
      <c r="BX56" s="150">
        <f t="shared" si="44"/>
        <v>1.8661895094227086E-2</v>
      </c>
      <c r="BY56" s="148">
        <f t="shared" si="45"/>
        <v>0</v>
      </c>
    </row>
    <row r="57" spans="1:102">
      <c r="A57" s="171">
        <v>44</v>
      </c>
      <c r="B57" s="2192">
        <v>97496</v>
      </c>
      <c r="C57" s="172">
        <v>35.46</v>
      </c>
      <c r="D57" s="171">
        <v>94</v>
      </c>
      <c r="E57" s="2192">
        <f t="shared" si="10"/>
        <v>6194</v>
      </c>
      <c r="F57" s="172">
        <f t="shared" si="10"/>
        <v>2.54</v>
      </c>
      <c r="G57" s="151"/>
      <c r="H57" s="171">
        <v>44</v>
      </c>
      <c r="I57" s="2192">
        <v>98525</v>
      </c>
      <c r="J57" s="172">
        <v>39.86</v>
      </c>
      <c r="K57" s="171">
        <v>94</v>
      </c>
      <c r="L57" s="2192">
        <f t="shared" si="11"/>
        <v>14054</v>
      </c>
      <c r="M57" s="172">
        <f t="shared" si="11"/>
        <v>2.96</v>
      </c>
      <c r="O57" s="2192">
        <f t="shared" si="6"/>
        <v>98010.5</v>
      </c>
      <c r="P57" s="172">
        <f t="shared" si="7"/>
        <v>37.659999999999997</v>
      </c>
      <c r="BL57" s="50">
        <f t="shared" si="78"/>
        <v>44</v>
      </c>
      <c r="BM57" s="69">
        <f t="shared" si="75"/>
        <v>7.5600152713768374</v>
      </c>
      <c r="BN57" s="69">
        <f t="shared" si="79"/>
        <v>7.8604858705193132</v>
      </c>
      <c r="BO57" s="69">
        <f t="shared" si="80"/>
        <v>8.1714582908046474</v>
      </c>
      <c r="BP57" s="50">
        <v>44</v>
      </c>
      <c r="BQ57" s="69">
        <f t="shared" si="81"/>
        <v>8.6252559697870943</v>
      </c>
      <c r="BR57" s="69">
        <f t="shared" si="82"/>
        <v>9.113747701032846</v>
      </c>
      <c r="BS57" s="69">
        <f t="shared" si="83"/>
        <v>9.6424058376032082</v>
      </c>
      <c r="BV57">
        <f t="shared" si="43"/>
        <v>101</v>
      </c>
      <c r="BW57">
        <f t="shared" si="38"/>
        <v>1627</v>
      </c>
      <c r="BX57" s="150">
        <f t="shared" si="44"/>
        <v>1.8661895094227086E-2</v>
      </c>
      <c r="BY57" s="148">
        <f t="shared" si="45"/>
        <v>0</v>
      </c>
    </row>
    <row r="58" spans="1:102">
      <c r="A58" s="162">
        <v>45</v>
      </c>
      <c r="B58" s="2193">
        <v>97313</v>
      </c>
      <c r="C58" s="178">
        <v>34.53</v>
      </c>
      <c r="D58" s="162">
        <v>95</v>
      </c>
      <c r="E58" s="2193">
        <f t="shared" si="10"/>
        <v>4418</v>
      </c>
      <c r="F58" s="178">
        <f t="shared" si="10"/>
        <v>2.35</v>
      </c>
      <c r="G58" s="151"/>
      <c r="H58" s="162">
        <v>45</v>
      </c>
      <c r="I58" s="2193">
        <v>98424</v>
      </c>
      <c r="J58" s="178">
        <v>38.9</v>
      </c>
      <c r="K58" s="162">
        <v>95</v>
      </c>
      <c r="L58" s="2193">
        <f t="shared" si="11"/>
        <v>10696</v>
      </c>
      <c r="M58" s="178">
        <f t="shared" si="11"/>
        <v>2.73</v>
      </c>
      <c r="O58" s="2193">
        <f t="shared" si="6"/>
        <v>97868.5</v>
      </c>
      <c r="P58" s="178">
        <f t="shared" si="7"/>
        <v>36.715000000000003</v>
      </c>
      <c r="R58">
        <v>30.34</v>
      </c>
      <c r="S58">
        <v>34.520000000000003</v>
      </c>
      <c r="BL58" s="50">
        <f t="shared" si="78"/>
        <v>45</v>
      </c>
      <c r="BM58" s="69">
        <f t="shared" si="75"/>
        <v>7.4257177506477108</v>
      </c>
      <c r="BN58" s="69">
        <f t="shared" si="79"/>
        <v>7.7208507340489039</v>
      </c>
      <c r="BO58" s="69">
        <f t="shared" si="80"/>
        <v>8.0262989822842723</v>
      </c>
      <c r="BP58" s="50">
        <v>45</v>
      </c>
      <c r="BQ58" s="69">
        <f t="shared" si="81"/>
        <v>8.4561333037128392</v>
      </c>
      <c r="BR58" s="69">
        <f t="shared" si="82"/>
        <v>8.9350467657184769</v>
      </c>
      <c r="BS58" s="69">
        <f t="shared" si="83"/>
        <v>9.4533390564737356</v>
      </c>
      <c r="BV58">
        <f t="shared" si="43"/>
        <v>102</v>
      </c>
      <c r="BW58">
        <f t="shared" si="38"/>
        <v>1627</v>
      </c>
      <c r="BX58" s="150">
        <f t="shared" si="44"/>
        <v>1.8661895094227086E-2</v>
      </c>
      <c r="BY58" s="148">
        <f t="shared" si="45"/>
        <v>0</v>
      </c>
    </row>
    <row r="59" spans="1:102">
      <c r="A59" s="171">
        <v>46</v>
      </c>
      <c r="B59" s="2192">
        <v>97113</v>
      </c>
      <c r="C59" s="172">
        <v>33.6</v>
      </c>
      <c r="D59" s="171">
        <v>96</v>
      </c>
      <c r="E59" s="2192">
        <f t="shared" si="10"/>
        <v>3042</v>
      </c>
      <c r="F59" s="172">
        <f t="shared" si="10"/>
        <v>2.19</v>
      </c>
      <c r="G59" s="151"/>
      <c r="H59" s="171">
        <v>46</v>
      </c>
      <c r="I59" s="2192">
        <v>98313</v>
      </c>
      <c r="J59" s="172">
        <v>37.950000000000003</v>
      </c>
      <c r="K59" s="171">
        <v>96</v>
      </c>
      <c r="L59" s="2192">
        <f t="shared" si="11"/>
        <v>7886</v>
      </c>
      <c r="M59" s="172">
        <f t="shared" si="11"/>
        <v>2.5299999999999998</v>
      </c>
      <c r="O59" s="2192">
        <f t="shared" si="6"/>
        <v>97713</v>
      </c>
      <c r="P59" s="172">
        <f t="shared" si="7"/>
        <v>35.775000000000006</v>
      </c>
      <c r="R59">
        <v>34.630000000000003</v>
      </c>
      <c r="S59">
        <v>38.590000000000003</v>
      </c>
      <c r="T59">
        <v>500</v>
      </c>
      <c r="BL59" s="50">
        <f t="shared" si="78"/>
        <v>46</v>
      </c>
      <c r="BM59" s="69">
        <f t="shared" si="75"/>
        <v>7.2951085229474986</v>
      </c>
      <c r="BN59" s="69">
        <f t="shared" si="79"/>
        <v>7.5850504807367223</v>
      </c>
      <c r="BO59" s="69">
        <f t="shared" si="80"/>
        <v>7.8851262705587715</v>
      </c>
      <c r="BP59" s="50">
        <v>46</v>
      </c>
      <c r="BQ59" s="69">
        <f t="shared" si="81"/>
        <v>8.2903267683459188</v>
      </c>
      <c r="BR59" s="69">
        <f t="shared" si="82"/>
        <v>8.7598497703122327</v>
      </c>
      <c r="BS59" s="69">
        <f t="shared" si="83"/>
        <v>9.2679794671311129</v>
      </c>
      <c r="BV59">
        <f t="shared" si="43"/>
        <v>103</v>
      </c>
      <c r="BW59">
        <f t="shared" si="38"/>
        <v>1627</v>
      </c>
      <c r="BX59" s="150">
        <f t="shared" si="44"/>
        <v>1.8661895094227086E-2</v>
      </c>
      <c r="BY59" s="148">
        <f t="shared" si="45"/>
        <v>0</v>
      </c>
    </row>
    <row r="60" spans="1:102">
      <c r="A60" s="162">
        <v>47</v>
      </c>
      <c r="B60" s="2193">
        <v>96893</v>
      </c>
      <c r="C60" s="178">
        <v>32.67</v>
      </c>
      <c r="D60" s="162">
        <v>97</v>
      </c>
      <c r="E60" s="2193">
        <f t="shared" si="10"/>
        <v>2021</v>
      </c>
      <c r="F60" s="178">
        <f t="shared" si="10"/>
        <v>2.0499999999999998</v>
      </c>
      <c r="G60" s="151"/>
      <c r="H60" s="162">
        <v>47</v>
      </c>
      <c r="I60" s="2193">
        <v>98192</v>
      </c>
      <c r="J60" s="178">
        <v>36.99</v>
      </c>
      <c r="K60" s="162">
        <v>97</v>
      </c>
      <c r="L60" s="2193">
        <f t="shared" si="11"/>
        <v>5622</v>
      </c>
      <c r="M60" s="178">
        <f t="shared" si="11"/>
        <v>2.34</v>
      </c>
      <c r="O60" s="2193">
        <f t="shared" si="6"/>
        <v>97542.5</v>
      </c>
      <c r="P60" s="178">
        <f t="shared" si="7"/>
        <v>34.83</v>
      </c>
      <c r="R60">
        <f>+R59/R58</f>
        <v>1.1413974950560317</v>
      </c>
      <c r="S60">
        <f>+S59/S58</f>
        <v>1.1179026651216686</v>
      </c>
      <c r="T60">
        <v>16.48</v>
      </c>
      <c r="BL60" s="50">
        <f t="shared" si="78"/>
        <v>47</v>
      </c>
      <c r="BM60" s="69">
        <f t="shared" si="75"/>
        <v>7.1683062758838751</v>
      </c>
      <c r="BN60" s="69">
        <f t="shared" si="79"/>
        <v>7.4532085153947385</v>
      </c>
      <c r="BO60" s="69">
        <f t="shared" si="80"/>
        <v>7.748068442516578</v>
      </c>
      <c r="BP60" s="50">
        <v>47</v>
      </c>
      <c r="BQ60" s="69">
        <f t="shared" si="81"/>
        <v>8.1277713415156079</v>
      </c>
      <c r="BR60" s="69">
        <f t="shared" si="82"/>
        <v>8.588088010110031</v>
      </c>
      <c r="BS60" s="69">
        <f t="shared" si="83"/>
        <v>9.086254379540307</v>
      </c>
      <c r="BV60">
        <f t="shared" si="43"/>
        <v>104</v>
      </c>
      <c r="BW60">
        <f t="shared" si="38"/>
        <v>1627</v>
      </c>
      <c r="BX60" s="150">
        <f t="shared" si="44"/>
        <v>1.8661895094227086E-2</v>
      </c>
      <c r="BY60" s="148">
        <f t="shared" si="45"/>
        <v>0</v>
      </c>
    </row>
    <row r="61" spans="1:102">
      <c r="A61" s="171">
        <v>48</v>
      </c>
      <c r="B61" s="2192">
        <v>96652</v>
      </c>
      <c r="C61" s="172">
        <v>31.75</v>
      </c>
      <c r="D61" s="171">
        <v>98</v>
      </c>
      <c r="E61" s="2192">
        <f t="shared" si="10"/>
        <v>1293</v>
      </c>
      <c r="F61" s="172">
        <f t="shared" si="10"/>
        <v>1.92</v>
      </c>
      <c r="G61" s="151"/>
      <c r="H61" s="171">
        <v>48</v>
      </c>
      <c r="I61" s="2192">
        <v>98058</v>
      </c>
      <c r="J61" s="172">
        <v>36.04</v>
      </c>
      <c r="K61" s="171">
        <v>98</v>
      </c>
      <c r="L61" s="2192">
        <f t="shared" si="11"/>
        <v>3867</v>
      </c>
      <c r="M61" s="172">
        <f t="shared" si="11"/>
        <v>2.1800000000000002</v>
      </c>
      <c r="O61" s="2192">
        <f t="shared" si="6"/>
        <v>97355</v>
      </c>
      <c r="P61" s="172">
        <f t="shared" si="7"/>
        <v>33.894999999999996</v>
      </c>
      <c r="T61" s="410">
        <v>0.05</v>
      </c>
      <c r="BL61" s="50">
        <f t="shared" si="78"/>
        <v>48</v>
      </c>
      <c r="BM61" s="69">
        <f t="shared" si="75"/>
        <v>7.0452748204921996</v>
      </c>
      <c r="BN61" s="69">
        <f t="shared" si="79"/>
        <v>7.3252872107384901</v>
      </c>
      <c r="BO61" s="69">
        <f t="shared" si="80"/>
        <v>7.6150863822823291</v>
      </c>
      <c r="BP61" s="50">
        <v>48</v>
      </c>
      <c r="BQ61" s="69">
        <f t="shared" si="81"/>
        <v>7.9684032759956942</v>
      </c>
      <c r="BR61" s="69">
        <f t="shared" si="82"/>
        <v>8.4196941275588539</v>
      </c>
      <c r="BS61" s="69">
        <f t="shared" si="83"/>
        <v>8.9080925289610846</v>
      </c>
      <c r="BV61">
        <f t="shared" si="43"/>
        <v>105</v>
      </c>
      <c r="BW61">
        <f t="shared" si="38"/>
        <v>1627</v>
      </c>
      <c r="BX61" s="150">
        <f t="shared" si="44"/>
        <v>1.8661895094227086E-2</v>
      </c>
      <c r="BY61" s="148">
        <f t="shared" si="45"/>
        <v>0</v>
      </c>
    </row>
    <row r="62" spans="1:102">
      <c r="A62" s="162">
        <v>49</v>
      </c>
      <c r="B62" s="2193">
        <v>96386</v>
      </c>
      <c r="C62" s="178">
        <v>30.84</v>
      </c>
      <c r="D62" s="162">
        <v>99</v>
      </c>
      <c r="E62" s="2193">
        <f t="shared" si="10"/>
        <v>795</v>
      </c>
      <c r="F62" s="178">
        <f t="shared" si="10"/>
        <v>1.81</v>
      </c>
      <c r="G62" s="151"/>
      <c r="H62" s="162">
        <v>49</v>
      </c>
      <c r="I62" s="2193">
        <v>97911</v>
      </c>
      <c r="J62" s="178">
        <v>35.1</v>
      </c>
      <c r="K62" s="162">
        <v>99</v>
      </c>
      <c r="L62" s="2193">
        <f t="shared" si="11"/>
        <v>2560</v>
      </c>
      <c r="M62" s="178">
        <f t="shared" si="11"/>
        <v>2.0299999999999998</v>
      </c>
      <c r="O62" s="2193">
        <f t="shared" si="6"/>
        <v>97148.5</v>
      </c>
      <c r="P62" s="178">
        <f t="shared" si="7"/>
        <v>32.97</v>
      </c>
      <c r="T62" s="148">
        <f>-PV(T61/12,T60*12,T59)</f>
        <v>67268.992729267484</v>
      </c>
      <c r="BL62" s="50">
        <f t="shared" si="78"/>
        <v>49</v>
      </c>
      <c r="BM62" s="69">
        <f t="shared" si="75"/>
        <v>6.9261940444346113</v>
      </c>
      <c r="BN62" s="69">
        <f t="shared" si="79"/>
        <v>7.2014736040127119</v>
      </c>
      <c r="BO62" s="69">
        <f t="shared" si="80"/>
        <v>7.4863745265701649</v>
      </c>
      <c r="BP62" s="50">
        <v>49</v>
      </c>
      <c r="BQ62" s="69">
        <f t="shared" si="81"/>
        <v>7.8121600745055817</v>
      </c>
      <c r="BR62" s="69">
        <f t="shared" si="82"/>
        <v>8.2546020858420146</v>
      </c>
      <c r="BS62" s="69">
        <f t="shared" si="83"/>
        <v>8.7334240480010639</v>
      </c>
      <c r="BV62">
        <f t="shared" si="43"/>
        <v>106</v>
      </c>
      <c r="BW62">
        <f t="shared" si="38"/>
        <v>1627</v>
      </c>
      <c r="BX62" s="150">
        <f t="shared" si="44"/>
        <v>1.8661895094227086E-2</v>
      </c>
      <c r="BY62" s="148">
        <f t="shared" si="45"/>
        <v>0</v>
      </c>
    </row>
    <row r="63" spans="1:102" ht="15.75" thickBot="1">
      <c r="A63" s="191">
        <v>50</v>
      </c>
      <c r="B63" s="2194">
        <v>96093</v>
      </c>
      <c r="C63" s="192">
        <v>29.93</v>
      </c>
      <c r="D63" s="191">
        <v>100</v>
      </c>
      <c r="E63" s="2194">
        <f t="shared" si="10"/>
        <v>470</v>
      </c>
      <c r="F63" s="192">
        <f t="shared" si="10"/>
        <v>1.71</v>
      </c>
      <c r="G63" s="856"/>
      <c r="H63" s="191">
        <v>50</v>
      </c>
      <c r="I63" s="2194">
        <v>97748</v>
      </c>
      <c r="J63" s="192">
        <v>34.15</v>
      </c>
      <c r="K63" s="191">
        <v>100</v>
      </c>
      <c r="L63" s="2194">
        <f t="shared" si="11"/>
        <v>1627</v>
      </c>
      <c r="M63" s="192">
        <f t="shared" si="11"/>
        <v>1.91</v>
      </c>
      <c r="N63" s="312"/>
      <c r="O63" s="2194">
        <f t="shared" si="6"/>
        <v>96920.5</v>
      </c>
      <c r="P63" s="192">
        <f t="shared" si="7"/>
        <v>32.04</v>
      </c>
      <c r="T63">
        <v>10</v>
      </c>
      <c r="BL63" s="50">
        <f t="shared" si="78"/>
        <v>50</v>
      </c>
      <c r="BM63" s="69">
        <f>1000/-PV(2%,BM$42-$BL63,,-PV(2%,$F$28,12))*$E$28/B63</f>
        <v>6.8110910852382434</v>
      </c>
      <c r="BN63" s="69">
        <f t="shared" si="79"/>
        <v>7.0817959113176219</v>
      </c>
      <c r="BO63" s="69">
        <f t="shared" si="80"/>
        <v>7.3619622077508655</v>
      </c>
      <c r="BP63" s="50">
        <v>50</v>
      </c>
      <c r="BQ63" s="69">
        <f t="shared" si="81"/>
        <v>7.6589804652015507</v>
      </c>
      <c r="BR63" s="69">
        <f t="shared" si="82"/>
        <v>8.0927471429823665</v>
      </c>
      <c r="BS63" s="69">
        <f t="shared" si="83"/>
        <v>8.5621804392167302</v>
      </c>
      <c r="BV63">
        <f t="shared" si="43"/>
        <v>107</v>
      </c>
      <c r="BW63">
        <f t="shared" si="38"/>
        <v>1627</v>
      </c>
      <c r="BX63" s="150">
        <f t="shared" si="44"/>
        <v>1.8661895094227086E-2</v>
      </c>
      <c r="BY63" s="148">
        <f t="shared" si="45"/>
        <v>0</v>
      </c>
    </row>
    <row r="64" spans="1:102">
      <c r="A64" s="851">
        <v>51</v>
      </c>
      <c r="B64" s="2195">
        <v>95771</v>
      </c>
      <c r="C64" s="852">
        <v>29.03</v>
      </c>
      <c r="D64" s="193"/>
      <c r="E64" s="2195"/>
      <c r="F64" s="151"/>
      <c r="G64" s="151"/>
      <c r="H64" s="851">
        <f>+H63+1</f>
        <v>51</v>
      </c>
      <c r="I64" s="2195">
        <v>97568</v>
      </c>
      <c r="J64" s="852">
        <v>33.22</v>
      </c>
      <c r="K64" s="151"/>
      <c r="L64" s="2195"/>
      <c r="M64" s="151"/>
      <c r="O64" s="2195">
        <f t="shared" si="6"/>
        <v>96669.5</v>
      </c>
      <c r="P64" s="852">
        <f t="shared" si="7"/>
        <v>31.125</v>
      </c>
      <c r="T64" s="148">
        <f>-PV(T61,T63,,T62)</f>
        <v>41297.326188834282</v>
      </c>
      <c r="U64" t="s">
        <v>1241</v>
      </c>
      <c r="BL64" s="50">
        <f t="shared" si="78"/>
        <v>51</v>
      </c>
      <c r="BM64" s="69">
        <f t="shared" ref="BM64:BM78" si="84">1000/-PV(2%,BM$42-$BL64,,-PV(2%,$F$28,12))*$E$28/B64</f>
        <v>6.6999914179862321</v>
      </c>
      <c r="BN64" s="69">
        <f t="shared" si="79"/>
        <v>6.9662806202360992</v>
      </c>
      <c r="BO64" s="69">
        <f t="shared" si="80"/>
        <v>7.2418769612951728</v>
      </c>
      <c r="BP64" s="50">
        <v>51</v>
      </c>
      <c r="BQ64" s="69">
        <f t="shared" si="81"/>
        <v>7.5088043776485804</v>
      </c>
      <c r="BR64" s="69">
        <f t="shared" si="82"/>
        <v>7.9340658264532991</v>
      </c>
      <c r="BS64" s="69">
        <f t="shared" si="83"/>
        <v>8.3942945482516969</v>
      </c>
      <c r="BV64">
        <f t="shared" si="43"/>
        <v>108</v>
      </c>
      <c r="BW64">
        <f t="shared" si="38"/>
        <v>1627</v>
      </c>
      <c r="BX64" s="150">
        <f t="shared" si="44"/>
        <v>1.8661895094227086E-2</v>
      </c>
      <c r="BY64" s="148">
        <f t="shared" si="45"/>
        <v>0</v>
      </c>
    </row>
    <row r="65" spans="1:77">
      <c r="A65" s="171">
        <v>52</v>
      </c>
      <c r="B65" s="2192">
        <v>95416</v>
      </c>
      <c r="C65" s="172">
        <v>28.14</v>
      </c>
      <c r="D65" s="193"/>
      <c r="E65" s="2192"/>
      <c r="F65" s="151"/>
      <c r="G65" s="151"/>
      <c r="H65" s="171">
        <f t="shared" ref="H65:H113" si="85">+H64+1</f>
        <v>52</v>
      </c>
      <c r="I65" s="2192">
        <v>97369</v>
      </c>
      <c r="J65" s="172">
        <v>32.28</v>
      </c>
      <c r="K65" s="151"/>
      <c r="L65" s="2192"/>
      <c r="M65" s="151"/>
      <c r="O65" s="2192">
        <f t="shared" si="6"/>
        <v>96392.5</v>
      </c>
      <c r="P65" s="172">
        <f t="shared" si="7"/>
        <v>30.21</v>
      </c>
      <c r="T65">
        <f>T62*(1+T61)^-T63</f>
        <v>41297.326188834282</v>
      </c>
      <c r="U65" t="s">
        <v>1242</v>
      </c>
      <c r="BL65" s="50">
        <f t="shared" si="78"/>
        <v>52</v>
      </c>
      <c r="BM65" s="69">
        <f t="shared" si="84"/>
        <v>6.5930579128830225</v>
      </c>
      <c r="BN65" s="69">
        <f t="shared" si="79"/>
        <v>6.8550970742013062</v>
      </c>
      <c r="BO65" s="69">
        <f t="shared" si="80"/>
        <v>7.1262948301123474</v>
      </c>
      <c r="BP65" s="50">
        <v>52</v>
      </c>
      <c r="BQ65" s="69">
        <f t="shared" si="81"/>
        <v>7.3615729192633133</v>
      </c>
      <c r="BR65" s="69">
        <f t="shared" si="82"/>
        <v>7.7784959082875504</v>
      </c>
      <c r="BS65" s="69">
        <f t="shared" si="83"/>
        <v>8.2297005375016603</v>
      </c>
      <c r="BV65">
        <f t="shared" si="43"/>
        <v>109</v>
      </c>
      <c r="BW65">
        <f t="shared" si="38"/>
        <v>1627</v>
      </c>
      <c r="BX65" s="150">
        <f t="shared" si="44"/>
        <v>1.8661895094227086E-2</v>
      </c>
      <c r="BY65" s="148">
        <f t="shared" si="45"/>
        <v>0</v>
      </c>
    </row>
    <row r="66" spans="1:77">
      <c r="A66" s="162">
        <v>53</v>
      </c>
      <c r="B66" s="2193">
        <v>95023</v>
      </c>
      <c r="C66" s="178">
        <v>27.25</v>
      </c>
      <c r="D66" s="193"/>
      <c r="E66" s="2193"/>
      <c r="F66" s="151"/>
      <c r="G66" s="151"/>
      <c r="H66" s="162">
        <f t="shared" si="85"/>
        <v>53</v>
      </c>
      <c r="I66" s="2193">
        <v>97149</v>
      </c>
      <c r="J66" s="178">
        <v>31.35</v>
      </c>
      <c r="K66" s="151"/>
      <c r="L66" s="2193"/>
      <c r="M66" s="151"/>
      <c r="O66" s="2193">
        <f t="shared" si="6"/>
        <v>96086</v>
      </c>
      <c r="P66" s="178">
        <f t="shared" si="7"/>
        <v>29.3</v>
      </c>
      <c r="BL66" s="50">
        <f t="shared" si="78"/>
        <v>53</v>
      </c>
      <c r="BM66" s="69">
        <f t="shared" si="84"/>
        <v>6.4905154419337334</v>
      </c>
      <c r="BN66" s="69">
        <f t="shared" si="79"/>
        <v>6.7484790826905243</v>
      </c>
      <c r="BO66" s="69">
        <f t="shared" si="80"/>
        <v>7.015458873527626</v>
      </c>
      <c r="BP66" s="50">
        <v>53</v>
      </c>
      <c r="BQ66" s="69">
        <f t="shared" si="81"/>
        <v>7.2172283522189353</v>
      </c>
      <c r="BR66" s="69">
        <f t="shared" si="82"/>
        <v>7.6259763806740679</v>
      </c>
      <c r="BS66" s="69">
        <f t="shared" si="83"/>
        <v>8.0683338602957484</v>
      </c>
      <c r="BV66">
        <f t="shared" si="43"/>
        <v>110</v>
      </c>
      <c r="BW66">
        <f t="shared" si="38"/>
        <v>1627</v>
      </c>
      <c r="BX66" s="150">
        <f t="shared" si="44"/>
        <v>1.8661895094227086E-2</v>
      </c>
      <c r="BY66" s="148">
        <f t="shared" si="45"/>
        <v>0</v>
      </c>
    </row>
    <row r="67" spans="1:77">
      <c r="A67" s="171">
        <v>54</v>
      </c>
      <c r="B67" s="2192">
        <v>94589</v>
      </c>
      <c r="C67" s="172">
        <v>26.37</v>
      </c>
      <c r="D67" s="193"/>
      <c r="E67" s="2192"/>
      <c r="F67" s="151"/>
      <c r="G67" s="151"/>
      <c r="H67" s="171">
        <f t="shared" si="85"/>
        <v>54</v>
      </c>
      <c r="I67" s="2192">
        <v>96906</v>
      </c>
      <c r="J67" s="172">
        <v>30.43</v>
      </c>
      <c r="K67" s="151"/>
      <c r="L67" s="2192"/>
      <c r="M67" s="151"/>
      <c r="O67" s="2192">
        <f t="shared" si="6"/>
        <v>95747.5</v>
      </c>
      <c r="P67" s="172">
        <f t="shared" si="7"/>
        <v>28.4</v>
      </c>
      <c r="T67" s="148"/>
      <c r="BL67" s="50">
        <f t="shared" si="78"/>
        <v>54</v>
      </c>
      <c r="BM67" s="69">
        <f t="shared" si="84"/>
        <v>6.3924467530099669</v>
      </c>
      <c r="BN67" s="69">
        <f t="shared" si="79"/>
        <v>6.6465126823653558</v>
      </c>
      <c r="BO67" s="69">
        <f t="shared" si="80"/>
        <v>6.9094585319398911</v>
      </c>
      <c r="BP67" s="50">
        <v>54</v>
      </c>
      <c r="BQ67" s="69">
        <f t="shared" si="81"/>
        <v>7.0757140708028761</v>
      </c>
      <c r="BR67" s="69">
        <f t="shared" si="82"/>
        <v>7.4764474320334013</v>
      </c>
      <c r="BS67" s="69">
        <f t="shared" si="83"/>
        <v>7.9101312355840667</v>
      </c>
      <c r="BV67">
        <f t="shared" si="43"/>
        <v>111</v>
      </c>
      <c r="BW67">
        <f t="shared" si="38"/>
        <v>1627</v>
      </c>
      <c r="BX67" s="150">
        <f t="shared" si="44"/>
        <v>1.8661895094227086E-2</v>
      </c>
      <c r="BY67" s="148">
        <f t="shared" si="45"/>
        <v>0</v>
      </c>
    </row>
    <row r="68" spans="1:77">
      <c r="A68" s="162">
        <v>55</v>
      </c>
      <c r="B68" s="2193">
        <v>94108</v>
      </c>
      <c r="C68" s="178">
        <v>25.51</v>
      </c>
      <c r="D68" s="193"/>
      <c r="E68" s="2193"/>
      <c r="F68" s="151"/>
      <c r="G68" s="151"/>
      <c r="H68" s="162">
        <f t="shared" si="85"/>
        <v>55</v>
      </c>
      <c r="I68" s="2193">
        <v>96638</v>
      </c>
      <c r="J68" s="178">
        <v>29.51</v>
      </c>
      <c r="K68" s="151"/>
      <c r="L68" s="2193"/>
      <c r="M68" s="151"/>
      <c r="O68" s="2193">
        <f t="shared" si="6"/>
        <v>95373</v>
      </c>
      <c r="P68" s="178">
        <f t="shared" si="7"/>
        <v>27.51</v>
      </c>
      <c r="BL68" s="50">
        <f t="shared" si="78"/>
        <v>55</v>
      </c>
      <c r="BM68" s="69">
        <f t="shared" si="84"/>
        <v>6.299136764856522</v>
      </c>
      <c r="BN68" s="69">
        <f t="shared" si="79"/>
        <v>6.5494941159828945</v>
      </c>
      <c r="BO68" s="69">
        <f t="shared" si="80"/>
        <v>6.8086017679068584</v>
      </c>
      <c r="BP68" s="50">
        <v>55</v>
      </c>
      <c r="BQ68" s="69">
        <f t="shared" si="81"/>
        <v>6.936974579218508</v>
      </c>
      <c r="BR68" s="69">
        <f t="shared" si="82"/>
        <v>7.3298504235621573</v>
      </c>
      <c r="BS68" s="69">
        <f t="shared" si="83"/>
        <v>7.755030623121633</v>
      </c>
      <c r="BV68">
        <f t="shared" si="43"/>
        <v>112</v>
      </c>
      <c r="BW68">
        <f t="shared" si="38"/>
        <v>1627</v>
      </c>
      <c r="BX68" s="150">
        <f t="shared" si="44"/>
        <v>1.8661895094227086E-2</v>
      </c>
      <c r="BY68" s="148">
        <f t="shared" si="45"/>
        <v>0</v>
      </c>
    </row>
    <row r="69" spans="1:77">
      <c r="A69" s="171">
        <v>56</v>
      </c>
      <c r="B69" s="2192">
        <v>93576</v>
      </c>
      <c r="C69" s="172">
        <v>24.65</v>
      </c>
      <c r="D69" s="193"/>
      <c r="E69" s="2192"/>
      <c r="F69" s="151"/>
      <c r="G69" s="151"/>
      <c r="H69" s="171">
        <f t="shared" si="85"/>
        <v>56</v>
      </c>
      <c r="I69" s="2192">
        <v>96342</v>
      </c>
      <c r="J69" s="172">
        <v>28.6</v>
      </c>
      <c r="K69" s="151"/>
      <c r="L69" s="2192"/>
      <c r="M69" s="151"/>
      <c r="O69" s="2192">
        <f t="shared" si="6"/>
        <v>94959</v>
      </c>
      <c r="P69" s="172">
        <f t="shared" si="7"/>
        <v>26.625</v>
      </c>
      <c r="BL69" s="50">
        <f t="shared" si="78"/>
        <v>56</v>
      </c>
      <c r="BM69" s="69">
        <f t="shared" si="84"/>
        <v>6.2107340522531915</v>
      </c>
      <c r="BN69" s="69">
        <f t="shared" si="79"/>
        <v>6.4575778633841745</v>
      </c>
      <c r="BO69" s="69">
        <f t="shared" si="80"/>
        <v>6.713049172720031</v>
      </c>
      <c r="BP69" s="50">
        <v>56</v>
      </c>
      <c r="BQ69" s="69">
        <f t="shared" si="81"/>
        <v>6.8009554698220667</v>
      </c>
      <c r="BR69" s="69">
        <f t="shared" si="82"/>
        <v>7.1861278662374097</v>
      </c>
      <c r="BS69" s="69">
        <f t="shared" si="83"/>
        <v>7.6029711991388549</v>
      </c>
      <c r="BV69">
        <f t="shared" si="43"/>
        <v>113</v>
      </c>
      <c r="BW69">
        <f t="shared" si="38"/>
        <v>1627</v>
      </c>
      <c r="BX69" s="150">
        <f t="shared" si="44"/>
        <v>1.8661895094227086E-2</v>
      </c>
      <c r="BY69" s="148">
        <f t="shared" si="45"/>
        <v>0</v>
      </c>
    </row>
    <row r="70" spans="1:77">
      <c r="A70" s="162">
        <v>57</v>
      </c>
      <c r="B70" s="2193">
        <v>92985</v>
      </c>
      <c r="C70" s="178">
        <v>23.8</v>
      </c>
      <c r="D70" s="193"/>
      <c r="E70" s="2193"/>
      <c r="F70" s="151"/>
      <c r="G70" s="151"/>
      <c r="H70" s="162">
        <f t="shared" si="85"/>
        <v>57</v>
      </c>
      <c r="I70" s="2193">
        <v>96017</v>
      </c>
      <c r="J70" s="178">
        <v>27.7</v>
      </c>
      <c r="K70" s="151"/>
      <c r="L70" s="2193"/>
      <c r="M70" s="151"/>
      <c r="O70" s="2193">
        <f t="shared" si="6"/>
        <v>94501</v>
      </c>
      <c r="P70" s="178">
        <f t="shared" si="7"/>
        <v>25.75</v>
      </c>
      <c r="BL70" s="50">
        <f t="shared" si="78"/>
        <v>57</v>
      </c>
      <c r="BM70" s="69">
        <f t="shared" si="84"/>
        <v>6.1276555218546171</v>
      </c>
      <c r="BN70" s="69">
        <f t="shared" si="79"/>
        <v>6.3711974010570698</v>
      </c>
      <c r="BO70" s="69">
        <f t="shared" si="80"/>
        <v>6.6232513718368002</v>
      </c>
      <c r="BP70" s="50">
        <v>57</v>
      </c>
      <c r="BQ70" s="69">
        <f t="shared" si="81"/>
        <v>6.667603401786339</v>
      </c>
      <c r="BR70" s="69">
        <f t="shared" si="82"/>
        <v>7.0452233982719701</v>
      </c>
      <c r="BS70" s="69">
        <f t="shared" si="83"/>
        <v>7.4538933324890753</v>
      </c>
      <c r="BV70">
        <f t="shared" si="43"/>
        <v>114</v>
      </c>
      <c r="BW70">
        <f t="shared" si="38"/>
        <v>1627</v>
      </c>
      <c r="BX70" s="150">
        <f t="shared" si="44"/>
        <v>1.8661895094227086E-2</v>
      </c>
      <c r="BY70" s="148">
        <f t="shared" si="45"/>
        <v>0</v>
      </c>
    </row>
    <row r="71" spans="1:77">
      <c r="A71" s="171">
        <v>58</v>
      </c>
      <c r="B71" s="2192">
        <v>92331</v>
      </c>
      <c r="C71" s="172">
        <v>22.97</v>
      </c>
      <c r="D71" s="193"/>
      <c r="E71" s="2192"/>
      <c r="F71" s="151"/>
      <c r="G71" s="151"/>
      <c r="H71" s="171">
        <f t="shared" si="85"/>
        <v>58</v>
      </c>
      <c r="I71" s="2192">
        <v>95657</v>
      </c>
      <c r="J71" s="172">
        <v>26.8</v>
      </c>
      <c r="K71" s="151"/>
      <c r="L71" s="2192"/>
      <c r="M71" s="151"/>
      <c r="O71" s="2192">
        <f t="shared" si="6"/>
        <v>93994</v>
      </c>
      <c r="P71" s="172">
        <f t="shared" si="7"/>
        <v>24.884999999999998</v>
      </c>
      <c r="BL71" s="50">
        <f t="shared" si="78"/>
        <v>58</v>
      </c>
      <c r="BM71" s="69">
        <f t="shared" si="84"/>
        <v>6.0500578449492739</v>
      </c>
      <c r="BN71" s="69">
        <f t="shared" si="79"/>
        <v>6.2905156271446625</v>
      </c>
      <c r="BO71" s="69">
        <f t="shared" si="80"/>
        <v>6.5393777078911626</v>
      </c>
      <c r="BP71" s="50">
        <v>58</v>
      </c>
      <c r="BQ71" s="69">
        <f t="shared" si="81"/>
        <v>6.5368660801826852</v>
      </c>
      <c r="BR71" s="69">
        <f t="shared" si="82"/>
        <v>6.9070817630117354</v>
      </c>
      <c r="BS71" s="69">
        <f t="shared" si="83"/>
        <v>7.3077385612637995</v>
      </c>
      <c r="BV71">
        <f t="shared" si="43"/>
        <v>115</v>
      </c>
      <c r="BW71">
        <f t="shared" si="38"/>
        <v>1627</v>
      </c>
      <c r="BX71" s="150">
        <f t="shared" si="44"/>
        <v>1.8661895094227086E-2</v>
      </c>
      <c r="BY71" s="148">
        <f t="shared" si="45"/>
        <v>0</v>
      </c>
    </row>
    <row r="72" spans="1:77">
      <c r="A72" s="162">
        <v>59</v>
      </c>
      <c r="B72" s="2193">
        <v>91606</v>
      </c>
      <c r="C72" s="178">
        <v>22.14</v>
      </c>
      <c r="D72" s="193"/>
      <c r="E72" s="2193"/>
      <c r="F72" s="151"/>
      <c r="G72" s="151"/>
      <c r="H72" s="162">
        <f t="shared" si="85"/>
        <v>59</v>
      </c>
      <c r="I72" s="2193">
        <v>95261</v>
      </c>
      <c r="J72" s="178">
        <v>25.91</v>
      </c>
      <c r="K72" s="151"/>
      <c r="L72" s="2193"/>
      <c r="M72" s="151"/>
      <c r="O72" s="2193">
        <f t="shared" si="6"/>
        <v>93433.5</v>
      </c>
      <c r="P72" s="178">
        <f t="shared" si="7"/>
        <v>24.024999999999999</v>
      </c>
      <c r="BL72" s="50">
        <f t="shared" si="78"/>
        <v>59</v>
      </c>
      <c r="BM72" s="69">
        <f t="shared" si="84"/>
        <v>5.9783725409074107</v>
      </c>
      <c r="BN72" s="69">
        <f t="shared" si="79"/>
        <v>6.2159812116285487</v>
      </c>
      <c r="BO72" s="69">
        <f t="shared" si="80"/>
        <v>6.4618946009112648</v>
      </c>
      <c r="BP72" s="50">
        <v>59</v>
      </c>
      <c r="BQ72" s="69">
        <f t="shared" si="81"/>
        <v>6.4086922354732225</v>
      </c>
      <c r="BR72" s="69">
        <f t="shared" si="82"/>
        <v>6.7716487872664066</v>
      </c>
      <c r="BS72" s="69">
        <f t="shared" si="83"/>
        <v>7.1644495698664699</v>
      </c>
      <c r="BV72">
        <f t="shared" si="43"/>
        <v>116</v>
      </c>
      <c r="BW72">
        <f t="shared" si="38"/>
        <v>1627</v>
      </c>
      <c r="BX72" s="150">
        <f t="shared" si="44"/>
        <v>1.8661895094227086E-2</v>
      </c>
      <c r="BY72" s="148">
        <f t="shared" si="45"/>
        <v>0</v>
      </c>
    </row>
    <row r="73" spans="1:77">
      <c r="A73" s="171">
        <v>60</v>
      </c>
      <c r="B73" s="2192">
        <v>90805</v>
      </c>
      <c r="C73" s="172">
        <v>21.34</v>
      </c>
      <c r="D73" s="193"/>
      <c r="E73" s="2192"/>
      <c r="F73" s="151"/>
      <c r="G73" s="151"/>
      <c r="H73" s="171">
        <f t="shared" si="85"/>
        <v>60</v>
      </c>
      <c r="I73" s="2192">
        <v>94822</v>
      </c>
      <c r="J73" s="172">
        <v>25.03</v>
      </c>
      <c r="K73" s="151"/>
      <c r="L73" s="2192"/>
      <c r="M73" s="151"/>
      <c r="O73" s="2192">
        <f t="shared" si="6"/>
        <v>92813.5</v>
      </c>
      <c r="P73" s="172">
        <f t="shared" si="7"/>
        <v>23.185000000000002</v>
      </c>
      <c r="Q73" s="393"/>
      <c r="R73" s="393"/>
      <c r="BL73" s="50">
        <f t="shared" si="78"/>
        <v>60</v>
      </c>
      <c r="BM73" s="69">
        <f t="shared" si="84"/>
        <v>5.9128513371398546</v>
      </c>
      <c r="BN73" s="69">
        <f t="shared" si="79"/>
        <v>6.1478558867519935</v>
      </c>
      <c r="BO73" s="69">
        <f t="shared" si="80"/>
        <v>6.391074137654134</v>
      </c>
      <c r="BP73" s="50">
        <v>60</v>
      </c>
      <c r="BQ73" s="69">
        <f t="shared" si="81"/>
        <v>6.283031603405119</v>
      </c>
      <c r="BR73" s="69">
        <f t="shared" si="82"/>
        <v>6.6388713600651066</v>
      </c>
      <c r="BS73" s="69">
        <f t="shared" si="83"/>
        <v>7.0239701665357535</v>
      </c>
    </row>
    <row r="74" spans="1:77">
      <c r="A74" s="162">
        <v>61</v>
      </c>
      <c r="B74" s="2193">
        <v>89921</v>
      </c>
      <c r="C74" s="178">
        <v>20.54</v>
      </c>
      <c r="D74" s="193"/>
      <c r="E74" s="2193"/>
      <c r="F74" s="151"/>
      <c r="G74" s="151"/>
      <c r="H74" s="162">
        <f t="shared" si="85"/>
        <v>61</v>
      </c>
      <c r="I74" s="2193">
        <v>94336</v>
      </c>
      <c r="J74" s="178">
        <v>24.15</v>
      </c>
      <c r="K74" s="151"/>
      <c r="L74" s="2193"/>
      <c r="M74" s="151"/>
      <c r="O74" s="2193">
        <f t="shared" si="6"/>
        <v>92128.5</v>
      </c>
      <c r="P74" s="178">
        <f t="shared" si="7"/>
        <v>22.344999999999999</v>
      </c>
      <c r="Q74" s="151"/>
      <c r="R74" s="151"/>
      <c r="BL74" s="50">
        <f t="shared" si="78"/>
        <v>61</v>
      </c>
      <c r="BM74" s="69">
        <f t="shared" si="84"/>
        <v>5.8539016673784507</v>
      </c>
      <c r="BN74" s="69">
        <f t="shared" si="79"/>
        <v>6.0865632795815179</v>
      </c>
      <c r="BO74" s="69">
        <f t="shared" si="80"/>
        <v>6.3273567044981727</v>
      </c>
      <c r="BP74" s="50">
        <v>61</v>
      </c>
      <c r="BQ74" s="69">
        <f t="shared" si="81"/>
        <v>6.1598349052991361</v>
      </c>
      <c r="BR74" s="69">
        <f t="shared" si="82"/>
        <v>6.5086974118285346</v>
      </c>
      <c r="BS74" s="69">
        <f t="shared" si="83"/>
        <v>6.8862452613095648</v>
      </c>
    </row>
    <row r="75" spans="1:77">
      <c r="A75" s="171">
        <v>62</v>
      </c>
      <c r="B75" s="2192">
        <v>88949</v>
      </c>
      <c r="C75" s="172">
        <v>19.760000000000002</v>
      </c>
      <c r="D75" s="193"/>
      <c r="E75" s="2192"/>
      <c r="F75" s="151"/>
      <c r="G75" s="151"/>
      <c r="H75" s="171">
        <f t="shared" si="85"/>
        <v>62</v>
      </c>
      <c r="I75" s="2192">
        <v>93797</v>
      </c>
      <c r="J75" s="172">
        <v>23.29</v>
      </c>
      <c r="K75" s="151"/>
      <c r="L75" s="2192"/>
      <c r="M75" s="151"/>
      <c r="O75" s="2192">
        <f t="shared" si="6"/>
        <v>91373</v>
      </c>
      <c r="P75" s="172">
        <f t="shared" si="7"/>
        <v>21.524999999999999</v>
      </c>
      <c r="Q75" s="151"/>
      <c r="R75" s="151"/>
      <c r="BL75" s="50">
        <f t="shared" si="78"/>
        <v>62</v>
      </c>
      <c r="BM75" s="69">
        <f t="shared" si="84"/>
        <v>5.8018341401664362</v>
      </c>
      <c r="BN75" s="69">
        <f t="shared" si="79"/>
        <v>6.032426343706204</v>
      </c>
      <c r="BO75" s="69">
        <f t="shared" si="80"/>
        <v>6.2710780315530021</v>
      </c>
      <c r="BP75" s="50">
        <v>62</v>
      </c>
      <c r="BQ75" s="69">
        <f t="shared" si="81"/>
        <v>6.0390538287246427</v>
      </c>
      <c r="BR75" s="69">
        <f t="shared" si="82"/>
        <v>6.3810758939495438</v>
      </c>
      <c r="BS75" s="69">
        <f t="shared" si="83"/>
        <v>6.7512208444211419</v>
      </c>
    </row>
    <row r="76" spans="1:77">
      <c r="A76" s="162">
        <v>63</v>
      </c>
      <c r="B76" s="2193">
        <v>87883</v>
      </c>
      <c r="C76" s="178">
        <v>18.989999999999998</v>
      </c>
      <c r="D76" s="193"/>
      <c r="E76" s="2193"/>
      <c r="F76" s="151"/>
      <c r="G76" s="151"/>
      <c r="H76" s="162">
        <f t="shared" si="85"/>
        <v>63</v>
      </c>
      <c r="I76" s="2193">
        <v>93201</v>
      </c>
      <c r="J76" s="178">
        <v>22.44</v>
      </c>
      <c r="K76" s="151"/>
      <c r="L76" s="2193"/>
      <c r="M76" s="151"/>
      <c r="O76" s="2193">
        <f t="shared" si="6"/>
        <v>90542</v>
      </c>
      <c r="P76" s="178">
        <f t="shared" si="7"/>
        <v>20.715</v>
      </c>
      <c r="Q76" s="151"/>
      <c r="R76" s="151"/>
      <c r="BL76" s="50">
        <f t="shared" si="78"/>
        <v>63</v>
      </c>
      <c r="BM76" s="69">
        <f t="shared" si="84"/>
        <v>5.7570676625279686</v>
      </c>
      <c r="BN76" s="69">
        <f t="shared" si="79"/>
        <v>5.9858806354875478</v>
      </c>
      <c r="BO76" s="69">
        <f t="shared" si="80"/>
        <v>6.2226909064325051</v>
      </c>
      <c r="BP76" s="50">
        <v>63</v>
      </c>
      <c r="BQ76" s="69">
        <f t="shared" si="81"/>
        <v>5.9206410085535719</v>
      </c>
      <c r="BR76" s="69">
        <f t="shared" si="82"/>
        <v>6.2559567587740625</v>
      </c>
      <c r="BS76" s="69">
        <f t="shared" si="83"/>
        <v>6.6188439651187663</v>
      </c>
    </row>
    <row r="77" spans="1:77">
      <c r="A77" s="171">
        <v>64</v>
      </c>
      <c r="B77" s="2192">
        <v>86719</v>
      </c>
      <c r="C77" s="172">
        <v>18.239999999999998</v>
      </c>
      <c r="D77" s="193"/>
      <c r="E77" s="2192"/>
      <c r="F77" s="194"/>
      <c r="G77" s="151"/>
      <c r="H77" s="171">
        <f t="shared" si="85"/>
        <v>64</v>
      </c>
      <c r="I77" s="2192">
        <v>92543</v>
      </c>
      <c r="J77" s="172">
        <v>21.59</v>
      </c>
      <c r="K77" s="151"/>
      <c r="L77" s="2192"/>
      <c r="M77" s="151"/>
      <c r="O77" s="2192">
        <f t="shared" si="6"/>
        <v>89631</v>
      </c>
      <c r="P77" s="172">
        <f t="shared" si="7"/>
        <v>19.914999999999999</v>
      </c>
      <c r="Q77" s="151"/>
      <c r="R77" s="151"/>
      <c r="BL77" s="50">
        <f t="shared" si="78"/>
        <v>64</v>
      </c>
      <c r="BM77" s="69">
        <f t="shared" si="84"/>
        <v>5.7199439680648219</v>
      </c>
      <c r="BN77" s="69">
        <f t="shared" si="79"/>
        <v>5.9472814706295249</v>
      </c>
      <c r="BO77" s="69">
        <f t="shared" si="80"/>
        <v>6.1825647016542247</v>
      </c>
      <c r="BP77" s="50">
        <v>64</v>
      </c>
      <c r="BQ77" s="69">
        <f t="shared" si="81"/>
        <v>5.8045500083858554</v>
      </c>
      <c r="BR77" s="69">
        <f t="shared" si="82"/>
        <v>6.1332909399745716</v>
      </c>
      <c r="BS77" s="69">
        <f t="shared" si="83"/>
        <v>6.4890627109007504</v>
      </c>
    </row>
    <row r="78" spans="1:77">
      <c r="A78" s="162">
        <v>65</v>
      </c>
      <c r="B78" s="2193">
        <v>85455</v>
      </c>
      <c r="C78" s="178">
        <v>17.5</v>
      </c>
      <c r="D78" s="193"/>
      <c r="E78" s="2193"/>
      <c r="F78" s="151"/>
      <c r="G78" s="151"/>
      <c r="H78" s="162">
        <f t="shared" si="85"/>
        <v>65</v>
      </c>
      <c r="I78" s="2193">
        <v>91821</v>
      </c>
      <c r="J78" s="178">
        <v>20.76</v>
      </c>
      <c r="K78" s="151"/>
      <c r="L78" s="2193"/>
      <c r="M78" s="151"/>
      <c r="O78" s="2193">
        <f t="shared" ref="O78:O113" si="86">+(I78+B78)/2</f>
        <v>88638</v>
      </c>
      <c r="P78" s="178">
        <f t="shared" ref="P78:P113" si="87">+(J78+C78)/2</f>
        <v>19.130000000000003</v>
      </c>
      <c r="Q78" s="151"/>
      <c r="R78" s="151"/>
      <c r="BL78" s="50">
        <f t="shared" si="78"/>
        <v>65</v>
      </c>
      <c r="BM78" s="69">
        <f t="shared" si="84"/>
        <v>5.6907353023390739</v>
      </c>
      <c r="BN78" s="69">
        <f t="shared" si="79"/>
        <v>5.9169119150145733</v>
      </c>
      <c r="BO78" s="69">
        <f t="shared" si="80"/>
        <v>6.1509936816046142</v>
      </c>
      <c r="BP78" s="50">
        <v>65</v>
      </c>
      <c r="BQ78" s="69">
        <f t="shared" si="81"/>
        <v>5.6907353023390739</v>
      </c>
      <c r="BR78" s="69">
        <f t="shared" si="82"/>
        <v>6.0130303333084036</v>
      </c>
      <c r="BS78" s="69">
        <f t="shared" si="83"/>
        <v>6.3618261871575985</v>
      </c>
    </row>
    <row r="79" spans="1:77">
      <c r="A79" s="171">
        <v>66</v>
      </c>
      <c r="B79" s="2192">
        <v>84089</v>
      </c>
      <c r="C79" s="172">
        <v>16.78</v>
      </c>
      <c r="D79" s="193"/>
      <c r="E79" s="2192"/>
      <c r="F79" s="194"/>
      <c r="G79" s="151"/>
      <c r="H79" s="171">
        <f t="shared" si="85"/>
        <v>66</v>
      </c>
      <c r="I79" s="2192">
        <v>91032</v>
      </c>
      <c r="J79" s="172">
        <v>19.93</v>
      </c>
      <c r="K79" s="151"/>
      <c r="L79" s="2192"/>
      <c r="M79" s="151"/>
      <c r="O79" s="2192">
        <f t="shared" si="86"/>
        <v>87560.5</v>
      </c>
      <c r="P79" s="172">
        <f t="shared" si="87"/>
        <v>18.355</v>
      </c>
      <c r="Q79" s="151"/>
      <c r="R79" s="151"/>
      <c r="BL79" s="50">
        <f t="shared" si="78"/>
        <v>66</v>
      </c>
      <c r="BM79" s="69">
        <f>1000/-PV(2%,BM$42-$BL79,,-PV(2%,$F$28,12))</f>
        <v>5.5791522571951697</v>
      </c>
      <c r="BN79" s="69">
        <f t="shared" si="79"/>
        <v>5.895127777753336</v>
      </c>
      <c r="BO79" s="69">
        <f t="shared" si="80"/>
        <v>6.1283477317277786</v>
      </c>
      <c r="BP79" s="50">
        <v>66</v>
      </c>
      <c r="BQ79" s="69">
        <f t="shared" si="81"/>
        <v>5.5791522571951697</v>
      </c>
      <c r="BR79" s="69">
        <f t="shared" si="82"/>
        <v>5.895127777753336</v>
      </c>
      <c r="BS79" s="69">
        <f t="shared" si="83"/>
        <v>6.237084497213333</v>
      </c>
    </row>
    <row r="80" spans="1:77">
      <c r="A80" s="162">
        <v>67</v>
      </c>
      <c r="B80" s="2193">
        <v>82623</v>
      </c>
      <c r="C80" s="178">
        <v>16.07</v>
      </c>
      <c r="D80" s="193"/>
      <c r="E80" s="2193"/>
      <c r="F80" s="194"/>
      <c r="G80" s="151"/>
      <c r="H80" s="162">
        <f t="shared" si="85"/>
        <v>67</v>
      </c>
      <c r="I80" s="2193">
        <v>90177</v>
      </c>
      <c r="J80" s="178">
        <v>19.12</v>
      </c>
      <c r="K80" s="151"/>
      <c r="L80" s="2193"/>
      <c r="M80" s="151"/>
      <c r="O80" s="2193">
        <f t="shared" si="86"/>
        <v>86400</v>
      </c>
      <c r="P80" s="178">
        <f t="shared" si="87"/>
        <v>17.594999999999999</v>
      </c>
      <c r="Q80" s="151"/>
      <c r="R80" s="151"/>
      <c r="BL80" s="50">
        <f t="shared" si="78"/>
        <v>67</v>
      </c>
      <c r="BM80" s="69">
        <f>1000/-PV(2%,BM$42-$BL80,,-PV(2%,$F$28,12))</f>
        <v>5.4697571148972264</v>
      </c>
      <c r="BN80" s="69">
        <f>1000/-PV(2%,BN$42-$BL80,,-PV(2%,$F$29,12))</f>
        <v>5.7795370370130748</v>
      </c>
      <c r="BO80" s="69">
        <f t="shared" si="80"/>
        <v>6.1147887227581688</v>
      </c>
      <c r="BP80" s="50">
        <v>67</v>
      </c>
      <c r="BQ80" s="69">
        <f t="shared" si="81"/>
        <v>5.4697571148972264</v>
      </c>
      <c r="BR80" s="69">
        <f t="shared" si="82"/>
        <v>5.7795370370130748</v>
      </c>
      <c r="BS80" s="69">
        <f t="shared" si="83"/>
        <v>6.1147887227581688</v>
      </c>
    </row>
    <row r="81" spans="1:71">
      <c r="A81" s="171">
        <v>68</v>
      </c>
      <c r="B81" s="2192">
        <v>81054</v>
      </c>
      <c r="C81" s="172">
        <v>15.37</v>
      </c>
      <c r="D81" s="193"/>
      <c r="E81" s="2192"/>
      <c r="F81" s="151"/>
      <c r="G81" s="151"/>
      <c r="H81" s="171">
        <f t="shared" si="85"/>
        <v>68</v>
      </c>
      <c r="I81" s="2192">
        <v>89253</v>
      </c>
      <c r="J81" s="172">
        <v>18.309999999999999</v>
      </c>
      <c r="K81" s="151"/>
      <c r="L81" s="2192"/>
      <c r="M81" s="151"/>
      <c r="O81" s="2192">
        <f t="shared" si="86"/>
        <v>85153.5</v>
      </c>
      <c r="P81" s="172">
        <f t="shared" si="87"/>
        <v>16.84</v>
      </c>
      <c r="Q81" s="151"/>
      <c r="R81" s="151"/>
      <c r="BL81" s="50">
        <f t="shared" si="78"/>
        <v>68</v>
      </c>
      <c r="BM81" s="69">
        <f>1000/-PV(2%,BM$42-$BL81,,-PV(2%,$F$28,12))</f>
        <v>5.3625069753894374</v>
      </c>
      <c r="BN81" s="69">
        <f>1000/-PV(2%,BN$42-$BL81,,-PV(2%,$F$29,12))</f>
        <v>5.6662127813853678</v>
      </c>
      <c r="BO81" s="69">
        <f>1000/-PV(2%,BO$42-$BL81,,-PV(2%,$F$30,12))</f>
        <v>5.9948909046648708</v>
      </c>
      <c r="BP81" s="50">
        <v>68</v>
      </c>
      <c r="BQ81" s="69">
        <f t="shared" si="81"/>
        <v>5.3625069753894374</v>
      </c>
      <c r="BR81" s="69">
        <f t="shared" si="82"/>
        <v>5.6662127813853678</v>
      </c>
      <c r="BS81" s="69">
        <f t="shared" si="83"/>
        <v>5.9948909046648708</v>
      </c>
    </row>
    <row r="82" spans="1:71">
      <c r="A82" s="162">
        <v>69</v>
      </c>
      <c r="B82" s="2193">
        <v>79384</v>
      </c>
      <c r="C82" s="178">
        <v>14.68</v>
      </c>
      <c r="D82" s="193"/>
      <c r="E82" s="2193"/>
      <c r="F82" s="151"/>
      <c r="G82" s="151"/>
      <c r="H82" s="162">
        <f t="shared" si="85"/>
        <v>69</v>
      </c>
      <c r="I82" s="2193">
        <v>88257</v>
      </c>
      <c r="J82" s="178">
        <v>17.510000000000002</v>
      </c>
      <c r="K82" s="151"/>
      <c r="L82" s="2193"/>
      <c r="M82" s="151"/>
      <c r="O82" s="2193">
        <f t="shared" si="86"/>
        <v>83820.5</v>
      </c>
      <c r="P82" s="178">
        <f t="shared" si="87"/>
        <v>16.094999999999999</v>
      </c>
      <c r="Q82" s="151"/>
      <c r="R82" s="151"/>
      <c r="BL82" s="50">
        <f t="shared" si="78"/>
        <v>69</v>
      </c>
      <c r="BM82" s="69">
        <f>1000/-PV(2%,BM$42-$BL82,,-PV(2%,$F$28,12))</f>
        <v>5.2573597797935658</v>
      </c>
      <c r="BN82" s="69">
        <f>1000/-PV(2%,BN$42-$BL82,,-PV(2%,$F$29,12))</f>
        <v>5.5551105699856551</v>
      </c>
      <c r="BO82" s="69">
        <f>1000/-PV(2%,BO$42-$BL82,,-PV(2%,$F$30,12))</f>
        <v>5.8773440241812462</v>
      </c>
      <c r="BP82" s="50">
        <v>69</v>
      </c>
      <c r="BQ82" s="69">
        <f t="shared" si="81"/>
        <v>5.2573597797935658</v>
      </c>
      <c r="BR82" s="69">
        <f t="shared" si="82"/>
        <v>5.5551105699856551</v>
      </c>
      <c r="BS82" s="69">
        <f t="shared" si="83"/>
        <v>5.8773440241812462</v>
      </c>
    </row>
    <row r="83" spans="1:71">
      <c r="A83" s="171">
        <v>70</v>
      </c>
      <c r="B83" s="2192">
        <v>77611</v>
      </c>
      <c r="C83" s="172">
        <v>14.01</v>
      </c>
      <c r="D83" s="193"/>
      <c r="E83" s="2192"/>
      <c r="F83" s="151"/>
      <c r="G83" s="151"/>
      <c r="H83" s="171">
        <f t="shared" si="85"/>
        <v>70</v>
      </c>
      <c r="I83" s="2192">
        <v>87183</v>
      </c>
      <c r="J83" s="172">
        <v>16.72</v>
      </c>
      <c r="K83" s="151"/>
      <c r="L83" s="2192"/>
      <c r="M83" s="151"/>
      <c r="O83" s="2192">
        <f t="shared" si="86"/>
        <v>82397</v>
      </c>
      <c r="P83" s="172">
        <f t="shared" si="87"/>
        <v>15.364999999999998</v>
      </c>
      <c r="Q83" s="151"/>
      <c r="R83" s="151"/>
      <c r="BL83" s="50">
        <f t="shared" si="78"/>
        <v>70</v>
      </c>
      <c r="BM83" s="69">
        <f>1000/-PV(2%,BM$42-$BL83,,-PV(2%,$F$28,12))</f>
        <v>5.1542742939152602</v>
      </c>
      <c r="BN83" s="69">
        <f>1000/-PV(2%,BN$42-$BL83,,-PV(2%,$F$29,12))</f>
        <v>5.4461868333192687</v>
      </c>
      <c r="BO83" s="69">
        <f>1000/-PV(2%,BO$42-$BL83,,-PV(2%,$F$30,12))</f>
        <v>5.7621019844914185</v>
      </c>
      <c r="BP83" s="50">
        <v>70</v>
      </c>
      <c r="BQ83" s="69">
        <f t="shared" si="81"/>
        <v>5.1542742939152602</v>
      </c>
      <c r="BR83" s="69">
        <f t="shared" si="82"/>
        <v>5.4461868333192687</v>
      </c>
      <c r="BS83" s="69">
        <f t="shared" si="83"/>
        <v>5.7621019844914185</v>
      </c>
    </row>
    <row r="84" spans="1:71">
      <c r="A84" s="162">
        <v>71</v>
      </c>
      <c r="B84" s="2193">
        <v>75733</v>
      </c>
      <c r="C84" s="178">
        <v>13.34</v>
      </c>
      <c r="D84" s="193"/>
      <c r="E84" s="2193"/>
      <c r="F84" s="151"/>
      <c r="G84" s="151"/>
      <c r="H84" s="162">
        <f t="shared" si="85"/>
        <v>71</v>
      </c>
      <c r="I84" s="2193">
        <v>86024</v>
      </c>
      <c r="J84" s="178">
        <v>15.94</v>
      </c>
      <c r="K84" s="151"/>
      <c r="L84" s="2193"/>
      <c r="M84" s="151"/>
      <c r="O84" s="2193">
        <f t="shared" si="86"/>
        <v>80878.5</v>
      </c>
      <c r="P84" s="178">
        <f t="shared" si="87"/>
        <v>14.64</v>
      </c>
      <c r="Q84" s="151"/>
      <c r="R84" s="151"/>
    </row>
    <row r="85" spans="1:71">
      <c r="A85" s="171">
        <v>72</v>
      </c>
      <c r="B85" s="2192">
        <v>73745</v>
      </c>
      <c r="C85" s="172">
        <v>12.69</v>
      </c>
      <c r="D85" s="193"/>
      <c r="E85" s="2192"/>
      <c r="F85" s="151"/>
      <c r="G85" s="151"/>
      <c r="H85" s="171">
        <f t="shared" si="85"/>
        <v>72</v>
      </c>
      <c r="I85" s="2192">
        <v>84768</v>
      </c>
      <c r="J85" s="172">
        <v>15.17</v>
      </c>
      <c r="K85" s="151"/>
      <c r="L85" s="2192"/>
      <c r="M85" s="151"/>
      <c r="O85" s="2192">
        <f t="shared" si="86"/>
        <v>79256.5</v>
      </c>
      <c r="P85" s="172">
        <f t="shared" si="87"/>
        <v>13.93</v>
      </c>
      <c r="Q85" s="151"/>
      <c r="R85" s="151"/>
    </row>
    <row r="86" spans="1:71">
      <c r="A86" s="162">
        <v>73</v>
      </c>
      <c r="B86" s="2193">
        <v>71645</v>
      </c>
      <c r="C86" s="178">
        <v>12.05</v>
      </c>
      <c r="D86" s="193"/>
      <c r="E86" s="2193"/>
      <c r="F86" s="151"/>
      <c r="G86" s="151"/>
      <c r="H86" s="162">
        <f t="shared" si="85"/>
        <v>73</v>
      </c>
      <c r="I86" s="2193">
        <v>83403</v>
      </c>
      <c r="J86" s="178">
        <v>14.41</v>
      </c>
      <c r="K86" s="151"/>
      <c r="L86" s="2193"/>
      <c r="M86" s="151"/>
      <c r="O86" s="2193">
        <f t="shared" si="86"/>
        <v>77524</v>
      </c>
      <c r="P86" s="178">
        <f t="shared" si="87"/>
        <v>13.23</v>
      </c>
      <c r="Q86" s="151"/>
      <c r="R86" s="151"/>
    </row>
    <row r="87" spans="1:71">
      <c r="A87" s="171">
        <v>74</v>
      </c>
      <c r="B87" s="2192">
        <v>69429</v>
      </c>
      <c r="C87" s="172">
        <v>11.41</v>
      </c>
      <c r="D87" s="193"/>
      <c r="E87" s="2192"/>
      <c r="F87" s="151"/>
      <c r="G87" s="151"/>
      <c r="H87" s="171">
        <f t="shared" si="85"/>
        <v>74</v>
      </c>
      <c r="I87" s="2192">
        <v>81916</v>
      </c>
      <c r="J87" s="172">
        <v>13.66</v>
      </c>
      <c r="K87" s="151"/>
      <c r="L87" s="2192"/>
      <c r="M87" s="151"/>
      <c r="O87" s="2192">
        <f t="shared" si="86"/>
        <v>75672.5</v>
      </c>
      <c r="P87" s="172">
        <f t="shared" si="87"/>
        <v>12.535</v>
      </c>
      <c r="Q87" s="151"/>
      <c r="R87" s="151"/>
    </row>
    <row r="88" spans="1:71">
      <c r="A88" s="162">
        <v>75</v>
      </c>
      <c r="B88" s="2193">
        <v>67092</v>
      </c>
      <c r="C88" s="178">
        <v>10.79</v>
      </c>
      <c r="D88" s="193"/>
      <c r="E88" s="2193"/>
      <c r="F88" s="151"/>
      <c r="G88" s="151"/>
      <c r="H88" s="162">
        <f t="shared" si="85"/>
        <v>75</v>
      </c>
      <c r="I88" s="2193">
        <v>80296</v>
      </c>
      <c r="J88" s="178">
        <v>12.93</v>
      </c>
      <c r="K88" s="151"/>
      <c r="L88" s="2193"/>
      <c r="M88" s="151"/>
      <c r="O88" s="2193">
        <f t="shared" si="86"/>
        <v>73694</v>
      </c>
      <c r="P88" s="178">
        <f t="shared" si="87"/>
        <v>11.86</v>
      </c>
      <c r="Q88" s="151"/>
      <c r="R88" s="151"/>
    </row>
    <row r="89" spans="1:71">
      <c r="A89" s="171">
        <v>76</v>
      </c>
      <c r="B89" s="2192">
        <v>64632</v>
      </c>
      <c r="C89" s="172">
        <v>10.19</v>
      </c>
      <c r="D89" s="193"/>
      <c r="E89" s="2192"/>
      <c r="F89" s="151"/>
      <c r="G89" s="151"/>
      <c r="H89" s="171">
        <f t="shared" si="85"/>
        <v>76</v>
      </c>
      <c r="I89" s="2192">
        <v>78532</v>
      </c>
      <c r="J89" s="172">
        <v>12.21</v>
      </c>
      <c r="K89" s="151"/>
      <c r="L89" s="2192"/>
      <c r="M89" s="151"/>
      <c r="O89" s="2192">
        <f t="shared" si="86"/>
        <v>71582</v>
      </c>
      <c r="P89" s="172">
        <f t="shared" si="87"/>
        <v>11.2</v>
      </c>
      <c r="Q89" s="151"/>
      <c r="R89" s="151"/>
    </row>
    <row r="90" spans="1:71">
      <c r="A90" s="162">
        <v>77</v>
      </c>
      <c r="B90" s="2193">
        <v>62047</v>
      </c>
      <c r="C90" s="178">
        <v>9.59</v>
      </c>
      <c r="D90" s="193"/>
      <c r="E90" s="2193"/>
      <c r="F90" s="151"/>
      <c r="G90" s="151"/>
      <c r="H90" s="162">
        <f t="shared" si="85"/>
        <v>77</v>
      </c>
      <c r="I90" s="2193">
        <v>76614</v>
      </c>
      <c r="J90" s="178">
        <v>11.5</v>
      </c>
      <c r="K90" s="151"/>
      <c r="L90" s="2193"/>
      <c r="M90" s="151"/>
      <c r="O90" s="2193">
        <f t="shared" si="86"/>
        <v>69330.5</v>
      </c>
      <c r="P90" s="178">
        <f t="shared" si="87"/>
        <v>10.545</v>
      </c>
      <c r="Q90" s="2046"/>
      <c r="R90" s="2047"/>
    </row>
    <row r="91" spans="1:71">
      <c r="A91" s="171">
        <v>78</v>
      </c>
      <c r="B91" s="2192">
        <v>59333</v>
      </c>
      <c r="C91" s="172">
        <v>9.01</v>
      </c>
      <c r="D91" s="193"/>
      <c r="E91" s="2192"/>
      <c r="F91" s="151"/>
      <c r="G91" s="151"/>
      <c r="H91" s="171">
        <f t="shared" si="85"/>
        <v>78</v>
      </c>
      <c r="I91" s="2192">
        <v>74537</v>
      </c>
      <c r="J91" s="172">
        <v>10.8</v>
      </c>
      <c r="K91" s="151"/>
      <c r="L91" s="2192"/>
      <c r="M91" s="151"/>
      <c r="O91" s="2192">
        <f t="shared" si="86"/>
        <v>66935</v>
      </c>
      <c r="P91" s="172">
        <f t="shared" si="87"/>
        <v>9.9050000000000011</v>
      </c>
      <c r="Q91" s="2046"/>
      <c r="R91" s="151"/>
    </row>
    <row r="92" spans="1:71">
      <c r="A92" s="162">
        <v>79</v>
      </c>
      <c r="B92" s="2193">
        <v>56488</v>
      </c>
      <c r="C92" s="178">
        <v>8.43</v>
      </c>
      <c r="D92" s="193"/>
      <c r="E92" s="2193"/>
      <c r="F92" s="151"/>
      <c r="G92" s="151"/>
      <c r="H92" s="162">
        <f t="shared" si="85"/>
        <v>79</v>
      </c>
      <c r="I92" s="2193">
        <v>72292</v>
      </c>
      <c r="J92" s="178">
        <v>10.119999999999999</v>
      </c>
      <c r="K92" s="151"/>
      <c r="L92" s="2193"/>
      <c r="M92" s="151"/>
      <c r="O92" s="2193">
        <f t="shared" si="86"/>
        <v>64390</v>
      </c>
      <c r="P92" s="178">
        <f t="shared" si="87"/>
        <v>9.2749999999999986</v>
      </c>
      <c r="Q92" s="2046"/>
      <c r="R92" s="151"/>
    </row>
    <row r="93" spans="1:71">
      <c r="A93" s="171">
        <v>80</v>
      </c>
      <c r="B93" s="2192">
        <v>53507</v>
      </c>
      <c r="C93" s="172">
        <v>7.88</v>
      </c>
      <c r="D93" s="195"/>
      <c r="E93" s="2192"/>
      <c r="F93" s="151"/>
      <c r="G93" s="151"/>
      <c r="H93" s="171">
        <f t="shared" si="85"/>
        <v>80</v>
      </c>
      <c r="I93" s="2192">
        <v>69865</v>
      </c>
      <c r="J93" s="172">
        <v>9.4600000000000009</v>
      </c>
      <c r="K93" s="151"/>
      <c r="L93" s="2192"/>
      <c r="M93" s="151"/>
      <c r="O93" s="2192">
        <f t="shared" si="86"/>
        <v>61686</v>
      </c>
      <c r="P93" s="172">
        <f t="shared" si="87"/>
        <v>8.67</v>
      </c>
      <c r="Q93" s="2046"/>
      <c r="R93" s="151"/>
    </row>
    <row r="94" spans="1:71">
      <c r="A94" s="162">
        <v>81</v>
      </c>
      <c r="B94" s="2193">
        <v>50386</v>
      </c>
      <c r="C94" s="178">
        <v>7.33</v>
      </c>
      <c r="D94" s="195"/>
      <c r="E94" s="2193"/>
      <c r="F94" s="151"/>
      <c r="G94" s="151"/>
      <c r="H94" s="162">
        <f t="shared" si="85"/>
        <v>81</v>
      </c>
      <c r="I94" s="2193">
        <v>67239</v>
      </c>
      <c r="J94" s="178">
        <v>8.81</v>
      </c>
      <c r="K94" s="151"/>
      <c r="L94" s="2193"/>
      <c r="M94" s="151"/>
      <c r="O94" s="2193">
        <f t="shared" si="86"/>
        <v>58812.5</v>
      </c>
      <c r="P94" s="178">
        <f t="shared" si="87"/>
        <v>8.07</v>
      </c>
      <c r="Q94" s="151"/>
      <c r="R94" s="145"/>
    </row>
    <row r="95" spans="1:71">
      <c r="A95" s="171">
        <v>82</v>
      </c>
      <c r="B95" s="2192">
        <v>47119</v>
      </c>
      <c r="C95" s="172">
        <v>6.81</v>
      </c>
      <c r="D95" s="195"/>
      <c r="E95" s="2192"/>
      <c r="F95" s="151"/>
      <c r="G95" s="151"/>
      <c r="H95" s="171">
        <f t="shared" si="85"/>
        <v>82</v>
      </c>
      <c r="I95" s="2192">
        <v>64390</v>
      </c>
      <c r="J95" s="172">
        <v>8.18</v>
      </c>
      <c r="K95" s="151"/>
      <c r="L95" s="2192"/>
      <c r="M95" s="151"/>
      <c r="O95" s="2192">
        <f t="shared" si="86"/>
        <v>55754.5</v>
      </c>
      <c r="P95" s="172">
        <f t="shared" si="87"/>
        <v>7.4949999999999992</v>
      </c>
      <c r="Q95" s="151"/>
      <c r="R95" s="151"/>
    </row>
    <row r="96" spans="1:71">
      <c r="A96" s="162">
        <v>83</v>
      </c>
      <c r="B96" s="2193">
        <v>43701</v>
      </c>
      <c r="C96" s="178">
        <v>6.3</v>
      </c>
      <c r="D96" s="195"/>
      <c r="E96" s="2193"/>
      <c r="F96" s="151"/>
      <c r="G96" s="151"/>
      <c r="H96" s="162">
        <f t="shared" si="85"/>
        <v>83</v>
      </c>
      <c r="I96" s="2193">
        <v>61287</v>
      </c>
      <c r="J96" s="178">
        <v>7.57</v>
      </c>
      <c r="K96" s="151"/>
      <c r="L96" s="2193"/>
      <c r="M96" s="151"/>
      <c r="O96" s="2193">
        <f t="shared" si="86"/>
        <v>52494</v>
      </c>
      <c r="P96" s="178">
        <f t="shared" si="87"/>
        <v>6.9350000000000005</v>
      </c>
      <c r="Q96" s="151"/>
      <c r="R96" s="151"/>
    </row>
    <row r="97" spans="1:18">
      <c r="A97" s="171">
        <v>84</v>
      </c>
      <c r="B97" s="2192">
        <v>40132</v>
      </c>
      <c r="C97" s="172">
        <v>5.82</v>
      </c>
      <c r="D97" s="195"/>
      <c r="E97" s="2192"/>
      <c r="F97" s="151"/>
      <c r="G97" s="151"/>
      <c r="H97" s="171">
        <f t="shared" si="85"/>
        <v>84</v>
      </c>
      <c r="I97" s="2192">
        <v>57897</v>
      </c>
      <c r="J97" s="172">
        <v>6.98</v>
      </c>
      <c r="K97" s="151"/>
      <c r="L97" s="2192"/>
      <c r="M97" s="151"/>
      <c r="O97" s="2192">
        <f t="shared" si="86"/>
        <v>49014.5</v>
      </c>
      <c r="P97" s="172">
        <f t="shared" si="87"/>
        <v>6.4</v>
      </c>
      <c r="Q97" s="151"/>
      <c r="R97" s="151"/>
    </row>
    <row r="98" spans="1:18">
      <c r="A98" s="162">
        <v>85</v>
      </c>
      <c r="B98" s="2193">
        <v>36423</v>
      </c>
      <c r="C98" s="178">
        <v>5.36</v>
      </c>
      <c r="D98" s="195"/>
      <c r="E98" s="2193"/>
      <c r="F98" s="151"/>
      <c r="G98" s="151"/>
      <c r="H98" s="162">
        <f t="shared" si="85"/>
        <v>85</v>
      </c>
      <c r="I98" s="2193">
        <v>54194</v>
      </c>
      <c r="J98" s="178">
        <v>6.42</v>
      </c>
      <c r="K98" s="151"/>
      <c r="L98" s="2193"/>
      <c r="M98" s="151"/>
      <c r="O98" s="2193">
        <f t="shared" si="86"/>
        <v>45308.5</v>
      </c>
      <c r="P98" s="178">
        <f t="shared" si="87"/>
        <v>5.8900000000000006</v>
      </c>
      <c r="Q98" s="151"/>
      <c r="R98" s="151"/>
    </row>
    <row r="99" spans="1:18">
      <c r="A99" s="171">
        <v>86</v>
      </c>
      <c r="B99" s="2192">
        <v>32604</v>
      </c>
      <c r="C99" s="172">
        <v>4.93</v>
      </c>
      <c r="D99" s="195"/>
      <c r="E99" s="2192"/>
      <c r="F99" s="151"/>
      <c r="G99" s="151"/>
      <c r="H99" s="171">
        <f t="shared" si="85"/>
        <v>86</v>
      </c>
      <c r="I99" s="2192">
        <v>50170</v>
      </c>
      <c r="J99" s="172">
        <v>5.9</v>
      </c>
      <c r="K99" s="151"/>
      <c r="L99" s="2192"/>
      <c r="M99" s="151"/>
      <c r="O99" s="2192">
        <f t="shared" si="86"/>
        <v>41387</v>
      </c>
      <c r="P99" s="172">
        <f t="shared" si="87"/>
        <v>5.415</v>
      </c>
      <c r="Q99" s="151"/>
      <c r="R99" s="151"/>
    </row>
    <row r="100" spans="1:18">
      <c r="A100" s="162">
        <v>87</v>
      </c>
      <c r="B100" s="2193">
        <v>28721</v>
      </c>
      <c r="C100" s="178">
        <v>4.5199999999999996</v>
      </c>
      <c r="D100" s="195"/>
      <c r="E100" s="2193"/>
      <c r="F100" s="151"/>
      <c r="G100" s="151"/>
      <c r="H100" s="162">
        <f t="shared" si="85"/>
        <v>87</v>
      </c>
      <c r="I100" s="2193">
        <v>45840</v>
      </c>
      <c r="J100" s="178">
        <v>5.41</v>
      </c>
      <c r="K100" s="151"/>
      <c r="L100" s="2193"/>
      <c r="M100" s="151"/>
      <c r="O100" s="2193">
        <f t="shared" si="86"/>
        <v>37280.5</v>
      </c>
      <c r="P100" s="178">
        <f t="shared" si="87"/>
        <v>4.9649999999999999</v>
      </c>
      <c r="Q100" s="151"/>
      <c r="R100" s="151"/>
    </row>
    <row r="101" spans="1:18">
      <c r="A101" s="171">
        <v>88</v>
      </c>
      <c r="B101" s="2192">
        <v>24840</v>
      </c>
      <c r="C101" s="172">
        <v>4.1500000000000004</v>
      </c>
      <c r="D101" s="195"/>
      <c r="E101" s="2192"/>
      <c r="F101" s="151"/>
      <c r="G101" s="151"/>
      <c r="H101" s="171">
        <f t="shared" si="85"/>
        <v>88</v>
      </c>
      <c r="I101" s="2192">
        <v>41247</v>
      </c>
      <c r="J101" s="172">
        <v>4.95</v>
      </c>
      <c r="K101" s="151"/>
      <c r="L101" s="2192"/>
      <c r="M101" s="151"/>
      <c r="O101" s="2192">
        <f t="shared" si="86"/>
        <v>33043.5</v>
      </c>
      <c r="P101" s="172">
        <f t="shared" si="87"/>
        <v>4.5500000000000007</v>
      </c>
      <c r="Q101" s="151"/>
      <c r="R101" s="151"/>
    </row>
    <row r="102" spans="1:18">
      <c r="A102" s="162">
        <v>89</v>
      </c>
      <c r="B102" s="2193">
        <v>21043</v>
      </c>
      <c r="C102" s="178">
        <v>3.81</v>
      </c>
      <c r="D102" s="195"/>
      <c r="E102" s="2193"/>
      <c r="F102" s="151"/>
      <c r="G102" s="151"/>
      <c r="H102" s="162">
        <f t="shared" si="85"/>
        <v>89</v>
      </c>
      <c r="I102" s="2193">
        <v>36472</v>
      </c>
      <c r="J102" s="178">
        <v>4.54</v>
      </c>
      <c r="K102" s="151"/>
      <c r="L102" s="2193"/>
      <c r="M102" s="151"/>
      <c r="O102" s="2193">
        <f t="shared" si="86"/>
        <v>28757.5</v>
      </c>
      <c r="P102" s="178">
        <f t="shared" si="87"/>
        <v>4.1749999999999998</v>
      </c>
      <c r="Q102" s="394"/>
      <c r="R102" s="394"/>
    </row>
    <row r="103" spans="1:18">
      <c r="A103" s="171">
        <v>90</v>
      </c>
      <c r="B103" s="2192">
        <v>17418</v>
      </c>
      <c r="C103" s="172">
        <v>3.5</v>
      </c>
      <c r="D103" s="195"/>
      <c r="E103" s="2192"/>
      <c r="F103" s="151"/>
      <c r="G103" s="151"/>
      <c r="H103" s="171">
        <f t="shared" si="85"/>
        <v>90</v>
      </c>
      <c r="I103" s="2192">
        <v>31623</v>
      </c>
      <c r="J103" s="172">
        <v>4.1500000000000004</v>
      </c>
      <c r="K103" s="151"/>
      <c r="L103" s="2192"/>
      <c r="M103" s="151"/>
      <c r="O103" s="2192">
        <f t="shared" si="86"/>
        <v>24520.5</v>
      </c>
      <c r="P103" s="172">
        <f t="shared" si="87"/>
        <v>3.8250000000000002</v>
      </c>
    </row>
    <row r="104" spans="1:18">
      <c r="A104" s="162">
        <v>91</v>
      </c>
      <c r="B104" s="2193">
        <v>14055</v>
      </c>
      <c r="C104" s="178">
        <v>3.22</v>
      </c>
      <c r="D104" s="193"/>
      <c r="E104" s="2193"/>
      <c r="F104" s="151"/>
      <c r="G104" s="151"/>
      <c r="H104" s="162">
        <f t="shared" si="85"/>
        <v>91</v>
      </c>
      <c r="I104" s="2193">
        <v>26825</v>
      </c>
      <c r="J104" s="178">
        <v>3.81</v>
      </c>
      <c r="K104" s="151"/>
      <c r="L104" s="2193"/>
      <c r="M104" s="151"/>
      <c r="O104" s="2193">
        <f t="shared" si="86"/>
        <v>20440</v>
      </c>
      <c r="P104" s="178">
        <f t="shared" si="87"/>
        <v>3.5150000000000001</v>
      </c>
    </row>
    <row r="105" spans="1:18">
      <c r="A105" s="171">
        <v>92</v>
      </c>
      <c r="B105" s="2192">
        <v>11029</v>
      </c>
      <c r="C105" s="172">
        <v>2.97</v>
      </c>
      <c r="D105" s="193"/>
      <c r="E105" s="2192"/>
      <c r="F105" s="151"/>
      <c r="G105" s="151"/>
      <c r="H105" s="171">
        <f t="shared" si="85"/>
        <v>92</v>
      </c>
      <c r="I105" s="2192">
        <v>22215</v>
      </c>
      <c r="J105" s="172">
        <v>3.49</v>
      </c>
      <c r="K105" s="151"/>
      <c r="L105" s="2192"/>
      <c r="M105" s="151"/>
      <c r="O105" s="2192">
        <f t="shared" si="86"/>
        <v>16622</v>
      </c>
      <c r="P105" s="172">
        <f t="shared" si="87"/>
        <v>3.2300000000000004</v>
      </c>
    </row>
    <row r="106" spans="1:18">
      <c r="A106" s="162">
        <v>93</v>
      </c>
      <c r="B106" s="2193">
        <v>8399</v>
      </c>
      <c r="C106" s="178">
        <v>2.74</v>
      </c>
      <c r="D106" s="193"/>
      <c r="E106" s="2193"/>
      <c r="F106" s="151"/>
      <c r="G106" s="151"/>
      <c r="H106" s="162">
        <f t="shared" si="85"/>
        <v>93</v>
      </c>
      <c r="I106" s="2193">
        <v>17921</v>
      </c>
      <c r="J106" s="178">
        <v>3.21</v>
      </c>
      <c r="K106" s="151"/>
      <c r="L106" s="2193"/>
      <c r="M106" s="151"/>
      <c r="O106" s="2193">
        <f t="shared" si="86"/>
        <v>13160</v>
      </c>
      <c r="P106" s="178">
        <f t="shared" si="87"/>
        <v>2.9750000000000001</v>
      </c>
    </row>
    <row r="107" spans="1:18">
      <c r="A107" s="171">
        <v>94</v>
      </c>
      <c r="B107" s="2192">
        <v>6194</v>
      </c>
      <c r="C107" s="172">
        <v>2.54</v>
      </c>
      <c r="D107" s="193"/>
      <c r="E107" s="2192"/>
      <c r="F107" s="151"/>
      <c r="G107" s="151"/>
      <c r="H107" s="171">
        <f t="shared" si="85"/>
        <v>94</v>
      </c>
      <c r="I107" s="2192">
        <v>14054</v>
      </c>
      <c r="J107" s="172">
        <v>2.96</v>
      </c>
      <c r="K107" s="151"/>
      <c r="L107" s="2192"/>
      <c r="M107" s="151"/>
      <c r="O107" s="2192">
        <f t="shared" si="86"/>
        <v>10124</v>
      </c>
      <c r="P107" s="172">
        <f t="shared" si="87"/>
        <v>2.75</v>
      </c>
    </row>
    <row r="108" spans="1:18">
      <c r="A108" s="162">
        <v>95</v>
      </c>
      <c r="B108" s="2193">
        <v>4418</v>
      </c>
      <c r="C108" s="178">
        <v>2.35</v>
      </c>
      <c r="D108" s="193"/>
      <c r="E108" s="2193"/>
      <c r="F108" s="151"/>
      <c r="G108" s="151"/>
      <c r="H108" s="162">
        <f t="shared" si="85"/>
        <v>95</v>
      </c>
      <c r="I108" s="2193">
        <v>10696</v>
      </c>
      <c r="J108" s="178">
        <v>2.73</v>
      </c>
      <c r="K108" s="151"/>
      <c r="L108" s="2193"/>
      <c r="M108" s="151"/>
      <c r="O108" s="2193">
        <f t="shared" si="86"/>
        <v>7557</v>
      </c>
      <c r="P108" s="178">
        <f t="shared" si="87"/>
        <v>2.54</v>
      </c>
    </row>
    <row r="109" spans="1:18">
      <c r="A109" s="171">
        <v>96</v>
      </c>
      <c r="B109" s="2192">
        <v>3042</v>
      </c>
      <c r="C109" s="172">
        <v>2.19</v>
      </c>
      <c r="D109" s="193"/>
      <c r="E109" s="2192"/>
      <c r="F109" s="151"/>
      <c r="G109" s="151"/>
      <c r="H109" s="171">
        <f t="shared" si="85"/>
        <v>96</v>
      </c>
      <c r="I109" s="2192">
        <v>7886</v>
      </c>
      <c r="J109" s="172">
        <v>2.5299999999999998</v>
      </c>
      <c r="K109" s="151"/>
      <c r="L109" s="2192"/>
      <c r="M109" s="151"/>
      <c r="O109" s="2192">
        <f t="shared" si="86"/>
        <v>5464</v>
      </c>
      <c r="P109" s="172">
        <f t="shared" si="87"/>
        <v>2.36</v>
      </c>
    </row>
    <row r="110" spans="1:18">
      <c r="A110" s="162">
        <v>97</v>
      </c>
      <c r="B110" s="2193">
        <v>2021</v>
      </c>
      <c r="C110" s="178">
        <v>2.0499999999999998</v>
      </c>
      <c r="D110" s="193"/>
      <c r="E110" s="2193"/>
      <c r="F110" s="151"/>
      <c r="G110" s="151"/>
      <c r="H110" s="162">
        <f t="shared" si="85"/>
        <v>97</v>
      </c>
      <c r="I110" s="2193">
        <v>5622</v>
      </c>
      <c r="J110" s="178">
        <v>2.34</v>
      </c>
      <c r="K110" s="151"/>
      <c r="L110" s="2193"/>
      <c r="M110" s="151"/>
      <c r="O110" s="2193">
        <f t="shared" si="86"/>
        <v>3821.5</v>
      </c>
      <c r="P110" s="178">
        <f t="shared" si="87"/>
        <v>2.1949999999999998</v>
      </c>
    </row>
    <row r="111" spans="1:18">
      <c r="A111" s="171">
        <v>98</v>
      </c>
      <c r="B111" s="2192">
        <v>1293</v>
      </c>
      <c r="C111" s="172">
        <v>1.92</v>
      </c>
      <c r="D111" s="193"/>
      <c r="E111" s="2192"/>
      <c r="F111" s="151"/>
      <c r="G111" s="151"/>
      <c r="H111" s="171">
        <f t="shared" si="85"/>
        <v>98</v>
      </c>
      <c r="I111" s="2192">
        <v>3867</v>
      </c>
      <c r="J111" s="172">
        <v>2.1800000000000002</v>
      </c>
      <c r="K111" s="151"/>
      <c r="L111" s="2192"/>
      <c r="M111" s="151"/>
      <c r="O111" s="2192">
        <f t="shared" si="86"/>
        <v>2580</v>
      </c>
      <c r="P111" s="172">
        <f t="shared" si="87"/>
        <v>2.0499999999999998</v>
      </c>
    </row>
    <row r="112" spans="1:18">
      <c r="A112" s="162">
        <v>99</v>
      </c>
      <c r="B112" s="2193">
        <v>795</v>
      </c>
      <c r="C112" s="178">
        <v>1.81</v>
      </c>
      <c r="D112" s="193"/>
      <c r="E112" s="2193"/>
      <c r="F112" s="151"/>
      <c r="G112" s="151"/>
      <c r="H112" s="162">
        <f t="shared" si="85"/>
        <v>99</v>
      </c>
      <c r="I112" s="2193">
        <v>2560</v>
      </c>
      <c r="J112" s="178">
        <v>2.0299999999999998</v>
      </c>
      <c r="K112" s="151"/>
      <c r="L112" s="2193"/>
      <c r="M112" s="151"/>
      <c r="O112" s="2193">
        <f t="shared" si="86"/>
        <v>1677.5</v>
      </c>
      <c r="P112" s="178">
        <f t="shared" si="87"/>
        <v>1.92</v>
      </c>
    </row>
    <row r="113" spans="1:16">
      <c r="A113" s="171">
        <v>100</v>
      </c>
      <c r="B113" s="2192">
        <v>470</v>
      </c>
      <c r="C113" s="172">
        <v>1.71</v>
      </c>
      <c r="D113" s="193"/>
      <c r="E113" s="2192"/>
      <c r="F113" s="151"/>
      <c r="G113" s="151"/>
      <c r="H113" s="171">
        <f t="shared" si="85"/>
        <v>100</v>
      </c>
      <c r="I113" s="2192">
        <v>1627</v>
      </c>
      <c r="J113" s="172">
        <v>1.91</v>
      </c>
      <c r="K113" s="151"/>
      <c r="L113" s="2192"/>
      <c r="M113" s="151"/>
      <c r="O113" s="2192">
        <f t="shared" si="86"/>
        <v>1048.5</v>
      </c>
      <c r="P113" s="172">
        <f t="shared" si="87"/>
        <v>1.81</v>
      </c>
    </row>
  </sheetData>
  <sheetProtection algorithmName="SHA-512" hashValue="qWi80sIO9UUqzp6paRWuBWhOt8TVF1CFT9cy12Aixt54MNfhvjjlUi/pspwZr8EEMLCrpOmo/TyKxswySk2Ktg==" saltValue="zWyv/YTZzLoCK42ktd8kNg==" spinCount="100000" sheet="1" objects="1" scenarios="1" formatColumns="0" autoFilter="0"/>
  <mergeCells count="49">
    <mergeCell ref="A5:F5"/>
    <mergeCell ref="S33:S34"/>
    <mergeCell ref="A6:A11"/>
    <mergeCell ref="BL41:BO41"/>
    <mergeCell ref="A1:M2"/>
    <mergeCell ref="K6:K11"/>
    <mergeCell ref="L6:L10"/>
    <mergeCell ref="M6:M10"/>
    <mergeCell ref="A3:F3"/>
    <mergeCell ref="H3:M3"/>
    <mergeCell ref="A4:F4"/>
    <mergeCell ref="H4:M4"/>
    <mergeCell ref="E6:E10"/>
    <mergeCell ref="F6:F10"/>
    <mergeCell ref="H6:H11"/>
    <mergeCell ref="I6:I10"/>
    <mergeCell ref="H5:M5"/>
    <mergeCell ref="W9:BH10"/>
    <mergeCell ref="BP41:BS41"/>
    <mergeCell ref="W12:W47"/>
    <mergeCell ref="T18:U18"/>
    <mergeCell ref="T20:U20"/>
    <mergeCell ref="T21:U21"/>
    <mergeCell ref="S24:U25"/>
    <mergeCell ref="T26:U26"/>
    <mergeCell ref="T27:U27"/>
    <mergeCell ref="T28:U28"/>
    <mergeCell ref="T29:U29"/>
    <mergeCell ref="T30:U30"/>
    <mergeCell ref="T31:U31"/>
    <mergeCell ref="T32:U32"/>
    <mergeCell ref="T33:U34"/>
    <mergeCell ref="B6:B10"/>
    <mergeCell ref="C6:C10"/>
    <mergeCell ref="D6:D11"/>
    <mergeCell ref="J6:J10"/>
    <mergeCell ref="S8:U10"/>
    <mergeCell ref="CC54:CW55"/>
    <mergeCell ref="BZ14:CA14"/>
    <mergeCell ref="CI11:CN11"/>
    <mergeCell ref="CP11:CS11"/>
    <mergeCell ref="CC11:CG11"/>
    <mergeCell ref="CC9:CW10"/>
    <mergeCell ref="CT11:CV11"/>
    <mergeCell ref="CC2:CW8"/>
    <mergeCell ref="O4:P4"/>
    <mergeCell ref="O6:O10"/>
    <mergeCell ref="P6:P10"/>
    <mergeCell ref="W7:BH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581D-C2D9-4567-B96F-E89482734C0B}">
  <sheetPr codeName="Tabelle29"/>
  <dimension ref="A3:H33"/>
  <sheetViews>
    <sheetView workbookViewId="0">
      <selection activeCell="D3" sqref="D3:H21"/>
    </sheetView>
  </sheetViews>
  <sheetFormatPr baseColWidth="10" defaultColWidth="10.625" defaultRowHeight="14.25"/>
  <cols>
    <col min="2" max="2" width="41.125" style="101" customWidth="1"/>
    <col min="3" max="3" width="32.5" style="101" customWidth="1"/>
    <col min="5" max="5" width="32.625" customWidth="1"/>
    <col min="6" max="6" width="42" customWidth="1"/>
    <col min="8" max="8" width="13.5" customWidth="1"/>
  </cols>
  <sheetData>
    <row r="3" spans="1:8" ht="22.5">
      <c r="A3" s="340">
        <v>2</v>
      </c>
      <c r="B3" s="341" t="s">
        <v>408</v>
      </c>
      <c r="C3" s="341" t="s">
        <v>409</v>
      </c>
      <c r="D3" s="347">
        <v>1</v>
      </c>
      <c r="E3" s="1468" t="s">
        <v>464</v>
      </c>
      <c r="F3" s="1468" t="s">
        <v>465</v>
      </c>
      <c r="G3" s="1469" t="s">
        <v>466</v>
      </c>
      <c r="H3" s="1469" t="s">
        <v>467</v>
      </c>
    </row>
    <row r="4" spans="1:8">
      <c r="A4" s="340">
        <v>3</v>
      </c>
      <c r="B4" s="341" t="s">
        <v>410</v>
      </c>
      <c r="C4" s="341" t="s">
        <v>411</v>
      </c>
      <c r="D4" s="347">
        <v>2</v>
      </c>
      <c r="E4" s="1468" t="s">
        <v>468</v>
      </c>
      <c r="F4" s="1468" t="s">
        <v>469</v>
      </c>
      <c r="G4" s="1469"/>
      <c r="H4" s="1469" t="s">
        <v>467</v>
      </c>
    </row>
    <row r="5" spans="1:8" ht="22.5">
      <c r="A5" s="340">
        <v>4</v>
      </c>
      <c r="B5" s="341" t="s">
        <v>412</v>
      </c>
      <c r="C5" s="341" t="s">
        <v>413</v>
      </c>
      <c r="D5" s="347">
        <v>3</v>
      </c>
      <c r="E5" s="1468" t="s">
        <v>470</v>
      </c>
      <c r="F5" s="1468" t="s">
        <v>471</v>
      </c>
      <c r="G5" s="1469" t="s">
        <v>472</v>
      </c>
      <c r="H5" s="1469" t="s">
        <v>498</v>
      </c>
    </row>
    <row r="6" spans="1:8" ht="28.5">
      <c r="A6" s="340">
        <v>8</v>
      </c>
      <c r="B6" s="342" t="s">
        <v>414</v>
      </c>
      <c r="C6" s="341" t="s">
        <v>415</v>
      </c>
      <c r="D6" s="347">
        <v>4</v>
      </c>
      <c r="E6" s="1468" t="s">
        <v>474</v>
      </c>
      <c r="F6" s="1468" t="s">
        <v>471</v>
      </c>
      <c r="G6" s="1469" t="s">
        <v>472</v>
      </c>
      <c r="H6" s="1469" t="s">
        <v>498</v>
      </c>
    </row>
    <row r="7" spans="1:8" ht="28.5">
      <c r="A7" s="340">
        <v>9</v>
      </c>
      <c r="B7" s="342" t="s">
        <v>416</v>
      </c>
      <c r="C7" s="341" t="s">
        <v>417</v>
      </c>
      <c r="D7" s="347">
        <v>5</v>
      </c>
      <c r="E7" s="1468" t="s">
        <v>475</v>
      </c>
      <c r="F7" s="1468" t="s">
        <v>476</v>
      </c>
      <c r="G7" s="1469" t="s">
        <v>477</v>
      </c>
      <c r="H7" s="1469" t="s">
        <v>478</v>
      </c>
    </row>
    <row r="8" spans="1:8" ht="22.5">
      <c r="A8" s="340">
        <v>10</v>
      </c>
      <c r="B8" s="341" t="s">
        <v>418</v>
      </c>
      <c r="C8" s="341" t="s">
        <v>419</v>
      </c>
      <c r="D8" s="347">
        <v>6</v>
      </c>
      <c r="E8" s="1468" t="s">
        <v>479</v>
      </c>
      <c r="F8" s="1468" t="s">
        <v>480</v>
      </c>
      <c r="G8" s="1469" t="s">
        <v>481</v>
      </c>
      <c r="H8" s="1469" t="s">
        <v>467</v>
      </c>
    </row>
    <row r="9" spans="1:8" ht="22.5">
      <c r="A9" s="340">
        <v>11</v>
      </c>
      <c r="B9" s="341" t="s">
        <v>420</v>
      </c>
      <c r="C9" s="341" t="s">
        <v>421</v>
      </c>
      <c r="D9" s="347">
        <v>7</v>
      </c>
      <c r="E9" s="1468" t="s">
        <v>482</v>
      </c>
      <c r="F9" s="1468" t="s">
        <v>483</v>
      </c>
      <c r="G9" s="1469" t="s">
        <v>484</v>
      </c>
      <c r="H9" s="1469" t="s">
        <v>498</v>
      </c>
    </row>
    <row r="10" spans="1:8" ht="22.5">
      <c r="A10" s="340">
        <v>12</v>
      </c>
      <c r="B10" s="341" t="s">
        <v>422</v>
      </c>
      <c r="C10" s="341" t="s">
        <v>423</v>
      </c>
      <c r="D10" s="347">
        <v>8</v>
      </c>
      <c r="E10" s="1468" t="s">
        <v>485</v>
      </c>
      <c r="F10" s="1468" t="s">
        <v>471</v>
      </c>
      <c r="G10" s="1469" t="s">
        <v>484</v>
      </c>
      <c r="H10" s="1469" t="s">
        <v>498</v>
      </c>
    </row>
    <row r="11" spans="1:8" ht="22.5">
      <c r="A11" s="340">
        <v>13</v>
      </c>
      <c r="B11" s="341" t="s">
        <v>424</v>
      </c>
      <c r="C11" s="341" t="s">
        <v>425</v>
      </c>
      <c r="D11" s="347">
        <v>9</v>
      </c>
      <c r="E11" s="1468" t="s">
        <v>486</v>
      </c>
      <c r="F11" s="1468" t="s">
        <v>471</v>
      </c>
      <c r="G11" s="1469" t="s">
        <v>484</v>
      </c>
      <c r="H11" s="1469" t="s">
        <v>498</v>
      </c>
    </row>
    <row r="12" spans="1:8" ht="22.5">
      <c r="A12" s="340">
        <v>14</v>
      </c>
      <c r="B12" s="341" t="s">
        <v>426</v>
      </c>
      <c r="C12" s="341" t="s">
        <v>427</v>
      </c>
      <c r="D12" s="347">
        <v>10</v>
      </c>
      <c r="E12" s="1468" t="s">
        <v>487</v>
      </c>
      <c r="F12" s="1468" t="s">
        <v>471</v>
      </c>
      <c r="G12" s="1469"/>
      <c r="H12" s="1469" t="s">
        <v>488</v>
      </c>
    </row>
    <row r="13" spans="1:8" ht="28.5">
      <c r="A13" s="340">
        <v>15</v>
      </c>
      <c r="B13" s="342" t="s">
        <v>428</v>
      </c>
      <c r="C13" s="341" t="s">
        <v>429</v>
      </c>
      <c r="D13" s="347">
        <v>11</v>
      </c>
      <c r="E13" s="1468" t="s">
        <v>489</v>
      </c>
      <c r="F13" s="1468" t="s">
        <v>471</v>
      </c>
      <c r="G13" s="1469" t="s">
        <v>484</v>
      </c>
      <c r="H13" s="1469" t="s">
        <v>498</v>
      </c>
    </row>
    <row r="14" spans="1:8" ht="22.5">
      <c r="A14" s="340">
        <v>16</v>
      </c>
      <c r="B14" s="341" t="s">
        <v>430</v>
      </c>
      <c r="C14" s="341" t="s">
        <v>431</v>
      </c>
      <c r="D14" s="347">
        <v>12</v>
      </c>
      <c r="E14" s="1468" t="s">
        <v>490</v>
      </c>
      <c r="F14" s="1468" t="s">
        <v>491</v>
      </c>
      <c r="G14" s="1469" t="s">
        <v>484</v>
      </c>
      <c r="H14" s="1469" t="s">
        <v>498</v>
      </c>
    </row>
    <row r="15" spans="1:8" ht="22.5">
      <c r="A15" s="340">
        <v>17</v>
      </c>
      <c r="B15" s="341" t="s">
        <v>432</v>
      </c>
      <c r="C15" s="341" t="s">
        <v>433</v>
      </c>
      <c r="D15" s="347">
        <v>13</v>
      </c>
      <c r="E15" s="1468" t="s">
        <v>492</v>
      </c>
      <c r="F15" s="1468" t="s">
        <v>471</v>
      </c>
      <c r="G15" s="1469" t="s">
        <v>484</v>
      </c>
      <c r="H15" s="1469" t="s">
        <v>498</v>
      </c>
    </row>
    <row r="16" spans="1:8" ht="22.5">
      <c r="A16" s="340">
        <v>18</v>
      </c>
      <c r="B16" s="341" t="s">
        <v>434</v>
      </c>
      <c r="C16" s="341" t="s">
        <v>435</v>
      </c>
      <c r="D16" s="347">
        <v>14</v>
      </c>
      <c r="E16" s="1468" t="s">
        <v>493</v>
      </c>
      <c r="F16" s="1468" t="s">
        <v>471</v>
      </c>
      <c r="G16" s="1469" t="s">
        <v>484</v>
      </c>
      <c r="H16" s="1469" t="s">
        <v>498</v>
      </c>
    </row>
    <row r="17" spans="1:8">
      <c r="A17" s="340">
        <v>19</v>
      </c>
      <c r="B17" s="342" t="s">
        <v>436</v>
      </c>
      <c r="C17" s="341" t="s">
        <v>437</v>
      </c>
      <c r="D17" s="347">
        <v>15</v>
      </c>
      <c r="E17" s="1468" t="s">
        <v>494</v>
      </c>
      <c r="F17" s="1468" t="s">
        <v>495</v>
      </c>
      <c r="G17" s="1469" t="s">
        <v>481</v>
      </c>
      <c r="H17" s="1469" t="s">
        <v>496</v>
      </c>
    </row>
    <row r="18" spans="1:8" ht="28.5">
      <c r="A18" s="340">
        <v>20</v>
      </c>
      <c r="B18" s="342" t="s">
        <v>438</v>
      </c>
      <c r="C18" s="341" t="s">
        <v>439</v>
      </c>
      <c r="D18" s="347">
        <v>16</v>
      </c>
      <c r="E18" s="1468" t="s">
        <v>497</v>
      </c>
      <c r="F18" s="1468" t="s">
        <v>471</v>
      </c>
      <c r="G18" s="1469" t="s">
        <v>484</v>
      </c>
      <c r="H18" s="1469" t="s">
        <v>498</v>
      </c>
    </row>
    <row r="19" spans="1:8">
      <c r="A19" s="340">
        <v>21</v>
      </c>
      <c r="B19" s="341" t="s">
        <v>440</v>
      </c>
      <c r="C19" s="341" t="s">
        <v>441</v>
      </c>
      <c r="D19" s="347">
        <v>17</v>
      </c>
      <c r="E19" s="1468" t="s">
        <v>503</v>
      </c>
      <c r="F19" s="1468" t="s">
        <v>504</v>
      </c>
      <c r="G19" s="1469"/>
      <c r="H19" s="1469" t="s">
        <v>467</v>
      </c>
    </row>
    <row r="20" spans="1:8">
      <c r="A20" s="340">
        <v>23</v>
      </c>
      <c r="B20" s="341" t="s">
        <v>442</v>
      </c>
      <c r="C20" s="341" t="s">
        <v>443</v>
      </c>
    </row>
    <row r="21" spans="1:8" ht="28.5">
      <c r="A21" s="340">
        <v>24</v>
      </c>
      <c r="B21" s="342" t="s">
        <v>444</v>
      </c>
      <c r="C21" s="341" t="s">
        <v>443</v>
      </c>
    </row>
    <row r="22" spans="1:8" ht="28.5">
      <c r="A22" s="340">
        <v>25</v>
      </c>
      <c r="B22" s="342" t="s">
        <v>445</v>
      </c>
      <c r="C22" s="341" t="s">
        <v>446</v>
      </c>
    </row>
    <row r="23" spans="1:8" ht="28.5">
      <c r="A23" s="340">
        <v>26</v>
      </c>
      <c r="B23" s="342" t="s">
        <v>447</v>
      </c>
      <c r="C23" s="341" t="s">
        <v>448</v>
      </c>
    </row>
    <row r="24" spans="1:8">
      <c r="A24" s="340">
        <v>28</v>
      </c>
      <c r="B24" s="341" t="s">
        <v>449</v>
      </c>
      <c r="C24" s="341" t="s">
        <v>450</v>
      </c>
    </row>
    <row r="25" spans="1:8" ht="28.5">
      <c r="A25" s="340">
        <v>29</v>
      </c>
      <c r="B25" s="342" t="s">
        <v>451</v>
      </c>
      <c r="C25" s="341" t="s">
        <v>452</v>
      </c>
    </row>
    <row r="26" spans="1:8">
      <c r="A26" s="340">
        <v>38</v>
      </c>
      <c r="B26" s="341" t="s">
        <v>453</v>
      </c>
      <c r="C26" s="341" t="s">
        <v>454</v>
      </c>
    </row>
    <row r="27" spans="1:8" ht="28.5">
      <c r="A27" s="340">
        <v>39</v>
      </c>
      <c r="B27" s="342" t="s">
        <v>455</v>
      </c>
      <c r="C27" s="341"/>
    </row>
    <row r="28" spans="1:8" ht="42.75">
      <c r="A28" s="340">
        <v>40</v>
      </c>
      <c r="B28" s="342" t="s">
        <v>456</v>
      </c>
      <c r="C28" s="341"/>
    </row>
    <row r="29" spans="1:8">
      <c r="A29" s="340">
        <v>42</v>
      </c>
      <c r="B29" s="341" t="s">
        <v>457</v>
      </c>
      <c r="C29" s="341" t="s">
        <v>458</v>
      </c>
    </row>
    <row r="30" spans="1:8" ht="57">
      <c r="A30" s="340">
        <v>80</v>
      </c>
      <c r="B30" s="342" t="s">
        <v>459</v>
      </c>
      <c r="C30" s="341"/>
    </row>
    <row r="31" spans="1:8" ht="28.5">
      <c r="A31" s="340">
        <v>81</v>
      </c>
      <c r="B31" s="342" t="s">
        <v>460</v>
      </c>
      <c r="C31" s="341"/>
    </row>
    <row r="32" spans="1:8" ht="42.75">
      <c r="A32" s="340">
        <v>82</v>
      </c>
      <c r="B32" s="342" t="s">
        <v>461</v>
      </c>
      <c r="C32" s="341"/>
    </row>
    <row r="33" spans="1:3" ht="57">
      <c r="A33" s="340">
        <v>89</v>
      </c>
      <c r="B33" s="342" t="s">
        <v>462</v>
      </c>
      <c r="C33" s="341"/>
    </row>
  </sheetData>
  <sheetProtection algorithmName="SHA-512" hashValue="erRbN8MF9E+El07hNfp1XaVO6BX9uvt43oLyQtlfZZNJagts5kZBX6SpvQNMCvl7lU2vz+8aD+jj8r5mqgP/2w==" saltValue="9xCuyIQhvdUQZMVXsRpEug==" spinCount="100000" sheet="1" objects="1" scenarios="1" formatColumns="0" autoFilter="0"/>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9"/>
  <dimension ref="A1:BE867"/>
  <sheetViews>
    <sheetView zoomScale="130" zoomScaleNormal="130" workbookViewId="0">
      <pane ySplit="1" topLeftCell="A803" activePane="bottomLeft" state="frozen"/>
      <selection pane="bottomLeft" activeCell="D814" sqref="D814"/>
    </sheetView>
  </sheetViews>
  <sheetFormatPr baseColWidth="10" defaultRowHeight="14.25"/>
  <cols>
    <col min="1" max="1" width="4.125" customWidth="1"/>
    <col min="2" max="2" width="10.625" customWidth="1"/>
    <col min="3" max="3" width="10.625" style="645" customWidth="1"/>
    <col min="4" max="4" width="11" style="1430"/>
    <col min="5" max="5" width="11" style="143"/>
    <col min="6" max="6" width="11" style="127"/>
    <col min="7" max="7" width="11.125" style="127" bestFit="1" customWidth="1"/>
    <col min="8" max="9" width="11" style="127"/>
    <col min="12" max="12" width="11" style="145"/>
    <col min="13" max="13" width="13" customWidth="1"/>
    <col min="15" max="15" width="14.125" customWidth="1"/>
    <col min="17" max="17" width="11.625" style="203" customWidth="1"/>
    <col min="18" max="18" width="11.625" customWidth="1"/>
    <col min="19" max="19" width="10.125" customWidth="1"/>
    <col min="20" max="20" width="6.625" style="65" hidden="1" customWidth="1"/>
    <col min="21" max="21" width="6.625" style="65" customWidth="1"/>
    <col min="22" max="32" width="6.625" style="259" customWidth="1"/>
    <col min="33" max="37" width="6.625" customWidth="1"/>
    <col min="38" max="57" width="5.625" customWidth="1"/>
  </cols>
  <sheetData>
    <row r="1" spans="1:39" ht="30" customHeight="1">
      <c r="A1" t="s">
        <v>190</v>
      </c>
      <c r="B1" s="620" t="s">
        <v>204</v>
      </c>
      <c r="L1"/>
      <c r="O1" s="2397" t="s">
        <v>870</v>
      </c>
      <c r="P1" s="2397"/>
      <c r="Q1" s="2397"/>
      <c r="R1" s="2397"/>
    </row>
    <row r="2" spans="1:39">
      <c r="B2" s="2395" t="s">
        <v>190</v>
      </c>
      <c r="C2" s="2395"/>
      <c r="E2" s="2401" t="s">
        <v>206</v>
      </c>
      <c r="F2" s="2401"/>
      <c r="G2" s="2401"/>
      <c r="L2"/>
      <c r="O2" s="315" t="s">
        <v>869</v>
      </c>
      <c r="P2" s="772">
        <v>29586</v>
      </c>
      <c r="Q2" s="772">
        <v>44926</v>
      </c>
      <c r="R2" s="160" t="s">
        <v>868</v>
      </c>
    </row>
    <row r="3" spans="1:39" ht="26.25">
      <c r="B3" s="621">
        <v>21367</v>
      </c>
      <c r="C3" s="1225">
        <v>22.396000000000001</v>
      </c>
      <c r="D3" s="1430">
        <f t="shared" ref="D3:D66" si="0">ROUND(+D4*C3/C4,19)</f>
        <v>21.175189097956402</v>
      </c>
      <c r="E3" s="1203" t="s">
        <v>199</v>
      </c>
      <c r="F3" s="1204" t="s">
        <v>205</v>
      </c>
      <c r="G3" s="1147" t="s">
        <v>192</v>
      </c>
      <c r="H3" s="2398" t="s">
        <v>200</v>
      </c>
      <c r="I3" s="2399"/>
      <c r="K3" s="2400" t="s">
        <v>202</v>
      </c>
      <c r="L3" s="2400"/>
      <c r="M3" s="2400"/>
      <c r="O3" s="160" t="s">
        <v>867</v>
      </c>
      <c r="P3" s="160">
        <f>VLOOKUP(P2,VPI,2)</f>
        <v>49.674999999999997</v>
      </c>
      <c r="Q3" s="160">
        <f>VLOOKUP(Q2,VPI,2)</f>
        <v>120.6</v>
      </c>
      <c r="R3" s="771">
        <f>_xlfn.RRI(YEARFRAC(P2,Q2,3),P3,Q3)</f>
        <v>2.1329024989711121E-2</v>
      </c>
    </row>
    <row r="4" spans="1:39" ht="15.75">
      <c r="B4" s="621">
        <v>21398</v>
      </c>
      <c r="C4" s="1225">
        <v>22.227</v>
      </c>
      <c r="D4" s="1430">
        <f t="shared" si="0"/>
        <v>21.015401325249002</v>
      </c>
      <c r="E4" s="346">
        <v>8402</v>
      </c>
      <c r="F4" s="1205">
        <v>0.04</v>
      </c>
      <c r="G4" s="1206" t="e">
        <f t="shared" ref="G4:G10" si="1">VLOOKUP(E4,BilmoGZins,16)</f>
        <v>#N/A</v>
      </c>
      <c r="H4" s="1207" t="s">
        <v>60</v>
      </c>
      <c r="I4" s="1198" t="s">
        <v>201</v>
      </c>
      <c r="K4" s="50" t="s">
        <v>199</v>
      </c>
      <c r="L4" s="50" t="s">
        <v>202</v>
      </c>
      <c r="M4" s="50" t="s">
        <v>203</v>
      </c>
      <c r="O4" s="144">
        <v>21367</v>
      </c>
      <c r="P4" s="844">
        <f t="shared" ref="P4:P35" si="2">VLOOKUP(O4,VPI,2)</f>
        <v>22.396000000000001</v>
      </c>
      <c r="Q4"/>
      <c r="T4" s="882"/>
      <c r="U4" s="882"/>
      <c r="V4" s="882"/>
      <c r="W4" s="882"/>
      <c r="X4" s="882"/>
      <c r="Y4" s="882"/>
      <c r="Z4" s="882"/>
      <c r="AA4" s="882"/>
      <c r="AB4" s="882"/>
      <c r="AC4" s="882"/>
      <c r="AD4" s="882"/>
      <c r="AE4" s="882"/>
      <c r="AF4" s="882"/>
      <c r="AG4" s="882"/>
      <c r="AH4" s="882"/>
      <c r="AI4" s="882"/>
      <c r="AJ4" s="882"/>
      <c r="AK4" s="882"/>
    </row>
    <row r="5" spans="1:39" ht="16.5" thickBot="1">
      <c r="B5" s="621">
        <v>21429</v>
      </c>
      <c r="C5" s="1225">
        <v>22.227</v>
      </c>
      <c r="D5" s="1430">
        <f t="shared" si="0"/>
        <v>21.015401325249002</v>
      </c>
      <c r="E5" s="1208">
        <v>15342</v>
      </c>
      <c r="F5" s="1209">
        <v>0.03</v>
      </c>
      <c r="G5" s="1206" t="e">
        <f t="shared" si="1"/>
        <v>#N/A</v>
      </c>
      <c r="H5" s="1210">
        <v>37622</v>
      </c>
      <c r="I5" s="1199">
        <f>2.2%+15.5%</f>
        <v>0.17699999999999999</v>
      </c>
      <c r="K5" s="76">
        <v>40544</v>
      </c>
      <c r="L5" s="77">
        <v>1.1999999999999999E-3</v>
      </c>
      <c r="M5" s="77">
        <v>5.1200000000000002E-2</v>
      </c>
      <c r="O5" s="144">
        <v>21732</v>
      </c>
      <c r="P5" s="844">
        <f t="shared" si="2"/>
        <v>22.564</v>
      </c>
      <c r="Q5"/>
    </row>
    <row r="6" spans="1:39" ht="15.75" customHeight="1">
      <c r="B6" s="621">
        <v>21459</v>
      </c>
      <c r="C6" s="1225">
        <v>22.227</v>
      </c>
      <c r="D6" s="1430">
        <f t="shared" si="0"/>
        <v>21.015401325249002</v>
      </c>
      <c r="E6" s="1208">
        <v>31594</v>
      </c>
      <c r="F6" s="1211">
        <v>3.5000000000000003E-2</v>
      </c>
      <c r="G6" s="1206" t="e">
        <f t="shared" si="1"/>
        <v>#N/A</v>
      </c>
      <c r="H6" s="1210">
        <v>41456</v>
      </c>
      <c r="I6" s="1199">
        <f>0.155+0.0205+0.0025</f>
        <v>0.17799999999999999</v>
      </c>
      <c r="K6" s="76">
        <v>40725</v>
      </c>
      <c r="L6" s="77">
        <v>3.7000000000000002E-3</v>
      </c>
      <c r="M6" s="77">
        <v>5.3699999999999998E-2</v>
      </c>
      <c r="O6" s="144">
        <v>22098</v>
      </c>
      <c r="P6" s="844">
        <f t="shared" si="2"/>
        <v>22.901</v>
      </c>
      <c r="Q6"/>
      <c r="R6" s="65"/>
      <c r="S6" s="2402" t="s">
        <v>1308</v>
      </c>
      <c r="T6" s="2403"/>
      <c r="U6" s="2403"/>
      <c r="V6" s="2403"/>
      <c r="W6" s="2403"/>
      <c r="X6" s="2403"/>
      <c r="Y6" s="2403"/>
      <c r="Z6" s="2403"/>
      <c r="AA6" s="2403"/>
      <c r="AB6" s="2403"/>
      <c r="AC6" s="2403"/>
      <c r="AD6" s="2403"/>
      <c r="AE6" s="2403"/>
      <c r="AF6" s="2403"/>
      <c r="AG6" s="2403"/>
      <c r="AH6" s="2403"/>
      <c r="AI6" s="2403"/>
      <c r="AJ6" s="2403"/>
      <c r="AK6" s="2404"/>
    </row>
    <row r="7" spans="1:39" ht="16.5" customHeight="1">
      <c r="B7" s="621">
        <v>21490</v>
      </c>
      <c r="C7" s="1225">
        <v>22.396000000000001</v>
      </c>
      <c r="D7" s="1430">
        <f t="shared" si="0"/>
        <v>21.175189097956402</v>
      </c>
      <c r="E7" s="1208">
        <v>34516</v>
      </c>
      <c r="F7" s="1209">
        <v>0.04</v>
      </c>
      <c r="G7" s="1206" t="e">
        <f t="shared" si="1"/>
        <v>#N/A</v>
      </c>
      <c r="H7" s="1210">
        <v>42005</v>
      </c>
      <c r="I7" s="1199">
        <f>0.146+0.0235+0.0025+0.009</f>
        <v>0.18099999999999999</v>
      </c>
      <c r="K7" s="76">
        <v>40909</v>
      </c>
      <c r="L7" s="77">
        <v>1.1999999999999999E-3</v>
      </c>
      <c r="M7" s="77">
        <v>5.1200000000000002E-2</v>
      </c>
      <c r="O7" s="144">
        <v>22463</v>
      </c>
      <c r="P7" s="844">
        <f t="shared" si="2"/>
        <v>23.49</v>
      </c>
      <c r="Q7"/>
      <c r="R7" s="65"/>
      <c r="S7" s="2405"/>
      <c r="T7" s="2406"/>
      <c r="U7" s="2406"/>
      <c r="V7" s="2406"/>
      <c r="W7" s="2406"/>
      <c r="X7" s="2406"/>
      <c r="Y7" s="2406"/>
      <c r="Z7" s="2406"/>
      <c r="AA7" s="2406"/>
      <c r="AB7" s="2406"/>
      <c r="AC7" s="2406"/>
      <c r="AD7" s="2406"/>
      <c r="AE7" s="2406"/>
      <c r="AF7" s="2406"/>
      <c r="AG7" s="2406"/>
      <c r="AH7" s="2406"/>
      <c r="AI7" s="2406"/>
      <c r="AJ7" s="2406"/>
      <c r="AK7" s="2407"/>
    </row>
    <row r="8" spans="1:39" ht="15.75">
      <c r="B8" s="621">
        <v>21520</v>
      </c>
      <c r="C8" s="1225">
        <v>22.48</v>
      </c>
      <c r="D8" s="1430">
        <f t="shared" si="0"/>
        <v>21.254610239420401</v>
      </c>
      <c r="E8" s="1208">
        <v>36708</v>
      </c>
      <c r="F8" s="1211">
        <v>3.2500000000000001E-2</v>
      </c>
      <c r="G8" s="1206" t="e">
        <f t="shared" si="1"/>
        <v>#N/A</v>
      </c>
      <c r="H8" s="1210">
        <v>42430</v>
      </c>
      <c r="I8" s="1199">
        <f>0.146+0.009+0.0235+0.0025</f>
        <v>0.18099999999999999</v>
      </c>
      <c r="K8" s="76">
        <v>41091</v>
      </c>
      <c r="L8" s="77">
        <v>1.1999999999999999E-3</v>
      </c>
      <c r="M8" s="77">
        <v>5.1200000000000002E-2</v>
      </c>
      <c r="O8" s="144">
        <v>22828</v>
      </c>
      <c r="P8" s="844">
        <f t="shared" si="2"/>
        <v>24.248000000000001</v>
      </c>
      <c r="Q8"/>
      <c r="R8" s="65"/>
      <c r="S8" s="2408" t="s">
        <v>932</v>
      </c>
      <c r="T8" s="2409"/>
      <c r="U8" s="2410"/>
      <c r="V8" s="883">
        <f>V9/U9-1</f>
        <v>3.7700282752120673E-2</v>
      </c>
      <c r="W8" s="59">
        <f>W9/V9-1</f>
        <v>7.5386012715713102E-2</v>
      </c>
      <c r="X8" s="1049">
        <f>VLOOKUP(X10,$O$4:$Q$765,3)</f>
        <v>6.2E-2</v>
      </c>
      <c r="Y8" s="1407">
        <f t="shared" ref="Y8:AK8" si="3">VLOOKUP(Y10,$O$4:$Q$765,3)</f>
        <v>0.05</v>
      </c>
      <c r="Z8" s="1407">
        <f t="shared" si="3"/>
        <v>0.04</v>
      </c>
      <c r="AA8" s="1407">
        <f t="shared" si="3"/>
        <v>0.03</v>
      </c>
      <c r="AB8" s="1407">
        <f t="shared" si="3"/>
        <v>2.5000000000000001E-2</v>
      </c>
      <c r="AC8" s="1407">
        <f t="shared" si="3"/>
        <v>2.1999999999999999E-2</v>
      </c>
      <c r="AD8" s="1407">
        <f t="shared" si="3"/>
        <v>0.02</v>
      </c>
      <c r="AE8" s="1407">
        <f t="shared" si="3"/>
        <v>0.02</v>
      </c>
      <c r="AF8" s="1407">
        <f t="shared" si="3"/>
        <v>0.02</v>
      </c>
      <c r="AG8" s="1407">
        <f t="shared" si="3"/>
        <v>0.02</v>
      </c>
      <c r="AH8" s="1407">
        <f t="shared" si="3"/>
        <v>0.02</v>
      </c>
      <c r="AI8" s="1407">
        <f t="shared" si="3"/>
        <v>0.02</v>
      </c>
      <c r="AJ8" s="1407">
        <f t="shared" si="3"/>
        <v>0.02</v>
      </c>
      <c r="AK8" s="1407">
        <f t="shared" si="3"/>
        <v>0.02</v>
      </c>
      <c r="AL8" s="59"/>
    </row>
    <row r="9" spans="1:39" ht="15.75">
      <c r="B9" s="621">
        <v>21551</v>
      </c>
      <c r="C9" s="1225">
        <v>22.564</v>
      </c>
      <c r="D9" s="1430">
        <f t="shared" si="0"/>
        <v>21.334031380884401</v>
      </c>
      <c r="E9" s="1208">
        <v>37987</v>
      </c>
      <c r="F9" s="1211">
        <v>2.75E-2</v>
      </c>
      <c r="G9" s="1206" t="e">
        <f t="shared" si="1"/>
        <v>#N/A</v>
      </c>
      <c r="H9" s="1210">
        <v>42736</v>
      </c>
      <c r="I9" s="1199">
        <f>0.146+0.009+0.0255+0.0025</f>
        <v>0.183</v>
      </c>
      <c r="K9" s="76">
        <v>41275</v>
      </c>
      <c r="L9" s="77">
        <v>-1.2999999999999999E-3</v>
      </c>
      <c r="M9" s="77">
        <v>4.87E-2</v>
      </c>
      <c r="O9" s="144">
        <v>23193</v>
      </c>
      <c r="P9" s="844">
        <f t="shared" si="2"/>
        <v>24.753</v>
      </c>
      <c r="Q9"/>
      <c r="R9" s="65"/>
      <c r="S9" s="952" t="s">
        <v>190</v>
      </c>
      <c r="T9" s="953">
        <v>102.5</v>
      </c>
      <c r="U9" s="953">
        <f>VLOOKUP(U10,$O$4:$P$765,2)</f>
        <v>106.1</v>
      </c>
      <c r="V9" s="953">
        <f t="shared" ref="V9:AK9" si="4">VLOOKUP(V10,$O$4:$P$765,2)</f>
        <v>110.1</v>
      </c>
      <c r="W9" s="953">
        <f t="shared" si="4"/>
        <v>118.4</v>
      </c>
      <c r="X9" s="953">
        <f t="shared" si="4"/>
        <v>125.74080000000001</v>
      </c>
      <c r="Y9" s="953">
        <f t="shared" si="4"/>
        <v>132.02784000000003</v>
      </c>
      <c r="Z9" s="1408">
        <f t="shared" si="4"/>
        <v>137.30895360000002</v>
      </c>
      <c r="AA9" s="1408">
        <f t="shared" si="4"/>
        <v>141.42822220800002</v>
      </c>
      <c r="AB9" s="1408">
        <f t="shared" si="4"/>
        <v>144.96392776320002</v>
      </c>
      <c r="AC9" s="1408">
        <f t="shared" si="4"/>
        <v>148.15313417399042</v>
      </c>
      <c r="AD9" s="1408">
        <f t="shared" si="4"/>
        <v>151.11619685747024</v>
      </c>
      <c r="AE9" s="1408">
        <f t="shared" si="4"/>
        <v>154.13852079461964</v>
      </c>
      <c r="AF9" s="1408">
        <f t="shared" si="4"/>
        <v>157.22129121051202</v>
      </c>
      <c r="AG9" s="1408">
        <f t="shared" si="4"/>
        <v>160.36571703472225</v>
      </c>
      <c r="AH9" s="1408">
        <f t="shared" si="4"/>
        <v>163.57303137541669</v>
      </c>
      <c r="AI9" s="1408">
        <f t="shared" si="4"/>
        <v>166.84449200292502</v>
      </c>
      <c r="AJ9" s="1408">
        <f t="shared" si="4"/>
        <v>170.18138184298351</v>
      </c>
      <c r="AK9" s="1409">
        <f t="shared" si="4"/>
        <v>173.58500947984319</v>
      </c>
    </row>
    <row r="10" spans="1:39" ht="59.25">
      <c r="B10" s="621">
        <v>21582</v>
      </c>
      <c r="C10" s="1225">
        <v>22.648</v>
      </c>
      <c r="D10" s="1430">
        <f t="shared" si="0"/>
        <v>21.4134525223484</v>
      </c>
      <c r="E10" s="1208">
        <v>39083</v>
      </c>
      <c r="F10" s="1211">
        <v>2.2499999999999999E-2</v>
      </c>
      <c r="G10" s="1206" t="e">
        <f t="shared" si="1"/>
        <v>#N/A</v>
      </c>
      <c r="H10" s="1210">
        <v>43466</v>
      </c>
      <c r="I10" s="1199">
        <f>0.146+0.009+0.0305+0.0025</f>
        <v>0.188</v>
      </c>
      <c r="K10" s="76">
        <v>41456</v>
      </c>
      <c r="L10" s="77">
        <v>-3.8E-3</v>
      </c>
      <c r="M10" s="77">
        <v>4.6199999999999998E-2</v>
      </c>
      <c r="O10" s="144">
        <v>23559</v>
      </c>
      <c r="P10" s="844">
        <f t="shared" si="2"/>
        <v>25.427</v>
      </c>
      <c r="Q10"/>
      <c r="R10" s="65"/>
      <c r="S10" s="1158" t="s">
        <v>1413</v>
      </c>
      <c r="T10" s="954">
        <v>42917</v>
      </c>
      <c r="U10" s="1405">
        <v>44013</v>
      </c>
      <c r="V10" s="1405">
        <v>44378</v>
      </c>
      <c r="W10" s="1405">
        <v>44743</v>
      </c>
      <c r="X10" s="1405">
        <v>45108</v>
      </c>
      <c r="Y10" s="1405">
        <v>45474</v>
      </c>
      <c r="Z10" s="1405">
        <v>45839</v>
      </c>
      <c r="AA10" s="1405">
        <v>46204</v>
      </c>
      <c r="AB10" s="1405">
        <v>46569</v>
      </c>
      <c r="AC10" s="1405">
        <v>46935</v>
      </c>
      <c r="AD10" s="1405">
        <v>47300</v>
      </c>
      <c r="AE10" s="1405">
        <v>47665</v>
      </c>
      <c r="AF10" s="1405">
        <v>48030</v>
      </c>
      <c r="AG10" s="1405">
        <v>48396</v>
      </c>
      <c r="AH10" s="1405">
        <v>48761</v>
      </c>
      <c r="AI10" s="1405">
        <v>49126</v>
      </c>
      <c r="AJ10" s="1405">
        <v>49491</v>
      </c>
      <c r="AK10" s="1406">
        <v>49857</v>
      </c>
      <c r="AM10" s="1159"/>
    </row>
    <row r="11" spans="1:39" ht="15.75">
      <c r="B11" s="621">
        <v>21610</v>
      </c>
      <c r="C11" s="1225">
        <v>22.564</v>
      </c>
      <c r="D11" s="1430">
        <f t="shared" si="0"/>
        <v>21.334031380884401</v>
      </c>
      <c r="E11" s="346">
        <v>40057</v>
      </c>
      <c r="F11" s="1212">
        <v>2.2499999999999999E-2</v>
      </c>
      <c r="G11" s="1213">
        <f t="shared" ref="G11:G16" si="5">VLOOKUP(E11,BilmoGZins,16)/100</f>
        <v>5.28E-2</v>
      </c>
      <c r="H11" s="1210">
        <v>37622</v>
      </c>
      <c r="I11" s="1199">
        <v>0.17699999999999999</v>
      </c>
      <c r="K11" s="76">
        <v>41640</v>
      </c>
      <c r="L11" s="77">
        <v>-6.3E-3</v>
      </c>
      <c r="M11" s="77">
        <v>4.3700000000000003E-2</v>
      </c>
      <c r="O11" s="144">
        <v>23924</v>
      </c>
      <c r="P11" s="844">
        <f t="shared" si="2"/>
        <v>26.437000000000001</v>
      </c>
      <c r="Q11"/>
      <c r="R11" s="955">
        <f t="shared" ref="R11:R27" si="6">VLOOKUP(S11,$O$4:$P$765,2)</f>
        <v>106.1</v>
      </c>
      <c r="S11" s="1156">
        <v>44013</v>
      </c>
      <c r="T11" s="956"/>
      <c r="U11" s="957"/>
      <c r="V11" s="957">
        <f t="shared" ref="V11:AK11" si="7">_xlfn.RRI(YEARFRAC($S11,V$10,3),$R11,V$9)</f>
        <v>3.7700282752120673E-2</v>
      </c>
      <c r="W11" s="957">
        <f t="shared" si="7"/>
        <v>5.637510831274839E-2</v>
      </c>
      <c r="X11" s="957">
        <f t="shared" si="7"/>
        <v>5.8246754138118195E-2</v>
      </c>
      <c r="Y11" s="957">
        <f t="shared" si="7"/>
        <v>5.6139501026753358E-2</v>
      </c>
      <c r="Z11" s="957">
        <f t="shared" si="7"/>
        <v>5.2893462872684927E-2</v>
      </c>
      <c r="AA11" s="957">
        <f t="shared" si="7"/>
        <v>4.9044605312466238E-2</v>
      </c>
      <c r="AB11" s="957">
        <f t="shared" si="7"/>
        <v>4.5576788315034866E-2</v>
      </c>
      <c r="AC11" s="957">
        <f t="shared" si="7"/>
        <v>4.2586331480383599E-2</v>
      </c>
      <c r="AD11" s="957">
        <f t="shared" si="7"/>
        <v>4.0053781077355577E-2</v>
      </c>
      <c r="AE11" s="957">
        <f t="shared" si="7"/>
        <v>3.8031894276686851E-2</v>
      </c>
      <c r="AF11" s="957">
        <f t="shared" si="7"/>
        <v>3.638036462175287E-2</v>
      </c>
      <c r="AG11" s="957">
        <f t="shared" si="7"/>
        <v>3.4997847013136907E-2</v>
      </c>
      <c r="AH11" s="957">
        <f t="shared" si="7"/>
        <v>3.3837111655732999E-2</v>
      </c>
      <c r="AI11" s="957">
        <f t="shared" si="7"/>
        <v>3.2843134631017179E-2</v>
      </c>
      <c r="AJ11" s="957">
        <f t="shared" si="7"/>
        <v>3.1982388442814091E-2</v>
      </c>
      <c r="AK11" s="958">
        <f t="shared" si="7"/>
        <v>3.1224342322476284E-2</v>
      </c>
      <c r="AM11" s="1159"/>
    </row>
    <row r="12" spans="1:39" ht="15.75">
      <c r="B12" s="621">
        <v>21641</v>
      </c>
      <c r="C12" s="1225">
        <v>22.48</v>
      </c>
      <c r="D12" s="1430">
        <f t="shared" si="0"/>
        <v>21.254610239420401</v>
      </c>
      <c r="E12" s="1208">
        <v>40909</v>
      </c>
      <c r="F12" s="1211">
        <v>1.7500000000000002E-2</v>
      </c>
      <c r="G12" s="1213">
        <f t="shared" si="5"/>
        <v>5.1399999999999994E-2</v>
      </c>
      <c r="H12" s="1210">
        <v>41456</v>
      </c>
      <c r="I12" s="1199">
        <v>0.17799999999999999</v>
      </c>
      <c r="K12" s="76">
        <v>41821</v>
      </c>
      <c r="L12" s="77">
        <v>-7.3000000000000001E-3</v>
      </c>
      <c r="M12" s="77">
        <v>4.2700000000000002E-2</v>
      </c>
      <c r="O12" s="144">
        <v>24289</v>
      </c>
      <c r="P12" s="844">
        <f t="shared" si="2"/>
        <v>27.279</v>
      </c>
      <c r="Q12"/>
      <c r="R12" s="955">
        <f t="shared" si="6"/>
        <v>110.1</v>
      </c>
      <c r="S12" s="1156">
        <v>44378</v>
      </c>
      <c r="T12" s="956"/>
      <c r="U12" s="957"/>
      <c r="V12" s="957"/>
      <c r="W12" s="957">
        <f t="shared" ref="W12:AK12" si="8">_xlfn.RRI(YEARFRAC($S12,W$10,3),$R12,W$9)</f>
        <v>7.5386012715713102E-2</v>
      </c>
      <c r="X12" s="957">
        <f t="shared" si="8"/>
        <v>6.867204768539148E-2</v>
      </c>
      <c r="Y12" s="957">
        <f t="shared" si="8"/>
        <v>6.2352742444915288E-2</v>
      </c>
      <c r="Z12" s="957">
        <f t="shared" si="8"/>
        <v>5.6723760482785712E-2</v>
      </c>
      <c r="AA12" s="957">
        <f t="shared" si="8"/>
        <v>5.1327056809049365E-2</v>
      </c>
      <c r="AB12" s="957">
        <f t="shared" si="8"/>
        <v>4.68947373176547E-2</v>
      </c>
      <c r="AC12" s="957">
        <f t="shared" si="8"/>
        <v>4.3285666364058395E-2</v>
      </c>
      <c r="AD12" s="957">
        <f t="shared" si="8"/>
        <v>4.0348141783030478E-2</v>
      </c>
      <c r="AE12" s="957">
        <f t="shared" si="8"/>
        <v>3.8068724119005637E-2</v>
      </c>
      <c r="AF12" s="957">
        <f t="shared" si="8"/>
        <v>3.6248537412373549E-2</v>
      </c>
      <c r="AG12" s="957">
        <f t="shared" si="8"/>
        <v>3.4752703445031452E-2</v>
      </c>
      <c r="AH12" s="957">
        <f t="shared" si="8"/>
        <v>3.3516050524046825E-2</v>
      </c>
      <c r="AI12" s="957">
        <f t="shared" si="8"/>
        <v>3.2470686324924225E-2</v>
      </c>
      <c r="AJ12" s="957">
        <f t="shared" si="8"/>
        <v>3.1575413969796351E-2</v>
      </c>
      <c r="AK12" s="958">
        <f t="shared" si="8"/>
        <v>3.0794366779243854E-2</v>
      </c>
    </row>
    <row r="13" spans="1:39" ht="15.75">
      <c r="B13" s="621">
        <v>21671</v>
      </c>
      <c r="C13" s="1225">
        <v>22.48</v>
      </c>
      <c r="D13" s="1430">
        <f t="shared" si="0"/>
        <v>21.254610239420401</v>
      </c>
      <c r="E13" s="1208">
        <v>42005</v>
      </c>
      <c r="F13" s="1211">
        <v>1.2500000000000001E-2</v>
      </c>
      <c r="G13" s="1213">
        <f t="shared" si="5"/>
        <v>4.53E-2</v>
      </c>
      <c r="H13" s="1210">
        <v>42005</v>
      </c>
      <c r="I13" s="1199">
        <v>0.18099999999999999</v>
      </c>
      <c r="K13" s="76">
        <v>41849</v>
      </c>
      <c r="L13" s="77">
        <v>-7.3000000000000001E-3</v>
      </c>
      <c r="M13" s="77">
        <v>4.2700000000000002E-2</v>
      </c>
      <c r="O13" s="144">
        <v>24654</v>
      </c>
      <c r="P13" s="844">
        <f t="shared" si="2"/>
        <v>27.783999999999999</v>
      </c>
      <c r="Q13"/>
      <c r="R13" s="955">
        <f t="shared" si="6"/>
        <v>118.4</v>
      </c>
      <c r="S13" s="1156">
        <v>44743</v>
      </c>
      <c r="T13" s="956"/>
      <c r="U13" s="957"/>
      <c r="V13" s="957"/>
      <c r="W13" s="957"/>
      <c r="X13" s="957">
        <f t="shared" ref="X13:AK13" si="9">_xlfn.RRI(YEARFRAC($S13,X$10,3),$R13,X$9)</f>
        <v>6.2000000000000055E-2</v>
      </c>
      <c r="Y13" s="957">
        <f t="shared" si="9"/>
        <v>5.5904268489545883E-2</v>
      </c>
      <c r="Z13" s="957">
        <f t="shared" si="9"/>
        <v>5.0580852873158832E-2</v>
      </c>
      <c r="AA13" s="957">
        <f t="shared" si="9"/>
        <v>4.5400942956739021E-2</v>
      </c>
      <c r="AB13" s="957">
        <f t="shared" si="9"/>
        <v>4.1290774112929363E-2</v>
      </c>
      <c r="AC13" s="957">
        <f t="shared" si="9"/>
        <v>3.8034333557957156E-2</v>
      </c>
      <c r="AD13" s="957">
        <f t="shared" si="9"/>
        <v>3.5440636162554995E-2</v>
      </c>
      <c r="AE13" s="957">
        <f t="shared" si="9"/>
        <v>3.3499174574067148E-2</v>
      </c>
      <c r="AF13" s="957">
        <f t="shared" si="9"/>
        <v>3.1991404085223829E-2</v>
      </c>
      <c r="AG13" s="957">
        <f t="shared" si="9"/>
        <v>3.0778050645227317E-2</v>
      </c>
      <c r="AH13" s="957">
        <f t="shared" si="9"/>
        <v>2.9794274426968803E-2</v>
      </c>
      <c r="AI13" s="957">
        <f t="shared" si="9"/>
        <v>2.897506609495637E-2</v>
      </c>
      <c r="AJ13" s="957">
        <f t="shared" si="9"/>
        <v>2.8282319296359715E-2</v>
      </c>
      <c r="AK13" s="958">
        <f t="shared" si="9"/>
        <v>2.7683360944696922E-2</v>
      </c>
    </row>
    <row r="14" spans="1:39" ht="15.75">
      <c r="B14" s="621">
        <v>21702</v>
      </c>
      <c r="C14" s="1225">
        <v>22.48</v>
      </c>
      <c r="D14" s="1430">
        <f t="shared" si="0"/>
        <v>21.254610239420401</v>
      </c>
      <c r="E14" s="1208">
        <v>42736</v>
      </c>
      <c r="F14" s="1211">
        <v>8.9999999999999993E-3</v>
      </c>
      <c r="G14" s="1213">
        <f t="shared" si="5"/>
        <v>3.2400000000000005E-2</v>
      </c>
      <c r="H14" s="1210">
        <v>42430</v>
      </c>
      <c r="I14" s="1199">
        <v>0.18099999999999999</v>
      </c>
      <c r="K14" s="76">
        <v>42005</v>
      </c>
      <c r="L14" s="77">
        <v>-8.3000000000000001E-3</v>
      </c>
      <c r="M14" s="77">
        <v>4.1700000000000001E-2</v>
      </c>
      <c r="O14" s="144">
        <v>25020</v>
      </c>
      <c r="P14" s="844">
        <f t="shared" si="2"/>
        <v>28.120999999999999</v>
      </c>
      <c r="Q14"/>
      <c r="R14" s="955">
        <f t="shared" si="6"/>
        <v>125.74080000000001</v>
      </c>
      <c r="S14" s="1156">
        <v>45108</v>
      </c>
      <c r="T14" s="956"/>
      <c r="U14" s="957"/>
      <c r="V14" s="957"/>
      <c r="W14" s="957"/>
      <c r="X14" s="957"/>
      <c r="Y14" s="957">
        <f t="shared" ref="Y14:AK14" si="10">_xlfn.RRI(YEARFRAC($S14,Y$10,3),$R14,Y$9)</f>
        <v>4.9860037546703539E-2</v>
      </c>
      <c r="Z14" s="957">
        <f t="shared" si="10"/>
        <v>4.4925132910944132E-2</v>
      </c>
      <c r="AA14" s="957">
        <f t="shared" si="10"/>
        <v>3.9930762051169078E-2</v>
      </c>
      <c r="AB14" s="957">
        <f t="shared" si="10"/>
        <v>3.6180368684857633E-2</v>
      </c>
      <c r="AC14" s="957">
        <f t="shared" si="10"/>
        <v>3.3311657224463831E-2</v>
      </c>
      <c r="AD14" s="957">
        <f t="shared" si="10"/>
        <v>3.1083077236585765E-2</v>
      </c>
      <c r="AE14" s="957">
        <f t="shared" si="10"/>
        <v>2.9493680991855786E-2</v>
      </c>
      <c r="AF14" s="957">
        <f t="shared" si="10"/>
        <v>2.8302970397954041E-2</v>
      </c>
      <c r="AG14" s="957">
        <f t="shared" si="10"/>
        <v>2.736921414194704E-2</v>
      </c>
      <c r="AH14" s="957">
        <f t="shared" si="10"/>
        <v>2.6630510163106802E-2</v>
      </c>
      <c r="AI14" s="957">
        <f t="shared" si="10"/>
        <v>2.6026410897417085E-2</v>
      </c>
      <c r="AJ14" s="957">
        <f t="shared" si="10"/>
        <v>2.5523197530985087E-2</v>
      </c>
      <c r="AK14" s="958">
        <f t="shared" si="10"/>
        <v>2.5092194931708667E-2</v>
      </c>
    </row>
    <row r="15" spans="1:39" ht="15.75">
      <c r="B15" s="621">
        <v>21732</v>
      </c>
      <c r="C15" s="1225">
        <v>22.564</v>
      </c>
      <c r="D15" s="1430">
        <f t="shared" si="0"/>
        <v>21.334031380884401</v>
      </c>
      <c r="E15" s="1208">
        <v>43466</v>
      </c>
      <c r="F15" s="1211">
        <v>8.9999999999999993E-3</v>
      </c>
      <c r="G15" s="1213">
        <f t="shared" si="5"/>
        <v>2.3199999999999998E-2</v>
      </c>
      <c r="H15" s="1210">
        <v>42736</v>
      </c>
      <c r="I15" s="1199">
        <v>0.183</v>
      </c>
      <c r="K15" s="76">
        <v>42186</v>
      </c>
      <c r="L15" s="77">
        <v>-8.3000000000000001E-3</v>
      </c>
      <c r="M15" s="77">
        <v>4.1700000000000001E-2</v>
      </c>
      <c r="O15" s="144">
        <v>25385</v>
      </c>
      <c r="P15" s="844">
        <f t="shared" si="2"/>
        <v>28.71</v>
      </c>
      <c r="Q15"/>
      <c r="R15" s="955">
        <f t="shared" si="6"/>
        <v>132.02784000000003</v>
      </c>
      <c r="S15" s="1156">
        <v>45474</v>
      </c>
      <c r="T15" s="956"/>
      <c r="U15" s="957"/>
      <c r="V15" s="957"/>
      <c r="W15" s="957"/>
      <c r="X15" s="957"/>
      <c r="Y15" s="957"/>
      <c r="Z15" s="957">
        <f t="shared" ref="Z15:AK15" si="11">_xlfn.RRI(YEARFRAC($S15,Z$10,3),$R15,Z$9)</f>
        <v>4.0000000000000036E-2</v>
      </c>
      <c r="AA15" s="957">
        <f t="shared" si="11"/>
        <v>3.4987922634848845E-2</v>
      </c>
      <c r="AB15" s="957">
        <f t="shared" si="11"/>
        <v>3.1647847718268673E-2</v>
      </c>
      <c r="AC15" s="957">
        <f t="shared" si="11"/>
        <v>2.9207086311024977E-2</v>
      </c>
      <c r="AD15" s="957">
        <f t="shared" si="11"/>
        <v>2.7360055436830288E-2</v>
      </c>
      <c r="AE15" s="957">
        <f t="shared" si="11"/>
        <v>2.6130262979300101E-2</v>
      </c>
      <c r="AF15" s="957">
        <f t="shared" si="11"/>
        <v>2.5252603922845784E-2</v>
      </c>
      <c r="AG15" s="957">
        <f t="shared" si="11"/>
        <v>2.4586257518486532E-2</v>
      </c>
      <c r="AH15" s="957">
        <f t="shared" si="11"/>
        <v>2.4075967305791313E-2</v>
      </c>
      <c r="AI15" s="957">
        <f t="shared" si="11"/>
        <v>2.366786227255524E-2</v>
      </c>
      <c r="AJ15" s="957">
        <f t="shared" si="11"/>
        <v>2.3334042200878313E-2</v>
      </c>
      <c r="AK15" s="958">
        <f t="shared" si="11"/>
        <v>2.3050596112598853E-2</v>
      </c>
    </row>
    <row r="16" spans="1:39" ht="15.75">
      <c r="B16" s="621">
        <v>21763</v>
      </c>
      <c r="C16" s="1225">
        <v>22.648</v>
      </c>
      <c r="D16" s="1430">
        <f t="shared" si="0"/>
        <v>21.4134525223484</v>
      </c>
      <c r="E16" s="1208">
        <v>44562</v>
      </c>
      <c r="F16" s="1211">
        <v>2.5000000000000001E-3</v>
      </c>
      <c r="G16" s="1213">
        <f t="shared" si="5"/>
        <v>1.3500000000000002E-2</v>
      </c>
      <c r="H16" s="1210">
        <v>43466</v>
      </c>
      <c r="I16" s="1199">
        <v>0.188</v>
      </c>
      <c r="K16" s="76">
        <v>42370</v>
      </c>
      <c r="L16" s="77">
        <v>-8.3000000000000001E-3</v>
      </c>
      <c r="M16" s="77">
        <v>4.1700000000000001E-2</v>
      </c>
      <c r="O16" s="144">
        <v>25750</v>
      </c>
      <c r="P16" s="844">
        <f t="shared" si="2"/>
        <v>29.721</v>
      </c>
      <c r="Q16"/>
      <c r="R16" s="955">
        <f t="shared" si="6"/>
        <v>137.30895360000002</v>
      </c>
      <c r="S16" s="1156">
        <v>45839</v>
      </c>
      <c r="T16" s="956"/>
      <c r="U16" s="957"/>
      <c r="V16" s="957"/>
      <c r="W16" s="957"/>
      <c r="X16" s="957"/>
      <c r="Y16" s="957"/>
      <c r="Z16" s="957"/>
      <c r="AA16" s="957">
        <f t="shared" ref="AA16:AK16" si="12">_xlfn.RRI(YEARFRAC($S16,AA$10,3),$R16,AA$9)</f>
        <v>3.0000000000000027E-2</v>
      </c>
      <c r="AB16" s="957">
        <f t="shared" si="12"/>
        <v>2.7496958632968305E-2</v>
      </c>
      <c r="AC16" s="957">
        <f t="shared" si="12"/>
        <v>2.5637650541880941E-2</v>
      </c>
      <c r="AD16" s="957">
        <f t="shared" si="12"/>
        <v>2.422628939177307E-2</v>
      </c>
      <c r="AE16" s="957">
        <f t="shared" si="12"/>
        <v>2.3380096401964812E-2</v>
      </c>
      <c r="AF16" s="957">
        <f t="shared" si="12"/>
        <v>2.2816227556263557E-2</v>
      </c>
      <c r="AG16" s="957">
        <f t="shared" si="12"/>
        <v>2.2404728280640995E-2</v>
      </c>
      <c r="AH16" s="957">
        <f t="shared" si="12"/>
        <v>2.2104033402843726E-2</v>
      </c>
      <c r="AI16" s="957">
        <f t="shared" si="12"/>
        <v>2.1870180108774839E-2</v>
      </c>
      <c r="AJ16" s="957">
        <f t="shared" si="12"/>
        <v>2.168311039138171E-2</v>
      </c>
      <c r="AK16" s="958">
        <f t="shared" si="12"/>
        <v>2.1524646230094202E-2</v>
      </c>
    </row>
    <row r="17" spans="2:37" ht="15.75">
      <c r="B17" s="621">
        <v>21794</v>
      </c>
      <c r="C17" s="1225">
        <v>22.731999999999999</v>
      </c>
      <c r="D17" s="1430">
        <f t="shared" si="0"/>
        <v>21.4928736638124</v>
      </c>
      <c r="E17" s="1214"/>
      <c r="F17" s="1214"/>
      <c r="G17" s="1206"/>
      <c r="H17" s="1210">
        <v>43831</v>
      </c>
      <c r="I17" s="1199">
        <v>0.188</v>
      </c>
      <c r="K17" s="76">
        <v>42552</v>
      </c>
      <c r="L17" s="77">
        <v>-8.8000000000000005E-3</v>
      </c>
      <c r="M17" s="77">
        <v>4.1200000000000001E-2</v>
      </c>
      <c r="O17" s="144">
        <v>26115</v>
      </c>
      <c r="P17" s="844">
        <f t="shared" si="2"/>
        <v>31.32</v>
      </c>
      <c r="Q17"/>
      <c r="R17" s="955">
        <f t="shared" si="6"/>
        <v>141.42822220800002</v>
      </c>
      <c r="S17" s="1156">
        <v>46204</v>
      </c>
      <c r="T17" s="956"/>
      <c r="U17" s="957"/>
      <c r="V17" s="957"/>
      <c r="W17" s="957"/>
      <c r="X17" s="957"/>
      <c r="Y17" s="957"/>
      <c r="Z17" s="957"/>
      <c r="AA17" s="957"/>
      <c r="AB17" s="957">
        <f t="shared" ref="AB17:AK17" si="13">_xlfn.RRI(YEARFRAC($S17,AB$10,3),$R17,AB$9)</f>
        <v>2.4999999999999911E-2</v>
      </c>
      <c r="AC17" s="957">
        <f t="shared" si="13"/>
        <v>2.3466380330984915E-2</v>
      </c>
      <c r="AD17" s="957">
        <f t="shared" si="13"/>
        <v>2.2310668132112133E-2</v>
      </c>
      <c r="AE17" s="957">
        <f t="shared" si="13"/>
        <v>2.1732906442843092E-2</v>
      </c>
      <c r="AF17" s="957">
        <f t="shared" si="13"/>
        <v>2.1386279687765519E-2</v>
      </c>
      <c r="AG17" s="957">
        <f t="shared" si="13"/>
        <v>2.1145455378004829E-2</v>
      </c>
      <c r="AH17" s="957">
        <f t="shared" si="13"/>
        <v>2.0981868215828703E-2</v>
      </c>
      <c r="AI17" s="957">
        <f t="shared" si="13"/>
        <v>2.0859167055791605E-2</v>
      </c>
      <c r="AJ17" s="957">
        <f t="shared" si="13"/>
        <v>2.0763726426964002E-2</v>
      </c>
      <c r="AK17" s="958">
        <f t="shared" si="13"/>
        <v>2.0681648616484694E-2</v>
      </c>
    </row>
    <row r="18" spans="2:37" ht="15.75">
      <c r="B18" s="621">
        <v>21824</v>
      </c>
      <c r="C18" s="1225">
        <v>22.731999999999999</v>
      </c>
      <c r="D18" s="1430">
        <f t="shared" si="0"/>
        <v>21.4928736638124</v>
      </c>
      <c r="E18" s="1214"/>
      <c r="F18" s="1214"/>
      <c r="G18" s="1206"/>
      <c r="H18" s="1210">
        <v>44197</v>
      </c>
      <c r="I18" s="1199">
        <v>0.188</v>
      </c>
      <c r="K18" s="76">
        <v>42736</v>
      </c>
      <c r="L18" s="77">
        <v>-8.8000000000000005E-3</v>
      </c>
      <c r="M18" s="77">
        <v>4.1200000000000001E-2</v>
      </c>
      <c r="O18" s="144">
        <v>26481</v>
      </c>
      <c r="P18" s="844">
        <f t="shared" si="2"/>
        <v>33.003999999999998</v>
      </c>
      <c r="Q18"/>
      <c r="R18" s="955">
        <f t="shared" si="6"/>
        <v>144.96392776320002</v>
      </c>
      <c r="S18" s="1156">
        <v>46569</v>
      </c>
      <c r="T18" s="956"/>
      <c r="U18" s="957"/>
      <c r="V18" s="957"/>
      <c r="W18" s="957"/>
      <c r="X18" s="957"/>
      <c r="Y18" s="957"/>
      <c r="Z18" s="957"/>
      <c r="AA18" s="957"/>
      <c r="AB18" s="957"/>
      <c r="AC18" s="957">
        <f t="shared" ref="AC18:AK18" si="14">_xlfn.RRI(YEARFRAC($S18,AC$10,3),$R18,AC$9)</f>
        <v>2.1939236110825933E-2</v>
      </c>
      <c r="AD18" s="957">
        <f t="shared" si="14"/>
        <v>2.0970484058202343E-2</v>
      </c>
      <c r="AE18" s="957">
        <f t="shared" si="14"/>
        <v>2.0647182024824628E-2</v>
      </c>
      <c r="AF18" s="957">
        <f t="shared" si="14"/>
        <v>2.0485458792603328E-2</v>
      </c>
      <c r="AG18" s="957">
        <f t="shared" si="14"/>
        <v>2.0377129301152541E-2</v>
      </c>
      <c r="AH18" s="957">
        <f t="shared" si="14"/>
        <v>2.0314322092256587E-2</v>
      </c>
      <c r="AI18" s="957">
        <f t="shared" si="14"/>
        <v>2.0269448132255619E-2</v>
      </c>
      <c r="AJ18" s="957">
        <f t="shared" si="14"/>
        <v>2.023578627920597E-2</v>
      </c>
      <c r="AK18" s="958">
        <f t="shared" si="14"/>
        <v>2.0203392906347206E-2</v>
      </c>
    </row>
    <row r="19" spans="2:37" ht="15.75">
      <c r="B19" s="621">
        <v>21855</v>
      </c>
      <c r="C19" s="1225">
        <v>22.984999999999999</v>
      </c>
      <c r="D19" s="1430">
        <f t="shared" si="0"/>
        <v>21.7320825779838</v>
      </c>
      <c r="E19" s="1214"/>
      <c r="F19" s="1214"/>
      <c r="G19" s="1206"/>
      <c r="H19" s="1210">
        <v>44562</v>
      </c>
      <c r="I19" s="1199">
        <v>0.188</v>
      </c>
      <c r="K19" s="76">
        <v>42917</v>
      </c>
      <c r="L19" s="77">
        <v>-8.8000000000000005E-3</v>
      </c>
      <c r="M19" s="77">
        <v>4.1200000000000001E-2</v>
      </c>
      <c r="O19" s="144">
        <v>26846</v>
      </c>
      <c r="P19" s="844">
        <f t="shared" si="2"/>
        <v>35.362000000000002</v>
      </c>
      <c r="Q19"/>
      <c r="R19" s="955">
        <f t="shared" si="6"/>
        <v>148.15313417399042</v>
      </c>
      <c r="S19" s="1156">
        <v>46935</v>
      </c>
      <c r="T19" s="956"/>
      <c r="U19" s="957"/>
      <c r="V19" s="957"/>
      <c r="W19" s="957"/>
      <c r="X19" s="957"/>
      <c r="Y19" s="957"/>
      <c r="Z19" s="957"/>
      <c r="AA19" s="957"/>
      <c r="AB19" s="957"/>
      <c r="AC19" s="957"/>
      <c r="AD19" s="957">
        <f t="shared" ref="AD19:AK19" si="15">_xlfn.RRI(YEARFRAC($S19,AD$10,3),$R19,AD$9)</f>
        <v>2.0000000000000018E-2</v>
      </c>
      <c r="AE19" s="957">
        <f t="shared" si="15"/>
        <v>2.0000000000000018E-2</v>
      </c>
      <c r="AF19" s="957">
        <f t="shared" si="15"/>
        <v>2.0000000000000018E-2</v>
      </c>
      <c r="AG19" s="957">
        <f t="shared" si="15"/>
        <v>1.9986174850818106E-2</v>
      </c>
      <c r="AH19" s="957">
        <f t="shared" si="15"/>
        <v>1.9988938351414465E-2</v>
      </c>
      <c r="AI19" s="957">
        <f t="shared" si="15"/>
        <v>1.999078110973862E-2</v>
      </c>
      <c r="AJ19" s="957">
        <f t="shared" si="15"/>
        <v>1.9992097573709788E-2</v>
      </c>
      <c r="AK19" s="958">
        <f t="shared" si="15"/>
        <v>1.9986174850818106E-2</v>
      </c>
    </row>
    <row r="20" spans="2:37" ht="15.75">
      <c r="B20" s="621">
        <v>21885</v>
      </c>
      <c r="C20" s="1225">
        <v>22.901</v>
      </c>
      <c r="D20" s="1430">
        <f t="shared" si="0"/>
        <v>21.6526614365198</v>
      </c>
      <c r="E20" s="1214"/>
      <c r="F20" s="1214"/>
      <c r="G20" s="1206"/>
      <c r="H20" s="1215"/>
      <c r="I20" s="1200"/>
      <c r="K20" s="76">
        <v>43101</v>
      </c>
      <c r="L20" s="77">
        <v>-8.8000000000000005E-3</v>
      </c>
      <c r="M20" s="77">
        <v>4.1200000000000001E-2</v>
      </c>
      <c r="O20" s="144">
        <v>27211</v>
      </c>
      <c r="P20" s="844">
        <f t="shared" si="2"/>
        <v>37.802999999999997</v>
      </c>
      <c r="Q20"/>
      <c r="R20" s="955">
        <f t="shared" si="6"/>
        <v>151.11619685747024</v>
      </c>
      <c r="S20" s="1156">
        <v>47300</v>
      </c>
      <c r="T20" s="956"/>
      <c r="U20" s="957"/>
      <c r="V20" s="957"/>
      <c r="W20" s="957"/>
      <c r="X20" s="957"/>
      <c r="Y20" s="957"/>
      <c r="Z20" s="957"/>
      <c r="AA20" s="957"/>
      <c r="AB20" s="957"/>
      <c r="AC20" s="957"/>
      <c r="AD20" s="957"/>
      <c r="AE20" s="957">
        <f t="shared" ref="AE20:AK20" si="16">_xlfn.RRI(YEARFRAC($S20,AE$10,3),$R20,AE$9)</f>
        <v>2.0000000000000018E-2</v>
      </c>
      <c r="AF20" s="957">
        <f t="shared" si="16"/>
        <v>1.9999999999999796E-2</v>
      </c>
      <c r="AG20" s="957">
        <f t="shared" si="16"/>
        <v>1.9981570714080688E-2</v>
      </c>
      <c r="AH20" s="957">
        <f t="shared" si="16"/>
        <v>1.9986174850818106E-2</v>
      </c>
      <c r="AI20" s="957">
        <f t="shared" si="16"/>
        <v>1.9988938351414465E-2</v>
      </c>
      <c r="AJ20" s="957">
        <f t="shared" si="16"/>
        <v>1.9990781109738398E-2</v>
      </c>
      <c r="AK20" s="958">
        <f t="shared" si="16"/>
        <v>1.9984201389585676E-2</v>
      </c>
    </row>
    <row r="21" spans="2:37" ht="15.75">
      <c r="B21" s="621">
        <v>21916</v>
      </c>
      <c r="C21" s="1225">
        <v>22.984999999999999</v>
      </c>
      <c r="D21" s="1430">
        <f t="shared" si="0"/>
        <v>21.7320825779838</v>
      </c>
      <c r="E21" s="1214"/>
      <c r="F21" s="1214"/>
      <c r="G21" s="1206"/>
      <c r="H21" s="1215"/>
      <c r="I21" s="1200"/>
      <c r="K21" s="76">
        <v>43282</v>
      </c>
      <c r="L21" s="77">
        <v>-8.8000000000000005E-3</v>
      </c>
      <c r="M21" s="77">
        <v>4.1200000000000001E-2</v>
      </c>
      <c r="O21" s="144">
        <v>27576</v>
      </c>
      <c r="P21" s="844">
        <f t="shared" si="2"/>
        <v>40.161000000000001</v>
      </c>
      <c r="Q21"/>
      <c r="R21" s="955">
        <f t="shared" si="6"/>
        <v>154.13852079461964</v>
      </c>
      <c r="S21" s="1156">
        <v>47665</v>
      </c>
      <c r="T21" s="956"/>
      <c r="U21" s="957"/>
      <c r="V21" s="957"/>
      <c r="W21" s="957"/>
      <c r="X21" s="957"/>
      <c r="Y21" s="957"/>
      <c r="Z21" s="957"/>
      <c r="AA21" s="957"/>
      <c r="AB21" s="957"/>
      <c r="AC21" s="957"/>
      <c r="AD21" s="957"/>
      <c r="AE21" s="957"/>
      <c r="AF21" s="957">
        <f t="shared" ref="AF21:AK21" si="17">_xlfn.RRI(YEARFRAC($S21,AF$10,3),$R21,AF$9)</f>
        <v>2.0000000000000018E-2</v>
      </c>
      <c r="AG21" s="957">
        <f t="shared" si="17"/>
        <v>1.9972368801291607E-2</v>
      </c>
      <c r="AH21" s="957">
        <f t="shared" si="17"/>
        <v>1.998157071408091E-2</v>
      </c>
      <c r="AI21" s="957">
        <f t="shared" si="17"/>
        <v>1.9986174850818106E-2</v>
      </c>
      <c r="AJ21" s="957">
        <f t="shared" si="17"/>
        <v>1.9988938351414465E-2</v>
      </c>
      <c r="AK21" s="958">
        <f t="shared" si="17"/>
        <v>1.998157071408091E-2</v>
      </c>
    </row>
    <row r="22" spans="2:37" ht="15.75">
      <c r="B22" s="621">
        <v>21947</v>
      </c>
      <c r="C22" s="1225">
        <v>23.068999999999999</v>
      </c>
      <c r="D22" s="1430">
        <f t="shared" si="0"/>
        <v>21.811503719447799</v>
      </c>
      <c r="E22" s="1214"/>
      <c r="F22" s="1214"/>
      <c r="G22" s="1206"/>
      <c r="H22" s="1215"/>
      <c r="I22" s="1200"/>
      <c r="K22" s="76">
        <v>43466</v>
      </c>
      <c r="L22" s="77">
        <v>-8.8000000000000005E-3</v>
      </c>
      <c r="M22" s="77">
        <v>4.1200000000000001E-2</v>
      </c>
      <c r="O22" s="144">
        <v>27942</v>
      </c>
      <c r="P22" s="844">
        <f t="shared" si="2"/>
        <v>41.676000000000002</v>
      </c>
      <c r="Q22"/>
      <c r="R22" s="955">
        <f t="shared" si="6"/>
        <v>157.22129121051202</v>
      </c>
      <c r="S22" s="1156">
        <v>48030</v>
      </c>
      <c r="T22" s="956"/>
      <c r="U22" s="957"/>
      <c r="V22" s="957"/>
      <c r="W22" s="957"/>
      <c r="X22" s="957"/>
      <c r="Y22" s="957"/>
      <c r="Z22" s="957"/>
      <c r="AA22" s="957"/>
      <c r="AB22" s="957"/>
      <c r="AC22" s="957"/>
      <c r="AD22" s="957"/>
      <c r="AE22" s="957"/>
      <c r="AF22" s="957"/>
      <c r="AG22" s="957">
        <f>_xlfn.RRI(YEARFRAC($S22,AG$10,3),$R22,AG$9)</f>
        <v>1.9944813843109976E-2</v>
      </c>
      <c r="AH22" s="957">
        <f>_xlfn.RRI(YEARFRAC($S22,AH$10,3),$R22,AH$9)</f>
        <v>1.9972368801291829E-2</v>
      </c>
      <c r="AI22" s="957">
        <f>_xlfn.RRI(YEARFRAC($S22,AI$10,3),$R22,AI$9)</f>
        <v>1.998157071408091E-2</v>
      </c>
      <c r="AJ22" s="957">
        <f>_xlfn.RRI(YEARFRAC($S22,AJ$10,3),$R22,AJ$9)</f>
        <v>1.9986174850818106E-2</v>
      </c>
      <c r="AK22" s="958">
        <f>_xlfn.RRI(YEARFRAC($S22,AK$10,3),$R22,AK$9)</f>
        <v>1.997788893167729E-2</v>
      </c>
    </row>
    <row r="23" spans="2:37" ht="15.75">
      <c r="B23" s="621">
        <v>21976</v>
      </c>
      <c r="C23" s="1225">
        <v>22.984999999999999</v>
      </c>
      <c r="D23" s="1430">
        <f t="shared" si="0"/>
        <v>21.7320825779838</v>
      </c>
      <c r="E23" s="1214"/>
      <c r="F23" s="1214"/>
      <c r="G23" s="1206"/>
      <c r="H23" s="1215"/>
      <c r="I23" s="1200"/>
      <c r="K23" s="147">
        <v>44927</v>
      </c>
      <c r="L23" s="77">
        <v>1.6199999999999999E-2</v>
      </c>
      <c r="M23" s="77">
        <f>5%+L23</f>
        <v>6.6200000000000009E-2</v>
      </c>
      <c r="O23" s="144">
        <v>28307</v>
      </c>
      <c r="P23" s="844">
        <f t="shared" si="2"/>
        <v>43.276000000000003</v>
      </c>
      <c r="Q23"/>
      <c r="R23" s="955">
        <f t="shared" si="6"/>
        <v>160.36571703472225</v>
      </c>
      <c r="S23" s="1156">
        <v>48396</v>
      </c>
      <c r="T23" s="956"/>
      <c r="U23" s="957"/>
      <c r="V23" s="957"/>
      <c r="W23" s="957"/>
      <c r="X23" s="957"/>
      <c r="Y23" s="957"/>
      <c r="Z23" s="957"/>
      <c r="AA23" s="957"/>
      <c r="AB23" s="957"/>
      <c r="AC23" s="957"/>
      <c r="AD23" s="957"/>
      <c r="AE23" s="957"/>
      <c r="AF23" s="957"/>
      <c r="AG23" s="957"/>
      <c r="AH23" s="957">
        <f>_xlfn.RRI(YEARFRAC($S23,AH$10,3),$R23,AH$9)</f>
        <v>2.0000000000000018E-2</v>
      </c>
      <c r="AI23" s="957">
        <f>_xlfn.RRI(YEARFRAC($S23,AI$10,3),$R23,AI$9)</f>
        <v>2.0000000000000018E-2</v>
      </c>
      <c r="AJ23" s="957">
        <f>_xlfn.RRI(YEARFRAC($S23,AJ$10,3),$R23,AJ$9)</f>
        <v>2.0000000000000018E-2</v>
      </c>
      <c r="AK23" s="958">
        <f>_xlfn.RRI(YEARFRAC($S23,AK$10,3),$R23,AK$9)</f>
        <v>1.9986174850818106E-2</v>
      </c>
    </row>
    <row r="24" spans="2:37" ht="15.75">
      <c r="B24" s="621">
        <v>22007</v>
      </c>
      <c r="C24" s="1225">
        <v>22.984999999999999</v>
      </c>
      <c r="D24" s="1430">
        <f t="shared" si="0"/>
        <v>21.7320825779838</v>
      </c>
      <c r="E24" s="1214"/>
      <c r="F24" s="1214"/>
      <c r="G24" s="1206"/>
      <c r="H24" s="1215"/>
      <c r="I24" s="1200"/>
      <c r="K24" s="147">
        <v>45108</v>
      </c>
      <c r="L24" s="77">
        <v>3.1199999999999999E-2</v>
      </c>
      <c r="M24" s="77">
        <f t="shared" ref="M24:M30" si="18">5%+L24</f>
        <v>8.1199999999999994E-2</v>
      </c>
      <c r="O24" s="144">
        <v>28672</v>
      </c>
      <c r="P24" s="844">
        <f t="shared" si="2"/>
        <v>44.454999999999998</v>
      </c>
      <c r="Q24"/>
      <c r="R24" s="955">
        <f t="shared" si="6"/>
        <v>163.57303137541669</v>
      </c>
      <c r="S24" s="1156">
        <v>48761</v>
      </c>
      <c r="T24" s="956"/>
      <c r="U24" s="957"/>
      <c r="V24" s="957"/>
      <c r="W24" s="957"/>
      <c r="X24" s="957"/>
      <c r="Y24" s="957"/>
      <c r="Z24" s="957"/>
      <c r="AA24" s="957"/>
      <c r="AB24" s="957"/>
      <c r="AC24" s="957"/>
      <c r="AD24" s="957"/>
      <c r="AE24" s="957"/>
      <c r="AF24" s="957"/>
      <c r="AG24" s="957"/>
      <c r="AH24" s="957"/>
      <c r="AI24" s="957">
        <f>_xlfn.RRI(YEARFRAC($S24,AI$10,3),$R24,AI$9)</f>
        <v>2.0000000000000018E-2</v>
      </c>
      <c r="AJ24" s="957">
        <f>_xlfn.RRI(YEARFRAC($S24,AJ$10,3),$R24,AJ$9)</f>
        <v>2.0000000000000018E-2</v>
      </c>
      <c r="AK24" s="958">
        <f>_xlfn.RRI(YEARFRAC($S24,AK$10,3),$R24,AK$9)</f>
        <v>1.998157071408091E-2</v>
      </c>
    </row>
    <row r="25" spans="2:37" ht="15.75">
      <c r="B25" s="621">
        <v>22037</v>
      </c>
      <c r="C25" s="1225">
        <v>22.984999999999999</v>
      </c>
      <c r="D25" s="1430">
        <f t="shared" si="0"/>
        <v>21.7320825779838</v>
      </c>
      <c r="E25" s="1214"/>
      <c r="F25" s="1214"/>
      <c r="G25" s="1206"/>
      <c r="H25" s="1215"/>
      <c r="I25" s="1200"/>
      <c r="K25" s="147">
        <v>45292</v>
      </c>
      <c r="L25" s="77">
        <v>3.6200000000000003E-2</v>
      </c>
      <c r="M25" s="77">
        <f t="shared" si="18"/>
        <v>8.6199999999999999E-2</v>
      </c>
      <c r="O25" s="144">
        <v>29037</v>
      </c>
      <c r="P25" s="844">
        <f t="shared" si="2"/>
        <v>46.475000000000001</v>
      </c>
      <c r="Q25"/>
      <c r="R25" s="955">
        <f t="shared" si="6"/>
        <v>166.84449200292502</v>
      </c>
      <c r="S25" s="1156">
        <v>49126</v>
      </c>
      <c r="T25" s="956"/>
      <c r="U25" s="957"/>
      <c r="V25" s="957"/>
      <c r="W25" s="957"/>
      <c r="X25" s="957"/>
      <c r="Y25" s="957"/>
      <c r="Z25" s="957"/>
      <c r="AA25" s="957"/>
      <c r="AB25" s="957"/>
      <c r="AC25" s="957"/>
      <c r="AD25" s="957"/>
      <c r="AE25" s="957"/>
      <c r="AF25" s="957"/>
      <c r="AG25" s="957"/>
      <c r="AH25" s="957"/>
      <c r="AI25" s="957"/>
      <c r="AJ25" s="957">
        <f>_xlfn.RRI(YEARFRAC($S25,AJ$10,3),$R25,AJ$9)</f>
        <v>2.0000000000000018E-2</v>
      </c>
      <c r="AK25" s="958">
        <f>_xlfn.RRI(YEARFRAC($S25,AK$10,3),$R25,AK$9)</f>
        <v>1.9972368801291829E-2</v>
      </c>
    </row>
    <row r="26" spans="2:37" ht="15.75">
      <c r="B26" s="621">
        <v>22068</v>
      </c>
      <c r="C26" s="1225">
        <v>22.817</v>
      </c>
      <c r="D26" s="1430">
        <f t="shared" si="0"/>
        <v>21.573240295055701</v>
      </c>
      <c r="K26" s="147">
        <v>45474</v>
      </c>
      <c r="L26" s="77">
        <v>3.3700000000000001E-2</v>
      </c>
      <c r="M26" s="77">
        <f t="shared" si="18"/>
        <v>8.3699999999999997E-2</v>
      </c>
      <c r="O26" s="144">
        <v>29403</v>
      </c>
      <c r="P26" s="844">
        <f t="shared" si="2"/>
        <v>48.832999999999998</v>
      </c>
      <c r="Q26"/>
      <c r="R26" s="955">
        <f t="shared" si="6"/>
        <v>170.18138184298351</v>
      </c>
      <c r="S26" s="1156">
        <v>49491</v>
      </c>
      <c r="T26" s="956"/>
      <c r="U26" s="957"/>
      <c r="V26" s="957"/>
      <c r="W26" s="957"/>
      <c r="X26" s="957"/>
      <c r="Y26" s="957"/>
      <c r="Z26" s="957"/>
      <c r="AA26" s="957"/>
      <c r="AB26" s="957"/>
      <c r="AC26" s="957"/>
      <c r="AD26" s="957"/>
      <c r="AE26" s="957"/>
      <c r="AF26" s="957"/>
      <c r="AG26" s="957"/>
      <c r="AH26" s="957"/>
      <c r="AI26" s="957"/>
      <c r="AJ26" s="957"/>
      <c r="AK26" s="958">
        <f>_xlfn.RRI(YEARFRAC($S26,AK$10,3),$R26,AK$9)</f>
        <v>1.9944813843109976E-2</v>
      </c>
    </row>
    <row r="27" spans="2:37" ht="16.5" thickBot="1">
      <c r="B27" s="621">
        <v>22098</v>
      </c>
      <c r="C27" s="1225">
        <v>22.901</v>
      </c>
      <c r="D27" s="1430">
        <f t="shared" si="0"/>
        <v>21.652661436519701</v>
      </c>
      <c r="K27" s="147">
        <v>45658</v>
      </c>
      <c r="L27" s="77">
        <v>2.2700000000000001E-2</v>
      </c>
      <c r="M27" s="77">
        <f t="shared" si="18"/>
        <v>7.2700000000000001E-2</v>
      </c>
      <c r="O27" s="144">
        <v>29768</v>
      </c>
      <c r="P27" s="844">
        <f t="shared" si="2"/>
        <v>52.031999999999996</v>
      </c>
      <c r="Q27"/>
      <c r="R27" s="955">
        <f t="shared" si="6"/>
        <v>173.58500947984319</v>
      </c>
      <c r="S27" s="1157">
        <v>49857</v>
      </c>
      <c r="T27" s="959"/>
      <c r="U27" s="960"/>
      <c r="V27" s="960"/>
      <c r="W27" s="960"/>
      <c r="X27" s="960"/>
      <c r="Y27" s="960"/>
      <c r="Z27" s="960"/>
      <c r="AA27" s="960"/>
      <c r="AB27" s="960"/>
      <c r="AC27" s="960"/>
      <c r="AD27" s="960"/>
      <c r="AE27" s="960"/>
      <c r="AF27" s="960"/>
      <c r="AG27" s="960"/>
      <c r="AH27" s="960"/>
      <c r="AI27" s="960"/>
      <c r="AJ27" s="960"/>
      <c r="AK27" s="961"/>
    </row>
    <row r="28" spans="2:37" ht="16.5" thickBot="1">
      <c r="B28" s="621">
        <v>22129</v>
      </c>
      <c r="C28" s="1225">
        <v>22.817</v>
      </c>
      <c r="D28" s="1430">
        <f t="shared" si="0"/>
        <v>21.573240295055701</v>
      </c>
      <c r="K28" s="147">
        <v>45839</v>
      </c>
      <c r="L28" s="77">
        <v>1.2699999999999999E-2</v>
      </c>
      <c r="M28" s="77">
        <f t="shared" si="18"/>
        <v>6.2700000000000006E-2</v>
      </c>
      <c r="O28" s="144">
        <v>30133</v>
      </c>
      <c r="P28" s="844">
        <f t="shared" si="2"/>
        <v>54.811</v>
      </c>
      <c r="Q28"/>
      <c r="R28" s="955">
        <f>AK9</f>
        <v>173.58500947984319</v>
      </c>
      <c r="T28" s="1153"/>
      <c r="U28" s="1154"/>
      <c r="V28" s="1154"/>
      <c r="W28" s="1154"/>
      <c r="X28" s="1154"/>
      <c r="Y28" s="1154"/>
      <c r="Z28" s="1154"/>
      <c r="AA28" s="1154"/>
      <c r="AB28" s="1154"/>
      <c r="AC28" s="1154"/>
      <c r="AD28" s="1154"/>
      <c r="AE28" s="1154"/>
      <c r="AF28" s="1154"/>
      <c r="AG28" s="1154"/>
      <c r="AH28" s="1154"/>
      <c r="AI28" s="1154"/>
      <c r="AJ28" s="1154"/>
      <c r="AK28" s="1155"/>
    </row>
    <row r="29" spans="2:37" ht="15.75">
      <c r="B29" s="621">
        <v>22160</v>
      </c>
      <c r="C29" s="1225">
        <v>22.901</v>
      </c>
      <c r="D29" s="1430">
        <f t="shared" si="0"/>
        <v>21.652661436519701</v>
      </c>
      <c r="E29" s="2396"/>
      <c r="F29" s="2396"/>
      <c r="G29" s="2396"/>
      <c r="K29" s="3"/>
      <c r="L29" s="77"/>
      <c r="M29" s="77">
        <f t="shared" si="18"/>
        <v>0.05</v>
      </c>
      <c r="O29" s="144">
        <v>30498</v>
      </c>
      <c r="P29" s="844">
        <f t="shared" si="2"/>
        <v>56.326000000000001</v>
      </c>
      <c r="Q29"/>
      <c r="S29" s="58"/>
    </row>
    <row r="30" spans="2:37" ht="15.75">
      <c r="B30" s="621">
        <v>22190</v>
      </c>
      <c r="C30" s="1225">
        <v>22.984999999999999</v>
      </c>
      <c r="D30" s="1430">
        <f t="shared" si="0"/>
        <v>21.7320825779837</v>
      </c>
      <c r="K30" s="3"/>
      <c r="L30" s="77"/>
      <c r="M30" s="77">
        <f t="shared" si="18"/>
        <v>0.05</v>
      </c>
      <c r="O30" s="144">
        <v>30864</v>
      </c>
      <c r="P30" s="844">
        <f t="shared" si="2"/>
        <v>57.588999999999999</v>
      </c>
      <c r="Q30"/>
      <c r="S30" s="58"/>
    </row>
    <row r="31" spans="2:37" ht="15.75">
      <c r="B31" s="621">
        <v>22221</v>
      </c>
      <c r="C31" s="1225">
        <v>23.152999999999999</v>
      </c>
      <c r="D31" s="1430">
        <f t="shared" si="0"/>
        <v>21.890924860911699</v>
      </c>
      <c r="E31" s="143" t="s">
        <v>22</v>
      </c>
      <c r="F31" s="2254">
        <v>44927</v>
      </c>
      <c r="K31" s="3"/>
      <c r="L31" s="3"/>
      <c r="M31" s="3"/>
      <c r="O31" s="144">
        <v>31229</v>
      </c>
      <c r="P31" s="844">
        <f t="shared" si="2"/>
        <v>58.768000000000001</v>
      </c>
      <c r="Q31"/>
      <c r="S31" s="58"/>
    </row>
    <row r="32" spans="2:37" ht="15.75">
      <c r="B32" s="621">
        <v>22251</v>
      </c>
      <c r="C32" s="1225">
        <v>23.152999999999999</v>
      </c>
      <c r="D32" s="1430">
        <f t="shared" si="0"/>
        <v>21.890924860911699</v>
      </c>
      <c r="E32" s="143" t="s">
        <v>23</v>
      </c>
      <c r="F32" s="2254">
        <v>45869</v>
      </c>
      <c r="K32" s="3"/>
      <c r="L32" s="3"/>
      <c r="M32" s="3"/>
      <c r="O32" s="144">
        <v>31594</v>
      </c>
      <c r="P32" s="844">
        <f t="shared" si="2"/>
        <v>58.598999999999997</v>
      </c>
      <c r="Q32" s="148">
        <f>PV(5.5%,2,,200000)</f>
        <v>-179690.48314278657</v>
      </c>
      <c r="S32" s="58"/>
    </row>
    <row r="33" spans="2:57" ht="15.75">
      <c r="B33" s="621">
        <v>22282</v>
      </c>
      <c r="C33" s="1225">
        <v>23.321999999999999</v>
      </c>
      <c r="D33" s="1430">
        <f t="shared" si="0"/>
        <v>22.050712633619099</v>
      </c>
      <c r="E33" s="143" t="s">
        <v>191</v>
      </c>
      <c r="F33" s="468">
        <v>1000</v>
      </c>
      <c r="H33" s="127">
        <f>1000*0.0662*1/12</f>
        <v>5.5166666666666657</v>
      </c>
      <c r="K33" s="3"/>
      <c r="L33" s="3"/>
      <c r="M33" s="3"/>
      <c r="O33" s="144">
        <v>31959</v>
      </c>
      <c r="P33" s="844">
        <f t="shared" si="2"/>
        <v>58.936</v>
      </c>
      <c r="Q33"/>
    </row>
    <row r="34" spans="2:57" ht="15.75">
      <c r="B34" s="621">
        <v>22313</v>
      </c>
      <c r="C34" s="1225">
        <v>23.49</v>
      </c>
      <c r="D34" s="1430">
        <f t="shared" si="0"/>
        <v>22.209554916547201</v>
      </c>
      <c r="K34" s="3"/>
      <c r="L34" s="3"/>
      <c r="M34" s="3"/>
      <c r="O34" s="144">
        <v>32325</v>
      </c>
      <c r="P34" s="844">
        <f t="shared" si="2"/>
        <v>59.61</v>
      </c>
      <c r="Q34"/>
    </row>
    <row r="35" spans="2:57" ht="15.75">
      <c r="B35" s="621">
        <v>22341</v>
      </c>
      <c r="C35" s="1225">
        <v>23.405999999999999</v>
      </c>
      <c r="D35" s="1430">
        <f t="shared" si="0"/>
        <v>22.130133775083198</v>
      </c>
      <c r="F35" s="127" t="s">
        <v>60</v>
      </c>
      <c r="G35" s="127" t="s">
        <v>2014</v>
      </c>
      <c r="H35" s="127" t="s">
        <v>2015</v>
      </c>
      <c r="I35" s="127" t="s">
        <v>143</v>
      </c>
      <c r="K35" s="3"/>
      <c r="L35" s="3"/>
      <c r="M35" s="3"/>
      <c r="O35" s="144">
        <v>32690</v>
      </c>
      <c r="P35" s="844">
        <f t="shared" si="2"/>
        <v>61.292999999999999</v>
      </c>
      <c r="Q35"/>
    </row>
    <row r="36" spans="2:57" ht="15.75">
      <c r="B36" s="621">
        <v>22372</v>
      </c>
      <c r="C36" s="1225">
        <v>23.405999999999999</v>
      </c>
      <c r="D36" s="1430">
        <f t="shared" si="0"/>
        <v>22.130133775083198</v>
      </c>
      <c r="F36" s="2258">
        <f>DATE(YEAR(F31),MONTH(F31)+1,1)</f>
        <v>44958</v>
      </c>
      <c r="G36" s="2259">
        <f t="shared" ref="G36:G71" si="19">VLOOKUP(F36,Basiszins,3)</f>
        <v>6.6200000000000009E-2</v>
      </c>
      <c r="H36" s="2260">
        <f>+G36*F$33*YEARFRAC(F31,F36,4)</f>
        <v>5.5166666666666666</v>
      </c>
      <c r="I36" s="2260">
        <f>+SUM(H36:H$36)</f>
        <v>5.5166666666666666</v>
      </c>
      <c r="K36" s="3"/>
      <c r="L36" s="3"/>
      <c r="M36" s="3"/>
      <c r="O36" s="144">
        <v>33055</v>
      </c>
      <c r="P36" s="844">
        <f t="shared" ref="P36:P67" si="20">VLOOKUP(O36,VPI,2)</f>
        <v>62.725000000000001</v>
      </c>
      <c r="Q36"/>
    </row>
    <row r="37" spans="2:57" ht="15.75">
      <c r="B37" s="621">
        <v>22402</v>
      </c>
      <c r="C37" s="1225">
        <v>23.405999999999999</v>
      </c>
      <c r="D37" s="1430">
        <f t="shared" si="0"/>
        <v>22.130133775083198</v>
      </c>
      <c r="F37" s="2258">
        <f>DATE(YEAR(F36),MONTH(F36)+1,1)</f>
        <v>44986</v>
      </c>
      <c r="G37" s="2259">
        <f t="shared" si="19"/>
        <v>6.6200000000000009E-2</v>
      </c>
      <c r="H37" s="2260">
        <f>+G37*F$33*YEARFRAC(F36,F37,4)</f>
        <v>5.5166666666666666</v>
      </c>
      <c r="I37" s="2260">
        <f>+SUM(H$36:H37)</f>
        <v>11.033333333333333</v>
      </c>
      <c r="K37" s="3"/>
      <c r="L37" s="3"/>
      <c r="M37" s="3"/>
      <c r="O37" s="144">
        <v>33420</v>
      </c>
      <c r="P37" s="844">
        <f t="shared" si="20"/>
        <v>65.852999999999994</v>
      </c>
      <c r="Q37"/>
    </row>
    <row r="38" spans="2:57" ht="15.75">
      <c r="B38" s="621">
        <v>22433</v>
      </c>
      <c r="C38" s="1225">
        <v>23.405999999999999</v>
      </c>
      <c r="D38" s="1430">
        <f t="shared" si="0"/>
        <v>22.130133775083198</v>
      </c>
      <c r="F38" s="2258">
        <f t="shared" ref="F38:F99" si="21">DATE(YEAR(F37),MONTH(F37)+1,1)</f>
        <v>45017</v>
      </c>
      <c r="G38" s="2259">
        <f t="shared" si="19"/>
        <v>6.6200000000000009E-2</v>
      </c>
      <c r="H38" s="2260">
        <f t="shared" ref="H38:H99" si="22">+G38*F$33*YEARFRAC(F37,F38,4)</f>
        <v>5.5166666666666666</v>
      </c>
      <c r="I38" s="2260">
        <f>+SUM(H$36:H38)</f>
        <v>16.55</v>
      </c>
      <c r="K38" s="3"/>
      <c r="L38" s="3"/>
      <c r="M38" s="3"/>
      <c r="O38" s="144">
        <v>33786</v>
      </c>
      <c r="P38" s="844">
        <f t="shared" si="20"/>
        <v>69.117999999999995</v>
      </c>
      <c r="Q38"/>
    </row>
    <row r="39" spans="2:57" ht="15.75">
      <c r="B39" s="621">
        <v>22463</v>
      </c>
      <c r="C39" s="1225">
        <v>23.49</v>
      </c>
      <c r="D39" s="1430">
        <f t="shared" si="0"/>
        <v>22.209554916547201</v>
      </c>
      <c r="F39" s="2258">
        <f t="shared" si="21"/>
        <v>45047</v>
      </c>
      <c r="G39" s="2259">
        <f t="shared" si="19"/>
        <v>6.6200000000000009E-2</v>
      </c>
      <c r="H39" s="2260">
        <f t="shared" si="22"/>
        <v>5.5166666666666666</v>
      </c>
      <c r="I39" s="2260">
        <f>+SUM(H$36:H39)</f>
        <v>22.066666666666666</v>
      </c>
      <c r="K39" s="3"/>
      <c r="L39" s="3"/>
      <c r="M39" s="3"/>
      <c r="O39" s="144">
        <v>34151</v>
      </c>
      <c r="P39" s="844">
        <f t="shared" si="20"/>
        <v>72.289000000000001</v>
      </c>
      <c r="Q39"/>
    </row>
    <row r="40" spans="2:57" ht="15.75">
      <c r="B40" s="621">
        <v>22494</v>
      </c>
      <c r="C40" s="1225">
        <v>23.49</v>
      </c>
      <c r="D40" s="1430">
        <f t="shared" si="0"/>
        <v>22.209554916547201</v>
      </c>
      <c r="F40" s="2258">
        <f t="shared" si="21"/>
        <v>45078</v>
      </c>
      <c r="G40" s="2259">
        <f t="shared" si="19"/>
        <v>6.6200000000000009E-2</v>
      </c>
      <c r="H40" s="2260">
        <f t="shared" si="22"/>
        <v>5.5166666666666666</v>
      </c>
      <c r="I40" s="2260">
        <f>+SUM(H$36:H40)</f>
        <v>27.583333333333332</v>
      </c>
      <c r="K40" s="3"/>
      <c r="L40" s="3"/>
      <c r="M40" s="3"/>
      <c r="O40" s="144">
        <v>34516</v>
      </c>
      <c r="P40" s="844">
        <f t="shared" si="20"/>
        <v>74.061999999999998</v>
      </c>
      <c r="Q40"/>
    </row>
    <row r="41" spans="2:57" ht="15.75">
      <c r="B41" s="621">
        <v>22525</v>
      </c>
      <c r="C41" s="1225">
        <v>23.574000000000002</v>
      </c>
      <c r="D41" s="1430">
        <f t="shared" si="0"/>
        <v>22.288976058011201</v>
      </c>
      <c r="F41" s="2258">
        <f t="shared" si="21"/>
        <v>45108</v>
      </c>
      <c r="G41" s="2259">
        <f t="shared" si="19"/>
        <v>8.1199999999999994E-2</v>
      </c>
      <c r="H41" s="2260">
        <f t="shared" si="22"/>
        <v>6.7666666666666657</v>
      </c>
      <c r="I41" s="2260">
        <f>+SUM(H$36:H41)</f>
        <v>34.349999999999994</v>
      </c>
      <c r="K41" s="3"/>
      <c r="L41" s="3"/>
      <c r="M41" s="3"/>
      <c r="O41" s="144">
        <v>34881</v>
      </c>
      <c r="P41" s="844">
        <f t="shared" si="20"/>
        <v>75.274000000000001</v>
      </c>
      <c r="Q41"/>
    </row>
    <row r="42" spans="2:57" ht="15.75">
      <c r="B42" s="621">
        <v>22555</v>
      </c>
      <c r="C42" s="1225">
        <v>23.574000000000002</v>
      </c>
      <c r="D42" s="1430">
        <f t="shared" si="0"/>
        <v>22.288976058011201</v>
      </c>
      <c r="F42" s="2258">
        <f t="shared" si="21"/>
        <v>45139</v>
      </c>
      <c r="G42" s="2259">
        <f t="shared" si="19"/>
        <v>8.1199999999999994E-2</v>
      </c>
      <c r="H42" s="2260">
        <f t="shared" si="22"/>
        <v>6.7666666666666657</v>
      </c>
      <c r="I42" s="2260">
        <f>+SUM(H$36:H42)</f>
        <v>41.11666666666666</v>
      </c>
      <c r="K42" s="3"/>
      <c r="L42" s="3"/>
      <c r="M42" s="3"/>
      <c r="O42" s="144">
        <v>35247</v>
      </c>
      <c r="P42" s="844">
        <f t="shared" si="20"/>
        <v>76.3</v>
      </c>
      <c r="Q42"/>
    </row>
    <row r="43" spans="2:57" ht="15.75">
      <c r="B43" s="621">
        <v>22586</v>
      </c>
      <c r="C43" s="1225">
        <v>23.742999999999999</v>
      </c>
      <c r="D43" s="1430">
        <f t="shared" si="0"/>
        <v>22.448763830718601</v>
      </c>
      <c r="F43" s="2258">
        <f t="shared" si="21"/>
        <v>45170</v>
      </c>
      <c r="G43" s="2259">
        <f t="shared" si="19"/>
        <v>8.1199999999999994E-2</v>
      </c>
      <c r="H43" s="2260">
        <f t="shared" si="22"/>
        <v>6.7666666666666657</v>
      </c>
      <c r="I43" s="2260">
        <f>+SUM(H$36:H43)</f>
        <v>47.883333333333326</v>
      </c>
      <c r="K43" s="3"/>
      <c r="L43" s="3"/>
      <c r="M43" s="3"/>
      <c r="O43" s="144">
        <v>35612</v>
      </c>
      <c r="P43" s="844">
        <f t="shared" si="20"/>
        <v>78.072000000000003</v>
      </c>
      <c r="Q43"/>
      <c r="S43" s="58"/>
      <c r="U43" s="897"/>
      <c r="V43" s="897"/>
      <c r="W43" s="897"/>
      <c r="X43" s="897"/>
      <c r="Y43" s="897"/>
      <c r="Z43" s="897"/>
      <c r="AA43" s="897"/>
      <c r="AB43" s="897"/>
      <c r="AC43" s="897"/>
      <c r="AD43" s="897"/>
      <c r="AE43" s="897"/>
      <c r="AF43" s="897"/>
      <c r="AG43" s="897"/>
      <c r="AH43" s="897"/>
      <c r="AI43" s="897"/>
      <c r="AJ43" s="897"/>
      <c r="AK43" s="897"/>
      <c r="AL43" s="897"/>
      <c r="AM43" s="897"/>
      <c r="AN43" s="897"/>
      <c r="AO43" s="897"/>
      <c r="AP43" s="897"/>
      <c r="AQ43" s="897"/>
      <c r="AR43" s="897"/>
      <c r="AS43" s="897"/>
      <c r="AT43" s="897"/>
      <c r="AU43" s="897"/>
      <c r="AV43" s="897"/>
      <c r="AW43" s="897"/>
      <c r="AX43" s="897"/>
      <c r="AY43" s="897"/>
      <c r="AZ43" s="897"/>
      <c r="BA43" s="897"/>
      <c r="BB43" s="897"/>
      <c r="BC43" s="897"/>
      <c r="BD43" s="897"/>
      <c r="BE43" s="897"/>
    </row>
    <row r="44" spans="2:57" ht="15.75">
      <c r="B44" s="621">
        <v>22616</v>
      </c>
      <c r="C44" s="1225">
        <v>23.827000000000002</v>
      </c>
      <c r="D44" s="1430">
        <f t="shared" si="0"/>
        <v>22.528184972182601</v>
      </c>
      <c r="F44" s="2258">
        <f t="shared" si="21"/>
        <v>45200</v>
      </c>
      <c r="G44" s="2259">
        <f t="shared" si="19"/>
        <v>8.1199999999999994E-2</v>
      </c>
      <c r="H44" s="2260">
        <f t="shared" si="22"/>
        <v>6.7666666666666657</v>
      </c>
      <c r="I44" s="2260">
        <f>+SUM(H$36:H44)</f>
        <v>54.649999999999991</v>
      </c>
      <c r="K44" s="3"/>
      <c r="L44" s="3"/>
      <c r="M44" s="3"/>
      <c r="O44" s="144">
        <v>35977</v>
      </c>
      <c r="P44" s="844">
        <f t="shared" si="20"/>
        <v>78.724999999999994</v>
      </c>
      <c r="Q44"/>
      <c r="S44" s="898"/>
      <c r="T44" s="898"/>
      <c r="U44" s="898"/>
      <c r="V44" s="898"/>
      <c r="W44" s="898"/>
      <c r="X44" s="898"/>
      <c r="Y44" s="898"/>
      <c r="Z44" s="898"/>
      <c r="AA44" s="898"/>
      <c r="AB44" s="898"/>
      <c r="AC44" s="898"/>
      <c r="AD44" s="898"/>
      <c r="AE44" s="898"/>
      <c r="AF44" s="898"/>
      <c r="AG44" s="898"/>
      <c r="AH44" s="898"/>
      <c r="AI44" s="898"/>
      <c r="AJ44" s="898"/>
      <c r="AK44" s="898"/>
      <c r="AL44" s="898"/>
      <c r="AM44" s="898"/>
      <c r="AN44" s="898"/>
      <c r="AO44" s="898"/>
      <c r="AP44" s="898"/>
      <c r="AQ44" s="898"/>
      <c r="AR44" s="898"/>
      <c r="AS44" s="898"/>
      <c r="AT44" s="898"/>
      <c r="AU44" s="898"/>
      <c r="AV44" s="898"/>
      <c r="AW44" s="898"/>
      <c r="AX44" s="898"/>
      <c r="AY44" s="898"/>
      <c r="AZ44" s="898"/>
      <c r="BA44" s="898"/>
      <c r="BB44" s="898"/>
      <c r="BC44" s="898"/>
      <c r="BD44" s="898"/>
      <c r="BE44" s="898"/>
    </row>
    <row r="45" spans="2:57" ht="15.75">
      <c r="B45" s="621">
        <v>22647</v>
      </c>
      <c r="C45" s="1225">
        <v>23.995000000000001</v>
      </c>
      <c r="D45" s="1430">
        <f t="shared" si="0"/>
        <v>22.687027255110699</v>
      </c>
      <c r="F45" s="2258">
        <f t="shared" si="21"/>
        <v>45231</v>
      </c>
      <c r="G45" s="2259">
        <f t="shared" si="19"/>
        <v>8.1199999999999994E-2</v>
      </c>
      <c r="H45" s="2260">
        <f t="shared" si="22"/>
        <v>6.7666666666666657</v>
      </c>
      <c r="I45" s="2260">
        <f>+SUM(H$36:H45)</f>
        <v>61.416666666666657</v>
      </c>
      <c r="K45" s="3"/>
      <c r="L45" s="3"/>
      <c r="M45" s="3"/>
      <c r="O45" s="144">
        <v>36342</v>
      </c>
      <c r="P45" s="844">
        <f t="shared" si="20"/>
        <v>79.191999999999993</v>
      </c>
      <c r="Q45"/>
      <c r="S45" s="899"/>
      <c r="T45" s="899"/>
      <c r="U45" s="898"/>
      <c r="V45" s="898"/>
      <c r="W45" s="898"/>
      <c r="X45" s="898"/>
      <c r="Y45" s="898"/>
      <c r="Z45" s="898"/>
      <c r="AA45" s="898"/>
      <c r="AB45" s="898"/>
      <c r="AC45" s="898"/>
      <c r="AD45" s="898"/>
      <c r="AE45" s="898"/>
      <c r="AF45" s="898"/>
      <c r="AG45" s="898"/>
      <c r="AH45" s="898"/>
      <c r="AI45" s="898"/>
      <c r="AJ45" s="898"/>
      <c r="AK45" s="898"/>
      <c r="AL45" s="898"/>
      <c r="AM45" s="898"/>
      <c r="AN45" s="898"/>
      <c r="AO45" s="898"/>
      <c r="AP45" s="898"/>
      <c r="AQ45" s="898"/>
      <c r="AR45" s="898"/>
      <c r="AS45" s="898"/>
      <c r="AT45" s="898"/>
      <c r="AU45" s="898"/>
      <c r="AV45" s="898"/>
      <c r="AW45" s="898"/>
      <c r="AX45" s="898"/>
      <c r="AY45" s="898"/>
      <c r="AZ45" s="898"/>
      <c r="BA45" s="898"/>
      <c r="BB45" s="898"/>
      <c r="BC45" s="898"/>
      <c r="BD45" s="898"/>
      <c r="BE45" s="898"/>
    </row>
    <row r="46" spans="2:57" ht="15.75">
      <c r="B46" s="621">
        <v>22678</v>
      </c>
      <c r="C46" s="1225">
        <v>24.164000000000001</v>
      </c>
      <c r="D46" s="1430">
        <f t="shared" si="0"/>
        <v>22.846815027818099</v>
      </c>
      <c r="F46" s="2258">
        <f t="shared" si="21"/>
        <v>45261</v>
      </c>
      <c r="G46" s="2259">
        <f t="shared" si="19"/>
        <v>8.1199999999999994E-2</v>
      </c>
      <c r="H46" s="2260">
        <f t="shared" si="22"/>
        <v>6.7666666666666657</v>
      </c>
      <c r="I46" s="2260">
        <f>+SUM(H$36:H46)</f>
        <v>68.183333333333323</v>
      </c>
      <c r="K46" s="3"/>
      <c r="L46" s="3"/>
      <c r="M46" s="3"/>
      <c r="O46" s="144">
        <v>36708</v>
      </c>
      <c r="P46" s="844">
        <f t="shared" si="20"/>
        <v>80.218000000000004</v>
      </c>
      <c r="Q46" s="145"/>
      <c r="U46" s="898"/>
      <c r="V46" s="898"/>
      <c r="W46" s="898"/>
      <c r="X46" s="898"/>
      <c r="Y46" s="898"/>
      <c r="Z46" s="898"/>
      <c r="AA46" s="898"/>
      <c r="AB46" s="898"/>
      <c r="AC46" s="898"/>
      <c r="AD46" s="898"/>
      <c r="AE46" s="898"/>
      <c r="AF46" s="898"/>
      <c r="AG46" s="898"/>
      <c r="AH46" s="898"/>
      <c r="AI46" s="898"/>
      <c r="AJ46" s="898"/>
      <c r="AK46" s="898"/>
      <c r="AL46" s="898"/>
      <c r="AM46" s="898"/>
      <c r="AN46" s="898"/>
      <c r="AO46" s="898"/>
      <c r="AP46" s="898"/>
      <c r="AQ46" s="898"/>
      <c r="AR46" s="898"/>
      <c r="AS46" s="898"/>
      <c r="AT46" s="898"/>
      <c r="AU46" s="898"/>
      <c r="AV46" s="898"/>
      <c r="AW46" s="898"/>
      <c r="AX46" s="898"/>
      <c r="AY46" s="898"/>
      <c r="AZ46" s="898"/>
      <c r="BA46" s="898"/>
      <c r="BB46" s="898"/>
      <c r="BC46" s="898"/>
      <c r="BD46" s="898"/>
      <c r="BE46" s="898"/>
    </row>
    <row r="47" spans="2:57" ht="15.75">
      <c r="B47" s="621">
        <v>22706</v>
      </c>
      <c r="C47" s="1225">
        <v>24.164000000000001</v>
      </c>
      <c r="D47" s="1430">
        <f t="shared" si="0"/>
        <v>22.846815027818099</v>
      </c>
      <c r="F47" s="2258">
        <f>DATE(YEAR(F46),MONTH(F46)+1,1)</f>
        <v>45292</v>
      </c>
      <c r="G47" s="2259">
        <f t="shared" si="19"/>
        <v>8.6199999999999999E-2</v>
      </c>
      <c r="H47" s="2260">
        <f t="shared" si="22"/>
        <v>7.1833333333333336</v>
      </c>
      <c r="I47" s="2260">
        <f>+SUM(H$36:H47)</f>
        <v>75.36666666666666</v>
      </c>
      <c r="K47" s="3"/>
      <c r="L47" s="3"/>
      <c r="M47" s="3"/>
      <c r="O47" s="144">
        <v>37073</v>
      </c>
      <c r="P47" s="844">
        <f t="shared" si="20"/>
        <v>81.897000000000006</v>
      </c>
      <c r="Q47" s="145"/>
    </row>
    <row r="48" spans="2:57" ht="15.75">
      <c r="B48" s="621">
        <v>22737</v>
      </c>
      <c r="C48" s="1225">
        <v>24.248000000000001</v>
      </c>
      <c r="D48" s="1430">
        <f t="shared" si="0"/>
        <v>22.926236169282099</v>
      </c>
      <c r="F48" s="2258">
        <f t="shared" si="21"/>
        <v>45323</v>
      </c>
      <c r="G48" s="2259">
        <f t="shared" si="19"/>
        <v>8.6199999999999999E-2</v>
      </c>
      <c r="H48" s="2260">
        <f t="shared" si="22"/>
        <v>7.1833333333333336</v>
      </c>
      <c r="I48" s="2260">
        <f>+SUM(H$36:H48)</f>
        <v>82.55</v>
      </c>
      <c r="K48" s="3"/>
      <c r="L48" s="3"/>
      <c r="M48" s="3"/>
      <c r="O48" s="144">
        <v>37438</v>
      </c>
      <c r="P48" s="844">
        <f t="shared" si="20"/>
        <v>82.83</v>
      </c>
      <c r="Q48" s="145"/>
    </row>
    <row r="49" spans="2:17" ht="15.75">
      <c r="B49" s="621">
        <v>22767</v>
      </c>
      <c r="C49" s="1225">
        <v>24.164000000000001</v>
      </c>
      <c r="D49" s="1430">
        <f t="shared" si="0"/>
        <v>22.846815027818099</v>
      </c>
      <c r="F49" s="2258">
        <f t="shared" si="21"/>
        <v>45352</v>
      </c>
      <c r="G49" s="2259">
        <f t="shared" si="19"/>
        <v>8.6199999999999999E-2</v>
      </c>
      <c r="H49" s="2260">
        <f t="shared" si="22"/>
        <v>7.1833333333333336</v>
      </c>
      <c r="I49" s="2260">
        <f>+SUM(H$36:H49)</f>
        <v>89.733333333333334</v>
      </c>
      <c r="K49" s="3"/>
      <c r="L49" s="3"/>
      <c r="M49" s="3"/>
      <c r="O49" s="144">
        <v>37803</v>
      </c>
      <c r="P49" s="844">
        <f t="shared" si="20"/>
        <v>83.668999999999997</v>
      </c>
      <c r="Q49" s="145"/>
    </row>
    <row r="50" spans="2:17" ht="15.75">
      <c r="B50" s="621">
        <v>22798</v>
      </c>
      <c r="C50" s="1225">
        <v>24.164000000000001</v>
      </c>
      <c r="D50" s="1430">
        <f t="shared" si="0"/>
        <v>22.846815027818099</v>
      </c>
      <c r="F50" s="2258">
        <f t="shared" si="21"/>
        <v>45383</v>
      </c>
      <c r="G50" s="2259">
        <f t="shared" si="19"/>
        <v>8.6199999999999999E-2</v>
      </c>
      <c r="H50" s="2260">
        <f t="shared" si="22"/>
        <v>7.1833333333333336</v>
      </c>
      <c r="I50" s="2260">
        <f>+SUM(H$36:H50)</f>
        <v>96.916666666666671</v>
      </c>
      <c r="K50" s="3"/>
      <c r="L50" s="3"/>
      <c r="M50" s="3"/>
      <c r="O50" s="144">
        <v>38169</v>
      </c>
      <c r="P50" s="844">
        <f t="shared" si="20"/>
        <v>85.161000000000001</v>
      </c>
      <c r="Q50" s="145"/>
    </row>
    <row r="51" spans="2:17" ht="15.75">
      <c r="B51" s="621">
        <v>22828</v>
      </c>
      <c r="C51" s="1225">
        <v>24.248000000000001</v>
      </c>
      <c r="D51" s="1430">
        <f t="shared" si="0"/>
        <v>22.926236169282099</v>
      </c>
      <c r="F51" s="2258">
        <f t="shared" si="21"/>
        <v>45413</v>
      </c>
      <c r="G51" s="2259">
        <f t="shared" si="19"/>
        <v>8.6199999999999999E-2</v>
      </c>
      <c r="H51" s="2260">
        <f t="shared" si="22"/>
        <v>7.1833333333333336</v>
      </c>
      <c r="I51" s="2260">
        <f>+SUM(H$36:H51)</f>
        <v>104.10000000000001</v>
      </c>
      <c r="L51"/>
      <c r="O51" s="144">
        <v>38534</v>
      </c>
      <c r="P51" s="844">
        <f t="shared" si="20"/>
        <v>86.466999999999999</v>
      </c>
      <c r="Q51" s="145"/>
    </row>
    <row r="52" spans="2:17" ht="15.75">
      <c r="B52" s="621">
        <v>22859</v>
      </c>
      <c r="C52" s="1225">
        <v>24.08</v>
      </c>
      <c r="D52" s="1430">
        <f t="shared" si="0"/>
        <v>22.767393886354</v>
      </c>
      <c r="F52" s="2258">
        <f t="shared" si="21"/>
        <v>45444</v>
      </c>
      <c r="G52" s="2259">
        <f t="shared" si="19"/>
        <v>8.6199999999999999E-2</v>
      </c>
      <c r="H52" s="2260">
        <f t="shared" si="22"/>
        <v>7.1833333333333336</v>
      </c>
      <c r="I52" s="2260">
        <f>+SUM(H$36:H52)</f>
        <v>111.28333333333335</v>
      </c>
      <c r="L52"/>
      <c r="O52" s="144">
        <v>38899</v>
      </c>
      <c r="P52" s="844">
        <f t="shared" si="20"/>
        <v>88.052999999999997</v>
      </c>
      <c r="Q52" s="145"/>
    </row>
    <row r="53" spans="2:17" ht="15.75">
      <c r="B53" s="621">
        <v>22890</v>
      </c>
      <c r="C53" s="1225">
        <v>24.164000000000001</v>
      </c>
      <c r="D53" s="1430">
        <f t="shared" si="0"/>
        <v>22.846815027818</v>
      </c>
      <c r="F53" s="2258">
        <f t="shared" si="21"/>
        <v>45474</v>
      </c>
      <c r="G53" s="2259">
        <f t="shared" si="19"/>
        <v>8.3699999999999997E-2</v>
      </c>
      <c r="H53" s="2260">
        <f t="shared" si="22"/>
        <v>6.9749999999999996</v>
      </c>
      <c r="I53" s="2260">
        <f>+SUM(H$36:H53)</f>
        <v>118.25833333333334</v>
      </c>
      <c r="L53"/>
      <c r="O53" s="144">
        <v>39264</v>
      </c>
      <c r="P53" s="844">
        <f t="shared" si="20"/>
        <v>89.825000000000003</v>
      </c>
      <c r="Q53" s="145"/>
    </row>
    <row r="54" spans="2:17" ht="15.75">
      <c r="B54" s="621">
        <v>22920</v>
      </c>
      <c r="C54" s="1225">
        <v>24.164000000000001</v>
      </c>
      <c r="D54" s="1430">
        <f t="shared" si="0"/>
        <v>22.846815027818</v>
      </c>
      <c r="F54" s="2258">
        <f>DATE(YEAR(F53),MONTH(F53)+1,1)</f>
        <v>45505</v>
      </c>
      <c r="G54" s="2259">
        <f t="shared" si="19"/>
        <v>8.3699999999999997E-2</v>
      </c>
      <c r="H54" s="2260">
        <f t="shared" si="22"/>
        <v>6.9749999999999996</v>
      </c>
      <c r="I54" s="2260">
        <f>+SUM(H$36:H54)</f>
        <v>125.23333333333333</v>
      </c>
      <c r="L54"/>
      <c r="O54" s="144">
        <v>39630</v>
      </c>
      <c r="P54" s="844">
        <f t="shared" si="20"/>
        <v>92.81</v>
      </c>
      <c r="Q54" s="145"/>
    </row>
    <row r="55" spans="2:17" ht="15.75">
      <c r="B55" s="621">
        <v>22951</v>
      </c>
      <c r="C55" s="1225">
        <v>24.332000000000001</v>
      </c>
      <c r="D55" s="1430">
        <f t="shared" si="0"/>
        <v>23.005657310746098</v>
      </c>
      <c r="F55" s="2258">
        <f t="shared" si="21"/>
        <v>45536</v>
      </c>
      <c r="G55" s="2259">
        <f t="shared" si="19"/>
        <v>8.3699999999999997E-2</v>
      </c>
      <c r="H55" s="2260">
        <f t="shared" si="22"/>
        <v>6.9749999999999996</v>
      </c>
      <c r="I55" s="2260">
        <f>+SUM(H$36:H55)</f>
        <v>132.20833333333334</v>
      </c>
      <c r="L55"/>
      <c r="O55" s="144">
        <v>39995</v>
      </c>
      <c r="P55" s="844">
        <f t="shared" si="20"/>
        <v>92.343999999999994</v>
      </c>
      <c r="Q55" s="145"/>
    </row>
    <row r="56" spans="2:17" ht="15.75">
      <c r="B56" s="621">
        <v>22981</v>
      </c>
      <c r="C56" s="1225">
        <v>24.416</v>
      </c>
      <c r="D56" s="1430">
        <f t="shared" si="0"/>
        <v>23.085078452210102</v>
      </c>
      <c r="F56" s="2258">
        <f t="shared" si="21"/>
        <v>45566</v>
      </c>
      <c r="G56" s="2259">
        <f t="shared" si="19"/>
        <v>8.3699999999999997E-2</v>
      </c>
      <c r="H56" s="2260">
        <f t="shared" si="22"/>
        <v>6.9749999999999996</v>
      </c>
      <c r="I56" s="2260">
        <f>+SUM(H$36:H56)</f>
        <v>139.18333333333334</v>
      </c>
      <c r="L56"/>
      <c r="O56" s="144">
        <v>40360</v>
      </c>
      <c r="P56" s="844">
        <f t="shared" si="20"/>
        <v>93.37</v>
      </c>
      <c r="Q56" s="145"/>
    </row>
    <row r="57" spans="2:17" ht="15.75">
      <c r="B57" s="621">
        <v>23012</v>
      </c>
      <c r="C57" s="1225">
        <v>24.669</v>
      </c>
      <c r="D57" s="1430">
        <f t="shared" si="0"/>
        <v>23.324287366381501</v>
      </c>
      <c r="F57" s="2258">
        <f t="shared" si="21"/>
        <v>45597</v>
      </c>
      <c r="G57" s="2259">
        <f t="shared" si="19"/>
        <v>8.3699999999999997E-2</v>
      </c>
      <c r="H57" s="2260">
        <f t="shared" si="22"/>
        <v>6.9749999999999996</v>
      </c>
      <c r="I57" s="2260">
        <f>+SUM(H$36:H57)</f>
        <v>146.15833333333333</v>
      </c>
      <c r="L57"/>
      <c r="O57" s="144">
        <v>40725</v>
      </c>
      <c r="P57" s="844">
        <f t="shared" si="20"/>
        <v>95.328999999999994</v>
      </c>
      <c r="Q57" s="145"/>
    </row>
    <row r="58" spans="2:17" ht="15.75">
      <c r="B58" s="621">
        <v>23043</v>
      </c>
      <c r="C58" s="1225">
        <v>25.006</v>
      </c>
      <c r="D58" s="1430">
        <f t="shared" si="0"/>
        <v>23.6429174220169</v>
      </c>
      <c r="F58" s="2258">
        <f t="shared" si="21"/>
        <v>45627</v>
      </c>
      <c r="G58" s="2259">
        <f t="shared" si="19"/>
        <v>8.3699999999999997E-2</v>
      </c>
      <c r="H58" s="2260">
        <f t="shared" si="22"/>
        <v>6.9749999999999996</v>
      </c>
      <c r="I58" s="2260">
        <f>+SUM(H$36:H58)</f>
        <v>153.13333333333333</v>
      </c>
      <c r="L58"/>
      <c r="O58" s="144">
        <v>41091</v>
      </c>
      <c r="P58" s="844">
        <f t="shared" si="20"/>
        <v>97.100999999999999</v>
      </c>
      <c r="Q58" s="145"/>
    </row>
    <row r="59" spans="2:17" ht="15.75">
      <c r="B59" s="621">
        <v>23071</v>
      </c>
      <c r="C59" s="1225">
        <v>24.922000000000001</v>
      </c>
      <c r="D59" s="1430">
        <f t="shared" si="0"/>
        <v>23.563496280552901</v>
      </c>
      <c r="F59" s="2258">
        <f t="shared" si="21"/>
        <v>45658</v>
      </c>
      <c r="G59" s="2259">
        <f t="shared" si="19"/>
        <v>7.2700000000000001E-2</v>
      </c>
      <c r="H59" s="2260">
        <f t="shared" si="22"/>
        <v>6.0583333333333336</v>
      </c>
      <c r="I59" s="2260">
        <f>+SUM(H$36:H59)</f>
        <v>159.19166666666666</v>
      </c>
      <c r="L59"/>
      <c r="O59" s="144">
        <v>41456</v>
      </c>
      <c r="P59" s="844">
        <f t="shared" si="20"/>
        <v>98.965999999999994</v>
      </c>
      <c r="Q59" s="145"/>
    </row>
    <row r="60" spans="2:17" ht="15.75">
      <c r="B60" s="621">
        <v>23102</v>
      </c>
      <c r="C60" s="1225">
        <v>25.006</v>
      </c>
      <c r="D60" s="1430">
        <f t="shared" si="0"/>
        <v>23.6429174220169</v>
      </c>
      <c r="F60" s="2258">
        <f t="shared" si="21"/>
        <v>45689</v>
      </c>
      <c r="G60" s="2259">
        <f t="shared" si="19"/>
        <v>7.2700000000000001E-2</v>
      </c>
      <c r="H60" s="2260">
        <f t="shared" si="22"/>
        <v>6.0583333333333336</v>
      </c>
      <c r="I60" s="2260">
        <f>+SUM(H$36:H60)</f>
        <v>165.25</v>
      </c>
      <c r="L60"/>
      <c r="O60" s="144">
        <v>41821</v>
      </c>
      <c r="P60" s="844">
        <f t="shared" si="20"/>
        <v>99.805999999999997</v>
      </c>
      <c r="Q60" s="145"/>
    </row>
    <row r="61" spans="2:17" ht="15.75">
      <c r="B61" s="621">
        <v>23132</v>
      </c>
      <c r="C61" s="1225">
        <v>24.922000000000001</v>
      </c>
      <c r="D61" s="1430">
        <f t="shared" si="0"/>
        <v>23.563496280552901</v>
      </c>
      <c r="F61" s="2258">
        <f t="shared" si="21"/>
        <v>45717</v>
      </c>
      <c r="G61" s="2259">
        <f t="shared" si="19"/>
        <v>7.2700000000000001E-2</v>
      </c>
      <c r="H61" s="2260">
        <f t="shared" si="22"/>
        <v>6.0583333333333336</v>
      </c>
      <c r="I61" s="2260">
        <f>+SUM(H$36:H61)</f>
        <v>171.30833333333334</v>
      </c>
      <c r="L61"/>
      <c r="O61" s="144">
        <v>42186</v>
      </c>
      <c r="P61" s="844">
        <f t="shared" si="20"/>
        <v>100.6</v>
      </c>
      <c r="Q61" s="145"/>
    </row>
    <row r="62" spans="2:17" ht="15.75">
      <c r="B62" s="621">
        <v>23163</v>
      </c>
      <c r="C62" s="1225">
        <v>24.753</v>
      </c>
      <c r="D62" s="1430">
        <f t="shared" si="0"/>
        <v>23.403708507845501</v>
      </c>
      <c r="F62" s="2258">
        <f t="shared" si="21"/>
        <v>45748</v>
      </c>
      <c r="G62" s="2259">
        <f t="shared" si="19"/>
        <v>7.2700000000000001E-2</v>
      </c>
      <c r="H62" s="2260">
        <f t="shared" si="22"/>
        <v>6.0583333333333336</v>
      </c>
      <c r="I62" s="2260">
        <f>+SUM(H$36:H62)</f>
        <v>177.36666666666667</v>
      </c>
      <c r="L62"/>
      <c r="O62" s="144">
        <v>42552</v>
      </c>
      <c r="P62" s="844">
        <f t="shared" si="20"/>
        <v>101.1</v>
      </c>
      <c r="Q62" s="145"/>
    </row>
    <row r="63" spans="2:17" ht="15.75">
      <c r="B63" s="621">
        <v>23193</v>
      </c>
      <c r="C63" s="1225">
        <v>24.753</v>
      </c>
      <c r="D63" s="1430">
        <f t="shared" si="0"/>
        <v>23.403708507845501</v>
      </c>
      <c r="F63" s="2258">
        <f t="shared" si="21"/>
        <v>45778</v>
      </c>
      <c r="G63" s="2259">
        <f t="shared" si="19"/>
        <v>7.2700000000000001E-2</v>
      </c>
      <c r="H63" s="2260">
        <f t="shared" si="22"/>
        <v>6.0583333333333336</v>
      </c>
      <c r="I63" s="2260">
        <f>+SUM(H$36:H63)</f>
        <v>183.42500000000001</v>
      </c>
      <c r="L63"/>
      <c r="O63" s="144">
        <v>42917</v>
      </c>
      <c r="P63" s="844">
        <f t="shared" si="20"/>
        <v>102.5</v>
      </c>
      <c r="Q63" s="145"/>
    </row>
    <row r="64" spans="2:17" ht="15.75">
      <c r="B64" s="621">
        <v>23224</v>
      </c>
      <c r="C64" s="1225">
        <v>24.753</v>
      </c>
      <c r="D64" s="1430">
        <f t="shared" si="0"/>
        <v>23.403708507845501</v>
      </c>
      <c r="F64" s="2258">
        <f>DATE(YEAR(F63),MONTH(F63)+1,1)</f>
        <v>45809</v>
      </c>
      <c r="G64" s="2259">
        <f t="shared" si="19"/>
        <v>7.2700000000000001E-2</v>
      </c>
      <c r="H64" s="2260">
        <f t="shared" si="22"/>
        <v>6.0583333333333336</v>
      </c>
      <c r="I64" s="2260">
        <f>+SUM(H$36:H64)</f>
        <v>189.48333333333335</v>
      </c>
      <c r="L64"/>
      <c r="O64" s="144">
        <v>43282</v>
      </c>
      <c r="P64" s="844">
        <f t="shared" si="20"/>
        <v>104.4</v>
      </c>
      <c r="Q64" s="145"/>
    </row>
    <row r="65" spans="2:18" ht="15.75">
      <c r="B65" s="621">
        <v>23255</v>
      </c>
      <c r="C65" s="1225">
        <v>24.922000000000001</v>
      </c>
      <c r="D65" s="1430">
        <f t="shared" si="0"/>
        <v>23.563496280552901</v>
      </c>
      <c r="F65" s="2258">
        <f t="shared" si="21"/>
        <v>45839</v>
      </c>
      <c r="G65" s="2259">
        <f t="shared" si="19"/>
        <v>6.2700000000000006E-2</v>
      </c>
      <c r="H65" s="2260">
        <f t="shared" si="22"/>
        <v>5.2249999999999996</v>
      </c>
      <c r="I65" s="2260">
        <f>+SUM(H$36:H65)</f>
        <v>194.70833333333334</v>
      </c>
      <c r="L65"/>
      <c r="O65" s="144">
        <v>43647</v>
      </c>
      <c r="P65" s="844">
        <f t="shared" si="20"/>
        <v>106.2</v>
      </c>
      <c r="Q65" s="145"/>
    </row>
    <row r="66" spans="2:18" ht="15.75">
      <c r="B66" s="621">
        <v>23285</v>
      </c>
      <c r="C66" s="1225">
        <v>24.922000000000001</v>
      </c>
      <c r="D66" s="1430">
        <f t="shared" si="0"/>
        <v>23.563496280552901</v>
      </c>
      <c r="F66" s="2258">
        <f t="shared" si="21"/>
        <v>45870</v>
      </c>
      <c r="G66" s="2259">
        <f t="shared" si="19"/>
        <v>6.2700000000000006E-2</v>
      </c>
      <c r="H66" s="2260">
        <f t="shared" si="22"/>
        <v>5.2249999999999996</v>
      </c>
      <c r="I66" s="2260">
        <f>+SUM(H$36:H66)</f>
        <v>199.93333333333334</v>
      </c>
      <c r="L66"/>
      <c r="O66" s="144">
        <v>44013</v>
      </c>
      <c r="P66" s="844">
        <f t="shared" si="20"/>
        <v>106.1</v>
      </c>
      <c r="Q66" s="145"/>
    </row>
    <row r="67" spans="2:18" ht="15.75">
      <c r="B67" s="621">
        <v>23316</v>
      </c>
      <c r="C67" s="1225">
        <v>25.09</v>
      </c>
      <c r="D67" s="1430">
        <f t="shared" ref="D67:D130" si="23">ROUND(+D68*C67/C68,19)</f>
        <v>23.7223385634809</v>
      </c>
      <c r="F67" s="2258">
        <f t="shared" si="21"/>
        <v>45901</v>
      </c>
      <c r="G67" s="2259">
        <f t="shared" si="19"/>
        <v>6.2700000000000006E-2</v>
      </c>
      <c r="H67" s="2260">
        <f t="shared" si="22"/>
        <v>5.2249999999999996</v>
      </c>
      <c r="I67" s="2260">
        <f>+SUM(H$36:H67)</f>
        <v>205.15833333333333</v>
      </c>
      <c r="L67"/>
      <c r="O67" s="144">
        <v>44378</v>
      </c>
      <c r="P67" s="844">
        <f t="shared" si="20"/>
        <v>110.1</v>
      </c>
      <c r="Q67" s="145"/>
    </row>
    <row r="68" spans="2:18" ht="15.75">
      <c r="B68" s="621">
        <v>23346</v>
      </c>
      <c r="C68" s="1225">
        <v>25.257999999999999</v>
      </c>
      <c r="D68" s="1430">
        <f t="shared" si="23"/>
        <v>23.881180846408999</v>
      </c>
      <c r="F68" s="2258">
        <f t="shared" si="21"/>
        <v>45931</v>
      </c>
      <c r="G68" s="2259">
        <f t="shared" si="19"/>
        <v>6.2700000000000006E-2</v>
      </c>
      <c r="H68" s="2260">
        <f t="shared" si="22"/>
        <v>5.2249999999999996</v>
      </c>
      <c r="I68" s="2260">
        <f>+SUM(H$36:H68)</f>
        <v>210.38333333333333</v>
      </c>
      <c r="L68"/>
      <c r="O68" s="144">
        <v>44743</v>
      </c>
      <c r="P68" s="844">
        <f>VLOOKUP(O68,VPI,2)</f>
        <v>118.4</v>
      </c>
      <c r="Q68" s="145"/>
    </row>
    <row r="69" spans="2:18" ht="15.75">
      <c r="B69" s="621">
        <v>23377</v>
      </c>
      <c r="C69" s="1225">
        <v>25.427</v>
      </c>
      <c r="D69" s="1430">
        <f t="shared" si="23"/>
        <v>24.040968619116398</v>
      </c>
      <c r="F69" s="2258">
        <f>DATE(YEAR(F68),MONTH(F68)+1,1)</f>
        <v>45962</v>
      </c>
      <c r="G69" s="2259">
        <f t="shared" si="19"/>
        <v>6.2700000000000006E-2</v>
      </c>
      <c r="H69" s="2260">
        <f t="shared" si="22"/>
        <v>5.2249999999999996</v>
      </c>
      <c r="I69" s="2260">
        <f>+SUM(H$36:H69)</f>
        <v>215.60833333333332</v>
      </c>
      <c r="L69"/>
      <c r="O69" s="144">
        <v>45108</v>
      </c>
      <c r="P69" s="844">
        <f>P68*(1+Q69)</f>
        <v>125.74080000000001</v>
      </c>
      <c r="Q69" s="59">
        <v>6.2E-2</v>
      </c>
    </row>
    <row r="70" spans="2:18" ht="15.75">
      <c r="B70" s="621">
        <v>23408</v>
      </c>
      <c r="C70" s="1225">
        <v>25.510999999999999</v>
      </c>
      <c r="D70" s="1430">
        <f t="shared" si="23"/>
        <v>24.120389760580402</v>
      </c>
      <c r="F70" s="2258">
        <f t="shared" si="21"/>
        <v>45992</v>
      </c>
      <c r="G70" s="2259">
        <f t="shared" si="19"/>
        <v>6.2700000000000006E-2</v>
      </c>
      <c r="H70" s="2260">
        <f t="shared" si="22"/>
        <v>5.2249999999999996</v>
      </c>
      <c r="I70" s="2260">
        <f>+SUM(H$36:H70)</f>
        <v>220.83333333333331</v>
      </c>
      <c r="L70"/>
      <c r="O70" s="144">
        <v>45474</v>
      </c>
      <c r="P70" s="844">
        <f t="shared" ref="P70:P86" si="24">P69*(1+Q70)</f>
        <v>132.02784000000003</v>
      </c>
      <c r="Q70" s="59">
        <v>0.05</v>
      </c>
    </row>
    <row r="71" spans="2:18" ht="15.75">
      <c r="B71" s="621">
        <v>23437</v>
      </c>
      <c r="C71" s="1225">
        <v>25.427</v>
      </c>
      <c r="D71" s="1430">
        <f t="shared" si="23"/>
        <v>24.040968619116398</v>
      </c>
      <c r="F71" s="2258">
        <f t="shared" si="21"/>
        <v>46023</v>
      </c>
      <c r="G71" s="2259">
        <f t="shared" si="19"/>
        <v>6.2700000000000006E-2</v>
      </c>
      <c r="H71" s="2260">
        <f t="shared" si="22"/>
        <v>5.2249999999999996</v>
      </c>
      <c r="I71" s="2260">
        <f>+SUM(H$36:H71)</f>
        <v>226.05833333333331</v>
      </c>
      <c r="L71"/>
      <c r="O71" s="144">
        <v>45839</v>
      </c>
      <c r="P71" s="844">
        <f t="shared" si="24"/>
        <v>137.30895360000002</v>
      </c>
      <c r="Q71" s="59">
        <v>0.04</v>
      </c>
    </row>
    <row r="72" spans="2:18" ht="15.75">
      <c r="B72" s="621">
        <v>23468</v>
      </c>
      <c r="C72" s="1225">
        <v>25.427</v>
      </c>
      <c r="D72" s="1430">
        <f t="shared" si="23"/>
        <v>24.040968619116398</v>
      </c>
      <c r="F72" s="2258">
        <f t="shared" si="21"/>
        <v>46054</v>
      </c>
      <c r="G72" s="2261"/>
      <c r="H72" s="2260">
        <f t="shared" si="22"/>
        <v>0</v>
      </c>
      <c r="I72" s="2260">
        <f>+SUM(H$36:H72)</f>
        <v>226.05833333333331</v>
      </c>
      <c r="L72"/>
      <c r="O72" s="144">
        <v>46204</v>
      </c>
      <c r="P72" s="844">
        <f t="shared" si="24"/>
        <v>141.42822220800002</v>
      </c>
      <c r="Q72" s="59">
        <v>0.03</v>
      </c>
    </row>
    <row r="73" spans="2:18" ht="15.75">
      <c r="B73" s="621">
        <v>23498</v>
      </c>
      <c r="C73" s="1225">
        <v>25.427</v>
      </c>
      <c r="D73" s="1430">
        <f t="shared" si="23"/>
        <v>24.040968619116398</v>
      </c>
      <c r="F73" s="2258">
        <f>DATE(YEAR(F72),MONTH(F72)+1,1)</f>
        <v>46082</v>
      </c>
      <c r="G73" s="2261"/>
      <c r="H73" s="2260">
        <f t="shared" si="22"/>
        <v>0</v>
      </c>
      <c r="I73" s="2260">
        <f>+SUM(H$36:H73)</f>
        <v>226.05833333333331</v>
      </c>
      <c r="L73"/>
      <c r="O73" s="144">
        <v>46569</v>
      </c>
      <c r="P73" s="844">
        <f t="shared" si="24"/>
        <v>144.96392776320002</v>
      </c>
      <c r="Q73" s="59">
        <v>2.5000000000000001E-2</v>
      </c>
    </row>
    <row r="74" spans="2:18" ht="15.75">
      <c r="B74" s="621">
        <v>23529</v>
      </c>
      <c r="C74" s="1225">
        <v>25.341999999999999</v>
      </c>
      <c r="D74" s="1430">
        <f t="shared" si="23"/>
        <v>23.960601987873002</v>
      </c>
      <c r="F74" s="2258">
        <f t="shared" si="21"/>
        <v>46113</v>
      </c>
      <c r="G74" s="2261"/>
      <c r="H74" s="2260">
        <f t="shared" si="22"/>
        <v>0</v>
      </c>
      <c r="I74" s="2260">
        <f>+SUM(H$36:H74)</f>
        <v>226.05833333333331</v>
      </c>
      <c r="L74"/>
      <c r="O74" s="144">
        <v>46935</v>
      </c>
      <c r="P74" s="844">
        <f t="shared" si="24"/>
        <v>148.15313417399042</v>
      </c>
      <c r="Q74" s="59">
        <v>2.1999999999999999E-2</v>
      </c>
    </row>
    <row r="75" spans="2:18" ht="15.75">
      <c r="B75" s="621">
        <v>23559</v>
      </c>
      <c r="C75" s="1225">
        <v>25.427</v>
      </c>
      <c r="D75" s="1430">
        <f t="shared" si="23"/>
        <v>24.040968619116398</v>
      </c>
      <c r="F75" s="2258">
        <f t="shared" si="21"/>
        <v>46143</v>
      </c>
      <c r="G75" s="2261"/>
      <c r="H75" s="2260">
        <f t="shared" si="22"/>
        <v>0</v>
      </c>
      <c r="I75" s="2260">
        <f>+SUM(H$36:H75)</f>
        <v>226.05833333333331</v>
      </c>
      <c r="L75"/>
      <c r="O75" s="144">
        <v>47300</v>
      </c>
      <c r="P75" s="844">
        <f t="shared" si="24"/>
        <v>151.11619685747024</v>
      </c>
      <c r="Q75" s="59">
        <v>0.02</v>
      </c>
    </row>
    <row r="76" spans="2:18" ht="15.75">
      <c r="B76" s="621">
        <v>23590</v>
      </c>
      <c r="C76" s="1225">
        <v>25.427</v>
      </c>
      <c r="D76" s="1430">
        <f t="shared" si="23"/>
        <v>24.040968619116398</v>
      </c>
      <c r="F76" s="2258">
        <f t="shared" si="21"/>
        <v>46174</v>
      </c>
      <c r="G76" s="2261"/>
      <c r="H76" s="2260">
        <f t="shared" si="22"/>
        <v>0</v>
      </c>
      <c r="I76" s="2260">
        <f>+SUM(H$36:H76)</f>
        <v>226.05833333333331</v>
      </c>
      <c r="L76"/>
      <c r="O76" s="144">
        <v>47665</v>
      </c>
      <c r="P76" s="844">
        <f t="shared" si="24"/>
        <v>154.13852079461964</v>
      </c>
      <c r="Q76" s="59">
        <v>0.02</v>
      </c>
    </row>
    <row r="77" spans="2:18" ht="15.75">
      <c r="B77" s="621">
        <v>23621</v>
      </c>
      <c r="C77" s="1225">
        <v>25.510999999999999</v>
      </c>
      <c r="D77" s="1430">
        <f t="shared" si="23"/>
        <v>24.120389760580402</v>
      </c>
      <c r="F77" s="2258">
        <f t="shared" si="21"/>
        <v>46204</v>
      </c>
      <c r="G77" s="2261"/>
      <c r="H77" s="2260">
        <f t="shared" si="22"/>
        <v>0</v>
      </c>
      <c r="I77" s="2260">
        <f>+SUM(H$36:H77)</f>
        <v>226.05833333333331</v>
      </c>
      <c r="L77"/>
      <c r="O77" s="144">
        <v>48030</v>
      </c>
      <c r="P77" s="844">
        <f t="shared" si="24"/>
        <v>157.22129121051202</v>
      </c>
      <c r="Q77" s="59">
        <v>0.02</v>
      </c>
    </row>
    <row r="78" spans="2:18" ht="15.75">
      <c r="B78" s="621">
        <v>23651</v>
      </c>
      <c r="C78" s="1225">
        <v>25.510999999999999</v>
      </c>
      <c r="D78" s="1430">
        <f t="shared" si="23"/>
        <v>24.120389760580402</v>
      </c>
      <c r="F78" s="2258">
        <f t="shared" si="21"/>
        <v>46235</v>
      </c>
      <c r="G78" s="2261"/>
      <c r="H78" s="2260">
        <f t="shared" si="22"/>
        <v>0</v>
      </c>
      <c r="I78" s="2260">
        <f>+SUM(H$36:H78)</f>
        <v>226.05833333333331</v>
      </c>
      <c r="L78"/>
      <c r="O78" s="144">
        <v>48396</v>
      </c>
      <c r="P78" s="844">
        <f t="shared" si="24"/>
        <v>160.36571703472225</v>
      </c>
      <c r="Q78" s="59">
        <v>0.02</v>
      </c>
    </row>
    <row r="79" spans="2:18" ht="15.75">
      <c r="B79" s="621">
        <v>23682</v>
      </c>
      <c r="C79" s="1225">
        <v>25.678999999999998</v>
      </c>
      <c r="D79" s="1430">
        <f t="shared" si="23"/>
        <v>24.279232043508401</v>
      </c>
      <c r="F79" s="2258">
        <f t="shared" si="21"/>
        <v>46266</v>
      </c>
      <c r="G79" s="2261"/>
      <c r="H79" s="2260">
        <f t="shared" si="22"/>
        <v>0</v>
      </c>
      <c r="I79" s="2260">
        <f>+SUM(H$36:H79)</f>
        <v>226.05833333333331</v>
      </c>
      <c r="L79"/>
      <c r="O79" s="144">
        <v>48761</v>
      </c>
      <c r="P79" s="844">
        <f t="shared" si="24"/>
        <v>163.57303137541669</v>
      </c>
      <c r="Q79" s="59">
        <v>0.02</v>
      </c>
    </row>
    <row r="80" spans="2:18" ht="15.75">
      <c r="B80" s="621">
        <v>23712</v>
      </c>
      <c r="C80" s="1225">
        <v>25.763000000000002</v>
      </c>
      <c r="D80" s="1430">
        <f t="shared" si="23"/>
        <v>24.3586531849724</v>
      </c>
      <c r="F80" s="2258">
        <f t="shared" si="21"/>
        <v>46296</v>
      </c>
      <c r="G80" s="2261"/>
      <c r="H80" s="2260">
        <f t="shared" si="22"/>
        <v>0</v>
      </c>
      <c r="I80" s="2260">
        <f>+SUM(H$36:H80)</f>
        <v>226.05833333333331</v>
      </c>
      <c r="L80"/>
      <c r="O80" s="144">
        <v>49126</v>
      </c>
      <c r="P80" s="844">
        <f t="shared" si="24"/>
        <v>166.84449200292502</v>
      </c>
      <c r="Q80" s="59">
        <v>0.02</v>
      </c>
      <c r="R80">
        <f>_xlfn.RRI(14,P67,P80)</f>
        <v>3.0136110093019308E-2</v>
      </c>
    </row>
    <row r="81" spans="2:21" ht="15.75">
      <c r="B81" s="621">
        <v>23743</v>
      </c>
      <c r="C81" s="1225">
        <v>25.931999999999999</v>
      </c>
      <c r="D81" s="1430">
        <f t="shared" si="23"/>
        <v>24.5184409576798</v>
      </c>
      <c r="F81" s="2258">
        <f t="shared" si="21"/>
        <v>46327</v>
      </c>
      <c r="G81" s="2261"/>
      <c r="H81" s="2260">
        <f t="shared" si="22"/>
        <v>0</v>
      </c>
      <c r="I81" s="2260">
        <f>+SUM(H$36:H81)</f>
        <v>226.05833333333331</v>
      </c>
      <c r="L81"/>
      <c r="O81" s="144">
        <v>49491</v>
      </c>
      <c r="P81" s="844">
        <f t="shared" si="24"/>
        <v>170.18138184298351</v>
      </c>
      <c r="Q81" s="59">
        <v>0.02</v>
      </c>
    </row>
    <row r="82" spans="2:21" ht="15.75">
      <c r="B82" s="621">
        <v>23774</v>
      </c>
      <c r="C82" s="1225">
        <v>26.015999999999998</v>
      </c>
      <c r="D82" s="1430">
        <f t="shared" si="23"/>
        <v>24.5978620991438</v>
      </c>
      <c r="F82" s="2258">
        <f t="shared" si="21"/>
        <v>46357</v>
      </c>
      <c r="G82" s="2261"/>
      <c r="H82" s="2260">
        <f t="shared" si="22"/>
        <v>0</v>
      </c>
      <c r="I82" s="2260">
        <f>+SUM(H$36:H82)</f>
        <v>226.05833333333331</v>
      </c>
      <c r="L82"/>
      <c r="O82" s="144">
        <v>49857</v>
      </c>
      <c r="P82" s="844">
        <f t="shared" si="24"/>
        <v>173.58500947984319</v>
      </c>
      <c r="Q82" s="59">
        <v>0.02</v>
      </c>
    </row>
    <row r="83" spans="2:21" ht="15.75">
      <c r="B83" s="621">
        <v>23802</v>
      </c>
      <c r="C83" s="1225">
        <v>25.931999999999999</v>
      </c>
      <c r="D83" s="1430">
        <f t="shared" si="23"/>
        <v>24.5184409576798</v>
      </c>
      <c r="F83" s="2258">
        <f>DATE(YEAR(F82),MONTH(F82)+1,1)</f>
        <v>46388</v>
      </c>
      <c r="G83" s="2261"/>
      <c r="H83" s="2260">
        <f t="shared" si="22"/>
        <v>0</v>
      </c>
      <c r="I83" s="2260">
        <f>+SUM(H$36:H83)</f>
        <v>226.05833333333331</v>
      </c>
      <c r="L83"/>
      <c r="O83" s="144">
        <v>50222</v>
      </c>
      <c r="P83" s="844">
        <f t="shared" si="24"/>
        <v>177.05670966944007</v>
      </c>
      <c r="Q83" s="59">
        <v>0.02</v>
      </c>
    </row>
    <row r="84" spans="2:21" ht="15.75">
      <c r="B84" s="621">
        <v>23833</v>
      </c>
      <c r="C84" s="1225">
        <v>26.1</v>
      </c>
      <c r="D84" s="1430">
        <f t="shared" si="23"/>
        <v>24.677283240607899</v>
      </c>
      <c r="F84" s="2258">
        <f t="shared" si="21"/>
        <v>46419</v>
      </c>
      <c r="G84" s="2261"/>
      <c r="H84" s="2260">
        <f t="shared" si="22"/>
        <v>0</v>
      </c>
      <c r="I84" s="2260">
        <f>+SUM(H$36:H84)</f>
        <v>226.05833333333331</v>
      </c>
      <c r="L84"/>
      <c r="O84" s="144">
        <v>50587</v>
      </c>
      <c r="P84" s="844">
        <f t="shared" si="24"/>
        <v>177.05670966944007</v>
      </c>
      <c r="Q84"/>
    </row>
    <row r="85" spans="2:21" ht="15.75">
      <c r="B85" s="621">
        <v>23863</v>
      </c>
      <c r="C85" s="1225">
        <v>26.184000000000001</v>
      </c>
      <c r="D85" s="1430">
        <f t="shared" si="23"/>
        <v>24.756704382071899</v>
      </c>
      <c r="F85" s="2258">
        <f t="shared" si="21"/>
        <v>46447</v>
      </c>
      <c r="G85" s="2261"/>
      <c r="H85" s="2260">
        <f t="shared" si="22"/>
        <v>0</v>
      </c>
      <c r="I85" s="2260">
        <f>+SUM(H$36:H85)</f>
        <v>226.05833333333331</v>
      </c>
      <c r="L85"/>
      <c r="O85" s="144">
        <v>50952</v>
      </c>
      <c r="P85" s="844">
        <f t="shared" si="24"/>
        <v>177.05670966944007</v>
      </c>
      <c r="Q85"/>
    </row>
    <row r="86" spans="2:21" ht="15.75">
      <c r="B86" s="621">
        <v>23894</v>
      </c>
      <c r="C86" s="1225">
        <v>26.268999999999998</v>
      </c>
      <c r="D86" s="1430">
        <f t="shared" si="23"/>
        <v>24.837071013315299</v>
      </c>
      <c r="F86" s="2258">
        <f t="shared" si="21"/>
        <v>46478</v>
      </c>
      <c r="G86" s="2261"/>
      <c r="H86" s="2260">
        <f t="shared" si="22"/>
        <v>0</v>
      </c>
      <c r="I86" s="2260">
        <f>+SUM(H$36:H86)</f>
        <v>226.05833333333331</v>
      </c>
      <c r="L86"/>
      <c r="O86" s="144">
        <v>51318</v>
      </c>
      <c r="P86" s="844">
        <f t="shared" si="24"/>
        <v>177.05670966944007</v>
      </c>
      <c r="Q86"/>
    </row>
    <row r="87" spans="2:21" ht="15.75">
      <c r="B87" s="621">
        <v>23924</v>
      </c>
      <c r="C87" s="1225">
        <v>26.437000000000001</v>
      </c>
      <c r="D87" s="1430">
        <f t="shared" si="23"/>
        <v>24.995913296243401</v>
      </c>
      <c r="F87" s="2258">
        <f t="shared" si="21"/>
        <v>46508</v>
      </c>
      <c r="G87" s="2261"/>
      <c r="H87" s="2260">
        <f t="shared" si="22"/>
        <v>0</v>
      </c>
      <c r="I87" s="2260">
        <f>+SUM(H$36:H87)</f>
        <v>226.05833333333331</v>
      </c>
      <c r="L87"/>
      <c r="S87" s="58">
        <v>44952</v>
      </c>
    </row>
    <row r="88" spans="2:21" ht="15.75">
      <c r="B88" s="621">
        <v>23955</v>
      </c>
      <c r="C88" s="1225">
        <v>26.353000000000002</v>
      </c>
      <c r="D88" s="1430">
        <f t="shared" si="23"/>
        <v>24.916492154779402</v>
      </c>
      <c r="F88" s="2258">
        <f t="shared" si="21"/>
        <v>46539</v>
      </c>
      <c r="G88" s="2261"/>
      <c r="H88" s="2260">
        <f t="shared" si="22"/>
        <v>0</v>
      </c>
      <c r="I88" s="2260">
        <f>+SUM(H$36:H88)</f>
        <v>226.05833333333331</v>
      </c>
      <c r="L88"/>
      <c r="S88" s="58">
        <v>45283</v>
      </c>
      <c r="T88" s="857">
        <f>+S88-S87</f>
        <v>331</v>
      </c>
      <c r="U88" s="58">
        <f>+DATE(YEAR(S88),1,DAY(S87)+T88/2)</f>
        <v>45117</v>
      </c>
    </row>
    <row r="89" spans="2:21" ht="15.75">
      <c r="B89" s="621">
        <v>23986</v>
      </c>
      <c r="C89" s="1225">
        <v>26.437000000000001</v>
      </c>
      <c r="D89" s="1430">
        <f t="shared" si="23"/>
        <v>24.995913296243401</v>
      </c>
      <c r="F89" s="2258">
        <f t="shared" si="21"/>
        <v>46569</v>
      </c>
      <c r="G89" s="2261"/>
      <c r="H89" s="2260">
        <f t="shared" si="22"/>
        <v>0</v>
      </c>
      <c r="I89" s="2260">
        <f>+SUM(H$36:H89)</f>
        <v>226.05833333333331</v>
      </c>
      <c r="L89"/>
    </row>
    <row r="90" spans="2:21" ht="15.75">
      <c r="B90" s="621">
        <v>24016</v>
      </c>
      <c r="C90" s="1225">
        <v>26.521000000000001</v>
      </c>
      <c r="D90" s="1430">
        <f t="shared" si="23"/>
        <v>25.075334437707401</v>
      </c>
      <c r="F90" s="2258">
        <f>DATE(YEAR(F89),MONTH(F89)+1,1)</f>
        <v>46600</v>
      </c>
      <c r="G90" s="2261"/>
      <c r="H90" s="2260">
        <f t="shared" si="22"/>
        <v>0</v>
      </c>
      <c r="I90" s="2260">
        <f>+SUM(H$36:H90)</f>
        <v>226.05833333333331</v>
      </c>
      <c r="L90"/>
    </row>
    <row r="91" spans="2:21" ht="15.75">
      <c r="B91" s="621">
        <v>24047</v>
      </c>
      <c r="C91" s="1225">
        <v>26.69</v>
      </c>
      <c r="D91" s="1430">
        <f t="shared" si="23"/>
        <v>25.235122210414801</v>
      </c>
      <c r="F91" s="2258">
        <f t="shared" si="21"/>
        <v>46631</v>
      </c>
      <c r="G91" s="2261"/>
      <c r="H91" s="2260">
        <f t="shared" si="22"/>
        <v>0</v>
      </c>
      <c r="I91" s="2260">
        <f>+SUM(H$36:H91)</f>
        <v>226.05833333333331</v>
      </c>
      <c r="L91"/>
    </row>
    <row r="92" spans="2:21" ht="15.75">
      <c r="B92" s="621">
        <v>24077</v>
      </c>
      <c r="C92" s="1225">
        <v>26.774000000000001</v>
      </c>
      <c r="D92" s="1430">
        <f t="shared" si="23"/>
        <v>25.3145433518788</v>
      </c>
      <c r="F92" s="2258">
        <f t="shared" si="21"/>
        <v>46661</v>
      </c>
      <c r="G92" s="2261"/>
      <c r="H92" s="2260">
        <f t="shared" si="22"/>
        <v>0</v>
      </c>
      <c r="I92" s="2260">
        <f>+SUM(H$36:H92)</f>
        <v>226.05833333333331</v>
      </c>
      <c r="L92"/>
    </row>
    <row r="93" spans="2:21" ht="15.75">
      <c r="B93" s="621">
        <v>24108</v>
      </c>
      <c r="C93" s="1225">
        <v>26.942</v>
      </c>
      <c r="D93" s="1430">
        <f t="shared" si="23"/>
        <v>25.4733856348068</v>
      </c>
      <c r="F93" s="2258">
        <f t="shared" si="21"/>
        <v>46692</v>
      </c>
      <c r="G93" s="2261"/>
      <c r="H93" s="2260">
        <f t="shared" si="22"/>
        <v>0</v>
      </c>
      <c r="I93" s="2260">
        <f>+SUM(H$36:H93)</f>
        <v>226.05833333333331</v>
      </c>
      <c r="L93"/>
    </row>
    <row r="94" spans="2:21" ht="15.75">
      <c r="B94" s="621">
        <v>24139</v>
      </c>
      <c r="C94" s="1225">
        <v>27.111000000000001</v>
      </c>
      <c r="D94" s="1430">
        <f t="shared" si="23"/>
        <v>25.633173407514199</v>
      </c>
      <c r="F94" s="2258">
        <f t="shared" si="21"/>
        <v>46722</v>
      </c>
      <c r="G94" s="2261"/>
      <c r="H94" s="2260">
        <f t="shared" si="22"/>
        <v>0</v>
      </c>
      <c r="I94" s="2260">
        <f>+SUM(H$36:H94)</f>
        <v>226.05833333333331</v>
      </c>
      <c r="L94"/>
    </row>
    <row r="95" spans="2:21" ht="15.75">
      <c r="B95" s="621">
        <v>24167</v>
      </c>
      <c r="C95" s="1225">
        <v>27.026</v>
      </c>
      <c r="D95" s="1430">
        <f t="shared" si="23"/>
        <v>25.552806776270799</v>
      </c>
      <c r="F95" s="2258">
        <f t="shared" si="21"/>
        <v>46753</v>
      </c>
      <c r="G95" s="143"/>
      <c r="H95" s="2260">
        <f t="shared" si="22"/>
        <v>0</v>
      </c>
      <c r="I95" s="2260">
        <f>+SUM(H$36:H95)</f>
        <v>226.05833333333331</v>
      </c>
      <c r="L95"/>
    </row>
    <row r="96" spans="2:21" ht="15.75">
      <c r="B96" s="621">
        <v>24198</v>
      </c>
      <c r="C96" s="1225">
        <v>27.279</v>
      </c>
      <c r="D96" s="1430">
        <f t="shared" si="23"/>
        <v>25.792015690442199</v>
      </c>
      <c r="F96" s="2258">
        <f t="shared" si="21"/>
        <v>46784</v>
      </c>
      <c r="G96" s="143"/>
      <c r="H96" s="2260">
        <f t="shared" si="22"/>
        <v>0</v>
      </c>
      <c r="I96" s="2260">
        <f>+SUM(H$36:H96)</f>
        <v>226.05833333333331</v>
      </c>
      <c r="L96"/>
    </row>
    <row r="97" spans="2:12" ht="15.75">
      <c r="B97" s="621">
        <v>24228</v>
      </c>
      <c r="C97" s="1225">
        <v>27.279</v>
      </c>
      <c r="D97" s="1430">
        <f t="shared" si="23"/>
        <v>25.792015690442199</v>
      </c>
      <c r="F97" s="2258">
        <f t="shared" si="21"/>
        <v>46813</v>
      </c>
      <c r="G97" s="143"/>
      <c r="H97" s="2260">
        <f t="shared" si="22"/>
        <v>0</v>
      </c>
      <c r="I97" s="2260">
        <f>+SUM(H$36:H97)</f>
        <v>226.05833333333331</v>
      </c>
      <c r="L97"/>
    </row>
    <row r="98" spans="2:12" ht="15.75">
      <c r="B98" s="621">
        <v>24259</v>
      </c>
      <c r="C98" s="1225">
        <v>27.195</v>
      </c>
      <c r="D98" s="1430">
        <f t="shared" si="23"/>
        <v>25.712594548978199</v>
      </c>
      <c r="F98" s="2258">
        <f t="shared" si="21"/>
        <v>46844</v>
      </c>
      <c r="G98" s="143"/>
      <c r="H98" s="2260">
        <f t="shared" si="22"/>
        <v>0</v>
      </c>
      <c r="I98" s="2260">
        <f>+SUM(H$36:H98)</f>
        <v>226.05833333333331</v>
      </c>
      <c r="L98"/>
    </row>
    <row r="99" spans="2:12" ht="15.75">
      <c r="B99" s="621">
        <v>24289</v>
      </c>
      <c r="C99" s="1225">
        <v>27.279</v>
      </c>
      <c r="D99" s="1430">
        <f t="shared" si="23"/>
        <v>25.792015690442199</v>
      </c>
      <c r="F99" s="2258">
        <f t="shared" si="21"/>
        <v>46874</v>
      </c>
      <c r="G99" s="143"/>
      <c r="H99" s="2260">
        <f t="shared" si="22"/>
        <v>0</v>
      </c>
      <c r="I99" s="2260">
        <f>+SUM(H$36:H99)</f>
        <v>226.05833333333331</v>
      </c>
      <c r="L99"/>
    </row>
    <row r="100" spans="2:12" ht="15.75">
      <c r="B100" s="621">
        <v>24320</v>
      </c>
      <c r="C100" s="1225">
        <v>27.279</v>
      </c>
      <c r="D100" s="1430">
        <f t="shared" si="23"/>
        <v>25.792015690442199</v>
      </c>
      <c r="L100"/>
    </row>
    <row r="101" spans="2:12" ht="15.75">
      <c r="B101" s="621">
        <v>24351</v>
      </c>
      <c r="C101" s="1225">
        <v>27.279</v>
      </c>
      <c r="D101" s="1430">
        <f t="shared" si="23"/>
        <v>25.792015690442199</v>
      </c>
      <c r="L101"/>
    </row>
    <row r="102" spans="2:12" ht="15.75">
      <c r="B102" s="621">
        <v>24381</v>
      </c>
      <c r="C102" s="1225">
        <v>27.363</v>
      </c>
      <c r="D102" s="1430">
        <f t="shared" si="23"/>
        <v>25.871436831906198</v>
      </c>
      <c r="L102"/>
    </row>
    <row r="103" spans="2:12" ht="15.75">
      <c r="B103" s="621">
        <v>24412</v>
      </c>
      <c r="C103" s="1225">
        <v>27.532</v>
      </c>
      <c r="D103" s="1430">
        <f t="shared" si="23"/>
        <v>26.031224604613602</v>
      </c>
      <c r="L103"/>
    </row>
    <row r="104" spans="2:12" ht="15.75">
      <c r="B104" s="621">
        <v>24442</v>
      </c>
      <c r="C104" s="1225">
        <v>27.532</v>
      </c>
      <c r="D104" s="1430">
        <f t="shared" si="23"/>
        <v>26.031224604613602</v>
      </c>
      <c r="L104"/>
    </row>
    <row r="105" spans="2:12" ht="15.75">
      <c r="B105" s="621">
        <v>24473</v>
      </c>
      <c r="C105" s="1225">
        <v>27.616</v>
      </c>
      <c r="D105" s="1430">
        <f t="shared" si="23"/>
        <v>26.110645746077601</v>
      </c>
      <c r="L105"/>
    </row>
    <row r="106" spans="2:12" ht="15.75">
      <c r="B106" s="621">
        <v>24504</v>
      </c>
      <c r="C106" s="1225">
        <v>27.7</v>
      </c>
      <c r="D106" s="1430">
        <f t="shared" si="23"/>
        <v>26.190066887541601</v>
      </c>
      <c r="L106"/>
    </row>
    <row r="107" spans="2:12" ht="15.75">
      <c r="B107" s="621">
        <v>24532</v>
      </c>
      <c r="C107" s="1225">
        <v>27.7</v>
      </c>
      <c r="D107" s="1430">
        <f t="shared" si="23"/>
        <v>26.190066887541601</v>
      </c>
      <c r="L107"/>
    </row>
    <row r="108" spans="2:12" ht="15.75">
      <c r="B108" s="621">
        <v>24563</v>
      </c>
      <c r="C108" s="1225">
        <v>27.7</v>
      </c>
      <c r="D108" s="1430">
        <f t="shared" si="23"/>
        <v>26.190066887541601</v>
      </c>
      <c r="L108"/>
    </row>
    <row r="109" spans="2:12" ht="15.75">
      <c r="B109" s="621">
        <v>24593</v>
      </c>
      <c r="C109" s="1225">
        <v>27.7</v>
      </c>
      <c r="D109" s="1430">
        <f t="shared" si="23"/>
        <v>26.190066887541601</v>
      </c>
      <c r="L109"/>
    </row>
    <row r="110" spans="2:12" ht="15.75">
      <c r="B110" s="621">
        <v>24624</v>
      </c>
      <c r="C110" s="1225">
        <v>27.7</v>
      </c>
      <c r="D110" s="1430">
        <f t="shared" si="23"/>
        <v>26.190066887541601</v>
      </c>
      <c r="L110"/>
    </row>
    <row r="111" spans="2:12" ht="15.75">
      <c r="B111" s="621">
        <v>24654</v>
      </c>
      <c r="C111" s="1225">
        <v>27.783999999999999</v>
      </c>
      <c r="D111" s="1430">
        <f t="shared" si="23"/>
        <v>26.269488029005601</v>
      </c>
      <c r="L111"/>
    </row>
    <row r="112" spans="2:12" ht="15.75">
      <c r="B112" s="621">
        <v>24685</v>
      </c>
      <c r="C112" s="1225">
        <v>27.7</v>
      </c>
      <c r="D112" s="1430">
        <f t="shared" si="23"/>
        <v>26.190066887541601</v>
      </c>
      <c r="L112"/>
    </row>
    <row r="113" spans="2:12" ht="15.75">
      <c r="B113" s="621">
        <v>24716</v>
      </c>
      <c r="C113" s="1225">
        <v>27.7</v>
      </c>
      <c r="D113" s="1430">
        <f t="shared" si="23"/>
        <v>26.190066887541601</v>
      </c>
      <c r="G113" s="1216"/>
      <c r="L113"/>
    </row>
    <row r="114" spans="2:12" ht="15.75">
      <c r="B114" s="621">
        <v>24746</v>
      </c>
      <c r="C114" s="1225">
        <v>27.7</v>
      </c>
      <c r="D114" s="1430">
        <f t="shared" si="23"/>
        <v>26.190066887541601</v>
      </c>
      <c r="L114"/>
    </row>
    <row r="115" spans="2:12" ht="15.75">
      <c r="B115" s="621">
        <v>24777</v>
      </c>
      <c r="C115" s="1225">
        <v>27.783999999999999</v>
      </c>
      <c r="D115" s="1430">
        <f t="shared" si="23"/>
        <v>26.269488029005601</v>
      </c>
      <c r="L115"/>
    </row>
    <row r="116" spans="2:12" ht="15.75">
      <c r="B116" s="621">
        <v>24807</v>
      </c>
      <c r="C116" s="1225">
        <v>27.7</v>
      </c>
      <c r="D116" s="1430">
        <f t="shared" si="23"/>
        <v>26.190066887541601</v>
      </c>
      <c r="L116"/>
    </row>
    <row r="117" spans="2:12" ht="15.75">
      <c r="B117" s="621">
        <v>24838</v>
      </c>
      <c r="C117" s="1225">
        <v>28.120999999999999</v>
      </c>
      <c r="D117" s="1430">
        <f t="shared" si="23"/>
        <v>26.588118084641099</v>
      </c>
      <c r="L117"/>
    </row>
    <row r="118" spans="2:12" ht="15.75">
      <c r="B118" s="621">
        <v>24869</v>
      </c>
      <c r="C118" s="1225">
        <v>28.204999999999998</v>
      </c>
      <c r="D118" s="1430">
        <f t="shared" si="23"/>
        <v>26.667539226105099</v>
      </c>
      <c r="L118"/>
    </row>
    <row r="119" spans="2:12" ht="15.75">
      <c r="B119" s="621">
        <v>24898</v>
      </c>
      <c r="C119" s="1225">
        <v>28.120999999999999</v>
      </c>
      <c r="D119" s="1430">
        <f t="shared" si="23"/>
        <v>26.588118084641099</v>
      </c>
      <c r="L119"/>
    </row>
    <row r="120" spans="2:12" ht="15.75">
      <c r="B120" s="621">
        <v>24929</v>
      </c>
      <c r="C120" s="1225">
        <v>28.120999999999999</v>
      </c>
      <c r="D120" s="1430">
        <f t="shared" si="23"/>
        <v>26.588118084641099</v>
      </c>
      <c r="L120"/>
    </row>
    <row r="121" spans="2:12" ht="15.75">
      <c r="B121" s="621">
        <v>24959</v>
      </c>
      <c r="C121" s="1225">
        <v>28.120999999999999</v>
      </c>
      <c r="D121" s="1430">
        <f t="shared" si="23"/>
        <v>26.588118084641099</v>
      </c>
      <c r="L121"/>
    </row>
    <row r="122" spans="2:12" ht="15.75">
      <c r="B122" s="621">
        <v>24990</v>
      </c>
      <c r="C122" s="1225">
        <v>28.120999999999999</v>
      </c>
      <c r="D122" s="1430">
        <f t="shared" si="23"/>
        <v>26.588118084641099</v>
      </c>
      <c r="L122"/>
    </row>
    <row r="123" spans="2:12" ht="15.75">
      <c r="B123" s="621">
        <v>25020</v>
      </c>
      <c r="C123" s="1225">
        <v>28.120999999999999</v>
      </c>
      <c r="D123" s="1430">
        <f t="shared" si="23"/>
        <v>26.588118084641099</v>
      </c>
      <c r="L123"/>
    </row>
    <row r="124" spans="2:12" ht="15.75">
      <c r="B124" s="621">
        <v>25051</v>
      </c>
      <c r="C124" s="1225">
        <v>28.120999999999999</v>
      </c>
      <c r="D124" s="1430">
        <f t="shared" si="23"/>
        <v>26.588118084641099</v>
      </c>
      <c r="L124"/>
    </row>
    <row r="125" spans="2:12" ht="15.75">
      <c r="B125" s="621">
        <v>25082</v>
      </c>
      <c r="C125" s="1225">
        <v>28.120999999999999</v>
      </c>
      <c r="D125" s="1430">
        <f t="shared" si="23"/>
        <v>26.588118084641099</v>
      </c>
      <c r="L125"/>
    </row>
    <row r="126" spans="2:12" ht="15.75">
      <c r="B126" s="621">
        <v>25112</v>
      </c>
      <c r="C126" s="1225">
        <v>28.120999999999999</v>
      </c>
      <c r="D126" s="1430">
        <f t="shared" si="23"/>
        <v>26.588118084641099</v>
      </c>
      <c r="L126"/>
    </row>
    <row r="127" spans="2:12" ht="15.75">
      <c r="B127" s="621">
        <v>25143</v>
      </c>
      <c r="C127" s="1225">
        <v>28.289000000000001</v>
      </c>
      <c r="D127" s="1430">
        <f t="shared" si="23"/>
        <v>26.746960367569201</v>
      </c>
      <c r="L127"/>
    </row>
    <row r="128" spans="2:12" ht="15.75">
      <c r="B128" s="621">
        <v>25173</v>
      </c>
      <c r="C128" s="1225">
        <v>28.289000000000001</v>
      </c>
      <c r="D128" s="1430">
        <f t="shared" si="23"/>
        <v>26.746960367569201</v>
      </c>
      <c r="L128"/>
    </row>
    <row r="129" spans="2:12" ht="15.75">
      <c r="B129" s="621">
        <v>25204</v>
      </c>
      <c r="C129" s="1225">
        <v>28.542000000000002</v>
      </c>
      <c r="D129" s="1430">
        <f t="shared" si="23"/>
        <v>26.986169281740601</v>
      </c>
      <c r="L129"/>
    </row>
    <row r="130" spans="2:12" ht="15.75">
      <c r="B130" s="621">
        <v>25235</v>
      </c>
      <c r="C130" s="1225">
        <v>28.71</v>
      </c>
      <c r="D130" s="1430">
        <f t="shared" si="23"/>
        <v>27.1450115646686</v>
      </c>
      <c r="L130"/>
    </row>
    <row r="131" spans="2:12" ht="15.75">
      <c r="B131" s="621">
        <v>25263</v>
      </c>
      <c r="C131" s="1225">
        <v>28.626000000000001</v>
      </c>
      <c r="D131" s="1430">
        <f t="shared" ref="D131:D194" si="25">ROUND(+D132*C131/C132,19)</f>
        <v>27.065590423204601</v>
      </c>
      <c r="L131"/>
    </row>
    <row r="132" spans="2:12" ht="15.75">
      <c r="B132" s="621">
        <v>25294</v>
      </c>
      <c r="C132" s="1225">
        <v>28.626000000000001</v>
      </c>
      <c r="D132" s="1430">
        <f t="shared" si="25"/>
        <v>27.065590423204601</v>
      </c>
      <c r="L132"/>
    </row>
    <row r="133" spans="2:12" ht="15.75">
      <c r="B133" s="621">
        <v>25324</v>
      </c>
      <c r="C133" s="1225">
        <v>28.626000000000001</v>
      </c>
      <c r="D133" s="1430">
        <f t="shared" si="25"/>
        <v>27.065590423204601</v>
      </c>
      <c r="L133"/>
    </row>
    <row r="134" spans="2:12" ht="15.75">
      <c r="B134" s="621">
        <v>25355</v>
      </c>
      <c r="C134" s="1225">
        <v>28.71</v>
      </c>
      <c r="D134" s="1430">
        <f t="shared" si="25"/>
        <v>27.1450115646686</v>
      </c>
      <c r="L134"/>
    </row>
    <row r="135" spans="2:12" ht="15.75">
      <c r="B135" s="621">
        <v>25385</v>
      </c>
      <c r="C135" s="1225">
        <v>28.71</v>
      </c>
      <c r="D135" s="1430">
        <f t="shared" si="25"/>
        <v>27.1450115646686</v>
      </c>
      <c r="L135"/>
    </row>
    <row r="136" spans="2:12" ht="15.75">
      <c r="B136" s="621">
        <v>25416</v>
      </c>
      <c r="C136" s="1225">
        <v>28.626000000000001</v>
      </c>
      <c r="D136" s="1430">
        <f t="shared" si="25"/>
        <v>27.065590423204601</v>
      </c>
      <c r="L136"/>
    </row>
    <row r="137" spans="2:12" ht="15.75">
      <c r="B137" s="621">
        <v>25447</v>
      </c>
      <c r="C137" s="1225">
        <v>28.71</v>
      </c>
      <c r="D137" s="1430">
        <f t="shared" si="25"/>
        <v>27.1450115646686</v>
      </c>
      <c r="L137"/>
    </row>
    <row r="138" spans="2:12" ht="15.75">
      <c r="B138" s="621">
        <v>25477</v>
      </c>
      <c r="C138" s="1225">
        <v>28.71</v>
      </c>
      <c r="D138" s="1430">
        <f t="shared" si="25"/>
        <v>27.1450115646686</v>
      </c>
      <c r="L138"/>
    </row>
    <row r="139" spans="2:12" ht="15.75">
      <c r="B139" s="621">
        <v>25508</v>
      </c>
      <c r="C139" s="1225">
        <v>28.879000000000001</v>
      </c>
      <c r="D139" s="1430">
        <f t="shared" si="25"/>
        <v>27.304799337376</v>
      </c>
      <c r="L139"/>
    </row>
    <row r="140" spans="2:12" ht="15.75">
      <c r="B140" s="621">
        <v>25538</v>
      </c>
      <c r="C140" s="1225">
        <v>28.879000000000001</v>
      </c>
      <c r="D140" s="1430">
        <f t="shared" si="25"/>
        <v>27.304799337376</v>
      </c>
      <c r="L140"/>
    </row>
    <row r="141" spans="2:12" ht="15.75">
      <c r="B141" s="621">
        <v>25569</v>
      </c>
      <c r="C141" s="1225">
        <v>29.3</v>
      </c>
      <c r="D141" s="1430">
        <f t="shared" si="25"/>
        <v>27.702850534475498</v>
      </c>
      <c r="L141"/>
    </row>
    <row r="142" spans="2:12" ht="15.75">
      <c r="B142" s="621">
        <v>25600</v>
      </c>
      <c r="C142" s="1225">
        <v>29.468</v>
      </c>
      <c r="D142" s="1430">
        <f t="shared" si="25"/>
        <v>27.861692817403501</v>
      </c>
      <c r="L142"/>
    </row>
    <row r="143" spans="2:12" ht="15.75">
      <c r="B143" s="621">
        <v>25628</v>
      </c>
      <c r="C143" s="1225">
        <v>29.468</v>
      </c>
      <c r="D143" s="1430">
        <f t="shared" si="25"/>
        <v>27.861692817403501</v>
      </c>
      <c r="L143"/>
    </row>
    <row r="144" spans="2:12" ht="15.75">
      <c r="B144" s="621">
        <v>25659</v>
      </c>
      <c r="C144" s="1225">
        <v>29.552</v>
      </c>
      <c r="D144" s="1430">
        <f t="shared" si="25"/>
        <v>27.941113958867501</v>
      </c>
      <c r="L144"/>
    </row>
    <row r="145" spans="2:12" ht="15.75">
      <c r="B145" s="621">
        <v>25689</v>
      </c>
      <c r="C145" s="1225">
        <v>29.552</v>
      </c>
      <c r="D145" s="1430">
        <f t="shared" si="25"/>
        <v>27.941113958867501</v>
      </c>
      <c r="L145"/>
    </row>
    <row r="146" spans="2:12" ht="15.75">
      <c r="B146" s="621">
        <v>25720</v>
      </c>
      <c r="C146" s="1225">
        <v>29.635999999999999</v>
      </c>
      <c r="D146" s="1430">
        <f t="shared" si="25"/>
        <v>28.0205351003315</v>
      </c>
      <c r="L146"/>
    </row>
    <row r="147" spans="2:12" ht="15.75">
      <c r="B147" s="621">
        <v>25750</v>
      </c>
      <c r="C147" s="1225">
        <v>29.721</v>
      </c>
      <c r="D147" s="1430">
        <f t="shared" si="25"/>
        <v>28.100901731574901</v>
      </c>
      <c r="L147"/>
    </row>
    <row r="148" spans="2:12" ht="15.75">
      <c r="B148" s="621">
        <v>25781</v>
      </c>
      <c r="C148" s="1225">
        <v>29.721</v>
      </c>
      <c r="D148" s="1430">
        <f t="shared" si="25"/>
        <v>28.100901731574901</v>
      </c>
      <c r="L148"/>
    </row>
    <row r="149" spans="2:12" ht="15.75">
      <c r="B149" s="621">
        <v>25812</v>
      </c>
      <c r="C149" s="1225">
        <v>29.721</v>
      </c>
      <c r="D149" s="1430">
        <f t="shared" si="25"/>
        <v>28.100901731574901</v>
      </c>
      <c r="L149"/>
    </row>
    <row r="150" spans="2:12" ht="15.75">
      <c r="B150" s="621">
        <v>25842</v>
      </c>
      <c r="C150" s="1225">
        <v>29.805</v>
      </c>
      <c r="D150" s="1430">
        <f t="shared" si="25"/>
        <v>28.1803228730389</v>
      </c>
      <c r="L150"/>
    </row>
    <row r="151" spans="2:12" ht="15.75">
      <c r="B151" s="621">
        <v>25873</v>
      </c>
      <c r="C151" s="1225">
        <v>29.972999999999999</v>
      </c>
      <c r="D151" s="1430">
        <f t="shared" si="25"/>
        <v>28.339165155966999</v>
      </c>
      <c r="L151"/>
    </row>
    <row r="152" spans="2:12" ht="15.75">
      <c r="B152" s="621">
        <v>25903</v>
      </c>
      <c r="C152" s="1225">
        <v>30.056999999999999</v>
      </c>
      <c r="D152" s="1430">
        <f t="shared" si="25"/>
        <v>28.418586297430998</v>
      </c>
      <c r="L152"/>
    </row>
    <row r="153" spans="2:12" ht="15.75">
      <c r="B153" s="621">
        <v>25934</v>
      </c>
      <c r="C153" s="1225">
        <v>30.478000000000002</v>
      </c>
      <c r="D153" s="1430">
        <f t="shared" si="25"/>
        <v>28.8166374945305</v>
      </c>
      <c r="L153"/>
    </row>
    <row r="154" spans="2:12" ht="15.75">
      <c r="B154" s="621">
        <v>25965</v>
      </c>
      <c r="C154" s="1225">
        <v>30.815000000000001</v>
      </c>
      <c r="D154" s="1430">
        <f t="shared" si="25"/>
        <v>29.135267550165899</v>
      </c>
      <c r="L154"/>
    </row>
    <row r="155" spans="2:12" ht="15.75">
      <c r="B155" s="621">
        <v>25993</v>
      </c>
      <c r="C155" s="1225">
        <v>30.899000000000001</v>
      </c>
      <c r="D155" s="1430">
        <f t="shared" si="25"/>
        <v>29.214688691629899</v>
      </c>
      <c r="L155"/>
    </row>
    <row r="156" spans="2:12" ht="15.75">
      <c r="B156" s="621">
        <v>26024</v>
      </c>
      <c r="C156" s="1225">
        <v>31.068000000000001</v>
      </c>
      <c r="D156" s="1430">
        <f t="shared" si="25"/>
        <v>29.374476464337299</v>
      </c>
      <c r="L156"/>
    </row>
    <row r="157" spans="2:12" ht="15.75">
      <c r="B157" s="621">
        <v>26054</v>
      </c>
      <c r="C157" s="1225">
        <v>31.068000000000001</v>
      </c>
      <c r="D157" s="1430">
        <f t="shared" si="25"/>
        <v>29.374476464337299</v>
      </c>
      <c r="L157"/>
    </row>
    <row r="158" spans="2:12" ht="15.75">
      <c r="B158" s="621">
        <v>26085</v>
      </c>
      <c r="C158" s="1225">
        <v>31.152000000000001</v>
      </c>
      <c r="D158" s="1430">
        <f t="shared" si="25"/>
        <v>29.453897605801298</v>
      </c>
      <c r="L158"/>
    </row>
    <row r="159" spans="2:12" ht="15.75">
      <c r="B159" s="621">
        <v>26115</v>
      </c>
      <c r="C159" s="1225">
        <v>31.32</v>
      </c>
      <c r="D159" s="1430">
        <f t="shared" si="25"/>
        <v>29.612739888729401</v>
      </c>
      <c r="L159"/>
    </row>
    <row r="160" spans="2:12" ht="15.75">
      <c r="B160" s="621">
        <v>26146</v>
      </c>
      <c r="C160" s="1225">
        <v>31.32</v>
      </c>
      <c r="D160" s="1430">
        <f t="shared" si="25"/>
        <v>29.612739888729401</v>
      </c>
      <c r="L160"/>
    </row>
    <row r="161" spans="2:12" ht="15.75">
      <c r="B161" s="621">
        <v>26177</v>
      </c>
      <c r="C161" s="1225">
        <v>31.489000000000001</v>
      </c>
      <c r="D161" s="1430">
        <f t="shared" si="25"/>
        <v>29.772527661436801</v>
      </c>
      <c r="L161"/>
    </row>
    <row r="162" spans="2:12" ht="15.75">
      <c r="B162" s="621">
        <v>26207</v>
      </c>
      <c r="C162" s="1225">
        <v>31.573</v>
      </c>
      <c r="D162" s="1430">
        <f t="shared" si="25"/>
        <v>29.8519488029008</v>
      </c>
      <c r="L162"/>
    </row>
    <row r="163" spans="2:12" ht="15.75">
      <c r="B163" s="621">
        <v>26238</v>
      </c>
      <c r="C163" s="1225">
        <v>31.741</v>
      </c>
      <c r="D163" s="1430">
        <f t="shared" si="25"/>
        <v>30.010791085828799</v>
      </c>
      <c r="L163"/>
    </row>
    <row r="164" spans="2:12" ht="15.75">
      <c r="B164" s="621">
        <v>26268</v>
      </c>
      <c r="C164" s="1225">
        <v>31.741</v>
      </c>
      <c r="D164" s="1430">
        <f t="shared" si="25"/>
        <v>30.010791085828799</v>
      </c>
      <c r="L164"/>
    </row>
    <row r="165" spans="2:12" ht="15.75">
      <c r="B165" s="621">
        <v>26299</v>
      </c>
      <c r="C165" s="1225">
        <v>32.161999999999999</v>
      </c>
      <c r="D165" s="1430">
        <f t="shared" si="25"/>
        <v>30.408842282928301</v>
      </c>
      <c r="L165"/>
    </row>
    <row r="166" spans="2:12" ht="15.75">
      <c r="B166" s="621">
        <v>26330</v>
      </c>
      <c r="C166" s="1225">
        <v>32.414999999999999</v>
      </c>
      <c r="D166" s="1430">
        <f t="shared" si="25"/>
        <v>30.648051197099701</v>
      </c>
      <c r="L166"/>
    </row>
    <row r="167" spans="2:12" ht="15.75">
      <c r="B167" s="621">
        <v>26359</v>
      </c>
      <c r="C167" s="1225">
        <v>32.414999999999999</v>
      </c>
      <c r="D167" s="1430">
        <f t="shared" si="25"/>
        <v>30.648051197099701</v>
      </c>
      <c r="L167"/>
    </row>
    <row r="168" spans="2:12" ht="15.75">
      <c r="B168" s="621">
        <v>26390</v>
      </c>
      <c r="C168" s="1225">
        <v>32.582999999999998</v>
      </c>
      <c r="D168" s="1430">
        <f t="shared" si="25"/>
        <v>30.806893480027799</v>
      </c>
      <c r="L168"/>
    </row>
    <row r="169" spans="2:12" ht="15.75">
      <c r="B169" s="621">
        <v>26420</v>
      </c>
      <c r="C169" s="1225">
        <v>32.582999999999998</v>
      </c>
      <c r="D169" s="1430">
        <f t="shared" si="25"/>
        <v>30.806893480027799</v>
      </c>
      <c r="L169"/>
    </row>
    <row r="170" spans="2:12" ht="15.75">
      <c r="B170" s="621">
        <v>26451</v>
      </c>
      <c r="C170" s="1225">
        <v>32.752000000000002</v>
      </c>
      <c r="D170" s="1430">
        <f t="shared" si="25"/>
        <v>30.966681252735199</v>
      </c>
      <c r="L170"/>
    </row>
    <row r="171" spans="2:12" ht="15.75">
      <c r="B171" s="621">
        <v>26481</v>
      </c>
      <c r="C171" s="1225">
        <v>33.003999999999998</v>
      </c>
      <c r="D171" s="1430">
        <f t="shared" si="25"/>
        <v>31.204944677127301</v>
      </c>
      <c r="L171"/>
    </row>
    <row r="172" spans="2:12" ht="15.75">
      <c r="B172" s="621">
        <v>26512</v>
      </c>
      <c r="C172" s="1225">
        <v>33.003999999999998</v>
      </c>
      <c r="D172" s="1430">
        <f t="shared" si="25"/>
        <v>31.204944677127301</v>
      </c>
      <c r="L172"/>
    </row>
    <row r="173" spans="2:12" ht="15.75">
      <c r="B173" s="621">
        <v>26543</v>
      </c>
      <c r="C173" s="1225">
        <v>33.424999999999997</v>
      </c>
      <c r="D173" s="1430">
        <f t="shared" si="25"/>
        <v>31.602995874226799</v>
      </c>
      <c r="L173"/>
    </row>
    <row r="174" spans="2:12" ht="15.75">
      <c r="B174" s="621">
        <v>26573</v>
      </c>
      <c r="C174" s="1225">
        <v>33.509</v>
      </c>
      <c r="D174" s="1430">
        <f t="shared" si="25"/>
        <v>31.682417015690799</v>
      </c>
      <c r="L174"/>
    </row>
    <row r="175" spans="2:12" ht="15.75">
      <c r="B175" s="621">
        <v>26604</v>
      </c>
      <c r="C175" s="1225">
        <v>33.677999999999997</v>
      </c>
      <c r="D175" s="1430">
        <f t="shared" si="25"/>
        <v>31.842204788398199</v>
      </c>
      <c r="L175"/>
    </row>
    <row r="176" spans="2:12" ht="15.75">
      <c r="B176" s="621">
        <v>26634</v>
      </c>
      <c r="C176" s="1225">
        <v>33.762</v>
      </c>
      <c r="D176" s="1430">
        <f t="shared" si="25"/>
        <v>31.921625929862198</v>
      </c>
      <c r="L176"/>
    </row>
    <row r="177" spans="2:12" ht="15.75">
      <c r="B177" s="621">
        <v>26665</v>
      </c>
      <c r="C177" s="1225">
        <v>34.183</v>
      </c>
      <c r="D177" s="1430">
        <f t="shared" si="25"/>
        <v>32.3196771269617</v>
      </c>
      <c r="L177"/>
    </row>
    <row r="178" spans="2:12" ht="15.75">
      <c r="B178" s="621">
        <v>26696</v>
      </c>
      <c r="C178" s="1225">
        <v>34.520000000000003</v>
      </c>
      <c r="D178" s="1430">
        <f t="shared" si="25"/>
        <v>32.638307182597103</v>
      </c>
      <c r="L178"/>
    </row>
    <row r="179" spans="2:12" ht="15.75">
      <c r="B179" s="621">
        <v>26724</v>
      </c>
      <c r="C179" s="1225">
        <v>34.603999999999999</v>
      </c>
      <c r="D179" s="1430">
        <f t="shared" si="25"/>
        <v>32.717728324061099</v>
      </c>
      <c r="L179"/>
    </row>
    <row r="180" spans="2:12" ht="15.75">
      <c r="B180" s="621">
        <v>26755</v>
      </c>
      <c r="C180" s="1225">
        <v>34.856000000000002</v>
      </c>
      <c r="D180" s="1430">
        <f t="shared" si="25"/>
        <v>32.955991748453201</v>
      </c>
      <c r="L180"/>
    </row>
    <row r="181" spans="2:12" ht="15.75">
      <c r="B181" s="621">
        <v>26785</v>
      </c>
      <c r="C181" s="1225">
        <v>35.024999999999999</v>
      </c>
      <c r="D181" s="1430">
        <f t="shared" si="25"/>
        <v>33.115779521160597</v>
      </c>
      <c r="L181"/>
    </row>
    <row r="182" spans="2:12" ht="15.75">
      <c r="B182" s="621">
        <v>26816</v>
      </c>
      <c r="C182" s="1225">
        <v>35.192999999999998</v>
      </c>
      <c r="D182" s="1430">
        <f t="shared" si="25"/>
        <v>33.274621804088703</v>
      </c>
      <c r="L182"/>
    </row>
    <row r="183" spans="2:12" ht="15.75">
      <c r="B183" s="621">
        <v>26846</v>
      </c>
      <c r="C183" s="1225">
        <v>35.362000000000002</v>
      </c>
      <c r="D183" s="1430">
        <f t="shared" si="25"/>
        <v>33.434409576796099</v>
      </c>
      <c r="L183"/>
    </row>
    <row r="184" spans="2:12" ht="15.75">
      <c r="B184" s="621">
        <v>26877</v>
      </c>
      <c r="C184" s="1225">
        <v>35.362000000000002</v>
      </c>
      <c r="D184" s="1430">
        <f t="shared" si="25"/>
        <v>33.434409576796099</v>
      </c>
      <c r="L184"/>
    </row>
    <row r="185" spans="2:12" ht="15.75">
      <c r="B185" s="621">
        <v>26908</v>
      </c>
      <c r="C185" s="1225">
        <v>35.445999999999998</v>
      </c>
      <c r="D185" s="1430">
        <f t="shared" si="25"/>
        <v>33.513830718260103</v>
      </c>
      <c r="L185"/>
    </row>
    <row r="186" spans="2:12" ht="15.75">
      <c r="B186" s="621">
        <v>26938</v>
      </c>
      <c r="C186" s="1225">
        <v>35.698</v>
      </c>
      <c r="D186" s="1430">
        <f t="shared" si="25"/>
        <v>33.752094142652197</v>
      </c>
      <c r="L186"/>
    </row>
    <row r="187" spans="2:12" ht="15.75">
      <c r="B187" s="621">
        <v>26969</v>
      </c>
      <c r="C187" s="1225">
        <v>36.204000000000001</v>
      </c>
      <c r="D187" s="1430">
        <f t="shared" si="25"/>
        <v>34.230511970995003</v>
      </c>
      <c r="L187"/>
    </row>
    <row r="188" spans="2:12" ht="15.75">
      <c r="B188" s="621">
        <v>26999</v>
      </c>
      <c r="C188" s="1225">
        <v>36.372</v>
      </c>
      <c r="D188" s="1430">
        <f t="shared" si="25"/>
        <v>34.389354253923003</v>
      </c>
      <c r="L188"/>
    </row>
    <row r="189" spans="2:12" ht="15.75">
      <c r="B189" s="621">
        <v>27030</v>
      </c>
      <c r="C189" s="1225">
        <v>36.709000000000003</v>
      </c>
      <c r="D189" s="1430">
        <f t="shared" si="25"/>
        <v>34.707984309558398</v>
      </c>
      <c r="L189"/>
    </row>
    <row r="190" spans="2:12" ht="15.75">
      <c r="B190" s="621">
        <v>27061</v>
      </c>
      <c r="C190" s="1225">
        <v>37.130000000000003</v>
      </c>
      <c r="D190" s="1430">
        <f t="shared" si="25"/>
        <v>35.106035506657904</v>
      </c>
      <c r="L190"/>
    </row>
    <row r="191" spans="2:12" ht="15.75">
      <c r="B191" s="621">
        <v>27089</v>
      </c>
      <c r="C191" s="1225">
        <v>37.130000000000003</v>
      </c>
      <c r="D191" s="1430">
        <f t="shared" si="25"/>
        <v>35.106035506657904</v>
      </c>
      <c r="L191"/>
    </row>
    <row r="192" spans="2:12" ht="15.75">
      <c r="B192" s="621">
        <v>27120</v>
      </c>
      <c r="C192" s="1225">
        <v>37.298000000000002</v>
      </c>
      <c r="D192" s="1430">
        <f t="shared" si="25"/>
        <v>35.264877789586002</v>
      </c>
      <c r="L192"/>
    </row>
    <row r="193" spans="2:12" ht="15.75">
      <c r="B193" s="621">
        <v>27150</v>
      </c>
      <c r="C193" s="1225">
        <v>37.551000000000002</v>
      </c>
      <c r="D193" s="1430">
        <f t="shared" si="25"/>
        <v>35.504086703757402</v>
      </c>
      <c r="L193"/>
    </row>
    <row r="194" spans="2:12" ht="15.75">
      <c r="B194" s="621">
        <v>27181</v>
      </c>
      <c r="C194" s="1225">
        <v>37.634999999999998</v>
      </c>
      <c r="D194" s="1430">
        <f t="shared" si="25"/>
        <v>35.583507845221398</v>
      </c>
      <c r="L194"/>
    </row>
    <row r="195" spans="2:12" ht="15.75">
      <c r="B195" s="621">
        <v>27211</v>
      </c>
      <c r="C195" s="1225">
        <v>37.802999999999997</v>
      </c>
      <c r="D195" s="1430">
        <f t="shared" ref="D195:D258" si="26">ROUND(+D196*C195/C196,19)</f>
        <v>35.742350128149504</v>
      </c>
      <c r="L195"/>
    </row>
    <row r="196" spans="2:12" ht="15.75">
      <c r="B196" s="621">
        <v>27242</v>
      </c>
      <c r="C196" s="1225">
        <v>37.887</v>
      </c>
      <c r="D196" s="1430">
        <f t="shared" si="26"/>
        <v>35.8217712696135</v>
      </c>
      <c r="L196"/>
    </row>
    <row r="197" spans="2:12" ht="15.75">
      <c r="B197" s="621">
        <v>27273</v>
      </c>
      <c r="C197" s="1225">
        <v>38.055999999999997</v>
      </c>
      <c r="D197" s="1430">
        <f t="shared" si="26"/>
        <v>35.981559042320903</v>
      </c>
      <c r="L197"/>
    </row>
    <row r="198" spans="2:12" ht="15.75">
      <c r="B198" s="621">
        <v>27303</v>
      </c>
      <c r="C198" s="1225">
        <v>38.223999999999997</v>
      </c>
      <c r="D198" s="1430">
        <f t="shared" si="26"/>
        <v>36.140401325248902</v>
      </c>
      <c r="L198"/>
    </row>
    <row r="199" spans="2:12" ht="15.75">
      <c r="B199" s="621">
        <v>27334</v>
      </c>
      <c r="C199" s="1225">
        <v>38.561</v>
      </c>
      <c r="D199" s="1430">
        <f t="shared" si="26"/>
        <v>36.459031380884298</v>
      </c>
      <c r="L199"/>
    </row>
    <row r="200" spans="2:12" ht="15.75">
      <c r="B200" s="621">
        <v>27364</v>
      </c>
      <c r="C200" s="1225">
        <v>38.561</v>
      </c>
      <c r="D200" s="1430">
        <f t="shared" si="26"/>
        <v>36.459031380884298</v>
      </c>
      <c r="L200"/>
    </row>
    <row r="201" spans="2:12" ht="15.75">
      <c r="B201" s="621">
        <v>27395</v>
      </c>
      <c r="C201" s="1225">
        <v>38.981999999999999</v>
      </c>
      <c r="D201" s="1430">
        <f t="shared" si="26"/>
        <v>36.857082577983803</v>
      </c>
      <c r="L201"/>
    </row>
    <row r="202" spans="2:12" ht="15.75">
      <c r="B202" s="621">
        <v>27426</v>
      </c>
      <c r="C202" s="1225">
        <v>39.234999999999999</v>
      </c>
      <c r="D202" s="1430">
        <f t="shared" si="26"/>
        <v>37.096291492155203</v>
      </c>
      <c r="L202"/>
    </row>
    <row r="203" spans="2:12" ht="15.75">
      <c r="B203" s="621">
        <v>27454</v>
      </c>
      <c r="C203" s="1225">
        <v>39.319000000000003</v>
      </c>
      <c r="D203" s="1430">
        <f t="shared" si="26"/>
        <v>37.175712633619199</v>
      </c>
      <c r="L203"/>
    </row>
    <row r="204" spans="2:12" ht="15.75">
      <c r="B204" s="621">
        <v>27485</v>
      </c>
      <c r="C204" s="1225">
        <v>39.570999999999998</v>
      </c>
      <c r="D204" s="1430">
        <f t="shared" si="26"/>
        <v>37.413976058011301</v>
      </c>
      <c r="L204"/>
    </row>
    <row r="205" spans="2:12" ht="15.75">
      <c r="B205" s="621">
        <v>27515</v>
      </c>
      <c r="C205" s="1225">
        <v>39.823999999999998</v>
      </c>
      <c r="D205" s="1430">
        <f t="shared" si="26"/>
        <v>37.6531849721827</v>
      </c>
      <c r="L205"/>
    </row>
    <row r="206" spans="2:12" ht="15.75">
      <c r="B206" s="621">
        <v>27546</v>
      </c>
      <c r="C206" s="1225">
        <v>40.076999999999998</v>
      </c>
      <c r="D206" s="1430">
        <f t="shared" si="26"/>
        <v>37.8923938863541</v>
      </c>
      <c r="L206"/>
    </row>
    <row r="207" spans="2:12" ht="15.75">
      <c r="B207" s="621">
        <v>27576</v>
      </c>
      <c r="C207" s="1225">
        <v>40.161000000000001</v>
      </c>
      <c r="D207" s="1430">
        <f t="shared" si="26"/>
        <v>37.971815027818103</v>
      </c>
      <c r="L207"/>
    </row>
    <row r="208" spans="2:12" ht="15.75">
      <c r="B208" s="621">
        <v>27607</v>
      </c>
      <c r="C208" s="1225">
        <v>40.076999999999998</v>
      </c>
      <c r="D208" s="1430">
        <f t="shared" si="26"/>
        <v>37.8923938863541</v>
      </c>
      <c r="L208"/>
    </row>
    <row r="209" spans="2:12" ht="15.75">
      <c r="B209" s="621">
        <v>27638</v>
      </c>
      <c r="C209" s="1225">
        <v>40.412999999999997</v>
      </c>
      <c r="D209" s="1430">
        <f t="shared" si="26"/>
        <v>38.210078452210197</v>
      </c>
      <c r="L209"/>
    </row>
    <row r="210" spans="2:12" ht="15.75">
      <c r="B210" s="621">
        <v>27668</v>
      </c>
      <c r="C210" s="1225">
        <v>40.412999999999997</v>
      </c>
      <c r="D210" s="1430">
        <f t="shared" si="26"/>
        <v>38.210078452210197</v>
      </c>
      <c r="L210"/>
    </row>
    <row r="211" spans="2:12" ht="15.75">
      <c r="B211" s="621">
        <v>27699</v>
      </c>
      <c r="C211" s="1225">
        <v>40.582000000000001</v>
      </c>
      <c r="D211" s="1430">
        <f t="shared" si="26"/>
        <v>38.369866224917601</v>
      </c>
      <c r="L211"/>
    </row>
    <row r="212" spans="2:12" ht="15.75">
      <c r="B212" s="621">
        <v>27729</v>
      </c>
      <c r="C212" s="1225">
        <v>40.582000000000001</v>
      </c>
      <c r="D212" s="1430">
        <f t="shared" si="26"/>
        <v>38.369866224917601</v>
      </c>
      <c r="L212"/>
    </row>
    <row r="213" spans="2:12" ht="15.75">
      <c r="B213" s="621">
        <v>27760</v>
      </c>
      <c r="C213" s="1225">
        <v>41.003</v>
      </c>
      <c r="D213" s="1430">
        <f t="shared" si="26"/>
        <v>38.767917422017099</v>
      </c>
      <c r="L213"/>
    </row>
    <row r="214" spans="2:12" ht="15.75">
      <c r="B214" s="621">
        <v>27791</v>
      </c>
      <c r="C214" s="1225">
        <v>41.338999999999999</v>
      </c>
      <c r="D214" s="1430">
        <f t="shared" si="26"/>
        <v>39.085601987873197</v>
      </c>
      <c r="L214"/>
    </row>
    <row r="215" spans="2:12" ht="15.75">
      <c r="B215" s="621">
        <v>27820</v>
      </c>
      <c r="C215" s="1225">
        <v>41.338999999999999</v>
      </c>
      <c r="D215" s="1430">
        <f t="shared" si="26"/>
        <v>39.085601987873197</v>
      </c>
      <c r="L215"/>
    </row>
    <row r="216" spans="2:12" ht="15.75">
      <c r="B216" s="621">
        <v>27851</v>
      </c>
      <c r="C216" s="1225">
        <v>41.508000000000003</v>
      </c>
      <c r="D216" s="1430">
        <f t="shared" si="26"/>
        <v>39.245389760580601</v>
      </c>
      <c r="L216"/>
    </row>
    <row r="217" spans="2:12" ht="15.75">
      <c r="B217" s="621">
        <v>27881</v>
      </c>
      <c r="C217" s="1225">
        <v>41.591999999999999</v>
      </c>
      <c r="D217" s="1430">
        <f t="shared" si="26"/>
        <v>39.324810902044597</v>
      </c>
      <c r="L217"/>
    </row>
    <row r="218" spans="2:12" ht="15.75">
      <c r="B218" s="621">
        <v>27912</v>
      </c>
      <c r="C218" s="1225">
        <v>41.676000000000002</v>
      </c>
      <c r="D218" s="1430">
        <f t="shared" si="26"/>
        <v>39.4042320435086</v>
      </c>
      <c r="L218"/>
    </row>
    <row r="219" spans="2:12" ht="15.75">
      <c r="B219" s="621">
        <v>27942</v>
      </c>
      <c r="C219" s="1225">
        <v>41.676000000000002</v>
      </c>
      <c r="D219" s="1430">
        <f t="shared" si="26"/>
        <v>39.4042320435086</v>
      </c>
      <c r="L219"/>
    </row>
    <row r="220" spans="2:12" ht="15.75">
      <c r="B220" s="621">
        <v>27973</v>
      </c>
      <c r="C220" s="1225">
        <v>41.76</v>
      </c>
      <c r="D220" s="1430">
        <f t="shared" si="26"/>
        <v>39.483653184972603</v>
      </c>
      <c r="L220"/>
    </row>
    <row r="221" spans="2:12" ht="15.75">
      <c r="B221" s="621">
        <v>28004</v>
      </c>
      <c r="C221" s="1225">
        <v>41.844999999999999</v>
      </c>
      <c r="D221" s="1430">
        <f t="shared" si="26"/>
        <v>39.564019816216003</v>
      </c>
      <c r="L221"/>
    </row>
    <row r="222" spans="2:12" ht="15.75">
      <c r="B222" s="621">
        <v>28034</v>
      </c>
      <c r="C222" s="1225">
        <v>41.929000000000002</v>
      </c>
      <c r="D222" s="1430">
        <f t="shared" si="26"/>
        <v>39.643440957679999</v>
      </c>
      <c r="L222"/>
    </row>
    <row r="223" spans="2:12" ht="15.75">
      <c r="B223" s="621">
        <v>28065</v>
      </c>
      <c r="C223" s="1225">
        <v>42.097000000000001</v>
      </c>
      <c r="D223" s="1430">
        <f t="shared" si="26"/>
        <v>39.802283240608098</v>
      </c>
      <c r="L223"/>
    </row>
    <row r="224" spans="2:12" ht="15.75">
      <c r="B224" s="621">
        <v>28095</v>
      </c>
      <c r="C224" s="1225">
        <v>42.097000000000001</v>
      </c>
      <c r="D224" s="1430">
        <f t="shared" si="26"/>
        <v>39.802283240608098</v>
      </c>
      <c r="L224"/>
    </row>
    <row r="225" spans="2:12" ht="15.75">
      <c r="B225" s="621">
        <v>28126</v>
      </c>
      <c r="C225" s="1225">
        <v>42.601999999999997</v>
      </c>
      <c r="D225" s="1430">
        <f t="shared" si="26"/>
        <v>40.279755579171599</v>
      </c>
      <c r="L225"/>
    </row>
    <row r="226" spans="2:12" ht="15.75">
      <c r="B226" s="621">
        <v>28157</v>
      </c>
      <c r="C226" s="1225">
        <v>42.854999999999997</v>
      </c>
      <c r="D226" s="1430">
        <f t="shared" si="26"/>
        <v>40.518964493342999</v>
      </c>
      <c r="L226"/>
    </row>
    <row r="227" spans="2:12" ht="15.75">
      <c r="B227" s="621">
        <v>28185</v>
      </c>
      <c r="C227" s="1225">
        <v>42.854999999999997</v>
      </c>
      <c r="D227" s="1430">
        <f t="shared" si="26"/>
        <v>40.518964493342999</v>
      </c>
      <c r="L227"/>
    </row>
    <row r="228" spans="2:12" ht="15.75">
      <c r="B228" s="621">
        <v>28216</v>
      </c>
      <c r="C228" s="1225">
        <v>43.023000000000003</v>
      </c>
      <c r="D228" s="1430">
        <f t="shared" si="26"/>
        <v>40.677806776271098</v>
      </c>
      <c r="L228"/>
    </row>
    <row r="229" spans="2:12" ht="15.75">
      <c r="B229" s="621">
        <v>28246</v>
      </c>
      <c r="C229" s="1225">
        <v>43.192</v>
      </c>
      <c r="D229" s="1430">
        <f t="shared" si="26"/>
        <v>40.837594548978501</v>
      </c>
      <c r="L229"/>
    </row>
    <row r="230" spans="2:12" ht="15.75">
      <c r="B230" s="621">
        <v>28277</v>
      </c>
      <c r="C230" s="1225">
        <v>43.276000000000003</v>
      </c>
      <c r="D230" s="1430">
        <f t="shared" si="26"/>
        <v>40.917015690442497</v>
      </c>
      <c r="L230"/>
    </row>
    <row r="231" spans="2:12" ht="15.75">
      <c r="B231" s="621">
        <v>28307</v>
      </c>
      <c r="C231" s="1225">
        <v>43.276000000000003</v>
      </c>
      <c r="D231" s="1430">
        <f t="shared" si="26"/>
        <v>40.917015690442497</v>
      </c>
      <c r="L231"/>
    </row>
    <row r="232" spans="2:12" ht="15.75">
      <c r="B232" s="621">
        <v>28338</v>
      </c>
      <c r="C232" s="1225">
        <v>43.36</v>
      </c>
      <c r="D232" s="1430">
        <f t="shared" si="26"/>
        <v>40.9964368319065</v>
      </c>
      <c r="L232"/>
    </row>
    <row r="233" spans="2:12" ht="15.75">
      <c r="B233" s="621">
        <v>28369</v>
      </c>
      <c r="C233" s="1225">
        <v>43.444000000000003</v>
      </c>
      <c r="D233" s="1430">
        <f t="shared" si="26"/>
        <v>41.075857973370503</v>
      </c>
      <c r="L233"/>
    </row>
    <row r="234" spans="2:12" ht="15.75">
      <c r="B234" s="621">
        <v>28399</v>
      </c>
      <c r="C234" s="1225">
        <v>43.444000000000003</v>
      </c>
      <c r="D234" s="1430">
        <f t="shared" si="26"/>
        <v>41.075857973370503</v>
      </c>
      <c r="L234"/>
    </row>
    <row r="235" spans="2:12" ht="15.75">
      <c r="B235" s="621">
        <v>28430</v>
      </c>
      <c r="C235" s="1225">
        <v>43.613</v>
      </c>
      <c r="D235" s="1430">
        <f t="shared" si="26"/>
        <v>41.2356457460779</v>
      </c>
      <c r="L235"/>
    </row>
    <row r="236" spans="2:12" ht="15.75">
      <c r="B236" s="621">
        <v>28460</v>
      </c>
      <c r="C236" s="1225">
        <v>43.613</v>
      </c>
      <c r="D236" s="1430">
        <f t="shared" si="26"/>
        <v>41.2356457460779</v>
      </c>
      <c r="L236"/>
    </row>
    <row r="237" spans="2:12" ht="15.75">
      <c r="B237" s="621">
        <v>28491</v>
      </c>
      <c r="C237" s="1225">
        <v>43.865000000000002</v>
      </c>
      <c r="D237" s="1430">
        <f t="shared" si="26"/>
        <v>41.473909170470002</v>
      </c>
      <c r="L237"/>
    </row>
    <row r="238" spans="2:12" ht="15.75">
      <c r="B238" s="621">
        <v>28522</v>
      </c>
      <c r="C238" s="1225">
        <v>44.118000000000002</v>
      </c>
      <c r="D238" s="1430">
        <f t="shared" si="26"/>
        <v>41.713118084641401</v>
      </c>
      <c r="L238"/>
    </row>
    <row r="239" spans="2:12" ht="15.75">
      <c r="B239" s="621">
        <v>28550</v>
      </c>
      <c r="C239" s="1225">
        <v>44.118000000000002</v>
      </c>
      <c r="D239" s="1430">
        <f t="shared" si="26"/>
        <v>41.713118084641401</v>
      </c>
      <c r="L239"/>
    </row>
    <row r="240" spans="2:12" ht="15.75">
      <c r="B240" s="621">
        <v>28581</v>
      </c>
      <c r="C240" s="1225">
        <v>44.286000000000001</v>
      </c>
      <c r="D240" s="1430">
        <f t="shared" si="26"/>
        <v>41.8719603675694</v>
      </c>
      <c r="L240"/>
    </row>
    <row r="241" spans="2:12" ht="15.75">
      <c r="B241" s="621">
        <v>28611</v>
      </c>
      <c r="C241" s="1225">
        <v>44.37</v>
      </c>
      <c r="D241" s="1430">
        <f t="shared" si="26"/>
        <v>41.951381509033403</v>
      </c>
      <c r="L241"/>
    </row>
    <row r="242" spans="2:12" ht="15.75">
      <c r="B242" s="621">
        <v>28642</v>
      </c>
      <c r="C242" s="1225">
        <v>44.454999999999998</v>
      </c>
      <c r="D242" s="1430">
        <f t="shared" si="26"/>
        <v>42.031748140276797</v>
      </c>
      <c r="L242"/>
    </row>
    <row r="243" spans="2:12" ht="15.75">
      <c r="B243" s="621">
        <v>28672</v>
      </c>
      <c r="C243" s="1225">
        <v>44.454999999999998</v>
      </c>
      <c r="D243" s="1430">
        <f t="shared" si="26"/>
        <v>42.031748140276797</v>
      </c>
      <c r="L243"/>
    </row>
    <row r="244" spans="2:12" ht="15.75">
      <c r="B244" s="621">
        <v>28703</v>
      </c>
      <c r="C244" s="1225">
        <v>44.37</v>
      </c>
      <c r="D244" s="1430">
        <f t="shared" si="26"/>
        <v>41.951381509033403</v>
      </c>
      <c r="L244"/>
    </row>
    <row r="245" spans="2:12" ht="15.75">
      <c r="B245" s="621">
        <v>28734</v>
      </c>
      <c r="C245" s="1225">
        <v>44.454999999999998</v>
      </c>
      <c r="D245" s="1430">
        <f t="shared" si="26"/>
        <v>42.031748140276797</v>
      </c>
      <c r="L245"/>
    </row>
    <row r="246" spans="2:12" ht="15.75">
      <c r="B246" s="621">
        <v>28764</v>
      </c>
      <c r="C246" s="1225">
        <v>44.454999999999998</v>
      </c>
      <c r="D246" s="1430">
        <f t="shared" si="26"/>
        <v>42.031748140276797</v>
      </c>
      <c r="L246"/>
    </row>
    <row r="247" spans="2:12" ht="15.75">
      <c r="B247" s="621">
        <v>28795</v>
      </c>
      <c r="C247" s="1225">
        <v>44.622999999999998</v>
      </c>
      <c r="D247" s="1430">
        <f t="shared" si="26"/>
        <v>42.190590423204803</v>
      </c>
      <c r="L247"/>
    </row>
    <row r="248" spans="2:12" ht="15.75">
      <c r="B248" s="621">
        <v>28825</v>
      </c>
      <c r="C248" s="1225">
        <v>44.707000000000001</v>
      </c>
      <c r="D248" s="1430">
        <f t="shared" si="26"/>
        <v>42.270011564668799</v>
      </c>
      <c r="L248"/>
    </row>
    <row r="249" spans="2:12" ht="15.75">
      <c r="B249" s="621">
        <v>28856</v>
      </c>
      <c r="C249" s="1225">
        <v>45.128</v>
      </c>
      <c r="D249" s="1430">
        <f t="shared" si="26"/>
        <v>42.668062761768297</v>
      </c>
      <c r="L249"/>
    </row>
    <row r="250" spans="2:12" ht="15.75">
      <c r="B250" s="621">
        <v>28887</v>
      </c>
      <c r="C250" s="1225">
        <v>45.381</v>
      </c>
      <c r="D250" s="1430">
        <f t="shared" si="26"/>
        <v>42.907271675939697</v>
      </c>
      <c r="L250"/>
    </row>
    <row r="251" spans="2:12" ht="15.75">
      <c r="B251" s="621">
        <v>28915</v>
      </c>
      <c r="C251" s="1225">
        <v>45.465000000000003</v>
      </c>
      <c r="D251" s="1430">
        <f t="shared" si="26"/>
        <v>42.9866928174037</v>
      </c>
      <c r="L251"/>
    </row>
    <row r="252" spans="2:12" ht="15.75">
      <c r="B252" s="621">
        <v>28946</v>
      </c>
      <c r="C252" s="1225">
        <v>45.718000000000004</v>
      </c>
      <c r="D252" s="1430">
        <f t="shared" si="26"/>
        <v>43.2259017315751</v>
      </c>
      <c r="L252"/>
    </row>
    <row r="253" spans="2:12" ht="15.75">
      <c r="B253" s="621">
        <v>28976</v>
      </c>
      <c r="C253" s="1225">
        <v>45.886000000000003</v>
      </c>
      <c r="D253" s="1430">
        <f t="shared" si="26"/>
        <v>43.384744014503198</v>
      </c>
      <c r="L253"/>
    </row>
    <row r="254" spans="2:12" ht="15.75">
      <c r="B254" s="621">
        <v>29007</v>
      </c>
      <c r="C254" s="1225">
        <v>46.054000000000002</v>
      </c>
      <c r="D254" s="1430">
        <f t="shared" si="26"/>
        <v>43.543586297431297</v>
      </c>
      <c r="L254"/>
    </row>
    <row r="255" spans="2:12" ht="15.75">
      <c r="B255" s="621">
        <v>29037</v>
      </c>
      <c r="C255" s="1225">
        <v>46.475000000000001</v>
      </c>
      <c r="D255" s="1430">
        <f t="shared" si="26"/>
        <v>43.941637494530802</v>
      </c>
      <c r="L255"/>
    </row>
    <row r="256" spans="2:12" ht="15.75">
      <c r="B256" s="621">
        <v>29068</v>
      </c>
      <c r="C256" s="1225">
        <v>46.475000000000001</v>
      </c>
      <c r="D256" s="1430">
        <f t="shared" si="26"/>
        <v>43.941637494530802</v>
      </c>
      <c r="L256"/>
    </row>
    <row r="257" spans="2:12" ht="15.75">
      <c r="B257" s="621">
        <v>29099</v>
      </c>
      <c r="C257" s="1225">
        <v>46.643999999999998</v>
      </c>
      <c r="D257" s="1430">
        <f t="shared" si="26"/>
        <v>44.101425267238199</v>
      </c>
      <c r="L257"/>
    </row>
    <row r="258" spans="2:12" ht="15.75">
      <c r="B258" s="621">
        <v>29129</v>
      </c>
      <c r="C258" s="1225">
        <v>46.811999999999998</v>
      </c>
      <c r="D258" s="1430">
        <f t="shared" si="26"/>
        <v>44.260267550166297</v>
      </c>
      <c r="L258"/>
    </row>
    <row r="259" spans="2:12" ht="15.75">
      <c r="B259" s="621">
        <v>29160</v>
      </c>
      <c r="C259" s="1225">
        <v>46.98</v>
      </c>
      <c r="D259" s="1430">
        <f t="shared" ref="D259:D322" si="27">ROUND(+D260*C259/C260,19)</f>
        <v>44.419109833094303</v>
      </c>
      <c r="L259"/>
    </row>
    <row r="260" spans="2:12" ht="15.75">
      <c r="B260" s="621">
        <v>29190</v>
      </c>
      <c r="C260" s="1225">
        <v>47.064999999999998</v>
      </c>
      <c r="D260" s="1430">
        <f t="shared" si="27"/>
        <v>44.499476464337697</v>
      </c>
      <c r="L260"/>
    </row>
    <row r="261" spans="2:12" ht="15.75">
      <c r="B261" s="621">
        <v>29221</v>
      </c>
      <c r="C261" s="1225">
        <v>47.317</v>
      </c>
      <c r="D261" s="1430">
        <f t="shared" si="27"/>
        <v>44.737739888729799</v>
      </c>
      <c r="L261"/>
    </row>
    <row r="262" spans="2:12" ht="15.75">
      <c r="B262" s="621">
        <v>29252</v>
      </c>
      <c r="C262" s="1225">
        <v>47.991</v>
      </c>
      <c r="D262" s="1430">
        <f t="shared" si="27"/>
        <v>45.375000000000703</v>
      </c>
      <c r="L262"/>
    </row>
    <row r="263" spans="2:12" ht="15.75">
      <c r="B263" s="621">
        <v>29281</v>
      </c>
      <c r="C263" s="1225">
        <v>48.158999999999999</v>
      </c>
      <c r="D263" s="1430">
        <f t="shared" si="27"/>
        <v>45.533842282928703</v>
      </c>
      <c r="L263"/>
    </row>
    <row r="264" spans="2:12" ht="15.75">
      <c r="B264" s="621">
        <v>29312</v>
      </c>
      <c r="C264" s="1225">
        <v>48.328000000000003</v>
      </c>
      <c r="D264" s="1430">
        <f t="shared" si="27"/>
        <v>45.693630055636099</v>
      </c>
      <c r="L264"/>
    </row>
    <row r="265" spans="2:12" ht="15.75">
      <c r="B265" s="621">
        <v>29342</v>
      </c>
      <c r="C265" s="1225">
        <v>48.58</v>
      </c>
      <c r="D265" s="1430">
        <f t="shared" si="27"/>
        <v>45.931893480028201</v>
      </c>
      <c r="L265"/>
    </row>
    <row r="266" spans="2:12" ht="15.75">
      <c r="B266" s="621">
        <v>29373</v>
      </c>
      <c r="C266" s="1225">
        <v>48.664000000000001</v>
      </c>
      <c r="D266" s="1430">
        <f t="shared" si="27"/>
        <v>46.011314621492197</v>
      </c>
      <c r="L266"/>
    </row>
    <row r="267" spans="2:12" ht="15.75">
      <c r="B267" s="621">
        <v>29403</v>
      </c>
      <c r="C267" s="1225">
        <v>48.832999999999998</v>
      </c>
      <c r="D267" s="1430">
        <f t="shared" si="27"/>
        <v>46.1711023941996</v>
      </c>
      <c r="L267"/>
    </row>
    <row r="268" spans="2:12" ht="15.75">
      <c r="B268" s="621">
        <v>29434</v>
      </c>
      <c r="C268" s="1225">
        <v>48.917000000000002</v>
      </c>
      <c r="D268" s="1430">
        <f t="shared" si="27"/>
        <v>46.250523535663604</v>
      </c>
      <c r="L268"/>
    </row>
    <row r="269" spans="2:12" ht="15.75">
      <c r="B269" s="621">
        <v>29465</v>
      </c>
      <c r="C269" s="1225">
        <v>49.000999999999998</v>
      </c>
      <c r="D269" s="1430">
        <f t="shared" si="27"/>
        <v>46.3299446771276</v>
      </c>
      <c r="L269"/>
    </row>
    <row r="270" spans="2:12" ht="15.75">
      <c r="B270" s="621">
        <v>29495</v>
      </c>
      <c r="C270" s="1225">
        <v>49.085000000000001</v>
      </c>
      <c r="D270" s="1430">
        <f t="shared" si="27"/>
        <v>46.409365818591603</v>
      </c>
      <c r="L270"/>
    </row>
    <row r="271" spans="2:12" ht="15.75">
      <c r="B271" s="621">
        <v>29526</v>
      </c>
      <c r="C271" s="1225">
        <v>49.421999999999997</v>
      </c>
      <c r="D271" s="1430">
        <f t="shared" si="27"/>
        <v>46.727995874226998</v>
      </c>
      <c r="L271"/>
    </row>
    <row r="272" spans="2:12" ht="15.75">
      <c r="B272" s="621">
        <v>29556</v>
      </c>
      <c r="C272" s="1225">
        <v>49.674999999999997</v>
      </c>
      <c r="D272" s="1430">
        <f t="shared" si="27"/>
        <v>46.967204788398398</v>
      </c>
      <c r="L272"/>
    </row>
    <row r="273" spans="2:12" ht="15.75">
      <c r="B273" s="621">
        <v>29587</v>
      </c>
      <c r="C273" s="1225">
        <v>50.18</v>
      </c>
      <c r="D273" s="1430">
        <f t="shared" si="27"/>
        <v>47.444677126961899</v>
      </c>
      <c r="L273"/>
    </row>
    <row r="274" spans="2:12" ht="15.75">
      <c r="B274" s="621">
        <v>29618</v>
      </c>
      <c r="C274" s="1225">
        <v>50.600999999999999</v>
      </c>
      <c r="D274" s="1430">
        <f t="shared" si="27"/>
        <v>47.842728324061397</v>
      </c>
      <c r="L274"/>
    </row>
    <row r="275" spans="2:12" ht="15.75">
      <c r="B275" s="621">
        <v>29646</v>
      </c>
      <c r="C275" s="1225">
        <v>50.938000000000002</v>
      </c>
      <c r="D275" s="1430">
        <f t="shared" si="27"/>
        <v>48.1613583796968</v>
      </c>
      <c r="L275"/>
    </row>
    <row r="276" spans="2:12" ht="15.75">
      <c r="B276" s="621">
        <v>29677</v>
      </c>
      <c r="C276" s="1225">
        <v>51.19</v>
      </c>
      <c r="D276" s="1430">
        <f t="shared" si="27"/>
        <v>48.399621804088902</v>
      </c>
      <c r="L276"/>
    </row>
    <row r="277" spans="2:12" ht="15.75">
      <c r="B277" s="621">
        <v>29707</v>
      </c>
      <c r="C277" s="1225">
        <v>51.442999999999998</v>
      </c>
      <c r="D277" s="1430">
        <f t="shared" si="27"/>
        <v>48.638830718260301</v>
      </c>
      <c r="L277"/>
    </row>
    <row r="278" spans="2:12" ht="15.75">
      <c r="B278" s="621">
        <v>29738</v>
      </c>
      <c r="C278" s="1225">
        <v>51.527000000000001</v>
      </c>
      <c r="D278" s="1430">
        <f t="shared" si="27"/>
        <v>48.718251859724298</v>
      </c>
      <c r="L278"/>
    </row>
    <row r="279" spans="2:12" ht="15.75">
      <c r="B279" s="621">
        <v>29768</v>
      </c>
      <c r="C279" s="1225">
        <v>52.031999999999996</v>
      </c>
      <c r="D279" s="1430">
        <f t="shared" si="27"/>
        <v>49.195724198287799</v>
      </c>
      <c r="L279"/>
    </row>
    <row r="280" spans="2:12" ht="15.75">
      <c r="B280" s="621">
        <v>29799</v>
      </c>
      <c r="C280" s="1225">
        <v>52.116</v>
      </c>
      <c r="D280" s="1430">
        <f t="shared" si="27"/>
        <v>49.275145339751802</v>
      </c>
      <c r="L280"/>
    </row>
    <row r="281" spans="2:12" ht="15.75">
      <c r="B281" s="621">
        <v>29830</v>
      </c>
      <c r="C281" s="1225">
        <v>52.453000000000003</v>
      </c>
      <c r="D281" s="1430">
        <f t="shared" si="27"/>
        <v>49.593775395387198</v>
      </c>
      <c r="L281"/>
    </row>
    <row r="282" spans="2:12" ht="15.75">
      <c r="B282" s="621">
        <v>29860</v>
      </c>
      <c r="C282" s="1225">
        <v>52.706000000000003</v>
      </c>
      <c r="D282" s="1430">
        <f t="shared" si="27"/>
        <v>49.832984309558597</v>
      </c>
      <c r="L282"/>
    </row>
    <row r="283" spans="2:12" ht="15.75">
      <c r="B283" s="621">
        <v>29891</v>
      </c>
      <c r="C283" s="1225">
        <v>52.957999999999998</v>
      </c>
      <c r="D283" s="1430">
        <f t="shared" si="27"/>
        <v>50.071247733950699</v>
      </c>
      <c r="L283"/>
    </row>
    <row r="284" spans="2:12" ht="15.75">
      <c r="B284" s="621">
        <v>29921</v>
      </c>
      <c r="C284" s="1225">
        <v>53.042000000000002</v>
      </c>
      <c r="D284" s="1430">
        <f t="shared" si="27"/>
        <v>50.150668875414702</v>
      </c>
      <c r="L284"/>
    </row>
    <row r="285" spans="2:12" ht="15.75">
      <c r="B285" s="621">
        <v>29952</v>
      </c>
      <c r="C285" s="1225">
        <v>53.463000000000001</v>
      </c>
      <c r="D285" s="1430">
        <f t="shared" si="27"/>
        <v>50.5487200725142</v>
      </c>
      <c r="L285"/>
    </row>
    <row r="286" spans="2:12" ht="15.75">
      <c r="B286" s="621">
        <v>29983</v>
      </c>
      <c r="C286" s="1225">
        <v>53.716000000000001</v>
      </c>
      <c r="D286" s="1430">
        <f t="shared" si="27"/>
        <v>50.7879289866856</v>
      </c>
      <c r="L286"/>
    </row>
    <row r="287" spans="2:12" ht="15.75">
      <c r="B287" s="621">
        <v>30011</v>
      </c>
      <c r="C287" s="1225">
        <v>53.631999999999998</v>
      </c>
      <c r="D287" s="1430">
        <f t="shared" si="27"/>
        <v>50.708507845221597</v>
      </c>
      <c r="L287"/>
    </row>
    <row r="288" spans="2:12" ht="15.75">
      <c r="B288" s="621">
        <v>30042</v>
      </c>
      <c r="C288" s="1225">
        <v>53.631999999999998</v>
      </c>
      <c r="D288" s="1430">
        <f t="shared" si="27"/>
        <v>50.708507845221597</v>
      </c>
      <c r="L288"/>
    </row>
    <row r="289" spans="2:12" ht="15.75">
      <c r="B289" s="621">
        <v>30072</v>
      </c>
      <c r="C289" s="1225">
        <v>54.052999999999997</v>
      </c>
      <c r="D289" s="1430">
        <f t="shared" si="27"/>
        <v>51.106559042321102</v>
      </c>
      <c r="L289"/>
    </row>
    <row r="290" spans="2:12" ht="15.75">
      <c r="B290" s="621">
        <v>30103</v>
      </c>
      <c r="C290" s="1225">
        <v>54.558</v>
      </c>
      <c r="D290" s="1430">
        <f t="shared" si="27"/>
        <v>51.584031380884603</v>
      </c>
      <c r="L290"/>
    </row>
    <row r="291" spans="2:12" ht="15.75">
      <c r="B291" s="621">
        <v>30133</v>
      </c>
      <c r="C291" s="1225">
        <v>54.811</v>
      </c>
      <c r="D291" s="1430">
        <f t="shared" si="27"/>
        <v>51.823240295056003</v>
      </c>
      <c r="L291"/>
    </row>
    <row r="292" spans="2:12" ht="15.75">
      <c r="B292" s="621">
        <v>30164</v>
      </c>
      <c r="C292" s="1225">
        <v>54.725999999999999</v>
      </c>
      <c r="D292" s="1430">
        <f t="shared" si="27"/>
        <v>51.742873663812603</v>
      </c>
      <c r="L292"/>
    </row>
    <row r="293" spans="2:12" ht="15.75">
      <c r="B293" s="621">
        <v>30195</v>
      </c>
      <c r="C293" s="1225">
        <v>54.978999999999999</v>
      </c>
      <c r="D293" s="1430">
        <f t="shared" si="27"/>
        <v>51.982082577984002</v>
      </c>
      <c r="L293"/>
    </row>
    <row r="294" spans="2:12" ht="15.75">
      <c r="B294" s="621">
        <v>30225</v>
      </c>
      <c r="C294" s="1225">
        <v>55.231000000000002</v>
      </c>
      <c r="D294" s="1430">
        <f t="shared" si="27"/>
        <v>52.220346002376097</v>
      </c>
      <c r="L294"/>
    </row>
    <row r="295" spans="2:12" ht="15.75">
      <c r="B295" s="621">
        <v>30256</v>
      </c>
      <c r="C295" s="1225">
        <v>55.4</v>
      </c>
      <c r="D295" s="1430">
        <f t="shared" si="27"/>
        <v>52.3801337750835</v>
      </c>
      <c r="L295"/>
    </row>
    <row r="296" spans="2:12" ht="15.75">
      <c r="B296" s="621">
        <v>30286</v>
      </c>
      <c r="C296" s="1225">
        <v>55.484000000000002</v>
      </c>
      <c r="D296" s="1430">
        <f t="shared" si="27"/>
        <v>52.459554916547503</v>
      </c>
      <c r="L296"/>
    </row>
    <row r="297" spans="2:12" ht="15.75">
      <c r="B297" s="621">
        <v>30317</v>
      </c>
      <c r="C297" s="1225">
        <v>55.737000000000002</v>
      </c>
      <c r="D297" s="1430">
        <f t="shared" si="27"/>
        <v>52.698763830718903</v>
      </c>
      <c r="L297"/>
    </row>
    <row r="298" spans="2:12" ht="15.75">
      <c r="B298" s="621">
        <v>30348</v>
      </c>
      <c r="C298" s="1225">
        <v>55.820999999999998</v>
      </c>
      <c r="D298" s="1430">
        <f t="shared" si="27"/>
        <v>52.778184972182899</v>
      </c>
      <c r="L298"/>
    </row>
    <row r="299" spans="2:12" ht="15.75">
      <c r="B299" s="621">
        <v>30376</v>
      </c>
      <c r="C299" s="1225">
        <v>55.737000000000002</v>
      </c>
      <c r="D299" s="1430">
        <f t="shared" si="27"/>
        <v>52.698763830718903</v>
      </c>
      <c r="L299"/>
    </row>
    <row r="300" spans="2:12" ht="15.75">
      <c r="B300" s="621">
        <v>30407</v>
      </c>
      <c r="C300" s="1225">
        <v>55.737000000000002</v>
      </c>
      <c r="D300" s="1430">
        <f t="shared" si="27"/>
        <v>52.698763830718903</v>
      </c>
      <c r="L300"/>
    </row>
    <row r="301" spans="2:12" ht="15.75">
      <c r="B301" s="621">
        <v>30437</v>
      </c>
      <c r="C301" s="1225">
        <v>55.905000000000001</v>
      </c>
      <c r="D301" s="1430">
        <f t="shared" si="27"/>
        <v>52.857606113646902</v>
      </c>
      <c r="L301"/>
    </row>
    <row r="302" spans="2:12" ht="15.75">
      <c r="B302" s="621">
        <v>30468</v>
      </c>
      <c r="C302" s="1225">
        <v>56.073</v>
      </c>
      <c r="D302" s="1430">
        <f t="shared" si="27"/>
        <v>53.016448396574901</v>
      </c>
      <c r="L302"/>
    </row>
    <row r="303" spans="2:12" ht="15.75">
      <c r="B303" s="621">
        <v>30498</v>
      </c>
      <c r="C303" s="1225">
        <v>56.326000000000001</v>
      </c>
      <c r="D303" s="1430">
        <f t="shared" si="27"/>
        <v>53.255657310746301</v>
      </c>
      <c r="L303"/>
    </row>
    <row r="304" spans="2:12" ht="15.75">
      <c r="B304" s="621">
        <v>30529</v>
      </c>
      <c r="C304" s="1225">
        <v>56.579000000000001</v>
      </c>
      <c r="D304" s="1430">
        <f t="shared" si="27"/>
        <v>53.4948662249177</v>
      </c>
      <c r="L304"/>
    </row>
    <row r="305" spans="2:12" ht="15.75">
      <c r="B305" s="621">
        <v>30560</v>
      </c>
      <c r="C305" s="1225">
        <v>56.747</v>
      </c>
      <c r="D305" s="1430">
        <f t="shared" si="27"/>
        <v>53.6537085078457</v>
      </c>
      <c r="L305"/>
    </row>
    <row r="306" spans="2:12" ht="15.75">
      <c r="B306" s="621">
        <v>30590</v>
      </c>
      <c r="C306" s="1225">
        <v>56.747</v>
      </c>
      <c r="D306" s="1430">
        <f t="shared" si="27"/>
        <v>53.6537085078457</v>
      </c>
      <c r="L306"/>
    </row>
    <row r="307" spans="2:12" ht="15.75">
      <c r="B307" s="621">
        <v>30621</v>
      </c>
      <c r="C307" s="1225">
        <v>56.831000000000003</v>
      </c>
      <c r="D307" s="1430">
        <f t="shared" si="27"/>
        <v>53.733129649309703</v>
      </c>
      <c r="L307"/>
    </row>
    <row r="308" spans="2:12" ht="15.75">
      <c r="B308" s="621">
        <v>30651</v>
      </c>
      <c r="C308" s="1225">
        <v>56.914999999999999</v>
      </c>
      <c r="D308" s="1430">
        <f t="shared" si="27"/>
        <v>53.812550790773699</v>
      </c>
      <c r="L308"/>
    </row>
    <row r="309" spans="2:12" ht="15.75">
      <c r="B309" s="621">
        <v>30682</v>
      </c>
      <c r="C309" s="1225">
        <v>57.167999999999999</v>
      </c>
      <c r="D309" s="1430">
        <f t="shared" si="27"/>
        <v>54.051759704945098</v>
      </c>
      <c r="L309"/>
    </row>
    <row r="310" spans="2:12" ht="15.75">
      <c r="B310" s="621">
        <v>30713</v>
      </c>
      <c r="C310" s="1225">
        <v>57.505000000000003</v>
      </c>
      <c r="D310" s="1430">
        <f t="shared" si="27"/>
        <v>54.370389760580501</v>
      </c>
      <c r="L310"/>
    </row>
    <row r="311" spans="2:12" ht="15.75">
      <c r="B311" s="621">
        <v>30742</v>
      </c>
      <c r="C311" s="1225">
        <v>57.420999999999999</v>
      </c>
      <c r="D311" s="1430">
        <f t="shared" si="27"/>
        <v>54.290968619116498</v>
      </c>
      <c r="L311"/>
    </row>
    <row r="312" spans="2:12" ht="15.75">
      <c r="B312" s="621">
        <v>30773</v>
      </c>
      <c r="C312" s="1225">
        <v>57.420999999999999</v>
      </c>
      <c r="D312" s="1430">
        <f t="shared" si="27"/>
        <v>54.290968619116498</v>
      </c>
      <c r="L312"/>
    </row>
    <row r="313" spans="2:12" ht="15.75">
      <c r="B313" s="621">
        <v>30803</v>
      </c>
      <c r="C313" s="1225">
        <v>57.505000000000003</v>
      </c>
      <c r="D313" s="1430">
        <f t="shared" si="27"/>
        <v>54.370389760580501</v>
      </c>
      <c r="L313"/>
    </row>
    <row r="314" spans="2:12" ht="15.75">
      <c r="B314" s="621">
        <v>30834</v>
      </c>
      <c r="C314" s="1225">
        <v>57.588999999999999</v>
      </c>
      <c r="D314" s="1430">
        <f t="shared" si="27"/>
        <v>54.449810902044497</v>
      </c>
      <c r="L314"/>
    </row>
    <row r="315" spans="2:12" ht="15.75">
      <c r="B315" s="621">
        <v>30864</v>
      </c>
      <c r="C315" s="1225">
        <v>57.588999999999999</v>
      </c>
      <c r="D315" s="1430">
        <f t="shared" si="27"/>
        <v>54.449810902044497</v>
      </c>
      <c r="L315"/>
    </row>
    <row r="316" spans="2:12" ht="15.75">
      <c r="B316" s="621">
        <v>30895</v>
      </c>
      <c r="C316" s="1225">
        <v>57.505000000000003</v>
      </c>
      <c r="D316" s="1430">
        <f t="shared" si="27"/>
        <v>54.370389760580501</v>
      </c>
      <c r="L316"/>
    </row>
    <row r="317" spans="2:12" ht="15.75">
      <c r="B317" s="621">
        <v>30926</v>
      </c>
      <c r="C317" s="1225">
        <v>57.588999999999999</v>
      </c>
      <c r="D317" s="1430">
        <f t="shared" si="27"/>
        <v>54.449810902044497</v>
      </c>
      <c r="L317"/>
    </row>
    <row r="318" spans="2:12" ht="15.75">
      <c r="B318" s="621">
        <v>30956</v>
      </c>
      <c r="C318" s="1225">
        <v>57.926000000000002</v>
      </c>
      <c r="D318" s="1430">
        <f t="shared" si="27"/>
        <v>54.7684409576799</v>
      </c>
      <c r="L318"/>
    </row>
    <row r="319" spans="2:12" ht="15.75">
      <c r="B319" s="621">
        <v>30987</v>
      </c>
      <c r="C319" s="1225">
        <v>58.094000000000001</v>
      </c>
      <c r="D319" s="1430">
        <f t="shared" si="27"/>
        <v>54.927283240607998</v>
      </c>
      <c r="L319"/>
    </row>
    <row r="320" spans="2:12" ht="15.75">
      <c r="B320" s="621">
        <v>31017</v>
      </c>
      <c r="C320" s="1225">
        <v>58.094000000000001</v>
      </c>
      <c r="D320" s="1430">
        <f t="shared" si="27"/>
        <v>54.927283240607998</v>
      </c>
      <c r="L320"/>
    </row>
    <row r="321" spans="2:12" ht="15.75">
      <c r="B321" s="621">
        <v>31048</v>
      </c>
      <c r="C321" s="1225">
        <v>58.430999999999997</v>
      </c>
      <c r="D321" s="1430">
        <f t="shared" si="27"/>
        <v>55.245913296243401</v>
      </c>
      <c r="L321"/>
    </row>
    <row r="322" spans="2:12" ht="15.75">
      <c r="B322" s="621">
        <v>31079</v>
      </c>
      <c r="C322" s="1225">
        <v>58.768000000000001</v>
      </c>
      <c r="D322" s="1430">
        <f t="shared" si="27"/>
        <v>55.564543351878797</v>
      </c>
      <c r="L322"/>
    </row>
    <row r="323" spans="2:12" ht="15.75">
      <c r="B323" s="621">
        <v>31107</v>
      </c>
      <c r="C323" s="1225">
        <v>58.851999999999997</v>
      </c>
      <c r="D323" s="1430">
        <f t="shared" ref="D323:D386" si="28">ROUND(+D324*C323/C324,19)</f>
        <v>55.6439644933428</v>
      </c>
      <c r="L323"/>
    </row>
    <row r="324" spans="2:12" ht="15.75">
      <c r="B324" s="621">
        <v>31138</v>
      </c>
      <c r="C324" s="1225">
        <v>58.936</v>
      </c>
      <c r="D324" s="1430">
        <f t="shared" si="28"/>
        <v>55.723385634806803</v>
      </c>
      <c r="L324"/>
    </row>
    <row r="325" spans="2:12" ht="15.75">
      <c r="B325" s="621">
        <v>31168</v>
      </c>
      <c r="C325" s="1225">
        <v>58.936</v>
      </c>
      <c r="D325" s="1430">
        <f t="shared" si="28"/>
        <v>55.723385634806803</v>
      </c>
      <c r="L325"/>
    </row>
    <row r="326" spans="2:12" ht="15.75">
      <c r="B326" s="621">
        <v>31199</v>
      </c>
      <c r="C326" s="1225">
        <v>58.851999999999997</v>
      </c>
      <c r="D326" s="1430">
        <f t="shared" si="28"/>
        <v>55.6439644933428</v>
      </c>
      <c r="L326"/>
    </row>
    <row r="327" spans="2:12" ht="15.75">
      <c r="B327" s="621">
        <v>31229</v>
      </c>
      <c r="C327" s="1225">
        <v>58.768000000000001</v>
      </c>
      <c r="D327" s="1430">
        <f t="shared" si="28"/>
        <v>55.564543351878797</v>
      </c>
      <c r="L327"/>
    </row>
    <row r="328" spans="2:12" ht="15.75">
      <c r="B328" s="621">
        <v>31260</v>
      </c>
      <c r="C328" s="1225">
        <v>58.683</v>
      </c>
      <c r="D328" s="1430">
        <f t="shared" si="28"/>
        <v>55.484176720635404</v>
      </c>
      <c r="L328"/>
    </row>
    <row r="329" spans="2:12" ht="15.75">
      <c r="B329" s="621">
        <v>31291</v>
      </c>
      <c r="C329" s="1225">
        <v>58.768000000000001</v>
      </c>
      <c r="D329" s="1430">
        <f t="shared" si="28"/>
        <v>55.564543351878797</v>
      </c>
      <c r="L329"/>
    </row>
    <row r="330" spans="2:12" ht="15.75">
      <c r="B330" s="621">
        <v>31321</v>
      </c>
      <c r="C330" s="1225">
        <v>58.851999999999997</v>
      </c>
      <c r="D330" s="1430">
        <f t="shared" si="28"/>
        <v>55.6439644933428</v>
      </c>
      <c r="L330"/>
    </row>
    <row r="331" spans="2:12" ht="15.75">
      <c r="B331" s="621">
        <v>31352</v>
      </c>
      <c r="C331" s="1225">
        <v>59.02</v>
      </c>
      <c r="D331" s="1430">
        <f t="shared" si="28"/>
        <v>55.802806776270899</v>
      </c>
      <c r="L331"/>
    </row>
    <row r="332" spans="2:12" ht="15.75">
      <c r="B332" s="621">
        <v>31382</v>
      </c>
      <c r="C332" s="1225">
        <v>59.02</v>
      </c>
      <c r="D332" s="1430">
        <f t="shared" si="28"/>
        <v>55.802806776270899</v>
      </c>
      <c r="L332"/>
    </row>
    <row r="333" spans="2:12" ht="15.75">
      <c r="B333" s="621">
        <v>31413</v>
      </c>
      <c r="C333" s="1225">
        <v>59.189</v>
      </c>
      <c r="D333" s="1430">
        <f t="shared" si="28"/>
        <v>55.962594548978302</v>
      </c>
      <c r="L333"/>
    </row>
    <row r="334" spans="2:12" ht="15.75">
      <c r="B334" s="621">
        <v>31444</v>
      </c>
      <c r="C334" s="1225">
        <v>59.273000000000003</v>
      </c>
      <c r="D334" s="1430">
        <f t="shared" si="28"/>
        <v>56.042015690442298</v>
      </c>
      <c r="L334"/>
    </row>
    <row r="335" spans="2:12" ht="15.75">
      <c r="B335" s="621">
        <v>31472</v>
      </c>
      <c r="C335" s="1225">
        <v>58.936</v>
      </c>
      <c r="D335" s="1430">
        <f t="shared" si="28"/>
        <v>55.723385634806903</v>
      </c>
      <c r="L335"/>
    </row>
    <row r="336" spans="2:12" ht="15.75">
      <c r="B336" s="621">
        <v>31503</v>
      </c>
      <c r="C336" s="1225">
        <v>58.851999999999997</v>
      </c>
      <c r="D336" s="1430">
        <f t="shared" si="28"/>
        <v>55.643964493342899</v>
      </c>
      <c r="L336"/>
    </row>
    <row r="337" spans="2:12" ht="15.75">
      <c r="B337" s="621">
        <v>31533</v>
      </c>
      <c r="C337" s="1225">
        <v>58.851999999999997</v>
      </c>
      <c r="D337" s="1430">
        <f t="shared" si="28"/>
        <v>55.643964493342899</v>
      </c>
      <c r="L337"/>
    </row>
    <row r="338" spans="2:12" ht="15.75">
      <c r="B338" s="621">
        <v>31564</v>
      </c>
      <c r="C338" s="1225">
        <v>58.851999999999997</v>
      </c>
      <c r="D338" s="1430">
        <f t="shared" si="28"/>
        <v>55.643964493342899</v>
      </c>
      <c r="L338"/>
    </row>
    <row r="339" spans="2:12" ht="15.75">
      <c r="B339" s="621">
        <v>31594</v>
      </c>
      <c r="C339" s="1225">
        <v>58.598999999999997</v>
      </c>
      <c r="D339" s="1430">
        <f t="shared" si="28"/>
        <v>55.4047555791715</v>
      </c>
      <c r="L339"/>
    </row>
    <row r="340" spans="2:12" ht="15.75">
      <c r="B340" s="621">
        <v>31625</v>
      </c>
      <c r="C340" s="1225">
        <v>58.515000000000001</v>
      </c>
      <c r="D340" s="1430">
        <f t="shared" si="28"/>
        <v>55.325334437707497</v>
      </c>
      <c r="L340"/>
    </row>
    <row r="341" spans="2:12" ht="15.75">
      <c r="B341" s="621">
        <v>31656</v>
      </c>
      <c r="C341" s="1225">
        <v>58.598999999999997</v>
      </c>
      <c r="D341" s="1430">
        <f t="shared" si="28"/>
        <v>55.4047555791715</v>
      </c>
      <c r="L341"/>
    </row>
    <row r="342" spans="2:12" ht="15.75">
      <c r="B342" s="621">
        <v>31686</v>
      </c>
      <c r="C342" s="1225">
        <v>58.430999999999997</v>
      </c>
      <c r="D342" s="1430">
        <f t="shared" si="28"/>
        <v>55.245913296243401</v>
      </c>
      <c r="L342"/>
    </row>
    <row r="343" spans="2:12" ht="15.75">
      <c r="B343" s="621">
        <v>31717</v>
      </c>
      <c r="C343" s="1225">
        <v>58.430999999999997</v>
      </c>
      <c r="D343" s="1430">
        <f t="shared" si="28"/>
        <v>55.245913296243401</v>
      </c>
      <c r="L343"/>
    </row>
    <row r="344" spans="2:12" ht="15.75">
      <c r="B344" s="621">
        <v>31747</v>
      </c>
      <c r="C344" s="1225">
        <v>58.430999999999997</v>
      </c>
      <c r="D344" s="1430">
        <f t="shared" si="28"/>
        <v>55.245913296243401</v>
      </c>
      <c r="L344"/>
    </row>
    <row r="345" spans="2:12" ht="15.75">
      <c r="B345" s="621">
        <v>31778</v>
      </c>
      <c r="C345" s="1225">
        <v>58.768000000000001</v>
      </c>
      <c r="D345" s="1430">
        <f t="shared" si="28"/>
        <v>55.564543351878797</v>
      </c>
      <c r="L345"/>
    </row>
    <row r="346" spans="2:12" ht="15.75">
      <c r="B346" s="621">
        <v>31809</v>
      </c>
      <c r="C346" s="1225">
        <v>58.936</v>
      </c>
      <c r="D346" s="1430">
        <f t="shared" si="28"/>
        <v>55.723385634806803</v>
      </c>
      <c r="L346"/>
    </row>
    <row r="347" spans="2:12" ht="15.75">
      <c r="B347" s="621">
        <v>31837</v>
      </c>
      <c r="C347" s="1225">
        <v>58.768000000000001</v>
      </c>
      <c r="D347" s="1430">
        <f t="shared" si="28"/>
        <v>55.564543351878797</v>
      </c>
      <c r="L347"/>
    </row>
    <row r="348" spans="2:12" ht="15.75">
      <c r="B348" s="621">
        <v>31868</v>
      </c>
      <c r="C348" s="1225">
        <v>58.851999999999997</v>
      </c>
      <c r="D348" s="1430">
        <f t="shared" si="28"/>
        <v>55.6439644933428</v>
      </c>
      <c r="L348"/>
    </row>
    <row r="349" spans="2:12" ht="15.75">
      <c r="B349" s="621">
        <v>31898</v>
      </c>
      <c r="C349" s="1225">
        <v>58.936</v>
      </c>
      <c r="D349" s="1430">
        <f t="shared" si="28"/>
        <v>55.723385634806803</v>
      </c>
      <c r="L349"/>
    </row>
    <row r="350" spans="2:12" ht="15.75">
      <c r="B350" s="621">
        <v>31929</v>
      </c>
      <c r="C350" s="1225">
        <v>58.851999999999997</v>
      </c>
      <c r="D350" s="1430">
        <f t="shared" si="28"/>
        <v>55.6439644933428</v>
      </c>
      <c r="L350"/>
    </row>
    <row r="351" spans="2:12" ht="15.75">
      <c r="B351" s="621">
        <v>31959</v>
      </c>
      <c r="C351" s="1225">
        <v>58.936</v>
      </c>
      <c r="D351" s="1430">
        <f t="shared" si="28"/>
        <v>55.723385634806803</v>
      </c>
      <c r="L351"/>
    </row>
    <row r="352" spans="2:12" ht="15.75">
      <c r="B352" s="621">
        <v>31990</v>
      </c>
      <c r="C352" s="1225">
        <v>58.936</v>
      </c>
      <c r="D352" s="1430">
        <f t="shared" si="28"/>
        <v>55.723385634806803</v>
      </c>
      <c r="L352"/>
    </row>
    <row r="353" spans="2:12" ht="15.75">
      <c r="B353" s="621">
        <v>32021</v>
      </c>
      <c r="C353" s="1225">
        <v>58.851999999999997</v>
      </c>
      <c r="D353" s="1430">
        <f t="shared" si="28"/>
        <v>55.6439644933428</v>
      </c>
      <c r="L353"/>
    </row>
    <row r="354" spans="2:12" ht="15.75">
      <c r="B354" s="621">
        <v>32051</v>
      </c>
      <c r="C354" s="1225">
        <v>58.851999999999997</v>
      </c>
      <c r="D354" s="1430">
        <f t="shared" si="28"/>
        <v>55.6439644933428</v>
      </c>
      <c r="L354"/>
    </row>
    <row r="355" spans="2:12" ht="15.75">
      <c r="B355" s="621">
        <v>32082</v>
      </c>
      <c r="C355" s="1225">
        <v>59.02</v>
      </c>
      <c r="D355" s="1430">
        <f t="shared" si="28"/>
        <v>55.802806776270799</v>
      </c>
      <c r="L355"/>
    </row>
    <row r="356" spans="2:12" ht="15.75">
      <c r="B356" s="621">
        <v>32112</v>
      </c>
      <c r="C356" s="1225">
        <v>59.02</v>
      </c>
      <c r="D356" s="1430">
        <f t="shared" si="28"/>
        <v>55.802806776270799</v>
      </c>
      <c r="L356"/>
    </row>
    <row r="357" spans="2:12" ht="15.75">
      <c r="B357" s="621">
        <v>32143</v>
      </c>
      <c r="C357" s="1225">
        <v>59.273000000000003</v>
      </c>
      <c r="D357" s="1430">
        <f t="shared" si="28"/>
        <v>56.042015690442199</v>
      </c>
      <c r="L357"/>
    </row>
    <row r="358" spans="2:12" ht="15.75">
      <c r="B358" s="621">
        <v>32174</v>
      </c>
      <c r="C358" s="1225">
        <v>59.524999999999999</v>
      </c>
      <c r="D358" s="1430">
        <f t="shared" si="28"/>
        <v>56.2802791148343</v>
      </c>
      <c r="L358"/>
    </row>
    <row r="359" spans="2:12" ht="15.75">
      <c r="B359" s="621">
        <v>32203</v>
      </c>
      <c r="C359" s="1225">
        <v>59.356999999999999</v>
      </c>
      <c r="D359" s="1430">
        <f t="shared" si="28"/>
        <v>56.121436831906202</v>
      </c>
      <c r="L359"/>
    </row>
    <row r="360" spans="2:12" ht="15.75">
      <c r="B360" s="621">
        <v>32234</v>
      </c>
      <c r="C360" s="1225">
        <v>59.524999999999999</v>
      </c>
      <c r="D360" s="1430">
        <f t="shared" si="28"/>
        <v>56.280279114834201</v>
      </c>
      <c r="L360"/>
    </row>
    <row r="361" spans="2:12" ht="15.75">
      <c r="B361" s="621">
        <v>32264</v>
      </c>
      <c r="C361" s="1225">
        <v>59.61</v>
      </c>
      <c r="D361" s="1430">
        <f t="shared" si="28"/>
        <v>56.360645746077601</v>
      </c>
      <c r="L361"/>
    </row>
    <row r="362" spans="2:12" ht="15.75">
      <c r="B362" s="621">
        <v>32295</v>
      </c>
      <c r="C362" s="1225">
        <v>59.61</v>
      </c>
      <c r="D362" s="1430">
        <f t="shared" si="28"/>
        <v>56.360645746077601</v>
      </c>
      <c r="L362"/>
    </row>
    <row r="363" spans="2:12" ht="15.75">
      <c r="B363" s="621">
        <v>32325</v>
      </c>
      <c r="C363" s="1225">
        <v>59.61</v>
      </c>
      <c r="D363" s="1430">
        <f t="shared" si="28"/>
        <v>56.360645746077601</v>
      </c>
      <c r="L363"/>
    </row>
    <row r="364" spans="2:12" ht="15.75">
      <c r="B364" s="621">
        <v>32356</v>
      </c>
      <c r="C364" s="1225">
        <v>59.61</v>
      </c>
      <c r="D364" s="1430">
        <f t="shared" si="28"/>
        <v>56.360645746077601</v>
      </c>
      <c r="L364"/>
    </row>
    <row r="365" spans="2:12" ht="15.75">
      <c r="B365" s="621">
        <v>32387</v>
      </c>
      <c r="C365" s="1225">
        <v>59.694000000000003</v>
      </c>
      <c r="D365" s="1430">
        <f t="shared" si="28"/>
        <v>56.440066887541597</v>
      </c>
      <c r="L365"/>
    </row>
    <row r="366" spans="2:12" ht="15.75">
      <c r="B366" s="621">
        <v>32417</v>
      </c>
      <c r="C366" s="1225">
        <v>59.777999999999999</v>
      </c>
      <c r="D366" s="1430">
        <f t="shared" si="28"/>
        <v>56.519488029005601</v>
      </c>
      <c r="L366"/>
    </row>
    <row r="367" spans="2:12" ht="15.75">
      <c r="B367" s="621">
        <v>32448</v>
      </c>
      <c r="C367" s="1225">
        <v>60.030999999999999</v>
      </c>
      <c r="D367" s="1430">
        <f t="shared" si="28"/>
        <v>56.758696943177</v>
      </c>
      <c r="L367"/>
    </row>
    <row r="368" spans="2:12" ht="15.75">
      <c r="B368" s="621">
        <v>32478</v>
      </c>
      <c r="C368" s="1225">
        <v>60.115000000000002</v>
      </c>
      <c r="D368" s="1430">
        <f t="shared" si="28"/>
        <v>56.838118084641003</v>
      </c>
      <c r="L368"/>
    </row>
    <row r="369" spans="2:12" ht="15.75">
      <c r="B369" s="621">
        <v>32509</v>
      </c>
      <c r="C369" s="1225">
        <v>60.62</v>
      </c>
      <c r="D369" s="1430">
        <f t="shared" si="28"/>
        <v>57.315590423204497</v>
      </c>
      <c r="L369"/>
    </row>
    <row r="370" spans="2:12" ht="15.75">
      <c r="B370" s="621">
        <v>32540</v>
      </c>
      <c r="C370" s="1225">
        <v>60.957000000000001</v>
      </c>
      <c r="D370" s="1430">
        <f t="shared" si="28"/>
        <v>57.6342204788399</v>
      </c>
      <c r="L370"/>
    </row>
    <row r="371" spans="2:12" ht="15.75">
      <c r="B371" s="621">
        <v>32568</v>
      </c>
      <c r="C371" s="1225">
        <v>60.957000000000001</v>
      </c>
      <c r="D371" s="1430">
        <f t="shared" si="28"/>
        <v>57.6342204788399</v>
      </c>
      <c r="L371"/>
    </row>
    <row r="372" spans="2:12" ht="15.75">
      <c r="B372" s="621">
        <v>32599</v>
      </c>
      <c r="C372" s="1225">
        <v>61.209000000000003</v>
      </c>
      <c r="D372" s="1430">
        <f t="shared" si="28"/>
        <v>57.872483903232002</v>
      </c>
      <c r="L372"/>
    </row>
    <row r="373" spans="2:12" ht="15.75">
      <c r="B373" s="621">
        <v>32629</v>
      </c>
      <c r="C373" s="1225">
        <v>61.378</v>
      </c>
      <c r="D373" s="1430">
        <f t="shared" si="28"/>
        <v>58.032271675939398</v>
      </c>
      <c r="L373"/>
    </row>
    <row r="374" spans="2:12" ht="15.75">
      <c r="B374" s="621">
        <v>32660</v>
      </c>
      <c r="C374" s="1225">
        <v>61.292999999999999</v>
      </c>
      <c r="D374" s="1430">
        <f t="shared" si="28"/>
        <v>57.951905044695998</v>
      </c>
      <c r="L374"/>
    </row>
    <row r="375" spans="2:12" ht="15.75">
      <c r="B375" s="621">
        <v>32690</v>
      </c>
      <c r="C375" s="1225">
        <v>61.292999999999999</v>
      </c>
      <c r="D375" s="1430">
        <f t="shared" si="28"/>
        <v>57.951905044695998</v>
      </c>
      <c r="L375"/>
    </row>
    <row r="376" spans="2:12" ht="15.75">
      <c r="B376" s="621">
        <v>32721</v>
      </c>
      <c r="C376" s="1225">
        <v>61.292999999999999</v>
      </c>
      <c r="D376" s="1430">
        <f t="shared" si="28"/>
        <v>57.951905044695998</v>
      </c>
      <c r="L376"/>
    </row>
    <row r="377" spans="2:12" ht="15.75">
      <c r="B377" s="621">
        <v>32752</v>
      </c>
      <c r="C377" s="1225">
        <v>61.462000000000003</v>
      </c>
      <c r="D377" s="1430">
        <f t="shared" si="28"/>
        <v>58.111692817403402</v>
      </c>
      <c r="L377"/>
    </row>
    <row r="378" spans="2:12" ht="15.75">
      <c r="B378" s="621">
        <v>32782</v>
      </c>
      <c r="C378" s="1225">
        <v>61.63</v>
      </c>
      <c r="D378" s="1430">
        <f t="shared" si="28"/>
        <v>58.270535100331401</v>
      </c>
      <c r="L378"/>
    </row>
    <row r="379" spans="2:12" ht="15.75">
      <c r="B379" s="621">
        <v>32813</v>
      </c>
      <c r="C379" s="1225">
        <v>61.713999999999999</v>
      </c>
      <c r="D379" s="1430">
        <f t="shared" si="28"/>
        <v>58.349956241795397</v>
      </c>
      <c r="L379"/>
    </row>
    <row r="380" spans="2:12" ht="15.75">
      <c r="B380" s="621">
        <v>32843</v>
      </c>
      <c r="C380" s="1225">
        <v>61.883000000000003</v>
      </c>
      <c r="D380" s="1430">
        <f t="shared" si="28"/>
        <v>58.5097440145028</v>
      </c>
      <c r="L380"/>
    </row>
    <row r="381" spans="2:12" ht="15.75">
      <c r="B381" s="621">
        <v>32874</v>
      </c>
      <c r="C381" s="1225">
        <v>62.304000000000002</v>
      </c>
      <c r="D381" s="1430">
        <f t="shared" si="28"/>
        <v>58.907795211602298</v>
      </c>
      <c r="L381"/>
    </row>
    <row r="382" spans="2:12" ht="15.75">
      <c r="B382" s="621">
        <v>32905</v>
      </c>
      <c r="C382" s="1225">
        <v>62.640999999999998</v>
      </c>
      <c r="D382" s="1430">
        <f t="shared" si="28"/>
        <v>59.226425267237701</v>
      </c>
      <c r="L382"/>
    </row>
    <row r="383" spans="2:12" ht="15.75">
      <c r="B383" s="621">
        <v>32933</v>
      </c>
      <c r="C383" s="1225">
        <v>62.555999999999997</v>
      </c>
      <c r="D383" s="1430">
        <f t="shared" si="28"/>
        <v>59.146058635994301</v>
      </c>
      <c r="L383"/>
    </row>
    <row r="384" spans="2:12" ht="15.75">
      <c r="B384" s="621">
        <v>32964</v>
      </c>
      <c r="C384" s="1225">
        <v>62.640999999999998</v>
      </c>
      <c r="D384" s="1430">
        <f t="shared" si="28"/>
        <v>59.226425267237701</v>
      </c>
      <c r="L384"/>
    </row>
    <row r="385" spans="2:12" ht="15.75">
      <c r="B385" s="621">
        <v>32994</v>
      </c>
      <c r="C385" s="1225">
        <v>62.808999999999997</v>
      </c>
      <c r="D385" s="1430">
        <f t="shared" si="28"/>
        <v>59.3852675501657</v>
      </c>
      <c r="L385"/>
    </row>
    <row r="386" spans="2:12" ht="15.75">
      <c r="B386" s="621">
        <v>33025</v>
      </c>
      <c r="C386" s="1225">
        <v>62.725000000000001</v>
      </c>
      <c r="D386" s="1430">
        <f t="shared" si="28"/>
        <v>59.305846408701697</v>
      </c>
      <c r="L386"/>
    </row>
    <row r="387" spans="2:12" ht="15.75">
      <c r="B387" s="621">
        <v>33055</v>
      </c>
      <c r="C387" s="1225">
        <v>62.725000000000001</v>
      </c>
      <c r="D387" s="1430">
        <f t="shared" ref="D387:D392" si="29">ROUND(+D388*C387/C388,19)</f>
        <v>59.305846408701697</v>
      </c>
      <c r="L387"/>
    </row>
    <row r="388" spans="2:12" ht="15.75">
      <c r="B388" s="621">
        <v>33086</v>
      </c>
      <c r="C388" s="1225">
        <v>62.976999999999997</v>
      </c>
      <c r="D388" s="1430">
        <f t="shared" si="29"/>
        <v>59.544109833093799</v>
      </c>
      <c r="L388"/>
    </row>
    <row r="389" spans="2:12" ht="15.75">
      <c r="B389" s="621">
        <v>33117</v>
      </c>
      <c r="C389" s="1225">
        <v>63.314</v>
      </c>
      <c r="D389" s="1430">
        <f t="shared" si="29"/>
        <v>59.862739888729202</v>
      </c>
      <c r="L389"/>
    </row>
    <row r="390" spans="2:12" ht="15.75">
      <c r="B390" s="621">
        <v>33147</v>
      </c>
      <c r="C390" s="1225">
        <v>63.651000000000003</v>
      </c>
      <c r="D390" s="1430">
        <f t="shared" si="29"/>
        <v>60.181369944364597</v>
      </c>
      <c r="L390"/>
    </row>
    <row r="391" spans="2:12" ht="15.75">
      <c r="B391" s="621">
        <v>33178</v>
      </c>
      <c r="C391" s="1225">
        <v>63.567</v>
      </c>
      <c r="D391" s="1430">
        <f t="shared" si="29"/>
        <v>60.101948802900601</v>
      </c>
      <c r="L391"/>
    </row>
    <row r="392" spans="2:12" ht="15.75">
      <c r="B392" s="621">
        <v>33208</v>
      </c>
      <c r="C392" s="1225">
        <v>63.651000000000003</v>
      </c>
      <c r="D392" s="1430">
        <f t="shared" si="29"/>
        <v>60.181369944364597</v>
      </c>
      <c r="L392"/>
    </row>
    <row r="393" spans="2:12" ht="15.75">
      <c r="B393" s="621">
        <v>33239</v>
      </c>
      <c r="C393" s="1225">
        <v>63.988</v>
      </c>
      <c r="D393" s="1431">
        <v>60.5</v>
      </c>
      <c r="L393"/>
    </row>
    <row r="394" spans="2:12" ht="15.75">
      <c r="B394" s="621">
        <v>33270</v>
      </c>
      <c r="C394" s="1225">
        <v>64.268000000000001</v>
      </c>
      <c r="D394" s="1431">
        <v>60.8</v>
      </c>
      <c r="L394"/>
    </row>
    <row r="395" spans="2:12" ht="15.75">
      <c r="B395" s="621">
        <v>33298</v>
      </c>
      <c r="C395" s="1225">
        <v>64.268000000000001</v>
      </c>
      <c r="D395" s="1431">
        <v>60.8</v>
      </c>
      <c r="L395"/>
    </row>
    <row r="396" spans="2:12" ht="15.75">
      <c r="B396" s="621">
        <v>33329</v>
      </c>
      <c r="C396" s="1225">
        <v>64.546999999999997</v>
      </c>
      <c r="D396" s="1431">
        <v>61</v>
      </c>
      <c r="L396"/>
    </row>
    <row r="397" spans="2:12" ht="15.75">
      <c r="B397" s="621">
        <v>33359</v>
      </c>
      <c r="C397" s="1225">
        <v>64.733999999999995</v>
      </c>
      <c r="D397" s="1431">
        <v>61.1</v>
      </c>
      <c r="L397"/>
    </row>
    <row r="398" spans="2:12" ht="15.75">
      <c r="B398" s="621">
        <v>33390</v>
      </c>
      <c r="C398" s="1225">
        <v>65.106999999999999</v>
      </c>
      <c r="D398" s="1431">
        <v>61.5</v>
      </c>
      <c r="L398"/>
    </row>
    <row r="399" spans="2:12" ht="15.75">
      <c r="B399" s="621">
        <v>33420</v>
      </c>
      <c r="C399" s="1225">
        <v>65.852999999999994</v>
      </c>
      <c r="D399" s="1431">
        <v>62.2</v>
      </c>
      <c r="L399"/>
    </row>
    <row r="400" spans="2:12" ht="15.75">
      <c r="B400" s="621">
        <v>33451</v>
      </c>
      <c r="C400" s="1225">
        <v>65.852999999999994</v>
      </c>
      <c r="D400" s="1431">
        <v>62.2</v>
      </c>
      <c r="L400"/>
    </row>
    <row r="401" spans="2:12" ht="15.75">
      <c r="B401" s="621">
        <v>33482</v>
      </c>
      <c r="C401" s="1225">
        <v>65.852999999999994</v>
      </c>
      <c r="D401" s="1431">
        <v>62.2</v>
      </c>
      <c r="L401"/>
    </row>
    <row r="402" spans="2:12" ht="15.75">
      <c r="B402" s="621">
        <v>33512</v>
      </c>
      <c r="C402" s="1225">
        <v>66.879000000000005</v>
      </c>
      <c r="D402" s="1431">
        <v>63.2</v>
      </c>
      <c r="L402"/>
    </row>
    <row r="403" spans="2:12" ht="15.75">
      <c r="B403" s="621">
        <v>33543</v>
      </c>
      <c r="C403" s="1225">
        <v>67.159000000000006</v>
      </c>
      <c r="D403" s="1431">
        <v>63.4</v>
      </c>
      <c r="L403"/>
    </row>
    <row r="404" spans="2:12" ht="15.75">
      <c r="B404" s="621">
        <v>33573</v>
      </c>
      <c r="C404" s="1225">
        <v>67.251999999999995</v>
      </c>
      <c r="D404" s="1431">
        <v>63.5</v>
      </c>
      <c r="L404"/>
    </row>
    <row r="405" spans="2:12" ht="15.75">
      <c r="B405" s="621">
        <v>33604</v>
      </c>
      <c r="C405" s="1225">
        <v>67.625</v>
      </c>
      <c r="D405" s="1431">
        <v>63.9</v>
      </c>
      <c r="L405"/>
    </row>
    <row r="406" spans="2:12" ht="15.75">
      <c r="B406" s="621">
        <v>33635</v>
      </c>
      <c r="C406" s="1225">
        <v>67.998999999999995</v>
      </c>
      <c r="D406" s="1431">
        <v>64.3</v>
      </c>
      <c r="L406"/>
    </row>
    <row r="407" spans="2:12" ht="15.75">
      <c r="B407" s="621">
        <v>33664</v>
      </c>
      <c r="C407" s="1225">
        <v>68.278000000000006</v>
      </c>
      <c r="D407" s="1431">
        <v>64.5</v>
      </c>
      <c r="L407"/>
    </row>
    <row r="408" spans="2:12" ht="15.75">
      <c r="B408" s="621">
        <v>33695</v>
      </c>
      <c r="C408" s="1225">
        <v>68.558000000000007</v>
      </c>
      <c r="D408" s="1431">
        <v>64.7</v>
      </c>
      <c r="L408"/>
    </row>
    <row r="409" spans="2:12" ht="15.75">
      <c r="B409" s="621">
        <v>33725</v>
      </c>
      <c r="C409" s="1225">
        <v>68.745000000000005</v>
      </c>
      <c r="D409" s="1431">
        <v>64.900000000000006</v>
      </c>
      <c r="L409"/>
    </row>
    <row r="410" spans="2:12" ht="15.75">
      <c r="B410" s="621">
        <v>33756</v>
      </c>
      <c r="C410" s="1225">
        <v>68.930999999999997</v>
      </c>
      <c r="D410" s="1431">
        <v>65.099999999999994</v>
      </c>
      <c r="L410"/>
    </row>
    <row r="411" spans="2:12" ht="15.75">
      <c r="B411" s="621">
        <v>33786</v>
      </c>
      <c r="C411" s="1225">
        <v>69.117999999999995</v>
      </c>
      <c r="D411" s="1431">
        <v>65.3</v>
      </c>
      <c r="L411"/>
    </row>
    <row r="412" spans="2:12" ht="15.75">
      <c r="B412" s="621">
        <v>33817</v>
      </c>
      <c r="C412" s="1225">
        <v>69.117999999999995</v>
      </c>
      <c r="D412" s="1431">
        <v>65.3</v>
      </c>
      <c r="L412"/>
    </row>
    <row r="413" spans="2:12" ht="15.75">
      <c r="B413" s="621">
        <v>33848</v>
      </c>
      <c r="C413" s="1225">
        <v>69.117999999999995</v>
      </c>
      <c r="D413" s="1431">
        <v>65.3</v>
      </c>
      <c r="L413"/>
    </row>
    <row r="414" spans="2:12" ht="15.75">
      <c r="B414" s="621">
        <v>33878</v>
      </c>
      <c r="C414" s="1225">
        <v>69.117999999999995</v>
      </c>
      <c r="D414" s="1431">
        <v>65.3</v>
      </c>
      <c r="L414"/>
    </row>
    <row r="415" spans="2:12" ht="15.75">
      <c r="B415" s="621">
        <v>33909</v>
      </c>
      <c r="C415" s="1225">
        <v>69.397999999999996</v>
      </c>
      <c r="D415" s="1431">
        <v>65.599999999999994</v>
      </c>
      <c r="L415"/>
    </row>
    <row r="416" spans="2:12" ht="15.75">
      <c r="B416" s="621">
        <v>33939</v>
      </c>
      <c r="C416" s="1225">
        <v>69.491</v>
      </c>
      <c r="D416" s="1431">
        <v>65.7</v>
      </c>
      <c r="L416"/>
    </row>
    <row r="417" spans="2:12" ht="15.75">
      <c r="B417" s="621">
        <v>33970</v>
      </c>
      <c r="C417" s="1225">
        <v>70.703999999999994</v>
      </c>
      <c r="D417" s="1431">
        <v>66.8</v>
      </c>
      <c r="L417"/>
    </row>
    <row r="418" spans="2:12" ht="15.75">
      <c r="B418" s="621">
        <v>34001</v>
      </c>
      <c r="C418" s="1225">
        <v>71.263000000000005</v>
      </c>
      <c r="D418" s="1431">
        <v>67.3</v>
      </c>
      <c r="L418"/>
    </row>
    <row r="419" spans="2:12" ht="15.75">
      <c r="B419" s="621">
        <v>34029</v>
      </c>
      <c r="C419" s="1225">
        <v>71.45</v>
      </c>
      <c r="D419" s="1431">
        <v>67.5</v>
      </c>
      <c r="L419"/>
    </row>
    <row r="420" spans="2:12" ht="15.75">
      <c r="B420" s="621">
        <v>34060</v>
      </c>
      <c r="C420" s="1225">
        <v>71.635999999999996</v>
      </c>
      <c r="D420" s="1431">
        <v>67.7</v>
      </c>
      <c r="L420"/>
    </row>
    <row r="421" spans="2:12" ht="15.75">
      <c r="B421" s="621">
        <v>34090</v>
      </c>
      <c r="C421" s="1225">
        <v>71.73</v>
      </c>
      <c r="D421" s="1431">
        <v>67.8</v>
      </c>
      <c r="L421"/>
    </row>
    <row r="422" spans="2:12" ht="15.75">
      <c r="B422" s="621">
        <v>34121</v>
      </c>
      <c r="C422" s="1225">
        <v>71.915999999999997</v>
      </c>
      <c r="D422" s="1431">
        <v>68</v>
      </c>
      <c r="L422"/>
    </row>
    <row r="423" spans="2:12" ht="15.75">
      <c r="B423" s="621">
        <v>34151</v>
      </c>
      <c r="C423" s="1225">
        <v>72.289000000000001</v>
      </c>
      <c r="D423" s="1431">
        <v>68.3</v>
      </c>
      <c r="L423"/>
    </row>
    <row r="424" spans="2:12" ht="15.75">
      <c r="B424" s="621">
        <v>34182</v>
      </c>
      <c r="C424" s="1225">
        <v>72.289000000000001</v>
      </c>
      <c r="D424" s="1431">
        <v>68.3</v>
      </c>
      <c r="L424"/>
    </row>
    <row r="425" spans="2:12" ht="15.75">
      <c r="B425" s="621">
        <v>34213</v>
      </c>
      <c r="C425" s="1225">
        <v>72.195999999999998</v>
      </c>
      <c r="D425" s="1431">
        <v>68.2</v>
      </c>
      <c r="L425"/>
    </row>
    <row r="426" spans="2:12" ht="15.75">
      <c r="B426" s="621">
        <v>34243</v>
      </c>
      <c r="C426" s="1225">
        <v>72.195999999999998</v>
      </c>
      <c r="D426" s="1431">
        <v>68.2</v>
      </c>
      <c r="L426"/>
    </row>
    <row r="427" spans="2:12" ht="15.75">
      <c r="B427" s="621">
        <v>34274</v>
      </c>
      <c r="C427" s="1225">
        <v>72.289000000000001</v>
      </c>
      <c r="D427" s="1431">
        <v>68.3</v>
      </c>
      <c r="L427"/>
    </row>
    <row r="428" spans="2:12" ht="15.75">
      <c r="B428" s="621">
        <v>34304</v>
      </c>
      <c r="C428" s="1225">
        <v>72.475999999999999</v>
      </c>
      <c r="D428" s="1431">
        <v>68.5</v>
      </c>
      <c r="L428"/>
    </row>
    <row r="429" spans="2:12" ht="15.75">
      <c r="B429" s="621">
        <v>34335</v>
      </c>
      <c r="C429" s="1225">
        <v>72.849000000000004</v>
      </c>
      <c r="D429" s="1431">
        <v>68.8</v>
      </c>
      <c r="L429"/>
    </row>
    <row r="430" spans="2:12" ht="15.75">
      <c r="B430" s="621">
        <v>34366</v>
      </c>
      <c r="C430" s="1225">
        <v>73.409000000000006</v>
      </c>
      <c r="D430" s="1431">
        <v>69.400000000000006</v>
      </c>
      <c r="L430"/>
    </row>
    <row r="431" spans="2:12" ht="15.75">
      <c r="B431" s="621">
        <v>34394</v>
      </c>
      <c r="C431" s="1225">
        <v>73.501999999999995</v>
      </c>
      <c r="D431" s="1431">
        <v>69.5</v>
      </c>
      <c r="L431"/>
    </row>
    <row r="432" spans="2:12" ht="15.75">
      <c r="B432" s="621">
        <v>34425</v>
      </c>
      <c r="C432" s="1225">
        <v>73.594999999999999</v>
      </c>
      <c r="D432" s="1431">
        <v>69.599999999999994</v>
      </c>
      <c r="L432"/>
    </row>
    <row r="433" spans="2:12" ht="15.75">
      <c r="B433" s="621">
        <v>34455</v>
      </c>
      <c r="C433" s="1225">
        <v>73.781999999999996</v>
      </c>
      <c r="D433" s="1431">
        <v>69.7</v>
      </c>
      <c r="L433"/>
    </row>
    <row r="434" spans="2:12" ht="15.75">
      <c r="B434" s="621">
        <v>34486</v>
      </c>
      <c r="C434" s="1225">
        <v>73.875</v>
      </c>
      <c r="D434" s="1431">
        <v>69.8</v>
      </c>
      <c r="L434"/>
    </row>
    <row r="435" spans="2:12" ht="15.75">
      <c r="B435" s="621">
        <v>34516</v>
      </c>
      <c r="C435" s="1225">
        <v>74.061999999999998</v>
      </c>
      <c r="D435" s="1431">
        <v>69.900000000000006</v>
      </c>
      <c r="L435"/>
    </row>
    <row r="436" spans="2:12" ht="15.75">
      <c r="B436" s="621">
        <v>34547</v>
      </c>
      <c r="C436" s="1225">
        <v>74.248000000000005</v>
      </c>
      <c r="D436" s="1431">
        <v>70.099999999999994</v>
      </c>
      <c r="L436"/>
    </row>
    <row r="437" spans="2:12" ht="15.75">
      <c r="B437" s="621">
        <v>34578</v>
      </c>
      <c r="C437" s="1225">
        <v>74.061999999999998</v>
      </c>
      <c r="D437" s="1431">
        <v>69.900000000000006</v>
      </c>
      <c r="L437"/>
    </row>
    <row r="438" spans="2:12" ht="15.75">
      <c r="B438" s="621">
        <v>34608</v>
      </c>
      <c r="C438" s="1225">
        <v>73.968000000000004</v>
      </c>
      <c r="D438" s="1431">
        <v>69.8</v>
      </c>
      <c r="L438"/>
    </row>
    <row r="439" spans="2:12" ht="15.75">
      <c r="B439" s="621">
        <v>34639</v>
      </c>
      <c r="C439" s="1225">
        <v>74.061999999999998</v>
      </c>
      <c r="D439" s="1431">
        <v>69.900000000000006</v>
      </c>
      <c r="L439"/>
    </row>
    <row r="440" spans="2:12" ht="15.75">
      <c r="B440" s="621">
        <v>34669</v>
      </c>
      <c r="C440" s="1225">
        <v>74.248000000000005</v>
      </c>
      <c r="D440" s="1431">
        <v>70.099999999999994</v>
      </c>
      <c r="L440"/>
    </row>
    <row r="441" spans="2:12" ht="15.75">
      <c r="B441" s="621">
        <v>34700</v>
      </c>
      <c r="C441" s="1225">
        <v>74.528000000000006</v>
      </c>
      <c r="D441" s="1431">
        <v>70.400000000000006</v>
      </c>
      <c r="L441"/>
    </row>
    <row r="442" spans="2:12" ht="15.75">
      <c r="B442" s="621">
        <v>34731</v>
      </c>
      <c r="C442" s="1225">
        <v>74.900999999999996</v>
      </c>
      <c r="D442" s="1431">
        <v>70.8</v>
      </c>
      <c r="L442"/>
    </row>
    <row r="443" spans="2:12" ht="15.75">
      <c r="B443" s="621">
        <v>34759</v>
      </c>
      <c r="C443" s="1225">
        <v>74.900999999999996</v>
      </c>
      <c r="D443" s="1431">
        <v>70.8</v>
      </c>
      <c r="L443"/>
    </row>
    <row r="444" spans="2:12" ht="15.75">
      <c r="B444" s="621">
        <v>34790</v>
      </c>
      <c r="C444" s="1225">
        <v>74.994</v>
      </c>
      <c r="D444" s="1431">
        <v>70.900000000000006</v>
      </c>
      <c r="L444"/>
    </row>
    <row r="445" spans="2:12" ht="15.75">
      <c r="B445" s="621">
        <v>34820</v>
      </c>
      <c r="C445" s="1225">
        <v>74.994</v>
      </c>
      <c r="D445" s="1431">
        <v>70.900000000000006</v>
      </c>
      <c r="L445"/>
    </row>
    <row r="446" spans="2:12" ht="15.75">
      <c r="B446" s="621">
        <v>34851</v>
      </c>
      <c r="C446" s="1225">
        <v>75.087999999999994</v>
      </c>
      <c r="D446" s="1431">
        <v>71</v>
      </c>
      <c r="L446"/>
    </row>
    <row r="447" spans="2:12" ht="15.75">
      <c r="B447" s="621">
        <v>34881</v>
      </c>
      <c r="C447" s="1225">
        <v>75.274000000000001</v>
      </c>
      <c r="D447" s="1431">
        <v>71.2</v>
      </c>
      <c r="L447"/>
    </row>
    <row r="448" spans="2:12" ht="15.75">
      <c r="B448" s="621">
        <v>34912</v>
      </c>
      <c r="C448" s="1225">
        <v>75.274000000000001</v>
      </c>
      <c r="D448" s="1431">
        <v>71.2</v>
      </c>
      <c r="L448"/>
    </row>
    <row r="449" spans="2:12" ht="15.75">
      <c r="B449" s="621">
        <v>34943</v>
      </c>
      <c r="C449" s="1225">
        <v>75.274000000000001</v>
      </c>
      <c r="D449" s="1431">
        <v>71.2</v>
      </c>
      <c r="L449"/>
    </row>
    <row r="450" spans="2:12" ht="15.75">
      <c r="B450" s="621">
        <v>34973</v>
      </c>
      <c r="C450" s="1225">
        <v>75.087999999999994</v>
      </c>
      <c r="D450" s="1431">
        <v>71</v>
      </c>
      <c r="L450"/>
    </row>
    <row r="451" spans="2:12" ht="15.75">
      <c r="B451" s="621">
        <v>35004</v>
      </c>
      <c r="C451" s="1225">
        <v>75.087999999999994</v>
      </c>
      <c r="D451" s="1431">
        <v>71</v>
      </c>
      <c r="L451"/>
    </row>
    <row r="452" spans="2:12" ht="15.75">
      <c r="B452" s="621">
        <v>35034</v>
      </c>
      <c r="C452" s="1225">
        <v>75.367000000000004</v>
      </c>
      <c r="D452" s="1431">
        <v>71.2</v>
      </c>
      <c r="L452"/>
    </row>
    <row r="453" spans="2:12" ht="15.75">
      <c r="B453" s="621">
        <v>35065</v>
      </c>
      <c r="C453" s="1225">
        <v>75.554000000000002</v>
      </c>
      <c r="D453" s="1431">
        <v>71.400000000000006</v>
      </c>
      <c r="L453"/>
    </row>
    <row r="454" spans="2:12" ht="15.75">
      <c r="B454" s="621">
        <v>35096</v>
      </c>
      <c r="C454" s="1225">
        <v>76.02</v>
      </c>
      <c r="D454" s="1431">
        <v>71.8</v>
      </c>
      <c r="L454"/>
    </row>
    <row r="455" spans="2:12" ht="15.75">
      <c r="B455" s="621">
        <v>35125</v>
      </c>
      <c r="C455" s="1225">
        <v>76.02</v>
      </c>
      <c r="D455" s="1431">
        <v>71.8</v>
      </c>
      <c r="L455"/>
    </row>
    <row r="456" spans="2:12" ht="15.75">
      <c r="B456" s="621">
        <v>35156</v>
      </c>
      <c r="C456" s="1225">
        <v>76.02</v>
      </c>
      <c r="D456" s="1431">
        <v>71.8</v>
      </c>
      <c r="L456"/>
    </row>
    <row r="457" spans="2:12" ht="15.75">
      <c r="B457" s="621">
        <v>35186</v>
      </c>
      <c r="C457" s="1225">
        <v>76.114000000000004</v>
      </c>
      <c r="D457" s="1431">
        <v>71.900000000000006</v>
      </c>
      <c r="L457"/>
    </row>
    <row r="458" spans="2:12" ht="15.75">
      <c r="B458" s="621">
        <v>35217</v>
      </c>
      <c r="C458" s="1225">
        <v>76.206999999999994</v>
      </c>
      <c r="D458" s="1431">
        <v>72</v>
      </c>
      <c r="L458"/>
    </row>
    <row r="459" spans="2:12" ht="15.75">
      <c r="B459" s="621">
        <v>35247</v>
      </c>
      <c r="C459" s="1225">
        <v>76.3</v>
      </c>
      <c r="D459" s="1431">
        <v>72.099999999999994</v>
      </c>
      <c r="L459"/>
    </row>
    <row r="460" spans="2:12" ht="15.75">
      <c r="B460" s="621">
        <v>35278</v>
      </c>
      <c r="C460" s="1225">
        <v>76.3</v>
      </c>
      <c r="D460" s="1431">
        <v>72.099999999999994</v>
      </c>
      <c r="L460"/>
    </row>
    <row r="461" spans="2:12" ht="15.75">
      <c r="B461" s="621">
        <v>35309</v>
      </c>
      <c r="C461" s="1225">
        <v>76.3</v>
      </c>
      <c r="D461" s="1431">
        <v>72.099999999999994</v>
      </c>
      <c r="L461"/>
    </row>
    <row r="462" spans="2:12" ht="15.75">
      <c r="B462" s="621">
        <v>35339</v>
      </c>
      <c r="C462" s="1225">
        <v>76.3</v>
      </c>
      <c r="D462" s="1431">
        <v>72.099999999999994</v>
      </c>
      <c r="L462"/>
    </row>
    <row r="463" spans="2:12" ht="15.75">
      <c r="B463" s="621">
        <v>35370</v>
      </c>
      <c r="C463" s="1225">
        <v>76.206999999999994</v>
      </c>
      <c r="D463" s="1431">
        <v>72</v>
      </c>
      <c r="L463"/>
    </row>
    <row r="464" spans="2:12" ht="15.75">
      <c r="B464" s="621">
        <v>35400</v>
      </c>
      <c r="C464" s="1225">
        <v>76.486999999999995</v>
      </c>
      <c r="D464" s="1431">
        <v>72.3</v>
      </c>
      <c r="L464"/>
    </row>
    <row r="465" spans="2:12" ht="15.75">
      <c r="B465" s="621">
        <v>35431</v>
      </c>
      <c r="C465" s="1225">
        <v>77.14</v>
      </c>
      <c r="D465" s="1431">
        <v>72.900000000000006</v>
      </c>
      <c r="L465"/>
    </row>
    <row r="466" spans="2:12" ht="15.75">
      <c r="B466" s="621">
        <v>35462</v>
      </c>
      <c r="C466" s="1225">
        <v>77.233000000000004</v>
      </c>
      <c r="D466" s="1431">
        <v>73</v>
      </c>
      <c r="L466"/>
    </row>
    <row r="467" spans="2:12" ht="15.75">
      <c r="B467" s="621">
        <v>35490</v>
      </c>
      <c r="C467" s="1225">
        <v>77.233000000000004</v>
      </c>
      <c r="D467" s="1431">
        <v>73</v>
      </c>
      <c r="L467"/>
    </row>
    <row r="468" spans="2:12" ht="15.75">
      <c r="B468" s="621">
        <v>35521</v>
      </c>
      <c r="C468" s="1225">
        <v>77.14</v>
      </c>
      <c r="D468" s="1431">
        <v>72.900000000000006</v>
      </c>
      <c r="L468"/>
    </row>
    <row r="469" spans="2:12" ht="15.75">
      <c r="B469" s="621">
        <v>35551</v>
      </c>
      <c r="C469" s="1225">
        <v>77.325999999999993</v>
      </c>
      <c r="D469" s="1431">
        <v>73.099999999999994</v>
      </c>
      <c r="L469"/>
    </row>
    <row r="470" spans="2:12" ht="15.75">
      <c r="B470" s="621">
        <v>35582</v>
      </c>
      <c r="C470" s="1225">
        <v>77.42</v>
      </c>
      <c r="D470" s="1431">
        <v>73.099999999999994</v>
      </c>
      <c r="L470"/>
    </row>
    <row r="471" spans="2:12" ht="15.75">
      <c r="B471" s="621">
        <v>35612</v>
      </c>
      <c r="C471" s="1225">
        <v>78.072000000000003</v>
      </c>
      <c r="D471" s="1431">
        <v>73.8</v>
      </c>
      <c r="L471"/>
    </row>
    <row r="472" spans="2:12" ht="15.75">
      <c r="B472" s="621">
        <v>35643</v>
      </c>
      <c r="C472" s="1225">
        <v>78.165999999999997</v>
      </c>
      <c r="D472" s="1431">
        <v>73.8</v>
      </c>
      <c r="L472"/>
    </row>
    <row r="473" spans="2:12" ht="15.75">
      <c r="B473" s="621">
        <v>35674</v>
      </c>
      <c r="C473" s="1225">
        <v>77.978999999999999</v>
      </c>
      <c r="D473" s="1431">
        <v>73.7</v>
      </c>
      <c r="L473"/>
    </row>
    <row r="474" spans="2:12" ht="15.75">
      <c r="B474" s="621">
        <v>35704</v>
      </c>
      <c r="C474" s="1225">
        <v>77.885999999999996</v>
      </c>
      <c r="D474" s="1431">
        <v>73.599999999999994</v>
      </c>
      <c r="L474"/>
    </row>
    <row r="475" spans="2:12" ht="15.75">
      <c r="B475" s="621">
        <v>35735</v>
      </c>
      <c r="C475" s="1225">
        <v>77.885999999999996</v>
      </c>
      <c r="D475" s="1431">
        <v>73.599999999999994</v>
      </c>
      <c r="L475"/>
    </row>
    <row r="476" spans="2:12" ht="15.75">
      <c r="B476" s="621">
        <v>35765</v>
      </c>
      <c r="C476" s="1225">
        <v>78.072000000000003</v>
      </c>
      <c r="D476" s="1431">
        <v>73.8</v>
      </c>
      <c r="L476"/>
    </row>
    <row r="477" spans="2:12" ht="15.75">
      <c r="B477" s="621">
        <v>35796</v>
      </c>
      <c r="C477" s="1225">
        <v>78.072000000000003</v>
      </c>
      <c r="D477" s="1431">
        <v>73.8</v>
      </c>
      <c r="L477"/>
    </row>
    <row r="478" spans="2:12" ht="15.75">
      <c r="B478" s="621">
        <v>35827</v>
      </c>
      <c r="C478" s="1225">
        <v>78.259</v>
      </c>
      <c r="D478" s="1431">
        <v>73.900000000000006</v>
      </c>
      <c r="L478"/>
    </row>
    <row r="479" spans="2:12" ht="15.75">
      <c r="B479" s="621">
        <v>35855</v>
      </c>
      <c r="C479" s="1225">
        <v>78.165999999999997</v>
      </c>
      <c r="D479" s="1431">
        <v>73.8</v>
      </c>
      <c r="L479"/>
    </row>
    <row r="480" spans="2:12" ht="15.75">
      <c r="B480" s="621">
        <v>35886</v>
      </c>
      <c r="C480" s="1225">
        <v>78.259</v>
      </c>
      <c r="D480" s="1431">
        <v>73.900000000000006</v>
      </c>
      <c r="L480"/>
    </row>
    <row r="481" spans="2:12" ht="15.75">
      <c r="B481" s="621">
        <v>35916</v>
      </c>
      <c r="C481" s="1225">
        <v>78.352000000000004</v>
      </c>
      <c r="D481" s="1431">
        <v>74</v>
      </c>
      <c r="L481"/>
    </row>
    <row r="482" spans="2:12" ht="15.75">
      <c r="B482" s="621">
        <v>35947</v>
      </c>
      <c r="C482" s="1225">
        <v>78.445999999999998</v>
      </c>
      <c r="D482" s="1431">
        <v>74.099999999999994</v>
      </c>
      <c r="L482"/>
    </row>
    <row r="483" spans="2:12" ht="15.75">
      <c r="B483" s="621">
        <v>35977</v>
      </c>
      <c r="C483" s="1225">
        <v>78.724999999999994</v>
      </c>
      <c r="D483" s="1431">
        <v>74.400000000000006</v>
      </c>
      <c r="L483"/>
    </row>
    <row r="484" spans="2:12" ht="15.75">
      <c r="B484" s="621">
        <v>36008</v>
      </c>
      <c r="C484" s="1225">
        <v>78.539000000000001</v>
      </c>
      <c r="D484" s="1431">
        <v>74.2</v>
      </c>
      <c r="L484"/>
    </row>
    <row r="485" spans="2:12" ht="15.75">
      <c r="B485" s="621">
        <v>36039</v>
      </c>
      <c r="C485" s="1225">
        <v>78.352000000000004</v>
      </c>
      <c r="D485" s="1431">
        <v>74</v>
      </c>
      <c r="L485"/>
    </row>
    <row r="486" spans="2:12" ht="15.75">
      <c r="B486" s="621">
        <v>36069</v>
      </c>
      <c r="C486" s="1225">
        <v>78.259</v>
      </c>
      <c r="D486" s="1431">
        <v>73.900000000000006</v>
      </c>
      <c r="L486"/>
    </row>
    <row r="487" spans="2:12" ht="15.75">
      <c r="B487" s="621">
        <v>36100</v>
      </c>
      <c r="C487" s="1225">
        <v>78.259</v>
      </c>
      <c r="D487" s="1431">
        <v>73.900000000000006</v>
      </c>
      <c r="L487"/>
    </row>
    <row r="488" spans="2:12" ht="15.75">
      <c r="B488" s="621">
        <v>36130</v>
      </c>
      <c r="C488" s="1225">
        <v>78.352000000000004</v>
      </c>
      <c r="D488" s="1431">
        <v>74</v>
      </c>
      <c r="L488"/>
    </row>
    <row r="489" spans="2:12" ht="15.75">
      <c r="B489" s="621">
        <v>36161</v>
      </c>
      <c r="C489" s="1225">
        <v>78.259</v>
      </c>
      <c r="D489" s="1431">
        <v>73.900000000000006</v>
      </c>
      <c r="L489"/>
    </row>
    <row r="490" spans="2:12" ht="15.75">
      <c r="B490" s="621">
        <v>36192</v>
      </c>
      <c r="C490" s="1225">
        <v>78.352000000000004</v>
      </c>
      <c r="D490" s="1431">
        <v>74</v>
      </c>
      <c r="L490"/>
    </row>
    <row r="491" spans="2:12" ht="15.75">
      <c r="B491" s="621">
        <v>36220</v>
      </c>
      <c r="C491" s="1225">
        <v>78.352000000000004</v>
      </c>
      <c r="D491" s="1431">
        <v>74</v>
      </c>
      <c r="L491"/>
    </row>
    <row r="492" spans="2:12" ht="15.75">
      <c r="B492" s="621">
        <v>36251</v>
      </c>
      <c r="C492" s="1225">
        <v>78.724999999999994</v>
      </c>
      <c r="D492" s="1431">
        <v>74.400000000000006</v>
      </c>
      <c r="L492"/>
    </row>
    <row r="493" spans="2:12" ht="15.75">
      <c r="B493" s="621">
        <v>36281</v>
      </c>
      <c r="C493" s="1225">
        <v>78.724999999999994</v>
      </c>
      <c r="D493" s="1431">
        <v>74.400000000000006</v>
      </c>
      <c r="L493"/>
    </row>
    <row r="494" spans="2:12" ht="15.75">
      <c r="B494" s="621">
        <v>36312</v>
      </c>
      <c r="C494" s="1225">
        <v>78.819000000000003</v>
      </c>
      <c r="D494" s="1431">
        <v>74.5</v>
      </c>
      <c r="L494"/>
    </row>
    <row r="495" spans="2:12" ht="15.75">
      <c r="B495" s="621">
        <v>36342</v>
      </c>
      <c r="C495" s="1225">
        <v>79.191999999999993</v>
      </c>
      <c r="D495" s="1431">
        <v>74.8</v>
      </c>
      <c r="L495"/>
    </row>
    <row r="496" spans="2:12" ht="15.75">
      <c r="B496" s="621">
        <v>36373</v>
      </c>
      <c r="C496" s="1225">
        <v>79.097999999999999</v>
      </c>
      <c r="D496" s="1431">
        <v>74.8</v>
      </c>
      <c r="L496"/>
    </row>
    <row r="497" spans="2:12" ht="15.75">
      <c r="B497" s="621">
        <v>36404</v>
      </c>
      <c r="C497" s="1225">
        <v>78.912000000000006</v>
      </c>
      <c r="D497" s="1431">
        <v>74.599999999999994</v>
      </c>
      <c r="L497"/>
    </row>
    <row r="498" spans="2:12" ht="15.75">
      <c r="B498" s="621">
        <v>36434</v>
      </c>
      <c r="C498" s="1225">
        <v>78.819000000000003</v>
      </c>
      <c r="D498" s="1431">
        <v>74.5</v>
      </c>
      <c r="L498"/>
    </row>
    <row r="499" spans="2:12" ht="15.75">
      <c r="B499" s="621">
        <v>36465</v>
      </c>
      <c r="C499" s="1225">
        <v>79.004999999999995</v>
      </c>
      <c r="D499" s="1431">
        <v>74.7</v>
      </c>
      <c r="L499"/>
    </row>
    <row r="500" spans="2:12" ht="15.75">
      <c r="B500" s="621">
        <v>36495</v>
      </c>
      <c r="C500" s="1225">
        <v>79.284999999999997</v>
      </c>
      <c r="D500" s="1431">
        <v>74.900000000000006</v>
      </c>
      <c r="L500"/>
    </row>
    <row r="501" spans="2:12" ht="15.75">
      <c r="B501" s="621">
        <v>36526</v>
      </c>
      <c r="C501" s="1225">
        <v>79.471999999999994</v>
      </c>
      <c r="D501" s="1431">
        <v>75.099999999999994</v>
      </c>
      <c r="L501"/>
    </row>
    <row r="502" spans="2:12" ht="15.75">
      <c r="B502" s="621">
        <v>36557</v>
      </c>
      <c r="C502" s="1225">
        <v>79.564999999999998</v>
      </c>
      <c r="D502" s="1431">
        <v>75.099999999999994</v>
      </c>
      <c r="L502"/>
    </row>
    <row r="503" spans="2:12" ht="15.75">
      <c r="B503" s="621">
        <v>36586</v>
      </c>
      <c r="C503" s="1225">
        <v>79.564999999999998</v>
      </c>
      <c r="D503" s="1431">
        <v>75.099999999999994</v>
      </c>
      <c r="L503"/>
    </row>
    <row r="504" spans="2:12" ht="15.75">
      <c r="B504" s="621">
        <v>36617</v>
      </c>
      <c r="C504" s="1225">
        <v>79.564999999999998</v>
      </c>
      <c r="D504" s="1431">
        <v>75.099999999999994</v>
      </c>
      <c r="L504"/>
    </row>
    <row r="505" spans="2:12" ht="15.75">
      <c r="B505" s="621">
        <v>36647</v>
      </c>
      <c r="C505" s="1225">
        <v>79.471999999999994</v>
      </c>
      <c r="D505" s="1431">
        <v>75.099999999999994</v>
      </c>
      <c r="L505"/>
    </row>
    <row r="506" spans="2:12" ht="15.75">
      <c r="B506" s="621">
        <v>36678</v>
      </c>
      <c r="C506" s="1225">
        <v>79.844999999999999</v>
      </c>
      <c r="D506" s="1431">
        <v>75.400000000000006</v>
      </c>
      <c r="L506"/>
    </row>
    <row r="507" spans="2:12" ht="15.75">
      <c r="B507" s="621">
        <v>36708</v>
      </c>
      <c r="C507" s="1225">
        <v>80.218000000000004</v>
      </c>
      <c r="D507" s="1431">
        <v>75.8</v>
      </c>
      <c r="L507"/>
    </row>
    <row r="508" spans="2:12" ht="15.75">
      <c r="B508" s="621">
        <v>36739</v>
      </c>
      <c r="C508" s="1225">
        <v>80.031000000000006</v>
      </c>
      <c r="D508" s="1431">
        <v>75.599999999999994</v>
      </c>
      <c r="L508"/>
    </row>
    <row r="509" spans="2:12" ht="15.75">
      <c r="B509" s="621">
        <v>36770</v>
      </c>
      <c r="C509" s="1225">
        <v>80.218000000000004</v>
      </c>
      <c r="D509" s="1431">
        <v>75.8</v>
      </c>
      <c r="L509"/>
    </row>
    <row r="510" spans="2:12" ht="15.75">
      <c r="B510" s="621">
        <v>36800</v>
      </c>
      <c r="C510" s="1225">
        <v>80.125</v>
      </c>
      <c r="D510" s="1431">
        <v>75.7</v>
      </c>
      <c r="L510"/>
    </row>
    <row r="511" spans="2:12" ht="15.75">
      <c r="B511" s="621">
        <v>36831</v>
      </c>
      <c r="C511" s="1225">
        <v>80.218000000000004</v>
      </c>
      <c r="D511" s="1431">
        <v>75.8</v>
      </c>
      <c r="L511"/>
    </row>
    <row r="512" spans="2:12" ht="15.75">
      <c r="B512" s="621">
        <v>36861</v>
      </c>
      <c r="C512" s="1225">
        <v>80.870999999999995</v>
      </c>
      <c r="D512" s="1431">
        <v>76.400000000000006</v>
      </c>
      <c r="L512"/>
    </row>
    <row r="513" spans="2:12" ht="15.75">
      <c r="B513" s="621">
        <v>36892</v>
      </c>
      <c r="C513" s="1225">
        <v>80.590999999999994</v>
      </c>
      <c r="D513" s="1431">
        <v>76.2</v>
      </c>
      <c r="L513"/>
    </row>
    <row r="514" spans="2:12" ht="15.75">
      <c r="B514" s="621">
        <v>36923</v>
      </c>
      <c r="C514" s="1225">
        <v>81.057000000000002</v>
      </c>
      <c r="D514" s="1431">
        <v>76.599999999999994</v>
      </c>
      <c r="L514"/>
    </row>
    <row r="515" spans="2:12" ht="15.75">
      <c r="B515" s="621">
        <v>36951</v>
      </c>
      <c r="C515" s="1225">
        <v>81.057000000000002</v>
      </c>
      <c r="D515" s="1431">
        <v>76.599999999999994</v>
      </c>
      <c r="L515"/>
    </row>
    <row r="516" spans="2:12" ht="15.75">
      <c r="B516" s="621">
        <v>36982</v>
      </c>
      <c r="C516" s="1225">
        <v>81.430000000000007</v>
      </c>
      <c r="D516" s="1431">
        <v>76.900000000000006</v>
      </c>
      <c r="L516"/>
    </row>
    <row r="517" spans="2:12" ht="15.75">
      <c r="B517" s="621">
        <v>37012</v>
      </c>
      <c r="C517" s="1225">
        <v>81.709999999999994</v>
      </c>
      <c r="D517" s="1431">
        <v>77.2</v>
      </c>
      <c r="L517"/>
    </row>
    <row r="518" spans="2:12" ht="15.75">
      <c r="B518" s="621">
        <v>37043</v>
      </c>
      <c r="C518" s="1225">
        <v>81.804000000000002</v>
      </c>
      <c r="D518" s="1431">
        <v>77.3</v>
      </c>
      <c r="L518"/>
    </row>
    <row r="519" spans="2:12" ht="15.75">
      <c r="B519" s="621">
        <v>37073</v>
      </c>
      <c r="C519" s="1225">
        <v>81.897000000000006</v>
      </c>
      <c r="D519" s="1431">
        <v>77.400000000000006</v>
      </c>
      <c r="L519"/>
    </row>
    <row r="520" spans="2:12" ht="15.75">
      <c r="B520" s="621">
        <v>37104</v>
      </c>
      <c r="C520" s="1225">
        <v>81.709999999999994</v>
      </c>
      <c r="D520" s="1431">
        <v>77.2</v>
      </c>
      <c r="L520"/>
    </row>
    <row r="521" spans="2:12" ht="15.75">
      <c r="B521" s="621">
        <v>37135</v>
      </c>
      <c r="C521" s="1225">
        <v>81.709999999999994</v>
      </c>
      <c r="D521" s="1431">
        <v>77.2</v>
      </c>
      <c r="L521"/>
    </row>
    <row r="522" spans="2:12" ht="15.75">
      <c r="B522" s="621">
        <v>37165</v>
      </c>
      <c r="C522" s="1225">
        <v>81.617000000000004</v>
      </c>
      <c r="D522" s="1431">
        <v>77.099999999999994</v>
      </c>
      <c r="L522"/>
    </row>
    <row r="523" spans="2:12" ht="15.75">
      <c r="B523" s="621">
        <v>37196</v>
      </c>
      <c r="C523" s="1225">
        <v>81.430000000000007</v>
      </c>
      <c r="D523" s="1431">
        <v>76.900000000000006</v>
      </c>
      <c r="L523"/>
    </row>
    <row r="524" spans="2:12" ht="15.75">
      <c r="B524" s="621">
        <v>37226</v>
      </c>
      <c r="C524" s="1225">
        <v>82.177000000000007</v>
      </c>
      <c r="D524" s="1431">
        <v>77.7</v>
      </c>
      <c r="L524"/>
    </row>
    <row r="525" spans="2:12" ht="15.75">
      <c r="B525" s="621">
        <v>37257</v>
      </c>
      <c r="C525" s="1225">
        <v>82.27</v>
      </c>
      <c r="D525" s="1431">
        <v>77.7</v>
      </c>
      <c r="L525"/>
    </row>
    <row r="526" spans="2:12" ht="15.75">
      <c r="B526" s="621">
        <v>37288</v>
      </c>
      <c r="C526" s="1225">
        <v>82.55</v>
      </c>
      <c r="D526" s="1431">
        <v>78</v>
      </c>
      <c r="L526"/>
    </row>
    <row r="527" spans="2:12" ht="15.75">
      <c r="B527" s="621">
        <v>37316</v>
      </c>
      <c r="C527" s="1225">
        <v>82.736000000000004</v>
      </c>
      <c r="D527" s="1431">
        <v>78.2</v>
      </c>
      <c r="L527"/>
    </row>
    <row r="528" spans="2:12" ht="15.75">
      <c r="B528" s="621">
        <v>37347</v>
      </c>
      <c r="C528" s="1225">
        <v>82.643000000000001</v>
      </c>
      <c r="D528" s="1431">
        <v>78.099999999999994</v>
      </c>
      <c r="L528"/>
    </row>
    <row r="529" spans="2:12" ht="15.75">
      <c r="B529" s="621">
        <v>37377</v>
      </c>
      <c r="C529" s="1225">
        <v>82.736000000000004</v>
      </c>
      <c r="D529" s="1431">
        <v>78.2</v>
      </c>
      <c r="L529"/>
    </row>
    <row r="530" spans="2:12" ht="15.75">
      <c r="B530" s="621">
        <v>37408</v>
      </c>
      <c r="C530" s="1225">
        <v>82.736000000000004</v>
      </c>
      <c r="D530" s="1431">
        <v>78.2</v>
      </c>
      <c r="L530"/>
    </row>
    <row r="531" spans="2:12" ht="15.75">
      <c r="B531" s="621">
        <v>37438</v>
      </c>
      <c r="C531" s="1225">
        <v>82.83</v>
      </c>
      <c r="D531" s="1431">
        <v>78.3</v>
      </c>
      <c r="L531"/>
    </row>
    <row r="532" spans="2:12" ht="15.75">
      <c r="B532" s="621">
        <v>37469</v>
      </c>
      <c r="C532" s="1225">
        <v>82.736000000000004</v>
      </c>
      <c r="D532" s="1431">
        <v>78.2</v>
      </c>
      <c r="L532"/>
    </row>
    <row r="533" spans="2:12" ht="15.75">
      <c r="B533" s="621">
        <v>37500</v>
      </c>
      <c r="C533" s="1225">
        <v>82.736000000000004</v>
      </c>
      <c r="D533" s="1431">
        <v>78.2</v>
      </c>
      <c r="L533"/>
    </row>
    <row r="534" spans="2:12" ht="15.75">
      <c r="B534" s="621">
        <v>37530</v>
      </c>
      <c r="C534" s="1225">
        <v>82.643000000000001</v>
      </c>
      <c r="D534" s="1431">
        <v>78.099999999999994</v>
      </c>
      <c r="L534"/>
    </row>
    <row r="535" spans="2:12" ht="15.75">
      <c r="B535" s="621">
        <v>37561</v>
      </c>
      <c r="C535" s="1225">
        <v>82.363</v>
      </c>
      <c r="D535" s="1431">
        <v>77.8</v>
      </c>
      <c r="L535"/>
    </row>
    <row r="536" spans="2:12" ht="15.75">
      <c r="B536" s="621">
        <v>37591</v>
      </c>
      <c r="C536" s="1225">
        <v>83.108999999999995</v>
      </c>
      <c r="D536" s="1431">
        <v>78.5</v>
      </c>
      <c r="L536"/>
    </row>
    <row r="537" spans="2:12" ht="15.75">
      <c r="B537" s="621">
        <v>37622</v>
      </c>
      <c r="C537" s="1225">
        <v>83.108999999999995</v>
      </c>
      <c r="D537" s="1431">
        <v>78.5</v>
      </c>
      <c r="L537"/>
    </row>
    <row r="538" spans="2:12" ht="15.75">
      <c r="B538" s="621">
        <v>37653</v>
      </c>
      <c r="C538" s="1225">
        <v>83.575999999999993</v>
      </c>
      <c r="D538" s="1431">
        <v>79</v>
      </c>
      <c r="L538"/>
    </row>
    <row r="539" spans="2:12" ht="15.75">
      <c r="B539" s="621">
        <v>37681</v>
      </c>
      <c r="C539" s="1225">
        <v>83.668999999999997</v>
      </c>
      <c r="D539" s="1431">
        <v>79</v>
      </c>
      <c r="L539"/>
    </row>
    <row r="540" spans="2:12" ht="15.75">
      <c r="B540" s="621">
        <v>37712</v>
      </c>
      <c r="C540" s="1225">
        <v>83.388999999999996</v>
      </c>
      <c r="D540" s="1431">
        <v>78.8</v>
      </c>
      <c r="L540"/>
    </row>
    <row r="541" spans="2:12" ht="15.75">
      <c r="B541" s="621">
        <v>37742</v>
      </c>
      <c r="C541" s="1225">
        <v>83.203000000000003</v>
      </c>
      <c r="D541" s="1431">
        <v>78.599999999999994</v>
      </c>
      <c r="L541"/>
    </row>
    <row r="542" spans="2:12" ht="15.75">
      <c r="B542" s="621">
        <v>37773</v>
      </c>
      <c r="C542" s="1225">
        <v>83.481999999999999</v>
      </c>
      <c r="D542" s="1431">
        <v>78.900000000000006</v>
      </c>
      <c r="L542"/>
    </row>
    <row r="543" spans="2:12" ht="15.75">
      <c r="B543" s="621">
        <v>37803</v>
      </c>
      <c r="C543" s="1225">
        <v>83.668999999999997</v>
      </c>
      <c r="D543" s="1431">
        <v>79</v>
      </c>
      <c r="L543"/>
    </row>
    <row r="544" spans="2:12" ht="15.75">
      <c r="B544" s="621">
        <v>37834</v>
      </c>
      <c r="C544" s="1225">
        <v>83.668999999999997</v>
      </c>
      <c r="D544" s="1431">
        <v>79</v>
      </c>
      <c r="L544"/>
    </row>
    <row r="545" spans="2:12" ht="15.75">
      <c r="B545" s="621">
        <v>37865</v>
      </c>
      <c r="C545" s="1225">
        <v>83.575999999999993</v>
      </c>
      <c r="D545" s="1431">
        <v>79</v>
      </c>
      <c r="L545"/>
    </row>
    <row r="546" spans="2:12" ht="15.75">
      <c r="B546" s="621">
        <v>37895</v>
      </c>
      <c r="C546" s="1225">
        <v>83.575999999999993</v>
      </c>
      <c r="D546" s="1431">
        <v>79</v>
      </c>
      <c r="L546"/>
    </row>
    <row r="547" spans="2:12" ht="15.75">
      <c r="B547" s="621">
        <v>37926</v>
      </c>
      <c r="C547" s="1225">
        <v>83.388999999999996</v>
      </c>
      <c r="D547" s="1431">
        <v>78.8</v>
      </c>
      <c r="L547"/>
    </row>
    <row r="548" spans="2:12" ht="15.75">
      <c r="B548" s="621">
        <v>37956</v>
      </c>
      <c r="C548" s="1225">
        <v>84.042000000000002</v>
      </c>
      <c r="D548" s="1431">
        <v>79.400000000000006</v>
      </c>
      <c r="L548"/>
    </row>
    <row r="549" spans="2:12" ht="15.75">
      <c r="B549" s="621">
        <v>37987</v>
      </c>
      <c r="C549" s="1225">
        <v>84.042000000000002</v>
      </c>
      <c r="D549" s="1431">
        <v>79.400000000000006</v>
      </c>
      <c r="L549"/>
    </row>
    <row r="550" spans="2:12" ht="15.75">
      <c r="B550" s="621">
        <v>38018</v>
      </c>
      <c r="C550" s="1225">
        <v>84.228999999999999</v>
      </c>
      <c r="D550" s="1431">
        <v>79.599999999999994</v>
      </c>
      <c r="L550"/>
    </row>
    <row r="551" spans="2:12" ht="15.75">
      <c r="B551" s="621">
        <v>38047</v>
      </c>
      <c r="C551" s="1225">
        <v>84.509</v>
      </c>
      <c r="D551" s="1431">
        <v>79.900000000000006</v>
      </c>
      <c r="L551"/>
    </row>
    <row r="552" spans="2:12" ht="15.75">
      <c r="B552" s="621">
        <v>38078</v>
      </c>
      <c r="C552" s="1225">
        <v>84.787999999999997</v>
      </c>
      <c r="D552" s="1431">
        <v>80.099999999999994</v>
      </c>
      <c r="L552"/>
    </row>
    <row r="553" spans="2:12" ht="15.75">
      <c r="B553" s="621">
        <v>38108</v>
      </c>
      <c r="C553" s="1225">
        <v>84.974999999999994</v>
      </c>
      <c r="D553" s="1431">
        <v>80.3</v>
      </c>
      <c r="L553"/>
    </row>
    <row r="554" spans="2:12" ht="15.75">
      <c r="B554" s="621">
        <v>38139</v>
      </c>
      <c r="C554" s="1225">
        <v>84.974999999999994</v>
      </c>
      <c r="D554" s="1431">
        <v>80.3</v>
      </c>
      <c r="L554"/>
    </row>
    <row r="555" spans="2:12" ht="15.75">
      <c r="B555" s="621">
        <v>38169</v>
      </c>
      <c r="C555" s="1225">
        <v>85.161000000000001</v>
      </c>
      <c r="D555" s="1431">
        <v>80.400000000000006</v>
      </c>
      <c r="L555"/>
    </row>
    <row r="556" spans="2:12" ht="15.75">
      <c r="B556" s="621">
        <v>38200</v>
      </c>
      <c r="C556" s="1225">
        <v>85.254999999999995</v>
      </c>
      <c r="D556" s="1431">
        <v>80.5</v>
      </c>
      <c r="L556"/>
    </row>
    <row r="557" spans="2:12" ht="15.75">
      <c r="B557" s="621">
        <v>38231</v>
      </c>
      <c r="C557" s="1225">
        <v>85.067999999999998</v>
      </c>
      <c r="D557" s="1431">
        <v>80.3</v>
      </c>
      <c r="L557"/>
    </row>
    <row r="558" spans="2:12" ht="15.75">
      <c r="B558" s="621">
        <v>38261</v>
      </c>
      <c r="C558" s="1225">
        <v>85.161000000000001</v>
      </c>
      <c r="D558" s="1431">
        <v>80.400000000000006</v>
      </c>
      <c r="L558"/>
    </row>
    <row r="559" spans="2:12" ht="15.75">
      <c r="B559" s="621">
        <v>38292</v>
      </c>
      <c r="C559" s="1225">
        <v>84.974999999999994</v>
      </c>
      <c r="D559" s="1431">
        <v>80.3</v>
      </c>
      <c r="L559"/>
    </row>
    <row r="560" spans="2:12" ht="15.75">
      <c r="B560" s="621">
        <v>38322</v>
      </c>
      <c r="C560" s="1225">
        <v>85.908000000000001</v>
      </c>
      <c r="D560" s="1431">
        <v>81.2</v>
      </c>
      <c r="L560"/>
    </row>
    <row r="561" spans="2:12" ht="15.75">
      <c r="B561" s="621">
        <v>38353</v>
      </c>
      <c r="C561" s="1225">
        <v>85.254999999999995</v>
      </c>
      <c r="D561" s="1431">
        <v>80.599999999999994</v>
      </c>
      <c r="L561"/>
    </row>
    <row r="562" spans="2:12" ht="15.75">
      <c r="B562" s="621">
        <v>38384</v>
      </c>
      <c r="C562" s="1225">
        <v>85.628</v>
      </c>
      <c r="D562" s="1431">
        <v>80.900000000000006</v>
      </c>
      <c r="L562"/>
    </row>
    <row r="563" spans="2:12" ht="15.75">
      <c r="B563" s="621">
        <v>38412</v>
      </c>
      <c r="C563" s="1225">
        <v>86.001000000000005</v>
      </c>
      <c r="D563" s="1431">
        <v>81.3</v>
      </c>
      <c r="L563"/>
    </row>
    <row r="564" spans="2:12" ht="15.75">
      <c r="B564" s="621">
        <v>38443</v>
      </c>
      <c r="C564" s="1225">
        <v>85.813999999999993</v>
      </c>
      <c r="D564" s="1431">
        <v>81</v>
      </c>
      <c r="L564"/>
    </row>
    <row r="565" spans="2:12" ht="15.75">
      <c r="B565" s="621">
        <v>38473</v>
      </c>
      <c r="C565" s="1225">
        <v>86.001000000000005</v>
      </c>
      <c r="D565" s="1431">
        <v>81.2</v>
      </c>
      <c r="L565"/>
    </row>
    <row r="566" spans="2:12" ht="15.75">
      <c r="B566" s="621">
        <v>38504</v>
      </c>
      <c r="C566" s="1225">
        <v>86.093999999999994</v>
      </c>
      <c r="D566" s="1431">
        <v>81.3</v>
      </c>
      <c r="L566"/>
    </row>
    <row r="567" spans="2:12" ht="15.75">
      <c r="B567" s="621">
        <v>38534</v>
      </c>
      <c r="C567" s="1225">
        <v>86.466999999999999</v>
      </c>
      <c r="D567" s="1431">
        <v>81.7</v>
      </c>
      <c r="L567"/>
    </row>
    <row r="568" spans="2:12" ht="15.75">
      <c r="B568" s="621">
        <v>38565</v>
      </c>
      <c r="C568" s="1225">
        <v>86.561000000000007</v>
      </c>
      <c r="D568" s="1431">
        <v>81.8</v>
      </c>
      <c r="L568"/>
    </row>
    <row r="569" spans="2:12" ht="15.75">
      <c r="B569" s="621">
        <v>38596</v>
      </c>
      <c r="C569" s="1225">
        <v>86.653999999999996</v>
      </c>
      <c r="D569" s="1431">
        <v>81.900000000000006</v>
      </c>
      <c r="L569"/>
    </row>
    <row r="570" spans="2:12" ht="15.75">
      <c r="B570" s="621">
        <v>38626</v>
      </c>
      <c r="C570" s="1225">
        <v>86.747</v>
      </c>
      <c r="D570" s="1431">
        <v>81.900000000000006</v>
      </c>
      <c r="L570"/>
    </row>
    <row r="571" spans="2:12" ht="15.75">
      <c r="B571" s="621">
        <v>38657</v>
      </c>
      <c r="C571" s="1225">
        <v>86.466999999999999</v>
      </c>
      <c r="D571" s="1431">
        <v>81.7</v>
      </c>
      <c r="L571"/>
    </row>
    <row r="572" spans="2:12" ht="15.75">
      <c r="B572" s="621">
        <v>38687</v>
      </c>
      <c r="C572" s="1225">
        <v>87.12</v>
      </c>
      <c r="D572" s="1431">
        <v>82.3</v>
      </c>
      <c r="L572"/>
    </row>
    <row r="573" spans="2:12" ht="15.75">
      <c r="B573" s="621">
        <v>38718</v>
      </c>
      <c r="C573" s="1225">
        <v>86.84</v>
      </c>
      <c r="D573" s="1431">
        <v>82</v>
      </c>
      <c r="L573"/>
    </row>
    <row r="574" spans="2:12" ht="15.75">
      <c r="B574" s="621">
        <v>38749</v>
      </c>
      <c r="C574" s="1225">
        <v>87.213999999999999</v>
      </c>
      <c r="D574" s="1431">
        <v>82.4</v>
      </c>
      <c r="L574"/>
    </row>
    <row r="575" spans="2:12" ht="15.75">
      <c r="B575" s="621">
        <v>38777</v>
      </c>
      <c r="C575" s="1225">
        <v>87.213999999999999</v>
      </c>
      <c r="D575" s="1431">
        <v>82.4</v>
      </c>
      <c r="L575"/>
    </row>
    <row r="576" spans="2:12" ht="15.75">
      <c r="B576" s="621">
        <v>38808</v>
      </c>
      <c r="C576" s="1225">
        <v>87.492999999999995</v>
      </c>
      <c r="D576" s="1431">
        <v>82.7</v>
      </c>
      <c r="L576"/>
    </row>
    <row r="577" spans="2:12" ht="15.75">
      <c r="B577" s="621">
        <v>38838</v>
      </c>
      <c r="C577" s="1225">
        <v>87.492999999999995</v>
      </c>
      <c r="D577" s="1431">
        <v>82.7</v>
      </c>
      <c r="L577"/>
    </row>
    <row r="578" spans="2:12" ht="15.75">
      <c r="B578" s="621">
        <v>38869</v>
      </c>
      <c r="C578" s="1225">
        <v>87.68</v>
      </c>
      <c r="D578" s="1431">
        <v>82.9</v>
      </c>
      <c r="L578"/>
    </row>
    <row r="579" spans="2:12" ht="15.75">
      <c r="B579" s="621">
        <v>38899</v>
      </c>
      <c r="C579" s="1225">
        <v>88.052999999999997</v>
      </c>
      <c r="D579" s="1431">
        <v>83.2</v>
      </c>
      <c r="L579"/>
    </row>
    <row r="580" spans="2:12" ht="15.75">
      <c r="B580" s="621">
        <v>38930</v>
      </c>
      <c r="C580" s="1225">
        <v>87.866</v>
      </c>
      <c r="D580" s="1431">
        <v>83</v>
      </c>
      <c r="L580"/>
    </row>
    <row r="581" spans="2:12" ht="15.75">
      <c r="B581" s="621">
        <v>38961</v>
      </c>
      <c r="C581" s="1225">
        <v>87.587000000000003</v>
      </c>
      <c r="D581" s="1431">
        <v>82.7</v>
      </c>
      <c r="L581"/>
    </row>
    <row r="582" spans="2:12" ht="15.75">
      <c r="B582" s="621">
        <v>38991</v>
      </c>
      <c r="C582" s="1225">
        <v>87.68</v>
      </c>
      <c r="D582" s="1431">
        <v>82.8</v>
      </c>
      <c r="L582"/>
    </row>
    <row r="583" spans="2:12" ht="15.75">
      <c r="B583" s="621">
        <v>39022</v>
      </c>
      <c r="C583" s="1225">
        <v>87.68</v>
      </c>
      <c r="D583" s="1431">
        <v>82.8</v>
      </c>
      <c r="L583"/>
    </row>
    <row r="584" spans="2:12" ht="15.75">
      <c r="B584" s="621">
        <v>39052</v>
      </c>
      <c r="C584" s="1225">
        <v>88.332999999999998</v>
      </c>
      <c r="D584" s="1431">
        <v>83.5</v>
      </c>
      <c r="L584"/>
    </row>
    <row r="585" spans="2:12" ht="15.75">
      <c r="B585" s="621">
        <v>39083</v>
      </c>
      <c r="C585" s="1225">
        <v>88.332999999999998</v>
      </c>
      <c r="D585" s="1431">
        <v>83.5</v>
      </c>
      <c r="L585"/>
    </row>
    <row r="586" spans="2:12" ht="15.75">
      <c r="B586" s="621">
        <v>39114</v>
      </c>
      <c r="C586" s="1225">
        <v>88.706000000000003</v>
      </c>
      <c r="D586" s="1431">
        <v>83.8</v>
      </c>
      <c r="L586"/>
    </row>
    <row r="587" spans="2:12" ht="15.75">
      <c r="B587" s="621">
        <v>39142</v>
      </c>
      <c r="C587" s="1225">
        <v>88.893000000000001</v>
      </c>
      <c r="D587" s="1431">
        <v>84</v>
      </c>
      <c r="L587"/>
    </row>
    <row r="588" spans="2:12" ht="15.75">
      <c r="B588" s="621">
        <v>39173</v>
      </c>
      <c r="C588" s="1225">
        <v>89.358999999999995</v>
      </c>
      <c r="D588" s="1431">
        <v>84.4</v>
      </c>
      <c r="L588"/>
    </row>
    <row r="589" spans="2:12" ht="15.75">
      <c r="B589" s="621">
        <v>39203</v>
      </c>
      <c r="C589" s="1225">
        <v>89.358999999999995</v>
      </c>
      <c r="D589" s="1431">
        <v>84.4</v>
      </c>
      <c r="L589"/>
    </row>
    <row r="590" spans="2:12" ht="15.75">
      <c r="B590" s="621">
        <v>39234</v>
      </c>
      <c r="C590" s="1225">
        <v>89.358999999999995</v>
      </c>
      <c r="D590" s="1431">
        <v>84.5</v>
      </c>
      <c r="L590"/>
    </row>
    <row r="591" spans="2:12" ht="15.75">
      <c r="B591" s="621">
        <v>39264</v>
      </c>
      <c r="C591" s="1225">
        <v>89.825000000000003</v>
      </c>
      <c r="D591" s="1431">
        <v>84.9</v>
      </c>
      <c r="L591"/>
    </row>
    <row r="592" spans="2:12" ht="15.75">
      <c r="B592" s="621">
        <v>39295</v>
      </c>
      <c r="C592" s="1225">
        <v>89.731999999999999</v>
      </c>
      <c r="D592" s="1431">
        <v>84.8</v>
      </c>
      <c r="L592"/>
    </row>
    <row r="593" spans="2:12" ht="15.75">
      <c r="B593" s="621">
        <v>39326</v>
      </c>
      <c r="C593" s="1225">
        <v>89.918999999999997</v>
      </c>
      <c r="D593" s="1431">
        <v>84.9</v>
      </c>
      <c r="L593"/>
    </row>
    <row r="594" spans="2:12" ht="15.75">
      <c r="B594" s="621">
        <v>39356</v>
      </c>
      <c r="C594" s="1225">
        <v>90.105000000000004</v>
      </c>
      <c r="D594" s="1431">
        <v>85.1</v>
      </c>
      <c r="L594"/>
    </row>
    <row r="595" spans="2:12" ht="15.75">
      <c r="B595" s="621">
        <v>39387</v>
      </c>
      <c r="C595" s="1225">
        <v>90.570999999999998</v>
      </c>
      <c r="D595" s="1431">
        <v>85.6</v>
      </c>
      <c r="L595"/>
    </row>
    <row r="596" spans="2:12" ht="15.75">
      <c r="B596" s="621">
        <v>39417</v>
      </c>
      <c r="C596" s="1225">
        <v>91.131</v>
      </c>
      <c r="D596" s="1431">
        <v>86.1</v>
      </c>
      <c r="L596"/>
    </row>
    <row r="597" spans="2:12" ht="15.75">
      <c r="B597" s="621">
        <v>39448</v>
      </c>
      <c r="C597" s="1225">
        <v>90.850999999999999</v>
      </c>
      <c r="D597" s="1431">
        <v>85.8</v>
      </c>
      <c r="L597"/>
    </row>
    <row r="598" spans="2:12" ht="15.75">
      <c r="B598" s="621">
        <v>39479</v>
      </c>
      <c r="C598" s="1225">
        <v>91.224000000000004</v>
      </c>
      <c r="D598" s="1431">
        <v>86.2</v>
      </c>
      <c r="L598"/>
    </row>
    <row r="599" spans="2:12" ht="15.75">
      <c r="B599" s="621">
        <v>39508</v>
      </c>
      <c r="C599" s="1225">
        <v>91.691000000000003</v>
      </c>
      <c r="D599" s="1431">
        <v>86.6</v>
      </c>
      <c r="L599"/>
    </row>
    <row r="600" spans="2:12" ht="15.75">
      <c r="B600" s="621">
        <v>39539</v>
      </c>
      <c r="C600" s="1225">
        <v>91.504000000000005</v>
      </c>
      <c r="D600" s="1431">
        <v>86.4</v>
      </c>
      <c r="L600"/>
    </row>
    <row r="601" spans="2:12" ht="15.75">
      <c r="B601" s="621">
        <v>39569</v>
      </c>
      <c r="C601" s="1225">
        <v>92.063999999999993</v>
      </c>
      <c r="D601" s="1431">
        <v>86.9</v>
      </c>
      <c r="L601"/>
    </row>
    <row r="602" spans="2:12" ht="15.75">
      <c r="B602" s="621">
        <v>39600</v>
      </c>
      <c r="C602" s="1225">
        <v>92.25</v>
      </c>
      <c r="D602" s="1431">
        <v>87.2</v>
      </c>
      <c r="L602"/>
    </row>
    <row r="603" spans="2:12" ht="15.75">
      <c r="B603" s="621">
        <v>39630</v>
      </c>
      <c r="C603" s="1225">
        <v>92.81</v>
      </c>
      <c r="D603" s="1431">
        <v>87.7</v>
      </c>
      <c r="L603"/>
    </row>
    <row r="604" spans="2:12" ht="15.75">
      <c r="B604" s="621">
        <v>39661</v>
      </c>
      <c r="C604" s="1225">
        <v>92.53</v>
      </c>
      <c r="D604" s="1431">
        <v>87.4</v>
      </c>
      <c r="L604"/>
    </row>
    <row r="605" spans="2:12" ht="15.75">
      <c r="B605" s="621">
        <v>39692</v>
      </c>
      <c r="C605" s="1225">
        <v>92.436999999999998</v>
      </c>
      <c r="D605" s="1431">
        <v>87.4</v>
      </c>
      <c r="L605"/>
    </row>
    <row r="606" spans="2:12" ht="15.75">
      <c r="B606" s="621">
        <v>39722</v>
      </c>
      <c r="C606" s="1225">
        <v>92.25</v>
      </c>
      <c r="D606" s="1431">
        <v>87.2</v>
      </c>
      <c r="L606"/>
    </row>
    <row r="607" spans="2:12" ht="15.75">
      <c r="B607" s="621">
        <v>39753</v>
      </c>
      <c r="C607" s="1225">
        <v>91.784000000000006</v>
      </c>
      <c r="D607" s="1431">
        <v>86.8</v>
      </c>
      <c r="L607"/>
    </row>
    <row r="608" spans="2:12" ht="15.75">
      <c r="B608" s="621">
        <v>39783</v>
      </c>
      <c r="C608" s="1225">
        <v>92.156999999999996</v>
      </c>
      <c r="D608" s="1431">
        <v>87</v>
      </c>
      <c r="L608"/>
    </row>
    <row r="609" spans="2:12" ht="15.75">
      <c r="B609" s="621">
        <v>39814</v>
      </c>
      <c r="C609" s="1225">
        <v>91.691000000000003</v>
      </c>
      <c r="D609" s="1431">
        <v>86.6</v>
      </c>
      <c r="L609"/>
    </row>
    <row r="610" spans="2:12" ht="15.75">
      <c r="B610" s="621">
        <v>39845</v>
      </c>
      <c r="C610" s="1225">
        <v>92.25</v>
      </c>
      <c r="D610" s="1431">
        <v>87.1</v>
      </c>
      <c r="L610"/>
    </row>
    <row r="611" spans="2:12" ht="15.75">
      <c r="B611" s="621">
        <v>39873</v>
      </c>
      <c r="C611" s="1225">
        <v>92.063999999999993</v>
      </c>
      <c r="D611" s="1431">
        <v>87</v>
      </c>
      <c r="L611"/>
    </row>
    <row r="612" spans="2:12" ht="15.75">
      <c r="B612" s="621">
        <v>39904</v>
      </c>
      <c r="C612" s="1225">
        <v>92.156999999999996</v>
      </c>
      <c r="D612" s="1431">
        <v>87</v>
      </c>
      <c r="L612"/>
    </row>
    <row r="613" spans="2:12" ht="15.75">
      <c r="B613" s="621">
        <v>39934</v>
      </c>
      <c r="C613" s="1225">
        <v>92.063999999999993</v>
      </c>
      <c r="D613" s="1431">
        <v>87</v>
      </c>
      <c r="L613"/>
    </row>
    <row r="614" spans="2:12" ht="15.75">
      <c r="B614" s="621">
        <v>39965</v>
      </c>
      <c r="C614" s="1225">
        <v>92.343999999999994</v>
      </c>
      <c r="D614" s="1431">
        <v>87.3</v>
      </c>
      <c r="L614"/>
    </row>
    <row r="615" spans="2:12" ht="15.75">
      <c r="B615" s="621">
        <v>39995</v>
      </c>
      <c r="C615" s="1225">
        <v>92.343999999999994</v>
      </c>
      <c r="D615" s="1431">
        <v>87.3</v>
      </c>
      <c r="L615"/>
    </row>
    <row r="616" spans="2:12" ht="15.75">
      <c r="B616" s="621">
        <v>40026</v>
      </c>
      <c r="C616" s="1225">
        <v>92.53</v>
      </c>
      <c r="D616" s="1431">
        <v>87.5</v>
      </c>
      <c r="L616"/>
    </row>
    <row r="617" spans="2:12" ht="15.75">
      <c r="B617" s="621">
        <v>40057</v>
      </c>
      <c r="C617" s="1225">
        <v>92.25</v>
      </c>
      <c r="D617" s="1431">
        <v>87.1</v>
      </c>
      <c r="L617"/>
    </row>
    <row r="618" spans="2:12" ht="15.75">
      <c r="B618" s="621">
        <v>40087</v>
      </c>
      <c r="C618" s="1225">
        <v>92.25</v>
      </c>
      <c r="D618" s="1431">
        <v>87.2</v>
      </c>
      <c r="L618"/>
    </row>
    <row r="619" spans="2:12" ht="15.75">
      <c r="B619" s="621">
        <v>40118</v>
      </c>
      <c r="C619" s="1225">
        <v>92.156999999999996</v>
      </c>
      <c r="D619" s="1431">
        <v>87.1</v>
      </c>
      <c r="L619"/>
    </row>
    <row r="620" spans="2:12" ht="15.75">
      <c r="B620" s="621">
        <v>40148</v>
      </c>
      <c r="C620" s="1225">
        <v>92.903000000000006</v>
      </c>
      <c r="D620" s="1431">
        <v>87.8</v>
      </c>
      <c r="L620"/>
    </row>
    <row r="621" spans="2:12" ht="15.75">
      <c r="B621" s="621">
        <v>40179</v>
      </c>
      <c r="C621" s="1225">
        <v>92.343999999999994</v>
      </c>
      <c r="D621" s="1431">
        <v>87.3</v>
      </c>
      <c r="L621"/>
    </row>
    <row r="622" spans="2:12" ht="15.75">
      <c r="B622" s="621">
        <v>40210</v>
      </c>
      <c r="C622" s="1225">
        <v>92.716999999999999</v>
      </c>
      <c r="D622" s="1431">
        <v>87.6</v>
      </c>
      <c r="L622"/>
    </row>
    <row r="623" spans="2:12" ht="15.75">
      <c r="B623" s="621">
        <v>40238</v>
      </c>
      <c r="C623" s="1225">
        <v>93.183000000000007</v>
      </c>
      <c r="D623" s="1431">
        <v>88.1</v>
      </c>
      <c r="L623"/>
    </row>
    <row r="624" spans="2:12" ht="15.75">
      <c r="B624" s="621">
        <v>40269</v>
      </c>
      <c r="C624" s="1225">
        <v>93.277000000000001</v>
      </c>
      <c r="D624" s="1431">
        <v>88.1</v>
      </c>
      <c r="L624"/>
    </row>
    <row r="625" spans="2:12" ht="15.75">
      <c r="B625" s="621">
        <v>40299</v>
      </c>
      <c r="C625" s="1225">
        <v>93.183000000000007</v>
      </c>
      <c r="D625" s="1431">
        <v>88.1</v>
      </c>
      <c r="L625"/>
    </row>
    <row r="626" spans="2:12" ht="15.75">
      <c r="B626" s="621">
        <v>40330</v>
      </c>
      <c r="C626" s="1225">
        <v>93.183000000000007</v>
      </c>
      <c r="D626" s="1431">
        <v>88.1</v>
      </c>
      <c r="L626"/>
    </row>
    <row r="627" spans="2:12" ht="15.75">
      <c r="B627" s="621">
        <v>40360</v>
      </c>
      <c r="C627" s="1225">
        <v>93.37</v>
      </c>
      <c r="D627" s="1431">
        <v>88.2</v>
      </c>
      <c r="L627"/>
    </row>
    <row r="628" spans="2:12" ht="15.75">
      <c r="B628" s="621">
        <v>40391</v>
      </c>
      <c r="C628" s="1225">
        <v>93.462999999999994</v>
      </c>
      <c r="D628" s="1431">
        <v>88.3</v>
      </c>
      <c r="L628"/>
    </row>
    <row r="629" spans="2:12" ht="15.75">
      <c r="B629" s="621">
        <v>40422</v>
      </c>
      <c r="C629" s="1225">
        <v>93.37</v>
      </c>
      <c r="D629" s="1431">
        <v>88.2</v>
      </c>
      <c r="L629"/>
    </row>
    <row r="630" spans="2:12" ht="15.75">
      <c r="B630" s="621">
        <v>40452</v>
      </c>
      <c r="C630" s="1225">
        <v>93.462999999999994</v>
      </c>
      <c r="D630" s="1431">
        <v>88.3</v>
      </c>
      <c r="L630"/>
    </row>
    <row r="631" spans="2:12" ht="15.75">
      <c r="B631" s="621">
        <v>40483</v>
      </c>
      <c r="C631" s="1225">
        <v>93.555999999999997</v>
      </c>
      <c r="D631" s="1431">
        <v>88.4</v>
      </c>
      <c r="L631"/>
    </row>
    <row r="632" spans="2:12" ht="15.75">
      <c r="B632" s="621">
        <v>40513</v>
      </c>
      <c r="C632" s="1225">
        <v>94.116</v>
      </c>
      <c r="D632" s="1431">
        <v>89</v>
      </c>
      <c r="L632"/>
    </row>
    <row r="633" spans="2:12" ht="15.75">
      <c r="B633" s="621">
        <v>40544</v>
      </c>
      <c r="C633" s="1225">
        <v>93.929000000000002</v>
      </c>
      <c r="D633" s="1431">
        <v>88.7</v>
      </c>
      <c r="L633"/>
    </row>
    <row r="634" spans="2:12" ht="15.75">
      <c r="B634" s="621">
        <v>40575</v>
      </c>
      <c r="C634" s="1225">
        <v>94.489000000000004</v>
      </c>
      <c r="D634" s="1431">
        <v>89.3</v>
      </c>
      <c r="L634"/>
    </row>
    <row r="635" spans="2:12" ht="15.75">
      <c r="B635" s="621">
        <v>40603</v>
      </c>
      <c r="C635" s="1225">
        <v>95.049000000000007</v>
      </c>
      <c r="D635" s="1431">
        <v>89.8</v>
      </c>
      <c r="L635"/>
    </row>
    <row r="636" spans="2:12" ht="15.75">
      <c r="B636" s="621">
        <v>40634</v>
      </c>
      <c r="C636" s="1225">
        <v>95.049000000000007</v>
      </c>
      <c r="D636" s="1431">
        <v>89.8</v>
      </c>
      <c r="L636"/>
    </row>
    <row r="637" spans="2:12" ht="15.75">
      <c r="B637" s="621">
        <v>40664</v>
      </c>
      <c r="C637" s="1225">
        <v>95.049000000000007</v>
      </c>
      <c r="D637" s="1431">
        <v>89.8</v>
      </c>
      <c r="L637"/>
    </row>
    <row r="638" spans="2:12" ht="15.75">
      <c r="B638" s="621">
        <v>40695</v>
      </c>
      <c r="C638" s="1225">
        <v>95.141999999999996</v>
      </c>
      <c r="D638" s="1431">
        <v>89.9</v>
      </c>
      <c r="L638"/>
    </row>
    <row r="639" spans="2:12" ht="15.75">
      <c r="B639" s="621">
        <v>40725</v>
      </c>
      <c r="C639" s="1225">
        <v>95.328999999999994</v>
      </c>
      <c r="D639" s="1431">
        <v>90.1</v>
      </c>
      <c r="L639"/>
    </row>
    <row r="640" spans="2:12" ht="15.75">
      <c r="B640" s="621">
        <v>40756</v>
      </c>
      <c r="C640" s="1225">
        <v>95.421999999999997</v>
      </c>
      <c r="D640" s="1431">
        <v>90.2</v>
      </c>
      <c r="L640"/>
    </row>
    <row r="641" spans="2:12" ht="15.75">
      <c r="B641" s="621">
        <v>40787</v>
      </c>
      <c r="C641" s="1225">
        <v>95.608000000000004</v>
      </c>
      <c r="D641" s="1431">
        <v>90.3</v>
      </c>
      <c r="L641"/>
    </row>
    <row r="642" spans="2:12" ht="15.75">
      <c r="B642" s="621">
        <v>40817</v>
      </c>
      <c r="C642" s="1225">
        <v>95.608000000000004</v>
      </c>
      <c r="D642" s="1431">
        <v>90.4</v>
      </c>
      <c r="L642"/>
    </row>
    <row r="643" spans="2:12" ht="15.75">
      <c r="B643" s="621">
        <v>40848</v>
      </c>
      <c r="C643" s="1225">
        <v>95.795000000000002</v>
      </c>
      <c r="D643" s="1431">
        <v>90.5</v>
      </c>
      <c r="L643"/>
    </row>
    <row r="644" spans="2:12" ht="15.75">
      <c r="B644" s="621">
        <v>40878</v>
      </c>
      <c r="C644" s="1225">
        <v>95.981999999999999</v>
      </c>
      <c r="D644" s="1431">
        <v>90.7</v>
      </c>
      <c r="L644"/>
    </row>
    <row r="645" spans="2:12" ht="15.75">
      <c r="B645" s="621">
        <v>40909</v>
      </c>
      <c r="C645" s="1225">
        <v>95.888000000000005</v>
      </c>
      <c r="D645" s="1431">
        <v>90.6</v>
      </c>
      <c r="L645"/>
    </row>
    <row r="646" spans="2:12" ht="15.75">
      <c r="B646" s="621">
        <v>40940</v>
      </c>
      <c r="C646" s="1225">
        <v>96.540999999999997</v>
      </c>
      <c r="D646" s="1431">
        <v>91.2</v>
      </c>
      <c r="L646"/>
    </row>
    <row r="647" spans="2:12" ht="15.75">
      <c r="B647" s="621">
        <v>40969</v>
      </c>
      <c r="C647" s="1225">
        <v>97.100999999999999</v>
      </c>
      <c r="D647" s="1431">
        <v>91.7</v>
      </c>
      <c r="L647"/>
    </row>
    <row r="648" spans="2:12" ht="15.75">
      <c r="B648" s="621">
        <v>41000</v>
      </c>
      <c r="C648" s="1225">
        <v>96.914000000000001</v>
      </c>
      <c r="D648" s="1431">
        <v>91.6</v>
      </c>
      <c r="L648"/>
    </row>
    <row r="649" spans="2:12" ht="15.75">
      <c r="B649" s="621">
        <v>41030</v>
      </c>
      <c r="C649" s="1225">
        <v>96.914000000000001</v>
      </c>
      <c r="D649" s="1431">
        <v>91.5</v>
      </c>
      <c r="L649"/>
    </row>
    <row r="650" spans="2:12" ht="15.75">
      <c r="B650" s="621">
        <v>41061</v>
      </c>
      <c r="C650" s="1225">
        <v>96.727999999999994</v>
      </c>
      <c r="D650" s="1431">
        <v>91.4</v>
      </c>
      <c r="L650"/>
    </row>
    <row r="651" spans="2:12" ht="15.75">
      <c r="B651" s="621">
        <v>41091</v>
      </c>
      <c r="C651" s="1225">
        <v>97.100999999999999</v>
      </c>
      <c r="D651" s="1431">
        <v>91.7</v>
      </c>
      <c r="L651"/>
    </row>
    <row r="652" spans="2:12" ht="15.75">
      <c r="B652" s="621">
        <v>41122</v>
      </c>
      <c r="C652" s="1225">
        <v>97.474000000000004</v>
      </c>
      <c r="D652" s="1431">
        <v>92.1</v>
      </c>
      <c r="L652"/>
    </row>
    <row r="653" spans="2:12" ht="15.75">
      <c r="B653" s="621">
        <v>41153</v>
      </c>
      <c r="C653" s="1225">
        <v>97.566999999999993</v>
      </c>
      <c r="D653" s="1431">
        <v>92.2</v>
      </c>
      <c r="L653"/>
    </row>
    <row r="654" spans="2:12" ht="15.75">
      <c r="B654" s="621">
        <v>41183</v>
      </c>
      <c r="C654" s="1225">
        <v>97.566999999999993</v>
      </c>
      <c r="D654" s="1431">
        <v>92.2</v>
      </c>
      <c r="L654"/>
    </row>
    <row r="655" spans="2:12" ht="15.75">
      <c r="B655" s="621">
        <v>41214</v>
      </c>
      <c r="C655" s="1225">
        <v>97.661000000000001</v>
      </c>
      <c r="D655" s="1431">
        <v>92.2</v>
      </c>
      <c r="L655"/>
    </row>
    <row r="656" spans="2:12" ht="15.75">
      <c r="B656" s="621">
        <v>41244</v>
      </c>
      <c r="C656" s="1225">
        <v>97.94</v>
      </c>
      <c r="D656" s="1431">
        <v>92.5</v>
      </c>
      <c r="L656"/>
    </row>
    <row r="657" spans="2:12" ht="15.75">
      <c r="B657" s="621">
        <v>41275</v>
      </c>
      <c r="C657" s="1225">
        <v>97.474000000000004</v>
      </c>
      <c r="D657" s="1431">
        <v>92.1</v>
      </c>
      <c r="L657"/>
    </row>
    <row r="658" spans="2:12" ht="15.75">
      <c r="B658" s="621">
        <v>41306</v>
      </c>
      <c r="C658" s="1225">
        <v>98.034000000000006</v>
      </c>
      <c r="D658" s="1431">
        <v>92.6</v>
      </c>
      <c r="L658"/>
    </row>
    <row r="659" spans="2:12" ht="15.75">
      <c r="B659" s="621">
        <v>41334</v>
      </c>
      <c r="C659" s="1225">
        <v>98.5</v>
      </c>
      <c r="D659" s="1431">
        <v>93</v>
      </c>
      <c r="L659"/>
    </row>
    <row r="660" spans="2:12" ht="15.75">
      <c r="B660" s="621">
        <v>41365</v>
      </c>
      <c r="C660" s="1225">
        <v>98.034000000000006</v>
      </c>
      <c r="D660" s="1431">
        <v>92.6</v>
      </c>
      <c r="L660"/>
    </row>
    <row r="661" spans="2:12" ht="15.75">
      <c r="B661" s="621">
        <v>41395</v>
      </c>
      <c r="C661" s="1225">
        <v>98.406999999999996</v>
      </c>
      <c r="D661" s="1431">
        <v>93</v>
      </c>
      <c r="L661"/>
    </row>
    <row r="662" spans="2:12" ht="15.75">
      <c r="B662" s="621">
        <v>41426</v>
      </c>
      <c r="C662" s="1225">
        <v>98.5</v>
      </c>
      <c r="D662" s="1431">
        <v>93.1</v>
      </c>
      <c r="L662"/>
    </row>
    <row r="663" spans="2:12" ht="15.75">
      <c r="B663" s="621">
        <v>41456</v>
      </c>
      <c r="C663" s="1225">
        <v>98.965999999999994</v>
      </c>
      <c r="D663" s="1431">
        <v>93.5</v>
      </c>
      <c r="L663"/>
    </row>
    <row r="664" spans="2:12" ht="15.75">
      <c r="B664" s="621">
        <v>41487</v>
      </c>
      <c r="C664" s="1225">
        <v>98.965999999999994</v>
      </c>
      <c r="D664" s="1431">
        <v>93.5</v>
      </c>
      <c r="L664"/>
    </row>
    <row r="665" spans="2:12" ht="15.75">
      <c r="B665" s="621">
        <v>41518</v>
      </c>
      <c r="C665" s="1225">
        <v>98.965999999999994</v>
      </c>
      <c r="D665" s="1431">
        <v>93.5</v>
      </c>
      <c r="L665"/>
    </row>
    <row r="666" spans="2:12" ht="15.75">
      <c r="B666" s="621">
        <v>41548</v>
      </c>
      <c r="C666" s="1225">
        <v>98.78</v>
      </c>
      <c r="D666" s="1431">
        <v>93.3</v>
      </c>
      <c r="L666"/>
    </row>
    <row r="667" spans="2:12" ht="15.75">
      <c r="B667" s="621">
        <v>41579</v>
      </c>
      <c r="C667" s="1225">
        <v>98.965999999999994</v>
      </c>
      <c r="D667" s="1431">
        <v>93.5</v>
      </c>
      <c r="L667"/>
    </row>
    <row r="668" spans="2:12" ht="15.75">
      <c r="B668" s="621">
        <v>41609</v>
      </c>
      <c r="C668" s="1225">
        <v>99.338999999999999</v>
      </c>
      <c r="D668" s="1431">
        <v>93.9</v>
      </c>
      <c r="L668"/>
    </row>
    <row r="669" spans="2:12" ht="15.75">
      <c r="B669" s="621">
        <v>41640</v>
      </c>
      <c r="C669" s="1225">
        <v>98.78</v>
      </c>
      <c r="D669" s="1431">
        <v>93.3</v>
      </c>
      <c r="L669"/>
    </row>
    <row r="670" spans="2:12" ht="15.75">
      <c r="B670" s="621">
        <v>41671</v>
      </c>
      <c r="C670" s="1225">
        <v>99.245999999999995</v>
      </c>
      <c r="D670" s="1431">
        <v>93.8</v>
      </c>
      <c r="L670"/>
    </row>
    <row r="671" spans="2:12" ht="15.75">
      <c r="B671" s="621">
        <v>41699</v>
      </c>
      <c r="C671" s="1225">
        <v>99.525999999999996</v>
      </c>
      <c r="D671" s="1431">
        <v>94</v>
      </c>
      <c r="L671"/>
    </row>
    <row r="672" spans="2:12" ht="15.75">
      <c r="B672" s="621">
        <v>41730</v>
      </c>
      <c r="C672" s="1225">
        <v>99.338999999999999</v>
      </c>
      <c r="D672" s="1431">
        <v>93.9</v>
      </c>
      <c r="L672"/>
    </row>
    <row r="673" spans="2:12" ht="15.75">
      <c r="B673" s="621">
        <v>41760</v>
      </c>
      <c r="C673" s="1225">
        <v>99.245999999999995</v>
      </c>
      <c r="D673" s="1431">
        <v>93.8</v>
      </c>
      <c r="L673"/>
    </row>
    <row r="674" spans="2:12" ht="15.75">
      <c r="B674" s="621">
        <v>41791</v>
      </c>
      <c r="C674" s="1225">
        <v>99.525999999999996</v>
      </c>
      <c r="D674" s="1431">
        <v>94</v>
      </c>
      <c r="L674"/>
    </row>
    <row r="675" spans="2:12" ht="15.75">
      <c r="B675" s="621">
        <v>41821</v>
      </c>
      <c r="C675" s="1225">
        <v>99.805999999999997</v>
      </c>
      <c r="D675" s="1431">
        <v>94.3</v>
      </c>
      <c r="L675"/>
    </row>
    <row r="676" spans="2:12" ht="15.75">
      <c r="B676" s="621">
        <v>41852</v>
      </c>
      <c r="C676" s="1225">
        <v>99.805999999999997</v>
      </c>
      <c r="D676" s="1431">
        <v>94.3</v>
      </c>
      <c r="L676"/>
    </row>
    <row r="677" spans="2:12" ht="15.75">
      <c r="B677" s="621">
        <v>41883</v>
      </c>
      <c r="C677" s="1225">
        <v>99.805999999999997</v>
      </c>
      <c r="D677" s="1431">
        <v>94.3</v>
      </c>
      <c r="L677"/>
    </row>
    <row r="678" spans="2:12" ht="15.75">
      <c r="B678" s="621">
        <v>41913</v>
      </c>
      <c r="C678" s="1225">
        <v>99.525999999999996</v>
      </c>
      <c r="D678" s="1431">
        <v>94.1</v>
      </c>
      <c r="L678"/>
    </row>
    <row r="679" spans="2:12" ht="15.75">
      <c r="B679" s="621">
        <v>41944</v>
      </c>
      <c r="C679" s="1225">
        <v>99.525999999999996</v>
      </c>
      <c r="D679" s="1431">
        <v>94.1</v>
      </c>
      <c r="L679"/>
    </row>
    <row r="680" spans="2:12" ht="15.75">
      <c r="B680" s="621">
        <v>41974</v>
      </c>
      <c r="C680" s="1225">
        <v>99.525999999999996</v>
      </c>
      <c r="D680" s="1431">
        <v>94</v>
      </c>
      <c r="L680"/>
    </row>
    <row r="681" spans="2:12" ht="15.75">
      <c r="B681" s="621">
        <v>42005</v>
      </c>
      <c r="C681" s="1225">
        <v>98.5</v>
      </c>
      <c r="D681" s="1431">
        <v>93.1</v>
      </c>
      <c r="L681"/>
    </row>
    <row r="682" spans="2:12" ht="15.75">
      <c r="B682" s="621">
        <v>42036</v>
      </c>
      <c r="C682" s="1225">
        <v>99.2</v>
      </c>
      <c r="D682" s="1431">
        <v>93.8</v>
      </c>
      <c r="L682"/>
    </row>
    <row r="683" spans="2:12" ht="15.75">
      <c r="B683" s="621">
        <v>42064</v>
      </c>
      <c r="C683" s="1225">
        <v>99.7</v>
      </c>
      <c r="D683" s="1431">
        <v>94.3</v>
      </c>
      <c r="L683"/>
    </row>
    <row r="684" spans="2:12" ht="15.75">
      <c r="B684" s="621">
        <v>42095</v>
      </c>
      <c r="C684" s="1225">
        <v>100.2</v>
      </c>
      <c r="D684" s="1431">
        <v>94.7</v>
      </c>
      <c r="L684"/>
    </row>
    <row r="685" spans="2:12" ht="15.75">
      <c r="B685" s="621">
        <v>42125</v>
      </c>
      <c r="C685" s="1225">
        <v>100.4</v>
      </c>
      <c r="D685" s="1431">
        <v>94.9</v>
      </c>
      <c r="L685"/>
    </row>
    <row r="686" spans="2:12" ht="15.75">
      <c r="B686" s="621">
        <v>42156</v>
      </c>
      <c r="C686" s="1225">
        <v>100.4</v>
      </c>
      <c r="D686" s="1431">
        <v>94.9</v>
      </c>
      <c r="L686"/>
    </row>
    <row r="687" spans="2:12" ht="15.75">
      <c r="B687" s="621">
        <v>42186</v>
      </c>
      <c r="C687" s="1225">
        <v>100.6</v>
      </c>
      <c r="D687" s="1431">
        <v>95.1</v>
      </c>
      <c r="L687"/>
    </row>
    <row r="688" spans="2:12" ht="15.75">
      <c r="B688" s="621">
        <v>42217</v>
      </c>
      <c r="C688" s="1225">
        <v>100.6</v>
      </c>
      <c r="D688" s="1431">
        <v>95</v>
      </c>
      <c r="L688"/>
    </row>
    <row r="689" spans="2:12" ht="15.75">
      <c r="B689" s="621">
        <v>42248</v>
      </c>
      <c r="C689" s="1225">
        <v>100.4</v>
      </c>
      <c r="D689" s="1431">
        <v>94.9</v>
      </c>
      <c r="L689"/>
    </row>
    <row r="690" spans="2:12" ht="15.75">
      <c r="B690" s="621">
        <v>42278</v>
      </c>
      <c r="C690" s="1225">
        <v>100.4</v>
      </c>
      <c r="D690" s="1431">
        <v>94.9</v>
      </c>
      <c r="L690"/>
    </row>
    <row r="691" spans="2:12" ht="15.75">
      <c r="B691" s="621">
        <v>42309</v>
      </c>
      <c r="C691" s="1225">
        <v>99.7</v>
      </c>
      <c r="D691" s="1431">
        <v>94.3</v>
      </c>
      <c r="L691"/>
    </row>
    <row r="692" spans="2:12" ht="15.75">
      <c r="B692" s="621">
        <v>42339</v>
      </c>
      <c r="C692" s="1225">
        <v>99.7</v>
      </c>
      <c r="D692" s="1431">
        <v>94.3</v>
      </c>
      <c r="L692"/>
    </row>
    <row r="693" spans="2:12" ht="15.75">
      <c r="B693" s="621">
        <v>42370</v>
      </c>
      <c r="C693" s="1225">
        <v>99</v>
      </c>
      <c r="D693" s="1431">
        <v>93.6</v>
      </c>
      <c r="L693"/>
    </row>
    <row r="694" spans="2:12" ht="15.75">
      <c r="B694" s="621">
        <v>42401</v>
      </c>
      <c r="C694" s="1225">
        <v>99.3</v>
      </c>
      <c r="D694" s="1431">
        <v>93.9</v>
      </c>
      <c r="L694"/>
    </row>
    <row r="695" spans="2:12" ht="15.75">
      <c r="B695" s="621">
        <v>42430</v>
      </c>
      <c r="C695" s="1225">
        <v>100</v>
      </c>
      <c r="D695" s="1431">
        <v>94.5</v>
      </c>
      <c r="L695"/>
    </row>
    <row r="696" spans="2:12" ht="15.75">
      <c r="B696" s="621">
        <v>42461</v>
      </c>
      <c r="C696" s="1225">
        <v>100.1</v>
      </c>
      <c r="D696" s="1431">
        <v>94.6</v>
      </c>
      <c r="L696"/>
    </row>
    <row r="697" spans="2:12" ht="15.75">
      <c r="B697" s="621">
        <v>42491</v>
      </c>
      <c r="C697" s="1225">
        <v>100.6</v>
      </c>
      <c r="D697" s="1431">
        <v>95.1</v>
      </c>
      <c r="L697"/>
    </row>
    <row r="698" spans="2:12" ht="15.75">
      <c r="B698" s="621">
        <v>42522</v>
      </c>
      <c r="C698" s="1225">
        <v>100.7</v>
      </c>
      <c r="D698" s="1431">
        <v>95.2</v>
      </c>
      <c r="L698"/>
    </row>
    <row r="699" spans="2:12" ht="15.75">
      <c r="B699" s="621">
        <v>42552</v>
      </c>
      <c r="C699" s="1225">
        <v>101.1</v>
      </c>
      <c r="D699" s="1431">
        <v>95.5</v>
      </c>
      <c r="L699"/>
    </row>
    <row r="700" spans="2:12" ht="15.75">
      <c r="B700" s="621">
        <v>42583</v>
      </c>
      <c r="C700" s="1225">
        <v>101</v>
      </c>
      <c r="D700" s="1431">
        <v>95.4</v>
      </c>
      <c r="L700"/>
    </row>
    <row r="701" spans="2:12" ht="15.75">
      <c r="B701" s="621">
        <v>42614</v>
      </c>
      <c r="C701" s="1225">
        <v>101</v>
      </c>
      <c r="D701" s="1431">
        <v>95.5</v>
      </c>
      <c r="L701"/>
    </row>
    <row r="702" spans="2:12" ht="15.75">
      <c r="B702" s="621">
        <v>42644</v>
      </c>
      <c r="C702" s="1225">
        <v>101.2</v>
      </c>
      <c r="D702" s="1431">
        <v>95.6</v>
      </c>
      <c r="L702"/>
    </row>
    <row r="703" spans="2:12" ht="15.75">
      <c r="B703" s="621">
        <v>42675</v>
      </c>
      <c r="C703" s="1225">
        <v>100.5</v>
      </c>
      <c r="D703" s="1431">
        <v>95</v>
      </c>
      <c r="L703"/>
    </row>
    <row r="704" spans="2:12" ht="15.75">
      <c r="B704" s="621">
        <v>42705</v>
      </c>
      <c r="C704" s="1225">
        <v>101.2</v>
      </c>
      <c r="D704" s="1431">
        <v>95.6</v>
      </c>
      <c r="L704"/>
    </row>
    <row r="705" spans="2:12" ht="15.75">
      <c r="B705" s="621">
        <v>42736</v>
      </c>
      <c r="C705" s="1225">
        <v>100.6</v>
      </c>
      <c r="D705" s="1431">
        <v>95.1</v>
      </c>
      <c r="L705"/>
    </row>
    <row r="706" spans="2:12" ht="15.75">
      <c r="B706" s="621">
        <v>42767</v>
      </c>
      <c r="C706" s="1225">
        <v>101.2</v>
      </c>
      <c r="D706" s="1431">
        <v>95.6</v>
      </c>
      <c r="L706"/>
    </row>
    <row r="707" spans="2:12" ht="15.75">
      <c r="B707" s="621">
        <v>42795</v>
      </c>
      <c r="C707" s="1225">
        <v>101.4</v>
      </c>
      <c r="D707" s="1431">
        <v>95.8</v>
      </c>
      <c r="L707"/>
    </row>
    <row r="708" spans="2:12" ht="15.75">
      <c r="B708" s="621">
        <v>42826</v>
      </c>
      <c r="C708" s="1225">
        <v>101.8</v>
      </c>
      <c r="D708" s="1431">
        <v>96.2</v>
      </c>
      <c r="L708"/>
    </row>
    <row r="709" spans="2:12" ht="15.75">
      <c r="B709" s="621">
        <v>42856</v>
      </c>
      <c r="C709" s="1225">
        <v>101.8</v>
      </c>
      <c r="D709" s="1431">
        <v>96.2</v>
      </c>
      <c r="L709"/>
    </row>
    <row r="710" spans="2:12" ht="15.75">
      <c r="B710" s="621">
        <v>42887</v>
      </c>
      <c r="C710" s="1225">
        <v>102.1</v>
      </c>
      <c r="D710" s="1431">
        <v>96.5</v>
      </c>
      <c r="L710"/>
    </row>
    <row r="711" spans="2:12" ht="15.75">
      <c r="B711" s="621">
        <v>42917</v>
      </c>
      <c r="C711" s="1225">
        <v>102.5</v>
      </c>
      <c r="D711" s="1431">
        <v>96.9</v>
      </c>
      <c r="L711"/>
    </row>
    <row r="712" spans="2:12" ht="15.75">
      <c r="B712" s="621">
        <v>42948</v>
      </c>
      <c r="C712" s="1225">
        <v>102.6</v>
      </c>
      <c r="D712" s="1431">
        <v>97</v>
      </c>
      <c r="L712"/>
    </row>
    <row r="713" spans="2:12" ht="15.75">
      <c r="B713" s="621">
        <v>42979</v>
      </c>
      <c r="C713" s="1225">
        <v>102.7</v>
      </c>
      <c r="D713" s="1431">
        <v>97</v>
      </c>
      <c r="L713"/>
    </row>
    <row r="714" spans="2:12" ht="15.75">
      <c r="B714" s="621">
        <v>43009</v>
      </c>
      <c r="C714" s="1225">
        <v>102.5</v>
      </c>
      <c r="D714" s="1431">
        <v>96.9</v>
      </c>
      <c r="L714"/>
    </row>
    <row r="715" spans="2:12" ht="15.75">
      <c r="B715" s="621">
        <v>43040</v>
      </c>
      <c r="C715" s="1225">
        <v>102.1</v>
      </c>
      <c r="D715" s="1431">
        <v>96.5</v>
      </c>
      <c r="L715"/>
    </row>
    <row r="716" spans="2:12" ht="15.75">
      <c r="B716" s="621">
        <v>43070</v>
      </c>
      <c r="C716" s="1225">
        <v>102.6</v>
      </c>
      <c r="D716" s="1431">
        <v>96.9</v>
      </c>
      <c r="L716"/>
    </row>
    <row r="717" spans="2:12" ht="15.75">
      <c r="B717" s="621">
        <v>43101</v>
      </c>
      <c r="C717" s="1225">
        <v>102</v>
      </c>
      <c r="D717" s="1431">
        <v>96.4</v>
      </c>
      <c r="L717"/>
    </row>
    <row r="718" spans="2:12" ht="15.75">
      <c r="B718" s="621">
        <v>43132</v>
      </c>
      <c r="C718" s="1225">
        <v>102.3</v>
      </c>
      <c r="D718" s="1431">
        <v>96.7</v>
      </c>
      <c r="L718"/>
    </row>
    <row r="719" spans="2:12" ht="15.75">
      <c r="B719" s="621">
        <v>43160</v>
      </c>
      <c r="C719" s="1225">
        <v>102.9</v>
      </c>
      <c r="D719" s="1431">
        <v>97.2</v>
      </c>
      <c r="L719"/>
    </row>
    <row r="720" spans="2:12" ht="15.75">
      <c r="B720" s="621">
        <v>43191</v>
      </c>
      <c r="C720" s="1225">
        <v>103.1</v>
      </c>
      <c r="D720" s="1431">
        <v>97.5</v>
      </c>
      <c r="L720"/>
    </row>
    <row r="721" spans="2:21" ht="15.75">
      <c r="B721" s="621">
        <v>43221</v>
      </c>
      <c r="C721" s="1225">
        <v>103.9</v>
      </c>
      <c r="D721" s="1431">
        <v>98.2</v>
      </c>
      <c r="L721"/>
    </row>
    <row r="722" spans="2:21" ht="15.75">
      <c r="B722" s="621">
        <v>43252</v>
      </c>
      <c r="C722" s="1225">
        <v>104</v>
      </c>
      <c r="D722" s="1431">
        <v>98.3</v>
      </c>
      <c r="L722"/>
    </row>
    <row r="723" spans="2:21" ht="15.75">
      <c r="B723" s="621">
        <v>43282</v>
      </c>
      <c r="C723" s="1225">
        <v>104.4</v>
      </c>
      <c r="D723" s="1431">
        <v>98.7</v>
      </c>
      <c r="L723"/>
    </row>
    <row r="724" spans="2:21" ht="15.75">
      <c r="B724" s="621">
        <v>43313</v>
      </c>
      <c r="C724" s="1225">
        <v>104.5</v>
      </c>
      <c r="D724" s="1431">
        <v>98.8</v>
      </c>
      <c r="L724"/>
    </row>
    <row r="725" spans="2:21" ht="15.75">
      <c r="B725" s="621">
        <v>43344</v>
      </c>
      <c r="C725" s="1225">
        <v>104.7</v>
      </c>
      <c r="D725" s="1431">
        <v>99</v>
      </c>
      <c r="L725"/>
    </row>
    <row r="726" spans="2:21" ht="15.75">
      <c r="B726" s="621">
        <v>43374</v>
      </c>
      <c r="C726" s="1225">
        <v>104.9</v>
      </c>
      <c r="D726" s="1431">
        <v>99.1</v>
      </c>
      <c r="L726"/>
    </row>
    <row r="727" spans="2:21" ht="15.75">
      <c r="B727" s="621">
        <v>43405</v>
      </c>
      <c r="C727" s="1225">
        <v>104.2</v>
      </c>
      <c r="D727" s="1431">
        <v>98.5</v>
      </c>
      <c r="L727"/>
    </row>
    <row r="728" spans="2:21" ht="15.75">
      <c r="B728" s="621">
        <v>43435</v>
      </c>
      <c r="C728" s="1225">
        <v>104.2</v>
      </c>
      <c r="D728" s="1431">
        <v>98.5</v>
      </c>
      <c r="L728"/>
    </row>
    <row r="729" spans="2:21" ht="15.75">
      <c r="B729" s="621">
        <v>43466</v>
      </c>
      <c r="C729" s="1225">
        <v>103.4</v>
      </c>
      <c r="D729" s="1431">
        <v>97.7</v>
      </c>
      <c r="L729"/>
    </row>
    <row r="730" spans="2:21" ht="15.75">
      <c r="B730" s="621">
        <v>43497</v>
      </c>
      <c r="C730" s="1226">
        <v>103.8</v>
      </c>
      <c r="D730" s="1431">
        <v>98.1</v>
      </c>
      <c r="L730"/>
      <c r="P730" s="2395"/>
      <c r="Q730" s="2395"/>
      <c r="R730" s="2395"/>
      <c r="S730" s="2395"/>
      <c r="T730" s="2395"/>
      <c r="U730" s="2395"/>
    </row>
    <row r="731" spans="2:21" ht="15.75">
      <c r="B731" s="621">
        <v>43525</v>
      </c>
      <c r="C731" s="1226">
        <v>104.2</v>
      </c>
      <c r="D731" s="1431">
        <v>98.5</v>
      </c>
      <c r="L731"/>
    </row>
    <row r="732" spans="2:21" ht="15.75">
      <c r="B732" s="621">
        <v>43556</v>
      </c>
      <c r="C732" s="1226">
        <v>105.2</v>
      </c>
      <c r="D732" s="1431">
        <v>99.4</v>
      </c>
      <c r="L732"/>
      <c r="P732" s="58"/>
      <c r="S732" s="58"/>
    </row>
    <row r="733" spans="2:21" ht="15.75">
      <c r="B733" s="621">
        <v>43586</v>
      </c>
      <c r="C733" s="1226">
        <v>105.4</v>
      </c>
      <c r="D733" s="1431">
        <v>99.6</v>
      </c>
      <c r="L733"/>
      <c r="P733" s="58"/>
      <c r="S733" s="58"/>
    </row>
    <row r="734" spans="2:21" ht="15.75">
      <c r="B734" s="621">
        <v>43617</v>
      </c>
      <c r="C734" s="1227">
        <v>105.7</v>
      </c>
      <c r="D734" s="1431">
        <v>99.9</v>
      </c>
      <c r="L734"/>
      <c r="P734" s="58"/>
      <c r="S734" s="58"/>
    </row>
    <row r="735" spans="2:21" ht="15.75">
      <c r="B735" s="621">
        <v>43647</v>
      </c>
      <c r="C735" s="1227">
        <v>106.2</v>
      </c>
      <c r="D735" s="1431">
        <v>100.3</v>
      </c>
      <c r="L735"/>
      <c r="P735" s="58"/>
      <c r="S735" s="58"/>
    </row>
    <row r="736" spans="2:21" ht="15.75">
      <c r="B736" s="621">
        <v>43678</v>
      </c>
      <c r="C736" s="1227">
        <v>106</v>
      </c>
      <c r="D736" s="1431">
        <v>100.2</v>
      </c>
      <c r="L736"/>
      <c r="P736" s="58"/>
      <c r="S736" s="58"/>
    </row>
    <row r="737" spans="2:19" ht="15.75">
      <c r="B737" s="621">
        <v>43709</v>
      </c>
      <c r="C737" s="1227">
        <v>106</v>
      </c>
      <c r="D737" s="1431">
        <v>100.2</v>
      </c>
      <c r="L737"/>
      <c r="P737" s="58"/>
      <c r="S737" s="58"/>
    </row>
    <row r="738" spans="2:19" ht="15.75">
      <c r="B738" s="621">
        <v>43739</v>
      </c>
      <c r="C738" s="1227">
        <v>106.1</v>
      </c>
      <c r="D738" s="1431">
        <v>100.2</v>
      </c>
      <c r="L738"/>
      <c r="P738" s="58"/>
      <c r="S738" s="58"/>
    </row>
    <row r="739" spans="2:19" ht="15.75">
      <c r="B739" s="621">
        <v>43770</v>
      </c>
      <c r="C739" s="1227">
        <v>105.3</v>
      </c>
      <c r="D739" s="1431">
        <v>99.5</v>
      </c>
      <c r="L739"/>
      <c r="P739" s="58"/>
      <c r="S739" s="58"/>
    </row>
    <row r="740" spans="2:19" ht="16.5" thickBot="1">
      <c r="B740" s="621">
        <v>43800</v>
      </c>
      <c r="C740" s="1227">
        <v>105.8</v>
      </c>
      <c r="D740" s="1431">
        <v>100</v>
      </c>
      <c r="L740"/>
      <c r="P740" s="58"/>
      <c r="S740" s="58"/>
    </row>
    <row r="741" spans="2:19" ht="16.5" thickBot="1">
      <c r="B741" s="621">
        <v>43831</v>
      </c>
      <c r="C741" s="1227">
        <v>105.2</v>
      </c>
      <c r="D741" s="1431">
        <v>99.8</v>
      </c>
      <c r="E741" s="1217">
        <v>43831</v>
      </c>
      <c r="F741" s="1218">
        <v>99.8</v>
      </c>
      <c r="G741" s="1219" t="s">
        <v>1450</v>
      </c>
      <c r="H741" s="1201" t="s">
        <v>1450</v>
      </c>
      <c r="L741"/>
      <c r="P741" s="58"/>
      <c r="S741" s="58"/>
    </row>
    <row r="742" spans="2:19" ht="16.5" thickBot="1">
      <c r="B742" s="621">
        <v>43862</v>
      </c>
      <c r="C742" s="1227">
        <v>105.6</v>
      </c>
      <c r="D742" s="1431">
        <v>100.1</v>
      </c>
      <c r="E742" s="1217">
        <v>43862</v>
      </c>
      <c r="F742" s="1218">
        <v>100.1</v>
      </c>
      <c r="G742" s="1219" t="s">
        <v>1450</v>
      </c>
      <c r="H742" s="1201">
        <v>0.3</v>
      </c>
      <c r="L742"/>
      <c r="P742" s="58"/>
      <c r="S742" s="58"/>
    </row>
    <row r="743" spans="2:19" ht="16.5" thickBot="1">
      <c r="B743" s="621">
        <v>43891</v>
      </c>
      <c r="C743" s="1227">
        <v>105.7</v>
      </c>
      <c r="D743" s="1431">
        <v>100.3</v>
      </c>
      <c r="E743" s="1217">
        <v>43891</v>
      </c>
      <c r="F743" s="1218">
        <v>100.3</v>
      </c>
      <c r="G743" s="1219" t="s">
        <v>1450</v>
      </c>
      <c r="H743" s="1201">
        <v>0.2</v>
      </c>
      <c r="L743"/>
      <c r="P743" s="58"/>
      <c r="S743" s="58"/>
    </row>
    <row r="744" spans="2:19" ht="16.5" thickBot="1">
      <c r="B744" s="621">
        <v>43922</v>
      </c>
      <c r="C744" s="1227">
        <v>106.1</v>
      </c>
      <c r="D744" s="1431">
        <v>100.4</v>
      </c>
      <c r="E744" s="1217">
        <v>43922</v>
      </c>
      <c r="F744" s="1218">
        <v>100.4</v>
      </c>
      <c r="G744" s="1219" t="s">
        <v>1450</v>
      </c>
      <c r="H744" s="1201">
        <v>0.1</v>
      </c>
      <c r="L744"/>
      <c r="P744" s="58"/>
      <c r="S744" s="58"/>
    </row>
    <row r="745" spans="2:19" ht="16.5" thickBot="1">
      <c r="B745" s="621">
        <v>43952</v>
      </c>
      <c r="C745" s="1227">
        <v>106</v>
      </c>
      <c r="D745" s="1431">
        <v>100.4</v>
      </c>
      <c r="E745" s="1217">
        <v>43952</v>
      </c>
      <c r="F745" s="1218">
        <v>100.4</v>
      </c>
      <c r="G745" s="1219" t="s">
        <v>1450</v>
      </c>
      <c r="H745" s="1201" t="s">
        <v>1451</v>
      </c>
      <c r="L745"/>
      <c r="P745" s="58"/>
      <c r="S745" s="58"/>
    </row>
    <row r="746" spans="2:19" ht="16.5" thickBot="1">
      <c r="B746" s="621">
        <v>43983</v>
      </c>
      <c r="C746" s="1227">
        <v>106.6</v>
      </c>
      <c r="D746" s="1431">
        <v>100.5</v>
      </c>
      <c r="E746" s="1217">
        <v>43983</v>
      </c>
      <c r="F746" s="1218">
        <v>100.5</v>
      </c>
      <c r="G746" s="1219" t="s">
        <v>1450</v>
      </c>
      <c r="H746" s="1201">
        <v>0.1</v>
      </c>
      <c r="L746"/>
      <c r="P746" s="58"/>
      <c r="S746" s="58"/>
    </row>
    <row r="747" spans="2:19" ht="16.5" thickBot="1">
      <c r="B747" s="621">
        <v>44013</v>
      </c>
      <c r="C747" s="1227">
        <v>106.1</v>
      </c>
      <c r="D747" s="1431">
        <v>99.7</v>
      </c>
      <c r="E747" s="1217">
        <v>44013</v>
      </c>
      <c r="F747" s="1218">
        <v>99.7</v>
      </c>
      <c r="G747" s="1219" t="s">
        <v>1450</v>
      </c>
      <c r="H747" s="1201">
        <v>-0.8</v>
      </c>
      <c r="L747"/>
      <c r="P747" s="58"/>
      <c r="S747" s="58"/>
    </row>
    <row r="748" spans="2:19" ht="16.5" thickBot="1">
      <c r="B748" s="621">
        <v>44044</v>
      </c>
      <c r="C748" s="1227">
        <v>106</v>
      </c>
      <c r="D748" s="1431">
        <v>99.7</v>
      </c>
      <c r="E748" s="1217">
        <v>44044</v>
      </c>
      <c r="F748" s="1218">
        <v>99.7</v>
      </c>
      <c r="G748" s="1219" t="s">
        <v>1450</v>
      </c>
      <c r="H748" s="1201" t="s">
        <v>1451</v>
      </c>
      <c r="L748"/>
      <c r="P748" s="58"/>
      <c r="S748" s="58"/>
    </row>
    <row r="749" spans="2:19" ht="16.5" thickBot="1">
      <c r="B749" s="621">
        <v>44075</v>
      </c>
      <c r="C749" s="1227">
        <v>105.8</v>
      </c>
      <c r="D749" s="1431">
        <v>99.7</v>
      </c>
      <c r="E749" s="1217">
        <v>44075</v>
      </c>
      <c r="F749" s="1218">
        <v>99.7</v>
      </c>
      <c r="G749" s="1219" t="s">
        <v>1450</v>
      </c>
      <c r="H749" s="1201" t="s">
        <v>1451</v>
      </c>
      <c r="L749"/>
      <c r="P749" s="58"/>
      <c r="S749" s="58"/>
    </row>
    <row r="750" spans="2:19" ht="16.5" thickBot="1">
      <c r="B750" s="621">
        <v>44105</v>
      </c>
      <c r="C750" s="1227">
        <v>105.9</v>
      </c>
      <c r="D750" s="1431">
        <v>99.9</v>
      </c>
      <c r="E750" s="1217">
        <v>44105</v>
      </c>
      <c r="F750" s="1218">
        <v>99.9</v>
      </c>
      <c r="G750" s="1219" t="s">
        <v>1450</v>
      </c>
      <c r="H750" s="1201">
        <v>0.2</v>
      </c>
      <c r="L750"/>
      <c r="P750" s="58"/>
      <c r="S750" s="58"/>
    </row>
    <row r="751" spans="2:19" ht="16.5" thickBot="1">
      <c r="B751" s="621">
        <v>44136</v>
      </c>
      <c r="C751" s="1227">
        <v>105</v>
      </c>
      <c r="D751" s="1431">
        <v>99.7</v>
      </c>
      <c r="E751" s="1217">
        <v>44136</v>
      </c>
      <c r="F751" s="1218">
        <v>99.7</v>
      </c>
      <c r="G751" s="1219" t="s">
        <v>1450</v>
      </c>
      <c r="H751" s="1201">
        <v>-0.2</v>
      </c>
      <c r="L751"/>
      <c r="P751" s="58"/>
      <c r="S751" s="58"/>
    </row>
    <row r="752" spans="2:19" ht="16.5" thickBot="1">
      <c r="B752" s="621">
        <v>44166</v>
      </c>
      <c r="C752" s="1228">
        <v>105.5</v>
      </c>
      <c r="D752" s="1431">
        <v>99.8</v>
      </c>
      <c r="E752" s="1217">
        <v>44166</v>
      </c>
      <c r="F752" s="1218">
        <v>99.8</v>
      </c>
      <c r="G752" s="1219" t="s">
        <v>1450</v>
      </c>
      <c r="H752" s="1201">
        <v>0.1</v>
      </c>
      <c r="L752"/>
      <c r="P752" s="58"/>
      <c r="S752" s="58"/>
    </row>
    <row r="753" spans="2:19" ht="16.5" thickBot="1">
      <c r="B753" s="621">
        <v>44197</v>
      </c>
      <c r="C753" s="1228">
        <v>106.3</v>
      </c>
      <c r="D753" s="1431">
        <v>101</v>
      </c>
      <c r="E753" s="1217">
        <v>44197</v>
      </c>
      <c r="F753" s="1218">
        <v>101</v>
      </c>
      <c r="G753" s="1219">
        <v>1.2</v>
      </c>
      <c r="H753" s="1201">
        <v>1.2</v>
      </c>
      <c r="L753"/>
      <c r="P753" s="58"/>
      <c r="S753" s="58"/>
    </row>
    <row r="754" spans="2:19" ht="16.5" thickBot="1">
      <c r="B754" s="621">
        <v>44228</v>
      </c>
      <c r="C754" s="1228">
        <v>107</v>
      </c>
      <c r="D754" s="1431">
        <v>101.6</v>
      </c>
      <c r="E754" s="1217">
        <v>44228</v>
      </c>
      <c r="F754" s="1218">
        <v>101.6</v>
      </c>
      <c r="G754" s="1219">
        <v>1.5</v>
      </c>
      <c r="H754" s="1201">
        <v>0.6</v>
      </c>
      <c r="L754"/>
      <c r="P754" s="58"/>
      <c r="S754" s="58"/>
    </row>
    <row r="755" spans="2:19" ht="16.5" thickBot="1">
      <c r="B755" s="621">
        <v>44256</v>
      </c>
      <c r="C755" s="1228">
        <v>107.5</v>
      </c>
      <c r="D755" s="1431">
        <v>102.1</v>
      </c>
      <c r="E755" s="1217">
        <v>44256</v>
      </c>
      <c r="F755" s="1218">
        <v>102.1</v>
      </c>
      <c r="G755" s="1219">
        <v>1.8</v>
      </c>
      <c r="H755" s="1201">
        <v>0.5</v>
      </c>
      <c r="L755"/>
      <c r="P755" s="58"/>
      <c r="S755" s="58"/>
    </row>
    <row r="756" spans="2:19" ht="16.5" thickBot="1">
      <c r="B756" s="621">
        <v>44287</v>
      </c>
      <c r="C756" s="1228">
        <v>108.2</v>
      </c>
      <c r="D756" s="1431">
        <v>102.4</v>
      </c>
      <c r="E756" s="1217">
        <v>44287</v>
      </c>
      <c r="F756" s="1218">
        <v>102.4</v>
      </c>
      <c r="G756" s="1219">
        <v>2</v>
      </c>
      <c r="H756" s="1201">
        <v>0.3</v>
      </c>
      <c r="L756"/>
      <c r="P756" s="58"/>
      <c r="S756" s="58"/>
    </row>
    <row r="757" spans="2:19" ht="16.5" thickBot="1">
      <c r="B757" s="621">
        <v>44317</v>
      </c>
      <c r="C757" s="1228">
        <v>108.7</v>
      </c>
      <c r="D757" s="1431">
        <v>102.6</v>
      </c>
      <c r="E757" s="1217">
        <v>44317</v>
      </c>
      <c r="F757" s="1218">
        <v>102.6</v>
      </c>
      <c r="G757" s="1219">
        <v>2.2000000000000002</v>
      </c>
      <c r="H757" s="1201">
        <v>0.2</v>
      </c>
      <c r="L757"/>
      <c r="P757" s="58"/>
      <c r="S757" s="58"/>
    </row>
    <row r="758" spans="2:19" ht="16.5" thickBot="1">
      <c r="B758" s="621">
        <v>44348</v>
      </c>
      <c r="C758" s="1228">
        <v>109.1</v>
      </c>
      <c r="D758" s="1431">
        <v>102.9</v>
      </c>
      <c r="E758" s="1217">
        <v>44348</v>
      </c>
      <c r="F758" s="1218">
        <v>102.9</v>
      </c>
      <c r="G758" s="1219">
        <v>2.4</v>
      </c>
      <c r="H758" s="1201">
        <v>0.3</v>
      </c>
      <c r="L758"/>
      <c r="P758" s="58"/>
      <c r="S758" s="58"/>
    </row>
    <row r="759" spans="2:19" ht="16.5" thickBot="1">
      <c r="B759" s="621">
        <v>44378</v>
      </c>
      <c r="C759" s="1228">
        <v>110.1</v>
      </c>
      <c r="D759" s="1431">
        <v>103.4</v>
      </c>
      <c r="E759" s="1217">
        <v>44378</v>
      </c>
      <c r="F759" s="1218">
        <v>103.4</v>
      </c>
      <c r="G759" s="1219">
        <v>3.7</v>
      </c>
      <c r="H759" s="1201">
        <v>0.5</v>
      </c>
      <c r="L759"/>
      <c r="P759" s="58"/>
      <c r="S759" s="58"/>
    </row>
    <row r="760" spans="2:19" ht="16.5" thickBot="1">
      <c r="B760" s="621">
        <v>44409</v>
      </c>
      <c r="C760" s="1228">
        <v>110.1</v>
      </c>
      <c r="D760" s="1431">
        <v>103.5</v>
      </c>
      <c r="E760" s="1217">
        <v>44409</v>
      </c>
      <c r="F760" s="1218">
        <v>103.5</v>
      </c>
      <c r="G760" s="1219">
        <v>3.8</v>
      </c>
      <c r="H760" s="1201">
        <v>0.1</v>
      </c>
      <c r="L760"/>
      <c r="P760" s="58"/>
      <c r="S760" s="58"/>
    </row>
    <row r="761" spans="2:19" ht="16.5" thickBot="1">
      <c r="B761" s="621">
        <v>44440</v>
      </c>
      <c r="C761" s="1228">
        <v>110.1</v>
      </c>
      <c r="D761" s="1431">
        <v>103.8</v>
      </c>
      <c r="E761" s="1217">
        <v>44440</v>
      </c>
      <c r="F761" s="1218">
        <v>103.8</v>
      </c>
      <c r="G761" s="1219">
        <v>4.0999999999999996</v>
      </c>
      <c r="H761" s="1201">
        <v>0.3</v>
      </c>
      <c r="L761"/>
      <c r="P761" s="58"/>
      <c r="S761" s="58"/>
    </row>
    <row r="762" spans="2:19" ht="16.5" thickBot="1">
      <c r="B762" s="621">
        <v>44470</v>
      </c>
      <c r="C762" s="1228">
        <v>110.7</v>
      </c>
      <c r="D762" s="1431">
        <v>104.3</v>
      </c>
      <c r="E762" s="1217">
        <v>44470</v>
      </c>
      <c r="F762" s="1218">
        <v>104.3</v>
      </c>
      <c r="G762" s="1219">
        <v>4.4000000000000004</v>
      </c>
      <c r="H762" s="1201">
        <v>0.5</v>
      </c>
      <c r="L762"/>
      <c r="P762" s="58"/>
      <c r="S762" s="58"/>
    </row>
    <row r="763" spans="2:19" ht="16.5" thickBot="1">
      <c r="B763" s="621">
        <v>44501</v>
      </c>
      <c r="C763" s="1228">
        <v>110.5</v>
      </c>
      <c r="D763" s="1431">
        <v>104.5</v>
      </c>
      <c r="E763" s="1217">
        <v>44501</v>
      </c>
      <c r="F763" s="1218">
        <v>104.5</v>
      </c>
      <c r="G763" s="1219">
        <v>4.8</v>
      </c>
      <c r="H763" s="1201">
        <v>0.2</v>
      </c>
      <c r="L763"/>
      <c r="P763" s="58"/>
      <c r="S763" s="58"/>
    </row>
    <row r="764" spans="2:19" ht="16.5" thickBot="1">
      <c r="B764" s="621">
        <v>44531</v>
      </c>
      <c r="C764" s="1228">
        <v>111.1</v>
      </c>
      <c r="D764" s="1431">
        <v>104.7</v>
      </c>
      <c r="E764" s="1217">
        <v>44531</v>
      </c>
      <c r="F764" s="1218">
        <v>104.7</v>
      </c>
      <c r="G764" s="1219">
        <v>4.9000000000000004</v>
      </c>
      <c r="H764" s="1201">
        <v>0.2</v>
      </c>
      <c r="L764" s="68"/>
      <c r="M764">
        <v>100</v>
      </c>
      <c r="P764" s="58"/>
      <c r="S764" s="58"/>
    </row>
    <row r="765" spans="2:19" ht="16.5" thickBot="1">
      <c r="B765" s="621">
        <v>44562</v>
      </c>
      <c r="C765" s="1228">
        <v>111.5</v>
      </c>
      <c r="D765" s="1431">
        <v>105.2</v>
      </c>
      <c r="E765" s="1217">
        <v>44562</v>
      </c>
      <c r="F765" s="1218">
        <v>105.2</v>
      </c>
      <c r="G765" s="1219">
        <v>4.2</v>
      </c>
      <c r="H765" s="1201">
        <v>0.5</v>
      </c>
      <c r="K765">
        <v>1</v>
      </c>
      <c r="L765" s="145">
        <v>0.06</v>
      </c>
      <c r="M765" s="91">
        <f>+M764*(1-L765)</f>
        <v>94</v>
      </c>
      <c r="P765" s="58"/>
      <c r="S765" s="58"/>
    </row>
    <row r="766" spans="2:19" ht="16.5" thickBot="1">
      <c r="B766" s="621">
        <v>44593</v>
      </c>
      <c r="C766" s="1228">
        <v>112.5</v>
      </c>
      <c r="D766" s="1431">
        <v>106</v>
      </c>
      <c r="E766" s="1217">
        <v>44593</v>
      </c>
      <c r="F766" s="1218">
        <v>106</v>
      </c>
      <c r="G766" s="1219">
        <v>4.3</v>
      </c>
      <c r="H766" s="1201">
        <v>0.8</v>
      </c>
      <c r="K766">
        <v>2</v>
      </c>
      <c r="L766" s="145">
        <v>0.05</v>
      </c>
      <c r="M766" s="91">
        <f t="shared" ref="M766:M802" si="30">+M765*(1-L766)</f>
        <v>89.3</v>
      </c>
      <c r="P766" s="58"/>
      <c r="S766" s="58"/>
    </row>
    <row r="767" spans="2:19" ht="16.5" thickBot="1">
      <c r="B767" s="621">
        <v>44621</v>
      </c>
      <c r="C767" s="1228">
        <v>115.3</v>
      </c>
      <c r="D767" s="1431">
        <v>108.1</v>
      </c>
      <c r="E767" s="1217">
        <v>44621</v>
      </c>
      <c r="F767" s="1218">
        <v>108.1</v>
      </c>
      <c r="G767" s="1219">
        <v>5.9</v>
      </c>
      <c r="H767" s="1201">
        <v>2</v>
      </c>
      <c r="K767">
        <v>3</v>
      </c>
      <c r="L767" s="145">
        <v>0.06</v>
      </c>
      <c r="M767" s="91">
        <f t="shared" si="30"/>
        <v>83.941999999999993</v>
      </c>
      <c r="P767" s="58"/>
      <c r="S767" s="58"/>
    </row>
    <row r="768" spans="2:19" ht="16.5" thickBot="1">
      <c r="B768" s="621">
        <v>44652</v>
      </c>
      <c r="C768" s="1228">
        <v>116.2</v>
      </c>
      <c r="D768" s="1431">
        <v>108.8</v>
      </c>
      <c r="E768" s="1217">
        <v>44652</v>
      </c>
      <c r="F768" s="1218">
        <v>108.8</v>
      </c>
      <c r="G768" s="1219">
        <v>6.3</v>
      </c>
      <c r="H768" s="1201">
        <v>0.6</v>
      </c>
      <c r="K768">
        <v>4</v>
      </c>
      <c r="L768" s="145">
        <v>0.03</v>
      </c>
      <c r="M768" s="91">
        <f t="shared" si="30"/>
        <v>81.423739999999995</v>
      </c>
      <c r="P768" s="58"/>
      <c r="S768" s="58"/>
    </row>
    <row r="769" spans="1:19" ht="16.5" thickBot="1">
      <c r="B769" s="621">
        <v>44682</v>
      </c>
      <c r="C769" s="1228">
        <v>117.3</v>
      </c>
      <c r="D769" s="1431">
        <v>109.8</v>
      </c>
      <c r="E769" s="1217">
        <v>44682</v>
      </c>
      <c r="F769" s="1218">
        <v>109.8</v>
      </c>
      <c r="G769" s="1219">
        <v>7</v>
      </c>
      <c r="H769" s="1201">
        <v>0.9</v>
      </c>
      <c r="K769">
        <v>5</v>
      </c>
      <c r="L769" s="145">
        <v>2.5000000000000001E-2</v>
      </c>
      <c r="M769" s="91">
        <f t="shared" si="30"/>
        <v>79.388146499999991</v>
      </c>
      <c r="P769" s="58"/>
      <c r="S769" s="58"/>
    </row>
    <row r="770" spans="1:19" ht="16.5" thickBot="1">
      <c r="B770" s="621">
        <v>44713</v>
      </c>
      <c r="C770" s="1228">
        <v>117.4</v>
      </c>
      <c r="D770" s="1431">
        <v>109.8</v>
      </c>
      <c r="E770" s="1217">
        <v>44713</v>
      </c>
      <c r="F770" s="1218">
        <v>109.8</v>
      </c>
      <c r="G770" s="1219">
        <v>6.7</v>
      </c>
      <c r="H770" s="1201" t="s">
        <v>1451</v>
      </c>
      <c r="K770">
        <v>6</v>
      </c>
      <c r="L770" s="145">
        <v>2.5000000000000001E-2</v>
      </c>
      <c r="M770" s="91">
        <f t="shared" si="30"/>
        <v>77.403442837499995</v>
      </c>
      <c r="P770" s="58"/>
      <c r="S770" s="58"/>
    </row>
    <row r="771" spans="1:19" ht="16.5" thickBot="1">
      <c r="B771" s="621">
        <v>44743</v>
      </c>
      <c r="C771" s="1228">
        <v>118.4</v>
      </c>
      <c r="D771" s="1431">
        <v>110.3</v>
      </c>
      <c r="E771" s="1217">
        <v>44743</v>
      </c>
      <c r="F771" s="1218">
        <v>110.3</v>
      </c>
      <c r="G771" s="1219">
        <v>6.7</v>
      </c>
      <c r="H771" s="1201">
        <v>0.5</v>
      </c>
      <c r="K771">
        <v>7</v>
      </c>
      <c r="L771" s="145">
        <v>2.5000000000000001E-2</v>
      </c>
      <c r="M771" s="91">
        <f t="shared" si="30"/>
        <v>75.468356766562493</v>
      </c>
      <c r="P771" s="58"/>
      <c r="S771" s="58"/>
    </row>
    <row r="772" spans="1:19" ht="16.5" thickBot="1">
      <c r="B772" s="621">
        <v>44774</v>
      </c>
      <c r="C772" s="1228">
        <v>118.8</v>
      </c>
      <c r="D772" s="1431">
        <v>110.7</v>
      </c>
      <c r="E772" s="1217">
        <v>44774</v>
      </c>
      <c r="F772" s="1218">
        <v>110.7</v>
      </c>
      <c r="G772" s="1219">
        <v>7</v>
      </c>
      <c r="H772" s="1201">
        <v>0.4</v>
      </c>
      <c r="K772">
        <v>8</v>
      </c>
      <c r="L772" s="145">
        <v>2.3E-2</v>
      </c>
      <c r="M772" s="91">
        <f t="shared" si="30"/>
        <v>73.732584560931556</v>
      </c>
      <c r="P772" s="58"/>
      <c r="S772" s="58"/>
    </row>
    <row r="773" spans="1:19" ht="16.5" thickBot="1">
      <c r="B773" s="621">
        <v>44805</v>
      </c>
      <c r="C773" s="1228">
        <v>121.1</v>
      </c>
      <c r="D773" s="1431">
        <v>112.7</v>
      </c>
      <c r="E773" s="1217">
        <v>44805</v>
      </c>
      <c r="F773" s="1218">
        <v>112.7</v>
      </c>
      <c r="G773" s="1219">
        <v>8.6</v>
      </c>
      <c r="H773" s="1201">
        <v>1.8</v>
      </c>
      <c r="K773">
        <v>9</v>
      </c>
      <c r="L773" s="145">
        <v>2.1999999999999999E-2</v>
      </c>
      <c r="M773" s="91">
        <f t="shared" si="30"/>
        <v>72.110467700591059</v>
      </c>
      <c r="P773" s="58"/>
      <c r="S773" s="58"/>
    </row>
    <row r="774" spans="1:19" ht="16.5" thickBot="1">
      <c r="B774" s="621">
        <v>44835</v>
      </c>
      <c r="C774" s="1228">
        <v>122.2</v>
      </c>
      <c r="D774" s="1431">
        <v>113.5</v>
      </c>
      <c r="E774" s="1217">
        <v>44835</v>
      </c>
      <c r="F774" s="1218">
        <v>113.5</v>
      </c>
      <c r="G774" s="1219">
        <v>8.8000000000000007</v>
      </c>
      <c r="H774" s="1201">
        <v>0.7</v>
      </c>
      <c r="K774">
        <v>10</v>
      </c>
      <c r="L774" s="145">
        <v>2.1999999999999999E-2</v>
      </c>
      <c r="M774" s="91">
        <f t="shared" si="30"/>
        <v>70.524037411178057</v>
      </c>
      <c r="P774" s="58"/>
      <c r="S774" s="58"/>
    </row>
    <row r="775" spans="1:19" ht="16.5" thickBot="1">
      <c r="B775" s="621">
        <v>44866</v>
      </c>
      <c r="C775" s="1228">
        <v>121.6</v>
      </c>
      <c r="D775" s="1431">
        <v>113.7</v>
      </c>
      <c r="E775" s="1217">
        <v>44866</v>
      </c>
      <c r="F775" s="1218">
        <v>113.7</v>
      </c>
      <c r="G775" s="1219">
        <v>8.8000000000000007</v>
      </c>
      <c r="H775" s="1201">
        <v>0.2</v>
      </c>
      <c r="K775">
        <v>11</v>
      </c>
      <c r="L775" s="145">
        <v>2.1999999999999999E-2</v>
      </c>
      <c r="M775" s="91">
        <f t="shared" si="30"/>
        <v>68.972508588132143</v>
      </c>
      <c r="P775" s="58"/>
      <c r="S775" s="58"/>
    </row>
    <row r="776" spans="1:19" ht="16.5" thickBot="1">
      <c r="B776" s="621">
        <v>44896</v>
      </c>
      <c r="C776" s="1228">
        <v>120.6</v>
      </c>
      <c r="D776" s="1431">
        <v>113.2</v>
      </c>
      <c r="E776" s="1217">
        <v>44896</v>
      </c>
      <c r="F776" s="1218">
        <v>113.2</v>
      </c>
      <c r="G776" s="1219">
        <v>8.1</v>
      </c>
      <c r="H776" s="1201">
        <v>-0.4</v>
      </c>
      <c r="J776" s="145">
        <f>_xlfn.RRI(37,C321,C776)</f>
        <v>1.9777705672038293E-2</v>
      </c>
      <c r="K776">
        <v>12</v>
      </c>
      <c r="L776" s="145">
        <v>2.1999999999999999E-2</v>
      </c>
      <c r="M776" s="91">
        <f t="shared" si="30"/>
        <v>67.455113399193237</v>
      </c>
      <c r="P776" s="58"/>
      <c r="S776" s="58"/>
    </row>
    <row r="777" spans="1:19" ht="16.5" thickBot="1">
      <c r="A777" s="34"/>
      <c r="B777" s="1421">
        <v>44927</v>
      </c>
      <c r="C777" s="1422">
        <f>ROUND(C776*D777/D776,2)</f>
        <v>121.77</v>
      </c>
      <c r="D777" s="1431">
        <v>114.3</v>
      </c>
      <c r="E777" s="1217">
        <v>44927</v>
      </c>
      <c r="F777" s="1220">
        <v>114.3</v>
      </c>
      <c r="G777" s="1221"/>
      <c r="H777" s="1202"/>
      <c r="K777">
        <v>13</v>
      </c>
      <c r="L777" s="145">
        <v>2.1999999999999999E-2</v>
      </c>
      <c r="M777" s="91">
        <f t="shared" si="30"/>
        <v>65.971100904410989</v>
      </c>
      <c r="P777" s="58"/>
      <c r="S777" s="58"/>
    </row>
    <row r="778" spans="1:19" ht="15.75">
      <c r="B778" s="621">
        <v>44958</v>
      </c>
      <c r="C778" s="1422">
        <f t="shared" ref="C778:C816" si="31">ROUND(C777*D778/D777,2)</f>
        <v>122.73</v>
      </c>
      <c r="D778" s="1431">
        <v>115.2</v>
      </c>
      <c r="K778">
        <v>14</v>
      </c>
      <c r="L778" s="145">
        <v>2.1999999999999999E-2</v>
      </c>
      <c r="M778" s="91">
        <f t="shared" si="30"/>
        <v>64.519736684513944</v>
      </c>
      <c r="P778" s="58"/>
      <c r="S778" s="58"/>
    </row>
    <row r="779" spans="1:19" ht="15.75">
      <c r="B779" s="621">
        <v>44986</v>
      </c>
      <c r="C779" s="1422">
        <f t="shared" si="31"/>
        <v>123.69</v>
      </c>
      <c r="D779" s="1431">
        <v>116.1</v>
      </c>
      <c r="K779">
        <v>15</v>
      </c>
      <c r="L779" s="145">
        <v>2.1999999999999999E-2</v>
      </c>
      <c r="M779" s="91">
        <f t="shared" si="30"/>
        <v>63.100302477454633</v>
      </c>
      <c r="P779" s="58"/>
      <c r="S779" s="58"/>
    </row>
    <row r="780" spans="1:19" ht="15.75">
      <c r="B780" s="621">
        <v>45017</v>
      </c>
      <c r="C780" s="1422">
        <f t="shared" si="31"/>
        <v>124.22</v>
      </c>
      <c r="D780" s="1431">
        <v>116.6</v>
      </c>
      <c r="K780">
        <v>16</v>
      </c>
      <c r="L780" s="145">
        <v>2.1999999999999999E-2</v>
      </c>
      <c r="M780" s="91">
        <f t="shared" si="30"/>
        <v>61.71209582295063</v>
      </c>
      <c r="P780" s="58"/>
      <c r="S780" s="58"/>
    </row>
    <row r="781" spans="1:19" ht="15.75">
      <c r="B781" s="621">
        <v>45047</v>
      </c>
      <c r="C781" s="1422">
        <f t="shared" si="31"/>
        <v>124.11</v>
      </c>
      <c r="D781" s="1431">
        <v>116.5</v>
      </c>
      <c r="K781">
        <v>17</v>
      </c>
      <c r="L781" s="145">
        <v>2.1999999999999999E-2</v>
      </c>
      <c r="M781" s="91">
        <f t="shared" si="30"/>
        <v>60.354429714845715</v>
      </c>
      <c r="P781" s="58"/>
      <c r="S781" s="58"/>
    </row>
    <row r="782" spans="1:19" ht="15.75">
      <c r="B782" s="621">
        <v>45078</v>
      </c>
      <c r="C782" s="1422">
        <f t="shared" si="31"/>
        <v>124.43</v>
      </c>
      <c r="D782" s="1431">
        <v>116.8</v>
      </c>
      <c r="K782">
        <v>18</v>
      </c>
      <c r="L782" s="145">
        <v>2.1999999999999999E-2</v>
      </c>
      <c r="M782" s="91">
        <f t="shared" si="30"/>
        <v>59.026632261119104</v>
      </c>
      <c r="P782" s="58"/>
      <c r="S782" s="58"/>
    </row>
    <row r="783" spans="1:19" ht="15.75">
      <c r="B783" s="621">
        <v>45108</v>
      </c>
      <c r="C783" s="1422">
        <f t="shared" si="31"/>
        <v>124.75</v>
      </c>
      <c r="D783" s="1431">
        <v>117.1</v>
      </c>
      <c r="K783">
        <v>19</v>
      </c>
      <c r="L783" s="145">
        <v>2.1999999999999999E-2</v>
      </c>
      <c r="M783" s="91">
        <f t="shared" si="30"/>
        <v>57.728046351374481</v>
      </c>
      <c r="P783" s="58"/>
      <c r="S783" s="58"/>
    </row>
    <row r="784" spans="1:19" ht="15.75">
      <c r="B784" s="621">
        <v>45139</v>
      </c>
      <c r="C784" s="1422">
        <f t="shared" si="31"/>
        <v>125.18</v>
      </c>
      <c r="D784" s="1431">
        <v>117.5</v>
      </c>
      <c r="K784">
        <v>20</v>
      </c>
      <c r="L784" s="145">
        <v>2.1999999999999999E-2</v>
      </c>
      <c r="M784" s="91">
        <f t="shared" si="30"/>
        <v>56.458029331644241</v>
      </c>
      <c r="P784" s="58"/>
      <c r="R784" s="259"/>
      <c r="S784" s="58"/>
    </row>
    <row r="785" spans="2:19" ht="15.75">
      <c r="B785" s="621">
        <v>45170</v>
      </c>
      <c r="C785" s="1422">
        <f t="shared" si="31"/>
        <v>125.5</v>
      </c>
      <c r="D785" s="1431">
        <v>117.8</v>
      </c>
      <c r="K785">
        <v>21</v>
      </c>
      <c r="L785" s="145">
        <v>2.1999999999999999E-2</v>
      </c>
      <c r="M785" s="91">
        <f t="shared" si="30"/>
        <v>55.215952686348068</v>
      </c>
      <c r="P785" s="58"/>
      <c r="S785" s="58"/>
    </row>
    <row r="786" spans="2:19" ht="15.75">
      <c r="B786" s="621">
        <v>45200</v>
      </c>
      <c r="C786" s="1422">
        <f t="shared" si="31"/>
        <v>125.5</v>
      </c>
      <c r="D786" s="1431">
        <v>117.8</v>
      </c>
      <c r="K786">
        <v>22</v>
      </c>
      <c r="L786" s="145">
        <v>2.1999999999999999E-2</v>
      </c>
      <c r="M786" s="91">
        <f t="shared" si="30"/>
        <v>54.001201727248407</v>
      </c>
      <c r="P786" s="58"/>
      <c r="S786" s="58"/>
    </row>
    <row r="787" spans="2:19" ht="15.75">
      <c r="B787" s="621">
        <v>45231</v>
      </c>
      <c r="C787" s="1422">
        <f t="shared" si="31"/>
        <v>124.97</v>
      </c>
      <c r="D787" s="1431">
        <v>117.3</v>
      </c>
      <c r="K787">
        <v>23</v>
      </c>
      <c r="L787" s="145">
        <v>2.1999999999999999E-2</v>
      </c>
      <c r="M787" s="91">
        <f t="shared" si="30"/>
        <v>52.813175289248939</v>
      </c>
      <c r="P787" s="58"/>
      <c r="S787" s="58"/>
    </row>
    <row r="788" spans="2:19" ht="15.75">
      <c r="B788" s="621">
        <v>45261</v>
      </c>
      <c r="C788" s="1422">
        <f t="shared" si="31"/>
        <v>125.08</v>
      </c>
      <c r="D788" s="1431">
        <v>117.4</v>
      </c>
      <c r="K788">
        <v>24</v>
      </c>
      <c r="L788" s="145">
        <v>2.1999999999999999E-2</v>
      </c>
      <c r="M788" s="91">
        <f t="shared" si="30"/>
        <v>51.651285432885459</v>
      </c>
      <c r="P788" s="58"/>
      <c r="S788" s="58"/>
    </row>
    <row r="789" spans="2:19" ht="15.75">
      <c r="B789" s="621">
        <v>45292</v>
      </c>
      <c r="C789" s="1422">
        <f t="shared" si="31"/>
        <v>125.29</v>
      </c>
      <c r="D789" s="1431">
        <v>117.6</v>
      </c>
      <c r="K789">
        <v>25</v>
      </c>
      <c r="L789" s="145">
        <v>2.1999999999999999E-2</v>
      </c>
      <c r="M789" s="91">
        <f t="shared" si="30"/>
        <v>50.514957153361976</v>
      </c>
      <c r="P789" s="58"/>
      <c r="S789" s="58"/>
    </row>
    <row r="790" spans="2:19" ht="15.75">
      <c r="B790" s="621">
        <v>45323</v>
      </c>
      <c r="C790" s="1422">
        <f t="shared" si="31"/>
        <v>125.82</v>
      </c>
      <c r="D790" s="1431">
        <v>118.1</v>
      </c>
      <c r="K790">
        <v>26</v>
      </c>
      <c r="L790" s="145">
        <v>2.1999999999999999E-2</v>
      </c>
      <c r="M790" s="91">
        <f t="shared" si="30"/>
        <v>49.403628095988012</v>
      </c>
      <c r="P790" s="58"/>
      <c r="S790" s="58"/>
    </row>
    <row r="791" spans="2:19" ht="15.75">
      <c r="B791" s="621">
        <v>45352</v>
      </c>
      <c r="C791" s="1422">
        <f t="shared" si="31"/>
        <v>126.35</v>
      </c>
      <c r="D791" s="1431">
        <v>118.6</v>
      </c>
      <c r="K791">
        <v>27</v>
      </c>
      <c r="L791" s="145">
        <v>2.1999999999999999E-2</v>
      </c>
      <c r="M791" s="91">
        <f t="shared" si="30"/>
        <v>48.316748277876272</v>
      </c>
      <c r="P791" s="58"/>
      <c r="S791" s="58"/>
    </row>
    <row r="792" spans="2:19" ht="15.75">
      <c r="B792" s="621">
        <v>45383</v>
      </c>
      <c r="C792" s="1422">
        <f t="shared" si="31"/>
        <v>126.99</v>
      </c>
      <c r="D792" s="1431">
        <v>119.2</v>
      </c>
      <c r="K792">
        <v>28</v>
      </c>
      <c r="L792" s="145">
        <v>2.1999999999999999E-2</v>
      </c>
      <c r="M792" s="91">
        <f t="shared" si="30"/>
        <v>47.253779815762989</v>
      </c>
      <c r="P792" s="58"/>
      <c r="S792" s="58"/>
    </row>
    <row r="793" spans="2:19" ht="15.75">
      <c r="B793" s="621">
        <v>45413</v>
      </c>
      <c r="C793" s="1422">
        <f t="shared" si="31"/>
        <v>127.1</v>
      </c>
      <c r="D793" s="1431">
        <v>119.3</v>
      </c>
      <c r="K793">
        <v>29</v>
      </c>
      <c r="L793" s="145">
        <v>2.1999999999999999E-2</v>
      </c>
      <c r="M793" s="91">
        <f t="shared" si="30"/>
        <v>46.214196659816203</v>
      </c>
      <c r="P793" s="58"/>
      <c r="S793" s="58"/>
    </row>
    <row r="794" spans="2:19" ht="15.75">
      <c r="B794" s="621">
        <v>45444</v>
      </c>
      <c r="C794" s="1422">
        <f t="shared" si="31"/>
        <v>127.21</v>
      </c>
      <c r="D794" s="1431">
        <v>119.4</v>
      </c>
      <c r="K794">
        <v>30</v>
      </c>
      <c r="L794" s="145">
        <v>2.1999999999999999E-2</v>
      </c>
      <c r="M794" s="91">
        <f t="shared" si="30"/>
        <v>45.197484333300245</v>
      </c>
    </row>
    <row r="795" spans="2:19" ht="15.75">
      <c r="B795" s="621">
        <v>45474</v>
      </c>
      <c r="C795" s="1422">
        <f t="shared" si="31"/>
        <v>127.64</v>
      </c>
      <c r="D795" s="2111">
        <v>119.8</v>
      </c>
      <c r="K795">
        <v>31</v>
      </c>
      <c r="L795" s="145">
        <v>2.1999999999999999E-2</v>
      </c>
      <c r="M795" s="91">
        <f t="shared" si="30"/>
        <v>44.203139677967641</v>
      </c>
    </row>
    <row r="796" spans="2:19" ht="15.75">
      <c r="B796" s="621">
        <v>45505</v>
      </c>
      <c r="C796" s="1422">
        <f t="shared" si="31"/>
        <v>127.53</v>
      </c>
      <c r="D796" s="2111">
        <v>119.7</v>
      </c>
      <c r="K796">
        <v>32</v>
      </c>
      <c r="L796" s="145">
        <v>2.1999999999999999E-2</v>
      </c>
      <c r="M796" s="91">
        <f t="shared" si="30"/>
        <v>43.230670605052353</v>
      </c>
    </row>
    <row r="797" spans="2:19" ht="15.75">
      <c r="B797" s="621">
        <v>45536</v>
      </c>
      <c r="C797" s="1422">
        <f t="shared" si="31"/>
        <v>127.53</v>
      </c>
      <c r="D797" s="2111">
        <v>119.7</v>
      </c>
      <c r="K797">
        <v>33</v>
      </c>
      <c r="L797" s="145">
        <v>2.1999999999999999E-2</v>
      </c>
      <c r="M797" s="91">
        <f t="shared" si="30"/>
        <v>42.279595851741199</v>
      </c>
    </row>
    <row r="798" spans="2:19" ht="15.75">
      <c r="B798" s="621">
        <v>45566</v>
      </c>
      <c r="C798" s="1422">
        <f t="shared" si="31"/>
        <v>128.06</v>
      </c>
      <c r="D798" s="1431">
        <v>120.2</v>
      </c>
      <c r="K798">
        <v>34</v>
      </c>
      <c r="L798" s="145">
        <v>2.1999999999999999E-2</v>
      </c>
      <c r="M798" s="91">
        <f t="shared" si="30"/>
        <v>41.349444743002891</v>
      </c>
    </row>
    <row r="799" spans="2:19" ht="15.75">
      <c r="B799" s="621">
        <v>45597</v>
      </c>
      <c r="C799" s="1422">
        <f t="shared" si="31"/>
        <v>127.74</v>
      </c>
      <c r="D799" s="1431">
        <v>119.9</v>
      </c>
      <c r="K799">
        <v>35</v>
      </c>
      <c r="L799" s="145">
        <v>2.1999999999999999E-2</v>
      </c>
      <c r="M799" s="91">
        <f t="shared" si="30"/>
        <v>40.43975695865683</v>
      </c>
    </row>
    <row r="800" spans="2:19" ht="15.75">
      <c r="B800" s="621">
        <v>45627</v>
      </c>
      <c r="C800" s="1422">
        <f t="shared" si="31"/>
        <v>128.38</v>
      </c>
      <c r="D800" s="1431">
        <v>120.5</v>
      </c>
      <c r="K800">
        <v>36</v>
      </c>
      <c r="L800" s="145">
        <v>2.1999999999999999E-2</v>
      </c>
      <c r="M800" s="91">
        <f t="shared" si="30"/>
        <v>39.550082305566377</v>
      </c>
    </row>
    <row r="801" spans="2:14" ht="15.75">
      <c r="B801" s="621">
        <v>45658</v>
      </c>
      <c r="C801" s="1422">
        <f t="shared" si="31"/>
        <v>128.16999999999999</v>
      </c>
      <c r="D801" s="1431">
        <v>120.3</v>
      </c>
      <c r="K801">
        <v>37</v>
      </c>
      <c r="L801" s="145">
        <v>2.1999999999999999E-2</v>
      </c>
      <c r="M801" s="91">
        <f t="shared" si="30"/>
        <v>38.679980494843917</v>
      </c>
    </row>
    <row r="802" spans="2:14" ht="15.75">
      <c r="B802" s="621">
        <v>45689</v>
      </c>
      <c r="C802" s="1422">
        <f t="shared" si="31"/>
        <v>128.69999999999999</v>
      </c>
      <c r="D802" s="1431">
        <v>120.8</v>
      </c>
      <c r="K802">
        <v>38</v>
      </c>
      <c r="L802" s="145">
        <v>2.1999999999999999E-2</v>
      </c>
      <c r="M802" s="91">
        <f t="shared" si="30"/>
        <v>37.829020923957351</v>
      </c>
      <c r="N802" s="145">
        <f>_xlfn.RRI(K802,M764,M802)</f>
        <v>-2.5256979341022001E-2</v>
      </c>
    </row>
    <row r="803" spans="2:14" ht="15.75">
      <c r="B803" s="621">
        <v>45717</v>
      </c>
      <c r="C803" s="1422">
        <f t="shared" si="31"/>
        <v>129.13</v>
      </c>
      <c r="D803" s="1430">
        <v>121.2</v>
      </c>
      <c r="K803">
        <v>39</v>
      </c>
    </row>
    <row r="804" spans="2:14" ht="15.75">
      <c r="B804" s="621">
        <v>45748</v>
      </c>
      <c r="C804" s="1422">
        <f t="shared" si="31"/>
        <v>129.66</v>
      </c>
      <c r="D804" s="1430">
        <v>121.7</v>
      </c>
      <c r="K804">
        <v>40</v>
      </c>
    </row>
    <row r="805" spans="2:14" ht="15.75">
      <c r="B805" s="621">
        <v>45778</v>
      </c>
      <c r="C805" s="1422">
        <f t="shared" si="31"/>
        <v>129.77000000000001</v>
      </c>
      <c r="D805" s="1430">
        <v>121.8</v>
      </c>
      <c r="K805">
        <v>41</v>
      </c>
    </row>
    <row r="806" spans="2:14" ht="15.75">
      <c r="B806" s="621">
        <v>45809</v>
      </c>
      <c r="C806" s="1422">
        <f t="shared" si="31"/>
        <v>129.77000000000001</v>
      </c>
      <c r="D806" s="1430">
        <v>121.8</v>
      </c>
      <c r="K806">
        <v>42</v>
      </c>
    </row>
    <row r="807" spans="2:14" ht="15.75">
      <c r="B807" s="621">
        <v>45839</v>
      </c>
      <c r="C807" s="1422">
        <f t="shared" si="31"/>
        <v>130.19999999999999</v>
      </c>
      <c r="D807" s="1430">
        <v>122.2</v>
      </c>
      <c r="K807">
        <v>43</v>
      </c>
    </row>
    <row r="808" spans="2:14" ht="15.75">
      <c r="B808" s="621">
        <v>45870</v>
      </c>
      <c r="C808" s="1422">
        <f t="shared" si="31"/>
        <v>130.31</v>
      </c>
      <c r="D808" s="1430">
        <v>122.3</v>
      </c>
      <c r="K808">
        <v>44</v>
      </c>
    </row>
    <row r="809" spans="2:14" ht="15">
      <c r="B809" s="72">
        <v>45901</v>
      </c>
      <c r="C809" s="1422">
        <f t="shared" si="31"/>
        <v>130.63</v>
      </c>
      <c r="D809" s="1430">
        <v>122.6</v>
      </c>
      <c r="K809">
        <v>45</v>
      </c>
    </row>
    <row r="810" spans="2:14" ht="15.75">
      <c r="B810" s="621">
        <v>45931</v>
      </c>
      <c r="C810" s="1422">
        <f t="shared" si="31"/>
        <v>131.06</v>
      </c>
      <c r="D810" s="1430">
        <v>123</v>
      </c>
      <c r="K810">
        <v>46</v>
      </c>
    </row>
    <row r="811" spans="2:14" ht="15">
      <c r="B811" s="72">
        <v>45962</v>
      </c>
      <c r="C811" s="1422">
        <f t="shared" si="31"/>
        <v>130.74</v>
      </c>
      <c r="D811" s="1430">
        <v>122.7</v>
      </c>
      <c r="K811">
        <v>47</v>
      </c>
    </row>
    <row r="812" spans="2:14" ht="15.75">
      <c r="B812" s="621">
        <v>45992</v>
      </c>
      <c r="C812" s="1422">
        <f t="shared" si="31"/>
        <v>130.74</v>
      </c>
      <c r="D812" s="1430">
        <v>122.7</v>
      </c>
      <c r="K812">
        <v>48</v>
      </c>
    </row>
    <row r="813" spans="2:14" ht="15">
      <c r="B813" s="72">
        <v>46023</v>
      </c>
      <c r="C813" s="1422">
        <f t="shared" si="31"/>
        <v>130.85</v>
      </c>
      <c r="D813" s="1430">
        <v>122.8</v>
      </c>
    </row>
    <row r="814" spans="2:14" ht="15.75">
      <c r="B814" s="621">
        <v>46054</v>
      </c>
      <c r="C814" s="1422">
        <f t="shared" si="31"/>
        <v>0</v>
      </c>
    </row>
    <row r="815" spans="2:14" ht="15">
      <c r="B815" s="72">
        <v>46082</v>
      </c>
      <c r="C815" s="1422" t="e">
        <f t="shared" si="31"/>
        <v>#DIV/0!</v>
      </c>
    </row>
    <row r="816" spans="2:14" ht="15.75">
      <c r="B816" s="621">
        <v>46113</v>
      </c>
      <c r="C816" s="1422" t="e">
        <f t="shared" si="31"/>
        <v>#DIV/0!</v>
      </c>
    </row>
    <row r="817" spans="2:3" ht="15">
      <c r="B817" s="72">
        <v>46143</v>
      </c>
      <c r="C817" s="1228"/>
    </row>
    <row r="818" spans="2:3" ht="15.75">
      <c r="B818" s="621">
        <v>46174</v>
      </c>
      <c r="C818" s="1228"/>
    </row>
    <row r="819" spans="2:3" ht="15">
      <c r="B819" s="72">
        <v>46204</v>
      </c>
      <c r="C819" s="1228"/>
    </row>
    <row r="820" spans="2:3" ht="15.75">
      <c r="B820" s="621">
        <v>46235</v>
      </c>
      <c r="C820" s="1228"/>
    </row>
    <row r="821" spans="2:3" ht="15">
      <c r="B821" s="72">
        <v>46266</v>
      </c>
      <c r="C821" s="1228"/>
    </row>
    <row r="822" spans="2:3" ht="15.75">
      <c r="B822" s="621">
        <v>46296</v>
      </c>
      <c r="C822" s="1228"/>
    </row>
    <row r="823" spans="2:3" ht="15">
      <c r="B823" s="72">
        <v>46327</v>
      </c>
      <c r="C823" s="1228"/>
    </row>
    <row r="824" spans="2:3" ht="15.75">
      <c r="B824" s="621">
        <v>46357</v>
      </c>
      <c r="C824" s="1228"/>
    </row>
    <row r="825" spans="2:3" ht="15">
      <c r="B825" s="72">
        <v>46388</v>
      </c>
      <c r="C825" s="1228"/>
    </row>
    <row r="826" spans="2:3" ht="15.75">
      <c r="B826" s="621">
        <v>46419</v>
      </c>
      <c r="C826" s="1228"/>
    </row>
    <row r="827" spans="2:3" ht="15">
      <c r="B827" s="72">
        <v>46447</v>
      </c>
      <c r="C827" s="1228"/>
    </row>
    <row r="828" spans="2:3" ht="15.75">
      <c r="B828" s="621">
        <v>46478</v>
      </c>
      <c r="C828" s="1228"/>
    </row>
    <row r="829" spans="2:3" ht="15">
      <c r="B829" s="72">
        <v>46508</v>
      </c>
      <c r="C829" s="1228"/>
    </row>
    <row r="830" spans="2:3" ht="15.75">
      <c r="B830" s="621">
        <v>46539</v>
      </c>
      <c r="C830" s="1228"/>
    </row>
    <row r="831" spans="2:3" ht="15">
      <c r="B831" s="72">
        <v>46569</v>
      </c>
      <c r="C831" s="1228"/>
    </row>
    <row r="832" spans="2:3" ht="15.75">
      <c r="B832" s="621">
        <v>46600</v>
      </c>
      <c r="C832" s="1228"/>
    </row>
    <row r="833" spans="2:3" ht="15">
      <c r="B833" s="72">
        <v>46631</v>
      </c>
      <c r="C833" s="1228"/>
    </row>
    <row r="834" spans="2:3" ht="15.75">
      <c r="B834" s="621">
        <v>46661</v>
      </c>
      <c r="C834" s="1228"/>
    </row>
    <row r="835" spans="2:3" ht="15">
      <c r="B835" s="72">
        <v>46692</v>
      </c>
      <c r="C835" s="1228"/>
    </row>
    <row r="836" spans="2:3" ht="15.75">
      <c r="B836" s="621">
        <v>46722</v>
      </c>
      <c r="C836" s="1228"/>
    </row>
    <row r="837" spans="2:3" ht="15">
      <c r="B837" s="72">
        <v>46753</v>
      </c>
      <c r="C837" s="1228"/>
    </row>
    <row r="838" spans="2:3" ht="15.75">
      <c r="B838" s="621">
        <v>46784</v>
      </c>
      <c r="C838" s="1228"/>
    </row>
    <row r="839" spans="2:3" ht="15">
      <c r="B839" s="72">
        <v>46813</v>
      </c>
      <c r="C839" s="1228"/>
    </row>
    <row r="840" spans="2:3" ht="15.75">
      <c r="B840" s="621">
        <v>46844</v>
      </c>
      <c r="C840" s="1228"/>
    </row>
    <row r="841" spans="2:3" ht="15">
      <c r="B841" s="72">
        <v>46874</v>
      </c>
      <c r="C841" s="1228"/>
    </row>
    <row r="842" spans="2:3" ht="15.75">
      <c r="B842" s="621">
        <v>46905</v>
      </c>
      <c r="C842" s="1228"/>
    </row>
    <row r="843" spans="2:3" ht="15">
      <c r="B843" s="72">
        <v>46935</v>
      </c>
      <c r="C843" s="1228"/>
    </row>
    <row r="844" spans="2:3" ht="15.75">
      <c r="B844" s="621">
        <v>46966</v>
      </c>
      <c r="C844" s="1228"/>
    </row>
    <row r="845" spans="2:3" ht="15">
      <c r="B845" s="72">
        <v>46997</v>
      </c>
      <c r="C845" s="1228"/>
    </row>
    <row r="846" spans="2:3" ht="15.75">
      <c r="B846" s="621">
        <v>47027</v>
      </c>
      <c r="C846" s="1228"/>
    </row>
    <row r="847" spans="2:3" ht="15">
      <c r="B847" s="72">
        <v>47058</v>
      </c>
      <c r="C847" s="1228"/>
    </row>
    <row r="848" spans="2:3" ht="15.75">
      <c r="B848" s="621">
        <v>47088</v>
      </c>
      <c r="C848" s="1228"/>
    </row>
    <row r="849" spans="2:3" ht="15">
      <c r="B849" s="72">
        <v>47119</v>
      </c>
      <c r="C849" s="1228"/>
    </row>
    <row r="850" spans="2:3" ht="15.75">
      <c r="B850" s="621">
        <v>47150</v>
      </c>
      <c r="C850" s="1228"/>
    </row>
    <row r="851" spans="2:3" ht="15">
      <c r="B851" s="72">
        <v>47178</v>
      </c>
      <c r="C851" s="1228"/>
    </row>
    <row r="852" spans="2:3" ht="15">
      <c r="B852" s="72"/>
      <c r="C852" s="1228"/>
    </row>
    <row r="853" spans="2:3" ht="15">
      <c r="B853" s="72"/>
      <c r="C853" s="1228"/>
    </row>
    <row r="854" spans="2:3" ht="15">
      <c r="B854" s="72"/>
      <c r="C854" s="1228"/>
    </row>
    <row r="855" spans="2:3" ht="15">
      <c r="B855" s="72"/>
      <c r="C855" s="1228"/>
    </row>
    <row r="856" spans="2:3" ht="15">
      <c r="B856" s="72"/>
      <c r="C856" s="1228"/>
    </row>
    <row r="857" spans="2:3" ht="15">
      <c r="B857" s="72"/>
      <c r="C857" s="1228"/>
    </row>
    <row r="858" spans="2:3" ht="15">
      <c r="B858" s="72"/>
      <c r="C858" s="1228"/>
    </row>
    <row r="859" spans="2:3" ht="15">
      <c r="B859" s="72"/>
      <c r="C859" s="1228"/>
    </row>
    <row r="860" spans="2:3" ht="15">
      <c r="B860" s="72"/>
      <c r="C860" s="1228"/>
    </row>
    <row r="861" spans="2:3" ht="15">
      <c r="B861" s="72"/>
      <c r="C861" s="1228"/>
    </row>
    <row r="862" spans="2:3" ht="15">
      <c r="B862" s="72"/>
      <c r="C862" s="1228"/>
    </row>
    <row r="863" spans="2:3" ht="15">
      <c r="B863" s="72"/>
      <c r="C863" s="1228"/>
    </row>
    <row r="864" spans="2:3" ht="15">
      <c r="B864" s="72"/>
      <c r="C864" s="1228"/>
    </row>
    <row r="865" spans="2:3" ht="15">
      <c r="B865" s="72"/>
      <c r="C865" s="1228"/>
    </row>
    <row r="866" spans="2:3" ht="15">
      <c r="B866" s="72"/>
      <c r="C866" s="1228"/>
    </row>
    <row r="867" spans="2:3" ht="15">
      <c r="B867" s="72"/>
      <c r="C867" s="1228"/>
    </row>
  </sheetData>
  <sheetProtection algorithmName="SHA-512" hashValue="o3RspELG0ubBNdylg8nI620bstXZg1jbqnxC75TdvvcTGaNgBRnQuECDily2JI+wLwVJhfbeMlSa8V+g22545g==" saltValue="PoKwTo6dLyKFEHYaCAkGSw==" spinCount="100000" sheet="1" objects="1" scenarios="1" formatColumns="0" autoFilter="0"/>
  <sortState xmlns:xlrd2="http://schemas.microsoft.com/office/spreadsheetml/2017/richdata2" ref="B3:C867">
    <sortCondition ref="B3"/>
  </sortState>
  <mergeCells count="10">
    <mergeCell ref="S730:U730"/>
    <mergeCell ref="P730:R730"/>
    <mergeCell ref="E29:G29"/>
    <mergeCell ref="O1:R1"/>
    <mergeCell ref="B2:C2"/>
    <mergeCell ref="H3:I3"/>
    <mergeCell ref="K3:M3"/>
    <mergeCell ref="E2:G2"/>
    <mergeCell ref="S6:AK7"/>
    <mergeCell ref="S8:U8"/>
  </mergeCells>
  <conditionalFormatting sqref="T11:T28">
    <cfRule type="colorScale" priority="1">
      <colorScale>
        <cfvo type="min"/>
        <cfvo type="percentile" val="50"/>
        <cfvo type="max"/>
        <color rgb="FF63BE7B"/>
        <color rgb="FFFFEB84"/>
        <color rgb="FFF8696B"/>
      </colorScale>
    </cfRule>
  </conditionalFormatting>
  <hyperlinks>
    <hyperlink ref="B1" r:id="rId1" xr:uid="{00000000-0004-0000-0900-000000000000}"/>
  </hyperlinks>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92999-809B-4105-B14F-B903B612C8E8}">
  <sheetPr codeName="Tabelle3"/>
  <dimension ref="B2:C8"/>
  <sheetViews>
    <sheetView workbookViewId="0">
      <selection activeCell="C2" sqref="C2"/>
    </sheetView>
  </sheetViews>
  <sheetFormatPr baseColWidth="10" defaultRowHeight="14.25"/>
  <cols>
    <col min="2" max="2" width="19.125" customWidth="1"/>
    <col min="3" max="3" width="15.125" customWidth="1"/>
  </cols>
  <sheetData>
    <row r="2" spans="2:3">
      <c r="B2" s="25" t="s">
        <v>407</v>
      </c>
      <c r="C2" s="339" t="b">
        <v>1</v>
      </c>
    </row>
    <row r="3" spans="2:3">
      <c r="B3" s="25" t="s">
        <v>405</v>
      </c>
      <c r="C3" s="25"/>
    </row>
    <row r="4" spans="2:3">
      <c r="B4" s="25" t="s">
        <v>286</v>
      </c>
      <c r="C4" s="260">
        <f>IF(GrafikSchalter,Adaequanz_errechneterKapWert,Adaequanz_Ausgleichswert1)</f>
        <v>0</v>
      </c>
    </row>
    <row r="5" spans="2:3">
      <c r="B5" s="25" t="s">
        <v>126</v>
      </c>
      <c r="C5" s="260" t="str">
        <f>IF(GrafikSchalter,'BVerfG 1 BvL 5-18'!E61,'BVerfG 1 BvL 5-18'!E22)</f>
        <v/>
      </c>
    </row>
    <row r="6" spans="2:3">
      <c r="B6" s="25" t="s">
        <v>287</v>
      </c>
      <c r="C6" s="260" t="str">
        <f>IF(GrafikSchalter,'BVerfG 1 BvL 5-18'!F61,'BVerfG 1 BvL 5-18'!F22)</f>
        <v/>
      </c>
    </row>
    <row r="7" spans="2:3">
      <c r="B7" s="25" t="s">
        <v>288</v>
      </c>
      <c r="C7" s="260" t="str">
        <f>IF(GrafikSchalter,'BVerfG 1 BvL 5-18'!G61,Adaequanz_RVolumenBer)</f>
        <v/>
      </c>
    </row>
    <row r="8" spans="2:3">
      <c r="B8" s="25" t="s">
        <v>406</v>
      </c>
      <c r="C8" s="260">
        <f>IF(VersBer,IF(GrafikSchalter,'BVerfG 1 BvL 5-18'!H61,'BVerfG 1 BvL 5-18'!H22),0)</f>
        <v>0</v>
      </c>
    </row>
  </sheetData>
  <sheetProtection algorithmName="SHA-512" hashValue="/mkE93gNdDGR5xb6KX6Gp/7DBSDzTYCGRfXYA4zfm+UGsKS/MDw/NTAYGho+JqKPmek1MCVM/WmamtfWhHp7pQ==" saltValue="tpcMcN24DA7lhx69FxJxJw==" spinCount="100000" sheet="1" objects="1" scenarios="1" formatColumns="0" autoFilter="0"/>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pageSetUpPr fitToPage="1"/>
  </sheetPr>
  <dimension ref="A1:AA95"/>
  <sheetViews>
    <sheetView showGridLines="0" showZeros="0" topLeftCell="B1" zoomScale="85" zoomScaleNormal="85" workbookViewId="0">
      <selection activeCell="U2" sqref="U2"/>
    </sheetView>
  </sheetViews>
  <sheetFormatPr baseColWidth="10" defaultColWidth="0.125" defaultRowHeight="14.25" zeroHeight="1" outlineLevelCol="1"/>
  <cols>
    <col min="1" max="1" width="4.625" style="211" customWidth="1"/>
    <col min="2" max="2" width="7.125" style="235" customWidth="1"/>
    <col min="3" max="6" width="15.625" style="215" customWidth="1"/>
    <col min="7" max="7" width="0" style="215" hidden="1" customWidth="1"/>
    <col min="8" max="11" width="14.5" style="215" customWidth="1"/>
    <col min="12" max="12" width="9.125" style="215" hidden="1" customWidth="1"/>
    <col min="13" max="13" width="9.125" style="215" customWidth="1"/>
    <col min="14" max="15" width="14.5" style="215" customWidth="1"/>
    <col min="16" max="16" width="14.5" style="215" customWidth="1" outlineLevel="1"/>
    <col min="17" max="17" width="14.625" style="215" customWidth="1" outlineLevel="1"/>
    <col min="18" max="18" width="14.5" style="215" customWidth="1" outlineLevel="1"/>
    <col min="19" max="19" width="3" style="215" customWidth="1"/>
    <col min="20" max="20" width="8.125" style="215" customWidth="1"/>
    <col min="21" max="21" width="12.625" style="215" customWidth="1"/>
    <col min="22" max="22" width="11.125" style="215" customWidth="1"/>
    <col min="23" max="23" width="10.125" style="215" customWidth="1"/>
    <col min="24" max="24" width="6.625" style="215" customWidth="1"/>
    <col min="25" max="25" width="10.625" style="215" customWidth="1"/>
    <col min="26" max="27" width="10.625" customWidth="1"/>
    <col min="28" max="28" width="10.625" style="215" customWidth="1"/>
    <col min="29" max="32" width="7.125" style="215" customWidth="1"/>
    <col min="33" max="204" width="3" style="215" customWidth="1"/>
    <col min="205" max="16384" width="0.125" style="215"/>
  </cols>
  <sheetData>
    <row r="1" spans="1:27" ht="29.1" customHeight="1">
      <c r="A1" s="334"/>
      <c r="B1" s="3029"/>
      <c r="C1" s="3029"/>
      <c r="D1" s="3029"/>
      <c r="E1" s="3029"/>
      <c r="F1" s="3030"/>
      <c r="G1" s="212"/>
      <c r="H1" s="327" t="s">
        <v>328</v>
      </c>
      <c r="I1" s="213" t="s">
        <v>126</v>
      </c>
      <c r="J1" s="213" t="s">
        <v>287</v>
      </c>
      <c r="K1" s="214" t="s">
        <v>288</v>
      </c>
      <c r="L1" s="335"/>
      <c r="M1" s="334"/>
      <c r="N1" s="3026" t="s">
        <v>379</v>
      </c>
      <c r="O1" s="214" t="s">
        <v>126</v>
      </c>
      <c r="P1" s="214" t="s">
        <v>567</v>
      </c>
      <c r="Q1" s="214" t="s">
        <v>568</v>
      </c>
      <c r="R1" s="214" t="s">
        <v>569</v>
      </c>
      <c r="S1" s="211"/>
      <c r="T1" s="210" t="str">
        <f>"$B$1:$O$"&amp;COUNTIF(B:B,"&gt;0")+18</f>
        <v>$B$1:$O$18</v>
      </c>
      <c r="U1" s="211" t="s">
        <v>304</v>
      </c>
      <c r="V1" s="211" t="s">
        <v>305</v>
      </c>
      <c r="W1" s="211" t="s">
        <v>306</v>
      </c>
      <c r="X1" t="s">
        <v>380</v>
      </c>
      <c r="Y1" s="215" t="s">
        <v>833</v>
      </c>
    </row>
    <row r="2" spans="1:27">
      <c r="A2" s="336"/>
      <c r="B2" s="3023" t="s">
        <v>298</v>
      </c>
      <c r="C2" s="3023"/>
      <c r="D2" s="3023"/>
      <c r="E2" s="3023"/>
      <c r="F2" s="3024"/>
      <c r="G2" s="216"/>
      <c r="H2" s="217" t="str">
        <f>+'BVerfG 1 BvL 5-18'!D8</f>
        <v/>
      </c>
      <c r="I2" s="217" t="str">
        <f>+H2</f>
        <v/>
      </c>
      <c r="J2" s="217" t="str">
        <f>+I2</f>
        <v/>
      </c>
      <c r="K2" s="217" t="str">
        <f>+J2</f>
        <v/>
      </c>
      <c r="L2" s="211"/>
      <c r="M2" s="336"/>
      <c r="N2" s="3027"/>
      <c r="O2" s="328">
        <f>IF(Adaequanz_GebDatAglBer=0,0,'BVerfG 1 BvL 5-18'!H8)</f>
        <v>0</v>
      </c>
      <c r="P2" s="328">
        <f>IF(Adaequanz_GebDatAglBer=0,0,IF(Adaequanz_Sondertaste,'BVerfG 1 BvL 5-18'!I8,0))</f>
        <v>0</v>
      </c>
      <c r="Q2" s="328">
        <f>IF(Adaequanz_GebDatAglBer=0,0,IF(Adaequanz_Sondertaste,'BVerfG 1 BvL 5-18'!J8,0))</f>
        <v>0</v>
      </c>
      <c r="R2" s="328">
        <f>IF(Adaequanz_GebDatAglBer=0,0,IF(Adaequanz_Sondertaste,'BVerfG 1 BvL 5-18'!K8,0))</f>
        <v>0</v>
      </c>
      <c r="S2" s="211"/>
      <c r="T2" s="215" t="s">
        <v>563</v>
      </c>
      <c r="U2" s="257" t="b">
        <v>1</v>
      </c>
      <c r="V2" s="257" t="b">
        <v>0</v>
      </c>
      <c r="W2" s="257" t="b">
        <v>0</v>
      </c>
      <c r="X2" s="15" t="b">
        <v>0</v>
      </c>
      <c r="Y2" s="15" t="b">
        <v>1</v>
      </c>
    </row>
    <row r="3" spans="1:27">
      <c r="A3" s="336"/>
      <c r="B3" s="3023" t="s">
        <v>813</v>
      </c>
      <c r="C3" s="3023"/>
      <c r="D3" s="3023"/>
      <c r="E3" s="3023"/>
      <c r="F3" s="3024"/>
      <c r="H3" s="217">
        <f>IFERROR(+H4+IF(H5&lt;H2,H2,H5),0)</f>
        <v>0</v>
      </c>
      <c r="I3" s="217">
        <f>IFERROR(+I4+IF(I5&lt;I2,I2,I5),0)</f>
        <v>0</v>
      </c>
      <c r="J3" s="217">
        <f>IFERROR(+J4+IF(J5&lt;J2,J2,J5),0)</f>
        <v>0</v>
      </c>
      <c r="K3" s="217">
        <f>IFERROR(+K4+IF(K5&lt;K2,K2,K5),0)</f>
        <v>0</v>
      </c>
      <c r="L3" s="211"/>
      <c r="M3" s="336"/>
      <c r="N3" s="3027"/>
      <c r="O3" s="219">
        <f>IFERROR(+O4+IF(O5&lt;'BVerfG 1 BvL 5-18'!H8,O2,O5),0)</f>
        <v>0</v>
      </c>
      <c r="P3" s="219">
        <f>IF(Adaequanz_Sondertaste,IFERROR(+P4+IF(P5&lt;'BVerfG 1 BvL 5-18'!I8,P2,P5),0),0)</f>
        <v>0</v>
      </c>
      <c r="Q3" s="219">
        <f>IF(Adaequanz_Sondertaste,IFERROR(+Q4+IF(Q5&lt;'BVerfG 1 BvL 5-18'!J8,Q2,Q5),0),0)</f>
        <v>0</v>
      </c>
      <c r="R3" s="219">
        <f>IF(Adaequanz_Sondertaste,IFERROR(+R4+IF(R5&lt;'BVerfG 1 BvL 5-18'!K8,R2,R5),0),0)</f>
        <v>0</v>
      </c>
      <c r="S3" s="211"/>
      <c r="T3" s="215">
        <f>MAX(U3:X3)</f>
        <v>1</v>
      </c>
      <c r="U3" s="215">
        <f>IF(DRVJa,1,0)</f>
        <v>1</v>
      </c>
      <c r="V3" s="215">
        <f>IF(V2,1,0)</f>
        <v>0</v>
      </c>
      <c r="W3" s="215">
        <f>IF(W2,1,0)</f>
        <v>0</v>
      </c>
      <c r="X3" s="215">
        <f>IF(X2,4,0)</f>
        <v>0</v>
      </c>
    </row>
    <row r="4" spans="1:27" ht="15">
      <c r="A4" s="336"/>
      <c r="B4" s="3023" t="s">
        <v>814</v>
      </c>
      <c r="C4" s="3023"/>
      <c r="D4" s="3023"/>
      <c r="E4" s="3023"/>
      <c r="F4" s="3024"/>
      <c r="H4" s="218">
        <f>+'BVerfG 1 BvL 5-18'!D10</f>
        <v>0</v>
      </c>
      <c r="I4" s="217">
        <f>+'BVerfG 1 BvL 5-18'!E10</f>
        <v>0</v>
      </c>
      <c r="J4" s="217">
        <f>+'BVerfG 1 BvL 5-18'!F10</f>
        <v>0</v>
      </c>
      <c r="K4" s="217">
        <f>+'BVerfG 1 BvL 5-18'!G10</f>
        <v>0</v>
      </c>
      <c r="L4" s="211"/>
      <c r="M4" s="336"/>
      <c r="N4" s="3027"/>
      <c r="O4" s="219">
        <f>IF(Adaequanz_GebDatAglBer=0,0,'BVerfG 1 BvL 5-18'!H10)</f>
        <v>0</v>
      </c>
      <c r="P4" s="219">
        <f>IF(Adaequanz_GebDatAglBer=0,0,'BVerfG 1 BvL 5-18'!I10)</f>
        <v>0</v>
      </c>
      <c r="Q4" s="219">
        <f>IF(Adaequanz_GebDatAglBer=0,0,'BVerfG 1 BvL 5-18'!J10)</f>
        <v>0</v>
      </c>
      <c r="R4" s="219">
        <f>IF(Adaequanz_GebDatAglBer=0,0,'BVerfG 1 BvL 5-18'!K10)</f>
        <v>0</v>
      </c>
      <c r="S4" s="211"/>
      <c r="U4" s="3025">
        <f>+U3+V3+W3</f>
        <v>1</v>
      </c>
      <c r="V4" s="3025"/>
      <c r="W4" s="3025"/>
    </row>
    <row r="5" spans="1:27">
      <c r="A5" s="336"/>
      <c r="B5" s="3023" t="s">
        <v>289</v>
      </c>
      <c r="C5" s="3023"/>
      <c r="D5" s="3023"/>
      <c r="E5" s="3023"/>
      <c r="F5" s="3024"/>
      <c r="H5" s="217">
        <f>+Adaequanz_ReEintrittPfl</f>
        <v>0</v>
      </c>
      <c r="I5" s="217" t="str">
        <f>+'BVerfG 1 BvL 5-18'!E9</f>
        <v/>
      </c>
      <c r="J5" s="217">
        <f>+'BVerfG 1 BvL 5-18'!F9</f>
        <v>0</v>
      </c>
      <c r="K5" s="219">
        <f>+'BVerfG 1 BvL 5-18'!G9</f>
        <v>0</v>
      </c>
      <c r="L5" s="211"/>
      <c r="M5" s="336"/>
      <c r="N5" s="3027"/>
      <c r="O5" s="200">
        <f>IF(Adaequanz_GebDatAglBer=0,0,+'BVerfG 1 BvL 5-18'!H9)</f>
        <v>0</v>
      </c>
      <c r="P5" s="200">
        <f>IF(Adaequanz_GebDatAglBer=0,0,+'BVerfG 1 BvL 5-18'!I9)</f>
        <v>0</v>
      </c>
      <c r="Q5" s="200">
        <f>IF(Adaequanz_GebDatAglBer=0,0,+'BVerfG 1 BvL 5-18'!J9)</f>
        <v>0</v>
      </c>
      <c r="R5" s="200">
        <f>IF(Adaequanz_GebDatAglBer=0,0,+'BVerfG 1 BvL 5-18'!K9)</f>
        <v>0</v>
      </c>
      <c r="S5" s="211"/>
    </row>
    <row r="6" spans="1:27">
      <c r="A6" s="336"/>
      <c r="B6" s="3023" t="s">
        <v>812</v>
      </c>
      <c r="C6" s="3023"/>
      <c r="D6" s="3023"/>
      <c r="E6" s="3023"/>
      <c r="F6" s="3024"/>
      <c r="H6" s="660">
        <f>IF(QVersJa,+Adaequanz_RentePfl,0)</f>
        <v>0</v>
      </c>
      <c r="I6" s="660">
        <f>IFERROR(IF(DRVJa,'BVerfG 1 BvL 5-18'!E12,0)/Adaequanz_Zugangsfaktor,0)</f>
        <v>0</v>
      </c>
      <c r="J6" s="660">
        <f>IF(VersAusglKJa,'BVerfG 1 BvL 5-18'!F12,0)</f>
        <v>0</v>
      </c>
      <c r="K6" s="661">
        <f>IF(VersAusglKJa,'BVerfG 1 BvL 5-18'!G12,0)</f>
        <v>0</v>
      </c>
      <c r="L6" s="211"/>
      <c r="M6" s="336"/>
      <c r="N6" s="3027"/>
      <c r="O6" s="220">
        <f>IF(Adaequanz_GebDatAglBer=0,0,'BVerfG 1 BvL 5-18'!H12)</f>
        <v>0</v>
      </c>
      <c r="P6" s="220">
        <f>IF(Adaequanz_GebDatAglBer=0,0,'BVerfG 1 BvL 5-18'!I11)</f>
        <v>0</v>
      </c>
      <c r="Q6" s="220">
        <f>IF(Adaequanz_GebDatAglBer=0,0,'BVerfG 1 BvL 5-18'!J12)</f>
        <v>0</v>
      </c>
      <c r="R6" s="220">
        <f>IF(Adaequanz_GebDatAglBer=0,0,'BVerfG 1 BvL 5-18'!K12)</f>
        <v>0</v>
      </c>
      <c r="S6" s="211"/>
      <c r="Y6" s="215" t="s">
        <v>301</v>
      </c>
      <c r="Z6" s="215" t="s">
        <v>302</v>
      </c>
      <c r="AA6" s="215" t="s">
        <v>303</v>
      </c>
    </row>
    <row r="7" spans="1:27">
      <c r="A7" s="336"/>
      <c r="B7" s="3023" t="s">
        <v>258</v>
      </c>
      <c r="C7" s="3023"/>
      <c r="D7" s="3023"/>
      <c r="E7" s="3023"/>
      <c r="F7" s="3024"/>
      <c r="H7" s="221">
        <f>+Adaequanz_ADynPfl</f>
        <v>0</v>
      </c>
      <c r="I7" s="221">
        <f>'BVerfG 1 BvL 5-18'!E13</f>
        <v>2.5999999999999999E-2</v>
      </c>
      <c r="J7" s="221">
        <f>'BVerfG 1 BvL 5-18'!F13</f>
        <v>0.01</v>
      </c>
      <c r="K7" s="222">
        <f>'BVerfG 1 BvL 5-18'!G13</f>
        <v>0</v>
      </c>
      <c r="L7" s="211"/>
      <c r="M7" s="336"/>
      <c r="N7" s="3027"/>
      <c r="O7" s="222">
        <f>+'BVerfG 1 BvL 5-18'!H13</f>
        <v>2.5999999999999999E-2</v>
      </c>
      <c r="P7" s="222">
        <f>+'BVerfG 1 BvL 5-18'!I13</f>
        <v>0</v>
      </c>
      <c r="Q7" s="222">
        <f>+'BVerfG 1 BvL 5-18'!J13</f>
        <v>0</v>
      </c>
      <c r="R7" s="222">
        <f>+'BVerfG 1 BvL 5-18'!K13</f>
        <v>0</v>
      </c>
      <c r="S7" s="211"/>
      <c r="Y7" s="215">
        <f>1-Redifferenz</f>
        <v>0.82000000000000006</v>
      </c>
      <c r="Z7" s="215"/>
      <c r="AA7" s="215"/>
    </row>
    <row r="8" spans="1:27">
      <c r="A8" s="336"/>
      <c r="B8" s="3023" t="s">
        <v>257</v>
      </c>
      <c r="C8" s="3023"/>
      <c r="D8" s="3023"/>
      <c r="E8" s="3023"/>
      <c r="F8" s="3024"/>
      <c r="H8" s="217" t="str">
        <f>+'BVerfG 1 BvL 5-18'!D11</f>
        <v/>
      </c>
      <c r="I8" s="217" t="str">
        <f>+'BVerfG 1 BvL 5-18'!E11</f>
        <v/>
      </c>
      <c r="J8" s="217" t="str">
        <f>+'BVerfG 1 BvL 5-18'!F11</f>
        <v/>
      </c>
      <c r="K8" s="219" t="str">
        <f>+'BVerfG 1 BvL 5-18'!G11</f>
        <v/>
      </c>
      <c r="L8" s="211"/>
      <c r="M8" s="336"/>
      <c r="N8" s="3027"/>
      <c r="O8" s="219" t="str">
        <f>+'BVerfG 1 BvL 5-18'!H11</f>
        <v/>
      </c>
      <c r="P8" s="219">
        <f>+'BVerfG 1 BvL 5-18'!I10</f>
        <v>0</v>
      </c>
      <c r="Q8" s="219">
        <f>+'BVerfG 1 BvL 5-18'!J11</f>
        <v>0</v>
      </c>
      <c r="R8" s="219">
        <f>+'BVerfG 1 BvL 5-18'!K11</f>
        <v>0</v>
      </c>
      <c r="S8" s="211"/>
      <c r="Y8" s="215">
        <f>IF(Y9*0.3%&gt;0.18,0.18,Y9*0.3%)</f>
        <v>0.18</v>
      </c>
      <c r="Z8" s="215"/>
      <c r="AA8" s="215"/>
    </row>
    <row r="9" spans="1:27">
      <c r="A9" s="336"/>
      <c r="B9" s="3023" t="s">
        <v>259</v>
      </c>
      <c r="C9" s="3023"/>
      <c r="D9" s="3023"/>
      <c r="E9" s="3023"/>
      <c r="F9" s="3024"/>
      <c r="H9" s="221">
        <f>+Adaequanz_LDynPfl</f>
        <v>0</v>
      </c>
      <c r="I9" s="221">
        <f>'BVerfG 1 BvL 5-18'!E14</f>
        <v>2.5999999999999999E-2</v>
      </c>
      <c r="J9" s="221">
        <f>'BVerfG 1 BvL 5-18'!F14</f>
        <v>0.01</v>
      </c>
      <c r="K9" s="222">
        <f>'BVerfG 1 BvL 5-18'!G14</f>
        <v>0</v>
      </c>
      <c r="L9" s="211"/>
      <c r="M9" s="336"/>
      <c r="N9" s="3027"/>
      <c r="O9" s="222">
        <f>+'BVerfG 1 BvL 5-18'!H14</f>
        <v>2.5999999999999999E-2</v>
      </c>
      <c r="P9" s="222">
        <f>+'BVerfG 1 BvL 5-18'!I14</f>
        <v>0</v>
      </c>
      <c r="Q9" s="222">
        <f>+'BVerfG 1 BvL 5-18'!J14</f>
        <v>0</v>
      </c>
      <c r="R9" s="222">
        <f>+'BVerfG 1 BvL 5-18'!K14</f>
        <v>0</v>
      </c>
      <c r="S9" s="211"/>
      <c r="T9" s="243"/>
      <c r="Y9" s="237">
        <f>(Z15-AA15)*12</f>
        <v>780</v>
      </c>
      <c r="Z9" s="215"/>
      <c r="AA9" s="215"/>
    </row>
    <row r="10" spans="1:27" ht="15">
      <c r="A10" s="336"/>
      <c r="B10" s="3023" t="s">
        <v>814</v>
      </c>
      <c r="C10" s="3023"/>
      <c r="D10" s="3023"/>
      <c r="E10" s="3023"/>
      <c r="F10" s="3024"/>
      <c r="H10" s="218">
        <f>IFERROR(ROUND(+'BVerfG 1 BvL 5-18'!D10,2),0)</f>
        <v>0</v>
      </c>
      <c r="I10" s="218">
        <f>+'BVerfG 1 BvL 5-18'!E10</f>
        <v>0</v>
      </c>
      <c r="J10" s="218">
        <f>+'BVerfG 1 BvL 5-18'!F10</f>
        <v>0</v>
      </c>
      <c r="K10" s="223">
        <f>+'BVerfG 1 BvL 5-18'!G10</f>
        <v>0</v>
      </c>
      <c r="L10" s="211"/>
      <c r="M10" s="336"/>
      <c r="N10" s="3027"/>
      <c r="O10" s="223">
        <f>+O4</f>
        <v>0</v>
      </c>
      <c r="P10" s="223">
        <f>+P4</f>
        <v>0</v>
      </c>
      <c r="Q10" s="223">
        <f>+Q4</f>
        <v>0</v>
      </c>
      <c r="R10" s="223">
        <f>+R4</f>
        <v>0</v>
      </c>
      <c r="S10" s="211"/>
      <c r="X10" s="215" t="s">
        <v>375</v>
      </c>
      <c r="Z10" s="237">
        <f>O10-INT(O10)</f>
        <v>0</v>
      </c>
    </row>
    <row r="11" spans="1:27" ht="15">
      <c r="A11" s="336"/>
      <c r="B11" s="3023" t="s">
        <v>815</v>
      </c>
      <c r="C11" s="3023"/>
      <c r="D11" s="3023"/>
      <c r="E11" s="3023"/>
      <c r="F11" s="3024"/>
      <c r="H11" s="221">
        <f>+'BVerfG 1 BvL 5-18'!D19</f>
        <v>0</v>
      </c>
      <c r="I11" s="221">
        <f>+'BVerfG 1 BvL 5-18'!E19</f>
        <v>0</v>
      </c>
      <c r="J11" s="221">
        <f>+'BVerfG 1 BvL 5-18'!F19</f>
        <v>0</v>
      </c>
      <c r="K11" s="222" t="str">
        <f>+'BVerfG 1 BvL 5-18'!G19</f>
        <v/>
      </c>
      <c r="L11" s="211"/>
      <c r="M11" s="336"/>
      <c r="N11" s="3027"/>
      <c r="O11" s="222">
        <f>IF(Adaequanz_GebDatAglBer=0,0,+'BVerfG 1 BvL 5-18'!H19)</f>
        <v>0</v>
      </c>
      <c r="P11" s="222">
        <f>IF(Adaequanz_GebDatAglBer=0,0,+'BVerfG 1 BvL 5-18'!I18)</f>
        <v>0</v>
      </c>
      <c r="Q11" s="222">
        <f>IF(Adaequanz_GebDatAglBer=0,0,+'BVerfG 1 BvL 5-18'!J19)</f>
        <v>0</v>
      </c>
      <c r="R11" s="222">
        <f>IF(Adaequanz_GebDatAglBer=0,0,+'BVerfG 1 BvL 5-18'!K19)</f>
        <v>0</v>
      </c>
      <c r="S11" s="211"/>
      <c r="U11" s="215">
        <f>(1+P$9)^(IF(M18-P$5&gt;0,M18-P$5,1))</f>
        <v>1</v>
      </c>
      <c r="X11" s="230">
        <f>ROUND(B18-1,0)</f>
        <v>-1</v>
      </c>
      <c r="Y11" s="467">
        <f>ROUND(M18-1,0)</f>
        <v>-1</v>
      </c>
      <c r="Z11" s="215"/>
      <c r="AA11" s="215"/>
    </row>
    <row r="12" spans="1:27" ht="15" thickBot="1">
      <c r="A12" s="336"/>
      <c r="B12" s="3031" t="str">
        <f>"Rente im ReAlter bzw. im EzE "&amp;IF(DifferenzfaktorDRV&lt;1,"ggfls. bei DRV Rentenabschlag wg. vorz. Bezugs, § 77 SGB VI","")</f>
        <v>Rente im ReAlter bzw. im EzE ggfls. bei DRV Rentenabschlag wg. vorz. Bezugs, § 77 SGB VI</v>
      </c>
      <c r="C12" s="3031"/>
      <c r="D12" s="3031"/>
      <c r="E12" s="3031"/>
      <c r="F12" s="3032"/>
      <c r="H12" s="224" t="str">
        <f>IF(QVersJa,'BVerfG 1 BvL 5-18'!D15,0)</f>
        <v/>
      </c>
      <c r="I12" s="224">
        <f>IFERROR(ROUND(+I6*Adaequanz_Zugangsfaktor*(1+I7)^I8,2),0)</f>
        <v>0</v>
      </c>
      <c r="J12" s="224">
        <f>IF('BVerfG 1 BvL 5-18'!F15=0,0,IF(VersAusglKJa,'BVerfG 1 BvL 5-18'!F15,0))</f>
        <v>0</v>
      </c>
      <c r="K12" s="225">
        <f>IFERROR(ROUND(IF(SonstJa,'BVerfG 1 BvL 5-18'!G15,0),2),"")</f>
        <v>0</v>
      </c>
      <c r="L12" s="211"/>
      <c r="M12" s="336"/>
      <c r="N12" s="3027"/>
      <c r="O12" s="225">
        <f>IF(Adaequanz_GebDatAglBer=0,0,'BVerfG 1 BvL 5-18'!H15)</f>
        <v>0</v>
      </c>
      <c r="P12" s="225">
        <f>IF(Adaequanz_GebDatAglBer=0,0,'BVerfG 1 BvL 5-18'!I15)</f>
        <v>0</v>
      </c>
      <c r="Q12" s="225">
        <f>IF(Adaequanz_GebDatAglBer=0,0,'BVerfG 1 BvL 5-18'!J15)</f>
        <v>0</v>
      </c>
      <c r="R12" s="225">
        <f>IF(Adaequanz_GebDatAglBer=0,0,'BVerfG 1 BvL 5-18'!K15)</f>
        <v>0</v>
      </c>
      <c r="S12" s="211"/>
      <c r="U12" s="453">
        <f>P$12*(1+P$7)^P$8</f>
        <v>0</v>
      </c>
      <c r="X12" s="329">
        <f>ROUND(M18-1,0)</f>
        <v>-1</v>
      </c>
      <c r="Y12" s="235"/>
      <c r="Z12" s="235"/>
      <c r="AA12" s="235"/>
    </row>
    <row r="13" spans="1:27" ht="38.85" customHeight="1" thickTop="1" thickBot="1">
      <c r="A13" s="336"/>
      <c r="B13" s="3028"/>
      <c r="C13" s="3028"/>
      <c r="D13" s="3028"/>
      <c r="E13" s="3028"/>
      <c r="F13" s="3028"/>
      <c r="G13" s="226"/>
      <c r="H13" s="253">
        <f>SUM(H17:H93)</f>
        <v>0</v>
      </c>
      <c r="I13" s="253" t="e">
        <f>SUM(I18:I94)</f>
        <v>#VALUE!</v>
      </c>
      <c r="J13" s="253">
        <f>SUM(J18:J94)</f>
        <v>0</v>
      </c>
      <c r="K13" s="253">
        <f>SUM(K18:K94)</f>
        <v>0</v>
      </c>
      <c r="L13" s="211"/>
      <c r="M13" s="336"/>
      <c r="N13" s="3027"/>
      <c r="O13" s="322">
        <f>SUM(O18:O93)</f>
        <v>0</v>
      </c>
      <c r="P13" s="322">
        <f>SUM(P18:P93)</f>
        <v>0</v>
      </c>
      <c r="Q13" s="322">
        <f>SUM(Q18:Q93)</f>
        <v>0</v>
      </c>
      <c r="R13" s="322">
        <f>SUM(R18:R93)</f>
        <v>0</v>
      </c>
      <c r="S13" s="211"/>
      <c r="U13" s="453">
        <f>P$12*(1+P$7)^P$8</f>
        <v>0</v>
      </c>
      <c r="X13" s="215" t="s">
        <v>290</v>
      </c>
      <c r="Y13" s="237">
        <f>H10-INT(H10)</f>
        <v>0</v>
      </c>
      <c r="Z13" s="237">
        <f>I10-INT(I10)</f>
        <v>0</v>
      </c>
      <c r="AA13" s="215"/>
    </row>
    <row r="14" spans="1:27" ht="15.75" thickBot="1">
      <c r="A14" s="336"/>
      <c r="B14" s="215"/>
      <c r="E14" s="3022" t="s">
        <v>847</v>
      </c>
      <c r="F14" s="3022"/>
      <c r="G14" s="3022"/>
      <c r="H14" s="3022"/>
      <c r="L14" s="211"/>
      <c r="M14" s="336"/>
      <c r="N14" s="3008" t="s">
        <v>378</v>
      </c>
      <c r="O14" s="3009"/>
      <c r="P14" s="664"/>
      <c r="Q14" s="664"/>
      <c r="R14" s="659"/>
      <c r="S14" s="211"/>
      <c r="U14" s="237">
        <f>(1+P$9)^(M18-P$5)</f>
        <v>1</v>
      </c>
      <c r="X14" s="215" t="s">
        <v>381</v>
      </c>
      <c r="Y14" s="237">
        <f>O10-INT(O10)</f>
        <v>0</v>
      </c>
      <c r="Z14" s="215"/>
      <c r="AA14" s="215"/>
    </row>
    <row r="15" spans="1:27" ht="31.5" customHeight="1">
      <c r="A15" s="336"/>
      <c r="B15" s="3017" t="s">
        <v>299</v>
      </c>
      <c r="C15" s="3015" t="s">
        <v>296</v>
      </c>
      <c r="D15" s="3015"/>
      <c r="E15" s="3015"/>
      <c r="F15" s="3016"/>
      <c r="G15" s="227"/>
      <c r="H15" s="3012" t="s">
        <v>297</v>
      </c>
      <c r="I15" s="3013"/>
      <c r="J15" s="3013"/>
      <c r="K15" s="3014"/>
      <c r="L15" s="211"/>
      <c r="M15" s="336"/>
      <c r="N15" s="3010"/>
      <c r="O15" s="3011"/>
      <c r="P15" s="664"/>
      <c r="Q15" s="664"/>
      <c r="R15" s="659"/>
      <c r="S15" s="211"/>
      <c r="U15" s="3007" t="s">
        <v>810</v>
      </c>
      <c r="V15" s="3007"/>
      <c r="W15" s="3007"/>
      <c r="X15" s="215" t="s">
        <v>300</v>
      </c>
      <c r="Z15" s="215">
        <f>Adaequanz_Renteneintritt</f>
        <v>65</v>
      </c>
      <c r="AA15" s="237">
        <f>IF('BVerfG 1 BvL 5-18'!E9="",0,'BVerfG 1 BvL 5-18'!E9)</f>
        <v>0</v>
      </c>
    </row>
    <row r="16" spans="1:27" ht="62.1" customHeight="1">
      <c r="A16" s="336"/>
      <c r="B16" s="3018"/>
      <c r="C16" s="402" t="str">
        <f>+'BVerfG 1 BvL 5-18'!$D$3</f>
        <v>Quell-Versorgung</v>
      </c>
      <c r="D16" s="402" t="str">
        <f>+'BVerfG 1 BvL 5-18'!$E$3</f>
        <v>DRV
 aus 0 €</v>
      </c>
      <c r="E16" s="402" t="str">
        <f>+'BVerfG 1 BvL 5-18'!$F$3</f>
        <v>VerAusglK</v>
      </c>
      <c r="F16" s="228" t="str">
        <f>+'BVerfG 1 BvL 5-18'!$G$3</f>
        <v>Sonstige Versorgung</v>
      </c>
      <c r="H16" s="229" t="str">
        <f>+C16</f>
        <v>Quell-Versorgung</v>
      </c>
      <c r="I16" s="402" t="str">
        <f>+D16</f>
        <v>DRV
 aus 0 €</v>
      </c>
      <c r="J16" s="402" t="str">
        <f>+E16</f>
        <v>VerAusglK</v>
      </c>
      <c r="K16" s="228" t="str">
        <f>+F16</f>
        <v>Sonstige Versorgung</v>
      </c>
      <c r="L16" s="211"/>
      <c r="M16" s="630" t="s">
        <v>811</v>
      </c>
      <c r="N16" s="325" t="s">
        <v>376</v>
      </c>
      <c r="O16" s="326" t="s">
        <v>377</v>
      </c>
      <c r="P16" s="3019"/>
      <c r="Q16" s="3020"/>
      <c r="R16" s="3021"/>
      <c r="S16" s="211"/>
      <c r="T16" s="215" t="s">
        <v>143</v>
      </c>
    </row>
    <row r="17" spans="1:23" s="235" customFormat="1" ht="28.35" hidden="1" customHeight="1">
      <c r="A17" s="323"/>
      <c r="B17" s="232" t="s">
        <v>7</v>
      </c>
      <c r="C17" s="233" t="s">
        <v>291</v>
      </c>
      <c r="D17" s="233" t="s">
        <v>292</v>
      </c>
      <c r="E17" s="233" t="s">
        <v>293</v>
      </c>
      <c r="F17" s="234" t="s">
        <v>294</v>
      </c>
      <c r="H17" s="405"/>
      <c r="I17" s="404"/>
      <c r="J17" s="404"/>
      <c r="K17" s="406"/>
      <c r="L17" s="231"/>
      <c r="M17" s="323">
        <f>+O2-1</f>
        <v>-1</v>
      </c>
      <c r="N17" s="323"/>
      <c r="O17" s="324"/>
      <c r="P17" s="231"/>
      <c r="Q17" s="231"/>
      <c r="R17" s="324"/>
      <c r="S17" s="231"/>
    </row>
    <row r="18" spans="1:23">
      <c r="A18" s="336"/>
      <c r="B18" s="236">
        <f>IFERROR(ROUNDDOWN(IF(H2&lt;&gt;"",H2),0),0)</f>
        <v>0</v>
      </c>
      <c r="C18" s="438">
        <f t="shared" ref="C18:C49" si="0">IFERROR(IF(QuellVersrg,IF($B18&lt;INT(H$5),0,IF($B18=INT(H$2),H$12,IF($B18&gt;INT(H$2),H$12*(1+H$9)^(IF($B18-H$5&lt;=0,0,$B18-IF(H$5&lt;H$2,H$2,H$5))),0))),0),0)</f>
        <v>0</v>
      </c>
      <c r="D18" s="438">
        <f t="shared" ref="D18:D49" si="1">IFERROR(IF(DRVPfl,IF($B18&lt;INT(I$5),0,IF($B18=INT(I$2),I$12,IF($B18&gt;INT(I$2),I$12*(1+I$9)^(IF($B18-I$5&lt;=0,0,$B18-IF(I$5&lt;I$2,I$2,I$5))),0))),0),0)</f>
        <v>0</v>
      </c>
      <c r="E18" s="438">
        <f t="shared" ref="E18:E49" si="2">IFERROR(IF(VersAusglKPfl,IF($B18&lt;INT(J$5),0,IF($B18=INT(J$2),J$12,IF($B18&gt;INT(J$2),J$12*(1+J$9)^(IF($B18-J$5&lt;=0,0,$B18-IF(J$5&lt;J$2,J$2,J$5))),0))),0),0)</f>
        <v>0</v>
      </c>
      <c r="F18" s="438">
        <f t="shared" ref="F18:F49" si="3">IFERROR(IF(SonstPfl,IF($B18&lt;INT(K$5),0,IF($B18=INT(K$2),K$12,IF($B18&gt;INT(K$2),K$12*(1+K$9)^(IF($B18-K$5&lt;=0,0,$B18-IF(K$5&lt;K$2,K$2,K$5))),0))),0),0)</f>
        <v>0</v>
      </c>
      <c r="G18" s="235"/>
      <c r="H18" s="439">
        <f t="shared" ref="H18:H49" si="4">C18*12*IF(AND(INT(H$5)=B18,H$5&gt;INT(H$5)),1-(H$5-INT(H$5)),1)</f>
        <v>0</v>
      </c>
      <c r="I18" s="439" t="e">
        <f t="shared" ref="I18:I49" si="5">D18*12*IF(AND(INT(I$5)=$B18,I$5&gt;INT(I$5)),1-(I$5-INT(I$5)),1)</f>
        <v>#VALUE!</v>
      </c>
      <c r="J18" s="439">
        <f t="shared" ref="J18:J49" si="6">E18*12*IF(AND(INT(J$5)=$B18,J$5&gt;INT(J$5)),1-(J$5-INT(J$5)),1)</f>
        <v>0</v>
      </c>
      <c r="K18" s="439">
        <f t="shared" ref="K18:K49" si="7">F18*12*IF(AND(INT(K$5)=$B18,K$5&gt;INT(K$5)),1-(K$5-INT(K$5)),1)</f>
        <v>0</v>
      </c>
      <c r="L18" s="631"/>
      <c r="M18" s="665">
        <f>IF(DRVAusglBerJa,IFERROR(ROUNDDOWN(IF(O$2&lt;&gt;"",O$2),0),0),0)</f>
        <v>0</v>
      </c>
      <c r="N18" s="439">
        <f t="shared" ref="N18:N49" si="8">IFERROR(IF(AND(VersBer,DRVAusglBerJa),IF($M18&lt;INT(O$5),0,IF($M18=INT(O$2),O$12,IF($M18&gt;INT(O$2),O$12*(1+O$9)^(IF($M18-O$5&lt;=0,0,$M18-IF(O$5&lt;O$2,O$2,O$5))),0))),0),0)</f>
        <v>0</v>
      </c>
      <c r="O18" s="439">
        <f t="shared" ref="O18:O25" si="9">N18*12*IF(AND(INT(O$5)=$M18,O$5&gt;INT(O$5)),(1-(O$5-INT(O$5))),1)</f>
        <v>0</v>
      </c>
      <c r="P18" s="439">
        <f t="shared" ref="P18:Q37" si="10">IFERROR(IF(VersBer,IF($M18&lt;INT(P$5),0,IF($M18=INT(P$2),P$12,IF($M18&gt;INT(P$2),P$12*(1+P$9)^(IF($M18-P$5&lt;=0,0,$M18-IF(P$5&lt;P$2,P$2,P$5))),0))),0),0)</f>
        <v>0</v>
      </c>
      <c r="Q18" s="439">
        <f t="shared" si="10"/>
        <v>0</v>
      </c>
      <c r="R18" s="439">
        <f>IFERROR(IF(VerBer,IF($M18&lt;INT(R$5),0,IF($M18=INT(R$2),R$12,IF($M18&gt;INT(R$2),R$12*(1+R$9)^(IF($M18-R$5&lt;=0,0,$M18-IF(R$5&lt;R$2,R$2,R$5))),0))),0),0)</f>
        <v>0</v>
      </c>
      <c r="S18" s="211"/>
      <c r="U18" s="453">
        <f t="shared" ref="U18:U28" si="11">+P18*12*IF(AND(INT(P$5)=$M18,P$5&gt;INT(P$5)),1-(P$5-INT(P$5)),1)</f>
        <v>0</v>
      </c>
      <c r="V18" s="453">
        <f>+Q18*12*IF(AND(INT(Q$5)=$M18,Q$5&gt;INT(Q$5)),1-(Q$5-INT(Q$5)),1)</f>
        <v>0</v>
      </c>
      <c r="W18" s="453">
        <f>+R18*12*IF(AND(INT(R$5)=$M18,R$5&gt;INT(R$5)),1-(R$5-INT(R$5)),1)</f>
        <v>0</v>
      </c>
    </row>
    <row r="19" spans="1:23">
      <c r="A19" s="336"/>
      <c r="B19" s="236" t="str">
        <f t="shared" ref="B19:B50" si="12">IFERROR(IF(B18+1&lt;IF(Endalter=0,EndalterDRV,Endalter),B18+1,""),"")</f>
        <v/>
      </c>
      <c r="C19" s="438">
        <f t="shared" si="0"/>
        <v>0</v>
      </c>
      <c r="D19" s="438">
        <f t="shared" si="1"/>
        <v>0</v>
      </c>
      <c r="E19" s="438">
        <f t="shared" si="2"/>
        <v>0</v>
      </c>
      <c r="F19" s="438">
        <f t="shared" si="3"/>
        <v>0</v>
      </c>
      <c r="G19" s="235"/>
      <c r="H19" s="440">
        <f t="shared" si="4"/>
        <v>0</v>
      </c>
      <c r="I19" s="440" t="e">
        <f t="shared" si="5"/>
        <v>#VALUE!</v>
      </c>
      <c r="J19" s="440">
        <f t="shared" si="6"/>
        <v>0</v>
      </c>
      <c r="K19" s="440">
        <f t="shared" si="7"/>
        <v>0</v>
      </c>
      <c r="L19" s="632"/>
      <c r="M19" s="667" t="str">
        <f>IFERROR(IF(M18+1&lt;O$3,M18+1,""),"")</f>
        <v/>
      </c>
      <c r="N19" s="440">
        <f t="shared" si="8"/>
        <v>0</v>
      </c>
      <c r="O19" s="440">
        <f t="shared" si="9"/>
        <v>0</v>
      </c>
      <c r="P19" s="440">
        <f t="shared" si="10"/>
        <v>0</v>
      </c>
      <c r="Q19" s="440">
        <f t="shared" si="10"/>
        <v>0</v>
      </c>
      <c r="R19" s="440">
        <f>IFERROR(IF(VerBer,IF($M19&lt;INT(R$5),0,IF($M19=INT(R$2),R$12,IF($M19&gt;INT(R$2),R$12*(1+R$9)^(IF($M19-R$5&lt;=0,0,$M19-IF(R$5&lt;R$2,R$2,R$5))),0))),0),0)</f>
        <v>0</v>
      </c>
      <c r="S19" s="211"/>
      <c r="U19" s="453">
        <f t="shared" si="11"/>
        <v>0</v>
      </c>
      <c r="V19" s="453">
        <f t="shared" ref="V19:V82" si="13">+Q19*12*IF(AND(INT(Q$5)=$M19,Q$5&gt;INT(Q$5)),1-(Q$5-INT(Q$5)),1)</f>
        <v>0</v>
      </c>
      <c r="W19" s="453">
        <f t="shared" ref="W19:W82" si="14">+R19*12*IF(AND(INT(R$5)=$M19,R$5&gt;INT(R$5)),1-(R$5-INT(R$5)),1)</f>
        <v>0</v>
      </c>
    </row>
    <row r="20" spans="1:23">
      <c r="A20" s="336"/>
      <c r="B20" s="236" t="str">
        <f t="shared" si="12"/>
        <v/>
      </c>
      <c r="C20" s="438">
        <f t="shared" si="0"/>
        <v>0</v>
      </c>
      <c r="D20" s="438">
        <f t="shared" si="1"/>
        <v>0</v>
      </c>
      <c r="E20" s="438">
        <f t="shared" si="2"/>
        <v>0</v>
      </c>
      <c r="F20" s="438">
        <f t="shared" si="3"/>
        <v>0</v>
      </c>
      <c r="G20" s="235"/>
      <c r="H20" s="439">
        <f t="shared" si="4"/>
        <v>0</v>
      </c>
      <c r="I20" s="439" t="e">
        <f t="shared" si="5"/>
        <v>#VALUE!</v>
      </c>
      <c r="J20" s="439">
        <f t="shared" si="6"/>
        <v>0</v>
      </c>
      <c r="K20" s="439">
        <f t="shared" si="7"/>
        <v>0</v>
      </c>
      <c r="L20" s="631"/>
      <c r="M20" s="665" t="str">
        <f t="shared" ref="M20:M83" si="15">IFERROR(IF(M19+1&lt;O$3,M19+1,""),"")</f>
        <v/>
      </c>
      <c r="N20" s="439">
        <f t="shared" si="8"/>
        <v>0</v>
      </c>
      <c r="O20" s="439">
        <f t="shared" si="9"/>
        <v>0</v>
      </c>
      <c r="P20" s="439">
        <f t="shared" si="10"/>
        <v>0</v>
      </c>
      <c r="Q20" s="439">
        <f t="shared" si="10"/>
        <v>0</v>
      </c>
      <c r="R20" s="439">
        <f>IFERROR(IF(VerBer,IF($M20&lt;INT(R$5),0,IF($M20=INT(R$2),R$12,IF($M20&gt;INT(R$2),R$12*(1+R$9)^(IF($M20-R$5&lt;=0,0,$M20-IF(R$5&lt;R$2,R$2,R$5))),0))),0),0)</f>
        <v>0</v>
      </c>
      <c r="S20" s="211"/>
      <c r="U20" s="453">
        <f t="shared" si="11"/>
        <v>0</v>
      </c>
      <c r="V20" s="453">
        <f t="shared" si="13"/>
        <v>0</v>
      </c>
      <c r="W20" s="453">
        <f t="shared" si="14"/>
        <v>0</v>
      </c>
    </row>
    <row r="21" spans="1:23">
      <c r="A21" s="336"/>
      <c r="B21" s="236" t="str">
        <f t="shared" si="12"/>
        <v/>
      </c>
      <c r="C21" s="438">
        <f t="shared" si="0"/>
        <v>0</v>
      </c>
      <c r="D21" s="438">
        <f t="shared" si="1"/>
        <v>0</v>
      </c>
      <c r="E21" s="438">
        <f t="shared" si="2"/>
        <v>0</v>
      </c>
      <c r="F21" s="438">
        <f t="shared" si="3"/>
        <v>0</v>
      </c>
      <c r="G21" s="235"/>
      <c r="H21" s="440">
        <f t="shared" si="4"/>
        <v>0</v>
      </c>
      <c r="I21" s="440" t="e">
        <f t="shared" si="5"/>
        <v>#VALUE!</v>
      </c>
      <c r="J21" s="440">
        <f t="shared" si="6"/>
        <v>0</v>
      </c>
      <c r="K21" s="440">
        <f t="shared" si="7"/>
        <v>0</v>
      </c>
      <c r="L21" s="632"/>
      <c r="M21" s="667" t="str">
        <f t="shared" si="15"/>
        <v/>
      </c>
      <c r="N21" s="440">
        <f t="shared" si="8"/>
        <v>0</v>
      </c>
      <c r="O21" s="440">
        <f t="shared" si="9"/>
        <v>0</v>
      </c>
      <c r="P21" s="440">
        <f t="shared" si="10"/>
        <v>0</v>
      </c>
      <c r="Q21" s="440">
        <f t="shared" si="10"/>
        <v>0</v>
      </c>
      <c r="R21" s="440">
        <f>IFERROR(IF(VerBer,IF($M21&lt;INT(R$5),0,IF($M21=INT(R$2),R$12,IF($M21&gt;INT(R$2),R$12*(1+R$9)^(IF($M21-R$5&lt;=0,0,$M21-IF(R$5&lt;R$2,R$2,R$5))),0))),0),0)</f>
        <v>0</v>
      </c>
      <c r="S21" s="211"/>
      <c r="U21" s="453">
        <f t="shared" si="11"/>
        <v>0</v>
      </c>
      <c r="V21" s="453">
        <f t="shared" si="13"/>
        <v>0</v>
      </c>
      <c r="W21" s="453">
        <f t="shared" si="14"/>
        <v>0</v>
      </c>
    </row>
    <row r="22" spans="1:23">
      <c r="A22" s="336"/>
      <c r="B22" s="236" t="str">
        <f t="shared" si="12"/>
        <v/>
      </c>
      <c r="C22" s="438">
        <f t="shared" si="0"/>
        <v>0</v>
      </c>
      <c r="D22" s="438">
        <f t="shared" si="1"/>
        <v>0</v>
      </c>
      <c r="E22" s="438">
        <f t="shared" si="2"/>
        <v>0</v>
      </c>
      <c r="F22" s="438">
        <f t="shared" si="3"/>
        <v>0</v>
      </c>
      <c r="G22" s="235"/>
      <c r="H22" s="439">
        <f t="shared" si="4"/>
        <v>0</v>
      </c>
      <c r="I22" s="439" t="e">
        <f t="shared" si="5"/>
        <v>#VALUE!</v>
      </c>
      <c r="J22" s="439">
        <f t="shared" si="6"/>
        <v>0</v>
      </c>
      <c r="K22" s="439">
        <f t="shared" si="7"/>
        <v>0</v>
      </c>
      <c r="L22" s="631"/>
      <c r="M22" s="665" t="str">
        <f t="shared" si="15"/>
        <v/>
      </c>
      <c r="N22" s="439">
        <f t="shared" si="8"/>
        <v>0</v>
      </c>
      <c r="O22" s="439">
        <f t="shared" si="9"/>
        <v>0</v>
      </c>
      <c r="P22" s="439">
        <f t="shared" si="10"/>
        <v>0</v>
      </c>
      <c r="Q22" s="439">
        <f t="shared" si="10"/>
        <v>0</v>
      </c>
      <c r="R22" s="439">
        <f>IFERROR(IF(VerBer,IF($M22&lt;INT(R$5),0,IF($M22=INT(R$2),R$12,IF($M22&gt;INT(R$2),R$12*(1+R$9)^(IF($M22-R$5&lt;=0,0,$M22-IF(R$5&lt;R$2,R$2,R$5))),0))),0),0)</f>
        <v>0</v>
      </c>
      <c r="S22" s="211"/>
      <c r="U22" s="453">
        <f t="shared" si="11"/>
        <v>0</v>
      </c>
      <c r="V22" s="453">
        <f t="shared" si="13"/>
        <v>0</v>
      </c>
      <c r="W22" s="453">
        <f t="shared" si="14"/>
        <v>0</v>
      </c>
    </row>
    <row r="23" spans="1:23">
      <c r="A23" s="336"/>
      <c r="B23" s="236" t="str">
        <f t="shared" si="12"/>
        <v/>
      </c>
      <c r="C23" s="438">
        <f t="shared" si="0"/>
        <v>0</v>
      </c>
      <c r="D23" s="438">
        <f t="shared" si="1"/>
        <v>0</v>
      </c>
      <c r="E23" s="438">
        <f t="shared" si="2"/>
        <v>0</v>
      </c>
      <c r="F23" s="438">
        <f t="shared" si="3"/>
        <v>0</v>
      </c>
      <c r="G23" s="235"/>
      <c r="H23" s="440">
        <f t="shared" si="4"/>
        <v>0</v>
      </c>
      <c r="I23" s="440" t="e">
        <f t="shared" si="5"/>
        <v>#VALUE!</v>
      </c>
      <c r="J23" s="440">
        <f t="shared" si="6"/>
        <v>0</v>
      </c>
      <c r="K23" s="440">
        <f t="shared" si="7"/>
        <v>0</v>
      </c>
      <c r="L23" s="632"/>
      <c r="M23" s="667" t="str">
        <f t="shared" si="15"/>
        <v/>
      </c>
      <c r="N23" s="440">
        <f t="shared" si="8"/>
        <v>0</v>
      </c>
      <c r="O23" s="440">
        <f t="shared" si="9"/>
        <v>0</v>
      </c>
      <c r="P23" s="440">
        <f t="shared" si="10"/>
        <v>0</v>
      </c>
      <c r="Q23" s="440">
        <f t="shared" si="10"/>
        <v>0</v>
      </c>
      <c r="R23" s="440">
        <f>IFERROR(IF(VerBer,IF($M23&lt;INT(R$5),0,IF($M23=INT(R$2),R$12,IF($M23&gt;INT(R$2),R$12*(1+R$9)^(IF($M23-R$5&lt;=0,0,$M23-IF(R$5&lt;R$2,R$2,R$5))),0))),0),0)</f>
        <v>0</v>
      </c>
      <c r="S23" s="211"/>
      <c r="U23" s="453">
        <f t="shared" si="11"/>
        <v>0</v>
      </c>
      <c r="V23" s="453">
        <f t="shared" si="13"/>
        <v>0</v>
      </c>
      <c r="W23" s="453">
        <f t="shared" si="14"/>
        <v>0</v>
      </c>
    </row>
    <row r="24" spans="1:23">
      <c r="A24" s="336"/>
      <c r="B24" s="236" t="str">
        <f t="shared" si="12"/>
        <v/>
      </c>
      <c r="C24" s="438">
        <f t="shared" si="0"/>
        <v>0</v>
      </c>
      <c r="D24" s="438">
        <f t="shared" si="1"/>
        <v>0</v>
      </c>
      <c r="E24" s="438">
        <f t="shared" si="2"/>
        <v>0</v>
      </c>
      <c r="F24" s="438">
        <f t="shared" si="3"/>
        <v>0</v>
      </c>
      <c r="G24" s="235"/>
      <c r="H24" s="439">
        <f t="shared" si="4"/>
        <v>0</v>
      </c>
      <c r="I24" s="439" t="e">
        <f t="shared" si="5"/>
        <v>#VALUE!</v>
      </c>
      <c r="J24" s="439">
        <f t="shared" si="6"/>
        <v>0</v>
      </c>
      <c r="K24" s="439">
        <f t="shared" si="7"/>
        <v>0</v>
      </c>
      <c r="L24" s="631"/>
      <c r="M24" s="665" t="str">
        <f t="shared" si="15"/>
        <v/>
      </c>
      <c r="N24" s="439">
        <f t="shared" si="8"/>
        <v>0</v>
      </c>
      <c r="O24" s="439">
        <f t="shared" si="9"/>
        <v>0</v>
      </c>
      <c r="P24" s="439">
        <f t="shared" si="10"/>
        <v>0</v>
      </c>
      <c r="Q24" s="439">
        <f t="shared" si="10"/>
        <v>0</v>
      </c>
      <c r="R24" s="439">
        <f>IFERROR(IF(VerBer,IF($M24&lt;INT(R$5),0,IF($M24=INT(R$2),R$12,IF($M24&gt;INT(R$2),R$12*(1+R$9)^(IF($M24-R$5&lt;=0,0,$M24-IF(R$5&lt;R$2,R$2,R$5))),0))),0),0)</f>
        <v>0</v>
      </c>
      <c r="S24" s="211"/>
      <c r="U24" s="453">
        <f t="shared" si="11"/>
        <v>0</v>
      </c>
      <c r="V24" s="453">
        <f t="shared" si="13"/>
        <v>0</v>
      </c>
      <c r="W24" s="453">
        <f t="shared" si="14"/>
        <v>0</v>
      </c>
    </row>
    <row r="25" spans="1:23">
      <c r="A25" s="336"/>
      <c r="B25" s="236" t="str">
        <f t="shared" si="12"/>
        <v/>
      </c>
      <c r="C25" s="438">
        <f t="shared" si="0"/>
        <v>0</v>
      </c>
      <c r="D25" s="438">
        <f t="shared" si="1"/>
        <v>0</v>
      </c>
      <c r="E25" s="438">
        <f t="shared" si="2"/>
        <v>0</v>
      </c>
      <c r="F25" s="438">
        <f t="shared" si="3"/>
        <v>0</v>
      </c>
      <c r="G25" s="235"/>
      <c r="H25" s="440">
        <f t="shared" si="4"/>
        <v>0</v>
      </c>
      <c r="I25" s="440" t="e">
        <f t="shared" si="5"/>
        <v>#VALUE!</v>
      </c>
      <c r="J25" s="440">
        <f t="shared" si="6"/>
        <v>0</v>
      </c>
      <c r="K25" s="440">
        <f t="shared" si="7"/>
        <v>0</v>
      </c>
      <c r="L25" s="632"/>
      <c r="M25" s="667" t="str">
        <f t="shared" si="15"/>
        <v/>
      </c>
      <c r="N25" s="440">
        <f t="shared" si="8"/>
        <v>0</v>
      </c>
      <c r="O25" s="440">
        <f t="shared" si="9"/>
        <v>0</v>
      </c>
      <c r="P25" s="440">
        <f t="shared" si="10"/>
        <v>0</v>
      </c>
      <c r="Q25" s="440">
        <f t="shared" si="10"/>
        <v>0</v>
      </c>
      <c r="R25" s="440">
        <f>IFERROR(IF(VerBer,IF($M25&lt;INT(R$5),0,IF($M25=INT(R$2),R$12,IF($M25&gt;INT(R$2),R$12*(1+R$9)^(IF($M25-R$5&lt;=0,0,$M25-IF(R$5&lt;R$2,R$2,R$5))),0))),0),0)</f>
        <v>0</v>
      </c>
      <c r="S25" s="211"/>
      <c r="U25" s="453">
        <f t="shared" si="11"/>
        <v>0</v>
      </c>
      <c r="V25" s="453">
        <f t="shared" si="13"/>
        <v>0</v>
      </c>
      <c r="W25" s="453">
        <f t="shared" si="14"/>
        <v>0</v>
      </c>
    </row>
    <row r="26" spans="1:23">
      <c r="A26" s="336"/>
      <c r="B26" s="236" t="str">
        <f t="shared" si="12"/>
        <v/>
      </c>
      <c r="C26" s="438">
        <f t="shared" si="0"/>
        <v>0</v>
      </c>
      <c r="D26" s="438">
        <f t="shared" si="1"/>
        <v>0</v>
      </c>
      <c r="E26" s="438">
        <f t="shared" si="2"/>
        <v>0</v>
      </c>
      <c r="F26" s="438">
        <f t="shared" si="3"/>
        <v>0</v>
      </c>
      <c r="G26" s="235"/>
      <c r="H26" s="439">
        <f t="shared" si="4"/>
        <v>0</v>
      </c>
      <c r="I26" s="439" t="e">
        <f t="shared" si="5"/>
        <v>#VALUE!</v>
      </c>
      <c r="J26" s="439">
        <f t="shared" si="6"/>
        <v>0</v>
      </c>
      <c r="K26" s="439">
        <f t="shared" si="7"/>
        <v>0</v>
      </c>
      <c r="L26" s="631"/>
      <c r="M26" s="665" t="str">
        <f t="shared" si="15"/>
        <v/>
      </c>
      <c r="N26" s="439">
        <f t="shared" si="8"/>
        <v>0</v>
      </c>
      <c r="O26" s="439">
        <f>N26*12*IF(AND(INT(O$5)=$M26,O$5&gt;INT(O$5)),(1-(O$5-INT(O$5))),1)</f>
        <v>0</v>
      </c>
      <c r="P26" s="439">
        <f t="shared" si="10"/>
        <v>0</v>
      </c>
      <c r="Q26" s="439">
        <f t="shared" si="10"/>
        <v>0</v>
      </c>
      <c r="R26" s="439">
        <f>IFERROR(IF(VerBer,IF($M26&lt;INT(R$5),0,IF($M26=INT(R$2),R$12,IF($M26&gt;INT(R$2),R$12*(1+R$9)^(IF($M26-R$5&lt;=0,0,$M26-IF(R$5&lt;R$2,R$2,R$5))),0))),0),0)</f>
        <v>0</v>
      </c>
      <c r="S26" s="211"/>
      <c r="U26" s="453">
        <f t="shared" si="11"/>
        <v>0</v>
      </c>
      <c r="V26" s="453">
        <f t="shared" si="13"/>
        <v>0</v>
      </c>
      <c r="W26" s="453">
        <f t="shared" si="14"/>
        <v>0</v>
      </c>
    </row>
    <row r="27" spans="1:23">
      <c r="A27" s="336"/>
      <c r="B27" s="236" t="str">
        <f t="shared" si="12"/>
        <v/>
      </c>
      <c r="C27" s="438">
        <f t="shared" si="0"/>
        <v>0</v>
      </c>
      <c r="D27" s="438">
        <f t="shared" si="1"/>
        <v>0</v>
      </c>
      <c r="E27" s="438">
        <f t="shared" si="2"/>
        <v>0</v>
      </c>
      <c r="F27" s="438">
        <f t="shared" si="3"/>
        <v>0</v>
      </c>
      <c r="G27" s="235"/>
      <c r="H27" s="440">
        <f t="shared" si="4"/>
        <v>0</v>
      </c>
      <c r="I27" s="440" t="e">
        <f t="shared" si="5"/>
        <v>#VALUE!</v>
      </c>
      <c r="J27" s="440">
        <f t="shared" si="6"/>
        <v>0</v>
      </c>
      <c r="K27" s="440">
        <f t="shared" si="7"/>
        <v>0</v>
      </c>
      <c r="L27" s="632"/>
      <c r="M27" s="667" t="str">
        <f t="shared" si="15"/>
        <v/>
      </c>
      <c r="N27" s="440">
        <f t="shared" si="8"/>
        <v>0</v>
      </c>
      <c r="O27" s="440">
        <f t="shared" ref="O27:O90" si="16">N27*12*IF(AND(INT(O$5)=$M27,O$5&gt;INT(O$5)),(1-(O$5-INT(O$5))),1)</f>
        <v>0</v>
      </c>
      <c r="P27" s="440">
        <f t="shared" si="10"/>
        <v>0</v>
      </c>
      <c r="Q27" s="440">
        <f t="shared" si="10"/>
        <v>0</v>
      </c>
      <c r="R27" s="440">
        <f>IFERROR(IF(VerBer,IF($M27&lt;INT(R$5),0,IF($M27=INT(R$2),R$12,IF($M27&gt;INT(R$2),R$12*(1+R$9)^(IF($M27-R$5&lt;=0,0,$M27-IF(R$5&lt;R$2,R$2,R$5))),0))),0),0)</f>
        <v>0</v>
      </c>
      <c r="S27" s="211"/>
      <c r="U27" s="453">
        <f t="shared" si="11"/>
        <v>0</v>
      </c>
      <c r="V27" s="453">
        <f t="shared" si="13"/>
        <v>0</v>
      </c>
      <c r="W27" s="453">
        <f t="shared" si="14"/>
        <v>0</v>
      </c>
    </row>
    <row r="28" spans="1:23">
      <c r="A28" s="336"/>
      <c r="B28" s="236" t="str">
        <f t="shared" si="12"/>
        <v/>
      </c>
      <c r="C28" s="438">
        <f t="shared" si="0"/>
        <v>0</v>
      </c>
      <c r="D28" s="438">
        <f t="shared" si="1"/>
        <v>0</v>
      </c>
      <c r="E28" s="438">
        <f t="shared" si="2"/>
        <v>0</v>
      </c>
      <c r="F28" s="438">
        <f t="shared" si="3"/>
        <v>0</v>
      </c>
      <c r="G28" s="235"/>
      <c r="H28" s="439">
        <f t="shared" si="4"/>
        <v>0</v>
      </c>
      <c r="I28" s="439" t="e">
        <f t="shared" si="5"/>
        <v>#VALUE!</v>
      </c>
      <c r="J28" s="439">
        <f t="shared" si="6"/>
        <v>0</v>
      </c>
      <c r="K28" s="439">
        <f t="shared" si="7"/>
        <v>0</v>
      </c>
      <c r="L28" s="631"/>
      <c r="M28" s="665" t="str">
        <f t="shared" si="15"/>
        <v/>
      </c>
      <c r="N28" s="439">
        <f t="shared" si="8"/>
        <v>0</v>
      </c>
      <c r="O28" s="439">
        <f t="shared" si="16"/>
        <v>0</v>
      </c>
      <c r="P28" s="439">
        <f t="shared" si="10"/>
        <v>0</v>
      </c>
      <c r="Q28" s="439">
        <f t="shared" si="10"/>
        <v>0</v>
      </c>
      <c r="R28" s="439">
        <f>IFERROR(IF(VerBer,IF($M28&lt;INT(R$5),0,IF($M28=INT(R$2),R$12,IF($M28&gt;INT(R$2),R$12*(1+R$9)^(IF($M28-R$5&lt;=0,0,$M28-IF(R$5&lt;R$2,R$2,R$5))),0))),0),0)</f>
        <v>0</v>
      </c>
      <c r="S28" s="211"/>
      <c r="U28" s="453">
        <f t="shared" si="11"/>
        <v>0</v>
      </c>
      <c r="V28" s="453">
        <f t="shared" si="13"/>
        <v>0</v>
      </c>
      <c r="W28" s="453">
        <f t="shared" si="14"/>
        <v>0</v>
      </c>
    </row>
    <row r="29" spans="1:23">
      <c r="A29" s="336"/>
      <c r="B29" s="236" t="str">
        <f t="shared" si="12"/>
        <v/>
      </c>
      <c r="C29" s="438">
        <f t="shared" si="0"/>
        <v>0</v>
      </c>
      <c r="D29" s="438">
        <f t="shared" si="1"/>
        <v>0</v>
      </c>
      <c r="E29" s="438">
        <f t="shared" si="2"/>
        <v>0</v>
      </c>
      <c r="F29" s="438">
        <f t="shared" si="3"/>
        <v>0</v>
      </c>
      <c r="G29" s="235"/>
      <c r="H29" s="440">
        <f t="shared" si="4"/>
        <v>0</v>
      </c>
      <c r="I29" s="440" t="e">
        <f t="shared" si="5"/>
        <v>#VALUE!</v>
      </c>
      <c r="J29" s="440">
        <f t="shared" si="6"/>
        <v>0</v>
      </c>
      <c r="K29" s="440">
        <f t="shared" si="7"/>
        <v>0</v>
      </c>
      <c r="L29" s="632"/>
      <c r="M29" s="667" t="str">
        <f t="shared" si="15"/>
        <v/>
      </c>
      <c r="N29" s="440">
        <f t="shared" si="8"/>
        <v>0</v>
      </c>
      <c r="O29" s="440">
        <f t="shared" si="16"/>
        <v>0</v>
      </c>
      <c r="P29" s="440">
        <f t="shared" si="10"/>
        <v>0</v>
      </c>
      <c r="Q29" s="440">
        <f t="shared" si="10"/>
        <v>0</v>
      </c>
      <c r="R29" s="440">
        <f>IFERROR(IF(VerBer,IF($M29&lt;INT(R$5),0,IF($M29=INT(R$2),R$12,IF($M29&gt;INT(R$2),R$12*(1+R$9)^(IF($M29-R$5&lt;=0,0,$M29-IF(R$5&lt;R$2,R$2,R$5))),0))),0),0)</f>
        <v>0</v>
      </c>
      <c r="S29" s="211"/>
      <c r="U29" s="453">
        <f>+P29*12*IF(AND(INT(P$5)=$M29,P$5&gt;INT(P$5)),1-(P$5-INT(P$5)),1)</f>
        <v>0</v>
      </c>
      <c r="V29" s="453">
        <f t="shared" si="13"/>
        <v>0</v>
      </c>
      <c r="W29" s="453">
        <f t="shared" si="14"/>
        <v>0</v>
      </c>
    </row>
    <row r="30" spans="1:23">
      <c r="A30" s="336"/>
      <c r="B30" s="236" t="str">
        <f t="shared" si="12"/>
        <v/>
      </c>
      <c r="C30" s="438">
        <f t="shared" si="0"/>
        <v>0</v>
      </c>
      <c r="D30" s="438">
        <f t="shared" si="1"/>
        <v>0</v>
      </c>
      <c r="E30" s="438">
        <f t="shared" si="2"/>
        <v>0</v>
      </c>
      <c r="F30" s="438">
        <f t="shared" si="3"/>
        <v>0</v>
      </c>
      <c r="G30" s="235"/>
      <c r="H30" s="439">
        <f t="shared" si="4"/>
        <v>0</v>
      </c>
      <c r="I30" s="439" t="e">
        <f t="shared" si="5"/>
        <v>#VALUE!</v>
      </c>
      <c r="J30" s="439">
        <f t="shared" si="6"/>
        <v>0</v>
      </c>
      <c r="K30" s="439">
        <f t="shared" si="7"/>
        <v>0</v>
      </c>
      <c r="L30" s="631"/>
      <c r="M30" s="665" t="str">
        <f t="shared" si="15"/>
        <v/>
      </c>
      <c r="N30" s="439">
        <f t="shared" si="8"/>
        <v>0</v>
      </c>
      <c r="O30" s="439">
        <f t="shared" si="16"/>
        <v>0</v>
      </c>
      <c r="P30" s="439">
        <f t="shared" si="10"/>
        <v>0</v>
      </c>
      <c r="Q30" s="439">
        <f t="shared" si="10"/>
        <v>0</v>
      </c>
      <c r="R30" s="439">
        <f>IFERROR(IF(VerBer,IF($M30&lt;INT(R$5),0,IF($M30=INT(R$2),R$12,IF($M30&gt;INT(R$2),R$12*(1+R$9)^(IF($M30-R$5&lt;=0,0,$M30-IF(R$5&lt;R$2,R$2,R$5))),0))),0),0)</f>
        <v>0</v>
      </c>
      <c r="S30" s="211"/>
      <c r="U30" s="453">
        <f>+P30*12*IF(AND(INT(P$5)=$M30,P$5&gt;INT(P$5)),1-(P$5-INT(P$5)),1)</f>
        <v>0</v>
      </c>
      <c r="V30" s="453">
        <f t="shared" si="13"/>
        <v>0</v>
      </c>
      <c r="W30" s="453">
        <f t="shared" si="14"/>
        <v>0</v>
      </c>
    </row>
    <row r="31" spans="1:23">
      <c r="A31" s="336"/>
      <c r="B31" s="236" t="str">
        <f t="shared" si="12"/>
        <v/>
      </c>
      <c r="C31" s="438">
        <f t="shared" si="0"/>
        <v>0</v>
      </c>
      <c r="D31" s="438">
        <f t="shared" si="1"/>
        <v>0</v>
      </c>
      <c r="E31" s="438">
        <f t="shared" si="2"/>
        <v>0</v>
      </c>
      <c r="F31" s="438">
        <f t="shared" si="3"/>
        <v>0</v>
      </c>
      <c r="G31" s="235"/>
      <c r="H31" s="440">
        <f t="shared" si="4"/>
        <v>0</v>
      </c>
      <c r="I31" s="440" t="e">
        <f t="shared" si="5"/>
        <v>#VALUE!</v>
      </c>
      <c r="J31" s="440">
        <f t="shared" si="6"/>
        <v>0</v>
      </c>
      <c r="K31" s="440">
        <f t="shared" si="7"/>
        <v>0</v>
      </c>
      <c r="L31" s="632"/>
      <c r="M31" s="667" t="str">
        <f t="shared" si="15"/>
        <v/>
      </c>
      <c r="N31" s="440">
        <f t="shared" si="8"/>
        <v>0</v>
      </c>
      <c r="O31" s="440">
        <f t="shared" si="16"/>
        <v>0</v>
      </c>
      <c r="P31" s="440">
        <f t="shared" si="10"/>
        <v>0</v>
      </c>
      <c r="Q31" s="440">
        <f t="shared" si="10"/>
        <v>0</v>
      </c>
      <c r="R31" s="440">
        <f>IFERROR(IF(VerBer,IF($M31&lt;INT(R$5),0,IF($M31=INT(R$2),R$12,IF($M31&gt;INT(R$2),R$12*(1+R$9)^(IF($M31-R$5&lt;=0,0,$M31-IF(R$5&lt;R$2,R$2,R$5))),0))),0),0)</f>
        <v>0</v>
      </c>
      <c r="S31" s="211"/>
      <c r="U31" s="453">
        <f t="shared" ref="U31:U93" si="17">+P31*12*IF(AND(INT(P$5)=$M31,P$5&gt;INT(P$5)),1-(P$5-INT(P$5)),1)</f>
        <v>0</v>
      </c>
      <c r="V31" s="453">
        <f t="shared" si="13"/>
        <v>0</v>
      </c>
      <c r="W31" s="453">
        <f t="shared" si="14"/>
        <v>0</v>
      </c>
    </row>
    <row r="32" spans="1:23">
      <c r="A32" s="336"/>
      <c r="B32" s="236" t="str">
        <f t="shared" si="12"/>
        <v/>
      </c>
      <c r="C32" s="438">
        <f t="shared" si="0"/>
        <v>0</v>
      </c>
      <c r="D32" s="438">
        <f t="shared" si="1"/>
        <v>0</v>
      </c>
      <c r="E32" s="438">
        <f t="shared" si="2"/>
        <v>0</v>
      </c>
      <c r="F32" s="438">
        <f t="shared" si="3"/>
        <v>0</v>
      </c>
      <c r="G32" s="235"/>
      <c r="H32" s="439">
        <f t="shared" si="4"/>
        <v>0</v>
      </c>
      <c r="I32" s="439" t="e">
        <f t="shared" si="5"/>
        <v>#VALUE!</v>
      </c>
      <c r="J32" s="439">
        <f t="shared" si="6"/>
        <v>0</v>
      </c>
      <c r="K32" s="439">
        <f t="shared" si="7"/>
        <v>0</v>
      </c>
      <c r="L32" s="631"/>
      <c r="M32" s="665" t="str">
        <f t="shared" si="15"/>
        <v/>
      </c>
      <c r="N32" s="439">
        <f t="shared" si="8"/>
        <v>0</v>
      </c>
      <c r="O32" s="439">
        <f t="shared" si="16"/>
        <v>0</v>
      </c>
      <c r="P32" s="439">
        <f t="shared" si="10"/>
        <v>0</v>
      </c>
      <c r="Q32" s="439">
        <f t="shared" si="10"/>
        <v>0</v>
      </c>
      <c r="R32" s="439">
        <f>IFERROR(IF(VerBer,IF($M32&lt;INT(R$5),0,IF($M32=INT(R$2),R$12,IF($M32&gt;INT(R$2),R$12*(1+R$9)^(IF($M32-R$5&lt;=0,0,$M32-IF(R$5&lt;R$2,R$2,R$5))),0))),0),0)</f>
        <v>0</v>
      </c>
      <c r="S32" s="211"/>
      <c r="U32" s="453">
        <f t="shared" si="17"/>
        <v>0</v>
      </c>
      <c r="V32" s="453">
        <f t="shared" si="13"/>
        <v>0</v>
      </c>
      <c r="W32" s="453">
        <f t="shared" si="14"/>
        <v>0</v>
      </c>
    </row>
    <row r="33" spans="1:23">
      <c r="A33" s="336"/>
      <c r="B33" s="236" t="str">
        <f t="shared" si="12"/>
        <v/>
      </c>
      <c r="C33" s="438">
        <f t="shared" si="0"/>
        <v>0</v>
      </c>
      <c r="D33" s="438">
        <f t="shared" si="1"/>
        <v>0</v>
      </c>
      <c r="E33" s="438">
        <f t="shared" si="2"/>
        <v>0</v>
      </c>
      <c r="F33" s="438">
        <f t="shared" si="3"/>
        <v>0</v>
      </c>
      <c r="G33" s="235"/>
      <c r="H33" s="440">
        <f t="shared" si="4"/>
        <v>0</v>
      </c>
      <c r="I33" s="440" t="e">
        <f t="shared" si="5"/>
        <v>#VALUE!</v>
      </c>
      <c r="J33" s="440">
        <f t="shared" si="6"/>
        <v>0</v>
      </c>
      <c r="K33" s="440">
        <f t="shared" si="7"/>
        <v>0</v>
      </c>
      <c r="L33" s="632"/>
      <c r="M33" s="667" t="str">
        <f t="shared" si="15"/>
        <v/>
      </c>
      <c r="N33" s="440">
        <f t="shared" si="8"/>
        <v>0</v>
      </c>
      <c r="O33" s="440">
        <f t="shared" si="16"/>
        <v>0</v>
      </c>
      <c r="P33" s="440">
        <f t="shared" si="10"/>
        <v>0</v>
      </c>
      <c r="Q33" s="440">
        <f t="shared" si="10"/>
        <v>0</v>
      </c>
      <c r="R33" s="440">
        <f>IFERROR(IF(VerBer,IF($M33&lt;INT(R$5),0,IF($M33=INT(R$2),R$12,IF($M33&gt;INT(R$2),R$12*(1+R$9)^(IF($M33-R$5&lt;=0,0,$M33-IF(R$5&lt;R$2,R$2,R$5))),0))),0),0)</f>
        <v>0</v>
      </c>
      <c r="S33" s="211"/>
      <c r="U33" s="453">
        <f t="shared" si="17"/>
        <v>0</v>
      </c>
      <c r="V33" s="453">
        <f t="shared" si="13"/>
        <v>0</v>
      </c>
      <c r="W33" s="453">
        <f t="shared" si="14"/>
        <v>0</v>
      </c>
    </row>
    <row r="34" spans="1:23">
      <c r="A34" s="336"/>
      <c r="B34" s="236" t="str">
        <f t="shared" si="12"/>
        <v/>
      </c>
      <c r="C34" s="438">
        <f t="shared" si="0"/>
        <v>0</v>
      </c>
      <c r="D34" s="438">
        <f t="shared" si="1"/>
        <v>0</v>
      </c>
      <c r="E34" s="438">
        <f t="shared" si="2"/>
        <v>0</v>
      </c>
      <c r="F34" s="438">
        <f t="shared" si="3"/>
        <v>0</v>
      </c>
      <c r="G34" s="235"/>
      <c r="H34" s="439">
        <f t="shared" si="4"/>
        <v>0</v>
      </c>
      <c r="I34" s="439" t="e">
        <f t="shared" si="5"/>
        <v>#VALUE!</v>
      </c>
      <c r="J34" s="439">
        <f t="shared" si="6"/>
        <v>0</v>
      </c>
      <c r="K34" s="439">
        <f t="shared" si="7"/>
        <v>0</v>
      </c>
      <c r="L34" s="631"/>
      <c r="M34" s="665" t="str">
        <f t="shared" si="15"/>
        <v/>
      </c>
      <c r="N34" s="439">
        <f t="shared" si="8"/>
        <v>0</v>
      </c>
      <c r="O34" s="439">
        <f t="shared" si="16"/>
        <v>0</v>
      </c>
      <c r="P34" s="439">
        <f t="shared" si="10"/>
        <v>0</v>
      </c>
      <c r="Q34" s="439">
        <f t="shared" si="10"/>
        <v>0</v>
      </c>
      <c r="R34" s="439">
        <f>IFERROR(IF(VerBer,IF($M34&lt;INT(R$5),0,IF($M34=INT(R$2),R$12,IF($M34&gt;INT(R$2),R$12*(1+R$9)^(IF($M34-R$5&lt;=0,0,$M34-IF(R$5&lt;R$2,R$2,R$5))),0))),0),0)</f>
        <v>0</v>
      </c>
      <c r="S34" s="211"/>
      <c r="U34" s="453">
        <f t="shared" si="17"/>
        <v>0</v>
      </c>
      <c r="V34" s="453">
        <f t="shared" si="13"/>
        <v>0</v>
      </c>
      <c r="W34" s="453">
        <f t="shared" si="14"/>
        <v>0</v>
      </c>
    </row>
    <row r="35" spans="1:23">
      <c r="A35" s="336"/>
      <c r="B35" s="236" t="str">
        <f t="shared" si="12"/>
        <v/>
      </c>
      <c r="C35" s="438">
        <f t="shared" si="0"/>
        <v>0</v>
      </c>
      <c r="D35" s="438">
        <f t="shared" si="1"/>
        <v>0</v>
      </c>
      <c r="E35" s="438">
        <f t="shared" si="2"/>
        <v>0</v>
      </c>
      <c r="F35" s="438">
        <f t="shared" si="3"/>
        <v>0</v>
      </c>
      <c r="G35" s="235"/>
      <c r="H35" s="440">
        <f t="shared" si="4"/>
        <v>0</v>
      </c>
      <c r="I35" s="440" t="e">
        <f t="shared" si="5"/>
        <v>#VALUE!</v>
      </c>
      <c r="J35" s="440">
        <f t="shared" si="6"/>
        <v>0</v>
      </c>
      <c r="K35" s="440">
        <f t="shared" si="7"/>
        <v>0</v>
      </c>
      <c r="L35" s="632"/>
      <c r="M35" s="667" t="str">
        <f t="shared" si="15"/>
        <v/>
      </c>
      <c r="N35" s="440">
        <f t="shared" si="8"/>
        <v>0</v>
      </c>
      <c r="O35" s="440">
        <f t="shared" si="16"/>
        <v>0</v>
      </c>
      <c r="P35" s="440">
        <f t="shared" si="10"/>
        <v>0</v>
      </c>
      <c r="Q35" s="440">
        <f t="shared" si="10"/>
        <v>0</v>
      </c>
      <c r="R35" s="440">
        <f>IFERROR(IF(VerBer,IF($M35&lt;INT(R$5),0,IF($M35=INT(R$2),R$12,IF($M35&gt;INT(R$2),R$12*(1+R$9)^(IF($M35-R$5&lt;=0,0,$M35-IF(R$5&lt;R$2,R$2,R$5))),0))),0),0)</f>
        <v>0</v>
      </c>
      <c r="S35" s="211"/>
      <c r="U35" s="453">
        <f t="shared" si="17"/>
        <v>0</v>
      </c>
      <c r="V35" s="453">
        <f t="shared" si="13"/>
        <v>0</v>
      </c>
      <c r="W35" s="453">
        <f t="shared" si="14"/>
        <v>0</v>
      </c>
    </row>
    <row r="36" spans="1:23">
      <c r="A36" s="336"/>
      <c r="B36" s="236" t="str">
        <f t="shared" si="12"/>
        <v/>
      </c>
      <c r="C36" s="438">
        <f t="shared" si="0"/>
        <v>0</v>
      </c>
      <c r="D36" s="438">
        <f t="shared" si="1"/>
        <v>0</v>
      </c>
      <c r="E36" s="438">
        <f t="shared" si="2"/>
        <v>0</v>
      </c>
      <c r="F36" s="438">
        <f t="shared" si="3"/>
        <v>0</v>
      </c>
      <c r="G36" s="235"/>
      <c r="H36" s="439">
        <f t="shared" si="4"/>
        <v>0</v>
      </c>
      <c r="I36" s="439" t="e">
        <f t="shared" si="5"/>
        <v>#VALUE!</v>
      </c>
      <c r="J36" s="439">
        <f t="shared" si="6"/>
        <v>0</v>
      </c>
      <c r="K36" s="439">
        <f t="shared" si="7"/>
        <v>0</v>
      </c>
      <c r="L36" s="631"/>
      <c r="M36" s="665" t="str">
        <f t="shared" si="15"/>
        <v/>
      </c>
      <c r="N36" s="439">
        <f t="shared" si="8"/>
        <v>0</v>
      </c>
      <c r="O36" s="439">
        <f t="shared" si="16"/>
        <v>0</v>
      </c>
      <c r="P36" s="439">
        <f t="shared" si="10"/>
        <v>0</v>
      </c>
      <c r="Q36" s="439">
        <f t="shared" si="10"/>
        <v>0</v>
      </c>
      <c r="R36" s="439">
        <f>IFERROR(IF(VerBer,IF($M36&lt;INT(R$5),0,IF($M36=INT(R$2),R$12,IF($M36&gt;INT(R$2),R$12*(1+R$9)^(IF($M36-R$5&lt;=0,0,$M36-IF(R$5&lt;R$2,R$2,R$5))),0))),0),0)</f>
        <v>0</v>
      </c>
      <c r="S36" s="211"/>
      <c r="U36" s="453">
        <f t="shared" si="17"/>
        <v>0</v>
      </c>
      <c r="V36" s="453">
        <f t="shared" si="13"/>
        <v>0</v>
      </c>
      <c r="W36" s="453">
        <f t="shared" si="14"/>
        <v>0</v>
      </c>
    </row>
    <row r="37" spans="1:23">
      <c r="A37" s="336"/>
      <c r="B37" s="236" t="str">
        <f t="shared" si="12"/>
        <v/>
      </c>
      <c r="C37" s="438">
        <f t="shared" si="0"/>
        <v>0</v>
      </c>
      <c r="D37" s="438">
        <f t="shared" si="1"/>
        <v>0</v>
      </c>
      <c r="E37" s="438">
        <f t="shared" si="2"/>
        <v>0</v>
      </c>
      <c r="F37" s="438">
        <f t="shared" si="3"/>
        <v>0</v>
      </c>
      <c r="G37" s="235"/>
      <c r="H37" s="440">
        <f t="shared" si="4"/>
        <v>0</v>
      </c>
      <c r="I37" s="440" t="e">
        <f t="shared" si="5"/>
        <v>#VALUE!</v>
      </c>
      <c r="J37" s="440">
        <f t="shared" si="6"/>
        <v>0</v>
      </c>
      <c r="K37" s="440">
        <f t="shared" si="7"/>
        <v>0</v>
      </c>
      <c r="L37" s="632"/>
      <c r="M37" s="667" t="str">
        <f t="shared" si="15"/>
        <v/>
      </c>
      <c r="N37" s="440">
        <f t="shared" si="8"/>
        <v>0</v>
      </c>
      <c r="O37" s="440">
        <f t="shared" si="16"/>
        <v>0</v>
      </c>
      <c r="P37" s="440">
        <f t="shared" si="10"/>
        <v>0</v>
      </c>
      <c r="Q37" s="440">
        <f t="shared" si="10"/>
        <v>0</v>
      </c>
      <c r="R37" s="440">
        <f>IFERROR(IF(VerBer,IF($M37&lt;INT(R$5),0,IF($M37=INT(R$2),R$12,IF($M37&gt;INT(R$2),R$12*(1+R$9)^(IF($M37-R$5&lt;=0,0,$M37-IF(R$5&lt;R$2,R$2,R$5))),0))),0),0)</f>
        <v>0</v>
      </c>
      <c r="S37" s="211"/>
      <c r="U37" s="453">
        <f t="shared" si="17"/>
        <v>0</v>
      </c>
      <c r="V37" s="453">
        <f t="shared" si="13"/>
        <v>0</v>
      </c>
      <c r="W37" s="453">
        <f t="shared" si="14"/>
        <v>0</v>
      </c>
    </row>
    <row r="38" spans="1:23">
      <c r="A38" s="336"/>
      <c r="B38" s="236" t="str">
        <f t="shared" si="12"/>
        <v/>
      </c>
      <c r="C38" s="438">
        <f t="shared" si="0"/>
        <v>0</v>
      </c>
      <c r="D38" s="438">
        <f t="shared" si="1"/>
        <v>0</v>
      </c>
      <c r="E38" s="438">
        <f t="shared" si="2"/>
        <v>0</v>
      </c>
      <c r="F38" s="438">
        <f t="shared" si="3"/>
        <v>0</v>
      </c>
      <c r="G38" s="235"/>
      <c r="H38" s="439">
        <f t="shared" si="4"/>
        <v>0</v>
      </c>
      <c r="I38" s="439" t="e">
        <f t="shared" si="5"/>
        <v>#VALUE!</v>
      </c>
      <c r="J38" s="439">
        <f t="shared" si="6"/>
        <v>0</v>
      </c>
      <c r="K38" s="439">
        <f t="shared" si="7"/>
        <v>0</v>
      </c>
      <c r="L38" s="631"/>
      <c r="M38" s="665" t="str">
        <f t="shared" si="15"/>
        <v/>
      </c>
      <c r="N38" s="439">
        <f t="shared" si="8"/>
        <v>0</v>
      </c>
      <c r="O38" s="439">
        <f t="shared" si="16"/>
        <v>0</v>
      </c>
      <c r="P38" s="439">
        <f t="shared" ref="P38:Q57" si="18">IFERROR(IF(VersBer,IF($M38&lt;INT(P$5),0,IF($M38=INT(P$2),P$12,IF($M38&gt;INT(P$2),P$12*(1+P$9)^(IF($M38-P$5&lt;=0,0,$M38-IF(P$5&lt;P$2,P$2,P$5))),0))),0),0)</f>
        <v>0</v>
      </c>
      <c r="Q38" s="439">
        <f t="shared" si="18"/>
        <v>0</v>
      </c>
      <c r="R38" s="439">
        <f>IFERROR(IF(VerBer,IF($M38&lt;INT(R$5),0,IF($M38=INT(R$2),R$12,IF($M38&gt;INT(R$2),R$12*(1+R$9)^(IF($M38-R$5&lt;=0,0,$M38-IF(R$5&lt;R$2,R$2,R$5))),0))),0),0)</f>
        <v>0</v>
      </c>
      <c r="S38" s="211"/>
      <c r="U38" s="453">
        <f t="shared" si="17"/>
        <v>0</v>
      </c>
      <c r="V38" s="453">
        <f t="shared" si="13"/>
        <v>0</v>
      </c>
      <c r="W38" s="453">
        <f t="shared" si="14"/>
        <v>0</v>
      </c>
    </row>
    <row r="39" spans="1:23">
      <c r="A39" s="336"/>
      <c r="B39" s="236" t="str">
        <f t="shared" si="12"/>
        <v/>
      </c>
      <c r="C39" s="438">
        <f t="shared" si="0"/>
        <v>0</v>
      </c>
      <c r="D39" s="438">
        <f t="shared" si="1"/>
        <v>0</v>
      </c>
      <c r="E39" s="438">
        <f t="shared" si="2"/>
        <v>0</v>
      </c>
      <c r="F39" s="438">
        <f t="shared" si="3"/>
        <v>0</v>
      </c>
      <c r="G39" s="235"/>
      <c r="H39" s="440">
        <f t="shared" si="4"/>
        <v>0</v>
      </c>
      <c r="I39" s="440" t="e">
        <f t="shared" si="5"/>
        <v>#VALUE!</v>
      </c>
      <c r="J39" s="440">
        <f t="shared" si="6"/>
        <v>0</v>
      </c>
      <c r="K39" s="440">
        <f t="shared" si="7"/>
        <v>0</v>
      </c>
      <c r="L39" s="632"/>
      <c r="M39" s="667" t="str">
        <f t="shared" si="15"/>
        <v/>
      </c>
      <c r="N39" s="440">
        <f t="shared" si="8"/>
        <v>0</v>
      </c>
      <c r="O39" s="440">
        <f t="shared" si="16"/>
        <v>0</v>
      </c>
      <c r="P39" s="440">
        <f t="shared" si="18"/>
        <v>0</v>
      </c>
      <c r="Q39" s="440">
        <f t="shared" si="18"/>
        <v>0</v>
      </c>
      <c r="R39" s="440">
        <f>IFERROR(IF(VerBer,IF($M39&lt;INT(R$5),0,IF($M39=INT(R$2),R$12,IF($M39&gt;INT(R$2),R$12*(1+R$9)^(IF($M39-R$5&lt;=0,0,$M39-IF(R$5&lt;R$2,R$2,R$5))),0))),0),0)</f>
        <v>0</v>
      </c>
      <c r="S39" s="211"/>
      <c r="U39" s="453">
        <f t="shared" si="17"/>
        <v>0</v>
      </c>
      <c r="V39" s="453">
        <f t="shared" si="13"/>
        <v>0</v>
      </c>
      <c r="W39" s="453">
        <f t="shared" si="14"/>
        <v>0</v>
      </c>
    </row>
    <row r="40" spans="1:23">
      <c r="A40" s="336"/>
      <c r="B40" s="236" t="str">
        <f t="shared" si="12"/>
        <v/>
      </c>
      <c r="C40" s="438">
        <f t="shared" si="0"/>
        <v>0</v>
      </c>
      <c r="D40" s="438">
        <f t="shared" si="1"/>
        <v>0</v>
      </c>
      <c r="E40" s="438">
        <f t="shared" si="2"/>
        <v>0</v>
      </c>
      <c r="F40" s="438">
        <f t="shared" si="3"/>
        <v>0</v>
      </c>
      <c r="G40" s="235"/>
      <c r="H40" s="439">
        <f t="shared" si="4"/>
        <v>0</v>
      </c>
      <c r="I40" s="439" t="e">
        <f t="shared" si="5"/>
        <v>#VALUE!</v>
      </c>
      <c r="J40" s="439">
        <f t="shared" si="6"/>
        <v>0</v>
      </c>
      <c r="K40" s="439">
        <f t="shared" si="7"/>
        <v>0</v>
      </c>
      <c r="L40" s="631"/>
      <c r="M40" s="665" t="str">
        <f t="shared" si="15"/>
        <v/>
      </c>
      <c r="N40" s="439">
        <f t="shared" si="8"/>
        <v>0</v>
      </c>
      <c r="O40" s="439">
        <f t="shared" si="16"/>
        <v>0</v>
      </c>
      <c r="P40" s="439">
        <f t="shared" si="18"/>
        <v>0</v>
      </c>
      <c r="Q40" s="439">
        <f t="shared" si="18"/>
        <v>0</v>
      </c>
      <c r="R40" s="439">
        <f>IFERROR(IF(VerBer,IF($M40&lt;INT(R$5),0,IF($M40=INT(R$2),R$12,IF($M40&gt;INT(R$2),R$12*(1+R$9)^(IF($M40-R$5&lt;=0,0,$M40-IF(R$5&lt;R$2,R$2,R$5))),0))),0),0)</f>
        <v>0</v>
      </c>
      <c r="S40" s="211"/>
      <c r="U40" s="453">
        <f t="shared" si="17"/>
        <v>0</v>
      </c>
      <c r="V40" s="453">
        <f t="shared" si="13"/>
        <v>0</v>
      </c>
      <c r="W40" s="453">
        <f t="shared" si="14"/>
        <v>0</v>
      </c>
    </row>
    <row r="41" spans="1:23">
      <c r="A41" s="336"/>
      <c r="B41" s="236" t="str">
        <f t="shared" si="12"/>
        <v/>
      </c>
      <c r="C41" s="438">
        <f t="shared" si="0"/>
        <v>0</v>
      </c>
      <c r="D41" s="438">
        <f t="shared" si="1"/>
        <v>0</v>
      </c>
      <c r="E41" s="438">
        <f t="shared" si="2"/>
        <v>0</v>
      </c>
      <c r="F41" s="438">
        <f t="shared" si="3"/>
        <v>0</v>
      </c>
      <c r="G41" s="235"/>
      <c r="H41" s="440">
        <f t="shared" si="4"/>
        <v>0</v>
      </c>
      <c r="I41" s="440" t="e">
        <f t="shared" si="5"/>
        <v>#VALUE!</v>
      </c>
      <c r="J41" s="440">
        <f t="shared" si="6"/>
        <v>0</v>
      </c>
      <c r="K41" s="440">
        <f t="shared" si="7"/>
        <v>0</v>
      </c>
      <c r="L41" s="632"/>
      <c r="M41" s="667" t="str">
        <f t="shared" si="15"/>
        <v/>
      </c>
      <c r="N41" s="440">
        <f t="shared" si="8"/>
        <v>0</v>
      </c>
      <c r="O41" s="440">
        <f t="shared" si="16"/>
        <v>0</v>
      </c>
      <c r="P41" s="440">
        <f t="shared" si="18"/>
        <v>0</v>
      </c>
      <c r="Q41" s="440">
        <f t="shared" si="18"/>
        <v>0</v>
      </c>
      <c r="R41" s="440">
        <f>IFERROR(IF(VerBer,IF($M41&lt;INT(R$5),0,IF($M41=INT(R$2),R$12,IF($M41&gt;INT(R$2),R$12*(1+R$9)^(IF($M41-R$5&lt;=0,0,$M41-IF(R$5&lt;R$2,R$2,R$5))),0))),0),0)</f>
        <v>0</v>
      </c>
      <c r="S41" s="211"/>
      <c r="U41" s="453">
        <f t="shared" si="17"/>
        <v>0</v>
      </c>
      <c r="V41" s="453">
        <f t="shared" si="13"/>
        <v>0</v>
      </c>
      <c r="W41" s="453">
        <f t="shared" si="14"/>
        <v>0</v>
      </c>
    </row>
    <row r="42" spans="1:23">
      <c r="A42" s="336"/>
      <c r="B42" s="236" t="str">
        <f t="shared" si="12"/>
        <v/>
      </c>
      <c r="C42" s="438">
        <f t="shared" si="0"/>
        <v>0</v>
      </c>
      <c r="D42" s="438">
        <f t="shared" si="1"/>
        <v>0</v>
      </c>
      <c r="E42" s="438">
        <f t="shared" si="2"/>
        <v>0</v>
      </c>
      <c r="F42" s="438">
        <f t="shared" si="3"/>
        <v>0</v>
      </c>
      <c r="G42" s="235"/>
      <c r="H42" s="439">
        <f t="shared" si="4"/>
        <v>0</v>
      </c>
      <c r="I42" s="439" t="e">
        <f t="shared" si="5"/>
        <v>#VALUE!</v>
      </c>
      <c r="J42" s="439">
        <f t="shared" si="6"/>
        <v>0</v>
      </c>
      <c r="K42" s="439">
        <f t="shared" si="7"/>
        <v>0</v>
      </c>
      <c r="L42" s="631"/>
      <c r="M42" s="665" t="str">
        <f t="shared" si="15"/>
        <v/>
      </c>
      <c r="N42" s="439">
        <f t="shared" si="8"/>
        <v>0</v>
      </c>
      <c r="O42" s="439">
        <f t="shared" si="16"/>
        <v>0</v>
      </c>
      <c r="P42" s="439">
        <f t="shared" si="18"/>
        <v>0</v>
      </c>
      <c r="Q42" s="439">
        <f t="shared" si="18"/>
        <v>0</v>
      </c>
      <c r="R42" s="439">
        <f>IFERROR(IF(VerBer,IF($M42&lt;INT(R$5),0,IF($M42=INT(R$2),R$12,IF($M42&gt;INT(R$2),R$12*(1+R$9)^(IF($M42-R$5&lt;=0,0,$M42-IF(R$5&lt;R$2,R$2,R$5))),0))),0),0)</f>
        <v>0</v>
      </c>
      <c r="S42" s="211"/>
      <c r="T42" s="321"/>
      <c r="U42" s="453">
        <f t="shared" si="17"/>
        <v>0</v>
      </c>
      <c r="V42" s="453">
        <f t="shared" si="13"/>
        <v>0</v>
      </c>
      <c r="W42" s="453">
        <f t="shared" si="14"/>
        <v>0</v>
      </c>
    </row>
    <row r="43" spans="1:23">
      <c r="A43" s="336"/>
      <c r="B43" s="236" t="str">
        <f t="shared" si="12"/>
        <v/>
      </c>
      <c r="C43" s="438">
        <f t="shared" si="0"/>
        <v>0</v>
      </c>
      <c r="D43" s="438">
        <f t="shared" si="1"/>
        <v>0</v>
      </c>
      <c r="E43" s="438">
        <f t="shared" si="2"/>
        <v>0</v>
      </c>
      <c r="F43" s="438">
        <f t="shared" si="3"/>
        <v>0</v>
      </c>
      <c r="G43" s="235"/>
      <c r="H43" s="440">
        <f t="shared" si="4"/>
        <v>0</v>
      </c>
      <c r="I43" s="440" t="e">
        <f t="shared" si="5"/>
        <v>#VALUE!</v>
      </c>
      <c r="J43" s="440">
        <f t="shared" si="6"/>
        <v>0</v>
      </c>
      <c r="K43" s="440">
        <f t="shared" si="7"/>
        <v>0</v>
      </c>
      <c r="L43" s="632"/>
      <c r="M43" s="667" t="str">
        <f t="shared" si="15"/>
        <v/>
      </c>
      <c r="N43" s="440">
        <f t="shared" si="8"/>
        <v>0</v>
      </c>
      <c r="O43" s="440">
        <f t="shared" si="16"/>
        <v>0</v>
      </c>
      <c r="P43" s="440">
        <f t="shared" si="18"/>
        <v>0</v>
      </c>
      <c r="Q43" s="440">
        <f t="shared" si="18"/>
        <v>0</v>
      </c>
      <c r="R43" s="440">
        <f>IFERROR(IF(VerBer,IF($M43&lt;INT(R$5),0,IF($M43=INT(R$2),R$12,IF($M43&gt;INT(R$2),R$12*(1+R$9)^(IF($M43-R$5&lt;=0,0,$M43-IF(R$5&lt;R$2,R$2,R$5))),0))),0),0)</f>
        <v>0</v>
      </c>
      <c r="S43" s="211"/>
      <c r="U43" s="453">
        <f t="shared" si="17"/>
        <v>0</v>
      </c>
      <c r="V43" s="453">
        <f t="shared" si="13"/>
        <v>0</v>
      </c>
      <c r="W43" s="453">
        <f t="shared" si="14"/>
        <v>0</v>
      </c>
    </row>
    <row r="44" spans="1:23">
      <c r="A44" s="336"/>
      <c r="B44" s="236" t="str">
        <f t="shared" si="12"/>
        <v/>
      </c>
      <c r="C44" s="438">
        <f t="shared" si="0"/>
        <v>0</v>
      </c>
      <c r="D44" s="438">
        <f t="shared" si="1"/>
        <v>0</v>
      </c>
      <c r="E44" s="438">
        <f t="shared" si="2"/>
        <v>0</v>
      </c>
      <c r="F44" s="438">
        <f t="shared" si="3"/>
        <v>0</v>
      </c>
      <c r="G44" s="235"/>
      <c r="H44" s="439">
        <f t="shared" si="4"/>
        <v>0</v>
      </c>
      <c r="I44" s="439" t="e">
        <f t="shared" si="5"/>
        <v>#VALUE!</v>
      </c>
      <c r="J44" s="439">
        <f t="shared" si="6"/>
        <v>0</v>
      </c>
      <c r="K44" s="439">
        <f t="shared" si="7"/>
        <v>0</v>
      </c>
      <c r="L44" s="631"/>
      <c r="M44" s="665" t="str">
        <f t="shared" si="15"/>
        <v/>
      </c>
      <c r="N44" s="439">
        <f t="shared" si="8"/>
        <v>0</v>
      </c>
      <c r="O44" s="439">
        <f t="shared" si="16"/>
        <v>0</v>
      </c>
      <c r="P44" s="439">
        <f t="shared" si="18"/>
        <v>0</v>
      </c>
      <c r="Q44" s="439">
        <f t="shared" si="18"/>
        <v>0</v>
      </c>
      <c r="R44" s="439">
        <f>IFERROR(IF(VerBer,IF($M44&lt;INT(R$5),0,IF($M44=INT(R$2),R$12,IF($M44&gt;INT(R$2),R$12*(1+R$9)^(IF($M44-R$5&lt;=0,0,$M44-IF(R$5&lt;R$2,R$2,R$5))),0))),0),0)</f>
        <v>0</v>
      </c>
      <c r="S44" s="211"/>
      <c r="U44" s="453">
        <f t="shared" si="17"/>
        <v>0</v>
      </c>
      <c r="V44" s="453">
        <f t="shared" si="13"/>
        <v>0</v>
      </c>
      <c r="W44" s="453">
        <f t="shared" si="14"/>
        <v>0</v>
      </c>
    </row>
    <row r="45" spans="1:23">
      <c r="A45" s="336"/>
      <c r="B45" s="236" t="str">
        <f t="shared" si="12"/>
        <v/>
      </c>
      <c r="C45" s="438">
        <f t="shared" si="0"/>
        <v>0</v>
      </c>
      <c r="D45" s="438">
        <f t="shared" si="1"/>
        <v>0</v>
      </c>
      <c r="E45" s="438">
        <f t="shared" si="2"/>
        <v>0</v>
      </c>
      <c r="F45" s="438">
        <f t="shared" si="3"/>
        <v>0</v>
      </c>
      <c r="G45" s="235"/>
      <c r="H45" s="440">
        <f t="shared" si="4"/>
        <v>0</v>
      </c>
      <c r="I45" s="440" t="e">
        <f t="shared" si="5"/>
        <v>#VALUE!</v>
      </c>
      <c r="J45" s="440">
        <f t="shared" si="6"/>
        <v>0</v>
      </c>
      <c r="K45" s="440">
        <f t="shared" si="7"/>
        <v>0</v>
      </c>
      <c r="L45" s="632"/>
      <c r="M45" s="667" t="str">
        <f t="shared" si="15"/>
        <v/>
      </c>
      <c r="N45" s="440">
        <f t="shared" si="8"/>
        <v>0</v>
      </c>
      <c r="O45" s="440">
        <f t="shared" si="16"/>
        <v>0</v>
      </c>
      <c r="P45" s="440">
        <f t="shared" si="18"/>
        <v>0</v>
      </c>
      <c r="Q45" s="440">
        <f t="shared" si="18"/>
        <v>0</v>
      </c>
      <c r="R45" s="440">
        <f>IFERROR(IF(VerBer,IF($M45&lt;INT(R$5),0,IF($M45=INT(R$2),R$12,IF($M45&gt;INT(R$2),R$12*(1+R$9)^(IF($M45-R$5&lt;=0,0,$M45-IF(R$5&lt;R$2,R$2,R$5))),0))),0),0)</f>
        <v>0</v>
      </c>
      <c r="S45" s="211"/>
      <c r="U45" s="453">
        <f t="shared" si="17"/>
        <v>0</v>
      </c>
      <c r="V45" s="453">
        <f t="shared" si="13"/>
        <v>0</v>
      </c>
      <c r="W45" s="453">
        <f t="shared" si="14"/>
        <v>0</v>
      </c>
    </row>
    <row r="46" spans="1:23">
      <c r="A46" s="336"/>
      <c r="B46" s="236" t="str">
        <f t="shared" si="12"/>
        <v/>
      </c>
      <c r="C46" s="438">
        <f t="shared" si="0"/>
        <v>0</v>
      </c>
      <c r="D46" s="438">
        <f t="shared" si="1"/>
        <v>0</v>
      </c>
      <c r="E46" s="438">
        <f t="shared" si="2"/>
        <v>0</v>
      </c>
      <c r="F46" s="438">
        <f t="shared" si="3"/>
        <v>0</v>
      </c>
      <c r="G46" s="235"/>
      <c r="H46" s="439">
        <f t="shared" si="4"/>
        <v>0</v>
      </c>
      <c r="I46" s="439" t="e">
        <f t="shared" si="5"/>
        <v>#VALUE!</v>
      </c>
      <c r="J46" s="439">
        <f t="shared" si="6"/>
        <v>0</v>
      </c>
      <c r="K46" s="439">
        <f t="shared" si="7"/>
        <v>0</v>
      </c>
      <c r="L46" s="631"/>
      <c r="M46" s="665" t="str">
        <f t="shared" si="15"/>
        <v/>
      </c>
      <c r="N46" s="439">
        <f t="shared" si="8"/>
        <v>0</v>
      </c>
      <c r="O46" s="439">
        <f t="shared" si="16"/>
        <v>0</v>
      </c>
      <c r="P46" s="439">
        <f t="shared" si="18"/>
        <v>0</v>
      </c>
      <c r="Q46" s="439">
        <f t="shared" si="18"/>
        <v>0</v>
      </c>
      <c r="R46" s="439">
        <f>IFERROR(IF(VerBer,IF($M46&lt;INT(R$5),0,IF($M46=INT(R$2),R$12,IF($M46&gt;INT(R$2),R$12*(1+R$9)^(IF($M46-R$5&lt;=0,0,$M46-IF(R$5&lt;R$2,R$2,R$5))),0))),0),0)</f>
        <v>0</v>
      </c>
      <c r="S46" s="211"/>
      <c r="U46" s="453">
        <f t="shared" si="17"/>
        <v>0</v>
      </c>
      <c r="V46" s="453">
        <f t="shared" si="13"/>
        <v>0</v>
      </c>
      <c r="W46" s="453">
        <f t="shared" si="14"/>
        <v>0</v>
      </c>
    </row>
    <row r="47" spans="1:23">
      <c r="A47" s="336"/>
      <c r="B47" s="236" t="str">
        <f t="shared" si="12"/>
        <v/>
      </c>
      <c r="C47" s="438">
        <f t="shared" si="0"/>
        <v>0</v>
      </c>
      <c r="D47" s="438">
        <f t="shared" si="1"/>
        <v>0</v>
      </c>
      <c r="E47" s="438">
        <f t="shared" si="2"/>
        <v>0</v>
      </c>
      <c r="F47" s="438">
        <f t="shared" si="3"/>
        <v>0</v>
      </c>
      <c r="G47" s="235"/>
      <c r="H47" s="440">
        <f t="shared" si="4"/>
        <v>0</v>
      </c>
      <c r="I47" s="440" t="e">
        <f t="shared" si="5"/>
        <v>#VALUE!</v>
      </c>
      <c r="J47" s="440">
        <f t="shared" si="6"/>
        <v>0</v>
      </c>
      <c r="K47" s="440">
        <f t="shared" si="7"/>
        <v>0</v>
      </c>
      <c r="L47" s="632"/>
      <c r="M47" s="667" t="str">
        <f t="shared" si="15"/>
        <v/>
      </c>
      <c r="N47" s="440">
        <f t="shared" si="8"/>
        <v>0</v>
      </c>
      <c r="O47" s="440">
        <f t="shared" si="16"/>
        <v>0</v>
      </c>
      <c r="P47" s="440">
        <f t="shared" si="18"/>
        <v>0</v>
      </c>
      <c r="Q47" s="440">
        <f t="shared" si="18"/>
        <v>0</v>
      </c>
      <c r="R47" s="440">
        <f>IFERROR(IF(VerBer,IF($M47&lt;INT(R$5),0,IF($M47=INT(R$2),R$12,IF($M47&gt;INT(R$2),R$12*(1+R$9)^(IF($M47-R$5&lt;=0,0,$M47-IF(R$5&lt;R$2,R$2,R$5))),0))),0),0)</f>
        <v>0</v>
      </c>
      <c r="S47" s="211"/>
      <c r="U47" s="453">
        <f t="shared" si="17"/>
        <v>0</v>
      </c>
      <c r="V47" s="453">
        <f t="shared" si="13"/>
        <v>0</v>
      </c>
      <c r="W47" s="453">
        <f t="shared" si="14"/>
        <v>0</v>
      </c>
    </row>
    <row r="48" spans="1:23">
      <c r="A48" s="336"/>
      <c r="B48" s="236" t="str">
        <f t="shared" si="12"/>
        <v/>
      </c>
      <c r="C48" s="438">
        <f t="shared" si="0"/>
        <v>0</v>
      </c>
      <c r="D48" s="438">
        <f t="shared" si="1"/>
        <v>0</v>
      </c>
      <c r="E48" s="438">
        <f t="shared" si="2"/>
        <v>0</v>
      </c>
      <c r="F48" s="438">
        <f t="shared" si="3"/>
        <v>0</v>
      </c>
      <c r="G48" s="235"/>
      <c r="H48" s="439">
        <f t="shared" si="4"/>
        <v>0</v>
      </c>
      <c r="I48" s="439" t="e">
        <f t="shared" si="5"/>
        <v>#VALUE!</v>
      </c>
      <c r="J48" s="439">
        <f t="shared" si="6"/>
        <v>0</v>
      </c>
      <c r="K48" s="439">
        <f t="shared" si="7"/>
        <v>0</v>
      </c>
      <c r="L48" s="631"/>
      <c r="M48" s="665" t="str">
        <f t="shared" si="15"/>
        <v/>
      </c>
      <c r="N48" s="439">
        <f t="shared" si="8"/>
        <v>0</v>
      </c>
      <c r="O48" s="439">
        <f t="shared" si="16"/>
        <v>0</v>
      </c>
      <c r="P48" s="439">
        <f t="shared" si="18"/>
        <v>0</v>
      </c>
      <c r="Q48" s="439">
        <f t="shared" si="18"/>
        <v>0</v>
      </c>
      <c r="R48" s="439">
        <f>IFERROR(IF(VerBer,IF($M48&lt;INT(R$5),0,IF($M48=INT(R$2),R$12,IF($M48&gt;INT(R$2),R$12*(1+R$9)^(IF($M48-R$5&lt;=0,0,$M48-IF(R$5&lt;R$2,R$2,R$5))),0))),0),0)</f>
        <v>0</v>
      </c>
      <c r="S48" s="211"/>
      <c r="U48" s="453">
        <f t="shared" si="17"/>
        <v>0</v>
      </c>
      <c r="V48" s="453">
        <f t="shared" si="13"/>
        <v>0</v>
      </c>
      <c r="W48" s="453">
        <f t="shared" si="14"/>
        <v>0</v>
      </c>
    </row>
    <row r="49" spans="1:23">
      <c r="A49" s="336"/>
      <c r="B49" s="236" t="str">
        <f t="shared" si="12"/>
        <v/>
      </c>
      <c r="C49" s="438">
        <f t="shared" si="0"/>
        <v>0</v>
      </c>
      <c r="D49" s="438">
        <f t="shared" si="1"/>
        <v>0</v>
      </c>
      <c r="E49" s="438">
        <f t="shared" si="2"/>
        <v>0</v>
      </c>
      <c r="F49" s="438">
        <f t="shared" si="3"/>
        <v>0</v>
      </c>
      <c r="G49" s="235"/>
      <c r="H49" s="440">
        <f t="shared" si="4"/>
        <v>0</v>
      </c>
      <c r="I49" s="440" t="e">
        <f t="shared" si="5"/>
        <v>#VALUE!</v>
      </c>
      <c r="J49" s="440">
        <f t="shared" si="6"/>
        <v>0</v>
      </c>
      <c r="K49" s="440">
        <f t="shared" si="7"/>
        <v>0</v>
      </c>
      <c r="L49" s="632"/>
      <c r="M49" s="667" t="str">
        <f t="shared" si="15"/>
        <v/>
      </c>
      <c r="N49" s="440">
        <f t="shared" si="8"/>
        <v>0</v>
      </c>
      <c r="O49" s="440">
        <f t="shared" si="16"/>
        <v>0</v>
      </c>
      <c r="P49" s="440">
        <f t="shared" si="18"/>
        <v>0</v>
      </c>
      <c r="Q49" s="440">
        <f t="shared" si="18"/>
        <v>0</v>
      </c>
      <c r="R49" s="440">
        <f>IFERROR(IF(VerBer,IF($M49&lt;INT(R$5),0,IF($M49=INT(R$2),R$12,IF($M49&gt;INT(R$2),R$12*(1+R$9)^(IF($M49-R$5&lt;=0,0,$M49-IF(R$5&lt;R$2,R$2,R$5))),0))),0),0)</f>
        <v>0</v>
      </c>
      <c r="S49" s="211"/>
      <c r="U49" s="453">
        <f t="shared" si="17"/>
        <v>0</v>
      </c>
      <c r="V49" s="453">
        <f t="shared" si="13"/>
        <v>0</v>
      </c>
      <c r="W49" s="453">
        <f t="shared" si="14"/>
        <v>0</v>
      </c>
    </row>
    <row r="50" spans="1:23">
      <c r="A50" s="336"/>
      <c r="B50" s="236" t="str">
        <f t="shared" si="12"/>
        <v/>
      </c>
      <c r="C50" s="438">
        <f t="shared" ref="C50:C81" si="19">IFERROR(IF(QuellVersrg,IF($B50&lt;INT(H$5),0,IF($B50=INT(H$2),H$12,IF($B50&gt;INT(H$2),H$12*(1+H$9)^(IF($B50-H$5&lt;=0,0,$B50-IF(H$5&lt;H$2,H$2,H$5))),0))),0),0)</f>
        <v>0</v>
      </c>
      <c r="D50" s="438">
        <f t="shared" ref="D50:D81" si="20">IFERROR(IF(DRVPfl,IF($B50&lt;INT(I$5),0,IF($B50=INT(I$2),I$12,IF($B50&gt;INT(I$2),I$12*(1+I$9)^(IF($B50-I$5&lt;=0,0,$B50-IF(I$5&lt;I$2,I$2,I$5))),0))),0),0)</f>
        <v>0</v>
      </c>
      <c r="E50" s="438">
        <f t="shared" ref="E50:E81" si="21">IFERROR(IF(VersAusglKPfl,IF($B50&lt;INT(J$5),0,IF($B50=INT(J$2),J$12,IF($B50&gt;INT(J$2),J$12*(1+J$9)^(IF($B50-J$5&lt;=0,0,$B50-IF(J$5&lt;J$2,J$2,J$5))),0))),0),0)</f>
        <v>0</v>
      </c>
      <c r="F50" s="438">
        <f t="shared" ref="F50:F81" si="22">IFERROR(IF(SonstPfl,IF($B50&lt;INT(K$5),0,IF($B50=INT(K$2),K$12,IF($B50&gt;INT(K$2),K$12*(1+K$9)^(IF($B50-K$5&lt;=0,0,$B50-IF(K$5&lt;K$2,K$2,K$5))),0))),0),0)</f>
        <v>0</v>
      </c>
      <c r="G50" s="235"/>
      <c r="H50" s="439">
        <f t="shared" ref="H50:H81" si="23">C50*12*IF(AND(INT(H$5)=B50,H$5&gt;INT(H$5)),1-(H$5-INT(H$5)),1)</f>
        <v>0</v>
      </c>
      <c r="I50" s="439" t="e">
        <f t="shared" ref="I50:I81" si="24">D50*12*IF(AND(INT(I$5)=$B50,I$5&gt;INT(I$5)),1-(I$5-INT(I$5)),1)</f>
        <v>#VALUE!</v>
      </c>
      <c r="J50" s="439">
        <f t="shared" ref="J50:J81" si="25">E50*12*IF(AND(INT(J$5)=$B50,J$5&gt;INT(J$5)),1-(J$5-INT(J$5)),1)</f>
        <v>0</v>
      </c>
      <c r="K50" s="439">
        <f t="shared" ref="K50:K81" si="26">F50*12*IF(AND(INT(K$5)=$B50,K$5&gt;INT(K$5)),1-(K$5-INT(K$5)),1)</f>
        <v>0</v>
      </c>
      <c r="L50" s="631"/>
      <c r="M50" s="665" t="str">
        <f t="shared" si="15"/>
        <v/>
      </c>
      <c r="N50" s="439">
        <f t="shared" ref="N50:N81" si="27">IFERROR(IF(AND(VersBer,DRVAusglBerJa),IF($M50&lt;INT(O$5),0,IF($M50=INT(O$2),O$12,IF($M50&gt;INT(O$2),O$12*(1+O$9)^(IF($M50-O$5&lt;=0,0,$M50-IF(O$5&lt;O$2,O$2,O$5))),0))),0),0)</f>
        <v>0</v>
      </c>
      <c r="O50" s="439">
        <f t="shared" si="16"/>
        <v>0</v>
      </c>
      <c r="P50" s="439">
        <f t="shared" si="18"/>
        <v>0</v>
      </c>
      <c r="Q50" s="439">
        <f t="shared" si="18"/>
        <v>0</v>
      </c>
      <c r="R50" s="439">
        <f>IFERROR(IF(VerBer,IF($M50&lt;INT(R$5),0,IF($M50=INT(R$2),R$12,IF($M50&gt;INT(R$2),R$12*(1+R$9)^(IF($M50-R$5&lt;=0,0,$M50-IF(R$5&lt;R$2,R$2,R$5))),0))),0),0)</f>
        <v>0</v>
      </c>
      <c r="S50" s="211"/>
      <c r="U50" s="453">
        <f t="shared" si="17"/>
        <v>0</v>
      </c>
      <c r="V50" s="453">
        <f t="shared" si="13"/>
        <v>0</v>
      </c>
      <c r="W50" s="453">
        <f t="shared" si="14"/>
        <v>0</v>
      </c>
    </row>
    <row r="51" spans="1:23">
      <c r="A51" s="336"/>
      <c r="B51" s="236" t="str">
        <f t="shared" ref="B51:B82" si="28">IFERROR(IF(B50+1&lt;IF(Endalter=0,EndalterDRV,Endalter),B50+1,""),"")</f>
        <v/>
      </c>
      <c r="C51" s="438">
        <f t="shared" si="19"/>
        <v>0</v>
      </c>
      <c r="D51" s="438">
        <f t="shared" si="20"/>
        <v>0</v>
      </c>
      <c r="E51" s="438">
        <f t="shared" si="21"/>
        <v>0</v>
      </c>
      <c r="F51" s="438">
        <f t="shared" si="22"/>
        <v>0</v>
      </c>
      <c r="G51" s="235"/>
      <c r="H51" s="440">
        <f t="shared" si="23"/>
        <v>0</v>
      </c>
      <c r="I51" s="440" t="e">
        <f t="shared" si="24"/>
        <v>#VALUE!</v>
      </c>
      <c r="J51" s="440">
        <f t="shared" si="25"/>
        <v>0</v>
      </c>
      <c r="K51" s="440">
        <f t="shared" si="26"/>
        <v>0</v>
      </c>
      <c r="L51" s="632"/>
      <c r="M51" s="667" t="str">
        <f t="shared" si="15"/>
        <v/>
      </c>
      <c r="N51" s="440">
        <f t="shared" si="27"/>
        <v>0</v>
      </c>
      <c r="O51" s="440">
        <f t="shared" si="16"/>
        <v>0</v>
      </c>
      <c r="P51" s="440">
        <f t="shared" si="18"/>
        <v>0</v>
      </c>
      <c r="Q51" s="440">
        <f t="shared" si="18"/>
        <v>0</v>
      </c>
      <c r="R51" s="440">
        <f>IFERROR(IF(VerBer,IF($M51&lt;INT(R$5),0,IF($M51=INT(R$2),R$12,IF($M51&gt;INT(R$2),R$12*(1+R$9)^(IF($M51-R$5&lt;=0,0,$M51-IF(R$5&lt;R$2,R$2,R$5))),0))),0),0)</f>
        <v>0</v>
      </c>
      <c r="S51" s="211"/>
      <c r="U51" s="453">
        <f t="shared" si="17"/>
        <v>0</v>
      </c>
      <c r="V51" s="453">
        <f t="shared" si="13"/>
        <v>0</v>
      </c>
      <c r="W51" s="453">
        <f t="shared" si="14"/>
        <v>0</v>
      </c>
    </row>
    <row r="52" spans="1:23">
      <c r="A52" s="336"/>
      <c r="B52" s="236" t="str">
        <f t="shared" si="28"/>
        <v/>
      </c>
      <c r="C52" s="438">
        <f t="shared" si="19"/>
        <v>0</v>
      </c>
      <c r="D52" s="438">
        <f t="shared" si="20"/>
        <v>0</v>
      </c>
      <c r="E52" s="438">
        <f t="shared" si="21"/>
        <v>0</v>
      </c>
      <c r="F52" s="438">
        <f t="shared" si="22"/>
        <v>0</v>
      </c>
      <c r="G52" s="235"/>
      <c r="H52" s="439">
        <f t="shared" si="23"/>
        <v>0</v>
      </c>
      <c r="I52" s="439" t="e">
        <f t="shared" si="24"/>
        <v>#VALUE!</v>
      </c>
      <c r="J52" s="439">
        <f t="shared" si="25"/>
        <v>0</v>
      </c>
      <c r="K52" s="439">
        <f t="shared" si="26"/>
        <v>0</v>
      </c>
      <c r="L52" s="631"/>
      <c r="M52" s="665" t="str">
        <f t="shared" si="15"/>
        <v/>
      </c>
      <c r="N52" s="439">
        <f t="shared" si="27"/>
        <v>0</v>
      </c>
      <c r="O52" s="439">
        <f t="shared" si="16"/>
        <v>0</v>
      </c>
      <c r="P52" s="439">
        <f t="shared" si="18"/>
        <v>0</v>
      </c>
      <c r="Q52" s="439">
        <f t="shared" si="18"/>
        <v>0</v>
      </c>
      <c r="R52" s="439">
        <f>IFERROR(IF(VerBer,IF($M52&lt;INT(R$5),0,IF($M52=INT(R$2),R$12,IF($M52&gt;INT(R$2),R$12*(1+R$9)^(IF($M52-R$5&lt;=0,0,$M52-IF(R$5&lt;R$2,R$2,R$5))),0))),0),0)</f>
        <v>0</v>
      </c>
      <c r="S52" s="211"/>
      <c r="U52" s="453">
        <f t="shared" si="17"/>
        <v>0</v>
      </c>
      <c r="V52" s="453">
        <f t="shared" si="13"/>
        <v>0</v>
      </c>
      <c r="W52" s="453">
        <f t="shared" si="14"/>
        <v>0</v>
      </c>
    </row>
    <row r="53" spans="1:23">
      <c r="A53" s="336"/>
      <c r="B53" s="236" t="str">
        <f t="shared" si="28"/>
        <v/>
      </c>
      <c r="C53" s="438">
        <f t="shared" si="19"/>
        <v>0</v>
      </c>
      <c r="D53" s="438">
        <f t="shared" si="20"/>
        <v>0</v>
      </c>
      <c r="E53" s="438">
        <f t="shared" si="21"/>
        <v>0</v>
      </c>
      <c r="F53" s="438">
        <f t="shared" si="22"/>
        <v>0</v>
      </c>
      <c r="G53" s="235"/>
      <c r="H53" s="440">
        <f t="shared" si="23"/>
        <v>0</v>
      </c>
      <c r="I53" s="440" t="e">
        <f t="shared" si="24"/>
        <v>#VALUE!</v>
      </c>
      <c r="J53" s="440">
        <f t="shared" si="25"/>
        <v>0</v>
      </c>
      <c r="K53" s="440">
        <f t="shared" si="26"/>
        <v>0</v>
      </c>
      <c r="L53" s="632"/>
      <c r="M53" s="667" t="str">
        <f t="shared" si="15"/>
        <v/>
      </c>
      <c r="N53" s="440">
        <f t="shared" si="27"/>
        <v>0</v>
      </c>
      <c r="O53" s="440">
        <f t="shared" si="16"/>
        <v>0</v>
      </c>
      <c r="P53" s="440">
        <f t="shared" si="18"/>
        <v>0</v>
      </c>
      <c r="Q53" s="440">
        <f t="shared" si="18"/>
        <v>0</v>
      </c>
      <c r="R53" s="440">
        <f>IFERROR(IF(VerBer,IF($M53&lt;INT(R$5),0,IF($M53=INT(R$2),R$12,IF($M53&gt;INT(R$2),R$12*(1+R$9)^(IF($M53-R$5&lt;=0,0,$M53-IF(R$5&lt;R$2,R$2,R$5))),0))),0),0)</f>
        <v>0</v>
      </c>
      <c r="S53" s="211"/>
      <c r="U53" s="453">
        <f t="shared" si="17"/>
        <v>0</v>
      </c>
      <c r="V53" s="453">
        <f t="shared" si="13"/>
        <v>0</v>
      </c>
      <c r="W53" s="453">
        <f t="shared" si="14"/>
        <v>0</v>
      </c>
    </row>
    <row r="54" spans="1:23">
      <c r="A54" s="336"/>
      <c r="B54" s="236" t="str">
        <f t="shared" si="28"/>
        <v/>
      </c>
      <c r="C54" s="438">
        <f t="shared" si="19"/>
        <v>0</v>
      </c>
      <c r="D54" s="438">
        <f t="shared" si="20"/>
        <v>0</v>
      </c>
      <c r="E54" s="438">
        <f t="shared" si="21"/>
        <v>0</v>
      </c>
      <c r="F54" s="438">
        <f t="shared" si="22"/>
        <v>0</v>
      </c>
      <c r="G54" s="235"/>
      <c r="H54" s="439">
        <f t="shared" si="23"/>
        <v>0</v>
      </c>
      <c r="I54" s="439" t="e">
        <f t="shared" si="24"/>
        <v>#VALUE!</v>
      </c>
      <c r="J54" s="439">
        <f t="shared" si="25"/>
        <v>0</v>
      </c>
      <c r="K54" s="439">
        <f t="shared" si="26"/>
        <v>0</v>
      </c>
      <c r="L54" s="631"/>
      <c r="M54" s="665" t="str">
        <f t="shared" si="15"/>
        <v/>
      </c>
      <c r="N54" s="439">
        <f t="shared" si="27"/>
        <v>0</v>
      </c>
      <c r="O54" s="439">
        <f t="shared" si="16"/>
        <v>0</v>
      </c>
      <c r="P54" s="439">
        <f t="shared" si="18"/>
        <v>0</v>
      </c>
      <c r="Q54" s="439">
        <f t="shared" si="18"/>
        <v>0</v>
      </c>
      <c r="R54" s="439">
        <f>IFERROR(IF(VerBer,IF($M54&lt;INT(R$5),0,IF($M54=INT(R$2),R$12,IF($M54&gt;INT(R$2),R$12*(1+R$9)^(IF($M54-R$5&lt;=0,0,$M54-IF(R$5&lt;R$2,R$2,R$5))),0))),0),0)</f>
        <v>0</v>
      </c>
      <c r="S54" s="211"/>
      <c r="U54" s="453">
        <f t="shared" si="17"/>
        <v>0</v>
      </c>
      <c r="V54" s="453">
        <f t="shared" si="13"/>
        <v>0</v>
      </c>
      <c r="W54" s="453">
        <f t="shared" si="14"/>
        <v>0</v>
      </c>
    </row>
    <row r="55" spans="1:23">
      <c r="A55" s="336"/>
      <c r="B55" s="236" t="str">
        <f t="shared" si="28"/>
        <v/>
      </c>
      <c r="C55" s="438">
        <f t="shared" si="19"/>
        <v>0</v>
      </c>
      <c r="D55" s="438">
        <f t="shared" si="20"/>
        <v>0</v>
      </c>
      <c r="E55" s="438">
        <f t="shared" si="21"/>
        <v>0</v>
      </c>
      <c r="F55" s="438">
        <f t="shared" si="22"/>
        <v>0</v>
      </c>
      <c r="G55" s="235"/>
      <c r="H55" s="440">
        <f t="shared" si="23"/>
        <v>0</v>
      </c>
      <c r="I55" s="440" t="e">
        <f t="shared" si="24"/>
        <v>#VALUE!</v>
      </c>
      <c r="J55" s="440">
        <f t="shared" si="25"/>
        <v>0</v>
      </c>
      <c r="K55" s="440">
        <f t="shared" si="26"/>
        <v>0</v>
      </c>
      <c r="L55" s="632"/>
      <c r="M55" s="667" t="str">
        <f t="shared" si="15"/>
        <v/>
      </c>
      <c r="N55" s="440">
        <f t="shared" si="27"/>
        <v>0</v>
      </c>
      <c r="O55" s="440">
        <f t="shared" si="16"/>
        <v>0</v>
      </c>
      <c r="P55" s="440">
        <f t="shared" si="18"/>
        <v>0</v>
      </c>
      <c r="Q55" s="440">
        <f t="shared" si="18"/>
        <v>0</v>
      </c>
      <c r="R55" s="440">
        <f>IFERROR(IF(VerBer,IF($M55&lt;INT(R$5),0,IF($M55=INT(R$2),R$12,IF($M55&gt;INT(R$2),R$12*(1+R$9)^(IF($M55-R$5&lt;=0,0,$M55-IF(R$5&lt;R$2,R$2,R$5))),0))),0),0)</f>
        <v>0</v>
      </c>
      <c r="S55" s="211"/>
      <c r="U55" s="453">
        <f t="shared" si="17"/>
        <v>0</v>
      </c>
      <c r="V55" s="453">
        <f t="shared" si="13"/>
        <v>0</v>
      </c>
      <c r="W55" s="453">
        <f t="shared" si="14"/>
        <v>0</v>
      </c>
    </row>
    <row r="56" spans="1:23">
      <c r="A56" s="336"/>
      <c r="B56" s="236" t="str">
        <f t="shared" si="28"/>
        <v/>
      </c>
      <c r="C56" s="438">
        <f t="shared" si="19"/>
        <v>0</v>
      </c>
      <c r="D56" s="438">
        <f t="shared" si="20"/>
        <v>0</v>
      </c>
      <c r="E56" s="438">
        <f t="shared" si="21"/>
        <v>0</v>
      </c>
      <c r="F56" s="438">
        <f t="shared" si="22"/>
        <v>0</v>
      </c>
      <c r="G56" s="235"/>
      <c r="H56" s="439">
        <f t="shared" si="23"/>
        <v>0</v>
      </c>
      <c r="I56" s="439" t="e">
        <f t="shared" si="24"/>
        <v>#VALUE!</v>
      </c>
      <c r="J56" s="439">
        <f t="shared" si="25"/>
        <v>0</v>
      </c>
      <c r="K56" s="439">
        <f t="shared" si="26"/>
        <v>0</v>
      </c>
      <c r="L56" s="631"/>
      <c r="M56" s="665" t="str">
        <f t="shared" si="15"/>
        <v/>
      </c>
      <c r="N56" s="439">
        <f t="shared" si="27"/>
        <v>0</v>
      </c>
      <c r="O56" s="439">
        <f t="shared" si="16"/>
        <v>0</v>
      </c>
      <c r="P56" s="439">
        <f t="shared" si="18"/>
        <v>0</v>
      </c>
      <c r="Q56" s="439">
        <f t="shared" si="18"/>
        <v>0</v>
      </c>
      <c r="R56" s="439">
        <f>IFERROR(IF(VerBer,IF($M56&lt;INT(R$5),0,IF($M56=INT(R$2),R$12,IF($M56&gt;INT(R$2),R$12*(1+R$9)^(IF($M56-R$5&lt;=0,0,$M56-IF(R$5&lt;R$2,R$2,R$5))),0))),0),0)</f>
        <v>0</v>
      </c>
      <c r="S56" s="211"/>
      <c r="U56" s="453">
        <f t="shared" si="17"/>
        <v>0</v>
      </c>
      <c r="V56" s="453">
        <f t="shared" si="13"/>
        <v>0</v>
      </c>
      <c r="W56" s="453">
        <f t="shared" si="14"/>
        <v>0</v>
      </c>
    </row>
    <row r="57" spans="1:23">
      <c r="A57" s="336"/>
      <c r="B57" s="236" t="str">
        <f t="shared" si="28"/>
        <v/>
      </c>
      <c r="C57" s="438">
        <f t="shared" si="19"/>
        <v>0</v>
      </c>
      <c r="D57" s="438">
        <f t="shared" si="20"/>
        <v>0</v>
      </c>
      <c r="E57" s="438">
        <f t="shared" si="21"/>
        <v>0</v>
      </c>
      <c r="F57" s="438">
        <f t="shared" si="22"/>
        <v>0</v>
      </c>
      <c r="G57" s="235"/>
      <c r="H57" s="440">
        <f t="shared" si="23"/>
        <v>0</v>
      </c>
      <c r="I57" s="440" t="e">
        <f t="shared" si="24"/>
        <v>#VALUE!</v>
      </c>
      <c r="J57" s="440">
        <f t="shared" si="25"/>
        <v>0</v>
      </c>
      <c r="K57" s="440">
        <f t="shared" si="26"/>
        <v>0</v>
      </c>
      <c r="L57" s="632"/>
      <c r="M57" s="667" t="str">
        <f t="shared" si="15"/>
        <v/>
      </c>
      <c r="N57" s="440">
        <f t="shared" si="27"/>
        <v>0</v>
      </c>
      <c r="O57" s="440">
        <f t="shared" si="16"/>
        <v>0</v>
      </c>
      <c r="P57" s="440">
        <f t="shared" si="18"/>
        <v>0</v>
      </c>
      <c r="Q57" s="440">
        <f t="shared" si="18"/>
        <v>0</v>
      </c>
      <c r="R57" s="440">
        <f>IFERROR(IF(VerBer,IF($M57&lt;INT(R$5),0,IF($M57=INT(R$2),R$12,IF($M57&gt;INT(R$2),R$12*(1+R$9)^(IF($M57-R$5&lt;=0,0,$M57-IF(R$5&lt;R$2,R$2,R$5))),0))),0),0)</f>
        <v>0</v>
      </c>
      <c r="S57" s="211"/>
      <c r="U57" s="453">
        <f t="shared" si="17"/>
        <v>0</v>
      </c>
      <c r="V57" s="453">
        <f t="shared" si="13"/>
        <v>0</v>
      </c>
      <c r="W57" s="453">
        <f t="shared" si="14"/>
        <v>0</v>
      </c>
    </row>
    <row r="58" spans="1:23">
      <c r="A58" s="336"/>
      <c r="B58" s="236" t="str">
        <f t="shared" si="28"/>
        <v/>
      </c>
      <c r="C58" s="438">
        <f t="shared" si="19"/>
        <v>0</v>
      </c>
      <c r="D58" s="438">
        <f t="shared" si="20"/>
        <v>0</v>
      </c>
      <c r="E58" s="438">
        <f t="shared" si="21"/>
        <v>0</v>
      </c>
      <c r="F58" s="438">
        <f t="shared" si="22"/>
        <v>0</v>
      </c>
      <c r="G58" s="235"/>
      <c r="H58" s="439">
        <f t="shared" si="23"/>
        <v>0</v>
      </c>
      <c r="I58" s="439" t="e">
        <f t="shared" si="24"/>
        <v>#VALUE!</v>
      </c>
      <c r="J58" s="439">
        <f t="shared" si="25"/>
        <v>0</v>
      </c>
      <c r="K58" s="439">
        <f t="shared" si="26"/>
        <v>0</v>
      </c>
      <c r="L58" s="631"/>
      <c r="M58" s="665" t="str">
        <f t="shared" si="15"/>
        <v/>
      </c>
      <c r="N58" s="439">
        <f t="shared" si="27"/>
        <v>0</v>
      </c>
      <c r="O58" s="439">
        <f t="shared" si="16"/>
        <v>0</v>
      </c>
      <c r="P58" s="439">
        <f t="shared" ref="P58:Q70" si="29">IFERROR(IF(VersBer,IF($M58&lt;INT(P$5),0,IF($M58=INT(P$2),P$12,IF($M58&gt;INT(P$2),P$12*(1+P$9)^(IF($M58-P$5&lt;=0,0,$M58-IF(P$5&lt;P$2,P$2,P$5))),0))),0),0)</f>
        <v>0</v>
      </c>
      <c r="Q58" s="439">
        <f t="shared" si="29"/>
        <v>0</v>
      </c>
      <c r="R58" s="439">
        <f>IFERROR(IF(VerBer,IF($M58&lt;INT(R$5),0,IF($M58=INT(R$2),R$12,IF($M58&gt;INT(R$2),R$12*(1+R$9)^(IF($M58-R$5&lt;=0,0,$M58-IF(R$5&lt;R$2,R$2,R$5))),0))),0),0)</f>
        <v>0</v>
      </c>
      <c r="S58" s="211"/>
      <c r="U58" s="453">
        <f t="shared" si="17"/>
        <v>0</v>
      </c>
      <c r="V58" s="453">
        <f t="shared" si="13"/>
        <v>0</v>
      </c>
      <c r="W58" s="453">
        <f t="shared" si="14"/>
        <v>0</v>
      </c>
    </row>
    <row r="59" spans="1:23">
      <c r="A59" s="336"/>
      <c r="B59" s="236" t="str">
        <f t="shared" si="28"/>
        <v/>
      </c>
      <c r="C59" s="438">
        <f t="shared" si="19"/>
        <v>0</v>
      </c>
      <c r="D59" s="438">
        <f t="shared" si="20"/>
        <v>0</v>
      </c>
      <c r="E59" s="438">
        <f t="shared" si="21"/>
        <v>0</v>
      </c>
      <c r="F59" s="438">
        <f t="shared" si="22"/>
        <v>0</v>
      </c>
      <c r="G59" s="235"/>
      <c r="H59" s="440">
        <f t="shared" si="23"/>
        <v>0</v>
      </c>
      <c r="I59" s="440" t="e">
        <f t="shared" si="24"/>
        <v>#VALUE!</v>
      </c>
      <c r="J59" s="440">
        <f t="shared" si="25"/>
        <v>0</v>
      </c>
      <c r="K59" s="440">
        <f t="shared" si="26"/>
        <v>0</v>
      </c>
      <c r="L59" s="632"/>
      <c r="M59" s="667" t="str">
        <f t="shared" si="15"/>
        <v/>
      </c>
      <c r="N59" s="440">
        <f t="shared" si="27"/>
        <v>0</v>
      </c>
      <c r="O59" s="440">
        <f t="shared" si="16"/>
        <v>0</v>
      </c>
      <c r="P59" s="440">
        <f t="shared" si="29"/>
        <v>0</v>
      </c>
      <c r="Q59" s="440">
        <f t="shared" si="29"/>
        <v>0</v>
      </c>
      <c r="R59" s="440">
        <f>IFERROR(IF(VerBer,IF($M59&lt;INT(R$5),0,IF($M59=INT(R$2),R$12,IF($M59&gt;INT(R$2),R$12*(1+R$9)^(IF($M59-R$5&lt;=0,0,$M59-IF(R$5&lt;R$2,R$2,R$5))),0))),0),0)</f>
        <v>0</v>
      </c>
      <c r="S59" s="211"/>
      <c r="U59" s="453">
        <f t="shared" si="17"/>
        <v>0</v>
      </c>
      <c r="V59" s="453">
        <f t="shared" si="13"/>
        <v>0</v>
      </c>
      <c r="W59" s="453">
        <f t="shared" si="14"/>
        <v>0</v>
      </c>
    </row>
    <row r="60" spans="1:23">
      <c r="A60" s="336"/>
      <c r="B60" s="236" t="str">
        <f t="shared" si="28"/>
        <v/>
      </c>
      <c r="C60" s="438">
        <f t="shared" si="19"/>
        <v>0</v>
      </c>
      <c r="D60" s="438">
        <f t="shared" si="20"/>
        <v>0</v>
      </c>
      <c r="E60" s="438">
        <f t="shared" si="21"/>
        <v>0</v>
      </c>
      <c r="F60" s="438">
        <f t="shared" si="22"/>
        <v>0</v>
      </c>
      <c r="G60" s="235"/>
      <c r="H60" s="439">
        <f t="shared" si="23"/>
        <v>0</v>
      </c>
      <c r="I60" s="439" t="e">
        <f t="shared" si="24"/>
        <v>#VALUE!</v>
      </c>
      <c r="J60" s="439">
        <f t="shared" si="25"/>
        <v>0</v>
      </c>
      <c r="K60" s="439">
        <f t="shared" si="26"/>
        <v>0</v>
      </c>
      <c r="L60" s="631"/>
      <c r="M60" s="665" t="str">
        <f t="shared" si="15"/>
        <v/>
      </c>
      <c r="N60" s="439">
        <f t="shared" si="27"/>
        <v>0</v>
      </c>
      <c r="O60" s="439">
        <f t="shared" si="16"/>
        <v>0</v>
      </c>
      <c r="P60" s="439">
        <f t="shared" si="29"/>
        <v>0</v>
      </c>
      <c r="Q60" s="439">
        <f t="shared" si="29"/>
        <v>0</v>
      </c>
      <c r="R60" s="439">
        <f>IFERROR(IF(VerBer,IF($M60&lt;INT(R$5),0,IF($M60=INT(R$2),R$12,IF($M60&gt;INT(R$2),R$12*(1+R$9)^(IF($M60-R$5&lt;=0,0,$M60-IF(R$5&lt;R$2,R$2,R$5))),0))),0),0)</f>
        <v>0</v>
      </c>
      <c r="S60" s="211"/>
      <c r="U60" s="453">
        <f t="shared" si="17"/>
        <v>0</v>
      </c>
      <c r="V60" s="453">
        <f t="shared" si="13"/>
        <v>0</v>
      </c>
      <c r="W60" s="453">
        <f t="shared" si="14"/>
        <v>0</v>
      </c>
    </row>
    <row r="61" spans="1:23">
      <c r="A61" s="336"/>
      <c r="B61" s="236" t="str">
        <f t="shared" si="28"/>
        <v/>
      </c>
      <c r="C61" s="438">
        <f t="shared" si="19"/>
        <v>0</v>
      </c>
      <c r="D61" s="438">
        <f t="shared" si="20"/>
        <v>0</v>
      </c>
      <c r="E61" s="438">
        <f t="shared" si="21"/>
        <v>0</v>
      </c>
      <c r="F61" s="438">
        <f t="shared" si="22"/>
        <v>0</v>
      </c>
      <c r="G61" s="235"/>
      <c r="H61" s="440">
        <f t="shared" si="23"/>
        <v>0</v>
      </c>
      <c r="I61" s="440" t="e">
        <f t="shared" si="24"/>
        <v>#VALUE!</v>
      </c>
      <c r="J61" s="440">
        <f t="shared" si="25"/>
        <v>0</v>
      </c>
      <c r="K61" s="440">
        <f t="shared" si="26"/>
        <v>0</v>
      </c>
      <c r="L61" s="632"/>
      <c r="M61" s="667" t="str">
        <f t="shared" si="15"/>
        <v/>
      </c>
      <c r="N61" s="440">
        <f t="shared" si="27"/>
        <v>0</v>
      </c>
      <c r="O61" s="440">
        <f t="shared" si="16"/>
        <v>0</v>
      </c>
      <c r="P61" s="440">
        <f t="shared" si="29"/>
        <v>0</v>
      </c>
      <c r="Q61" s="440">
        <f t="shared" si="29"/>
        <v>0</v>
      </c>
      <c r="R61" s="440">
        <f>IFERROR(IF(VerBer,IF($M61&lt;INT(R$5),0,IF($M61=INT(R$2),R$12,IF($M61&gt;INT(R$2),R$12*(1+R$9)^(IF($M61-R$5&lt;=0,0,$M61-IF(R$5&lt;R$2,R$2,R$5))),0))),0),0)</f>
        <v>0</v>
      </c>
      <c r="S61" s="211"/>
      <c r="U61" s="453">
        <f t="shared" si="17"/>
        <v>0</v>
      </c>
      <c r="V61" s="453">
        <f t="shared" si="13"/>
        <v>0</v>
      </c>
      <c r="W61" s="453">
        <f t="shared" si="14"/>
        <v>0</v>
      </c>
    </row>
    <row r="62" spans="1:23">
      <c r="A62" s="336"/>
      <c r="B62" s="236" t="str">
        <f t="shared" si="28"/>
        <v/>
      </c>
      <c r="C62" s="438">
        <f t="shared" si="19"/>
        <v>0</v>
      </c>
      <c r="D62" s="438">
        <f t="shared" si="20"/>
        <v>0</v>
      </c>
      <c r="E62" s="438">
        <f t="shared" si="21"/>
        <v>0</v>
      </c>
      <c r="F62" s="438">
        <f t="shared" si="22"/>
        <v>0</v>
      </c>
      <c r="G62" s="235"/>
      <c r="H62" s="439">
        <f t="shared" si="23"/>
        <v>0</v>
      </c>
      <c r="I62" s="439" t="e">
        <f t="shared" si="24"/>
        <v>#VALUE!</v>
      </c>
      <c r="J62" s="439">
        <f t="shared" si="25"/>
        <v>0</v>
      </c>
      <c r="K62" s="439">
        <f t="shared" si="26"/>
        <v>0</v>
      </c>
      <c r="L62" s="631"/>
      <c r="M62" s="665" t="str">
        <f t="shared" si="15"/>
        <v/>
      </c>
      <c r="N62" s="439">
        <f t="shared" si="27"/>
        <v>0</v>
      </c>
      <c r="O62" s="439">
        <f t="shared" si="16"/>
        <v>0</v>
      </c>
      <c r="P62" s="439">
        <f t="shared" si="29"/>
        <v>0</v>
      </c>
      <c r="Q62" s="439">
        <f t="shared" si="29"/>
        <v>0</v>
      </c>
      <c r="R62" s="439">
        <f>IFERROR(IF(VerBer,IF($M62&lt;INT(R$5),0,IF($M62=INT(R$2),R$12,IF($M62&gt;INT(R$2),R$12*(1+R$9)^(IF($M62-R$5&lt;=0,0,$M62-IF(R$5&lt;R$2,R$2,R$5))),0))),0),0)</f>
        <v>0</v>
      </c>
      <c r="S62" s="211"/>
      <c r="U62" s="453">
        <f t="shared" si="17"/>
        <v>0</v>
      </c>
      <c r="V62" s="453">
        <f t="shared" si="13"/>
        <v>0</v>
      </c>
      <c r="W62" s="453">
        <f t="shared" si="14"/>
        <v>0</v>
      </c>
    </row>
    <row r="63" spans="1:23">
      <c r="A63" s="336"/>
      <c r="B63" s="236" t="str">
        <f t="shared" si="28"/>
        <v/>
      </c>
      <c r="C63" s="438">
        <f t="shared" si="19"/>
        <v>0</v>
      </c>
      <c r="D63" s="438">
        <f t="shared" si="20"/>
        <v>0</v>
      </c>
      <c r="E63" s="438">
        <f t="shared" si="21"/>
        <v>0</v>
      </c>
      <c r="F63" s="438">
        <f t="shared" si="22"/>
        <v>0</v>
      </c>
      <c r="G63" s="235"/>
      <c r="H63" s="440">
        <f t="shared" si="23"/>
        <v>0</v>
      </c>
      <c r="I63" s="440" t="e">
        <f t="shared" si="24"/>
        <v>#VALUE!</v>
      </c>
      <c r="J63" s="440">
        <f t="shared" si="25"/>
        <v>0</v>
      </c>
      <c r="K63" s="440">
        <f t="shared" si="26"/>
        <v>0</v>
      </c>
      <c r="L63" s="632"/>
      <c r="M63" s="667" t="str">
        <f t="shared" si="15"/>
        <v/>
      </c>
      <c r="N63" s="440">
        <f t="shared" si="27"/>
        <v>0</v>
      </c>
      <c r="O63" s="440">
        <f t="shared" si="16"/>
        <v>0</v>
      </c>
      <c r="P63" s="440">
        <f t="shared" si="29"/>
        <v>0</v>
      </c>
      <c r="Q63" s="440">
        <f t="shared" si="29"/>
        <v>0</v>
      </c>
      <c r="R63" s="440">
        <f>IFERROR(IF(VerBer,IF($M63&lt;INT(R$5),0,IF($M63=INT(R$2),R$12,IF($M63&gt;INT(R$2),R$12*(1+R$9)^(IF($M63-R$5&lt;=0,0,$M63-IF(R$5&lt;R$2,R$2,R$5))),0))),0),0)</f>
        <v>0</v>
      </c>
      <c r="S63" s="211"/>
      <c r="U63" s="453">
        <f t="shared" si="17"/>
        <v>0</v>
      </c>
      <c r="V63" s="453">
        <f t="shared" si="13"/>
        <v>0</v>
      </c>
      <c r="W63" s="453">
        <f t="shared" si="14"/>
        <v>0</v>
      </c>
    </row>
    <row r="64" spans="1:23">
      <c r="A64" s="336"/>
      <c r="B64" s="236" t="str">
        <f t="shared" si="28"/>
        <v/>
      </c>
      <c r="C64" s="438">
        <f t="shared" si="19"/>
        <v>0</v>
      </c>
      <c r="D64" s="438">
        <f t="shared" si="20"/>
        <v>0</v>
      </c>
      <c r="E64" s="438">
        <f t="shared" si="21"/>
        <v>0</v>
      </c>
      <c r="F64" s="438">
        <f t="shared" si="22"/>
        <v>0</v>
      </c>
      <c r="G64" s="235"/>
      <c r="H64" s="439">
        <f t="shared" si="23"/>
        <v>0</v>
      </c>
      <c r="I64" s="439" t="e">
        <f t="shared" si="24"/>
        <v>#VALUE!</v>
      </c>
      <c r="J64" s="439">
        <f t="shared" si="25"/>
        <v>0</v>
      </c>
      <c r="K64" s="439">
        <f t="shared" si="26"/>
        <v>0</v>
      </c>
      <c r="L64" s="631"/>
      <c r="M64" s="665" t="str">
        <f t="shared" si="15"/>
        <v/>
      </c>
      <c r="N64" s="439">
        <f t="shared" si="27"/>
        <v>0</v>
      </c>
      <c r="O64" s="439">
        <f t="shared" si="16"/>
        <v>0</v>
      </c>
      <c r="P64" s="439">
        <f t="shared" si="29"/>
        <v>0</v>
      </c>
      <c r="Q64" s="439">
        <f t="shared" si="29"/>
        <v>0</v>
      </c>
      <c r="R64" s="439">
        <f>IFERROR(IF(VerBer,IF($M64&lt;INT(R$5),0,IF($M64=INT(R$2),R$12,IF($M64&gt;INT(R$2),R$12*(1+R$9)^(IF($M64-R$5&lt;=0,0,$M64-IF(R$5&lt;R$2,R$2,R$5))),0))),0),0)</f>
        <v>0</v>
      </c>
      <c r="S64" s="211"/>
      <c r="U64" s="453">
        <f t="shared" si="17"/>
        <v>0</v>
      </c>
      <c r="V64" s="453">
        <f t="shared" si="13"/>
        <v>0</v>
      </c>
      <c r="W64" s="453">
        <f t="shared" si="14"/>
        <v>0</v>
      </c>
    </row>
    <row r="65" spans="1:23">
      <c r="A65" s="336"/>
      <c r="B65" s="236" t="str">
        <f t="shared" si="28"/>
        <v/>
      </c>
      <c r="C65" s="438">
        <f t="shared" si="19"/>
        <v>0</v>
      </c>
      <c r="D65" s="438">
        <f t="shared" si="20"/>
        <v>0</v>
      </c>
      <c r="E65" s="438">
        <f t="shared" si="21"/>
        <v>0</v>
      </c>
      <c r="F65" s="438">
        <f t="shared" si="22"/>
        <v>0</v>
      </c>
      <c r="G65" s="235"/>
      <c r="H65" s="440">
        <f t="shared" si="23"/>
        <v>0</v>
      </c>
      <c r="I65" s="440" t="e">
        <f t="shared" si="24"/>
        <v>#VALUE!</v>
      </c>
      <c r="J65" s="440">
        <f t="shared" si="25"/>
        <v>0</v>
      </c>
      <c r="K65" s="440">
        <f t="shared" si="26"/>
        <v>0</v>
      </c>
      <c r="L65" s="632"/>
      <c r="M65" s="667" t="str">
        <f t="shared" si="15"/>
        <v/>
      </c>
      <c r="N65" s="440">
        <f t="shared" si="27"/>
        <v>0</v>
      </c>
      <c r="O65" s="440">
        <f t="shared" si="16"/>
        <v>0</v>
      </c>
      <c r="P65" s="440">
        <f t="shared" si="29"/>
        <v>0</v>
      </c>
      <c r="Q65" s="440">
        <f t="shared" si="29"/>
        <v>0</v>
      </c>
      <c r="R65" s="440">
        <f>IFERROR(IF(VerBer,IF($M65&lt;INT(R$5),0,IF($M65=INT(R$2),R$12,IF($M65&gt;INT(R$2),R$12*(1+R$9)^(IF($M65-R$5&lt;=0,0,$M65-IF(R$5&lt;R$2,R$2,R$5))),0))),0),0)</f>
        <v>0</v>
      </c>
      <c r="S65" s="211"/>
      <c r="U65" s="453">
        <f t="shared" si="17"/>
        <v>0</v>
      </c>
      <c r="V65" s="453">
        <f t="shared" si="13"/>
        <v>0</v>
      </c>
      <c r="W65" s="453">
        <f t="shared" si="14"/>
        <v>0</v>
      </c>
    </row>
    <row r="66" spans="1:23">
      <c r="A66" s="336"/>
      <c r="B66" s="236" t="str">
        <f t="shared" si="28"/>
        <v/>
      </c>
      <c r="C66" s="438">
        <f t="shared" si="19"/>
        <v>0</v>
      </c>
      <c r="D66" s="438">
        <f t="shared" si="20"/>
        <v>0</v>
      </c>
      <c r="E66" s="438">
        <f t="shared" si="21"/>
        <v>0</v>
      </c>
      <c r="F66" s="438">
        <f t="shared" si="22"/>
        <v>0</v>
      </c>
      <c r="G66" s="235"/>
      <c r="H66" s="439">
        <f t="shared" si="23"/>
        <v>0</v>
      </c>
      <c r="I66" s="439" t="e">
        <f t="shared" si="24"/>
        <v>#VALUE!</v>
      </c>
      <c r="J66" s="439">
        <f t="shared" si="25"/>
        <v>0</v>
      </c>
      <c r="K66" s="439">
        <f t="shared" si="26"/>
        <v>0</v>
      </c>
      <c r="L66" s="631"/>
      <c r="M66" s="665" t="str">
        <f t="shared" si="15"/>
        <v/>
      </c>
      <c r="N66" s="439">
        <f t="shared" si="27"/>
        <v>0</v>
      </c>
      <c r="O66" s="439">
        <f t="shared" si="16"/>
        <v>0</v>
      </c>
      <c r="P66" s="439">
        <f t="shared" si="29"/>
        <v>0</v>
      </c>
      <c r="Q66" s="439">
        <f t="shared" si="29"/>
        <v>0</v>
      </c>
      <c r="R66" s="439">
        <f>IFERROR(IF(VerBer,IF($M66&lt;INT(R$5),0,IF($M66=INT(R$2),R$12,IF($M66&gt;INT(R$2),R$12*(1+R$9)^(IF($M66-R$5&lt;=0,0,$M66-IF(R$5&lt;R$2,R$2,R$5))),0))),0),0)</f>
        <v>0</v>
      </c>
      <c r="S66" s="211"/>
      <c r="U66" s="453">
        <f t="shared" si="17"/>
        <v>0</v>
      </c>
      <c r="V66" s="453">
        <f t="shared" si="13"/>
        <v>0</v>
      </c>
      <c r="W66" s="453">
        <f t="shared" si="14"/>
        <v>0</v>
      </c>
    </row>
    <row r="67" spans="1:23">
      <c r="A67" s="336"/>
      <c r="B67" s="236" t="str">
        <f t="shared" si="28"/>
        <v/>
      </c>
      <c r="C67" s="438">
        <f t="shared" si="19"/>
        <v>0</v>
      </c>
      <c r="D67" s="438">
        <f t="shared" si="20"/>
        <v>0</v>
      </c>
      <c r="E67" s="438">
        <f t="shared" si="21"/>
        <v>0</v>
      </c>
      <c r="F67" s="438">
        <f t="shared" si="22"/>
        <v>0</v>
      </c>
      <c r="G67" s="235"/>
      <c r="H67" s="440">
        <f t="shared" si="23"/>
        <v>0</v>
      </c>
      <c r="I67" s="440" t="e">
        <f t="shared" si="24"/>
        <v>#VALUE!</v>
      </c>
      <c r="J67" s="440">
        <f t="shared" si="25"/>
        <v>0</v>
      </c>
      <c r="K67" s="440">
        <f t="shared" si="26"/>
        <v>0</v>
      </c>
      <c r="L67" s="632"/>
      <c r="M67" s="667" t="str">
        <f t="shared" si="15"/>
        <v/>
      </c>
      <c r="N67" s="440">
        <f t="shared" si="27"/>
        <v>0</v>
      </c>
      <c r="O67" s="440">
        <f t="shared" si="16"/>
        <v>0</v>
      </c>
      <c r="P67" s="440">
        <f t="shared" si="29"/>
        <v>0</v>
      </c>
      <c r="Q67" s="440">
        <f t="shared" si="29"/>
        <v>0</v>
      </c>
      <c r="R67" s="440">
        <f>IFERROR(IF(VerBer,IF($M67&lt;INT(R$5),0,IF($M67=INT(R$2),R$12,IF($M67&gt;INT(R$2),R$12*(1+R$9)^(IF($M67-R$5&lt;=0,0,$M67-IF(R$5&lt;R$2,R$2,R$5))),0))),0),0)</f>
        <v>0</v>
      </c>
      <c r="S67" s="211"/>
      <c r="U67" s="453">
        <f t="shared" si="17"/>
        <v>0</v>
      </c>
      <c r="V67" s="453">
        <f t="shared" si="13"/>
        <v>0</v>
      </c>
      <c r="W67" s="453">
        <f t="shared" si="14"/>
        <v>0</v>
      </c>
    </row>
    <row r="68" spans="1:23">
      <c r="A68" s="336"/>
      <c r="B68" s="236" t="str">
        <f t="shared" si="28"/>
        <v/>
      </c>
      <c r="C68" s="438">
        <f t="shared" si="19"/>
        <v>0</v>
      </c>
      <c r="D68" s="438">
        <f t="shared" si="20"/>
        <v>0</v>
      </c>
      <c r="E68" s="438">
        <f t="shared" si="21"/>
        <v>0</v>
      </c>
      <c r="F68" s="438">
        <f t="shared" si="22"/>
        <v>0</v>
      </c>
      <c r="G68" s="235"/>
      <c r="H68" s="439">
        <f t="shared" si="23"/>
        <v>0</v>
      </c>
      <c r="I68" s="439" t="e">
        <f t="shared" si="24"/>
        <v>#VALUE!</v>
      </c>
      <c r="J68" s="439">
        <f t="shared" si="25"/>
        <v>0</v>
      </c>
      <c r="K68" s="439">
        <f t="shared" si="26"/>
        <v>0</v>
      </c>
      <c r="L68" s="631"/>
      <c r="M68" s="665" t="str">
        <f t="shared" si="15"/>
        <v/>
      </c>
      <c r="N68" s="439">
        <f t="shared" si="27"/>
        <v>0</v>
      </c>
      <c r="O68" s="439">
        <f t="shared" si="16"/>
        <v>0</v>
      </c>
      <c r="P68" s="439">
        <f t="shared" si="29"/>
        <v>0</v>
      </c>
      <c r="Q68" s="439">
        <f t="shared" si="29"/>
        <v>0</v>
      </c>
      <c r="R68" s="439">
        <f>IFERROR(IF(VerBer,IF($M68&lt;INT(R$5),0,IF($M68=INT(R$2),R$12,IF($M68&gt;INT(R$2),R$12*(1+R$9)^(IF($M68-R$5&lt;=0,0,$M68-IF(R$5&lt;R$2,R$2,R$5))),0))),0),0)</f>
        <v>0</v>
      </c>
      <c r="S68" s="211"/>
      <c r="U68" s="453">
        <f t="shared" si="17"/>
        <v>0</v>
      </c>
      <c r="V68" s="453">
        <f t="shared" si="13"/>
        <v>0</v>
      </c>
      <c r="W68" s="453">
        <f t="shared" si="14"/>
        <v>0</v>
      </c>
    </row>
    <row r="69" spans="1:23">
      <c r="A69" s="336"/>
      <c r="B69" s="236" t="str">
        <f t="shared" si="28"/>
        <v/>
      </c>
      <c r="C69" s="438">
        <f t="shared" si="19"/>
        <v>0</v>
      </c>
      <c r="D69" s="438">
        <f t="shared" si="20"/>
        <v>0</v>
      </c>
      <c r="E69" s="438">
        <f t="shared" si="21"/>
        <v>0</v>
      </c>
      <c r="F69" s="438">
        <f t="shared" si="22"/>
        <v>0</v>
      </c>
      <c r="G69" s="235"/>
      <c r="H69" s="440">
        <f t="shared" si="23"/>
        <v>0</v>
      </c>
      <c r="I69" s="440" t="e">
        <f t="shared" si="24"/>
        <v>#VALUE!</v>
      </c>
      <c r="J69" s="440">
        <f t="shared" si="25"/>
        <v>0</v>
      </c>
      <c r="K69" s="440">
        <f t="shared" si="26"/>
        <v>0</v>
      </c>
      <c r="L69" s="632"/>
      <c r="M69" s="667" t="str">
        <f t="shared" si="15"/>
        <v/>
      </c>
      <c r="N69" s="440">
        <f t="shared" si="27"/>
        <v>0</v>
      </c>
      <c r="O69" s="440">
        <f t="shared" si="16"/>
        <v>0</v>
      </c>
      <c r="P69" s="440">
        <f t="shared" si="29"/>
        <v>0</v>
      </c>
      <c r="Q69" s="440">
        <f t="shared" si="29"/>
        <v>0</v>
      </c>
      <c r="R69" s="440">
        <f>IFERROR(IF(VerBer,IF($M69&lt;INT(R$5),0,IF($M69=INT(R$2),R$12,IF($M69&gt;INT(R$2),R$12*(1+R$9)^(IF($M69-R$5&lt;=0,0,$M69-IF(R$5&lt;R$2,R$2,R$5))),0))),0),0)</f>
        <v>0</v>
      </c>
      <c r="S69" s="211"/>
      <c r="U69" s="453">
        <f t="shared" si="17"/>
        <v>0</v>
      </c>
      <c r="V69" s="453">
        <f t="shared" si="13"/>
        <v>0</v>
      </c>
      <c r="W69" s="453">
        <f t="shared" si="14"/>
        <v>0</v>
      </c>
    </row>
    <row r="70" spans="1:23">
      <c r="A70" s="336"/>
      <c r="B70" s="236" t="str">
        <f t="shared" si="28"/>
        <v/>
      </c>
      <c r="C70" s="438">
        <f t="shared" si="19"/>
        <v>0</v>
      </c>
      <c r="D70" s="438">
        <f t="shared" si="20"/>
        <v>0</v>
      </c>
      <c r="E70" s="438">
        <f t="shared" si="21"/>
        <v>0</v>
      </c>
      <c r="F70" s="438">
        <f t="shared" si="22"/>
        <v>0</v>
      </c>
      <c r="G70" s="235"/>
      <c r="H70" s="439">
        <f t="shared" si="23"/>
        <v>0</v>
      </c>
      <c r="I70" s="439" t="e">
        <f t="shared" si="24"/>
        <v>#VALUE!</v>
      </c>
      <c r="J70" s="439">
        <f t="shared" si="25"/>
        <v>0</v>
      </c>
      <c r="K70" s="439">
        <f t="shared" si="26"/>
        <v>0</v>
      </c>
      <c r="L70" s="631"/>
      <c r="M70" s="665" t="str">
        <f t="shared" si="15"/>
        <v/>
      </c>
      <c r="N70" s="439">
        <f t="shared" si="27"/>
        <v>0</v>
      </c>
      <c r="O70" s="439">
        <f t="shared" si="16"/>
        <v>0</v>
      </c>
      <c r="P70" s="439">
        <f t="shared" si="29"/>
        <v>0</v>
      </c>
      <c r="Q70" s="439">
        <f t="shared" si="29"/>
        <v>0</v>
      </c>
      <c r="R70" s="439">
        <f>IFERROR(IF(VerBer,IF($M70&lt;INT(R$5),0,IF($M70=INT(R$2),R$12,IF($M70&gt;INT(R$2),R$12*(1+R$9)^(IF($M70-R$5&lt;=0,0,$M70-IF(R$5&lt;R$2,R$2,R$5))),0))),0),0)</f>
        <v>0</v>
      </c>
      <c r="S70" s="211"/>
      <c r="U70" s="453">
        <f t="shared" si="17"/>
        <v>0</v>
      </c>
      <c r="V70" s="453">
        <f t="shared" si="13"/>
        <v>0</v>
      </c>
      <c r="W70" s="453">
        <f t="shared" si="14"/>
        <v>0</v>
      </c>
    </row>
    <row r="71" spans="1:23">
      <c r="A71" s="336"/>
      <c r="B71" s="236" t="str">
        <f t="shared" si="28"/>
        <v/>
      </c>
      <c r="C71" s="438">
        <f t="shared" si="19"/>
        <v>0</v>
      </c>
      <c r="D71" s="438">
        <f t="shared" si="20"/>
        <v>0</v>
      </c>
      <c r="E71" s="438">
        <f t="shared" si="21"/>
        <v>0</v>
      </c>
      <c r="F71" s="438">
        <f t="shared" si="22"/>
        <v>0</v>
      </c>
      <c r="G71" s="235"/>
      <c r="H71" s="440">
        <f t="shared" si="23"/>
        <v>0</v>
      </c>
      <c r="I71" s="440" t="e">
        <f t="shared" si="24"/>
        <v>#VALUE!</v>
      </c>
      <c r="J71" s="440">
        <f t="shared" si="25"/>
        <v>0</v>
      </c>
      <c r="K71" s="440">
        <f t="shared" si="26"/>
        <v>0</v>
      </c>
      <c r="L71" s="632"/>
      <c r="M71" s="667" t="str">
        <f t="shared" si="15"/>
        <v/>
      </c>
      <c r="N71" s="440">
        <f t="shared" si="27"/>
        <v>0</v>
      </c>
      <c r="O71" s="440">
        <f t="shared" si="16"/>
        <v>0</v>
      </c>
      <c r="P71" s="439">
        <f t="shared" ref="P71:R93" si="30">IFERROR(IF($M71&lt;INT(P$5),0,IF($M71=INT(P$2),P$12,IF($M71&gt;INT(P$2),P$12*(1+P$9)^(IF($M71-P$5&lt;=0,0,$M71-IF(P$5&lt;P$2,P$2,P$5))),0))),0)</f>
        <v>0</v>
      </c>
      <c r="Q71" s="439">
        <f t="shared" si="30"/>
        <v>0</v>
      </c>
      <c r="R71" s="439">
        <f t="shared" si="30"/>
        <v>0</v>
      </c>
      <c r="S71" s="211"/>
      <c r="U71" s="453">
        <f t="shared" si="17"/>
        <v>0</v>
      </c>
      <c r="V71" s="453">
        <f t="shared" si="13"/>
        <v>0</v>
      </c>
      <c r="W71" s="453">
        <f t="shared" si="14"/>
        <v>0</v>
      </c>
    </row>
    <row r="72" spans="1:23">
      <c r="A72" s="336"/>
      <c r="B72" s="236" t="str">
        <f t="shared" si="28"/>
        <v/>
      </c>
      <c r="C72" s="438">
        <f t="shared" si="19"/>
        <v>0</v>
      </c>
      <c r="D72" s="438">
        <f t="shared" si="20"/>
        <v>0</v>
      </c>
      <c r="E72" s="438">
        <f t="shared" si="21"/>
        <v>0</v>
      </c>
      <c r="F72" s="438">
        <f t="shared" si="22"/>
        <v>0</v>
      </c>
      <c r="G72" s="235"/>
      <c r="H72" s="439">
        <f t="shared" si="23"/>
        <v>0</v>
      </c>
      <c r="I72" s="439" t="e">
        <f t="shared" si="24"/>
        <v>#VALUE!</v>
      </c>
      <c r="J72" s="439">
        <f t="shared" si="25"/>
        <v>0</v>
      </c>
      <c r="K72" s="439">
        <f t="shared" si="26"/>
        <v>0</v>
      </c>
      <c r="L72" s="631"/>
      <c r="M72" s="665" t="str">
        <f t="shared" si="15"/>
        <v/>
      </c>
      <c r="N72" s="439">
        <f t="shared" si="27"/>
        <v>0</v>
      </c>
      <c r="O72" s="439">
        <f t="shared" si="16"/>
        <v>0</v>
      </c>
      <c r="P72" s="439">
        <f t="shared" si="30"/>
        <v>0</v>
      </c>
      <c r="Q72" s="439">
        <f t="shared" si="30"/>
        <v>0</v>
      </c>
      <c r="R72" s="666">
        <f t="shared" si="30"/>
        <v>0</v>
      </c>
      <c r="S72" s="211"/>
      <c r="U72" s="453">
        <f t="shared" si="17"/>
        <v>0</v>
      </c>
      <c r="V72" s="453">
        <f t="shared" si="13"/>
        <v>0</v>
      </c>
      <c r="W72" s="453">
        <f t="shared" si="14"/>
        <v>0</v>
      </c>
    </row>
    <row r="73" spans="1:23">
      <c r="A73" s="336"/>
      <c r="B73" s="236" t="str">
        <f t="shared" si="28"/>
        <v/>
      </c>
      <c r="C73" s="438">
        <f t="shared" si="19"/>
        <v>0</v>
      </c>
      <c r="D73" s="438">
        <f t="shared" si="20"/>
        <v>0</v>
      </c>
      <c r="E73" s="438">
        <f t="shared" si="21"/>
        <v>0</v>
      </c>
      <c r="F73" s="438">
        <f t="shared" si="22"/>
        <v>0</v>
      </c>
      <c r="G73" s="235"/>
      <c r="H73" s="440">
        <f t="shared" si="23"/>
        <v>0</v>
      </c>
      <c r="I73" s="440" t="e">
        <f t="shared" si="24"/>
        <v>#VALUE!</v>
      </c>
      <c r="J73" s="440">
        <f t="shared" si="25"/>
        <v>0</v>
      </c>
      <c r="K73" s="440">
        <f t="shared" si="26"/>
        <v>0</v>
      </c>
      <c r="L73" s="632"/>
      <c r="M73" s="667" t="str">
        <f t="shared" si="15"/>
        <v/>
      </c>
      <c r="N73" s="440">
        <f t="shared" si="27"/>
        <v>0</v>
      </c>
      <c r="O73" s="440">
        <f t="shared" si="16"/>
        <v>0</v>
      </c>
      <c r="P73" s="440">
        <f t="shared" si="30"/>
        <v>0</v>
      </c>
      <c r="Q73" s="440">
        <f t="shared" si="30"/>
        <v>0</v>
      </c>
      <c r="R73" s="668">
        <f t="shared" si="30"/>
        <v>0</v>
      </c>
      <c r="S73" s="211"/>
      <c r="U73" s="453">
        <f t="shared" si="17"/>
        <v>0</v>
      </c>
      <c r="V73" s="453">
        <f t="shared" si="13"/>
        <v>0</v>
      </c>
      <c r="W73" s="453">
        <f t="shared" si="14"/>
        <v>0</v>
      </c>
    </row>
    <row r="74" spans="1:23">
      <c r="A74" s="336"/>
      <c r="B74" s="236" t="str">
        <f t="shared" si="28"/>
        <v/>
      </c>
      <c r="C74" s="438">
        <f t="shared" si="19"/>
        <v>0</v>
      </c>
      <c r="D74" s="438">
        <f t="shared" si="20"/>
        <v>0</v>
      </c>
      <c r="E74" s="438">
        <f t="shared" si="21"/>
        <v>0</v>
      </c>
      <c r="F74" s="438">
        <f t="shared" si="22"/>
        <v>0</v>
      </c>
      <c r="G74" s="235"/>
      <c r="H74" s="439">
        <f t="shared" si="23"/>
        <v>0</v>
      </c>
      <c r="I74" s="439" t="e">
        <f t="shared" si="24"/>
        <v>#VALUE!</v>
      </c>
      <c r="J74" s="439">
        <f t="shared" si="25"/>
        <v>0</v>
      </c>
      <c r="K74" s="439">
        <f t="shared" si="26"/>
        <v>0</v>
      </c>
      <c r="L74" s="631"/>
      <c r="M74" s="665" t="str">
        <f t="shared" si="15"/>
        <v/>
      </c>
      <c r="N74" s="439">
        <f t="shared" si="27"/>
        <v>0</v>
      </c>
      <c r="O74" s="439">
        <f t="shared" si="16"/>
        <v>0</v>
      </c>
      <c r="P74" s="439">
        <f t="shared" si="30"/>
        <v>0</v>
      </c>
      <c r="Q74" s="439">
        <f t="shared" si="30"/>
        <v>0</v>
      </c>
      <c r="R74" s="666">
        <f t="shared" si="30"/>
        <v>0</v>
      </c>
      <c r="S74" s="211"/>
      <c r="U74" s="453">
        <f t="shared" si="17"/>
        <v>0</v>
      </c>
      <c r="V74" s="453">
        <f t="shared" si="13"/>
        <v>0</v>
      </c>
      <c r="W74" s="453">
        <f t="shared" si="14"/>
        <v>0</v>
      </c>
    </row>
    <row r="75" spans="1:23">
      <c r="A75" s="336"/>
      <c r="B75" s="236" t="str">
        <f t="shared" si="28"/>
        <v/>
      </c>
      <c r="C75" s="438">
        <f t="shared" si="19"/>
        <v>0</v>
      </c>
      <c r="D75" s="438">
        <f t="shared" si="20"/>
        <v>0</v>
      </c>
      <c r="E75" s="438">
        <f t="shared" si="21"/>
        <v>0</v>
      </c>
      <c r="F75" s="438">
        <f t="shared" si="22"/>
        <v>0</v>
      </c>
      <c r="G75" s="235"/>
      <c r="H75" s="440">
        <f t="shared" si="23"/>
        <v>0</v>
      </c>
      <c r="I75" s="440" t="e">
        <f t="shared" si="24"/>
        <v>#VALUE!</v>
      </c>
      <c r="J75" s="440">
        <f t="shared" si="25"/>
        <v>0</v>
      </c>
      <c r="K75" s="440">
        <f t="shared" si="26"/>
        <v>0</v>
      </c>
      <c r="L75" s="632"/>
      <c r="M75" s="667" t="str">
        <f t="shared" si="15"/>
        <v/>
      </c>
      <c r="N75" s="440">
        <f t="shared" si="27"/>
        <v>0</v>
      </c>
      <c r="O75" s="440">
        <f t="shared" si="16"/>
        <v>0</v>
      </c>
      <c r="P75" s="440">
        <f t="shared" si="30"/>
        <v>0</v>
      </c>
      <c r="Q75" s="440">
        <f t="shared" si="30"/>
        <v>0</v>
      </c>
      <c r="R75" s="668">
        <f t="shared" si="30"/>
        <v>0</v>
      </c>
      <c r="S75" s="211"/>
      <c r="U75" s="453">
        <f t="shared" si="17"/>
        <v>0</v>
      </c>
      <c r="V75" s="453">
        <f t="shared" si="13"/>
        <v>0</v>
      </c>
      <c r="W75" s="453">
        <f t="shared" si="14"/>
        <v>0</v>
      </c>
    </row>
    <row r="76" spans="1:23">
      <c r="A76" s="336"/>
      <c r="B76" s="236" t="str">
        <f t="shared" si="28"/>
        <v/>
      </c>
      <c r="C76" s="438">
        <f t="shared" si="19"/>
        <v>0</v>
      </c>
      <c r="D76" s="438">
        <f t="shared" si="20"/>
        <v>0</v>
      </c>
      <c r="E76" s="438">
        <f t="shared" si="21"/>
        <v>0</v>
      </c>
      <c r="F76" s="438">
        <f t="shared" si="22"/>
        <v>0</v>
      </c>
      <c r="G76" s="235"/>
      <c r="H76" s="439">
        <f t="shared" si="23"/>
        <v>0</v>
      </c>
      <c r="I76" s="439" t="e">
        <f t="shared" si="24"/>
        <v>#VALUE!</v>
      </c>
      <c r="J76" s="439">
        <f t="shared" si="25"/>
        <v>0</v>
      </c>
      <c r="K76" s="439">
        <f t="shared" si="26"/>
        <v>0</v>
      </c>
      <c r="L76" s="631"/>
      <c r="M76" s="665" t="str">
        <f t="shared" si="15"/>
        <v/>
      </c>
      <c r="N76" s="439">
        <f t="shared" si="27"/>
        <v>0</v>
      </c>
      <c r="O76" s="439">
        <f t="shared" si="16"/>
        <v>0</v>
      </c>
      <c r="P76" s="439">
        <f t="shared" si="30"/>
        <v>0</v>
      </c>
      <c r="Q76" s="439">
        <f t="shared" si="30"/>
        <v>0</v>
      </c>
      <c r="R76" s="666">
        <f t="shared" si="30"/>
        <v>0</v>
      </c>
      <c r="S76" s="211"/>
      <c r="U76" s="453">
        <f t="shared" si="17"/>
        <v>0</v>
      </c>
      <c r="V76" s="453">
        <f t="shared" si="13"/>
        <v>0</v>
      </c>
      <c r="W76" s="453">
        <f t="shared" si="14"/>
        <v>0</v>
      </c>
    </row>
    <row r="77" spans="1:23">
      <c r="A77" s="336"/>
      <c r="B77" s="236" t="str">
        <f t="shared" si="28"/>
        <v/>
      </c>
      <c r="C77" s="438">
        <f t="shared" si="19"/>
        <v>0</v>
      </c>
      <c r="D77" s="438">
        <f t="shared" si="20"/>
        <v>0</v>
      </c>
      <c r="E77" s="438">
        <f t="shared" si="21"/>
        <v>0</v>
      </c>
      <c r="F77" s="438">
        <f t="shared" si="22"/>
        <v>0</v>
      </c>
      <c r="G77" s="235"/>
      <c r="H77" s="440">
        <f t="shared" si="23"/>
        <v>0</v>
      </c>
      <c r="I77" s="440" t="e">
        <f t="shared" si="24"/>
        <v>#VALUE!</v>
      </c>
      <c r="J77" s="440">
        <f t="shared" si="25"/>
        <v>0</v>
      </c>
      <c r="K77" s="440">
        <f t="shared" si="26"/>
        <v>0</v>
      </c>
      <c r="L77" s="632"/>
      <c r="M77" s="667" t="str">
        <f t="shared" si="15"/>
        <v/>
      </c>
      <c r="N77" s="440">
        <f t="shared" si="27"/>
        <v>0</v>
      </c>
      <c r="O77" s="440">
        <f t="shared" si="16"/>
        <v>0</v>
      </c>
      <c r="P77" s="440">
        <f t="shared" si="30"/>
        <v>0</v>
      </c>
      <c r="Q77" s="440">
        <f t="shared" si="30"/>
        <v>0</v>
      </c>
      <c r="R77" s="668">
        <f t="shared" si="30"/>
        <v>0</v>
      </c>
      <c r="S77" s="211"/>
      <c r="U77" s="453">
        <f t="shared" si="17"/>
        <v>0</v>
      </c>
      <c r="V77" s="453">
        <f t="shared" si="13"/>
        <v>0</v>
      </c>
      <c r="W77" s="453">
        <f t="shared" si="14"/>
        <v>0</v>
      </c>
    </row>
    <row r="78" spans="1:23">
      <c r="A78" s="336"/>
      <c r="B78" s="236" t="str">
        <f t="shared" si="28"/>
        <v/>
      </c>
      <c r="C78" s="438">
        <f t="shared" si="19"/>
        <v>0</v>
      </c>
      <c r="D78" s="438">
        <f t="shared" si="20"/>
        <v>0</v>
      </c>
      <c r="E78" s="438">
        <f t="shared" si="21"/>
        <v>0</v>
      </c>
      <c r="F78" s="438">
        <f t="shared" si="22"/>
        <v>0</v>
      </c>
      <c r="G78" s="235"/>
      <c r="H78" s="439">
        <f t="shared" si="23"/>
        <v>0</v>
      </c>
      <c r="I78" s="439" t="e">
        <f t="shared" si="24"/>
        <v>#VALUE!</v>
      </c>
      <c r="J78" s="439">
        <f t="shared" si="25"/>
        <v>0</v>
      </c>
      <c r="K78" s="439">
        <f t="shared" si="26"/>
        <v>0</v>
      </c>
      <c r="L78" s="631"/>
      <c r="M78" s="665" t="str">
        <f t="shared" si="15"/>
        <v/>
      </c>
      <c r="N78" s="439">
        <f t="shared" si="27"/>
        <v>0</v>
      </c>
      <c r="O78" s="439">
        <f t="shared" si="16"/>
        <v>0</v>
      </c>
      <c r="P78" s="439">
        <f t="shared" si="30"/>
        <v>0</v>
      </c>
      <c r="Q78" s="439">
        <f t="shared" si="30"/>
        <v>0</v>
      </c>
      <c r="R78" s="666">
        <f t="shared" si="30"/>
        <v>0</v>
      </c>
      <c r="S78" s="211"/>
      <c r="U78" s="453">
        <f t="shared" si="17"/>
        <v>0</v>
      </c>
      <c r="V78" s="453">
        <f t="shared" si="13"/>
        <v>0</v>
      </c>
      <c r="W78" s="453">
        <f t="shared" si="14"/>
        <v>0</v>
      </c>
    </row>
    <row r="79" spans="1:23">
      <c r="A79" s="336"/>
      <c r="B79" s="236" t="str">
        <f t="shared" si="28"/>
        <v/>
      </c>
      <c r="C79" s="438">
        <f t="shared" si="19"/>
        <v>0</v>
      </c>
      <c r="D79" s="438">
        <f t="shared" si="20"/>
        <v>0</v>
      </c>
      <c r="E79" s="438">
        <f t="shared" si="21"/>
        <v>0</v>
      </c>
      <c r="F79" s="438">
        <f t="shared" si="22"/>
        <v>0</v>
      </c>
      <c r="G79" s="235"/>
      <c r="H79" s="440">
        <f t="shared" si="23"/>
        <v>0</v>
      </c>
      <c r="I79" s="440" t="e">
        <f t="shared" si="24"/>
        <v>#VALUE!</v>
      </c>
      <c r="J79" s="440">
        <f t="shared" si="25"/>
        <v>0</v>
      </c>
      <c r="K79" s="440">
        <f t="shared" si="26"/>
        <v>0</v>
      </c>
      <c r="L79" s="632"/>
      <c r="M79" s="667" t="str">
        <f t="shared" si="15"/>
        <v/>
      </c>
      <c r="N79" s="440">
        <f t="shared" si="27"/>
        <v>0</v>
      </c>
      <c r="O79" s="440">
        <f t="shared" si="16"/>
        <v>0</v>
      </c>
      <c r="P79" s="440">
        <f t="shared" si="30"/>
        <v>0</v>
      </c>
      <c r="Q79" s="440">
        <f t="shared" si="30"/>
        <v>0</v>
      </c>
      <c r="R79" s="668">
        <f t="shared" si="30"/>
        <v>0</v>
      </c>
      <c r="S79" s="211"/>
      <c r="U79" s="453">
        <f t="shared" si="17"/>
        <v>0</v>
      </c>
      <c r="V79" s="453">
        <f t="shared" si="13"/>
        <v>0</v>
      </c>
      <c r="W79" s="453">
        <f t="shared" si="14"/>
        <v>0</v>
      </c>
    </row>
    <row r="80" spans="1:23">
      <c r="A80" s="336"/>
      <c r="B80" s="236" t="str">
        <f t="shared" si="28"/>
        <v/>
      </c>
      <c r="C80" s="438">
        <f t="shared" si="19"/>
        <v>0</v>
      </c>
      <c r="D80" s="438">
        <f t="shared" si="20"/>
        <v>0</v>
      </c>
      <c r="E80" s="438">
        <f t="shared" si="21"/>
        <v>0</v>
      </c>
      <c r="F80" s="438">
        <f t="shared" si="22"/>
        <v>0</v>
      </c>
      <c r="G80" s="235"/>
      <c r="H80" s="439">
        <f t="shared" si="23"/>
        <v>0</v>
      </c>
      <c r="I80" s="439" t="e">
        <f t="shared" si="24"/>
        <v>#VALUE!</v>
      </c>
      <c r="J80" s="439">
        <f t="shared" si="25"/>
        <v>0</v>
      </c>
      <c r="K80" s="439">
        <f t="shared" si="26"/>
        <v>0</v>
      </c>
      <c r="L80" s="631"/>
      <c r="M80" s="665" t="str">
        <f t="shared" si="15"/>
        <v/>
      </c>
      <c r="N80" s="439">
        <f t="shared" si="27"/>
        <v>0</v>
      </c>
      <c r="O80" s="439">
        <f t="shared" si="16"/>
        <v>0</v>
      </c>
      <c r="P80" s="439">
        <f t="shared" si="30"/>
        <v>0</v>
      </c>
      <c r="Q80" s="439">
        <f t="shared" si="30"/>
        <v>0</v>
      </c>
      <c r="R80" s="666">
        <f t="shared" si="30"/>
        <v>0</v>
      </c>
      <c r="S80" s="211"/>
      <c r="U80" s="453">
        <f t="shared" si="17"/>
        <v>0</v>
      </c>
      <c r="V80" s="453">
        <f t="shared" si="13"/>
        <v>0</v>
      </c>
      <c r="W80" s="453">
        <f t="shared" si="14"/>
        <v>0</v>
      </c>
    </row>
    <row r="81" spans="1:23">
      <c r="A81" s="336"/>
      <c r="B81" s="236" t="str">
        <f t="shared" si="28"/>
        <v/>
      </c>
      <c r="C81" s="438">
        <f t="shared" si="19"/>
        <v>0</v>
      </c>
      <c r="D81" s="438">
        <f t="shared" si="20"/>
        <v>0</v>
      </c>
      <c r="E81" s="438">
        <f t="shared" si="21"/>
        <v>0</v>
      </c>
      <c r="F81" s="438">
        <f t="shared" si="22"/>
        <v>0</v>
      </c>
      <c r="G81" s="235"/>
      <c r="H81" s="440">
        <f t="shared" si="23"/>
        <v>0</v>
      </c>
      <c r="I81" s="440" t="e">
        <f t="shared" si="24"/>
        <v>#VALUE!</v>
      </c>
      <c r="J81" s="440">
        <f t="shared" si="25"/>
        <v>0</v>
      </c>
      <c r="K81" s="440">
        <f t="shared" si="26"/>
        <v>0</v>
      </c>
      <c r="L81" s="632"/>
      <c r="M81" s="667" t="str">
        <f t="shared" si="15"/>
        <v/>
      </c>
      <c r="N81" s="440">
        <f t="shared" si="27"/>
        <v>0</v>
      </c>
      <c r="O81" s="440">
        <f t="shared" si="16"/>
        <v>0</v>
      </c>
      <c r="P81" s="440">
        <f t="shared" si="30"/>
        <v>0</v>
      </c>
      <c r="Q81" s="440">
        <f t="shared" si="30"/>
        <v>0</v>
      </c>
      <c r="R81" s="668">
        <f t="shared" si="30"/>
        <v>0</v>
      </c>
      <c r="S81" s="211"/>
      <c r="U81" s="453">
        <f t="shared" si="17"/>
        <v>0</v>
      </c>
      <c r="V81" s="453">
        <f t="shared" si="13"/>
        <v>0</v>
      </c>
      <c r="W81" s="453">
        <f t="shared" si="14"/>
        <v>0</v>
      </c>
    </row>
    <row r="82" spans="1:23">
      <c r="A82" s="336"/>
      <c r="B82" s="236" t="str">
        <f t="shared" si="28"/>
        <v/>
      </c>
      <c r="C82" s="438">
        <f t="shared" ref="C82:C94" si="31">IFERROR(IF(QuellVersrg,IF($B82&lt;INT(H$5),0,IF($B82=INT(H$2),H$12,IF($B82&gt;INT(H$2),H$12*(1+H$9)^(IF($B82-H$5&lt;=0,0,$B82-IF(H$5&lt;H$2,H$2,H$5))),0))),0),0)</f>
        <v>0</v>
      </c>
      <c r="D82" s="438">
        <f t="shared" ref="D82:D93" si="32">IFERROR(IF(DRVPfl,IF($B82&lt;INT(I$5),0,IF($B82=INT(I$2),I$12,IF($B82&gt;INT(I$2),I$12*(1+I$9)^(IF($B82-I$5&lt;=0,0,$B82-IF(I$5&lt;I$2,I$2,I$5))),0))),0),0)</f>
        <v>0</v>
      </c>
      <c r="E82" s="438">
        <f t="shared" ref="E82:E93" si="33">IFERROR(IF(VersAusglKPfl,IF($B82&lt;INT(J$5),0,IF($B82=INT(J$2),J$12,IF($B82&gt;INT(J$2),J$12*(1+J$9)^(IF($B82-J$5&lt;=0,0,$B82-IF(J$5&lt;J$2,J$2,J$5))),0))),0),0)</f>
        <v>0</v>
      </c>
      <c r="F82" s="438">
        <f t="shared" ref="F82:F93" si="34">IFERROR(IF(SonstPfl,IF($B82&lt;INT(K$5),0,IF($B82=INT(K$2),K$12,IF($B82&gt;INT(K$2),K$12*(1+K$9)^(IF($B82-K$5&lt;=0,0,$B82-IF(K$5&lt;K$2,K$2,K$5))),0))),0),0)</f>
        <v>0</v>
      </c>
      <c r="G82" s="235"/>
      <c r="H82" s="439">
        <f t="shared" ref="H82:H93" si="35">C82*12*IF(AND(INT(H$5)=B82,H$5&gt;INT(H$5)),1-(H$5-INT(H$5)),1)</f>
        <v>0</v>
      </c>
      <c r="I82" s="439" t="e">
        <f t="shared" ref="I82:I93" si="36">D82*12*IF(AND(INT(I$5)=$B82,I$5&gt;INT(I$5)),1-(I$5-INT(I$5)),1)</f>
        <v>#VALUE!</v>
      </c>
      <c r="J82" s="439">
        <f t="shared" ref="J82:J93" si="37">E82*12*IF(AND(INT(J$5)=$B82,J$5&gt;INT(J$5)),1-(J$5-INT(J$5)),1)</f>
        <v>0</v>
      </c>
      <c r="K82" s="439">
        <f t="shared" ref="K82:K93" si="38">F82*12*IF(AND(INT(K$5)=$B82,K$5&gt;INT(K$5)),1-(K$5-INT(K$5)),1)</f>
        <v>0</v>
      </c>
      <c r="L82" s="631"/>
      <c r="M82" s="665" t="str">
        <f t="shared" si="15"/>
        <v/>
      </c>
      <c r="N82" s="439">
        <f t="shared" ref="N82:N93" si="39">IFERROR(IF(AND(VersBer,DRVAusglBerJa),IF($M82&lt;INT(O$5),0,IF($M82=INT(O$2),O$12,IF($M82&gt;INT(O$2),O$12*(1+O$9)^(IF($M82-O$5&lt;=0,0,$M82-IF(O$5&lt;O$2,O$2,O$5))),0))),0),0)</f>
        <v>0</v>
      </c>
      <c r="O82" s="439">
        <f t="shared" si="16"/>
        <v>0</v>
      </c>
      <c r="P82" s="439">
        <f t="shared" si="30"/>
        <v>0</v>
      </c>
      <c r="Q82" s="439">
        <f t="shared" si="30"/>
        <v>0</v>
      </c>
      <c r="R82" s="666">
        <f t="shared" si="30"/>
        <v>0</v>
      </c>
      <c r="S82" s="211"/>
      <c r="U82" s="453">
        <f t="shared" si="17"/>
        <v>0</v>
      </c>
      <c r="V82" s="453">
        <f t="shared" si="13"/>
        <v>0</v>
      </c>
      <c r="W82" s="453">
        <f t="shared" si="14"/>
        <v>0</v>
      </c>
    </row>
    <row r="83" spans="1:23">
      <c r="A83" s="336"/>
      <c r="B83" s="236" t="str">
        <f t="shared" ref="B83:B94" si="40">IFERROR(IF(B82+1&lt;IF(Endalter=0,EndalterDRV,Endalter),B82+1,""),"")</f>
        <v/>
      </c>
      <c r="C83" s="438">
        <f t="shared" si="31"/>
        <v>0</v>
      </c>
      <c r="D83" s="438">
        <f t="shared" si="32"/>
        <v>0</v>
      </c>
      <c r="E83" s="438">
        <f t="shared" si="33"/>
        <v>0</v>
      </c>
      <c r="F83" s="438">
        <f t="shared" si="34"/>
        <v>0</v>
      </c>
      <c r="G83" s="235"/>
      <c r="H83" s="440">
        <f t="shared" si="35"/>
        <v>0</v>
      </c>
      <c r="I83" s="440" t="e">
        <f t="shared" si="36"/>
        <v>#VALUE!</v>
      </c>
      <c r="J83" s="440">
        <f t="shared" si="37"/>
        <v>0</v>
      </c>
      <c r="K83" s="440">
        <f t="shared" si="38"/>
        <v>0</v>
      </c>
      <c r="L83" s="632"/>
      <c r="M83" s="667" t="str">
        <f t="shared" si="15"/>
        <v/>
      </c>
      <c r="N83" s="440">
        <f t="shared" si="39"/>
        <v>0</v>
      </c>
      <c r="O83" s="440">
        <f t="shared" si="16"/>
        <v>0</v>
      </c>
      <c r="P83" s="440">
        <f t="shared" si="30"/>
        <v>0</v>
      </c>
      <c r="Q83" s="440">
        <f t="shared" si="30"/>
        <v>0</v>
      </c>
      <c r="R83" s="668">
        <f t="shared" si="30"/>
        <v>0</v>
      </c>
      <c r="S83" s="211"/>
      <c r="U83" s="453">
        <f t="shared" si="17"/>
        <v>0</v>
      </c>
      <c r="V83" s="453">
        <f t="shared" ref="V83:V93" si="41">+Q83*12*IF(AND(INT(Q$5)=$M83,Q$5&gt;INT(Q$5)),1-(Q$5-INT(Q$5)),1)</f>
        <v>0</v>
      </c>
      <c r="W83" s="453">
        <f t="shared" ref="W83:W93" si="42">+R83*12*IF(AND(INT(R$5)=$M83,R$5&gt;INT(R$5)),1-(R$5-INT(R$5)),1)</f>
        <v>0</v>
      </c>
    </row>
    <row r="84" spans="1:23">
      <c r="A84" s="336"/>
      <c r="B84" s="236" t="str">
        <f t="shared" si="40"/>
        <v/>
      </c>
      <c r="C84" s="438">
        <f t="shared" si="31"/>
        <v>0</v>
      </c>
      <c r="D84" s="438">
        <f t="shared" si="32"/>
        <v>0</v>
      </c>
      <c r="E84" s="438">
        <f t="shared" si="33"/>
        <v>0</v>
      </c>
      <c r="F84" s="438">
        <f t="shared" si="34"/>
        <v>0</v>
      </c>
      <c r="G84" s="235"/>
      <c r="H84" s="439">
        <f t="shared" si="35"/>
        <v>0</v>
      </c>
      <c r="I84" s="439" t="e">
        <f t="shared" si="36"/>
        <v>#VALUE!</v>
      </c>
      <c r="J84" s="439">
        <f t="shared" si="37"/>
        <v>0</v>
      </c>
      <c r="K84" s="439">
        <f t="shared" si="38"/>
        <v>0</v>
      </c>
      <c r="L84" s="631"/>
      <c r="M84" s="665" t="str">
        <f t="shared" ref="M84:M93" si="43">IFERROR(IF(M83+1&lt;O$3,M83+1,""),"")</f>
        <v/>
      </c>
      <c r="N84" s="439">
        <f t="shared" si="39"/>
        <v>0</v>
      </c>
      <c r="O84" s="439">
        <f t="shared" si="16"/>
        <v>0</v>
      </c>
      <c r="P84" s="439">
        <f t="shared" si="30"/>
        <v>0</v>
      </c>
      <c r="Q84" s="439">
        <f t="shared" si="30"/>
        <v>0</v>
      </c>
      <c r="R84" s="666">
        <f t="shared" si="30"/>
        <v>0</v>
      </c>
      <c r="S84" s="211"/>
      <c r="U84" s="453">
        <f t="shared" si="17"/>
        <v>0</v>
      </c>
      <c r="V84" s="453">
        <f t="shared" si="41"/>
        <v>0</v>
      </c>
      <c r="W84" s="453">
        <f t="shared" si="42"/>
        <v>0</v>
      </c>
    </row>
    <row r="85" spans="1:23">
      <c r="A85" s="336"/>
      <c r="B85" s="236" t="str">
        <f t="shared" si="40"/>
        <v/>
      </c>
      <c r="C85" s="438">
        <f t="shared" si="31"/>
        <v>0</v>
      </c>
      <c r="D85" s="438">
        <f t="shared" si="32"/>
        <v>0</v>
      </c>
      <c r="E85" s="438">
        <f t="shared" si="33"/>
        <v>0</v>
      </c>
      <c r="F85" s="438">
        <f t="shared" si="34"/>
        <v>0</v>
      </c>
      <c r="G85" s="235"/>
      <c r="H85" s="440">
        <f t="shared" si="35"/>
        <v>0</v>
      </c>
      <c r="I85" s="440" t="e">
        <f t="shared" si="36"/>
        <v>#VALUE!</v>
      </c>
      <c r="J85" s="440">
        <f t="shared" si="37"/>
        <v>0</v>
      </c>
      <c r="K85" s="440">
        <f t="shared" si="38"/>
        <v>0</v>
      </c>
      <c r="L85" s="632"/>
      <c r="M85" s="667" t="str">
        <f t="shared" si="43"/>
        <v/>
      </c>
      <c r="N85" s="440">
        <f t="shared" si="39"/>
        <v>0</v>
      </c>
      <c r="O85" s="440">
        <f t="shared" si="16"/>
        <v>0</v>
      </c>
      <c r="P85" s="440">
        <f t="shared" si="30"/>
        <v>0</v>
      </c>
      <c r="Q85" s="440">
        <f t="shared" si="30"/>
        <v>0</v>
      </c>
      <c r="R85" s="668">
        <f t="shared" si="30"/>
        <v>0</v>
      </c>
      <c r="S85" s="211"/>
      <c r="U85" s="453">
        <f t="shared" si="17"/>
        <v>0</v>
      </c>
      <c r="V85" s="453">
        <f t="shared" si="41"/>
        <v>0</v>
      </c>
      <c r="W85" s="453">
        <f t="shared" si="42"/>
        <v>0</v>
      </c>
    </row>
    <row r="86" spans="1:23">
      <c r="A86" s="336"/>
      <c r="B86" s="236" t="str">
        <f t="shared" si="40"/>
        <v/>
      </c>
      <c r="C86" s="438">
        <f t="shared" si="31"/>
        <v>0</v>
      </c>
      <c r="D86" s="438">
        <f t="shared" si="32"/>
        <v>0</v>
      </c>
      <c r="E86" s="438">
        <f t="shared" si="33"/>
        <v>0</v>
      </c>
      <c r="F86" s="438">
        <f t="shared" si="34"/>
        <v>0</v>
      </c>
      <c r="G86" s="235"/>
      <c r="H86" s="439">
        <f t="shared" si="35"/>
        <v>0</v>
      </c>
      <c r="I86" s="439" t="e">
        <f t="shared" si="36"/>
        <v>#VALUE!</v>
      </c>
      <c r="J86" s="439">
        <f t="shared" si="37"/>
        <v>0</v>
      </c>
      <c r="K86" s="439">
        <f t="shared" si="38"/>
        <v>0</v>
      </c>
      <c r="L86" s="631"/>
      <c r="M86" s="665" t="str">
        <f t="shared" si="43"/>
        <v/>
      </c>
      <c r="N86" s="439">
        <f t="shared" si="39"/>
        <v>0</v>
      </c>
      <c r="O86" s="439">
        <f t="shared" si="16"/>
        <v>0</v>
      </c>
      <c r="P86" s="439">
        <f t="shared" si="30"/>
        <v>0</v>
      </c>
      <c r="Q86" s="439">
        <f t="shared" si="30"/>
        <v>0</v>
      </c>
      <c r="R86" s="666">
        <f t="shared" si="30"/>
        <v>0</v>
      </c>
      <c r="S86" s="211"/>
      <c r="U86" s="453">
        <f t="shared" si="17"/>
        <v>0</v>
      </c>
      <c r="V86" s="453">
        <f t="shared" si="41"/>
        <v>0</v>
      </c>
      <c r="W86" s="453">
        <f t="shared" si="42"/>
        <v>0</v>
      </c>
    </row>
    <row r="87" spans="1:23">
      <c r="A87" s="336"/>
      <c r="B87" s="236" t="str">
        <f t="shared" si="40"/>
        <v/>
      </c>
      <c r="C87" s="438">
        <f t="shared" si="31"/>
        <v>0</v>
      </c>
      <c r="D87" s="438">
        <f t="shared" si="32"/>
        <v>0</v>
      </c>
      <c r="E87" s="438">
        <f t="shared" si="33"/>
        <v>0</v>
      </c>
      <c r="F87" s="438">
        <f t="shared" si="34"/>
        <v>0</v>
      </c>
      <c r="G87" s="235"/>
      <c r="H87" s="440">
        <f t="shared" si="35"/>
        <v>0</v>
      </c>
      <c r="I87" s="440" t="e">
        <f t="shared" si="36"/>
        <v>#VALUE!</v>
      </c>
      <c r="J87" s="440">
        <f t="shared" si="37"/>
        <v>0</v>
      </c>
      <c r="K87" s="440">
        <f t="shared" si="38"/>
        <v>0</v>
      </c>
      <c r="L87" s="632"/>
      <c r="M87" s="667" t="str">
        <f t="shared" si="43"/>
        <v/>
      </c>
      <c r="N87" s="440">
        <f t="shared" si="39"/>
        <v>0</v>
      </c>
      <c r="O87" s="440">
        <f t="shared" si="16"/>
        <v>0</v>
      </c>
      <c r="P87" s="440">
        <f t="shared" si="30"/>
        <v>0</v>
      </c>
      <c r="Q87" s="440">
        <f t="shared" si="30"/>
        <v>0</v>
      </c>
      <c r="R87" s="668">
        <f t="shared" si="30"/>
        <v>0</v>
      </c>
      <c r="S87" s="211"/>
      <c r="U87" s="453">
        <f t="shared" si="17"/>
        <v>0</v>
      </c>
      <c r="V87" s="453">
        <f t="shared" si="41"/>
        <v>0</v>
      </c>
      <c r="W87" s="453">
        <f t="shared" si="42"/>
        <v>0</v>
      </c>
    </row>
    <row r="88" spans="1:23">
      <c r="A88" s="336"/>
      <c r="B88" s="236" t="str">
        <f t="shared" si="40"/>
        <v/>
      </c>
      <c r="C88" s="438">
        <f t="shared" si="31"/>
        <v>0</v>
      </c>
      <c r="D88" s="438">
        <f t="shared" si="32"/>
        <v>0</v>
      </c>
      <c r="E88" s="438">
        <f t="shared" si="33"/>
        <v>0</v>
      </c>
      <c r="F88" s="438">
        <f t="shared" si="34"/>
        <v>0</v>
      </c>
      <c r="G88" s="235"/>
      <c r="H88" s="439">
        <f t="shared" si="35"/>
        <v>0</v>
      </c>
      <c r="I88" s="439" t="e">
        <f t="shared" si="36"/>
        <v>#VALUE!</v>
      </c>
      <c r="J88" s="439">
        <f t="shared" si="37"/>
        <v>0</v>
      </c>
      <c r="K88" s="439">
        <f t="shared" si="38"/>
        <v>0</v>
      </c>
      <c r="L88" s="631"/>
      <c r="M88" s="665" t="str">
        <f t="shared" si="43"/>
        <v/>
      </c>
      <c r="N88" s="439">
        <f t="shared" si="39"/>
        <v>0</v>
      </c>
      <c r="O88" s="439">
        <f t="shared" si="16"/>
        <v>0</v>
      </c>
      <c r="P88" s="439">
        <f t="shared" si="30"/>
        <v>0</v>
      </c>
      <c r="Q88" s="439">
        <f t="shared" si="30"/>
        <v>0</v>
      </c>
      <c r="R88" s="666">
        <f t="shared" si="30"/>
        <v>0</v>
      </c>
      <c r="S88" s="211"/>
      <c r="U88" s="453">
        <f t="shared" si="17"/>
        <v>0</v>
      </c>
      <c r="V88" s="453">
        <f t="shared" si="41"/>
        <v>0</v>
      </c>
      <c r="W88" s="453">
        <f t="shared" si="42"/>
        <v>0</v>
      </c>
    </row>
    <row r="89" spans="1:23">
      <c r="A89" s="336"/>
      <c r="B89" s="236" t="str">
        <f t="shared" si="40"/>
        <v/>
      </c>
      <c r="C89" s="438">
        <f t="shared" si="31"/>
        <v>0</v>
      </c>
      <c r="D89" s="438">
        <f t="shared" si="32"/>
        <v>0</v>
      </c>
      <c r="E89" s="438">
        <f t="shared" si="33"/>
        <v>0</v>
      </c>
      <c r="F89" s="438">
        <f t="shared" si="34"/>
        <v>0</v>
      </c>
      <c r="G89" s="235"/>
      <c r="H89" s="440">
        <f t="shared" si="35"/>
        <v>0</v>
      </c>
      <c r="I89" s="440" t="e">
        <f t="shared" si="36"/>
        <v>#VALUE!</v>
      </c>
      <c r="J89" s="440">
        <f t="shared" si="37"/>
        <v>0</v>
      </c>
      <c r="K89" s="440">
        <f t="shared" si="38"/>
        <v>0</v>
      </c>
      <c r="L89" s="632"/>
      <c r="M89" s="667" t="str">
        <f t="shared" si="43"/>
        <v/>
      </c>
      <c r="N89" s="440">
        <f t="shared" si="39"/>
        <v>0</v>
      </c>
      <c r="O89" s="440">
        <f t="shared" si="16"/>
        <v>0</v>
      </c>
      <c r="P89" s="440">
        <f t="shared" si="30"/>
        <v>0</v>
      </c>
      <c r="Q89" s="440">
        <f t="shared" si="30"/>
        <v>0</v>
      </c>
      <c r="R89" s="668">
        <f t="shared" si="30"/>
        <v>0</v>
      </c>
      <c r="S89" s="211"/>
      <c r="U89" s="453">
        <f t="shared" si="17"/>
        <v>0</v>
      </c>
      <c r="V89" s="453">
        <f t="shared" si="41"/>
        <v>0</v>
      </c>
      <c r="W89" s="453">
        <f t="shared" si="42"/>
        <v>0</v>
      </c>
    </row>
    <row r="90" spans="1:23">
      <c r="A90" s="336"/>
      <c r="B90" s="236" t="str">
        <f t="shared" si="40"/>
        <v/>
      </c>
      <c r="C90" s="438">
        <f t="shared" si="31"/>
        <v>0</v>
      </c>
      <c r="D90" s="438">
        <f t="shared" si="32"/>
        <v>0</v>
      </c>
      <c r="E90" s="438">
        <f t="shared" si="33"/>
        <v>0</v>
      </c>
      <c r="F90" s="438">
        <f t="shared" si="34"/>
        <v>0</v>
      </c>
      <c r="G90" s="235"/>
      <c r="H90" s="439">
        <f t="shared" si="35"/>
        <v>0</v>
      </c>
      <c r="I90" s="439" t="e">
        <f t="shared" si="36"/>
        <v>#VALUE!</v>
      </c>
      <c r="J90" s="439">
        <f t="shared" si="37"/>
        <v>0</v>
      </c>
      <c r="K90" s="439">
        <f t="shared" si="38"/>
        <v>0</v>
      </c>
      <c r="L90" s="631"/>
      <c r="M90" s="665" t="str">
        <f t="shared" si="43"/>
        <v/>
      </c>
      <c r="N90" s="439">
        <f t="shared" si="39"/>
        <v>0</v>
      </c>
      <c r="O90" s="439">
        <f t="shared" si="16"/>
        <v>0</v>
      </c>
      <c r="P90" s="439">
        <f t="shared" si="30"/>
        <v>0</v>
      </c>
      <c r="Q90" s="439">
        <f t="shared" si="30"/>
        <v>0</v>
      </c>
      <c r="R90" s="666">
        <f t="shared" si="30"/>
        <v>0</v>
      </c>
      <c r="S90" s="211"/>
      <c r="U90" s="453">
        <f t="shared" si="17"/>
        <v>0</v>
      </c>
      <c r="V90" s="453">
        <f t="shared" si="41"/>
        <v>0</v>
      </c>
      <c r="W90" s="453">
        <f t="shared" si="42"/>
        <v>0</v>
      </c>
    </row>
    <row r="91" spans="1:23">
      <c r="A91" s="336"/>
      <c r="B91" s="236" t="str">
        <f t="shared" si="40"/>
        <v/>
      </c>
      <c r="C91" s="438">
        <f t="shared" si="31"/>
        <v>0</v>
      </c>
      <c r="D91" s="438">
        <f t="shared" si="32"/>
        <v>0</v>
      </c>
      <c r="E91" s="438">
        <f t="shared" si="33"/>
        <v>0</v>
      </c>
      <c r="F91" s="438">
        <f t="shared" si="34"/>
        <v>0</v>
      </c>
      <c r="G91" s="235"/>
      <c r="H91" s="440">
        <f t="shared" si="35"/>
        <v>0</v>
      </c>
      <c r="I91" s="440" t="e">
        <f t="shared" si="36"/>
        <v>#VALUE!</v>
      </c>
      <c r="J91" s="440">
        <f t="shared" si="37"/>
        <v>0</v>
      </c>
      <c r="K91" s="440">
        <f t="shared" si="38"/>
        <v>0</v>
      </c>
      <c r="L91" s="632"/>
      <c r="M91" s="667" t="str">
        <f t="shared" si="43"/>
        <v/>
      </c>
      <c r="N91" s="440">
        <f t="shared" si="39"/>
        <v>0</v>
      </c>
      <c r="O91" s="440">
        <f>N91*12*IF(AND(INT(O$5)=$M91,O$5&gt;INT(O$5)),(1-(O$5-INT(O$5))),1)</f>
        <v>0</v>
      </c>
      <c r="P91" s="440">
        <f t="shared" si="30"/>
        <v>0</v>
      </c>
      <c r="Q91" s="440">
        <f t="shared" si="30"/>
        <v>0</v>
      </c>
      <c r="R91" s="668">
        <f t="shared" si="30"/>
        <v>0</v>
      </c>
      <c r="S91" s="211"/>
      <c r="U91" s="453">
        <f t="shared" si="17"/>
        <v>0</v>
      </c>
      <c r="V91" s="453">
        <f t="shared" si="41"/>
        <v>0</v>
      </c>
      <c r="W91" s="453">
        <f t="shared" si="42"/>
        <v>0</v>
      </c>
    </row>
    <row r="92" spans="1:23">
      <c r="A92" s="336"/>
      <c r="B92" s="236" t="str">
        <f t="shared" si="40"/>
        <v/>
      </c>
      <c r="C92" s="438">
        <f t="shared" si="31"/>
        <v>0</v>
      </c>
      <c r="D92" s="438">
        <f t="shared" si="32"/>
        <v>0</v>
      </c>
      <c r="E92" s="438">
        <f t="shared" si="33"/>
        <v>0</v>
      </c>
      <c r="F92" s="438">
        <f t="shared" si="34"/>
        <v>0</v>
      </c>
      <c r="G92" s="235"/>
      <c r="H92" s="439">
        <f t="shared" si="35"/>
        <v>0</v>
      </c>
      <c r="I92" s="439" t="e">
        <f t="shared" si="36"/>
        <v>#VALUE!</v>
      </c>
      <c r="J92" s="439">
        <f t="shared" si="37"/>
        <v>0</v>
      </c>
      <c r="K92" s="439">
        <f t="shared" si="38"/>
        <v>0</v>
      </c>
      <c r="L92" s="631"/>
      <c r="M92" s="665" t="str">
        <f t="shared" si="43"/>
        <v/>
      </c>
      <c r="N92" s="439">
        <f t="shared" si="39"/>
        <v>0</v>
      </c>
      <c r="O92" s="439">
        <f>N92*12*IF(AND(INT(O$5)=$M92,O$5&gt;INT(O$5)),(1-(O$5-INT(O$5))),1)</f>
        <v>0</v>
      </c>
      <c r="P92" s="439">
        <f t="shared" si="30"/>
        <v>0</v>
      </c>
      <c r="Q92" s="439">
        <f t="shared" si="30"/>
        <v>0</v>
      </c>
      <c r="R92" s="666">
        <f t="shared" si="30"/>
        <v>0</v>
      </c>
      <c r="S92" s="211"/>
      <c r="U92" s="453">
        <f t="shared" si="17"/>
        <v>0</v>
      </c>
      <c r="V92" s="453">
        <f t="shared" si="41"/>
        <v>0</v>
      </c>
      <c r="W92" s="453">
        <f t="shared" si="42"/>
        <v>0</v>
      </c>
    </row>
    <row r="93" spans="1:23" ht="15" thickBot="1">
      <c r="A93" s="336"/>
      <c r="B93" s="252" t="str">
        <f t="shared" si="40"/>
        <v/>
      </c>
      <c r="C93" s="438">
        <f t="shared" si="31"/>
        <v>0</v>
      </c>
      <c r="D93" s="438">
        <f t="shared" si="32"/>
        <v>0</v>
      </c>
      <c r="E93" s="438">
        <f t="shared" si="33"/>
        <v>0</v>
      </c>
      <c r="F93" s="438">
        <f t="shared" si="34"/>
        <v>0</v>
      </c>
      <c r="G93" s="441"/>
      <c r="H93" s="440">
        <f t="shared" si="35"/>
        <v>0</v>
      </c>
      <c r="I93" s="440" t="e">
        <f t="shared" si="36"/>
        <v>#VALUE!</v>
      </c>
      <c r="J93" s="440">
        <f t="shared" si="37"/>
        <v>0</v>
      </c>
      <c r="K93" s="440">
        <f t="shared" si="38"/>
        <v>0</v>
      </c>
      <c r="L93" s="632"/>
      <c r="M93" s="669" t="str">
        <f t="shared" si="43"/>
        <v/>
      </c>
      <c r="N93" s="440">
        <f t="shared" si="39"/>
        <v>0</v>
      </c>
      <c r="O93" s="440">
        <f>N93*12*IF(AND(INT(O$5)=$M93,O$5&gt;INT(O$5)),(1-(O$5-INT(O$5))),1)</f>
        <v>0</v>
      </c>
      <c r="P93" s="440">
        <f t="shared" si="30"/>
        <v>0</v>
      </c>
      <c r="Q93" s="440">
        <f t="shared" si="30"/>
        <v>0</v>
      </c>
      <c r="R93" s="668">
        <f t="shared" si="30"/>
        <v>0</v>
      </c>
      <c r="S93" s="211"/>
      <c r="U93" s="453">
        <f t="shared" si="17"/>
        <v>0</v>
      </c>
      <c r="V93" s="453">
        <f t="shared" si="41"/>
        <v>0</v>
      </c>
      <c r="W93" s="453">
        <f t="shared" si="42"/>
        <v>0</v>
      </c>
    </row>
    <row r="94" spans="1:23" ht="15" thickBot="1">
      <c r="A94" s="240"/>
      <c r="B94" s="337" t="str">
        <f t="shared" si="40"/>
        <v/>
      </c>
      <c r="C94" s="338">
        <f t="shared" si="31"/>
        <v>0</v>
      </c>
      <c r="D94" s="338"/>
      <c r="E94" s="338"/>
      <c r="F94" s="338"/>
      <c r="G94" s="239"/>
      <c r="H94" s="240"/>
      <c r="I94" s="239"/>
      <c r="J94" s="239"/>
      <c r="K94" s="241"/>
      <c r="L94" s="238"/>
      <c r="M94" s="337"/>
      <c r="N94" s="239"/>
      <c r="O94" s="241"/>
      <c r="P94" s="239"/>
      <c r="Q94" s="239"/>
      <c r="R94" s="241"/>
      <c r="S94" s="211"/>
    </row>
    <row r="95" spans="1:23"/>
  </sheetData>
  <sheetProtection algorithmName="SHA-512" hashValue="O4L79uAY7KyGRTU2ssY6pfvjPHCSx1oe26rma9f7thBqT6NKEkGTzaq9Xhb3yFl6S0ovSgog0xMkdXORAS6HvA==" saltValue="HXM4DJUQJ5PI4KSetezzGA==" spinCount="100000" sheet="1" objects="1" scenarios="1" formatColumns="0" autoFilter="0"/>
  <mergeCells count="22">
    <mergeCell ref="B10:F10"/>
    <mergeCell ref="U4:W4"/>
    <mergeCell ref="B8:F8"/>
    <mergeCell ref="B9:F9"/>
    <mergeCell ref="B11:F11"/>
    <mergeCell ref="N1:N13"/>
    <mergeCell ref="B13:F13"/>
    <mergeCell ref="B1:F1"/>
    <mergeCell ref="B2:F2"/>
    <mergeCell ref="B3:F3"/>
    <mergeCell ref="B4:F4"/>
    <mergeCell ref="B5:F5"/>
    <mergeCell ref="B12:F12"/>
    <mergeCell ref="B6:F6"/>
    <mergeCell ref="B7:F7"/>
    <mergeCell ref="U15:W15"/>
    <mergeCell ref="N14:O15"/>
    <mergeCell ref="H15:K15"/>
    <mergeCell ref="C15:F15"/>
    <mergeCell ref="B15:B16"/>
    <mergeCell ref="P16:R16"/>
    <mergeCell ref="E14:H14"/>
  </mergeCells>
  <phoneticPr fontId="61" type="noConversion"/>
  <pageMargins left="0.70866141732283472" right="0.70866141732283472" top="0.78740157480314965" bottom="0.78740157480314965" header="0.31496062992125984" footer="0.31496062992125984"/>
  <pageSetup paperSize="9" scale="58"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DA2D-2C18-4ED8-93DE-C2A0C3D70BBD}">
  <sheetPr codeName="Tabelle15"/>
  <dimension ref="A11:P94"/>
  <sheetViews>
    <sheetView topLeftCell="A14" workbookViewId="0">
      <selection activeCell="A66" sqref="A66"/>
    </sheetView>
  </sheetViews>
  <sheetFormatPr baseColWidth="10" defaultRowHeight="14.25"/>
  <cols>
    <col min="1" max="3" width="10.125" style="215" customWidth="1"/>
    <col min="6" max="7" width="11.125" bestFit="1" customWidth="1"/>
    <col min="10" max="10" width="12.125" customWidth="1"/>
    <col min="11" max="11" width="11.125" customWidth="1"/>
  </cols>
  <sheetData>
    <row r="11" spans="1:16">
      <c r="A11" s="15" t="b">
        <v>1</v>
      </c>
    </row>
    <row r="12" spans="1:16">
      <c r="A12" s="15" t="b">
        <v>1</v>
      </c>
    </row>
    <row r="16" spans="1:16" ht="28.5">
      <c r="A16" s="1914" t="s">
        <v>1864</v>
      </c>
      <c r="B16" s="1914" t="s">
        <v>1865</v>
      </c>
      <c r="C16" s="1914"/>
      <c r="L16" s="796" t="e">
        <f>+'[8]BVerfG 1 BvL 5-18'!$D$3</f>
        <v>#REF!</v>
      </c>
      <c r="M16" s="796" t="s">
        <v>126</v>
      </c>
      <c r="N16" s="796" t="s">
        <v>287</v>
      </c>
      <c r="O16" s="796" t="s">
        <v>1866</v>
      </c>
      <c r="P16" s="796" t="s">
        <v>189</v>
      </c>
    </row>
    <row r="17" spans="1:16">
      <c r="A17" s="235"/>
      <c r="B17" s="235"/>
      <c r="C17" s="235"/>
    </row>
    <row r="18" spans="1:16">
      <c r="A18" s="1915" t="e">
        <f>IF(PflGesamt,IF(GesVersrgPfl,SUM(Tabelle2[[#This Row],[Spalte2]:[Spalte8]]),0),0)</f>
        <v>#REF!</v>
      </c>
      <c r="B18" s="1915" t="e">
        <f>IF(BerGesamt,SUM('[8]Berechnungen BVerfG'!P18:R18)+'[8]Berechnungen BVerfG'!N18,0)</f>
        <v>#REF!</v>
      </c>
      <c r="C18" s="1915">
        <f t="shared" ref="C18:C49" si="0">IF(GesVersrgPfl,P18,0)</f>
        <v>0</v>
      </c>
      <c r="D18" s="1915" t="e">
        <f>SUM('[8]Berechnungen BVerfG'!P18:R18)+'[8]Berechnungen BVerfG'!N18</f>
        <v>#REF!</v>
      </c>
      <c r="K18" t="e">
        <f>+[8]!Tabelle2[[#This Row],[Alter]]</f>
        <v>#REF!</v>
      </c>
      <c r="L18" s="91">
        <f>IFERROR(IF($K18&lt;INT('[8]Berechnungen BVerfG'!H$5),0,IF($K18=INT('[8]Berechnungen BVerfG'!H$2),'[8]Berechnungen BVerfG'!H$12,IF($K18&gt;INT('[8]Berechnungen BVerfG'!H$2),'[8]Berechnungen BVerfG'!H$12*(1+'[8]Berechnungen BVerfG'!H$9)^(IF($K18-'[8]Berechnungen BVerfG'!H$5&lt;=0,0,$K18-IF('[8]Berechnungen BVerfG'!H$5&lt;'[8]Berechnungen BVerfG'!H$2,'[8]Berechnungen BVerfG'!H$2,'[8]Berechnungen BVerfG'!H$5))),0))),0)</f>
        <v>0</v>
      </c>
      <c r="M18" s="1916">
        <f>IFERROR(IF(K18&lt;INT('[8]Berechnungen BVerfG'!I$5),0,IF(K18=INT('[8]Berechnungen BVerfG'!I$2),'[8]Berechnungen BVerfG'!I$12,IF(K18&gt;INT('[8]Berechnungen BVerfG'!I$2),'[8]Berechnungen BVerfG'!I$12*(1+'[8]Berechnungen BVerfG'!I$9)^(IF(K18-'[8]Berechnungen BVerfG'!I$5&lt;=0,0,K18-IF('[8]Berechnungen BVerfG'!I$5&lt;'[8]Berechnungen BVerfG'!I$2,'[8]Berechnungen BVerfG'!I$2,'[8]Berechnungen BVerfG'!I$5))),0))),0)</f>
        <v>0</v>
      </c>
      <c r="N18" s="1916">
        <f>IFERROR(IF($K18&lt;INT('[8]Berechnungen BVerfG'!J$5),0,IF($K18=INT('[8]Berechnungen BVerfG'!J$2),'[8]Berechnungen BVerfG'!J$12,IF($K18&gt;INT('[8]Berechnungen BVerfG'!J$2),'[8]Berechnungen BVerfG'!J$12*(1+'[8]Berechnungen BVerfG'!J$9)^(IF($K18-'[8]Berechnungen BVerfG'!J$5&lt;=0,0,$K18-IF('[8]Berechnungen BVerfG'!J$5&lt;'[8]Berechnungen BVerfG'!J$2,'[8]Berechnungen BVerfG'!J$2,'[8]Berechnungen BVerfG'!K$5))),0))),0)</f>
        <v>0</v>
      </c>
      <c r="O18" s="1916">
        <f>IFERROR(IF($K18&lt;INT('[8]Berechnungen BVerfG'!K$5),0,IF($K18=INT('[8]Berechnungen BVerfG'!K$2),'[8]Berechnungen BVerfG'!K$12,IF($K18&gt;INT('[8]Berechnungen BVerfG'!K$2),'[8]Berechnungen BVerfG'!K$12*(1+'[8]Berechnungen BVerfG'!K$9)^(IF($K18-'[8]Berechnungen BVerfG'!K$5&lt;=0,0,$K18-IF('[8]Berechnungen BVerfG'!K$5&lt;'[8]Berechnungen BVerfG'!K$2,'[8]Berechnungen BVerfG'!K$2,'[8]Berechnungen BVerfG'!K$5))),0))),0)</f>
        <v>0</v>
      </c>
      <c r="P18" s="91">
        <f t="shared" ref="P18:P49" si="1">IF(GesVersrgPfl,SUM(L18:O18),0)</f>
        <v>0</v>
      </c>
    </row>
    <row r="19" spans="1:16">
      <c r="A19" s="1915" t="e">
        <f>IF(PflGesamt,IF(GesVersrgPfl,SUM([8]!Tabelle2[[#This Row],[Spalte2]:[Spalte8]]),0),0)</f>
        <v>#REF!</v>
      </c>
      <c r="B19" s="1915" t="e">
        <f>IF(BerGesamt,SUM('[8]Berechnungen BVerfG'!P19:R19)+'[8]Berechnungen BVerfG'!N19,0)</f>
        <v>#REF!</v>
      </c>
      <c r="C19" s="1915">
        <f t="shared" si="0"/>
        <v>0</v>
      </c>
      <c r="D19" s="1915" t="e">
        <f>SUM('[8]Berechnungen BVerfG'!P19:R19)+'[8]Berechnungen BVerfG'!N19</f>
        <v>#REF!</v>
      </c>
      <c r="K19" t="e">
        <f>+[8]!Tabelle2[[#This Row],[Alter]]</f>
        <v>#REF!</v>
      </c>
      <c r="L19" s="91">
        <f>IFERROR(IF($K19&lt;INT('[8]Berechnungen BVerfG'!H$5),0,IF($K19=INT('[8]Berechnungen BVerfG'!H$2),'[8]Berechnungen BVerfG'!H$12,IF($K19&gt;INT('[8]Berechnungen BVerfG'!H$2),'[8]Berechnungen BVerfG'!H$12*(1+'[8]Berechnungen BVerfG'!H$9)^(IF($K19-'[8]Berechnungen BVerfG'!H$5&lt;=0,0,$K19-IF('[8]Berechnungen BVerfG'!H$5&lt;'[8]Berechnungen BVerfG'!H$2,'[8]Berechnungen BVerfG'!H$2,'[8]Berechnungen BVerfG'!H$5))),0))),0)</f>
        <v>0</v>
      </c>
      <c r="M19" s="1916">
        <f>IFERROR(IF(K19&lt;INT('[8]Berechnungen BVerfG'!I$5),0,IF(K19=INT('[8]Berechnungen BVerfG'!I$2),'[8]Berechnungen BVerfG'!I$12,IF(K19&gt;INT('[8]Berechnungen BVerfG'!I$2),'[8]Berechnungen BVerfG'!I$12*(1+'[8]Berechnungen BVerfG'!I$9)^(IF(K19-'[8]Berechnungen BVerfG'!I$5&lt;=0,0,K19-IF('[8]Berechnungen BVerfG'!I$5&lt;'[8]Berechnungen BVerfG'!I$2,'[8]Berechnungen BVerfG'!I$2,'[8]Berechnungen BVerfG'!I$5))),0))),0)</f>
        <v>0</v>
      </c>
      <c r="N19" s="1916">
        <f>IFERROR(IF($K19&lt;INT('[8]Berechnungen BVerfG'!J$5),0,IF($K19=INT('[8]Berechnungen BVerfG'!J$2),'[8]Berechnungen BVerfG'!J$12,IF($K19&gt;INT('[8]Berechnungen BVerfG'!J$2),'[8]Berechnungen BVerfG'!J$12*(1+'[8]Berechnungen BVerfG'!J$9)^(IF($K19-'[8]Berechnungen BVerfG'!J$5&lt;=0,0,$K19-IF('[8]Berechnungen BVerfG'!J$5&lt;'[8]Berechnungen BVerfG'!J$2,'[8]Berechnungen BVerfG'!J$2,'[8]Berechnungen BVerfG'!K$5))),0))),0)</f>
        <v>0</v>
      </c>
      <c r="O19" s="1916">
        <f>IFERROR(IF($K19&lt;INT('[8]Berechnungen BVerfG'!K$5),0,IF($K19=INT('[8]Berechnungen BVerfG'!K$2),'[8]Berechnungen BVerfG'!K$12,IF($K19&gt;INT('[8]Berechnungen BVerfG'!K$2),'[8]Berechnungen BVerfG'!K$12*(1+'[8]Berechnungen BVerfG'!K$9)^(IF($K19-'[8]Berechnungen BVerfG'!K$5&lt;=0,0,$K19-IF('[8]Berechnungen BVerfG'!K$5&lt;'[8]Berechnungen BVerfG'!K$2,'[8]Berechnungen BVerfG'!K$2,'[8]Berechnungen BVerfG'!K$5))),0))),0)</f>
        <v>0</v>
      </c>
      <c r="P19" s="91">
        <f t="shared" si="1"/>
        <v>0</v>
      </c>
    </row>
    <row r="20" spans="1:16">
      <c r="A20" s="1915" t="e">
        <f>IF(PflGesamt,IF(GesVersrgPfl,SUM([8]!Tabelle2[[#This Row],[Spalte2]:[Spalte8]]),0),0)</f>
        <v>#REF!</v>
      </c>
      <c r="B20" s="1915" t="e">
        <f>IF(BerGesamt,SUM('[8]Berechnungen BVerfG'!P20:R20)+'[8]Berechnungen BVerfG'!N20,0)</f>
        <v>#REF!</v>
      </c>
      <c r="C20" s="1915">
        <f t="shared" si="0"/>
        <v>0</v>
      </c>
      <c r="D20" s="1915" t="e">
        <f>SUM('[8]Berechnungen BVerfG'!P20:R20)+'[8]Berechnungen BVerfG'!N20</f>
        <v>#REF!</v>
      </c>
      <c r="K20" t="e">
        <f>+[8]!Tabelle2[[#This Row],[Alter]]</f>
        <v>#REF!</v>
      </c>
      <c r="L20" s="91">
        <f>IFERROR(IF($K20&lt;INT('[8]Berechnungen BVerfG'!H$5),0,IF($K20=INT('[8]Berechnungen BVerfG'!H$2),'[8]Berechnungen BVerfG'!H$12,IF($K20&gt;INT('[8]Berechnungen BVerfG'!H$2),'[8]Berechnungen BVerfG'!H$12*(1+'[8]Berechnungen BVerfG'!H$9)^(IF($K20-'[8]Berechnungen BVerfG'!H$5&lt;=0,0,$K20-IF('[8]Berechnungen BVerfG'!H$5&lt;'[8]Berechnungen BVerfG'!H$2,'[8]Berechnungen BVerfG'!H$2,'[8]Berechnungen BVerfG'!H$5))),0))),0)</f>
        <v>0</v>
      </c>
      <c r="M20" s="1916">
        <f>IFERROR(IF(K20&lt;INT('[8]Berechnungen BVerfG'!I$5),0,IF(K20=INT('[8]Berechnungen BVerfG'!I$2),'[8]Berechnungen BVerfG'!I$12,IF(K20&gt;INT('[8]Berechnungen BVerfG'!I$2),'[8]Berechnungen BVerfG'!I$12*(1+'[8]Berechnungen BVerfG'!I$9)^(IF(K20-'[8]Berechnungen BVerfG'!I$5&lt;=0,0,K20-IF('[8]Berechnungen BVerfG'!I$5&lt;'[8]Berechnungen BVerfG'!I$2,'[8]Berechnungen BVerfG'!I$2,'[8]Berechnungen BVerfG'!I$5))),0))),0)</f>
        <v>0</v>
      </c>
      <c r="N20" s="1916">
        <f>IFERROR(IF($K20&lt;INT('[8]Berechnungen BVerfG'!J$5),0,IF($K20=INT('[8]Berechnungen BVerfG'!J$2),'[8]Berechnungen BVerfG'!J$12,IF($K20&gt;INT('[8]Berechnungen BVerfG'!J$2),'[8]Berechnungen BVerfG'!J$12*(1+'[8]Berechnungen BVerfG'!J$9)^(IF($K20-'[8]Berechnungen BVerfG'!J$5&lt;=0,0,$K20-IF('[8]Berechnungen BVerfG'!J$5&lt;'[8]Berechnungen BVerfG'!J$2,'[8]Berechnungen BVerfG'!J$2,'[8]Berechnungen BVerfG'!K$5))),0))),0)</f>
        <v>0</v>
      </c>
      <c r="O20" s="1916">
        <f>IFERROR(IF($K20&lt;INT('[8]Berechnungen BVerfG'!K$5),0,IF($K20=INT('[8]Berechnungen BVerfG'!K$2),'[8]Berechnungen BVerfG'!K$12,IF($K20&gt;INT('[8]Berechnungen BVerfG'!K$2),'[8]Berechnungen BVerfG'!K$12*(1+'[8]Berechnungen BVerfG'!K$9)^(IF($K20-'[8]Berechnungen BVerfG'!K$5&lt;=0,0,$K20-IF('[8]Berechnungen BVerfG'!K$5&lt;'[8]Berechnungen BVerfG'!K$2,'[8]Berechnungen BVerfG'!K$2,'[8]Berechnungen BVerfG'!K$5))),0))),0)</f>
        <v>0</v>
      </c>
      <c r="P20" s="91">
        <f t="shared" si="1"/>
        <v>0</v>
      </c>
    </row>
    <row r="21" spans="1:16">
      <c r="A21" s="1915" t="e">
        <f>IF(PflGesamt,IF(GesVersrgPfl,SUM([8]!Tabelle2[[#This Row],[Spalte2]:[Spalte8]]),0),0)</f>
        <v>#REF!</v>
      </c>
      <c r="B21" s="1915" t="e">
        <f>IF(BerGesamt,SUM('[8]Berechnungen BVerfG'!P21:R21)+'[8]Berechnungen BVerfG'!N21,0)</f>
        <v>#REF!</v>
      </c>
      <c r="C21" s="1915">
        <f t="shared" si="0"/>
        <v>0</v>
      </c>
      <c r="D21" s="1915" t="e">
        <f>SUM('[8]Berechnungen BVerfG'!P21:R21)+'[8]Berechnungen BVerfG'!N21</f>
        <v>#REF!</v>
      </c>
      <c r="K21" t="e">
        <f>+[8]!Tabelle2[[#This Row],[Alter]]</f>
        <v>#REF!</v>
      </c>
      <c r="L21" s="91">
        <f>IFERROR(IF($K21&lt;INT('[8]Berechnungen BVerfG'!H$5),0,IF($K21=INT('[8]Berechnungen BVerfG'!H$2),'[8]Berechnungen BVerfG'!H$12,IF($K21&gt;INT('[8]Berechnungen BVerfG'!H$2),'[8]Berechnungen BVerfG'!H$12*(1+'[8]Berechnungen BVerfG'!H$9)^(IF($K21-'[8]Berechnungen BVerfG'!H$5&lt;=0,0,$K21-IF('[8]Berechnungen BVerfG'!H$5&lt;'[8]Berechnungen BVerfG'!H$2,'[8]Berechnungen BVerfG'!H$2,'[8]Berechnungen BVerfG'!H$5))),0))),0)</f>
        <v>0</v>
      </c>
      <c r="M21" s="1916">
        <f>IFERROR(IF(K21&lt;INT('[8]Berechnungen BVerfG'!I$5),0,IF(K21=INT('[8]Berechnungen BVerfG'!I$2),'[8]Berechnungen BVerfG'!I$12,IF(K21&gt;INT('[8]Berechnungen BVerfG'!I$2),'[8]Berechnungen BVerfG'!I$12*(1+'[8]Berechnungen BVerfG'!I$9)^(IF(K21-'[8]Berechnungen BVerfG'!I$5&lt;=0,0,K21-IF('[8]Berechnungen BVerfG'!I$5&lt;'[8]Berechnungen BVerfG'!I$2,'[8]Berechnungen BVerfG'!I$2,'[8]Berechnungen BVerfG'!I$5))),0))),0)</f>
        <v>0</v>
      </c>
      <c r="N21" s="1916">
        <f>IFERROR(IF($K21&lt;INT('[8]Berechnungen BVerfG'!J$5),0,IF($K21=INT('[8]Berechnungen BVerfG'!J$2),'[8]Berechnungen BVerfG'!J$12,IF($K21&gt;INT('[8]Berechnungen BVerfG'!J$2),'[8]Berechnungen BVerfG'!J$12*(1+'[8]Berechnungen BVerfG'!J$9)^(IF($K21-'[8]Berechnungen BVerfG'!J$5&lt;=0,0,$K21-IF('[8]Berechnungen BVerfG'!J$5&lt;'[8]Berechnungen BVerfG'!J$2,'[8]Berechnungen BVerfG'!J$2,'[8]Berechnungen BVerfG'!K$5))),0))),0)</f>
        <v>0</v>
      </c>
      <c r="O21" s="1916">
        <f>IFERROR(IF($K21&lt;INT('[8]Berechnungen BVerfG'!K$5),0,IF($K21=INT('[8]Berechnungen BVerfG'!K$2),'[8]Berechnungen BVerfG'!K$12,IF($K21&gt;INT('[8]Berechnungen BVerfG'!K$2),'[8]Berechnungen BVerfG'!K$12*(1+'[8]Berechnungen BVerfG'!K$9)^(IF($K21-'[8]Berechnungen BVerfG'!K$5&lt;=0,0,$K21-IF('[8]Berechnungen BVerfG'!K$5&lt;'[8]Berechnungen BVerfG'!K$2,'[8]Berechnungen BVerfG'!K$2,'[8]Berechnungen BVerfG'!K$5))),0))),0)</f>
        <v>0</v>
      </c>
      <c r="P21" s="91">
        <f t="shared" si="1"/>
        <v>0</v>
      </c>
    </row>
    <row r="22" spans="1:16">
      <c r="A22" s="1915" t="e">
        <f>IF(PflGesamt,IF(GesVersrgPfl,SUM([8]!Tabelle2[[#This Row],[Spalte2]:[Spalte8]]),0),0)</f>
        <v>#REF!</v>
      </c>
      <c r="B22" s="1915" t="e">
        <f>IF(BerGesamt,SUM('[8]Berechnungen BVerfG'!P22:R22)+'[8]Berechnungen BVerfG'!N22,0)</f>
        <v>#REF!</v>
      </c>
      <c r="C22" s="1915">
        <f t="shared" si="0"/>
        <v>0</v>
      </c>
      <c r="D22" s="1915" t="e">
        <f>SUM('[8]Berechnungen BVerfG'!P22:R22)+'[8]Berechnungen BVerfG'!N22</f>
        <v>#REF!</v>
      </c>
      <c r="F22">
        <v>1</v>
      </c>
      <c r="G22">
        <v>2</v>
      </c>
      <c r="H22">
        <v>3</v>
      </c>
      <c r="I22">
        <v>4</v>
      </c>
      <c r="K22" t="e">
        <f>+[8]!Tabelle2[[#This Row],[Alter]]</f>
        <v>#REF!</v>
      </c>
      <c r="L22" s="91">
        <f>IFERROR(IF($K22&lt;INT('[8]Berechnungen BVerfG'!H$5),0,IF($K22=INT('[8]Berechnungen BVerfG'!H$2),'[8]Berechnungen BVerfG'!H$12,IF($K22&gt;INT('[8]Berechnungen BVerfG'!H$2),'[8]Berechnungen BVerfG'!H$12*(1+'[8]Berechnungen BVerfG'!H$9)^(IF($K22-'[8]Berechnungen BVerfG'!H$5&lt;=0,0,$K22-IF('[8]Berechnungen BVerfG'!H$5&lt;'[8]Berechnungen BVerfG'!H$2,'[8]Berechnungen BVerfG'!H$2,'[8]Berechnungen BVerfG'!H$5))),0))),0)</f>
        <v>0</v>
      </c>
      <c r="M22" s="1916">
        <f>IFERROR(IF(K22&lt;INT('[8]Berechnungen BVerfG'!I$5),0,IF(K22=INT('[8]Berechnungen BVerfG'!I$2),'[8]Berechnungen BVerfG'!I$12,IF(K22&gt;INT('[8]Berechnungen BVerfG'!I$2),'[8]Berechnungen BVerfG'!I$12*(1+'[8]Berechnungen BVerfG'!I$9)^(IF(K22-'[8]Berechnungen BVerfG'!I$5&lt;=0,0,K22-IF('[8]Berechnungen BVerfG'!I$5&lt;'[8]Berechnungen BVerfG'!I$2,'[8]Berechnungen BVerfG'!I$2,'[8]Berechnungen BVerfG'!I$5))),0))),0)</f>
        <v>0</v>
      </c>
      <c r="N22" s="1916">
        <f>IFERROR(IF($K22&lt;INT('[8]Berechnungen BVerfG'!J$5),0,IF($K22=INT('[8]Berechnungen BVerfG'!J$2),'[8]Berechnungen BVerfG'!J$12,IF($K22&gt;INT('[8]Berechnungen BVerfG'!J$2),'[8]Berechnungen BVerfG'!J$12*(1+'[8]Berechnungen BVerfG'!J$9)^(IF($K22-'[8]Berechnungen BVerfG'!J$5&lt;=0,0,$K22-IF('[8]Berechnungen BVerfG'!J$5&lt;'[8]Berechnungen BVerfG'!J$2,'[8]Berechnungen BVerfG'!J$2,'[8]Berechnungen BVerfG'!K$5))),0))),0)</f>
        <v>0</v>
      </c>
      <c r="O22" s="1916">
        <f>IFERROR(IF($K22&lt;INT('[8]Berechnungen BVerfG'!K$5),0,IF($K22=INT('[8]Berechnungen BVerfG'!K$2),'[8]Berechnungen BVerfG'!K$12,IF($K22&gt;INT('[8]Berechnungen BVerfG'!K$2),'[8]Berechnungen BVerfG'!K$12*(1+'[8]Berechnungen BVerfG'!K$9)^(IF($K22-'[8]Berechnungen BVerfG'!K$5&lt;=0,0,$K22-IF('[8]Berechnungen BVerfG'!K$5&lt;'[8]Berechnungen BVerfG'!K$2,'[8]Berechnungen BVerfG'!K$2,'[8]Berechnungen BVerfG'!K$5))),0))),0)</f>
        <v>0</v>
      </c>
      <c r="P22" s="91">
        <f t="shared" si="1"/>
        <v>0</v>
      </c>
    </row>
    <row r="23" spans="1:16">
      <c r="A23" s="1915" t="e">
        <f>IF(PflGesamt,IF(GesVersrgPfl,SUM([8]!Tabelle2[[#This Row],[Spalte2]:[Spalte8]]),0),0)</f>
        <v>#REF!</v>
      </c>
      <c r="B23" s="1915" t="e">
        <f>IF(BerGesamt,SUM('[8]Berechnungen BVerfG'!P23:R23)+'[8]Berechnungen BVerfG'!N23,0)</f>
        <v>#REF!</v>
      </c>
      <c r="C23" s="1915">
        <f t="shared" si="0"/>
        <v>0</v>
      </c>
      <c r="D23" s="1915" t="e">
        <f>SUM('[8]Berechnungen BVerfG'!P23:R23)+'[8]Berechnungen BVerfG'!N23</f>
        <v>#REF!</v>
      </c>
      <c r="F23" s="468">
        <f>Adaequanz_errechneterKapWert</f>
        <v>0</v>
      </c>
      <c r="G23" s="468" t="e">
        <f>+'[8]BVerfG 1 BvL 5-18'!E20</f>
        <v>#REF!</v>
      </c>
      <c r="H23" s="468" t="e">
        <f>+'[8]BVerfG 1 BvL 5-18'!F20</f>
        <v>#REF!</v>
      </c>
      <c r="I23" s="468" t="e">
        <f>+'[8]BVerfG 1 BvL 5-18'!G20</f>
        <v>#REF!</v>
      </c>
      <c r="J23" s="148" t="e">
        <f>SUM(F23:I23)</f>
        <v>#REF!</v>
      </c>
      <c r="K23" t="e">
        <f>+[8]!Tabelle2[[#This Row],[Alter]]</f>
        <v>#REF!</v>
      </c>
      <c r="L23" s="91">
        <f>IFERROR(IF($K23&lt;INT('[8]Berechnungen BVerfG'!H$5),0,IF($K23=INT('[8]Berechnungen BVerfG'!H$2),'[8]Berechnungen BVerfG'!H$12,IF($K23&gt;INT('[8]Berechnungen BVerfG'!H$2),'[8]Berechnungen BVerfG'!H$12*(1+'[8]Berechnungen BVerfG'!H$9)^(IF($K23-'[8]Berechnungen BVerfG'!H$5&lt;=0,0,$K23-IF('[8]Berechnungen BVerfG'!H$5&lt;'[8]Berechnungen BVerfG'!H$2,'[8]Berechnungen BVerfG'!H$2,'[8]Berechnungen BVerfG'!H$5))),0))),0)</f>
        <v>0</v>
      </c>
      <c r="M23" s="1916">
        <f>IFERROR(IF(K23&lt;INT('[8]Berechnungen BVerfG'!I$5),0,IF(K23=INT('[8]Berechnungen BVerfG'!I$2),'[8]Berechnungen BVerfG'!I$12,IF(K23&gt;INT('[8]Berechnungen BVerfG'!I$2),'[8]Berechnungen BVerfG'!I$12*(1+'[8]Berechnungen BVerfG'!I$9)^(IF(K23-'[8]Berechnungen BVerfG'!I$5&lt;=0,0,K23-IF('[8]Berechnungen BVerfG'!I$5&lt;'[8]Berechnungen BVerfG'!I$2,'[8]Berechnungen BVerfG'!I$2,'[8]Berechnungen BVerfG'!I$5))),0))),0)</f>
        <v>0</v>
      </c>
      <c r="N23" s="1916">
        <f>IFERROR(IF($K23&lt;INT('[8]Berechnungen BVerfG'!J$5),0,IF($K23=INT('[8]Berechnungen BVerfG'!J$2),'[8]Berechnungen BVerfG'!J$12,IF($K23&gt;INT('[8]Berechnungen BVerfG'!J$2),'[8]Berechnungen BVerfG'!J$12*(1+'[8]Berechnungen BVerfG'!J$9)^(IF($K23-'[8]Berechnungen BVerfG'!J$5&lt;=0,0,$K23-IF('[8]Berechnungen BVerfG'!J$5&lt;'[8]Berechnungen BVerfG'!J$2,'[8]Berechnungen BVerfG'!J$2,'[8]Berechnungen BVerfG'!K$5))),0))),0)</f>
        <v>0</v>
      </c>
      <c r="O23" s="1916">
        <f>IFERROR(IF($K23&lt;INT('[8]Berechnungen BVerfG'!K$5),0,IF($K23=INT('[8]Berechnungen BVerfG'!K$2),'[8]Berechnungen BVerfG'!K$12,IF($K23&gt;INT('[8]Berechnungen BVerfG'!K$2),'[8]Berechnungen BVerfG'!K$12*(1+'[8]Berechnungen BVerfG'!K$9)^(IF($K23-'[8]Berechnungen BVerfG'!K$5&lt;=0,0,$K23-IF('[8]Berechnungen BVerfG'!K$5&lt;'[8]Berechnungen BVerfG'!K$2,'[8]Berechnungen BVerfG'!K$2,'[8]Berechnungen BVerfG'!K$5))),0))),0)</f>
        <v>0</v>
      </c>
      <c r="P23" s="91">
        <f t="shared" si="1"/>
        <v>0</v>
      </c>
    </row>
    <row r="24" spans="1:16">
      <c r="A24" s="1915" t="e">
        <f>IF(PflGesamt,IF(GesVersrgPfl,SUM([8]!Tabelle2[[#This Row],[Spalte2]:[Spalte8]]),0),0)</f>
        <v>#REF!</v>
      </c>
      <c r="B24" s="1915" t="e">
        <f>IF(BerGesamt,SUM('[8]Berechnungen BVerfG'!P24:R24)+'[8]Berechnungen BVerfG'!N24,0)</f>
        <v>#REF!</v>
      </c>
      <c r="C24" s="1915">
        <f t="shared" si="0"/>
        <v>0</v>
      </c>
      <c r="D24" s="1915" t="e">
        <f>SUM('[8]Berechnungen BVerfG'!P24:R24)+'[8]Berechnungen BVerfG'!N24</f>
        <v>#REF!</v>
      </c>
      <c r="F24" s="468" t="e">
        <f>'[8]BVerfG 1 BvL 5-18'!I20</f>
        <v>#REF!</v>
      </c>
      <c r="G24" s="468" t="e">
        <f>+'[8]BVerfG 1 BvL 5-18'!H20</f>
        <v>#REF!</v>
      </c>
      <c r="H24" s="468" t="e">
        <f>'[8]BVerfG 1 BvL 5-18'!J20</f>
        <v>#REF!</v>
      </c>
      <c r="I24" s="468" t="e">
        <f>'[8]BVerfG 1 BvL 5-18'!K20</f>
        <v>#REF!</v>
      </c>
      <c r="J24" s="148" t="e">
        <f>SUM(F24:I24)</f>
        <v>#REF!</v>
      </c>
      <c r="K24" t="e">
        <f>+[8]!Tabelle2[[#This Row],[Alter]]</f>
        <v>#REF!</v>
      </c>
      <c r="L24" s="91">
        <f>IFERROR(IF($K24&lt;INT('[8]Berechnungen BVerfG'!H$5),0,IF($K24=INT('[8]Berechnungen BVerfG'!H$2),'[8]Berechnungen BVerfG'!H$12,IF($K24&gt;INT('[8]Berechnungen BVerfG'!H$2),'[8]Berechnungen BVerfG'!H$12*(1+'[8]Berechnungen BVerfG'!H$9)^(IF($K24-'[8]Berechnungen BVerfG'!H$5&lt;=0,0,$K24-IF('[8]Berechnungen BVerfG'!H$5&lt;'[8]Berechnungen BVerfG'!H$2,'[8]Berechnungen BVerfG'!H$2,'[8]Berechnungen BVerfG'!H$5))),0))),0)</f>
        <v>0</v>
      </c>
      <c r="M24" s="1916">
        <f>IFERROR(IF(K24&lt;INT('[8]Berechnungen BVerfG'!I$5),0,IF(K24=INT('[8]Berechnungen BVerfG'!I$2),'[8]Berechnungen BVerfG'!I$12,IF(K24&gt;INT('[8]Berechnungen BVerfG'!I$2),'[8]Berechnungen BVerfG'!I$12*(1+'[8]Berechnungen BVerfG'!I$9)^(IF(K24-'[8]Berechnungen BVerfG'!I$5&lt;=0,0,K24-IF('[8]Berechnungen BVerfG'!I$5&lt;'[8]Berechnungen BVerfG'!I$2,'[8]Berechnungen BVerfG'!I$2,'[8]Berechnungen BVerfG'!I$5))),0))),0)</f>
        <v>0</v>
      </c>
      <c r="N24" s="1916">
        <f>IFERROR(IF($K24&lt;INT('[8]Berechnungen BVerfG'!J$5),0,IF($K24=INT('[8]Berechnungen BVerfG'!J$2),'[8]Berechnungen BVerfG'!J$12,IF($K24&gt;INT('[8]Berechnungen BVerfG'!J$2),'[8]Berechnungen BVerfG'!J$12*(1+'[8]Berechnungen BVerfG'!J$9)^(IF($K24-'[8]Berechnungen BVerfG'!J$5&lt;=0,0,$K24-IF('[8]Berechnungen BVerfG'!J$5&lt;'[8]Berechnungen BVerfG'!J$2,'[8]Berechnungen BVerfG'!J$2,'[8]Berechnungen BVerfG'!K$5))),0))),0)</f>
        <v>0</v>
      </c>
      <c r="O24" s="1916">
        <f>IFERROR(IF($K24&lt;INT('[8]Berechnungen BVerfG'!K$5),0,IF($K24=INT('[8]Berechnungen BVerfG'!K$2),'[8]Berechnungen BVerfG'!K$12,IF($K24&gt;INT('[8]Berechnungen BVerfG'!K$2),'[8]Berechnungen BVerfG'!K$12*(1+'[8]Berechnungen BVerfG'!K$9)^(IF($K24-'[8]Berechnungen BVerfG'!K$5&lt;=0,0,$K24-IF('[8]Berechnungen BVerfG'!K$5&lt;'[8]Berechnungen BVerfG'!K$2,'[8]Berechnungen BVerfG'!K$2,'[8]Berechnungen BVerfG'!K$5))),0))),0)</f>
        <v>0</v>
      </c>
      <c r="P24" s="91">
        <f t="shared" si="1"/>
        <v>0</v>
      </c>
    </row>
    <row r="25" spans="1:16">
      <c r="A25" s="1915" t="e">
        <f>IF(PflGesamt,IF(GesVersrgPfl,SUM([8]!Tabelle2[[#This Row],[Spalte2]:[Spalte8]]),0),0)</f>
        <v>#REF!</v>
      </c>
      <c r="B25" s="1915" t="e">
        <f>IF(BerGesamt,SUM('[8]Berechnungen BVerfG'!P25:R25)+'[8]Berechnungen BVerfG'!N25,0)</f>
        <v>#REF!</v>
      </c>
      <c r="C25" s="1915">
        <f t="shared" si="0"/>
        <v>0</v>
      </c>
      <c r="D25" s="1915" t="e">
        <f>SUM('[8]Berechnungen BVerfG'!P25:R25)+'[8]Berechnungen BVerfG'!N25</f>
        <v>#REF!</v>
      </c>
      <c r="K25" t="e">
        <f>+[8]!Tabelle2[[#This Row],[Alter]]</f>
        <v>#REF!</v>
      </c>
      <c r="L25" s="91">
        <f>IFERROR(IF($K25&lt;INT('[8]Berechnungen BVerfG'!H$5),0,IF($K25=INT('[8]Berechnungen BVerfG'!H$2),'[8]Berechnungen BVerfG'!H$12,IF($K25&gt;INT('[8]Berechnungen BVerfG'!H$2),'[8]Berechnungen BVerfG'!H$12*(1+'[8]Berechnungen BVerfG'!H$9)^(IF($K25-'[8]Berechnungen BVerfG'!H$5&lt;=0,0,$K25-IF('[8]Berechnungen BVerfG'!H$5&lt;'[8]Berechnungen BVerfG'!H$2,'[8]Berechnungen BVerfG'!H$2,'[8]Berechnungen BVerfG'!H$5))),0))),0)</f>
        <v>0</v>
      </c>
      <c r="M25" s="1916">
        <f>IFERROR(IF(K25&lt;INT('[8]Berechnungen BVerfG'!I$5),0,IF(K25=INT('[8]Berechnungen BVerfG'!I$2),'[8]Berechnungen BVerfG'!I$12,IF(K25&gt;INT('[8]Berechnungen BVerfG'!I$2),'[8]Berechnungen BVerfG'!I$12*(1+'[8]Berechnungen BVerfG'!I$9)^(IF(K25-'[8]Berechnungen BVerfG'!I$5&lt;=0,0,K25-IF('[8]Berechnungen BVerfG'!I$5&lt;'[8]Berechnungen BVerfG'!I$2,'[8]Berechnungen BVerfG'!I$2,'[8]Berechnungen BVerfG'!I$5))),0))),0)</f>
        <v>0</v>
      </c>
      <c r="N25" s="1916">
        <f>IFERROR(IF($K25&lt;INT('[8]Berechnungen BVerfG'!J$5),0,IF($K25=INT('[8]Berechnungen BVerfG'!J$2),'[8]Berechnungen BVerfG'!J$12,IF($K25&gt;INT('[8]Berechnungen BVerfG'!J$2),'[8]Berechnungen BVerfG'!J$12*(1+'[8]Berechnungen BVerfG'!J$9)^(IF($K25-'[8]Berechnungen BVerfG'!J$5&lt;=0,0,$K25-IF('[8]Berechnungen BVerfG'!J$5&lt;'[8]Berechnungen BVerfG'!J$2,'[8]Berechnungen BVerfG'!J$2,'[8]Berechnungen BVerfG'!K$5))),0))),0)</f>
        <v>0</v>
      </c>
      <c r="O25" s="1916">
        <f>IFERROR(IF($K25&lt;INT('[8]Berechnungen BVerfG'!K$5),0,IF($K25=INT('[8]Berechnungen BVerfG'!K$2),'[8]Berechnungen BVerfG'!K$12,IF($K25&gt;INT('[8]Berechnungen BVerfG'!K$2),'[8]Berechnungen BVerfG'!K$12*(1+'[8]Berechnungen BVerfG'!K$9)^(IF($K25-'[8]Berechnungen BVerfG'!K$5&lt;=0,0,$K25-IF('[8]Berechnungen BVerfG'!K$5&lt;'[8]Berechnungen BVerfG'!K$2,'[8]Berechnungen BVerfG'!K$2,'[8]Berechnungen BVerfG'!K$5))),0))),0)</f>
        <v>0</v>
      </c>
      <c r="P25" s="91">
        <f t="shared" si="1"/>
        <v>0</v>
      </c>
    </row>
    <row r="26" spans="1:16">
      <c r="A26" s="1915" t="e">
        <f>IF(PflGesamt,IF(GesVersrgPfl,SUM([8]!Tabelle2[[#This Row],[Spalte2]:[Spalte8]]),0),0)</f>
        <v>#REF!</v>
      </c>
      <c r="B26" s="1915" t="e">
        <f>IF(BerGesamt,SUM('[8]Berechnungen BVerfG'!P26:R26)+'[8]Berechnungen BVerfG'!N26,0)</f>
        <v>#REF!</v>
      </c>
      <c r="C26" s="1915">
        <f t="shared" si="0"/>
        <v>0</v>
      </c>
      <c r="D26" s="1915" t="e">
        <f>SUM('[8]Berechnungen BVerfG'!P26:R26)+'[8]Berechnungen BVerfG'!N26</f>
        <v>#REF!</v>
      </c>
      <c r="F26" s="468">
        <f>Adaequanz_errechneterKapWert</f>
        <v>0</v>
      </c>
      <c r="G26" s="468" t="e">
        <f>+F24</f>
        <v>#REF!</v>
      </c>
      <c r="K26" t="e">
        <f>+[8]!Tabelle2[[#This Row],[Alter]]</f>
        <v>#REF!</v>
      </c>
      <c r="L26" s="91">
        <f>IFERROR(IF($K26&lt;INT('[8]Berechnungen BVerfG'!H$5),0,IF($K26=INT('[8]Berechnungen BVerfG'!H$2),'[8]Berechnungen BVerfG'!H$12,IF($K26&gt;INT('[8]Berechnungen BVerfG'!H$2),'[8]Berechnungen BVerfG'!H$12*(1+'[8]Berechnungen BVerfG'!H$9)^(IF($K26-'[8]Berechnungen BVerfG'!H$5&lt;=0,0,$K26-IF('[8]Berechnungen BVerfG'!H$5&lt;'[8]Berechnungen BVerfG'!H$2,'[8]Berechnungen BVerfG'!H$2,'[8]Berechnungen BVerfG'!H$5))),0))),0)</f>
        <v>0</v>
      </c>
      <c r="M26" s="1916">
        <f>IFERROR(IF(K26&lt;INT('[8]Berechnungen BVerfG'!I$5),0,IF(K26=INT('[8]Berechnungen BVerfG'!I$2),'[8]Berechnungen BVerfG'!I$12,IF(K26&gt;INT('[8]Berechnungen BVerfG'!I$2),'[8]Berechnungen BVerfG'!I$12*(1+'[8]Berechnungen BVerfG'!I$9)^(IF(K26-'[8]Berechnungen BVerfG'!I$5&lt;=0,0,K26-IF('[8]Berechnungen BVerfG'!I$5&lt;'[8]Berechnungen BVerfG'!I$2,'[8]Berechnungen BVerfG'!I$2,'[8]Berechnungen BVerfG'!I$5))),0))),0)</f>
        <v>0</v>
      </c>
      <c r="N26" s="1916">
        <f>IFERROR(IF($K26&lt;INT('[8]Berechnungen BVerfG'!J$5),0,IF($K26=INT('[8]Berechnungen BVerfG'!J$2),'[8]Berechnungen BVerfG'!J$12,IF($K26&gt;INT('[8]Berechnungen BVerfG'!J$2),'[8]Berechnungen BVerfG'!J$12*(1+'[8]Berechnungen BVerfG'!J$9)^(IF($K26-'[8]Berechnungen BVerfG'!J$5&lt;=0,0,$K26-IF('[8]Berechnungen BVerfG'!J$5&lt;'[8]Berechnungen BVerfG'!J$2,'[8]Berechnungen BVerfG'!J$2,'[8]Berechnungen BVerfG'!K$5))),0))),0)</f>
        <v>0</v>
      </c>
      <c r="O26" s="1916">
        <f>IFERROR(IF($K26&lt;INT('[8]Berechnungen BVerfG'!K$5),0,IF($K26=INT('[8]Berechnungen BVerfG'!K$2),'[8]Berechnungen BVerfG'!K$12,IF($K26&gt;INT('[8]Berechnungen BVerfG'!K$2),'[8]Berechnungen BVerfG'!K$12*(1+'[8]Berechnungen BVerfG'!K$9)^(IF($K26-'[8]Berechnungen BVerfG'!K$5&lt;=0,0,$K26-IF('[8]Berechnungen BVerfG'!K$5&lt;'[8]Berechnungen BVerfG'!K$2,'[8]Berechnungen BVerfG'!K$2,'[8]Berechnungen BVerfG'!K$5))),0))),0)</f>
        <v>0</v>
      </c>
      <c r="P26" s="91">
        <f t="shared" si="1"/>
        <v>0</v>
      </c>
    </row>
    <row r="27" spans="1:16">
      <c r="A27" s="1915" t="e">
        <f>IF(PflGesamt,IF(GesVersrgPfl,SUM([8]!Tabelle2[[#This Row],[Spalte2]:[Spalte8]]),0),0)</f>
        <v>#REF!</v>
      </c>
      <c r="B27" s="1915" t="e">
        <f>IF(BerGesamt,SUM('[8]Berechnungen BVerfG'!P27:R27)+'[8]Berechnungen BVerfG'!N27,0)</f>
        <v>#REF!</v>
      </c>
      <c r="C27" s="1915">
        <f t="shared" si="0"/>
        <v>0</v>
      </c>
      <c r="D27" s="1915" t="e">
        <f>SUM('[8]Berechnungen BVerfG'!P27:R27)+'[8]Berechnungen BVerfG'!N27</f>
        <v>#REF!</v>
      </c>
      <c r="F27" s="468" t="e">
        <f>+G23</f>
        <v>#REF!</v>
      </c>
      <c r="G27" s="468" t="e">
        <f>+G24</f>
        <v>#REF!</v>
      </c>
      <c r="K27" t="e">
        <f>+[8]!Tabelle2[[#This Row],[Alter]]</f>
        <v>#REF!</v>
      </c>
      <c r="L27" s="91">
        <f>IFERROR(IF($K27&lt;INT('[8]Berechnungen BVerfG'!H$5),0,IF($K27=INT('[8]Berechnungen BVerfG'!H$2),'[8]Berechnungen BVerfG'!H$12,IF($K27&gt;INT('[8]Berechnungen BVerfG'!H$2),'[8]Berechnungen BVerfG'!H$12*(1+'[8]Berechnungen BVerfG'!H$9)^(IF($K27-'[8]Berechnungen BVerfG'!H$5&lt;=0,0,$K27-IF('[8]Berechnungen BVerfG'!H$5&lt;'[8]Berechnungen BVerfG'!H$2,'[8]Berechnungen BVerfG'!H$2,'[8]Berechnungen BVerfG'!H$5))),0))),0)</f>
        <v>0</v>
      </c>
      <c r="M27" s="1916">
        <f>IFERROR(IF(K27&lt;INT('[8]Berechnungen BVerfG'!I$5),0,IF(K27=INT('[8]Berechnungen BVerfG'!I$2),'[8]Berechnungen BVerfG'!I$12,IF(K27&gt;INT('[8]Berechnungen BVerfG'!I$2),'[8]Berechnungen BVerfG'!I$12*(1+'[8]Berechnungen BVerfG'!I$9)^(IF(K27-'[8]Berechnungen BVerfG'!I$5&lt;=0,0,K27-IF('[8]Berechnungen BVerfG'!I$5&lt;'[8]Berechnungen BVerfG'!I$2,'[8]Berechnungen BVerfG'!I$2,'[8]Berechnungen BVerfG'!I$5))),0))),0)</f>
        <v>0</v>
      </c>
      <c r="N27" s="1916">
        <f>IFERROR(IF($K27&lt;INT('[8]Berechnungen BVerfG'!J$5),0,IF($K27=INT('[8]Berechnungen BVerfG'!J$2),'[8]Berechnungen BVerfG'!J$12,IF($K27&gt;INT('[8]Berechnungen BVerfG'!J$2),'[8]Berechnungen BVerfG'!J$12*(1+'[8]Berechnungen BVerfG'!J$9)^(IF($K27-'[8]Berechnungen BVerfG'!J$5&lt;=0,0,$K27-IF('[8]Berechnungen BVerfG'!J$5&lt;'[8]Berechnungen BVerfG'!J$2,'[8]Berechnungen BVerfG'!J$2,'[8]Berechnungen BVerfG'!K$5))),0))),0)</f>
        <v>0</v>
      </c>
      <c r="O27" s="1916">
        <f>IFERROR(IF($K27&lt;INT('[8]Berechnungen BVerfG'!K$5),0,IF($K27=INT('[8]Berechnungen BVerfG'!K$2),'[8]Berechnungen BVerfG'!K$12,IF($K27&gt;INT('[8]Berechnungen BVerfG'!K$2),'[8]Berechnungen BVerfG'!K$12*(1+'[8]Berechnungen BVerfG'!K$9)^(IF($K27-'[8]Berechnungen BVerfG'!K$5&lt;=0,0,$K27-IF('[8]Berechnungen BVerfG'!K$5&lt;'[8]Berechnungen BVerfG'!K$2,'[8]Berechnungen BVerfG'!K$2,'[8]Berechnungen BVerfG'!K$5))),0))),0)</f>
        <v>0</v>
      </c>
      <c r="P27" s="91">
        <f t="shared" si="1"/>
        <v>0</v>
      </c>
    </row>
    <row r="28" spans="1:16">
      <c r="A28" s="1915" t="e">
        <f>IF(PflGesamt,IF(GesVersrgPfl,SUM([8]!Tabelle2[[#This Row],[Spalte2]:[Spalte8]]),0),0)</f>
        <v>#REF!</v>
      </c>
      <c r="B28" s="1915" t="e">
        <f>IF(BerGesamt,SUM('[8]Berechnungen BVerfG'!P28:R28)+'[8]Berechnungen BVerfG'!N28,0)</f>
        <v>#REF!</v>
      </c>
      <c r="C28" s="1915">
        <f t="shared" si="0"/>
        <v>0</v>
      </c>
      <c r="D28" s="1915" t="e">
        <f>SUM('[8]Berechnungen BVerfG'!P28:R28)+'[8]Berechnungen BVerfG'!N28</f>
        <v>#REF!</v>
      </c>
      <c r="F28" s="468" t="e">
        <f>+H23</f>
        <v>#REF!</v>
      </c>
      <c r="G28" s="468" t="e">
        <f>+H24</f>
        <v>#REF!</v>
      </c>
      <c r="K28" t="e">
        <f>+[8]!Tabelle2[[#This Row],[Alter]]</f>
        <v>#REF!</v>
      </c>
      <c r="L28" s="91">
        <f>IFERROR(IF($K28&lt;INT('[8]Berechnungen BVerfG'!H$5),0,IF($K28=INT('[8]Berechnungen BVerfG'!H$2),'[8]Berechnungen BVerfG'!H$12,IF($K28&gt;INT('[8]Berechnungen BVerfG'!H$2),'[8]Berechnungen BVerfG'!H$12*(1+'[8]Berechnungen BVerfG'!H$9)^(IF($K28-'[8]Berechnungen BVerfG'!H$5&lt;=0,0,$K28-IF('[8]Berechnungen BVerfG'!H$5&lt;'[8]Berechnungen BVerfG'!H$2,'[8]Berechnungen BVerfG'!H$2,'[8]Berechnungen BVerfG'!H$5))),0))),0)</f>
        <v>0</v>
      </c>
      <c r="M28" s="1916">
        <f>IFERROR(IF(K28&lt;INT('[8]Berechnungen BVerfG'!I$5),0,IF(K28=INT('[8]Berechnungen BVerfG'!I$2),'[8]Berechnungen BVerfG'!I$12,IF(K28&gt;INT('[8]Berechnungen BVerfG'!I$2),'[8]Berechnungen BVerfG'!I$12*(1+'[8]Berechnungen BVerfG'!I$9)^(IF(K28-'[8]Berechnungen BVerfG'!I$5&lt;=0,0,K28-IF('[8]Berechnungen BVerfG'!I$5&lt;'[8]Berechnungen BVerfG'!I$2,'[8]Berechnungen BVerfG'!I$2,'[8]Berechnungen BVerfG'!I$5))),0))),0)</f>
        <v>0</v>
      </c>
      <c r="N28" s="1916">
        <f>IFERROR(IF($K28&lt;INT('[8]Berechnungen BVerfG'!J$5),0,IF($K28=INT('[8]Berechnungen BVerfG'!J$2),'[8]Berechnungen BVerfG'!J$12,IF($K28&gt;INT('[8]Berechnungen BVerfG'!J$2),'[8]Berechnungen BVerfG'!J$12*(1+'[8]Berechnungen BVerfG'!J$9)^(IF($K28-'[8]Berechnungen BVerfG'!J$5&lt;=0,0,$K28-IF('[8]Berechnungen BVerfG'!J$5&lt;'[8]Berechnungen BVerfG'!J$2,'[8]Berechnungen BVerfG'!J$2,'[8]Berechnungen BVerfG'!K$5))),0))),0)</f>
        <v>0</v>
      </c>
      <c r="O28" s="1916">
        <f>IFERROR(IF($K28&lt;INT('[8]Berechnungen BVerfG'!K$5),0,IF($K28=INT('[8]Berechnungen BVerfG'!K$2),'[8]Berechnungen BVerfG'!K$12,IF($K28&gt;INT('[8]Berechnungen BVerfG'!K$2),'[8]Berechnungen BVerfG'!K$12*(1+'[8]Berechnungen BVerfG'!K$9)^(IF($K28-'[8]Berechnungen BVerfG'!K$5&lt;=0,0,$K28-IF('[8]Berechnungen BVerfG'!K$5&lt;'[8]Berechnungen BVerfG'!K$2,'[8]Berechnungen BVerfG'!K$2,'[8]Berechnungen BVerfG'!K$5))),0))),0)</f>
        <v>0</v>
      </c>
      <c r="P28" s="91">
        <f t="shared" si="1"/>
        <v>0</v>
      </c>
    </row>
    <row r="29" spans="1:16">
      <c r="A29" s="1915" t="e">
        <f>IF(PflGesamt,IF(GesVersrgPfl,SUM([8]!Tabelle2[[#This Row],[Spalte2]:[Spalte8]]),0),0)</f>
        <v>#REF!</v>
      </c>
      <c r="B29" s="1915" t="e">
        <f>IF(BerGesamt,SUM('[8]Berechnungen BVerfG'!P29:R29)+'[8]Berechnungen BVerfG'!N29,0)</f>
        <v>#REF!</v>
      </c>
      <c r="C29" s="1915">
        <f t="shared" si="0"/>
        <v>0</v>
      </c>
      <c r="D29" s="1915" t="e">
        <f>SUM('[8]Berechnungen BVerfG'!P29:R29)+'[8]Berechnungen BVerfG'!N29</f>
        <v>#REF!</v>
      </c>
      <c r="F29" s="468" t="e">
        <f>+I23</f>
        <v>#REF!</v>
      </c>
      <c r="G29" s="468" t="e">
        <f>+I24</f>
        <v>#REF!</v>
      </c>
      <c r="K29" t="e">
        <f>+[8]!Tabelle2[[#This Row],[Alter]]</f>
        <v>#REF!</v>
      </c>
      <c r="L29" s="91">
        <f>IFERROR(IF($K29&lt;INT('[8]Berechnungen BVerfG'!H$5),0,IF($K29=INT('[8]Berechnungen BVerfG'!H$2),'[8]Berechnungen BVerfG'!H$12,IF($K29&gt;INT('[8]Berechnungen BVerfG'!H$2),'[8]Berechnungen BVerfG'!H$12*(1+'[8]Berechnungen BVerfG'!H$9)^(IF($K29-'[8]Berechnungen BVerfG'!H$5&lt;=0,0,$K29-IF('[8]Berechnungen BVerfG'!H$5&lt;'[8]Berechnungen BVerfG'!H$2,'[8]Berechnungen BVerfG'!H$2,'[8]Berechnungen BVerfG'!H$5))),0))),0)</f>
        <v>0</v>
      </c>
      <c r="M29" s="1916">
        <f>IFERROR(IF(K29&lt;INT('[8]Berechnungen BVerfG'!I$5),0,IF(K29=INT('[8]Berechnungen BVerfG'!I$2),'[8]Berechnungen BVerfG'!I$12,IF(K29&gt;INT('[8]Berechnungen BVerfG'!I$2),'[8]Berechnungen BVerfG'!I$12*(1+'[8]Berechnungen BVerfG'!I$9)^(IF(K29-'[8]Berechnungen BVerfG'!I$5&lt;=0,0,K29-IF('[8]Berechnungen BVerfG'!I$5&lt;'[8]Berechnungen BVerfG'!I$2,'[8]Berechnungen BVerfG'!I$2,'[8]Berechnungen BVerfG'!I$5))),0))),0)</f>
        <v>0</v>
      </c>
      <c r="N29" s="1916">
        <f>IFERROR(IF($K29&lt;INT('[8]Berechnungen BVerfG'!J$5),0,IF($K29=INT('[8]Berechnungen BVerfG'!J$2),'[8]Berechnungen BVerfG'!J$12,IF($K29&gt;INT('[8]Berechnungen BVerfG'!J$2),'[8]Berechnungen BVerfG'!J$12*(1+'[8]Berechnungen BVerfG'!J$9)^(IF($K29-'[8]Berechnungen BVerfG'!J$5&lt;=0,0,$K29-IF('[8]Berechnungen BVerfG'!J$5&lt;'[8]Berechnungen BVerfG'!J$2,'[8]Berechnungen BVerfG'!J$2,'[8]Berechnungen BVerfG'!K$5))),0))),0)</f>
        <v>0</v>
      </c>
      <c r="O29" s="1916">
        <f>IFERROR(IF($K29&lt;INT('[8]Berechnungen BVerfG'!K$5),0,IF($K29=INT('[8]Berechnungen BVerfG'!K$2),'[8]Berechnungen BVerfG'!K$12,IF($K29&gt;INT('[8]Berechnungen BVerfG'!K$2),'[8]Berechnungen BVerfG'!K$12*(1+'[8]Berechnungen BVerfG'!K$9)^(IF($K29-'[8]Berechnungen BVerfG'!K$5&lt;=0,0,$K29-IF('[8]Berechnungen BVerfG'!K$5&lt;'[8]Berechnungen BVerfG'!K$2,'[8]Berechnungen BVerfG'!K$2,'[8]Berechnungen BVerfG'!K$5))),0))),0)</f>
        <v>0</v>
      </c>
      <c r="P29" s="91">
        <f t="shared" si="1"/>
        <v>0</v>
      </c>
    </row>
    <row r="30" spans="1:16">
      <c r="A30" s="1915" t="e">
        <f>IF(PflGesamt,IF(GesVersrgPfl,SUM([8]!Tabelle2[[#This Row],[Spalte2]:[Spalte8]]),0),0)</f>
        <v>#REF!</v>
      </c>
      <c r="B30" s="1915" t="e">
        <f>IF(BerGesamt,SUM('[8]Berechnungen BVerfG'!P30:R30)+'[8]Berechnungen BVerfG'!N30,0)</f>
        <v>#REF!</v>
      </c>
      <c r="C30" s="1915">
        <f t="shared" si="0"/>
        <v>0</v>
      </c>
      <c r="D30" s="1915" t="e">
        <f>SUM('[8]Berechnungen BVerfG'!P30:R30)+'[8]Berechnungen BVerfG'!N30</f>
        <v>#REF!</v>
      </c>
      <c r="K30" t="e">
        <f>+[8]!Tabelle2[[#This Row],[Alter]]</f>
        <v>#REF!</v>
      </c>
      <c r="L30" s="91">
        <f>IFERROR(IF($K30&lt;INT('[8]Berechnungen BVerfG'!H$5),0,IF($K30=INT('[8]Berechnungen BVerfG'!H$2),'[8]Berechnungen BVerfG'!H$12,IF($K30&gt;INT('[8]Berechnungen BVerfG'!H$2),'[8]Berechnungen BVerfG'!H$12*(1+'[8]Berechnungen BVerfG'!H$9)^(IF($K30-'[8]Berechnungen BVerfG'!H$5&lt;=0,0,$K30-IF('[8]Berechnungen BVerfG'!H$5&lt;'[8]Berechnungen BVerfG'!H$2,'[8]Berechnungen BVerfG'!H$2,'[8]Berechnungen BVerfG'!H$5))),0))),0)</f>
        <v>0</v>
      </c>
      <c r="M30" s="1916">
        <f>IFERROR(IF(K30&lt;INT('[8]Berechnungen BVerfG'!I$5),0,IF(K30=INT('[8]Berechnungen BVerfG'!I$2),'[8]Berechnungen BVerfG'!I$12,IF(K30&gt;INT('[8]Berechnungen BVerfG'!I$2),'[8]Berechnungen BVerfG'!I$12*(1+'[8]Berechnungen BVerfG'!I$9)^(IF(K30-'[8]Berechnungen BVerfG'!I$5&lt;=0,0,K30-IF('[8]Berechnungen BVerfG'!I$5&lt;'[8]Berechnungen BVerfG'!I$2,'[8]Berechnungen BVerfG'!I$2,'[8]Berechnungen BVerfG'!I$5))),0))),0)</f>
        <v>0</v>
      </c>
      <c r="N30" s="1916">
        <f>IFERROR(IF($K30&lt;INT('[8]Berechnungen BVerfG'!J$5),0,IF($K30=INT('[8]Berechnungen BVerfG'!J$2),'[8]Berechnungen BVerfG'!J$12,IF($K30&gt;INT('[8]Berechnungen BVerfG'!J$2),'[8]Berechnungen BVerfG'!J$12*(1+'[8]Berechnungen BVerfG'!J$9)^(IF($K30-'[8]Berechnungen BVerfG'!J$5&lt;=0,0,$K30-IF('[8]Berechnungen BVerfG'!J$5&lt;'[8]Berechnungen BVerfG'!J$2,'[8]Berechnungen BVerfG'!J$2,'[8]Berechnungen BVerfG'!K$5))),0))),0)</f>
        <v>0</v>
      </c>
      <c r="O30" s="1916">
        <f>IFERROR(IF($K30&lt;INT('[8]Berechnungen BVerfG'!K$5),0,IF($K30=INT('[8]Berechnungen BVerfG'!K$2),'[8]Berechnungen BVerfG'!K$12,IF($K30&gt;INT('[8]Berechnungen BVerfG'!K$2),'[8]Berechnungen BVerfG'!K$12*(1+'[8]Berechnungen BVerfG'!K$9)^(IF($K30-'[8]Berechnungen BVerfG'!K$5&lt;=0,0,$K30-IF('[8]Berechnungen BVerfG'!K$5&lt;'[8]Berechnungen BVerfG'!K$2,'[8]Berechnungen BVerfG'!K$2,'[8]Berechnungen BVerfG'!K$5))),0))),0)</f>
        <v>0</v>
      </c>
      <c r="P30" s="91">
        <f t="shared" si="1"/>
        <v>0</v>
      </c>
    </row>
    <row r="31" spans="1:16">
      <c r="A31" s="1915" t="e">
        <f>IF(PflGesamt,IF(GesVersrgPfl,SUM([8]!Tabelle2[[#This Row],[Spalte2]:[Spalte8]]),0),0)</f>
        <v>#REF!</v>
      </c>
      <c r="B31" s="1915" t="e">
        <f>IF(BerGesamt,SUM('[8]Berechnungen BVerfG'!P31:R31)+'[8]Berechnungen BVerfG'!N31,0)</f>
        <v>#REF!</v>
      </c>
      <c r="C31" s="1915">
        <f t="shared" si="0"/>
        <v>0</v>
      </c>
      <c r="D31" s="1915" t="e">
        <f>SUM('[8]Berechnungen BVerfG'!P31:R31)+'[8]Berechnungen BVerfG'!N31</f>
        <v>#REF!</v>
      </c>
      <c r="K31" t="e">
        <f>+[8]!Tabelle2[[#This Row],[Alter]]</f>
        <v>#REF!</v>
      </c>
      <c r="L31" s="91">
        <f>IFERROR(IF($K31&lt;INT('[8]Berechnungen BVerfG'!H$5),0,IF($K31=INT('[8]Berechnungen BVerfG'!H$2),'[8]Berechnungen BVerfG'!H$12,IF($K31&gt;INT('[8]Berechnungen BVerfG'!H$2),'[8]Berechnungen BVerfG'!H$12*(1+'[8]Berechnungen BVerfG'!H$9)^(IF($K31-'[8]Berechnungen BVerfG'!H$5&lt;=0,0,$K31-IF('[8]Berechnungen BVerfG'!H$5&lt;'[8]Berechnungen BVerfG'!H$2,'[8]Berechnungen BVerfG'!H$2,'[8]Berechnungen BVerfG'!H$5))),0))),0)</f>
        <v>0</v>
      </c>
      <c r="M31" s="1916">
        <f>IFERROR(IF(K31&lt;INT('[8]Berechnungen BVerfG'!I$5),0,IF(K31=INT('[8]Berechnungen BVerfG'!I$2),'[8]Berechnungen BVerfG'!I$12,IF(K31&gt;INT('[8]Berechnungen BVerfG'!I$2),'[8]Berechnungen BVerfG'!I$12*(1+'[8]Berechnungen BVerfG'!I$9)^(IF(K31-'[8]Berechnungen BVerfG'!I$5&lt;=0,0,K31-IF('[8]Berechnungen BVerfG'!I$5&lt;'[8]Berechnungen BVerfG'!I$2,'[8]Berechnungen BVerfG'!I$2,'[8]Berechnungen BVerfG'!I$5))),0))),0)</f>
        <v>0</v>
      </c>
      <c r="N31" s="1916">
        <f>IFERROR(IF($K31&lt;INT('[8]Berechnungen BVerfG'!J$5),0,IF($K31=INT('[8]Berechnungen BVerfG'!J$2),'[8]Berechnungen BVerfG'!J$12,IF($K31&gt;INT('[8]Berechnungen BVerfG'!J$2),'[8]Berechnungen BVerfG'!J$12*(1+'[8]Berechnungen BVerfG'!J$9)^(IF($K31-'[8]Berechnungen BVerfG'!J$5&lt;=0,0,$K31-IF('[8]Berechnungen BVerfG'!J$5&lt;'[8]Berechnungen BVerfG'!J$2,'[8]Berechnungen BVerfG'!J$2,'[8]Berechnungen BVerfG'!K$5))),0))),0)</f>
        <v>0</v>
      </c>
      <c r="O31" s="1916">
        <f>IFERROR(IF($K31&lt;INT('[8]Berechnungen BVerfG'!K$5),0,IF($K31=INT('[8]Berechnungen BVerfG'!K$2),'[8]Berechnungen BVerfG'!K$12,IF($K31&gt;INT('[8]Berechnungen BVerfG'!K$2),'[8]Berechnungen BVerfG'!K$12*(1+'[8]Berechnungen BVerfG'!K$9)^(IF($K31-'[8]Berechnungen BVerfG'!K$5&lt;=0,0,$K31-IF('[8]Berechnungen BVerfG'!K$5&lt;'[8]Berechnungen BVerfG'!K$2,'[8]Berechnungen BVerfG'!K$2,'[8]Berechnungen BVerfG'!K$5))),0))),0)</f>
        <v>0</v>
      </c>
      <c r="P31" s="91">
        <f t="shared" si="1"/>
        <v>0</v>
      </c>
    </row>
    <row r="32" spans="1:16">
      <c r="A32" s="1915" t="e">
        <f>IF(PflGesamt,IF(GesVersrgPfl,SUM([8]!Tabelle2[[#This Row],[Spalte2]:[Spalte8]]),0),0)</f>
        <v>#REF!</v>
      </c>
      <c r="B32" s="1915" t="e">
        <f>IF(BerGesamt,SUM('[8]Berechnungen BVerfG'!P32:R32)+'[8]Berechnungen BVerfG'!N32,0)</f>
        <v>#REF!</v>
      </c>
      <c r="C32" s="1915">
        <f t="shared" si="0"/>
        <v>0</v>
      </c>
      <c r="D32" s="1915" t="e">
        <f>SUM('[8]Berechnungen BVerfG'!P32:R32)+'[8]Berechnungen BVerfG'!N32</f>
        <v>#REF!</v>
      </c>
      <c r="K32" t="e">
        <f>+[8]!Tabelle2[[#This Row],[Alter]]</f>
        <v>#REF!</v>
      </c>
      <c r="L32" s="91">
        <f>IFERROR(IF($K32&lt;INT('[8]Berechnungen BVerfG'!H$5),0,IF($K32=INT('[8]Berechnungen BVerfG'!H$2),'[8]Berechnungen BVerfG'!H$12,IF($K32&gt;INT('[8]Berechnungen BVerfG'!H$2),'[8]Berechnungen BVerfG'!H$12*(1+'[8]Berechnungen BVerfG'!H$9)^(IF($K32-'[8]Berechnungen BVerfG'!H$5&lt;=0,0,$K32-IF('[8]Berechnungen BVerfG'!H$5&lt;'[8]Berechnungen BVerfG'!H$2,'[8]Berechnungen BVerfG'!H$2,'[8]Berechnungen BVerfG'!H$5))),0))),0)</f>
        <v>0</v>
      </c>
      <c r="M32" s="1916">
        <f>IFERROR(IF(K32&lt;INT('[8]Berechnungen BVerfG'!I$5),0,IF(K32=INT('[8]Berechnungen BVerfG'!I$2),'[8]Berechnungen BVerfG'!I$12,IF(K32&gt;INT('[8]Berechnungen BVerfG'!I$2),'[8]Berechnungen BVerfG'!I$12*(1+'[8]Berechnungen BVerfG'!I$9)^(IF(K32-'[8]Berechnungen BVerfG'!I$5&lt;=0,0,K32-IF('[8]Berechnungen BVerfG'!I$5&lt;'[8]Berechnungen BVerfG'!I$2,'[8]Berechnungen BVerfG'!I$2,'[8]Berechnungen BVerfG'!I$5))),0))),0)</f>
        <v>0</v>
      </c>
      <c r="N32" s="1916">
        <f>IFERROR(IF($K32&lt;INT('[8]Berechnungen BVerfG'!J$5),0,IF($K32=INT('[8]Berechnungen BVerfG'!J$2),'[8]Berechnungen BVerfG'!J$12,IF($K32&gt;INT('[8]Berechnungen BVerfG'!J$2),'[8]Berechnungen BVerfG'!J$12*(1+'[8]Berechnungen BVerfG'!J$9)^(IF($K32-'[8]Berechnungen BVerfG'!J$5&lt;=0,0,$K32-IF('[8]Berechnungen BVerfG'!J$5&lt;'[8]Berechnungen BVerfG'!J$2,'[8]Berechnungen BVerfG'!J$2,'[8]Berechnungen BVerfG'!K$5))),0))),0)</f>
        <v>0</v>
      </c>
      <c r="O32" s="1916">
        <f>IFERROR(IF($K32&lt;INT('[8]Berechnungen BVerfG'!K$5),0,IF($K32=INT('[8]Berechnungen BVerfG'!K$2),'[8]Berechnungen BVerfG'!K$12,IF($K32&gt;INT('[8]Berechnungen BVerfG'!K$2),'[8]Berechnungen BVerfG'!K$12*(1+'[8]Berechnungen BVerfG'!K$9)^(IF($K32-'[8]Berechnungen BVerfG'!K$5&lt;=0,0,$K32-IF('[8]Berechnungen BVerfG'!K$5&lt;'[8]Berechnungen BVerfG'!K$2,'[8]Berechnungen BVerfG'!K$2,'[8]Berechnungen BVerfG'!K$5))),0))),0)</f>
        <v>0</v>
      </c>
      <c r="P32" s="91">
        <f t="shared" si="1"/>
        <v>0</v>
      </c>
    </row>
    <row r="33" spans="1:16">
      <c r="A33" s="1915" t="e">
        <f>IF(PflGesamt,IF(GesVersrgPfl,SUM([8]!Tabelle2[[#This Row],[Spalte2]:[Spalte8]]),0),0)</f>
        <v>#REF!</v>
      </c>
      <c r="B33" s="1915" t="e">
        <f>IF(BerGesamt,SUM('[8]Berechnungen BVerfG'!P33:R33)+'[8]Berechnungen BVerfG'!N33,0)</f>
        <v>#REF!</v>
      </c>
      <c r="C33" s="1915">
        <f t="shared" si="0"/>
        <v>0</v>
      </c>
      <c r="D33" s="1915" t="e">
        <f>SUM('[8]Berechnungen BVerfG'!P33:R33)+'[8]Berechnungen BVerfG'!N33</f>
        <v>#REF!</v>
      </c>
      <c r="K33" t="e">
        <f>+[8]!Tabelle2[[#This Row],[Alter]]</f>
        <v>#REF!</v>
      </c>
      <c r="L33" s="91">
        <f>IFERROR(IF($K33&lt;INT('[8]Berechnungen BVerfG'!H$5),0,IF($K33=INT('[8]Berechnungen BVerfG'!H$2),'[8]Berechnungen BVerfG'!H$12,IF($K33&gt;INT('[8]Berechnungen BVerfG'!H$2),'[8]Berechnungen BVerfG'!H$12*(1+'[8]Berechnungen BVerfG'!H$9)^(IF($K33-'[8]Berechnungen BVerfG'!H$5&lt;=0,0,$K33-IF('[8]Berechnungen BVerfG'!H$5&lt;'[8]Berechnungen BVerfG'!H$2,'[8]Berechnungen BVerfG'!H$2,'[8]Berechnungen BVerfG'!H$5))),0))),0)</f>
        <v>0</v>
      </c>
      <c r="M33" s="1916">
        <f>IFERROR(IF(K33&lt;INT('[8]Berechnungen BVerfG'!I$5),0,IF(K33=INT('[8]Berechnungen BVerfG'!I$2),'[8]Berechnungen BVerfG'!I$12,IF(K33&gt;INT('[8]Berechnungen BVerfG'!I$2),'[8]Berechnungen BVerfG'!I$12*(1+'[8]Berechnungen BVerfG'!I$9)^(IF(K33-'[8]Berechnungen BVerfG'!I$5&lt;=0,0,K33-IF('[8]Berechnungen BVerfG'!I$5&lt;'[8]Berechnungen BVerfG'!I$2,'[8]Berechnungen BVerfG'!I$2,'[8]Berechnungen BVerfG'!I$5))),0))),0)</f>
        <v>0</v>
      </c>
      <c r="N33" s="1916">
        <f>IFERROR(IF($K33&lt;INT('[8]Berechnungen BVerfG'!J$5),0,IF($K33=INT('[8]Berechnungen BVerfG'!J$2),'[8]Berechnungen BVerfG'!J$12,IF($K33&gt;INT('[8]Berechnungen BVerfG'!J$2),'[8]Berechnungen BVerfG'!J$12*(1+'[8]Berechnungen BVerfG'!J$9)^(IF($K33-'[8]Berechnungen BVerfG'!J$5&lt;=0,0,$K33-IF('[8]Berechnungen BVerfG'!J$5&lt;'[8]Berechnungen BVerfG'!J$2,'[8]Berechnungen BVerfG'!J$2,'[8]Berechnungen BVerfG'!K$5))),0))),0)</f>
        <v>0</v>
      </c>
      <c r="O33" s="1916">
        <f>IFERROR(IF($K33&lt;INT('[8]Berechnungen BVerfG'!K$5),0,IF($K33=INT('[8]Berechnungen BVerfG'!K$2),'[8]Berechnungen BVerfG'!K$12,IF($K33&gt;INT('[8]Berechnungen BVerfG'!K$2),'[8]Berechnungen BVerfG'!K$12*(1+'[8]Berechnungen BVerfG'!K$9)^(IF($K33-'[8]Berechnungen BVerfG'!K$5&lt;=0,0,$K33-IF('[8]Berechnungen BVerfG'!K$5&lt;'[8]Berechnungen BVerfG'!K$2,'[8]Berechnungen BVerfG'!K$2,'[8]Berechnungen BVerfG'!K$5))),0))),0)</f>
        <v>0</v>
      </c>
      <c r="P33" s="91">
        <f t="shared" si="1"/>
        <v>0</v>
      </c>
    </row>
    <row r="34" spans="1:16">
      <c r="A34" s="1915" t="e">
        <f>IF(PflGesamt,IF(GesVersrgPfl,SUM([8]!Tabelle2[[#This Row],[Spalte2]:[Spalte8]]),0),0)</f>
        <v>#REF!</v>
      </c>
      <c r="B34" s="1915" t="e">
        <f>IF(BerGesamt,SUM('[8]Berechnungen BVerfG'!P34:R34)+'[8]Berechnungen BVerfG'!N34,0)</f>
        <v>#REF!</v>
      </c>
      <c r="C34" s="1915">
        <f t="shared" si="0"/>
        <v>0</v>
      </c>
      <c r="D34" s="1915" t="e">
        <f>SUM('[8]Berechnungen BVerfG'!P34:R34)+'[8]Berechnungen BVerfG'!N34</f>
        <v>#REF!</v>
      </c>
      <c r="K34" t="e">
        <f>+[8]!Tabelle2[[#This Row],[Alter]]</f>
        <v>#REF!</v>
      </c>
      <c r="L34" s="91">
        <f>IFERROR(IF($K34&lt;INT('[8]Berechnungen BVerfG'!H$5),0,IF($K34=INT('[8]Berechnungen BVerfG'!H$2),'[8]Berechnungen BVerfG'!H$12,IF($K34&gt;INT('[8]Berechnungen BVerfG'!H$2),'[8]Berechnungen BVerfG'!H$12*(1+'[8]Berechnungen BVerfG'!H$9)^(IF($K34-'[8]Berechnungen BVerfG'!H$5&lt;=0,0,$K34-IF('[8]Berechnungen BVerfG'!H$5&lt;'[8]Berechnungen BVerfG'!H$2,'[8]Berechnungen BVerfG'!H$2,'[8]Berechnungen BVerfG'!H$5))),0))),0)</f>
        <v>0</v>
      </c>
      <c r="M34" s="1916">
        <f>IFERROR(IF(K34&lt;INT('[8]Berechnungen BVerfG'!I$5),0,IF(K34=INT('[8]Berechnungen BVerfG'!I$2),'[8]Berechnungen BVerfG'!I$12,IF(K34&gt;INT('[8]Berechnungen BVerfG'!I$2),'[8]Berechnungen BVerfG'!I$12*(1+'[8]Berechnungen BVerfG'!I$9)^(IF(K34-'[8]Berechnungen BVerfG'!I$5&lt;=0,0,K34-IF('[8]Berechnungen BVerfG'!I$5&lt;'[8]Berechnungen BVerfG'!I$2,'[8]Berechnungen BVerfG'!I$2,'[8]Berechnungen BVerfG'!I$5))),0))),0)</f>
        <v>0</v>
      </c>
      <c r="N34" s="1916">
        <f>IFERROR(IF($K34&lt;INT('[8]Berechnungen BVerfG'!J$5),0,IF($K34=INT('[8]Berechnungen BVerfG'!J$2),'[8]Berechnungen BVerfG'!J$12,IF($K34&gt;INT('[8]Berechnungen BVerfG'!J$2),'[8]Berechnungen BVerfG'!J$12*(1+'[8]Berechnungen BVerfG'!J$9)^(IF($K34-'[8]Berechnungen BVerfG'!J$5&lt;=0,0,$K34-IF('[8]Berechnungen BVerfG'!J$5&lt;'[8]Berechnungen BVerfG'!J$2,'[8]Berechnungen BVerfG'!J$2,'[8]Berechnungen BVerfG'!K$5))),0))),0)</f>
        <v>0</v>
      </c>
      <c r="O34" s="1916">
        <f>IFERROR(IF($K34&lt;INT('[8]Berechnungen BVerfG'!K$5),0,IF($K34=INT('[8]Berechnungen BVerfG'!K$2),'[8]Berechnungen BVerfG'!K$12,IF($K34&gt;INT('[8]Berechnungen BVerfG'!K$2),'[8]Berechnungen BVerfG'!K$12*(1+'[8]Berechnungen BVerfG'!K$9)^(IF($K34-'[8]Berechnungen BVerfG'!K$5&lt;=0,0,$K34-IF('[8]Berechnungen BVerfG'!K$5&lt;'[8]Berechnungen BVerfG'!K$2,'[8]Berechnungen BVerfG'!K$2,'[8]Berechnungen BVerfG'!K$5))),0))),0)</f>
        <v>0</v>
      </c>
      <c r="P34" s="91">
        <f t="shared" si="1"/>
        <v>0</v>
      </c>
    </row>
    <row r="35" spans="1:16">
      <c r="A35" s="1915" t="e">
        <f>IF(PflGesamt,IF(GesVersrgPfl,SUM([8]!Tabelle2[[#This Row],[Spalte2]:[Spalte8]]),0),0)</f>
        <v>#REF!</v>
      </c>
      <c r="B35" s="1915" t="e">
        <f>IF(BerGesamt,SUM('[8]Berechnungen BVerfG'!P35:R35)+'[8]Berechnungen BVerfG'!N35,0)</f>
        <v>#REF!</v>
      </c>
      <c r="C35" s="1915">
        <f t="shared" si="0"/>
        <v>0</v>
      </c>
      <c r="D35" s="1915" t="e">
        <f>SUM('[8]Berechnungen BVerfG'!P35:R35)+'[8]Berechnungen BVerfG'!N35</f>
        <v>#REF!</v>
      </c>
      <c r="K35" t="e">
        <f>+[8]!Tabelle2[[#This Row],[Alter]]</f>
        <v>#REF!</v>
      </c>
      <c r="L35" s="91">
        <f>IFERROR(IF($K35&lt;INT('[8]Berechnungen BVerfG'!H$5),0,IF($K35=INT('[8]Berechnungen BVerfG'!H$2),'[8]Berechnungen BVerfG'!H$12,IF($K35&gt;INT('[8]Berechnungen BVerfG'!H$2),'[8]Berechnungen BVerfG'!H$12*(1+'[8]Berechnungen BVerfG'!H$9)^(IF($K35-'[8]Berechnungen BVerfG'!H$5&lt;=0,0,$K35-IF('[8]Berechnungen BVerfG'!H$5&lt;'[8]Berechnungen BVerfG'!H$2,'[8]Berechnungen BVerfG'!H$2,'[8]Berechnungen BVerfG'!H$5))),0))),0)</f>
        <v>0</v>
      </c>
      <c r="M35" s="1916">
        <f>IFERROR(IF(K35&lt;INT('[8]Berechnungen BVerfG'!I$5),0,IF(K35=INT('[8]Berechnungen BVerfG'!I$2),'[8]Berechnungen BVerfG'!I$12,IF(K35&gt;INT('[8]Berechnungen BVerfG'!I$2),'[8]Berechnungen BVerfG'!I$12*(1+'[8]Berechnungen BVerfG'!I$9)^(IF(K35-'[8]Berechnungen BVerfG'!I$5&lt;=0,0,K35-IF('[8]Berechnungen BVerfG'!I$5&lt;'[8]Berechnungen BVerfG'!I$2,'[8]Berechnungen BVerfG'!I$2,'[8]Berechnungen BVerfG'!I$5))),0))),0)</f>
        <v>0</v>
      </c>
      <c r="N35" s="1916">
        <f>IFERROR(IF($K35&lt;INT('[8]Berechnungen BVerfG'!J$5),0,IF($K35=INT('[8]Berechnungen BVerfG'!J$2),'[8]Berechnungen BVerfG'!J$12,IF($K35&gt;INT('[8]Berechnungen BVerfG'!J$2),'[8]Berechnungen BVerfG'!J$12*(1+'[8]Berechnungen BVerfG'!J$9)^(IF($K35-'[8]Berechnungen BVerfG'!J$5&lt;=0,0,$K35-IF('[8]Berechnungen BVerfG'!J$5&lt;'[8]Berechnungen BVerfG'!J$2,'[8]Berechnungen BVerfG'!J$2,'[8]Berechnungen BVerfG'!K$5))),0))),0)</f>
        <v>0</v>
      </c>
      <c r="O35" s="1916">
        <f>IFERROR(IF($K35&lt;INT('[8]Berechnungen BVerfG'!K$5),0,IF($K35=INT('[8]Berechnungen BVerfG'!K$2),'[8]Berechnungen BVerfG'!K$12,IF($K35&gt;INT('[8]Berechnungen BVerfG'!K$2),'[8]Berechnungen BVerfG'!K$12*(1+'[8]Berechnungen BVerfG'!K$9)^(IF($K35-'[8]Berechnungen BVerfG'!K$5&lt;=0,0,$K35-IF('[8]Berechnungen BVerfG'!K$5&lt;'[8]Berechnungen BVerfG'!K$2,'[8]Berechnungen BVerfG'!K$2,'[8]Berechnungen BVerfG'!K$5))),0))),0)</f>
        <v>0</v>
      </c>
      <c r="P35" s="91">
        <f t="shared" si="1"/>
        <v>0</v>
      </c>
    </row>
    <row r="36" spans="1:16">
      <c r="A36" s="1915" t="e">
        <f>IF(PflGesamt,IF(GesVersrgPfl,SUM([8]!Tabelle2[[#This Row],[Spalte2]:[Spalte8]]),0),0)</f>
        <v>#REF!</v>
      </c>
      <c r="B36" s="1915" t="e">
        <f>IF(BerGesamt,SUM('[8]Berechnungen BVerfG'!P36:R36)+'[8]Berechnungen BVerfG'!N36,0)</f>
        <v>#REF!</v>
      </c>
      <c r="C36" s="1915">
        <f t="shared" si="0"/>
        <v>0</v>
      </c>
      <c r="D36" s="1915" t="e">
        <f>SUM('[8]Berechnungen BVerfG'!P36:R36)+'[8]Berechnungen BVerfG'!N36</f>
        <v>#REF!</v>
      </c>
      <c r="K36" t="e">
        <f>+[8]!Tabelle2[[#This Row],[Alter]]</f>
        <v>#REF!</v>
      </c>
      <c r="L36" s="91">
        <f>IFERROR(IF($K36&lt;INT('[8]Berechnungen BVerfG'!H$5),0,IF($K36=INT('[8]Berechnungen BVerfG'!H$2),'[8]Berechnungen BVerfG'!H$12,IF($K36&gt;INT('[8]Berechnungen BVerfG'!H$2),'[8]Berechnungen BVerfG'!H$12*(1+'[8]Berechnungen BVerfG'!H$9)^(IF($K36-'[8]Berechnungen BVerfG'!H$5&lt;=0,0,$K36-IF('[8]Berechnungen BVerfG'!H$5&lt;'[8]Berechnungen BVerfG'!H$2,'[8]Berechnungen BVerfG'!H$2,'[8]Berechnungen BVerfG'!H$5))),0))),0)</f>
        <v>0</v>
      </c>
      <c r="M36" s="1916">
        <f>IFERROR(IF(K36&lt;INT('[8]Berechnungen BVerfG'!I$5),0,IF(K36=INT('[8]Berechnungen BVerfG'!I$2),'[8]Berechnungen BVerfG'!I$12,IF(K36&gt;INT('[8]Berechnungen BVerfG'!I$2),'[8]Berechnungen BVerfG'!I$12*(1+'[8]Berechnungen BVerfG'!I$9)^(IF(K36-'[8]Berechnungen BVerfG'!I$5&lt;=0,0,K36-IF('[8]Berechnungen BVerfG'!I$5&lt;'[8]Berechnungen BVerfG'!I$2,'[8]Berechnungen BVerfG'!I$2,'[8]Berechnungen BVerfG'!I$5))),0))),0)</f>
        <v>0</v>
      </c>
      <c r="N36" s="1916">
        <f>IFERROR(IF($K36&lt;INT('[8]Berechnungen BVerfG'!J$5),0,IF($K36=INT('[8]Berechnungen BVerfG'!J$2),'[8]Berechnungen BVerfG'!J$12,IF($K36&gt;INT('[8]Berechnungen BVerfG'!J$2),'[8]Berechnungen BVerfG'!J$12*(1+'[8]Berechnungen BVerfG'!J$9)^(IF($K36-'[8]Berechnungen BVerfG'!J$5&lt;=0,0,$K36-IF('[8]Berechnungen BVerfG'!J$5&lt;'[8]Berechnungen BVerfG'!J$2,'[8]Berechnungen BVerfG'!J$2,'[8]Berechnungen BVerfG'!K$5))),0))),0)</f>
        <v>0</v>
      </c>
      <c r="O36" s="1916">
        <f>IFERROR(IF($K36&lt;INT('[8]Berechnungen BVerfG'!K$5),0,IF($K36=INT('[8]Berechnungen BVerfG'!K$2),'[8]Berechnungen BVerfG'!K$12,IF($K36&gt;INT('[8]Berechnungen BVerfG'!K$2),'[8]Berechnungen BVerfG'!K$12*(1+'[8]Berechnungen BVerfG'!K$9)^(IF($K36-'[8]Berechnungen BVerfG'!K$5&lt;=0,0,$K36-IF('[8]Berechnungen BVerfG'!K$5&lt;'[8]Berechnungen BVerfG'!K$2,'[8]Berechnungen BVerfG'!K$2,'[8]Berechnungen BVerfG'!K$5))),0))),0)</f>
        <v>0</v>
      </c>
      <c r="P36" s="91">
        <f t="shared" si="1"/>
        <v>0</v>
      </c>
    </row>
    <row r="37" spans="1:16">
      <c r="A37" s="1915" t="e">
        <f>IF(PflGesamt,IF(GesVersrgPfl,SUM([8]!Tabelle2[[#This Row],[Spalte2]:[Spalte8]]),0),0)</f>
        <v>#REF!</v>
      </c>
      <c r="B37" s="1915" t="e">
        <f>IF(BerGesamt,SUM('[8]Berechnungen BVerfG'!P37:R37)+'[8]Berechnungen BVerfG'!N37,0)</f>
        <v>#REF!</v>
      </c>
      <c r="C37" s="1915">
        <f t="shared" si="0"/>
        <v>0</v>
      </c>
      <c r="D37" s="1915" t="e">
        <f>SUM('[8]Berechnungen BVerfG'!P37:R37)+'[8]Berechnungen BVerfG'!N37</f>
        <v>#REF!</v>
      </c>
      <c r="K37" t="e">
        <f>+[8]!Tabelle2[[#This Row],[Alter]]</f>
        <v>#REF!</v>
      </c>
      <c r="L37" s="91">
        <f>IFERROR(IF($K37&lt;INT('[8]Berechnungen BVerfG'!H$5),0,IF($K37=INT('[8]Berechnungen BVerfG'!H$2),'[8]Berechnungen BVerfG'!H$12,IF($K37&gt;INT('[8]Berechnungen BVerfG'!H$2),'[8]Berechnungen BVerfG'!H$12*(1+'[8]Berechnungen BVerfG'!H$9)^(IF($K37-'[8]Berechnungen BVerfG'!H$5&lt;=0,0,$K37-IF('[8]Berechnungen BVerfG'!H$5&lt;'[8]Berechnungen BVerfG'!H$2,'[8]Berechnungen BVerfG'!H$2,'[8]Berechnungen BVerfG'!H$5))),0))),0)</f>
        <v>0</v>
      </c>
      <c r="M37" s="1916">
        <f>IFERROR(IF(K37&lt;INT('[8]Berechnungen BVerfG'!I$5),0,IF(K37=INT('[8]Berechnungen BVerfG'!I$2),'[8]Berechnungen BVerfG'!I$12,IF(K37&gt;INT('[8]Berechnungen BVerfG'!I$2),'[8]Berechnungen BVerfG'!I$12*(1+'[8]Berechnungen BVerfG'!I$9)^(IF(K37-'[8]Berechnungen BVerfG'!I$5&lt;=0,0,K37-IF('[8]Berechnungen BVerfG'!I$5&lt;'[8]Berechnungen BVerfG'!I$2,'[8]Berechnungen BVerfG'!I$2,'[8]Berechnungen BVerfG'!I$5))),0))),0)</f>
        <v>0</v>
      </c>
      <c r="N37" s="1916">
        <f>IFERROR(IF($K37&lt;INT('[8]Berechnungen BVerfG'!J$5),0,IF($K37=INT('[8]Berechnungen BVerfG'!J$2),'[8]Berechnungen BVerfG'!J$12,IF($K37&gt;INT('[8]Berechnungen BVerfG'!J$2),'[8]Berechnungen BVerfG'!J$12*(1+'[8]Berechnungen BVerfG'!J$9)^(IF($K37-'[8]Berechnungen BVerfG'!J$5&lt;=0,0,$K37-IF('[8]Berechnungen BVerfG'!J$5&lt;'[8]Berechnungen BVerfG'!J$2,'[8]Berechnungen BVerfG'!J$2,'[8]Berechnungen BVerfG'!K$5))),0))),0)</f>
        <v>0</v>
      </c>
      <c r="O37" s="1916">
        <f>IFERROR(IF($K37&lt;INT('[8]Berechnungen BVerfG'!K$5),0,IF($K37=INT('[8]Berechnungen BVerfG'!K$2),'[8]Berechnungen BVerfG'!K$12,IF($K37&gt;INT('[8]Berechnungen BVerfG'!K$2),'[8]Berechnungen BVerfG'!K$12*(1+'[8]Berechnungen BVerfG'!K$9)^(IF($K37-'[8]Berechnungen BVerfG'!K$5&lt;=0,0,$K37-IF('[8]Berechnungen BVerfG'!K$5&lt;'[8]Berechnungen BVerfG'!K$2,'[8]Berechnungen BVerfG'!K$2,'[8]Berechnungen BVerfG'!K$5))),0))),0)</f>
        <v>0</v>
      </c>
      <c r="P37" s="91">
        <f t="shared" si="1"/>
        <v>0</v>
      </c>
    </row>
    <row r="38" spans="1:16">
      <c r="A38" s="1915" t="e">
        <f>IF(PflGesamt,IF(GesVersrgPfl,SUM([8]!Tabelle2[[#This Row],[Spalte2]:[Spalte8]]),0),0)</f>
        <v>#REF!</v>
      </c>
      <c r="B38" s="1915" t="e">
        <f>IF(BerGesamt,SUM('[8]Berechnungen BVerfG'!P38:R38)+'[8]Berechnungen BVerfG'!N38,0)</f>
        <v>#REF!</v>
      </c>
      <c r="C38" s="1915">
        <f t="shared" si="0"/>
        <v>0</v>
      </c>
      <c r="D38" s="1915" t="e">
        <f>SUM('[8]Berechnungen BVerfG'!P38:R38)+'[8]Berechnungen BVerfG'!N38</f>
        <v>#REF!</v>
      </c>
      <c r="K38" t="e">
        <f>+[8]!Tabelle2[[#This Row],[Alter]]</f>
        <v>#REF!</v>
      </c>
      <c r="L38" s="91">
        <f>IFERROR(IF($K38&lt;INT('[8]Berechnungen BVerfG'!H$5),0,IF($K38=INT('[8]Berechnungen BVerfG'!H$2),'[8]Berechnungen BVerfG'!H$12,IF($K38&gt;INT('[8]Berechnungen BVerfG'!H$2),'[8]Berechnungen BVerfG'!H$12*(1+'[8]Berechnungen BVerfG'!H$9)^(IF($K38-'[8]Berechnungen BVerfG'!H$5&lt;=0,0,$K38-IF('[8]Berechnungen BVerfG'!H$5&lt;'[8]Berechnungen BVerfG'!H$2,'[8]Berechnungen BVerfG'!H$2,'[8]Berechnungen BVerfG'!H$5))),0))),0)</f>
        <v>0</v>
      </c>
      <c r="M38" s="1916">
        <f>IFERROR(IF(K38&lt;INT('[8]Berechnungen BVerfG'!I$5),0,IF(K38=INT('[8]Berechnungen BVerfG'!I$2),'[8]Berechnungen BVerfG'!I$12,IF(K38&gt;INT('[8]Berechnungen BVerfG'!I$2),'[8]Berechnungen BVerfG'!I$12*(1+'[8]Berechnungen BVerfG'!I$9)^(IF(K38-'[8]Berechnungen BVerfG'!I$5&lt;=0,0,K38-IF('[8]Berechnungen BVerfG'!I$5&lt;'[8]Berechnungen BVerfG'!I$2,'[8]Berechnungen BVerfG'!I$2,'[8]Berechnungen BVerfG'!I$5))),0))),0)</f>
        <v>0</v>
      </c>
      <c r="N38" s="1916">
        <f>IFERROR(IF($K38&lt;INT('[8]Berechnungen BVerfG'!J$5),0,IF($K38=INT('[8]Berechnungen BVerfG'!J$2),'[8]Berechnungen BVerfG'!J$12,IF($K38&gt;INT('[8]Berechnungen BVerfG'!J$2),'[8]Berechnungen BVerfG'!J$12*(1+'[8]Berechnungen BVerfG'!J$9)^(IF($K38-'[8]Berechnungen BVerfG'!J$5&lt;=0,0,$K38-IF('[8]Berechnungen BVerfG'!J$5&lt;'[8]Berechnungen BVerfG'!J$2,'[8]Berechnungen BVerfG'!J$2,'[8]Berechnungen BVerfG'!K$5))),0))),0)</f>
        <v>0</v>
      </c>
      <c r="O38" s="1916">
        <f>IFERROR(IF($K38&lt;INT('[8]Berechnungen BVerfG'!K$5),0,IF($K38=INT('[8]Berechnungen BVerfG'!K$2),'[8]Berechnungen BVerfG'!K$12,IF($K38&gt;INT('[8]Berechnungen BVerfG'!K$2),'[8]Berechnungen BVerfG'!K$12*(1+'[8]Berechnungen BVerfG'!K$9)^(IF($K38-'[8]Berechnungen BVerfG'!K$5&lt;=0,0,$K38-IF('[8]Berechnungen BVerfG'!K$5&lt;'[8]Berechnungen BVerfG'!K$2,'[8]Berechnungen BVerfG'!K$2,'[8]Berechnungen BVerfG'!K$5))),0))),0)</f>
        <v>0</v>
      </c>
      <c r="P38" s="91">
        <f t="shared" si="1"/>
        <v>0</v>
      </c>
    </row>
    <row r="39" spans="1:16">
      <c r="A39" s="1915" t="e">
        <f>IF(PflGesamt,IF(GesVersrgPfl,SUM([8]!Tabelle2[[#This Row],[Spalte2]:[Spalte8]]),0),0)</f>
        <v>#REF!</v>
      </c>
      <c r="B39" s="1915" t="e">
        <f>IF(BerGesamt,SUM('[8]Berechnungen BVerfG'!P39:R39)+'[8]Berechnungen BVerfG'!N39,0)</f>
        <v>#REF!</v>
      </c>
      <c r="C39" s="1915">
        <f t="shared" si="0"/>
        <v>0</v>
      </c>
      <c r="D39" s="1915" t="e">
        <f>SUM('[8]Berechnungen BVerfG'!P39:R39)+'[8]Berechnungen BVerfG'!N39</f>
        <v>#REF!</v>
      </c>
      <c r="K39" t="e">
        <f>+[8]!Tabelle2[[#This Row],[Alter]]</f>
        <v>#REF!</v>
      </c>
      <c r="L39" s="91">
        <f>IFERROR(IF($K39&lt;INT('[8]Berechnungen BVerfG'!H$5),0,IF($K39=INT('[8]Berechnungen BVerfG'!H$2),'[8]Berechnungen BVerfG'!H$12,IF($K39&gt;INT('[8]Berechnungen BVerfG'!H$2),'[8]Berechnungen BVerfG'!H$12*(1+'[8]Berechnungen BVerfG'!H$9)^(IF($K39-'[8]Berechnungen BVerfG'!H$5&lt;=0,0,$K39-IF('[8]Berechnungen BVerfG'!H$5&lt;'[8]Berechnungen BVerfG'!H$2,'[8]Berechnungen BVerfG'!H$2,'[8]Berechnungen BVerfG'!H$5))),0))),0)</f>
        <v>0</v>
      </c>
      <c r="M39" s="1916">
        <f>IFERROR(IF(K39&lt;INT('[8]Berechnungen BVerfG'!I$5),0,IF(K39=INT('[8]Berechnungen BVerfG'!I$2),'[8]Berechnungen BVerfG'!I$12,IF(K39&gt;INT('[8]Berechnungen BVerfG'!I$2),'[8]Berechnungen BVerfG'!I$12*(1+'[8]Berechnungen BVerfG'!I$9)^(IF(K39-'[8]Berechnungen BVerfG'!I$5&lt;=0,0,K39-IF('[8]Berechnungen BVerfG'!I$5&lt;'[8]Berechnungen BVerfG'!I$2,'[8]Berechnungen BVerfG'!I$2,'[8]Berechnungen BVerfG'!I$5))),0))),0)</f>
        <v>0</v>
      </c>
      <c r="N39" s="1916">
        <f>IFERROR(IF($K39&lt;INT('[8]Berechnungen BVerfG'!J$5),0,IF($K39=INT('[8]Berechnungen BVerfG'!J$2),'[8]Berechnungen BVerfG'!J$12,IF($K39&gt;INT('[8]Berechnungen BVerfG'!J$2),'[8]Berechnungen BVerfG'!J$12*(1+'[8]Berechnungen BVerfG'!J$9)^(IF($K39-'[8]Berechnungen BVerfG'!J$5&lt;=0,0,$K39-IF('[8]Berechnungen BVerfG'!J$5&lt;'[8]Berechnungen BVerfG'!J$2,'[8]Berechnungen BVerfG'!J$2,'[8]Berechnungen BVerfG'!K$5))),0))),0)</f>
        <v>0</v>
      </c>
      <c r="O39" s="1916">
        <f>IFERROR(IF($K39&lt;INT('[8]Berechnungen BVerfG'!K$5),0,IF($K39=INT('[8]Berechnungen BVerfG'!K$2),'[8]Berechnungen BVerfG'!K$12,IF($K39&gt;INT('[8]Berechnungen BVerfG'!K$2),'[8]Berechnungen BVerfG'!K$12*(1+'[8]Berechnungen BVerfG'!K$9)^(IF($K39-'[8]Berechnungen BVerfG'!K$5&lt;=0,0,$K39-IF('[8]Berechnungen BVerfG'!K$5&lt;'[8]Berechnungen BVerfG'!K$2,'[8]Berechnungen BVerfG'!K$2,'[8]Berechnungen BVerfG'!K$5))),0))),0)</f>
        <v>0</v>
      </c>
      <c r="P39" s="91">
        <f t="shared" si="1"/>
        <v>0</v>
      </c>
    </row>
    <row r="40" spans="1:16">
      <c r="A40" s="1915" t="e">
        <f>IF(PflGesamt,IF(GesVersrgPfl,SUM([8]!Tabelle2[[#This Row],[Spalte2]:[Spalte8]]),0),0)</f>
        <v>#REF!</v>
      </c>
      <c r="B40" s="1915" t="e">
        <f>IF(BerGesamt,SUM('[8]Berechnungen BVerfG'!P40:R40)+'[8]Berechnungen BVerfG'!N40,0)</f>
        <v>#REF!</v>
      </c>
      <c r="C40" s="1915">
        <f t="shared" si="0"/>
        <v>0</v>
      </c>
      <c r="D40" s="1915" t="e">
        <f>SUM('[8]Berechnungen BVerfG'!P40:R40)+'[8]Berechnungen BVerfG'!N40</f>
        <v>#REF!</v>
      </c>
      <c r="K40" t="e">
        <f>+[8]!Tabelle2[[#This Row],[Alter]]</f>
        <v>#REF!</v>
      </c>
      <c r="L40" s="91">
        <f>IFERROR(IF($K40&lt;INT('[8]Berechnungen BVerfG'!H$5),0,IF($K40=INT('[8]Berechnungen BVerfG'!H$2),'[8]Berechnungen BVerfG'!H$12,IF($K40&gt;INT('[8]Berechnungen BVerfG'!H$2),'[8]Berechnungen BVerfG'!H$12*(1+'[8]Berechnungen BVerfG'!H$9)^(IF($K40-'[8]Berechnungen BVerfG'!H$5&lt;=0,0,$K40-IF('[8]Berechnungen BVerfG'!H$5&lt;'[8]Berechnungen BVerfG'!H$2,'[8]Berechnungen BVerfG'!H$2,'[8]Berechnungen BVerfG'!H$5))),0))),0)</f>
        <v>0</v>
      </c>
      <c r="M40" s="1916">
        <f>IFERROR(IF(K40&lt;INT('[8]Berechnungen BVerfG'!I$5),0,IF(K40=INT('[8]Berechnungen BVerfG'!I$2),'[8]Berechnungen BVerfG'!I$12,IF(K40&gt;INT('[8]Berechnungen BVerfG'!I$2),'[8]Berechnungen BVerfG'!I$12*(1+'[8]Berechnungen BVerfG'!I$9)^(IF(K40-'[8]Berechnungen BVerfG'!I$5&lt;=0,0,K40-IF('[8]Berechnungen BVerfG'!I$5&lt;'[8]Berechnungen BVerfG'!I$2,'[8]Berechnungen BVerfG'!I$2,'[8]Berechnungen BVerfG'!I$5))),0))),0)</f>
        <v>0</v>
      </c>
      <c r="N40" s="1916">
        <f>IFERROR(IF($K40&lt;INT('[8]Berechnungen BVerfG'!J$5),0,IF($K40=INT('[8]Berechnungen BVerfG'!J$2),'[8]Berechnungen BVerfG'!J$12,IF($K40&gt;INT('[8]Berechnungen BVerfG'!J$2),'[8]Berechnungen BVerfG'!J$12*(1+'[8]Berechnungen BVerfG'!J$9)^(IF($K40-'[8]Berechnungen BVerfG'!J$5&lt;=0,0,$K40-IF('[8]Berechnungen BVerfG'!J$5&lt;'[8]Berechnungen BVerfG'!J$2,'[8]Berechnungen BVerfG'!J$2,'[8]Berechnungen BVerfG'!K$5))),0))),0)</f>
        <v>0</v>
      </c>
      <c r="O40" s="1916">
        <f>IFERROR(IF($K40&lt;INT('[8]Berechnungen BVerfG'!K$5),0,IF($K40=INT('[8]Berechnungen BVerfG'!K$2),'[8]Berechnungen BVerfG'!K$12,IF($K40&gt;INT('[8]Berechnungen BVerfG'!K$2),'[8]Berechnungen BVerfG'!K$12*(1+'[8]Berechnungen BVerfG'!K$9)^(IF($K40-'[8]Berechnungen BVerfG'!K$5&lt;=0,0,$K40-IF('[8]Berechnungen BVerfG'!K$5&lt;'[8]Berechnungen BVerfG'!K$2,'[8]Berechnungen BVerfG'!K$2,'[8]Berechnungen BVerfG'!K$5))),0))),0)</f>
        <v>0</v>
      </c>
      <c r="P40" s="91">
        <f t="shared" si="1"/>
        <v>0</v>
      </c>
    </row>
    <row r="41" spans="1:16">
      <c r="A41" s="1915" t="e">
        <f>IF(PflGesamt,IF(GesVersrgPfl,SUM([8]!Tabelle2[[#This Row],[Spalte2]:[Spalte8]]),0),0)</f>
        <v>#REF!</v>
      </c>
      <c r="B41" s="1915" t="e">
        <f>IF(BerGesamt,SUM('[8]Berechnungen BVerfG'!P41:R41)+'[8]Berechnungen BVerfG'!N41,0)</f>
        <v>#REF!</v>
      </c>
      <c r="C41" s="1915">
        <f t="shared" si="0"/>
        <v>0</v>
      </c>
      <c r="D41" s="1915" t="e">
        <f>SUM('[8]Berechnungen BVerfG'!P41:R41)+'[8]Berechnungen BVerfG'!N41</f>
        <v>#REF!</v>
      </c>
      <c r="K41" t="e">
        <f>+[8]!Tabelle2[[#This Row],[Alter]]</f>
        <v>#REF!</v>
      </c>
      <c r="L41" s="91">
        <f>IFERROR(IF($K41&lt;INT('[8]Berechnungen BVerfG'!H$5),0,IF($K41=INT('[8]Berechnungen BVerfG'!H$2),'[8]Berechnungen BVerfG'!H$12,IF($K41&gt;INT('[8]Berechnungen BVerfG'!H$2),'[8]Berechnungen BVerfG'!H$12*(1+'[8]Berechnungen BVerfG'!H$9)^(IF($K41-'[8]Berechnungen BVerfG'!H$5&lt;=0,0,$K41-IF('[8]Berechnungen BVerfG'!H$5&lt;'[8]Berechnungen BVerfG'!H$2,'[8]Berechnungen BVerfG'!H$2,'[8]Berechnungen BVerfG'!H$5))),0))),0)</f>
        <v>0</v>
      </c>
      <c r="M41" s="1916">
        <f>IFERROR(IF(K41&lt;INT('[8]Berechnungen BVerfG'!I$5),0,IF(K41=INT('[8]Berechnungen BVerfG'!I$2),'[8]Berechnungen BVerfG'!I$12,IF(K41&gt;INT('[8]Berechnungen BVerfG'!I$2),'[8]Berechnungen BVerfG'!I$12*(1+'[8]Berechnungen BVerfG'!I$9)^(IF(K41-'[8]Berechnungen BVerfG'!I$5&lt;=0,0,K41-IF('[8]Berechnungen BVerfG'!I$5&lt;'[8]Berechnungen BVerfG'!I$2,'[8]Berechnungen BVerfG'!I$2,'[8]Berechnungen BVerfG'!I$5))),0))),0)</f>
        <v>0</v>
      </c>
      <c r="N41" s="1916">
        <f>IFERROR(IF($K41&lt;INT('[8]Berechnungen BVerfG'!J$5),0,IF($K41=INT('[8]Berechnungen BVerfG'!J$2),'[8]Berechnungen BVerfG'!J$12,IF($K41&gt;INT('[8]Berechnungen BVerfG'!J$2),'[8]Berechnungen BVerfG'!J$12*(1+'[8]Berechnungen BVerfG'!J$9)^(IF($K41-'[8]Berechnungen BVerfG'!J$5&lt;=0,0,$K41-IF('[8]Berechnungen BVerfG'!J$5&lt;'[8]Berechnungen BVerfG'!J$2,'[8]Berechnungen BVerfG'!J$2,'[8]Berechnungen BVerfG'!K$5))),0))),0)</f>
        <v>0</v>
      </c>
      <c r="O41" s="1916">
        <f>IFERROR(IF($K41&lt;INT('[8]Berechnungen BVerfG'!K$5),0,IF($K41=INT('[8]Berechnungen BVerfG'!K$2),'[8]Berechnungen BVerfG'!K$12,IF($K41&gt;INT('[8]Berechnungen BVerfG'!K$2),'[8]Berechnungen BVerfG'!K$12*(1+'[8]Berechnungen BVerfG'!K$9)^(IF($K41-'[8]Berechnungen BVerfG'!K$5&lt;=0,0,$K41-IF('[8]Berechnungen BVerfG'!K$5&lt;'[8]Berechnungen BVerfG'!K$2,'[8]Berechnungen BVerfG'!K$2,'[8]Berechnungen BVerfG'!K$5))),0))),0)</f>
        <v>0</v>
      </c>
      <c r="P41" s="91">
        <f t="shared" si="1"/>
        <v>0</v>
      </c>
    </row>
    <row r="42" spans="1:16">
      <c r="A42" s="1915" t="e">
        <f>IF(PflGesamt,IF(GesVersrgPfl,SUM([8]!Tabelle2[[#This Row],[Spalte2]:[Spalte8]]),0),0)</f>
        <v>#REF!</v>
      </c>
      <c r="B42" s="1915" t="e">
        <f>IF(BerGesamt,SUM('[8]Berechnungen BVerfG'!P42:R42)+'[8]Berechnungen BVerfG'!N42,0)</f>
        <v>#REF!</v>
      </c>
      <c r="C42" s="1915">
        <f t="shared" si="0"/>
        <v>0</v>
      </c>
      <c r="D42" s="1915" t="e">
        <f>SUM('[8]Berechnungen BVerfG'!P42:R42)+'[8]Berechnungen BVerfG'!N42</f>
        <v>#REF!</v>
      </c>
      <c r="K42" t="e">
        <f>+[8]!Tabelle2[[#This Row],[Alter]]</f>
        <v>#REF!</v>
      </c>
      <c r="L42" s="91">
        <f>IFERROR(IF($K42&lt;INT('[8]Berechnungen BVerfG'!H$5),0,IF($K42=INT('[8]Berechnungen BVerfG'!H$2),'[8]Berechnungen BVerfG'!H$12,IF($K42&gt;INT('[8]Berechnungen BVerfG'!H$2),'[8]Berechnungen BVerfG'!H$12*(1+'[8]Berechnungen BVerfG'!H$9)^(IF($K42-'[8]Berechnungen BVerfG'!H$5&lt;=0,0,$K42-IF('[8]Berechnungen BVerfG'!H$5&lt;'[8]Berechnungen BVerfG'!H$2,'[8]Berechnungen BVerfG'!H$2,'[8]Berechnungen BVerfG'!H$5))),0))),0)</f>
        <v>0</v>
      </c>
      <c r="M42" s="1916">
        <f>IFERROR(IF(K42&lt;INT('[8]Berechnungen BVerfG'!I$5),0,IF(K42=INT('[8]Berechnungen BVerfG'!I$2),'[8]Berechnungen BVerfG'!I$12,IF(K42&gt;INT('[8]Berechnungen BVerfG'!I$2),'[8]Berechnungen BVerfG'!I$12*(1+'[8]Berechnungen BVerfG'!I$9)^(IF(K42-'[8]Berechnungen BVerfG'!I$5&lt;=0,0,K42-IF('[8]Berechnungen BVerfG'!I$5&lt;'[8]Berechnungen BVerfG'!I$2,'[8]Berechnungen BVerfG'!I$2,'[8]Berechnungen BVerfG'!I$5))),0))),0)</f>
        <v>0</v>
      </c>
      <c r="N42" s="1916">
        <f>IFERROR(IF($K42&lt;INT('[8]Berechnungen BVerfG'!J$5),0,IF($K42=INT('[8]Berechnungen BVerfG'!J$2),'[8]Berechnungen BVerfG'!J$12,IF($K42&gt;INT('[8]Berechnungen BVerfG'!J$2),'[8]Berechnungen BVerfG'!J$12*(1+'[8]Berechnungen BVerfG'!J$9)^(IF($K42-'[8]Berechnungen BVerfG'!J$5&lt;=0,0,$K42-IF('[8]Berechnungen BVerfG'!J$5&lt;'[8]Berechnungen BVerfG'!J$2,'[8]Berechnungen BVerfG'!J$2,'[8]Berechnungen BVerfG'!K$5))),0))),0)</f>
        <v>0</v>
      </c>
      <c r="O42" s="1916">
        <f>IFERROR(IF($K42&lt;INT('[8]Berechnungen BVerfG'!K$5),0,IF($K42=INT('[8]Berechnungen BVerfG'!K$2),'[8]Berechnungen BVerfG'!K$12,IF($K42&gt;INT('[8]Berechnungen BVerfG'!K$2),'[8]Berechnungen BVerfG'!K$12*(1+'[8]Berechnungen BVerfG'!K$9)^(IF($K42-'[8]Berechnungen BVerfG'!K$5&lt;=0,0,$K42-IF('[8]Berechnungen BVerfG'!K$5&lt;'[8]Berechnungen BVerfG'!K$2,'[8]Berechnungen BVerfG'!K$2,'[8]Berechnungen BVerfG'!K$5))),0))),0)</f>
        <v>0</v>
      </c>
      <c r="P42" s="91">
        <f t="shared" si="1"/>
        <v>0</v>
      </c>
    </row>
    <row r="43" spans="1:16">
      <c r="A43" s="1915" t="e">
        <f>IF(PflGesamt,IF(GesVersrgPfl,SUM([8]!Tabelle2[[#This Row],[Spalte2]:[Spalte8]]),0),0)</f>
        <v>#REF!</v>
      </c>
      <c r="B43" s="1915" t="e">
        <f>IF(BerGesamt,SUM('[8]Berechnungen BVerfG'!P43:R43)+'[8]Berechnungen BVerfG'!N43,0)</f>
        <v>#REF!</v>
      </c>
      <c r="C43" s="1915">
        <f t="shared" si="0"/>
        <v>0</v>
      </c>
      <c r="D43" s="1915" t="e">
        <f>SUM('[8]Berechnungen BVerfG'!P43:R43)+'[8]Berechnungen BVerfG'!N43</f>
        <v>#REF!</v>
      </c>
      <c r="K43" t="e">
        <f>+[8]!Tabelle2[[#This Row],[Alter]]</f>
        <v>#REF!</v>
      </c>
      <c r="L43" s="91">
        <f>IFERROR(IF($K43&lt;INT('[8]Berechnungen BVerfG'!H$5),0,IF($K43=INT('[8]Berechnungen BVerfG'!H$2),'[8]Berechnungen BVerfG'!H$12,IF($K43&gt;INT('[8]Berechnungen BVerfG'!H$2),'[8]Berechnungen BVerfG'!H$12*(1+'[8]Berechnungen BVerfG'!H$9)^(IF($K43-'[8]Berechnungen BVerfG'!H$5&lt;=0,0,$K43-IF('[8]Berechnungen BVerfG'!H$5&lt;'[8]Berechnungen BVerfG'!H$2,'[8]Berechnungen BVerfG'!H$2,'[8]Berechnungen BVerfG'!H$5))),0))),0)</f>
        <v>0</v>
      </c>
      <c r="M43" s="1916">
        <f>IFERROR(IF(K43&lt;INT('[8]Berechnungen BVerfG'!I$5),0,IF(K43=INT('[8]Berechnungen BVerfG'!I$2),'[8]Berechnungen BVerfG'!I$12,IF(K43&gt;INT('[8]Berechnungen BVerfG'!I$2),'[8]Berechnungen BVerfG'!I$12*(1+'[8]Berechnungen BVerfG'!I$9)^(IF(K43-'[8]Berechnungen BVerfG'!I$5&lt;=0,0,K43-IF('[8]Berechnungen BVerfG'!I$5&lt;'[8]Berechnungen BVerfG'!I$2,'[8]Berechnungen BVerfG'!I$2,'[8]Berechnungen BVerfG'!I$5))),0))),0)</f>
        <v>0</v>
      </c>
      <c r="N43" s="1916">
        <f>IFERROR(IF($K43&lt;INT('[8]Berechnungen BVerfG'!J$5),0,IF($K43=INT('[8]Berechnungen BVerfG'!J$2),'[8]Berechnungen BVerfG'!J$12,IF($K43&gt;INT('[8]Berechnungen BVerfG'!J$2),'[8]Berechnungen BVerfG'!J$12*(1+'[8]Berechnungen BVerfG'!J$9)^(IF($K43-'[8]Berechnungen BVerfG'!J$5&lt;=0,0,$K43-IF('[8]Berechnungen BVerfG'!J$5&lt;'[8]Berechnungen BVerfG'!J$2,'[8]Berechnungen BVerfG'!J$2,'[8]Berechnungen BVerfG'!K$5))),0))),0)</f>
        <v>0</v>
      </c>
      <c r="O43" s="1916">
        <f>IFERROR(IF($K43&lt;INT('[8]Berechnungen BVerfG'!K$5),0,IF($K43=INT('[8]Berechnungen BVerfG'!K$2),'[8]Berechnungen BVerfG'!K$12,IF($K43&gt;INT('[8]Berechnungen BVerfG'!K$2),'[8]Berechnungen BVerfG'!K$12*(1+'[8]Berechnungen BVerfG'!K$9)^(IF($K43-'[8]Berechnungen BVerfG'!K$5&lt;=0,0,$K43-IF('[8]Berechnungen BVerfG'!K$5&lt;'[8]Berechnungen BVerfG'!K$2,'[8]Berechnungen BVerfG'!K$2,'[8]Berechnungen BVerfG'!K$5))),0))),0)</f>
        <v>0</v>
      </c>
      <c r="P43" s="91">
        <f t="shared" si="1"/>
        <v>0</v>
      </c>
    </row>
    <row r="44" spans="1:16">
      <c r="A44" s="1915" t="e">
        <f>IF(PflGesamt,IF(GesVersrgPfl,SUM([8]!Tabelle2[[#This Row],[Spalte2]:[Spalte8]]),0),0)</f>
        <v>#REF!</v>
      </c>
      <c r="B44" s="1915" t="e">
        <f>IF(BerGesamt,SUM('[8]Berechnungen BVerfG'!P44:R44)+'[8]Berechnungen BVerfG'!N44,0)</f>
        <v>#REF!</v>
      </c>
      <c r="C44" s="1915">
        <f t="shared" si="0"/>
        <v>0</v>
      </c>
      <c r="D44" s="1915" t="e">
        <f>SUM('[8]Berechnungen BVerfG'!P44:R44)+'[8]Berechnungen BVerfG'!N44</f>
        <v>#REF!</v>
      </c>
      <c r="K44" t="e">
        <f>+[8]!Tabelle2[[#This Row],[Alter]]</f>
        <v>#REF!</v>
      </c>
      <c r="L44" s="91">
        <f>IFERROR(IF($K44&lt;INT('[8]Berechnungen BVerfG'!H$5),0,IF($K44=INT('[8]Berechnungen BVerfG'!H$2),'[8]Berechnungen BVerfG'!H$12,IF($K44&gt;INT('[8]Berechnungen BVerfG'!H$2),'[8]Berechnungen BVerfG'!H$12*(1+'[8]Berechnungen BVerfG'!H$9)^(IF($K44-'[8]Berechnungen BVerfG'!H$5&lt;=0,0,$K44-IF('[8]Berechnungen BVerfG'!H$5&lt;'[8]Berechnungen BVerfG'!H$2,'[8]Berechnungen BVerfG'!H$2,'[8]Berechnungen BVerfG'!H$5))),0))),0)</f>
        <v>0</v>
      </c>
      <c r="M44" s="1916">
        <f>IFERROR(IF(K44&lt;INT('[8]Berechnungen BVerfG'!I$5),0,IF(K44=INT('[8]Berechnungen BVerfG'!I$2),'[8]Berechnungen BVerfG'!I$12,IF(K44&gt;INT('[8]Berechnungen BVerfG'!I$2),'[8]Berechnungen BVerfG'!I$12*(1+'[8]Berechnungen BVerfG'!I$9)^(IF(K44-'[8]Berechnungen BVerfG'!I$5&lt;=0,0,K44-IF('[8]Berechnungen BVerfG'!I$5&lt;'[8]Berechnungen BVerfG'!I$2,'[8]Berechnungen BVerfG'!I$2,'[8]Berechnungen BVerfG'!I$5))),0))),0)</f>
        <v>0</v>
      </c>
      <c r="N44" s="1916">
        <f>IFERROR(IF($K44&lt;INT('[8]Berechnungen BVerfG'!J$5),0,IF($K44=INT('[8]Berechnungen BVerfG'!J$2),'[8]Berechnungen BVerfG'!J$12,IF($K44&gt;INT('[8]Berechnungen BVerfG'!J$2),'[8]Berechnungen BVerfG'!J$12*(1+'[8]Berechnungen BVerfG'!J$9)^(IF($K44-'[8]Berechnungen BVerfG'!J$5&lt;=0,0,$K44-IF('[8]Berechnungen BVerfG'!J$5&lt;'[8]Berechnungen BVerfG'!J$2,'[8]Berechnungen BVerfG'!J$2,'[8]Berechnungen BVerfG'!K$5))),0))),0)</f>
        <v>0</v>
      </c>
      <c r="O44" s="1916">
        <f>IFERROR(IF($K44&lt;INT('[8]Berechnungen BVerfG'!K$5),0,IF($K44=INT('[8]Berechnungen BVerfG'!K$2),'[8]Berechnungen BVerfG'!K$12,IF($K44&gt;INT('[8]Berechnungen BVerfG'!K$2),'[8]Berechnungen BVerfG'!K$12*(1+'[8]Berechnungen BVerfG'!K$9)^(IF($K44-'[8]Berechnungen BVerfG'!K$5&lt;=0,0,$K44-IF('[8]Berechnungen BVerfG'!K$5&lt;'[8]Berechnungen BVerfG'!K$2,'[8]Berechnungen BVerfG'!K$2,'[8]Berechnungen BVerfG'!K$5))),0))),0)</f>
        <v>0</v>
      </c>
      <c r="P44" s="91">
        <f t="shared" si="1"/>
        <v>0</v>
      </c>
    </row>
    <row r="45" spans="1:16">
      <c r="A45" s="1915" t="e">
        <f>IF(PflGesamt,IF(GesVersrgPfl,SUM([8]!Tabelle2[[#This Row],[Spalte2]:[Spalte8]]),0),0)</f>
        <v>#REF!</v>
      </c>
      <c r="B45" s="1915" t="e">
        <f>IF(BerGesamt,SUM('[8]Berechnungen BVerfG'!P45:R45)+'[8]Berechnungen BVerfG'!N45,0)</f>
        <v>#REF!</v>
      </c>
      <c r="C45" s="1915">
        <f t="shared" si="0"/>
        <v>0</v>
      </c>
      <c r="D45" s="1915" t="e">
        <f>SUM('[8]Berechnungen BVerfG'!P45:R45)+'[8]Berechnungen BVerfG'!N45</f>
        <v>#REF!</v>
      </c>
      <c r="K45" t="e">
        <f>+[8]!Tabelle2[[#This Row],[Alter]]</f>
        <v>#REF!</v>
      </c>
      <c r="L45" s="91">
        <f>IFERROR(IF($K45&lt;INT('[8]Berechnungen BVerfG'!H$5),0,IF($K45=INT('[8]Berechnungen BVerfG'!H$2),'[8]Berechnungen BVerfG'!H$12,IF($K45&gt;INT('[8]Berechnungen BVerfG'!H$2),'[8]Berechnungen BVerfG'!H$12*(1+'[8]Berechnungen BVerfG'!H$9)^(IF($K45-'[8]Berechnungen BVerfG'!H$5&lt;=0,0,$K45-IF('[8]Berechnungen BVerfG'!H$5&lt;'[8]Berechnungen BVerfG'!H$2,'[8]Berechnungen BVerfG'!H$2,'[8]Berechnungen BVerfG'!H$5))),0))),0)</f>
        <v>0</v>
      </c>
      <c r="M45" s="1916">
        <f>IFERROR(IF(K45&lt;INT('[8]Berechnungen BVerfG'!I$5),0,IF(K45=INT('[8]Berechnungen BVerfG'!I$2),'[8]Berechnungen BVerfG'!I$12,IF(K45&gt;INT('[8]Berechnungen BVerfG'!I$2),'[8]Berechnungen BVerfG'!I$12*(1+'[8]Berechnungen BVerfG'!I$9)^(IF(K45-'[8]Berechnungen BVerfG'!I$5&lt;=0,0,K45-IF('[8]Berechnungen BVerfG'!I$5&lt;'[8]Berechnungen BVerfG'!I$2,'[8]Berechnungen BVerfG'!I$2,'[8]Berechnungen BVerfG'!I$5))),0))),0)</f>
        <v>0</v>
      </c>
      <c r="N45" s="1916">
        <f>IFERROR(IF($K45&lt;INT('[8]Berechnungen BVerfG'!J$5),0,IF($K45=INT('[8]Berechnungen BVerfG'!J$2),'[8]Berechnungen BVerfG'!J$12,IF($K45&gt;INT('[8]Berechnungen BVerfG'!J$2),'[8]Berechnungen BVerfG'!J$12*(1+'[8]Berechnungen BVerfG'!J$9)^(IF($K45-'[8]Berechnungen BVerfG'!J$5&lt;=0,0,$K45-IF('[8]Berechnungen BVerfG'!J$5&lt;'[8]Berechnungen BVerfG'!J$2,'[8]Berechnungen BVerfG'!J$2,'[8]Berechnungen BVerfG'!K$5))),0))),0)</f>
        <v>0</v>
      </c>
      <c r="O45" s="1916">
        <f>IFERROR(IF($K45&lt;INT('[8]Berechnungen BVerfG'!K$5),0,IF($K45=INT('[8]Berechnungen BVerfG'!K$2),'[8]Berechnungen BVerfG'!K$12,IF($K45&gt;INT('[8]Berechnungen BVerfG'!K$2),'[8]Berechnungen BVerfG'!K$12*(1+'[8]Berechnungen BVerfG'!K$9)^(IF($K45-'[8]Berechnungen BVerfG'!K$5&lt;=0,0,$K45-IF('[8]Berechnungen BVerfG'!K$5&lt;'[8]Berechnungen BVerfG'!K$2,'[8]Berechnungen BVerfG'!K$2,'[8]Berechnungen BVerfG'!K$5))),0))),0)</f>
        <v>0</v>
      </c>
      <c r="P45" s="91">
        <f t="shared" si="1"/>
        <v>0</v>
      </c>
    </row>
    <row r="46" spans="1:16">
      <c r="A46" s="1915" t="e">
        <f>IF(PflGesamt,IF(GesVersrgPfl,SUM([8]!Tabelle2[[#This Row],[Spalte2]:[Spalte8]]),0),0)</f>
        <v>#REF!</v>
      </c>
      <c r="B46" s="1915" t="e">
        <f>IF(BerGesamt,SUM('[8]Berechnungen BVerfG'!P46:R46)+'[8]Berechnungen BVerfG'!N46,0)</f>
        <v>#REF!</v>
      </c>
      <c r="C46" s="1915">
        <f t="shared" si="0"/>
        <v>0</v>
      </c>
      <c r="D46" s="1915" t="e">
        <f>SUM('[8]Berechnungen BVerfG'!P46:R46)+'[8]Berechnungen BVerfG'!N46</f>
        <v>#REF!</v>
      </c>
      <c r="K46" t="e">
        <f>+[8]!Tabelle2[[#This Row],[Alter]]</f>
        <v>#REF!</v>
      </c>
      <c r="L46" s="91">
        <f>IFERROR(IF($K46&lt;INT('[8]Berechnungen BVerfG'!H$5),0,IF($K46=INT('[8]Berechnungen BVerfG'!H$2),'[8]Berechnungen BVerfG'!H$12,IF($K46&gt;INT('[8]Berechnungen BVerfG'!H$2),'[8]Berechnungen BVerfG'!H$12*(1+'[8]Berechnungen BVerfG'!H$9)^(IF($K46-'[8]Berechnungen BVerfG'!H$5&lt;=0,0,$K46-IF('[8]Berechnungen BVerfG'!H$5&lt;'[8]Berechnungen BVerfG'!H$2,'[8]Berechnungen BVerfG'!H$2,'[8]Berechnungen BVerfG'!H$5))),0))),0)</f>
        <v>0</v>
      </c>
      <c r="M46" s="1916">
        <f>IFERROR(IF(K46&lt;INT('[8]Berechnungen BVerfG'!I$5),0,IF(K46=INT('[8]Berechnungen BVerfG'!I$2),'[8]Berechnungen BVerfG'!I$12,IF(K46&gt;INT('[8]Berechnungen BVerfG'!I$2),'[8]Berechnungen BVerfG'!I$12*(1+'[8]Berechnungen BVerfG'!I$9)^(IF(K46-'[8]Berechnungen BVerfG'!I$5&lt;=0,0,K46-IF('[8]Berechnungen BVerfG'!I$5&lt;'[8]Berechnungen BVerfG'!I$2,'[8]Berechnungen BVerfG'!I$2,'[8]Berechnungen BVerfG'!I$5))),0))),0)</f>
        <v>0</v>
      </c>
      <c r="N46" s="1916">
        <f>IFERROR(IF($K46&lt;INT('[8]Berechnungen BVerfG'!J$5),0,IF($K46=INT('[8]Berechnungen BVerfG'!J$2),'[8]Berechnungen BVerfG'!J$12,IF($K46&gt;INT('[8]Berechnungen BVerfG'!J$2),'[8]Berechnungen BVerfG'!J$12*(1+'[8]Berechnungen BVerfG'!J$9)^(IF($K46-'[8]Berechnungen BVerfG'!J$5&lt;=0,0,$K46-IF('[8]Berechnungen BVerfG'!J$5&lt;'[8]Berechnungen BVerfG'!J$2,'[8]Berechnungen BVerfG'!J$2,'[8]Berechnungen BVerfG'!K$5))),0))),0)</f>
        <v>0</v>
      </c>
      <c r="O46" s="1916">
        <f>IFERROR(IF($K46&lt;INT('[8]Berechnungen BVerfG'!K$5),0,IF($K46=INT('[8]Berechnungen BVerfG'!K$2),'[8]Berechnungen BVerfG'!K$12,IF($K46&gt;INT('[8]Berechnungen BVerfG'!K$2),'[8]Berechnungen BVerfG'!K$12*(1+'[8]Berechnungen BVerfG'!K$9)^(IF($K46-'[8]Berechnungen BVerfG'!K$5&lt;=0,0,$K46-IF('[8]Berechnungen BVerfG'!K$5&lt;'[8]Berechnungen BVerfG'!K$2,'[8]Berechnungen BVerfG'!K$2,'[8]Berechnungen BVerfG'!K$5))),0))),0)</f>
        <v>0</v>
      </c>
      <c r="P46" s="91">
        <f t="shared" si="1"/>
        <v>0</v>
      </c>
    </row>
    <row r="47" spans="1:16">
      <c r="A47" s="1915" t="e">
        <f>IF(PflGesamt,IF(GesVersrgPfl,SUM([8]!Tabelle2[[#This Row],[Spalte2]:[Spalte8]]),0),0)</f>
        <v>#REF!</v>
      </c>
      <c r="B47" s="1915" t="e">
        <f>IF(BerGesamt,SUM('[8]Berechnungen BVerfG'!P47:R47)+'[8]Berechnungen BVerfG'!N47,0)</f>
        <v>#REF!</v>
      </c>
      <c r="C47" s="1915">
        <f t="shared" si="0"/>
        <v>0</v>
      </c>
      <c r="D47" s="1915" t="e">
        <f>SUM('[8]Berechnungen BVerfG'!P47:R47)+'[8]Berechnungen BVerfG'!N47</f>
        <v>#REF!</v>
      </c>
      <c r="K47" t="e">
        <f>+[8]!Tabelle2[[#This Row],[Alter]]</f>
        <v>#REF!</v>
      </c>
      <c r="L47" s="91">
        <f>IFERROR(IF($K47&lt;INT('[8]Berechnungen BVerfG'!H$5),0,IF($K47=INT('[8]Berechnungen BVerfG'!H$2),'[8]Berechnungen BVerfG'!H$12,IF($K47&gt;INT('[8]Berechnungen BVerfG'!H$2),'[8]Berechnungen BVerfG'!H$12*(1+'[8]Berechnungen BVerfG'!H$9)^(IF($K47-'[8]Berechnungen BVerfG'!H$5&lt;=0,0,$K47-IF('[8]Berechnungen BVerfG'!H$5&lt;'[8]Berechnungen BVerfG'!H$2,'[8]Berechnungen BVerfG'!H$2,'[8]Berechnungen BVerfG'!H$5))),0))),0)</f>
        <v>0</v>
      </c>
      <c r="M47" s="1916">
        <f>IFERROR(IF(K47&lt;INT('[8]Berechnungen BVerfG'!I$5),0,IF(K47=INT('[8]Berechnungen BVerfG'!I$2),'[8]Berechnungen BVerfG'!I$12,IF(K47&gt;INT('[8]Berechnungen BVerfG'!I$2),'[8]Berechnungen BVerfG'!I$12*(1+'[8]Berechnungen BVerfG'!I$9)^(IF(K47-'[8]Berechnungen BVerfG'!I$5&lt;=0,0,K47-IF('[8]Berechnungen BVerfG'!I$5&lt;'[8]Berechnungen BVerfG'!I$2,'[8]Berechnungen BVerfG'!I$2,'[8]Berechnungen BVerfG'!I$5))),0))),0)</f>
        <v>0</v>
      </c>
      <c r="N47" s="1916">
        <f>IFERROR(IF($K47&lt;INT('[8]Berechnungen BVerfG'!J$5),0,IF($K47=INT('[8]Berechnungen BVerfG'!J$2),'[8]Berechnungen BVerfG'!J$12,IF($K47&gt;INT('[8]Berechnungen BVerfG'!J$2),'[8]Berechnungen BVerfG'!J$12*(1+'[8]Berechnungen BVerfG'!J$9)^(IF($K47-'[8]Berechnungen BVerfG'!J$5&lt;=0,0,$K47-IF('[8]Berechnungen BVerfG'!J$5&lt;'[8]Berechnungen BVerfG'!J$2,'[8]Berechnungen BVerfG'!J$2,'[8]Berechnungen BVerfG'!K$5))),0))),0)</f>
        <v>0</v>
      </c>
      <c r="O47" s="1916">
        <f>IFERROR(IF($K47&lt;INT('[8]Berechnungen BVerfG'!K$5),0,IF($K47=INT('[8]Berechnungen BVerfG'!K$2),'[8]Berechnungen BVerfG'!K$12,IF($K47&gt;INT('[8]Berechnungen BVerfG'!K$2),'[8]Berechnungen BVerfG'!K$12*(1+'[8]Berechnungen BVerfG'!K$9)^(IF($K47-'[8]Berechnungen BVerfG'!K$5&lt;=0,0,$K47-IF('[8]Berechnungen BVerfG'!K$5&lt;'[8]Berechnungen BVerfG'!K$2,'[8]Berechnungen BVerfG'!K$2,'[8]Berechnungen BVerfG'!K$5))),0))),0)</f>
        <v>0</v>
      </c>
      <c r="P47" s="91">
        <f t="shared" si="1"/>
        <v>0</v>
      </c>
    </row>
    <row r="48" spans="1:16">
      <c r="A48" s="1915" t="e">
        <f>IF(PflGesamt,IF(GesVersrgPfl,SUM([8]!Tabelle2[[#This Row],[Spalte2]:[Spalte8]]),0),0)</f>
        <v>#REF!</v>
      </c>
      <c r="B48" s="1915" t="e">
        <f>IF(BerGesamt,SUM('[8]Berechnungen BVerfG'!P48:R48)+'[8]Berechnungen BVerfG'!N48,0)</f>
        <v>#REF!</v>
      </c>
      <c r="C48" s="1915">
        <f t="shared" si="0"/>
        <v>0</v>
      </c>
      <c r="D48" s="1915" t="e">
        <f>SUM('[8]Berechnungen BVerfG'!P48:R48)+'[8]Berechnungen BVerfG'!N48</f>
        <v>#REF!</v>
      </c>
      <c r="K48" t="e">
        <f>+[8]!Tabelle2[[#This Row],[Alter]]</f>
        <v>#REF!</v>
      </c>
      <c r="L48" s="91">
        <f>IFERROR(IF($K48&lt;INT('[8]Berechnungen BVerfG'!H$5),0,IF($K48=INT('[8]Berechnungen BVerfG'!H$2),'[8]Berechnungen BVerfG'!H$12,IF($K48&gt;INT('[8]Berechnungen BVerfG'!H$2),'[8]Berechnungen BVerfG'!H$12*(1+'[8]Berechnungen BVerfG'!H$9)^(IF($K48-'[8]Berechnungen BVerfG'!H$5&lt;=0,0,$K48-IF('[8]Berechnungen BVerfG'!H$5&lt;'[8]Berechnungen BVerfG'!H$2,'[8]Berechnungen BVerfG'!H$2,'[8]Berechnungen BVerfG'!H$5))),0))),0)</f>
        <v>0</v>
      </c>
      <c r="M48" s="1916">
        <f>IFERROR(IF(K48&lt;INT('[8]Berechnungen BVerfG'!I$5),0,IF(K48=INT('[8]Berechnungen BVerfG'!I$2),'[8]Berechnungen BVerfG'!I$12,IF(K48&gt;INT('[8]Berechnungen BVerfG'!I$2),'[8]Berechnungen BVerfG'!I$12*(1+'[8]Berechnungen BVerfG'!I$9)^(IF(K48-'[8]Berechnungen BVerfG'!I$5&lt;=0,0,K48-IF('[8]Berechnungen BVerfG'!I$5&lt;'[8]Berechnungen BVerfG'!I$2,'[8]Berechnungen BVerfG'!I$2,'[8]Berechnungen BVerfG'!I$5))),0))),0)</f>
        <v>0</v>
      </c>
      <c r="N48" s="1916">
        <f>IFERROR(IF($K48&lt;INT('[8]Berechnungen BVerfG'!J$5),0,IF($K48=INT('[8]Berechnungen BVerfG'!J$2),'[8]Berechnungen BVerfG'!J$12,IF($K48&gt;INT('[8]Berechnungen BVerfG'!J$2),'[8]Berechnungen BVerfG'!J$12*(1+'[8]Berechnungen BVerfG'!J$9)^(IF($K48-'[8]Berechnungen BVerfG'!J$5&lt;=0,0,$K48-IF('[8]Berechnungen BVerfG'!J$5&lt;'[8]Berechnungen BVerfG'!J$2,'[8]Berechnungen BVerfG'!J$2,'[8]Berechnungen BVerfG'!K$5))),0))),0)</f>
        <v>0</v>
      </c>
      <c r="O48" s="1916">
        <f>IFERROR(IF($K48&lt;INT('[8]Berechnungen BVerfG'!K$5),0,IF($K48=INT('[8]Berechnungen BVerfG'!K$2),'[8]Berechnungen BVerfG'!K$12,IF($K48&gt;INT('[8]Berechnungen BVerfG'!K$2),'[8]Berechnungen BVerfG'!K$12*(1+'[8]Berechnungen BVerfG'!K$9)^(IF($K48-'[8]Berechnungen BVerfG'!K$5&lt;=0,0,$K48-IF('[8]Berechnungen BVerfG'!K$5&lt;'[8]Berechnungen BVerfG'!K$2,'[8]Berechnungen BVerfG'!K$2,'[8]Berechnungen BVerfG'!K$5))),0))),0)</f>
        <v>0</v>
      </c>
      <c r="P48" s="91">
        <f t="shared" si="1"/>
        <v>0</v>
      </c>
    </row>
    <row r="49" spans="1:16">
      <c r="A49" s="1915" t="e">
        <f>IF(PflGesamt,IF(GesVersrgPfl,SUM([8]!Tabelle2[[#This Row],[Spalte2]:[Spalte8]]),0),0)</f>
        <v>#REF!</v>
      </c>
      <c r="B49" s="1915" t="e">
        <f>IF(BerGesamt,SUM('[8]Berechnungen BVerfG'!P49:R49)+'[8]Berechnungen BVerfG'!N49,0)</f>
        <v>#REF!</v>
      </c>
      <c r="C49" s="1915">
        <f t="shared" si="0"/>
        <v>0</v>
      </c>
      <c r="D49" s="1915" t="e">
        <f>SUM('[8]Berechnungen BVerfG'!P49:R49)+'[8]Berechnungen BVerfG'!N49</f>
        <v>#REF!</v>
      </c>
      <c r="K49" t="e">
        <f>+[8]!Tabelle2[[#This Row],[Alter]]</f>
        <v>#REF!</v>
      </c>
      <c r="L49" s="91">
        <f>IFERROR(IF($K49&lt;INT('[8]Berechnungen BVerfG'!H$5),0,IF($K49=INT('[8]Berechnungen BVerfG'!H$2),'[8]Berechnungen BVerfG'!H$12,IF($K49&gt;INT('[8]Berechnungen BVerfG'!H$2),'[8]Berechnungen BVerfG'!H$12*(1+'[8]Berechnungen BVerfG'!H$9)^(IF($K49-'[8]Berechnungen BVerfG'!H$5&lt;=0,0,$K49-IF('[8]Berechnungen BVerfG'!H$5&lt;'[8]Berechnungen BVerfG'!H$2,'[8]Berechnungen BVerfG'!H$2,'[8]Berechnungen BVerfG'!H$5))),0))),0)</f>
        <v>0</v>
      </c>
      <c r="M49" s="1916">
        <f>IFERROR(IF(K49&lt;INT('[8]Berechnungen BVerfG'!I$5),0,IF(K49=INT('[8]Berechnungen BVerfG'!I$2),'[8]Berechnungen BVerfG'!I$12,IF(K49&gt;INT('[8]Berechnungen BVerfG'!I$2),'[8]Berechnungen BVerfG'!I$12*(1+'[8]Berechnungen BVerfG'!I$9)^(IF(K49-'[8]Berechnungen BVerfG'!I$5&lt;=0,0,K49-IF('[8]Berechnungen BVerfG'!I$5&lt;'[8]Berechnungen BVerfG'!I$2,'[8]Berechnungen BVerfG'!I$2,'[8]Berechnungen BVerfG'!I$5))),0))),0)</f>
        <v>0</v>
      </c>
      <c r="N49" s="1916">
        <f>IFERROR(IF($K49&lt;INT('[8]Berechnungen BVerfG'!J$5),0,IF($K49=INT('[8]Berechnungen BVerfG'!J$2),'[8]Berechnungen BVerfG'!J$12,IF($K49&gt;INT('[8]Berechnungen BVerfG'!J$2),'[8]Berechnungen BVerfG'!J$12*(1+'[8]Berechnungen BVerfG'!J$9)^(IF($K49-'[8]Berechnungen BVerfG'!J$5&lt;=0,0,$K49-IF('[8]Berechnungen BVerfG'!J$5&lt;'[8]Berechnungen BVerfG'!J$2,'[8]Berechnungen BVerfG'!J$2,'[8]Berechnungen BVerfG'!K$5))),0))),0)</f>
        <v>0</v>
      </c>
      <c r="O49" s="1916">
        <f>IFERROR(IF($K49&lt;INT('[8]Berechnungen BVerfG'!K$5),0,IF($K49=INT('[8]Berechnungen BVerfG'!K$2),'[8]Berechnungen BVerfG'!K$12,IF($K49&gt;INT('[8]Berechnungen BVerfG'!K$2),'[8]Berechnungen BVerfG'!K$12*(1+'[8]Berechnungen BVerfG'!K$9)^(IF($K49-'[8]Berechnungen BVerfG'!K$5&lt;=0,0,$K49-IF('[8]Berechnungen BVerfG'!K$5&lt;'[8]Berechnungen BVerfG'!K$2,'[8]Berechnungen BVerfG'!K$2,'[8]Berechnungen BVerfG'!K$5))),0))),0)</f>
        <v>0</v>
      </c>
      <c r="P49" s="91">
        <f t="shared" si="1"/>
        <v>0</v>
      </c>
    </row>
    <row r="50" spans="1:16">
      <c r="A50" s="1915" t="e">
        <f>IF(PflGesamt,IF(GesVersrgPfl,SUM([8]!Tabelle2[[#This Row],[Spalte2]:[Spalte8]]),0),0)</f>
        <v>#REF!</v>
      </c>
      <c r="B50" s="1915" t="e">
        <f>IF(BerGesamt,SUM('[8]Berechnungen BVerfG'!P50:R50)+'[8]Berechnungen BVerfG'!N50,0)</f>
        <v>#REF!</v>
      </c>
      <c r="C50" s="1915">
        <f t="shared" ref="C50:C70" si="2">IF(GesVersrgPfl,P50,0)</f>
        <v>0</v>
      </c>
      <c r="D50" s="1915" t="e">
        <f>SUM('[8]Berechnungen BVerfG'!P50:R50)+'[8]Berechnungen BVerfG'!N50</f>
        <v>#REF!</v>
      </c>
      <c r="K50" t="e">
        <f>+[8]!Tabelle2[[#This Row],[Alter]]</f>
        <v>#REF!</v>
      </c>
      <c r="L50" s="91">
        <f>IFERROR(IF($K50&lt;INT('[8]Berechnungen BVerfG'!H$5),0,IF($K50=INT('[8]Berechnungen BVerfG'!H$2),'[8]Berechnungen BVerfG'!H$12,IF($K50&gt;INT('[8]Berechnungen BVerfG'!H$2),'[8]Berechnungen BVerfG'!H$12*(1+'[8]Berechnungen BVerfG'!H$9)^(IF($K50-'[8]Berechnungen BVerfG'!H$5&lt;=0,0,$K50-IF('[8]Berechnungen BVerfG'!H$5&lt;'[8]Berechnungen BVerfG'!H$2,'[8]Berechnungen BVerfG'!H$2,'[8]Berechnungen BVerfG'!H$5))),0))),0)</f>
        <v>0</v>
      </c>
      <c r="M50" s="1916">
        <f>IFERROR(IF(K50&lt;INT('[8]Berechnungen BVerfG'!I$5),0,IF(K50=INT('[8]Berechnungen BVerfG'!I$2),'[8]Berechnungen BVerfG'!I$12,IF(K50&gt;INT('[8]Berechnungen BVerfG'!I$2),'[8]Berechnungen BVerfG'!I$12*(1+'[8]Berechnungen BVerfG'!I$9)^(IF(K50-'[8]Berechnungen BVerfG'!I$5&lt;=0,0,K50-IF('[8]Berechnungen BVerfG'!I$5&lt;'[8]Berechnungen BVerfG'!I$2,'[8]Berechnungen BVerfG'!I$2,'[8]Berechnungen BVerfG'!I$5))),0))),0)</f>
        <v>0</v>
      </c>
      <c r="N50" s="1916">
        <f>IFERROR(IF($K50&lt;INT('[8]Berechnungen BVerfG'!J$5),0,IF($K50=INT('[8]Berechnungen BVerfG'!J$2),'[8]Berechnungen BVerfG'!J$12,IF($K50&gt;INT('[8]Berechnungen BVerfG'!J$2),'[8]Berechnungen BVerfG'!J$12*(1+'[8]Berechnungen BVerfG'!J$9)^(IF($K50-'[8]Berechnungen BVerfG'!J$5&lt;=0,0,$K50-IF('[8]Berechnungen BVerfG'!J$5&lt;'[8]Berechnungen BVerfG'!J$2,'[8]Berechnungen BVerfG'!J$2,'[8]Berechnungen BVerfG'!K$5))),0))),0)</f>
        <v>0</v>
      </c>
      <c r="O50" s="1916">
        <f>IFERROR(IF($K50&lt;INT('[8]Berechnungen BVerfG'!K$5),0,IF($K50=INT('[8]Berechnungen BVerfG'!K$2),'[8]Berechnungen BVerfG'!K$12,IF($K50&gt;INT('[8]Berechnungen BVerfG'!K$2),'[8]Berechnungen BVerfG'!K$12*(1+'[8]Berechnungen BVerfG'!K$9)^(IF($K50-'[8]Berechnungen BVerfG'!K$5&lt;=0,0,$K50-IF('[8]Berechnungen BVerfG'!K$5&lt;'[8]Berechnungen BVerfG'!K$2,'[8]Berechnungen BVerfG'!K$2,'[8]Berechnungen BVerfG'!K$5))),0))),0)</f>
        <v>0</v>
      </c>
      <c r="P50" s="91">
        <f t="shared" ref="P50:P70" si="3">IF(GesVersrgPfl,SUM(L50:O50),0)</f>
        <v>0</v>
      </c>
    </row>
    <row r="51" spans="1:16">
      <c r="A51" s="1915" t="e">
        <f>IF(PflGesamt,IF(GesVersrgPfl,SUM([8]!Tabelle2[[#This Row],[Spalte2]:[Spalte8]]),0),0)</f>
        <v>#REF!</v>
      </c>
      <c r="B51" s="1915" t="e">
        <f>IF(BerGesamt,SUM('[8]Berechnungen BVerfG'!P51:R51)+'[8]Berechnungen BVerfG'!N51,0)</f>
        <v>#REF!</v>
      </c>
      <c r="C51" s="1915">
        <f t="shared" si="2"/>
        <v>0</v>
      </c>
      <c r="D51" s="1915" t="e">
        <f>SUM('[8]Berechnungen BVerfG'!P51:R51)+'[8]Berechnungen BVerfG'!N51</f>
        <v>#REF!</v>
      </c>
      <c r="K51" t="e">
        <f>+[8]!Tabelle2[[#This Row],[Alter]]</f>
        <v>#REF!</v>
      </c>
      <c r="L51" s="91">
        <f>IFERROR(IF($K51&lt;INT('[8]Berechnungen BVerfG'!H$5),0,IF($K51=INT('[8]Berechnungen BVerfG'!H$2),'[8]Berechnungen BVerfG'!H$12,IF($K51&gt;INT('[8]Berechnungen BVerfG'!H$2),'[8]Berechnungen BVerfG'!H$12*(1+'[8]Berechnungen BVerfG'!H$9)^(IF($K51-'[8]Berechnungen BVerfG'!H$5&lt;=0,0,$K51-IF('[8]Berechnungen BVerfG'!H$5&lt;'[8]Berechnungen BVerfG'!H$2,'[8]Berechnungen BVerfG'!H$2,'[8]Berechnungen BVerfG'!H$5))),0))),0)</f>
        <v>0</v>
      </c>
      <c r="M51" s="1916">
        <f>IFERROR(IF(K51&lt;INT('[8]Berechnungen BVerfG'!I$5),0,IF(K51=INT('[8]Berechnungen BVerfG'!I$2),'[8]Berechnungen BVerfG'!I$12,IF(K51&gt;INT('[8]Berechnungen BVerfG'!I$2),'[8]Berechnungen BVerfG'!I$12*(1+'[8]Berechnungen BVerfG'!I$9)^(IF(K51-'[8]Berechnungen BVerfG'!I$5&lt;=0,0,K51-IF('[8]Berechnungen BVerfG'!I$5&lt;'[8]Berechnungen BVerfG'!I$2,'[8]Berechnungen BVerfG'!I$2,'[8]Berechnungen BVerfG'!I$5))),0))),0)</f>
        <v>0</v>
      </c>
      <c r="N51" s="1916">
        <f>IFERROR(IF($K51&lt;INT('[8]Berechnungen BVerfG'!J$5),0,IF($K51=INT('[8]Berechnungen BVerfG'!J$2),'[8]Berechnungen BVerfG'!J$12,IF($K51&gt;INT('[8]Berechnungen BVerfG'!J$2),'[8]Berechnungen BVerfG'!J$12*(1+'[8]Berechnungen BVerfG'!J$9)^(IF($K51-'[8]Berechnungen BVerfG'!J$5&lt;=0,0,$K51-IF('[8]Berechnungen BVerfG'!J$5&lt;'[8]Berechnungen BVerfG'!J$2,'[8]Berechnungen BVerfG'!J$2,'[8]Berechnungen BVerfG'!K$5))),0))),0)</f>
        <v>0</v>
      </c>
      <c r="O51" s="1916">
        <f>IFERROR(IF($K51&lt;INT('[8]Berechnungen BVerfG'!K$5),0,IF($K51=INT('[8]Berechnungen BVerfG'!K$2),'[8]Berechnungen BVerfG'!K$12,IF($K51&gt;INT('[8]Berechnungen BVerfG'!K$2),'[8]Berechnungen BVerfG'!K$12*(1+'[8]Berechnungen BVerfG'!K$9)^(IF($K51-'[8]Berechnungen BVerfG'!K$5&lt;=0,0,$K51-IF('[8]Berechnungen BVerfG'!K$5&lt;'[8]Berechnungen BVerfG'!K$2,'[8]Berechnungen BVerfG'!K$2,'[8]Berechnungen BVerfG'!K$5))),0))),0)</f>
        <v>0</v>
      </c>
      <c r="P51" s="91">
        <f t="shared" si="3"/>
        <v>0</v>
      </c>
    </row>
    <row r="52" spans="1:16">
      <c r="A52" s="1915" t="e">
        <f>IF(PflGesamt,IF(GesVersrgPfl,SUM([8]!Tabelle2[[#This Row],[Spalte2]:[Spalte8]]),0),0)</f>
        <v>#REF!</v>
      </c>
      <c r="B52" s="1915" t="e">
        <f>IF(BerGesamt,SUM('[8]Berechnungen BVerfG'!P52:R52)+'[8]Berechnungen BVerfG'!N52,0)</f>
        <v>#REF!</v>
      </c>
      <c r="C52" s="1915">
        <f t="shared" si="2"/>
        <v>0</v>
      </c>
      <c r="D52" s="1915" t="e">
        <f>SUM('[8]Berechnungen BVerfG'!P52:R52)+'[8]Berechnungen BVerfG'!N52</f>
        <v>#REF!</v>
      </c>
      <c r="K52" t="e">
        <f>+[8]!Tabelle2[[#This Row],[Alter]]</f>
        <v>#REF!</v>
      </c>
      <c r="L52" s="91">
        <f>IFERROR(IF($K52&lt;INT('[8]Berechnungen BVerfG'!H$5),0,IF($K52=INT('[8]Berechnungen BVerfG'!H$2),'[8]Berechnungen BVerfG'!H$12,IF($K52&gt;INT('[8]Berechnungen BVerfG'!H$2),'[8]Berechnungen BVerfG'!H$12*(1+'[8]Berechnungen BVerfG'!H$9)^(IF($K52-'[8]Berechnungen BVerfG'!H$5&lt;=0,0,$K52-IF('[8]Berechnungen BVerfG'!H$5&lt;'[8]Berechnungen BVerfG'!H$2,'[8]Berechnungen BVerfG'!H$2,'[8]Berechnungen BVerfG'!H$5))),0))),0)</f>
        <v>0</v>
      </c>
      <c r="M52" s="1916">
        <f>IFERROR(IF(K52&lt;INT('[8]Berechnungen BVerfG'!I$5),0,IF(K52=INT('[8]Berechnungen BVerfG'!I$2),'[8]Berechnungen BVerfG'!I$12,IF(K52&gt;INT('[8]Berechnungen BVerfG'!I$2),'[8]Berechnungen BVerfG'!I$12*(1+'[8]Berechnungen BVerfG'!I$9)^(IF(K52-'[8]Berechnungen BVerfG'!I$5&lt;=0,0,K52-IF('[8]Berechnungen BVerfG'!I$5&lt;'[8]Berechnungen BVerfG'!I$2,'[8]Berechnungen BVerfG'!I$2,'[8]Berechnungen BVerfG'!I$5))),0))),0)</f>
        <v>0</v>
      </c>
      <c r="N52" s="1916">
        <f>IFERROR(IF($K52&lt;INT('[8]Berechnungen BVerfG'!J$5),0,IF($K52=INT('[8]Berechnungen BVerfG'!J$2),'[8]Berechnungen BVerfG'!J$12,IF($K52&gt;INT('[8]Berechnungen BVerfG'!J$2),'[8]Berechnungen BVerfG'!J$12*(1+'[8]Berechnungen BVerfG'!J$9)^(IF($K52-'[8]Berechnungen BVerfG'!J$5&lt;=0,0,$K52-IF('[8]Berechnungen BVerfG'!J$5&lt;'[8]Berechnungen BVerfG'!J$2,'[8]Berechnungen BVerfG'!J$2,'[8]Berechnungen BVerfG'!K$5))),0))),0)</f>
        <v>0</v>
      </c>
      <c r="O52" s="1916">
        <f>IFERROR(IF($K52&lt;INT('[8]Berechnungen BVerfG'!K$5),0,IF($K52=INT('[8]Berechnungen BVerfG'!K$2),'[8]Berechnungen BVerfG'!K$12,IF($K52&gt;INT('[8]Berechnungen BVerfG'!K$2),'[8]Berechnungen BVerfG'!K$12*(1+'[8]Berechnungen BVerfG'!K$9)^(IF($K52-'[8]Berechnungen BVerfG'!K$5&lt;=0,0,$K52-IF('[8]Berechnungen BVerfG'!K$5&lt;'[8]Berechnungen BVerfG'!K$2,'[8]Berechnungen BVerfG'!K$2,'[8]Berechnungen BVerfG'!K$5))),0))),0)</f>
        <v>0</v>
      </c>
      <c r="P52" s="91">
        <f t="shared" si="3"/>
        <v>0</v>
      </c>
    </row>
    <row r="53" spans="1:16">
      <c r="A53" s="1915" t="e">
        <f>IF(PflGesamt,IF(GesVersrgPfl,SUM([8]!Tabelle2[[#This Row],[Spalte2]:[Spalte8]]),0),0)</f>
        <v>#REF!</v>
      </c>
      <c r="B53" s="1915" t="e">
        <f>IF(BerGesamt,SUM('[8]Berechnungen BVerfG'!P53:R53)+'[8]Berechnungen BVerfG'!N53,0)</f>
        <v>#REF!</v>
      </c>
      <c r="C53" s="1915">
        <f t="shared" si="2"/>
        <v>0</v>
      </c>
      <c r="D53" s="1915" t="e">
        <f>SUM('[8]Berechnungen BVerfG'!P53:R53)+'[8]Berechnungen BVerfG'!N53</f>
        <v>#REF!</v>
      </c>
      <c r="K53" t="e">
        <f>+[8]!Tabelle2[[#This Row],[Alter]]</f>
        <v>#REF!</v>
      </c>
      <c r="L53" s="91">
        <f>IFERROR(IF($K53&lt;INT('[8]Berechnungen BVerfG'!H$5),0,IF($K53=INT('[8]Berechnungen BVerfG'!H$2),'[8]Berechnungen BVerfG'!H$12,IF($K53&gt;INT('[8]Berechnungen BVerfG'!H$2),'[8]Berechnungen BVerfG'!H$12*(1+'[8]Berechnungen BVerfG'!H$9)^(IF($K53-'[8]Berechnungen BVerfG'!H$5&lt;=0,0,$K53-IF('[8]Berechnungen BVerfG'!H$5&lt;'[8]Berechnungen BVerfG'!H$2,'[8]Berechnungen BVerfG'!H$2,'[8]Berechnungen BVerfG'!H$5))),0))),0)</f>
        <v>0</v>
      </c>
      <c r="M53" s="1916">
        <f>IFERROR(IF(K53&lt;INT('[8]Berechnungen BVerfG'!I$5),0,IF(K53=INT('[8]Berechnungen BVerfG'!I$2),'[8]Berechnungen BVerfG'!I$12,IF(K53&gt;INT('[8]Berechnungen BVerfG'!I$2),'[8]Berechnungen BVerfG'!I$12*(1+'[8]Berechnungen BVerfG'!I$9)^(IF(K53-'[8]Berechnungen BVerfG'!I$5&lt;=0,0,K53-IF('[8]Berechnungen BVerfG'!I$5&lt;'[8]Berechnungen BVerfG'!I$2,'[8]Berechnungen BVerfG'!I$2,'[8]Berechnungen BVerfG'!I$5))),0))),0)</f>
        <v>0</v>
      </c>
      <c r="N53" s="1916">
        <f>IFERROR(IF($K53&lt;INT('[8]Berechnungen BVerfG'!J$5),0,IF($K53=INT('[8]Berechnungen BVerfG'!J$2),'[8]Berechnungen BVerfG'!J$12,IF($K53&gt;INT('[8]Berechnungen BVerfG'!J$2),'[8]Berechnungen BVerfG'!J$12*(1+'[8]Berechnungen BVerfG'!J$9)^(IF($K53-'[8]Berechnungen BVerfG'!J$5&lt;=0,0,$K53-IF('[8]Berechnungen BVerfG'!J$5&lt;'[8]Berechnungen BVerfG'!J$2,'[8]Berechnungen BVerfG'!J$2,'[8]Berechnungen BVerfG'!K$5))),0))),0)</f>
        <v>0</v>
      </c>
      <c r="O53" s="1916">
        <f>IFERROR(IF($K53&lt;INT('[8]Berechnungen BVerfG'!K$5),0,IF($K53=INT('[8]Berechnungen BVerfG'!K$2),'[8]Berechnungen BVerfG'!K$12,IF($K53&gt;INT('[8]Berechnungen BVerfG'!K$2),'[8]Berechnungen BVerfG'!K$12*(1+'[8]Berechnungen BVerfG'!K$9)^(IF($K53-'[8]Berechnungen BVerfG'!K$5&lt;=0,0,$K53-IF('[8]Berechnungen BVerfG'!K$5&lt;'[8]Berechnungen BVerfG'!K$2,'[8]Berechnungen BVerfG'!K$2,'[8]Berechnungen BVerfG'!K$5))),0))),0)</f>
        <v>0</v>
      </c>
      <c r="P53" s="91">
        <f t="shared" si="3"/>
        <v>0</v>
      </c>
    </row>
    <row r="54" spans="1:16">
      <c r="A54" s="1915" t="e">
        <f>IF(PflGesamt,IF(GesVersrgPfl,SUM([8]!Tabelle2[[#This Row],[Spalte2]:[Spalte8]]),0),0)</f>
        <v>#REF!</v>
      </c>
      <c r="B54" s="1915" t="e">
        <f>IF(BerGesamt,SUM('[8]Berechnungen BVerfG'!P54:R54)+'[8]Berechnungen BVerfG'!N54,0)</f>
        <v>#REF!</v>
      </c>
      <c r="C54" s="1915">
        <f t="shared" si="2"/>
        <v>0</v>
      </c>
      <c r="D54" s="1915" t="e">
        <f>SUM('[8]Berechnungen BVerfG'!P54:R54)+'[8]Berechnungen BVerfG'!N54</f>
        <v>#REF!</v>
      </c>
      <c r="K54" t="e">
        <f>+[8]!Tabelle2[[#This Row],[Alter]]</f>
        <v>#REF!</v>
      </c>
      <c r="L54" s="91">
        <f>IFERROR(IF($K54&lt;INT('[8]Berechnungen BVerfG'!H$5),0,IF($K54=INT('[8]Berechnungen BVerfG'!H$2),'[8]Berechnungen BVerfG'!H$12,IF($K54&gt;INT('[8]Berechnungen BVerfG'!H$2),'[8]Berechnungen BVerfG'!H$12*(1+'[8]Berechnungen BVerfG'!H$9)^(IF($K54-'[8]Berechnungen BVerfG'!H$5&lt;=0,0,$K54-IF('[8]Berechnungen BVerfG'!H$5&lt;'[8]Berechnungen BVerfG'!H$2,'[8]Berechnungen BVerfG'!H$2,'[8]Berechnungen BVerfG'!H$5))),0))),0)</f>
        <v>0</v>
      </c>
      <c r="M54" s="1916">
        <f>IFERROR(IF(K54&lt;INT('[8]Berechnungen BVerfG'!I$5),0,IF(K54=INT('[8]Berechnungen BVerfG'!I$2),'[8]Berechnungen BVerfG'!I$12,IF(K54&gt;INT('[8]Berechnungen BVerfG'!I$2),'[8]Berechnungen BVerfG'!I$12*(1+'[8]Berechnungen BVerfG'!I$9)^(IF(K54-'[8]Berechnungen BVerfG'!I$5&lt;=0,0,K54-IF('[8]Berechnungen BVerfG'!I$5&lt;'[8]Berechnungen BVerfG'!I$2,'[8]Berechnungen BVerfG'!I$2,'[8]Berechnungen BVerfG'!I$5))),0))),0)</f>
        <v>0</v>
      </c>
      <c r="N54" s="1916">
        <f>IFERROR(IF($K54&lt;INT('[8]Berechnungen BVerfG'!J$5),0,IF($K54=INT('[8]Berechnungen BVerfG'!J$2),'[8]Berechnungen BVerfG'!J$12,IF($K54&gt;INT('[8]Berechnungen BVerfG'!J$2),'[8]Berechnungen BVerfG'!J$12*(1+'[8]Berechnungen BVerfG'!J$9)^(IF($K54-'[8]Berechnungen BVerfG'!J$5&lt;=0,0,$K54-IF('[8]Berechnungen BVerfG'!J$5&lt;'[8]Berechnungen BVerfG'!J$2,'[8]Berechnungen BVerfG'!J$2,'[8]Berechnungen BVerfG'!K$5))),0))),0)</f>
        <v>0</v>
      </c>
      <c r="O54" s="1916">
        <f>IFERROR(IF($K54&lt;INT('[8]Berechnungen BVerfG'!K$5),0,IF($K54=INT('[8]Berechnungen BVerfG'!K$2),'[8]Berechnungen BVerfG'!K$12,IF($K54&gt;INT('[8]Berechnungen BVerfG'!K$2),'[8]Berechnungen BVerfG'!K$12*(1+'[8]Berechnungen BVerfG'!K$9)^(IF($K54-'[8]Berechnungen BVerfG'!K$5&lt;=0,0,$K54-IF('[8]Berechnungen BVerfG'!K$5&lt;'[8]Berechnungen BVerfG'!K$2,'[8]Berechnungen BVerfG'!K$2,'[8]Berechnungen BVerfG'!K$5))),0))),0)</f>
        <v>0</v>
      </c>
      <c r="P54" s="91">
        <f t="shared" si="3"/>
        <v>0</v>
      </c>
    </row>
    <row r="55" spans="1:16">
      <c r="A55" s="1915" t="e">
        <f>IF(PflGesamt,IF(GesVersrgPfl,SUM([8]!Tabelle2[[#This Row],[Spalte2]:[Spalte8]]),0),0)</f>
        <v>#REF!</v>
      </c>
      <c r="B55" s="1915" t="e">
        <f>IF(BerGesamt,SUM('[8]Berechnungen BVerfG'!P55:R55)+'[8]Berechnungen BVerfG'!N55,0)</f>
        <v>#REF!</v>
      </c>
      <c r="C55" s="1915">
        <f t="shared" si="2"/>
        <v>0</v>
      </c>
      <c r="D55" s="1915" t="e">
        <f>SUM('[8]Berechnungen BVerfG'!P55:R55)+'[8]Berechnungen BVerfG'!N55</f>
        <v>#REF!</v>
      </c>
      <c r="K55" t="e">
        <f>+[8]!Tabelle2[[#This Row],[Alter]]</f>
        <v>#REF!</v>
      </c>
      <c r="L55" s="91">
        <f>IFERROR(IF($K55&lt;INT('[8]Berechnungen BVerfG'!H$5),0,IF($K55=INT('[8]Berechnungen BVerfG'!H$2),'[8]Berechnungen BVerfG'!H$12,IF($K55&gt;INT('[8]Berechnungen BVerfG'!H$2),'[8]Berechnungen BVerfG'!H$12*(1+'[8]Berechnungen BVerfG'!H$9)^(IF($K55-'[8]Berechnungen BVerfG'!H$5&lt;=0,0,$K55-IF('[8]Berechnungen BVerfG'!H$5&lt;'[8]Berechnungen BVerfG'!H$2,'[8]Berechnungen BVerfG'!H$2,'[8]Berechnungen BVerfG'!H$5))),0))),0)</f>
        <v>0</v>
      </c>
      <c r="M55" s="1916">
        <f>IFERROR(IF(K55&lt;INT('[8]Berechnungen BVerfG'!I$5),0,IF(K55=INT('[8]Berechnungen BVerfG'!I$2),'[8]Berechnungen BVerfG'!I$12,IF(K55&gt;INT('[8]Berechnungen BVerfG'!I$2),'[8]Berechnungen BVerfG'!I$12*(1+'[8]Berechnungen BVerfG'!I$9)^(IF(K55-'[8]Berechnungen BVerfG'!I$5&lt;=0,0,K55-IF('[8]Berechnungen BVerfG'!I$5&lt;'[8]Berechnungen BVerfG'!I$2,'[8]Berechnungen BVerfG'!I$2,'[8]Berechnungen BVerfG'!I$5))),0))),0)</f>
        <v>0</v>
      </c>
      <c r="N55" s="1916">
        <f>IFERROR(IF($K55&lt;INT('[8]Berechnungen BVerfG'!J$5),0,IF($K55=INT('[8]Berechnungen BVerfG'!J$2),'[8]Berechnungen BVerfG'!J$12,IF($K55&gt;INT('[8]Berechnungen BVerfG'!J$2),'[8]Berechnungen BVerfG'!J$12*(1+'[8]Berechnungen BVerfG'!J$9)^(IF($K55-'[8]Berechnungen BVerfG'!J$5&lt;=0,0,$K55-IF('[8]Berechnungen BVerfG'!J$5&lt;'[8]Berechnungen BVerfG'!J$2,'[8]Berechnungen BVerfG'!J$2,'[8]Berechnungen BVerfG'!K$5))),0))),0)</f>
        <v>0</v>
      </c>
      <c r="O55" s="1916">
        <f>IFERROR(IF($K55&lt;INT('[8]Berechnungen BVerfG'!K$5),0,IF($K55=INT('[8]Berechnungen BVerfG'!K$2),'[8]Berechnungen BVerfG'!K$12,IF($K55&gt;INT('[8]Berechnungen BVerfG'!K$2),'[8]Berechnungen BVerfG'!K$12*(1+'[8]Berechnungen BVerfG'!K$9)^(IF($K55-'[8]Berechnungen BVerfG'!K$5&lt;=0,0,$K55-IF('[8]Berechnungen BVerfG'!K$5&lt;'[8]Berechnungen BVerfG'!K$2,'[8]Berechnungen BVerfG'!K$2,'[8]Berechnungen BVerfG'!K$5))),0))),0)</f>
        <v>0</v>
      </c>
      <c r="P55" s="91">
        <f t="shared" si="3"/>
        <v>0</v>
      </c>
    </row>
    <row r="56" spans="1:16">
      <c r="A56" s="1915" t="e">
        <f>IF(PflGesamt,IF(GesVersrgPfl,SUM([8]!Tabelle2[[#This Row],[Spalte2]:[Spalte8]]),0),0)</f>
        <v>#REF!</v>
      </c>
      <c r="B56" s="1915" t="e">
        <f>IF(BerGesamt,SUM('[8]Berechnungen BVerfG'!P56:R56)+'[8]Berechnungen BVerfG'!N56,0)</f>
        <v>#REF!</v>
      </c>
      <c r="C56" s="1915">
        <f t="shared" si="2"/>
        <v>0</v>
      </c>
      <c r="D56" s="1915" t="e">
        <f>SUM('[8]Berechnungen BVerfG'!P56:R56)+'[8]Berechnungen BVerfG'!N56</f>
        <v>#REF!</v>
      </c>
      <c r="K56" t="e">
        <f>+[8]!Tabelle2[[#This Row],[Alter]]</f>
        <v>#REF!</v>
      </c>
      <c r="L56" s="91">
        <f>IFERROR(IF($K56&lt;INT('[8]Berechnungen BVerfG'!H$5),0,IF($K56=INT('[8]Berechnungen BVerfG'!H$2),'[8]Berechnungen BVerfG'!H$12,IF($K56&gt;INT('[8]Berechnungen BVerfG'!H$2),'[8]Berechnungen BVerfG'!H$12*(1+'[8]Berechnungen BVerfG'!H$9)^(IF($K56-'[8]Berechnungen BVerfG'!H$5&lt;=0,0,$K56-IF('[8]Berechnungen BVerfG'!H$5&lt;'[8]Berechnungen BVerfG'!H$2,'[8]Berechnungen BVerfG'!H$2,'[8]Berechnungen BVerfG'!H$5))),0))),0)</f>
        <v>0</v>
      </c>
      <c r="M56" s="1916">
        <f>IFERROR(IF(K56&lt;INT('[8]Berechnungen BVerfG'!I$5),0,IF(K56=INT('[8]Berechnungen BVerfG'!I$2),'[8]Berechnungen BVerfG'!I$12,IF(K56&gt;INT('[8]Berechnungen BVerfG'!I$2),'[8]Berechnungen BVerfG'!I$12*(1+'[8]Berechnungen BVerfG'!I$9)^(IF(K56-'[8]Berechnungen BVerfG'!I$5&lt;=0,0,K56-IF('[8]Berechnungen BVerfG'!I$5&lt;'[8]Berechnungen BVerfG'!I$2,'[8]Berechnungen BVerfG'!I$2,'[8]Berechnungen BVerfG'!I$5))),0))),0)</f>
        <v>0</v>
      </c>
      <c r="N56" s="1916">
        <f>IFERROR(IF($K56&lt;INT('[8]Berechnungen BVerfG'!J$5),0,IF($K56=INT('[8]Berechnungen BVerfG'!J$2),'[8]Berechnungen BVerfG'!J$12,IF($K56&gt;INT('[8]Berechnungen BVerfG'!J$2),'[8]Berechnungen BVerfG'!J$12*(1+'[8]Berechnungen BVerfG'!J$9)^(IF($K56-'[8]Berechnungen BVerfG'!J$5&lt;=0,0,$K56-IF('[8]Berechnungen BVerfG'!J$5&lt;'[8]Berechnungen BVerfG'!J$2,'[8]Berechnungen BVerfG'!J$2,'[8]Berechnungen BVerfG'!K$5))),0))),0)</f>
        <v>0</v>
      </c>
      <c r="O56" s="1916">
        <f>IFERROR(IF($K56&lt;INT('[8]Berechnungen BVerfG'!K$5),0,IF($K56=INT('[8]Berechnungen BVerfG'!K$2),'[8]Berechnungen BVerfG'!K$12,IF($K56&gt;INT('[8]Berechnungen BVerfG'!K$2),'[8]Berechnungen BVerfG'!K$12*(1+'[8]Berechnungen BVerfG'!K$9)^(IF($K56-'[8]Berechnungen BVerfG'!K$5&lt;=0,0,$K56-IF('[8]Berechnungen BVerfG'!K$5&lt;'[8]Berechnungen BVerfG'!K$2,'[8]Berechnungen BVerfG'!K$2,'[8]Berechnungen BVerfG'!K$5))),0))),0)</f>
        <v>0</v>
      </c>
      <c r="P56" s="91">
        <f t="shared" si="3"/>
        <v>0</v>
      </c>
    </row>
    <row r="57" spans="1:16">
      <c r="A57" s="1915" t="e">
        <f>IF(PflGesamt,IF(GesVersrgPfl,SUM([8]!Tabelle2[[#This Row],[Spalte2]:[Spalte8]]),0),0)</f>
        <v>#REF!</v>
      </c>
      <c r="B57" s="1915" t="e">
        <f>IF(BerGesamt,SUM('[8]Berechnungen BVerfG'!P57:R57)+'[8]Berechnungen BVerfG'!N57,0)</f>
        <v>#REF!</v>
      </c>
      <c r="C57" s="1915">
        <f t="shared" si="2"/>
        <v>0</v>
      </c>
      <c r="D57" s="1915" t="e">
        <f>SUM('[8]Berechnungen BVerfG'!P57:R57)+'[8]Berechnungen BVerfG'!N57</f>
        <v>#REF!</v>
      </c>
      <c r="K57" t="e">
        <f>+[8]!Tabelle2[[#This Row],[Alter]]</f>
        <v>#REF!</v>
      </c>
      <c r="L57" s="91">
        <f>IFERROR(IF($K57&lt;INT('[8]Berechnungen BVerfG'!H$5),0,IF($K57=INT('[8]Berechnungen BVerfG'!H$2),'[8]Berechnungen BVerfG'!H$12,IF($K57&gt;INT('[8]Berechnungen BVerfG'!H$2),'[8]Berechnungen BVerfG'!H$12*(1+'[8]Berechnungen BVerfG'!H$9)^(IF($K57-'[8]Berechnungen BVerfG'!H$5&lt;=0,0,$K57-IF('[8]Berechnungen BVerfG'!H$5&lt;'[8]Berechnungen BVerfG'!H$2,'[8]Berechnungen BVerfG'!H$2,'[8]Berechnungen BVerfG'!H$5))),0))),0)</f>
        <v>0</v>
      </c>
      <c r="M57" s="1916">
        <f>IFERROR(IF(K57&lt;INT('[8]Berechnungen BVerfG'!I$5),0,IF(K57=INT('[8]Berechnungen BVerfG'!I$2),'[8]Berechnungen BVerfG'!I$12,IF(K57&gt;INT('[8]Berechnungen BVerfG'!I$2),'[8]Berechnungen BVerfG'!I$12*(1+'[8]Berechnungen BVerfG'!I$9)^(IF(K57-'[8]Berechnungen BVerfG'!I$5&lt;=0,0,K57-IF('[8]Berechnungen BVerfG'!I$5&lt;'[8]Berechnungen BVerfG'!I$2,'[8]Berechnungen BVerfG'!I$2,'[8]Berechnungen BVerfG'!I$5))),0))),0)</f>
        <v>0</v>
      </c>
      <c r="N57" s="1916">
        <f>IFERROR(IF($K57&lt;INT('[8]Berechnungen BVerfG'!J$5),0,IF($K57=INT('[8]Berechnungen BVerfG'!J$2),'[8]Berechnungen BVerfG'!J$12,IF($K57&gt;INT('[8]Berechnungen BVerfG'!J$2),'[8]Berechnungen BVerfG'!J$12*(1+'[8]Berechnungen BVerfG'!J$9)^(IF($K57-'[8]Berechnungen BVerfG'!J$5&lt;=0,0,$K57-IF('[8]Berechnungen BVerfG'!J$5&lt;'[8]Berechnungen BVerfG'!J$2,'[8]Berechnungen BVerfG'!J$2,'[8]Berechnungen BVerfG'!K$5))),0))),0)</f>
        <v>0</v>
      </c>
      <c r="O57" s="1916">
        <f>IFERROR(IF($K57&lt;INT('[8]Berechnungen BVerfG'!K$5),0,IF($K57=INT('[8]Berechnungen BVerfG'!K$2),'[8]Berechnungen BVerfG'!K$12,IF($K57&gt;INT('[8]Berechnungen BVerfG'!K$2),'[8]Berechnungen BVerfG'!K$12*(1+'[8]Berechnungen BVerfG'!K$9)^(IF($K57-'[8]Berechnungen BVerfG'!K$5&lt;=0,0,$K57-IF('[8]Berechnungen BVerfG'!K$5&lt;'[8]Berechnungen BVerfG'!K$2,'[8]Berechnungen BVerfG'!K$2,'[8]Berechnungen BVerfG'!K$5))),0))),0)</f>
        <v>0</v>
      </c>
      <c r="P57" s="91">
        <f t="shared" si="3"/>
        <v>0</v>
      </c>
    </row>
    <row r="58" spans="1:16">
      <c r="A58" s="1915" t="e">
        <f>IF(PflGesamt,IF(GesVersrgPfl,SUM([8]!Tabelle2[[#This Row],[Spalte2]:[Spalte8]]),0),0)</f>
        <v>#REF!</v>
      </c>
      <c r="B58" s="1915" t="e">
        <f>IF(BerGesamt,SUM('[8]Berechnungen BVerfG'!P58:R58)+'[8]Berechnungen BVerfG'!N58,0)</f>
        <v>#REF!</v>
      </c>
      <c r="C58" s="1915">
        <f t="shared" si="2"/>
        <v>0</v>
      </c>
      <c r="D58" s="1915" t="e">
        <f>SUM('[8]Berechnungen BVerfG'!P58:R58)+'[8]Berechnungen BVerfG'!N58</f>
        <v>#REF!</v>
      </c>
      <c r="K58" t="e">
        <f>+[8]!Tabelle2[[#This Row],[Alter]]</f>
        <v>#REF!</v>
      </c>
      <c r="L58" s="91">
        <f>IFERROR(IF($K58&lt;INT('[8]Berechnungen BVerfG'!H$5),0,IF($K58=INT('[8]Berechnungen BVerfG'!H$2),'[8]Berechnungen BVerfG'!H$12,IF($K58&gt;INT('[8]Berechnungen BVerfG'!H$2),'[8]Berechnungen BVerfG'!H$12*(1+'[8]Berechnungen BVerfG'!H$9)^(IF($K58-'[8]Berechnungen BVerfG'!H$5&lt;=0,0,$K58-IF('[8]Berechnungen BVerfG'!H$5&lt;'[8]Berechnungen BVerfG'!H$2,'[8]Berechnungen BVerfG'!H$2,'[8]Berechnungen BVerfG'!H$5))),0))),0)</f>
        <v>0</v>
      </c>
      <c r="M58" s="1916">
        <f>IFERROR(IF(K58&lt;INT('[8]Berechnungen BVerfG'!I$5),0,IF(K58=INT('[8]Berechnungen BVerfG'!I$2),'[8]Berechnungen BVerfG'!I$12,IF(K58&gt;INT('[8]Berechnungen BVerfG'!I$2),'[8]Berechnungen BVerfG'!I$12*(1+'[8]Berechnungen BVerfG'!I$9)^(IF(K58-'[8]Berechnungen BVerfG'!I$5&lt;=0,0,K58-IF('[8]Berechnungen BVerfG'!I$5&lt;'[8]Berechnungen BVerfG'!I$2,'[8]Berechnungen BVerfG'!I$2,'[8]Berechnungen BVerfG'!I$5))),0))),0)</f>
        <v>0</v>
      </c>
      <c r="N58" s="1916">
        <f>IFERROR(IF($K58&lt;INT('[8]Berechnungen BVerfG'!J$5),0,IF($K58=INT('[8]Berechnungen BVerfG'!J$2),'[8]Berechnungen BVerfG'!J$12,IF($K58&gt;INT('[8]Berechnungen BVerfG'!J$2),'[8]Berechnungen BVerfG'!J$12*(1+'[8]Berechnungen BVerfG'!J$9)^(IF($K58-'[8]Berechnungen BVerfG'!J$5&lt;=0,0,$K58-IF('[8]Berechnungen BVerfG'!J$5&lt;'[8]Berechnungen BVerfG'!J$2,'[8]Berechnungen BVerfG'!J$2,'[8]Berechnungen BVerfG'!K$5))),0))),0)</f>
        <v>0</v>
      </c>
      <c r="O58" s="1916">
        <f>IFERROR(IF($K58&lt;INT('[8]Berechnungen BVerfG'!K$5),0,IF($K58=INT('[8]Berechnungen BVerfG'!K$2),'[8]Berechnungen BVerfG'!K$12,IF($K58&gt;INT('[8]Berechnungen BVerfG'!K$2),'[8]Berechnungen BVerfG'!K$12*(1+'[8]Berechnungen BVerfG'!K$9)^(IF($K58-'[8]Berechnungen BVerfG'!K$5&lt;=0,0,$K58-IF('[8]Berechnungen BVerfG'!K$5&lt;'[8]Berechnungen BVerfG'!K$2,'[8]Berechnungen BVerfG'!K$2,'[8]Berechnungen BVerfG'!K$5))),0))),0)</f>
        <v>0</v>
      </c>
      <c r="P58" s="91">
        <f t="shared" si="3"/>
        <v>0</v>
      </c>
    </row>
    <row r="59" spans="1:16">
      <c r="A59" s="1915" t="e">
        <f>IF(PflGesamt,IF(GesVersrgPfl,SUM([8]!Tabelle2[[#This Row],[Spalte2]:[Spalte8]]),0),0)</f>
        <v>#REF!</v>
      </c>
      <c r="B59" s="1915" t="e">
        <f>IF(BerGesamt,SUM('[8]Berechnungen BVerfG'!P59:R59)+'[8]Berechnungen BVerfG'!N59,0)</f>
        <v>#REF!</v>
      </c>
      <c r="C59" s="1915">
        <f t="shared" si="2"/>
        <v>0</v>
      </c>
      <c r="D59" s="1915" t="e">
        <f>SUM('[8]Berechnungen BVerfG'!P59:R59)+'[8]Berechnungen BVerfG'!N59</f>
        <v>#REF!</v>
      </c>
      <c r="K59" t="e">
        <f>+[8]!Tabelle2[[#This Row],[Alter]]</f>
        <v>#REF!</v>
      </c>
      <c r="L59" s="91">
        <f>IFERROR(IF($K59&lt;INT('[8]Berechnungen BVerfG'!H$5),0,IF($K59=INT('[8]Berechnungen BVerfG'!H$2),'[8]Berechnungen BVerfG'!H$12,IF($K59&gt;INT('[8]Berechnungen BVerfG'!H$2),'[8]Berechnungen BVerfG'!H$12*(1+'[8]Berechnungen BVerfG'!H$9)^(IF($K59-'[8]Berechnungen BVerfG'!H$5&lt;=0,0,$K59-IF('[8]Berechnungen BVerfG'!H$5&lt;'[8]Berechnungen BVerfG'!H$2,'[8]Berechnungen BVerfG'!H$2,'[8]Berechnungen BVerfG'!H$5))),0))),0)</f>
        <v>0</v>
      </c>
      <c r="M59" s="1916">
        <f>IFERROR(IF(K59&lt;INT('[8]Berechnungen BVerfG'!I$5),0,IF(K59=INT('[8]Berechnungen BVerfG'!I$2),'[8]Berechnungen BVerfG'!I$12,IF(K59&gt;INT('[8]Berechnungen BVerfG'!I$2),'[8]Berechnungen BVerfG'!I$12*(1+'[8]Berechnungen BVerfG'!I$9)^(IF(K59-'[8]Berechnungen BVerfG'!I$5&lt;=0,0,K59-IF('[8]Berechnungen BVerfG'!I$5&lt;'[8]Berechnungen BVerfG'!I$2,'[8]Berechnungen BVerfG'!I$2,'[8]Berechnungen BVerfG'!I$5))),0))),0)</f>
        <v>0</v>
      </c>
      <c r="N59" s="1916">
        <f>IFERROR(IF($K59&lt;INT('[8]Berechnungen BVerfG'!J$5),0,IF($K59=INT('[8]Berechnungen BVerfG'!J$2),'[8]Berechnungen BVerfG'!J$12,IF($K59&gt;INT('[8]Berechnungen BVerfG'!J$2),'[8]Berechnungen BVerfG'!J$12*(1+'[8]Berechnungen BVerfG'!J$9)^(IF($K59-'[8]Berechnungen BVerfG'!J$5&lt;=0,0,$K59-IF('[8]Berechnungen BVerfG'!J$5&lt;'[8]Berechnungen BVerfG'!J$2,'[8]Berechnungen BVerfG'!J$2,'[8]Berechnungen BVerfG'!K$5))),0))),0)</f>
        <v>0</v>
      </c>
      <c r="O59" s="1916">
        <f>IFERROR(IF($K59&lt;INT('[8]Berechnungen BVerfG'!K$5),0,IF($K59=INT('[8]Berechnungen BVerfG'!K$2),'[8]Berechnungen BVerfG'!K$12,IF($K59&gt;INT('[8]Berechnungen BVerfG'!K$2),'[8]Berechnungen BVerfG'!K$12*(1+'[8]Berechnungen BVerfG'!K$9)^(IF($K59-'[8]Berechnungen BVerfG'!K$5&lt;=0,0,$K59-IF('[8]Berechnungen BVerfG'!K$5&lt;'[8]Berechnungen BVerfG'!K$2,'[8]Berechnungen BVerfG'!K$2,'[8]Berechnungen BVerfG'!K$5))),0))),0)</f>
        <v>0</v>
      </c>
      <c r="P59" s="91">
        <f t="shared" si="3"/>
        <v>0</v>
      </c>
    </row>
    <row r="60" spans="1:16">
      <c r="A60" s="1915" t="e">
        <f>IF(PflGesamt,IF(GesVersrgPfl,SUM([8]!Tabelle2[[#This Row],[Spalte2]:[Spalte8]]),0),0)</f>
        <v>#REF!</v>
      </c>
      <c r="B60" s="1915" t="e">
        <f>IF(BerGesamt,SUM('[8]Berechnungen BVerfG'!P60:R60)+'[8]Berechnungen BVerfG'!N60,0)</f>
        <v>#REF!</v>
      </c>
      <c r="C60" s="1915">
        <f t="shared" si="2"/>
        <v>0</v>
      </c>
      <c r="D60" s="1915" t="e">
        <f>SUM('[8]Berechnungen BVerfG'!P60:R60)+'[8]Berechnungen BVerfG'!N60</f>
        <v>#REF!</v>
      </c>
      <c r="K60" t="e">
        <f>+[8]!Tabelle2[[#This Row],[Alter]]</f>
        <v>#REF!</v>
      </c>
      <c r="L60" s="91">
        <f>IFERROR(IF($K60&lt;INT('[8]Berechnungen BVerfG'!H$5),0,IF($K60=INT('[8]Berechnungen BVerfG'!H$2),'[8]Berechnungen BVerfG'!H$12,IF($K60&gt;INT('[8]Berechnungen BVerfG'!H$2),'[8]Berechnungen BVerfG'!H$12*(1+'[8]Berechnungen BVerfG'!H$9)^(IF($K60-'[8]Berechnungen BVerfG'!H$5&lt;=0,0,$K60-IF('[8]Berechnungen BVerfG'!H$5&lt;'[8]Berechnungen BVerfG'!H$2,'[8]Berechnungen BVerfG'!H$2,'[8]Berechnungen BVerfG'!H$5))),0))),0)</f>
        <v>0</v>
      </c>
      <c r="M60" s="1916">
        <f>IFERROR(IF(K60&lt;INT('[8]Berechnungen BVerfG'!I$5),0,IF(K60=INT('[8]Berechnungen BVerfG'!I$2),'[8]Berechnungen BVerfG'!I$12,IF(K60&gt;INT('[8]Berechnungen BVerfG'!I$2),'[8]Berechnungen BVerfG'!I$12*(1+'[8]Berechnungen BVerfG'!I$9)^(IF(K60-'[8]Berechnungen BVerfG'!I$5&lt;=0,0,K60-IF('[8]Berechnungen BVerfG'!I$5&lt;'[8]Berechnungen BVerfG'!I$2,'[8]Berechnungen BVerfG'!I$2,'[8]Berechnungen BVerfG'!I$5))),0))),0)</f>
        <v>0</v>
      </c>
      <c r="N60" s="1916">
        <f>IFERROR(IF($K60&lt;INT('[8]Berechnungen BVerfG'!J$5),0,IF($K60=INT('[8]Berechnungen BVerfG'!J$2),'[8]Berechnungen BVerfG'!J$12,IF($K60&gt;INT('[8]Berechnungen BVerfG'!J$2),'[8]Berechnungen BVerfG'!J$12*(1+'[8]Berechnungen BVerfG'!J$9)^(IF($K60-'[8]Berechnungen BVerfG'!J$5&lt;=0,0,$K60-IF('[8]Berechnungen BVerfG'!J$5&lt;'[8]Berechnungen BVerfG'!J$2,'[8]Berechnungen BVerfG'!J$2,'[8]Berechnungen BVerfG'!K$5))),0))),0)</f>
        <v>0</v>
      </c>
      <c r="O60" s="1916">
        <f>IFERROR(IF($K60&lt;INT('[8]Berechnungen BVerfG'!K$5),0,IF($K60=INT('[8]Berechnungen BVerfG'!K$2),'[8]Berechnungen BVerfG'!K$12,IF($K60&gt;INT('[8]Berechnungen BVerfG'!K$2),'[8]Berechnungen BVerfG'!K$12*(1+'[8]Berechnungen BVerfG'!K$9)^(IF($K60-'[8]Berechnungen BVerfG'!K$5&lt;=0,0,$K60-IF('[8]Berechnungen BVerfG'!K$5&lt;'[8]Berechnungen BVerfG'!K$2,'[8]Berechnungen BVerfG'!K$2,'[8]Berechnungen BVerfG'!K$5))),0))),0)</f>
        <v>0</v>
      </c>
      <c r="P60" s="91">
        <f t="shared" si="3"/>
        <v>0</v>
      </c>
    </row>
    <row r="61" spans="1:16">
      <c r="A61" s="1915" t="e">
        <f>IF(PflGesamt,IF(GesVersrgPfl,SUM([8]!Tabelle2[[#This Row],[Spalte2]:[Spalte8]]),0),0)</f>
        <v>#REF!</v>
      </c>
      <c r="B61" s="1915" t="e">
        <f>IF(BerGesamt,SUM('[8]Berechnungen BVerfG'!P61:R61)+'[8]Berechnungen BVerfG'!N61,0)</f>
        <v>#REF!</v>
      </c>
      <c r="C61" s="1915">
        <f t="shared" si="2"/>
        <v>0</v>
      </c>
      <c r="D61" s="1915" t="e">
        <f>SUM('[8]Berechnungen BVerfG'!P61:R61)+'[8]Berechnungen BVerfG'!N61</f>
        <v>#REF!</v>
      </c>
      <c r="K61" t="e">
        <f>+[8]!Tabelle2[[#This Row],[Alter]]</f>
        <v>#REF!</v>
      </c>
      <c r="L61" s="91">
        <f>IFERROR(IF($K61&lt;INT('[8]Berechnungen BVerfG'!H$5),0,IF($K61=INT('[8]Berechnungen BVerfG'!H$2),'[8]Berechnungen BVerfG'!H$12,IF($K61&gt;INT('[8]Berechnungen BVerfG'!H$2),'[8]Berechnungen BVerfG'!H$12*(1+'[8]Berechnungen BVerfG'!H$9)^(IF($K61-'[8]Berechnungen BVerfG'!H$5&lt;=0,0,$K61-IF('[8]Berechnungen BVerfG'!H$5&lt;'[8]Berechnungen BVerfG'!H$2,'[8]Berechnungen BVerfG'!H$2,'[8]Berechnungen BVerfG'!H$5))),0))),0)</f>
        <v>0</v>
      </c>
      <c r="M61" s="1916">
        <f>IFERROR(IF(K61&lt;INT('[8]Berechnungen BVerfG'!I$5),0,IF(K61=INT('[8]Berechnungen BVerfG'!I$2),'[8]Berechnungen BVerfG'!I$12,IF(K61&gt;INT('[8]Berechnungen BVerfG'!I$2),'[8]Berechnungen BVerfG'!I$12*(1+'[8]Berechnungen BVerfG'!I$9)^(IF(K61-'[8]Berechnungen BVerfG'!I$5&lt;=0,0,K61-IF('[8]Berechnungen BVerfG'!I$5&lt;'[8]Berechnungen BVerfG'!I$2,'[8]Berechnungen BVerfG'!I$2,'[8]Berechnungen BVerfG'!I$5))),0))),0)</f>
        <v>0</v>
      </c>
      <c r="N61" s="1916">
        <f>IFERROR(IF($K61&lt;INT('[8]Berechnungen BVerfG'!J$5),0,IF($K61=INT('[8]Berechnungen BVerfG'!J$2),'[8]Berechnungen BVerfG'!J$12,IF($K61&gt;INT('[8]Berechnungen BVerfG'!J$2),'[8]Berechnungen BVerfG'!J$12*(1+'[8]Berechnungen BVerfG'!J$9)^(IF($K61-'[8]Berechnungen BVerfG'!J$5&lt;=0,0,$K61-IF('[8]Berechnungen BVerfG'!J$5&lt;'[8]Berechnungen BVerfG'!J$2,'[8]Berechnungen BVerfG'!J$2,'[8]Berechnungen BVerfG'!K$5))),0))),0)</f>
        <v>0</v>
      </c>
      <c r="O61" s="1916">
        <f>IFERROR(IF($K61&lt;INT('[8]Berechnungen BVerfG'!K$5),0,IF($K61=INT('[8]Berechnungen BVerfG'!K$2),'[8]Berechnungen BVerfG'!K$12,IF($K61&gt;INT('[8]Berechnungen BVerfG'!K$2),'[8]Berechnungen BVerfG'!K$12*(1+'[8]Berechnungen BVerfG'!K$9)^(IF($K61-'[8]Berechnungen BVerfG'!K$5&lt;=0,0,$K61-IF('[8]Berechnungen BVerfG'!K$5&lt;'[8]Berechnungen BVerfG'!K$2,'[8]Berechnungen BVerfG'!K$2,'[8]Berechnungen BVerfG'!K$5))),0))),0)</f>
        <v>0</v>
      </c>
      <c r="P61" s="91">
        <f t="shared" si="3"/>
        <v>0</v>
      </c>
    </row>
    <row r="62" spans="1:16">
      <c r="A62" s="1915" t="e">
        <f>IF(PflGesamt,IF(GesVersrgPfl,SUM([8]!Tabelle2[[#This Row],[Spalte2]:[Spalte8]]),0),0)</f>
        <v>#REF!</v>
      </c>
      <c r="B62" s="1915" t="e">
        <f>IF(BerGesamt,SUM('[8]Berechnungen BVerfG'!P62:R62)+'[8]Berechnungen BVerfG'!N62,0)</f>
        <v>#REF!</v>
      </c>
      <c r="C62" s="1915">
        <f t="shared" si="2"/>
        <v>0</v>
      </c>
      <c r="D62" s="1915" t="e">
        <f>SUM('[8]Berechnungen BVerfG'!P62:R62)+'[8]Berechnungen BVerfG'!N62</f>
        <v>#REF!</v>
      </c>
      <c r="K62" t="e">
        <f>+[8]!Tabelle2[[#This Row],[Alter]]</f>
        <v>#REF!</v>
      </c>
      <c r="L62" s="91">
        <f>IFERROR(IF($K62&lt;INT('[8]Berechnungen BVerfG'!H$5),0,IF($K62=INT('[8]Berechnungen BVerfG'!H$2),'[8]Berechnungen BVerfG'!H$12,IF($K62&gt;INT('[8]Berechnungen BVerfG'!H$2),'[8]Berechnungen BVerfG'!H$12*(1+'[8]Berechnungen BVerfG'!H$9)^(IF($K62-'[8]Berechnungen BVerfG'!H$5&lt;=0,0,$K62-IF('[8]Berechnungen BVerfG'!H$5&lt;'[8]Berechnungen BVerfG'!H$2,'[8]Berechnungen BVerfG'!H$2,'[8]Berechnungen BVerfG'!H$5))),0))),0)</f>
        <v>0</v>
      </c>
      <c r="M62" s="1916">
        <f>IFERROR(IF(K62&lt;INT('[8]Berechnungen BVerfG'!I$5),0,IF(K62=INT('[8]Berechnungen BVerfG'!I$2),'[8]Berechnungen BVerfG'!I$12,IF(K62&gt;INT('[8]Berechnungen BVerfG'!I$2),'[8]Berechnungen BVerfG'!I$12*(1+'[8]Berechnungen BVerfG'!I$9)^(IF(K62-'[8]Berechnungen BVerfG'!I$5&lt;=0,0,K62-IF('[8]Berechnungen BVerfG'!I$5&lt;'[8]Berechnungen BVerfG'!I$2,'[8]Berechnungen BVerfG'!I$2,'[8]Berechnungen BVerfG'!I$5))),0))),0)</f>
        <v>0</v>
      </c>
      <c r="N62" s="1916">
        <f>IFERROR(IF($K62&lt;INT('[8]Berechnungen BVerfG'!J$5),0,IF($K62=INT('[8]Berechnungen BVerfG'!J$2),'[8]Berechnungen BVerfG'!J$12,IF($K62&gt;INT('[8]Berechnungen BVerfG'!J$2),'[8]Berechnungen BVerfG'!J$12*(1+'[8]Berechnungen BVerfG'!J$9)^(IF($K62-'[8]Berechnungen BVerfG'!J$5&lt;=0,0,$K62-IF('[8]Berechnungen BVerfG'!J$5&lt;'[8]Berechnungen BVerfG'!J$2,'[8]Berechnungen BVerfG'!J$2,'[8]Berechnungen BVerfG'!K$5))),0))),0)</f>
        <v>0</v>
      </c>
      <c r="O62" s="1916">
        <f>IFERROR(IF($K62&lt;INT('[8]Berechnungen BVerfG'!K$5),0,IF($K62=INT('[8]Berechnungen BVerfG'!K$2),'[8]Berechnungen BVerfG'!K$12,IF($K62&gt;INT('[8]Berechnungen BVerfG'!K$2),'[8]Berechnungen BVerfG'!K$12*(1+'[8]Berechnungen BVerfG'!K$9)^(IF($K62-'[8]Berechnungen BVerfG'!K$5&lt;=0,0,$K62-IF('[8]Berechnungen BVerfG'!K$5&lt;'[8]Berechnungen BVerfG'!K$2,'[8]Berechnungen BVerfG'!K$2,'[8]Berechnungen BVerfG'!K$5))),0))),0)</f>
        <v>0</v>
      </c>
      <c r="P62" s="91">
        <f t="shared" si="3"/>
        <v>0</v>
      </c>
    </row>
    <row r="63" spans="1:16">
      <c r="A63" s="1915" t="e">
        <f>IF(PflGesamt,IF(GesVersrgPfl,SUM([8]!Tabelle2[[#This Row],[Spalte2]:[Spalte8]]),0),0)</f>
        <v>#REF!</v>
      </c>
      <c r="B63" s="1915" t="e">
        <f>IF(BerGesamt,SUM('[8]Berechnungen BVerfG'!P63:R63)+'[8]Berechnungen BVerfG'!N63,0)</f>
        <v>#REF!</v>
      </c>
      <c r="C63" s="1915">
        <f t="shared" si="2"/>
        <v>0</v>
      </c>
      <c r="D63" s="1915" t="e">
        <f>SUM('[8]Berechnungen BVerfG'!P63:R63)+'[8]Berechnungen BVerfG'!N63</f>
        <v>#REF!</v>
      </c>
      <c r="K63" t="e">
        <f>+[8]!Tabelle2[[#This Row],[Alter]]</f>
        <v>#REF!</v>
      </c>
      <c r="L63" s="91">
        <f>IFERROR(IF($K63&lt;INT('[8]Berechnungen BVerfG'!H$5),0,IF($K63=INT('[8]Berechnungen BVerfG'!H$2),'[8]Berechnungen BVerfG'!H$12,IF($K63&gt;INT('[8]Berechnungen BVerfG'!H$2),'[8]Berechnungen BVerfG'!H$12*(1+'[8]Berechnungen BVerfG'!H$9)^(IF($K63-'[8]Berechnungen BVerfG'!H$5&lt;=0,0,$K63-IF('[8]Berechnungen BVerfG'!H$5&lt;'[8]Berechnungen BVerfG'!H$2,'[8]Berechnungen BVerfG'!H$2,'[8]Berechnungen BVerfG'!H$5))),0))),0)</f>
        <v>0</v>
      </c>
      <c r="M63" s="1916">
        <f>IFERROR(IF(K63&lt;INT('[8]Berechnungen BVerfG'!I$5),0,IF(K63=INT('[8]Berechnungen BVerfG'!I$2),'[8]Berechnungen BVerfG'!I$12,IF(K63&gt;INT('[8]Berechnungen BVerfG'!I$2),'[8]Berechnungen BVerfG'!I$12*(1+'[8]Berechnungen BVerfG'!I$9)^(IF(K63-'[8]Berechnungen BVerfG'!I$5&lt;=0,0,K63-IF('[8]Berechnungen BVerfG'!I$5&lt;'[8]Berechnungen BVerfG'!I$2,'[8]Berechnungen BVerfG'!I$2,'[8]Berechnungen BVerfG'!I$5))),0))),0)</f>
        <v>0</v>
      </c>
      <c r="N63" s="1916">
        <f>IFERROR(IF($K63&lt;INT('[8]Berechnungen BVerfG'!J$5),0,IF($K63=INT('[8]Berechnungen BVerfG'!J$2),'[8]Berechnungen BVerfG'!J$12,IF($K63&gt;INT('[8]Berechnungen BVerfG'!J$2),'[8]Berechnungen BVerfG'!J$12*(1+'[8]Berechnungen BVerfG'!J$9)^(IF($K63-'[8]Berechnungen BVerfG'!J$5&lt;=0,0,$K63-IF('[8]Berechnungen BVerfG'!J$5&lt;'[8]Berechnungen BVerfG'!J$2,'[8]Berechnungen BVerfG'!J$2,'[8]Berechnungen BVerfG'!K$5))),0))),0)</f>
        <v>0</v>
      </c>
      <c r="O63" s="1916">
        <f>IFERROR(IF($K63&lt;INT('[8]Berechnungen BVerfG'!K$5),0,IF($K63=INT('[8]Berechnungen BVerfG'!K$2),'[8]Berechnungen BVerfG'!K$12,IF($K63&gt;INT('[8]Berechnungen BVerfG'!K$2),'[8]Berechnungen BVerfG'!K$12*(1+'[8]Berechnungen BVerfG'!K$9)^(IF($K63-'[8]Berechnungen BVerfG'!K$5&lt;=0,0,$K63-IF('[8]Berechnungen BVerfG'!K$5&lt;'[8]Berechnungen BVerfG'!K$2,'[8]Berechnungen BVerfG'!K$2,'[8]Berechnungen BVerfG'!K$5))),0))),0)</f>
        <v>0</v>
      </c>
      <c r="P63" s="91">
        <f t="shared" si="3"/>
        <v>0</v>
      </c>
    </row>
    <row r="64" spans="1:16">
      <c r="A64" s="1915" t="e">
        <f>IF(PflGesamt,IF(GesVersrgPfl,SUM([8]!Tabelle2[[#This Row],[Spalte2]:[Spalte8]]),0),0)</f>
        <v>#REF!</v>
      </c>
      <c r="B64" s="1915" t="e">
        <f>IF(BerGesamt,SUM('[8]Berechnungen BVerfG'!P64:R64)+'[8]Berechnungen BVerfG'!N64,0)</f>
        <v>#REF!</v>
      </c>
      <c r="C64" s="1915">
        <f t="shared" si="2"/>
        <v>0</v>
      </c>
      <c r="D64" s="1915" t="e">
        <f>SUM('[8]Berechnungen BVerfG'!P64:R64)+'[8]Berechnungen BVerfG'!N64</f>
        <v>#REF!</v>
      </c>
      <c r="K64" t="e">
        <f>+[8]!Tabelle2[[#This Row],[Alter]]</f>
        <v>#REF!</v>
      </c>
      <c r="L64" s="91">
        <f>IFERROR(IF($K64&lt;INT('[8]Berechnungen BVerfG'!H$5),0,IF($K64=INT('[8]Berechnungen BVerfG'!H$2),'[8]Berechnungen BVerfG'!H$12,IF($K64&gt;INT('[8]Berechnungen BVerfG'!H$2),'[8]Berechnungen BVerfG'!H$12*(1+'[8]Berechnungen BVerfG'!H$9)^(IF($K64-'[8]Berechnungen BVerfG'!H$5&lt;=0,0,$K64-IF('[8]Berechnungen BVerfG'!H$5&lt;'[8]Berechnungen BVerfG'!H$2,'[8]Berechnungen BVerfG'!H$2,'[8]Berechnungen BVerfG'!H$5))),0))),0)</f>
        <v>0</v>
      </c>
      <c r="M64" s="1916">
        <f>IFERROR(IF(K64&lt;INT('[8]Berechnungen BVerfG'!I$5),0,IF(K64=INT('[8]Berechnungen BVerfG'!I$2),'[8]Berechnungen BVerfG'!I$12,IF(K64&gt;INT('[8]Berechnungen BVerfG'!I$2),'[8]Berechnungen BVerfG'!I$12*(1+'[8]Berechnungen BVerfG'!I$9)^(IF(K64-'[8]Berechnungen BVerfG'!I$5&lt;=0,0,K64-IF('[8]Berechnungen BVerfG'!I$5&lt;'[8]Berechnungen BVerfG'!I$2,'[8]Berechnungen BVerfG'!I$2,'[8]Berechnungen BVerfG'!I$5))),0))),0)</f>
        <v>0</v>
      </c>
      <c r="N64" s="1916">
        <f>IFERROR(IF($K64&lt;INT('[8]Berechnungen BVerfG'!J$5),0,IF($K64=INT('[8]Berechnungen BVerfG'!J$2),'[8]Berechnungen BVerfG'!J$12,IF($K64&gt;INT('[8]Berechnungen BVerfG'!J$2),'[8]Berechnungen BVerfG'!J$12*(1+'[8]Berechnungen BVerfG'!J$9)^(IF($K64-'[8]Berechnungen BVerfG'!J$5&lt;=0,0,$K64-IF('[8]Berechnungen BVerfG'!J$5&lt;'[8]Berechnungen BVerfG'!J$2,'[8]Berechnungen BVerfG'!J$2,'[8]Berechnungen BVerfG'!K$5))),0))),0)</f>
        <v>0</v>
      </c>
      <c r="O64" s="1916">
        <f>IFERROR(IF($K64&lt;INT('[8]Berechnungen BVerfG'!K$5),0,IF($K64=INT('[8]Berechnungen BVerfG'!K$2),'[8]Berechnungen BVerfG'!K$12,IF($K64&gt;INT('[8]Berechnungen BVerfG'!K$2),'[8]Berechnungen BVerfG'!K$12*(1+'[8]Berechnungen BVerfG'!K$9)^(IF($K64-'[8]Berechnungen BVerfG'!K$5&lt;=0,0,$K64-IF('[8]Berechnungen BVerfG'!K$5&lt;'[8]Berechnungen BVerfG'!K$2,'[8]Berechnungen BVerfG'!K$2,'[8]Berechnungen BVerfG'!K$5))),0))),0)</f>
        <v>0</v>
      </c>
      <c r="P64" s="91">
        <f t="shared" si="3"/>
        <v>0</v>
      </c>
    </row>
    <row r="65" spans="1:16">
      <c r="A65" s="1915" t="e">
        <f>IF(PflGesamt,IF(GesVersrgPfl,SUM([8]!Tabelle2[[#This Row],[Spalte2]:[Spalte8]]),0),0)</f>
        <v>#REF!</v>
      </c>
      <c r="B65" s="1915" t="e">
        <f>IF(BerGesamt,SUM('[8]Berechnungen BVerfG'!P65:R65)+'[8]Berechnungen BVerfG'!N65,0)</f>
        <v>#REF!</v>
      </c>
      <c r="C65" s="1915">
        <f t="shared" si="2"/>
        <v>0</v>
      </c>
      <c r="D65" s="1915" t="e">
        <f>SUM('[8]Berechnungen BVerfG'!P65:R65)+'[8]Berechnungen BVerfG'!N65</f>
        <v>#REF!</v>
      </c>
      <c r="K65" t="e">
        <f>+[8]!Tabelle2[[#This Row],[Alter]]</f>
        <v>#REF!</v>
      </c>
      <c r="L65" s="91">
        <f>IFERROR(IF($K65&lt;INT('[8]Berechnungen BVerfG'!H$5),0,IF($K65=INT('[8]Berechnungen BVerfG'!H$2),'[8]Berechnungen BVerfG'!H$12,IF($K65&gt;INT('[8]Berechnungen BVerfG'!H$2),'[8]Berechnungen BVerfG'!H$12*(1+'[8]Berechnungen BVerfG'!H$9)^(IF($K65-'[8]Berechnungen BVerfG'!H$5&lt;=0,0,$K65-IF('[8]Berechnungen BVerfG'!H$5&lt;'[8]Berechnungen BVerfG'!H$2,'[8]Berechnungen BVerfG'!H$2,'[8]Berechnungen BVerfG'!H$5))),0))),0)</f>
        <v>0</v>
      </c>
      <c r="M65" s="1916">
        <f>IFERROR(IF(K65&lt;INT('[8]Berechnungen BVerfG'!I$5),0,IF(K65=INT('[8]Berechnungen BVerfG'!I$2),'[8]Berechnungen BVerfG'!I$12,IF(K65&gt;INT('[8]Berechnungen BVerfG'!I$2),'[8]Berechnungen BVerfG'!I$12*(1+'[8]Berechnungen BVerfG'!I$9)^(IF(K65-'[8]Berechnungen BVerfG'!I$5&lt;=0,0,K65-IF('[8]Berechnungen BVerfG'!I$5&lt;'[8]Berechnungen BVerfG'!I$2,'[8]Berechnungen BVerfG'!I$2,'[8]Berechnungen BVerfG'!I$5))),0))),0)</f>
        <v>0</v>
      </c>
      <c r="N65" s="1916">
        <f>IFERROR(IF($K65&lt;INT('[8]Berechnungen BVerfG'!J$5),0,IF($K65=INT('[8]Berechnungen BVerfG'!J$2),'[8]Berechnungen BVerfG'!J$12,IF($K65&gt;INT('[8]Berechnungen BVerfG'!J$2),'[8]Berechnungen BVerfG'!J$12*(1+'[8]Berechnungen BVerfG'!J$9)^(IF($K65-'[8]Berechnungen BVerfG'!J$5&lt;=0,0,$K65-IF('[8]Berechnungen BVerfG'!J$5&lt;'[8]Berechnungen BVerfG'!J$2,'[8]Berechnungen BVerfG'!J$2,'[8]Berechnungen BVerfG'!K$5))),0))),0)</f>
        <v>0</v>
      </c>
      <c r="O65" s="1916">
        <f>IFERROR(IF($K65&lt;INT('[8]Berechnungen BVerfG'!K$5),0,IF($K65=INT('[8]Berechnungen BVerfG'!K$2),'[8]Berechnungen BVerfG'!K$12,IF($K65&gt;INT('[8]Berechnungen BVerfG'!K$2),'[8]Berechnungen BVerfG'!K$12*(1+'[8]Berechnungen BVerfG'!K$9)^(IF($K65-'[8]Berechnungen BVerfG'!K$5&lt;=0,0,$K65-IF('[8]Berechnungen BVerfG'!K$5&lt;'[8]Berechnungen BVerfG'!K$2,'[8]Berechnungen BVerfG'!K$2,'[8]Berechnungen BVerfG'!K$5))),0))),0)</f>
        <v>0</v>
      </c>
      <c r="P65" s="91">
        <f t="shared" si="3"/>
        <v>0</v>
      </c>
    </row>
    <row r="66" spans="1:16">
      <c r="A66" s="1915" t="e">
        <f>IF(PflGesamt,IF(GesVersrgPfl,SUM([8]!Tabelle2[[#This Row],[Spalte2]:[Spalte8]]),0),0)</f>
        <v>#REF!</v>
      </c>
      <c r="B66" s="1915" t="e">
        <f>IF(BerGesamt,SUM('[8]Berechnungen BVerfG'!P66:R66)+'[8]Berechnungen BVerfG'!N66,0)</f>
        <v>#REF!</v>
      </c>
      <c r="C66" s="1915">
        <f t="shared" si="2"/>
        <v>0</v>
      </c>
      <c r="D66" s="1915" t="e">
        <f>SUM('[8]Berechnungen BVerfG'!P66:R66)+'[8]Berechnungen BVerfG'!N66</f>
        <v>#REF!</v>
      </c>
      <c r="K66" t="e">
        <f>+[8]!Tabelle2[[#This Row],[Alter]]</f>
        <v>#REF!</v>
      </c>
      <c r="L66" s="91">
        <f>IFERROR(IF($K66&lt;INT('[8]Berechnungen BVerfG'!H$5),0,IF($K66=INT('[8]Berechnungen BVerfG'!H$2),'[8]Berechnungen BVerfG'!H$12,IF($K66&gt;INT('[8]Berechnungen BVerfG'!H$2),'[8]Berechnungen BVerfG'!H$12*(1+'[8]Berechnungen BVerfG'!H$9)^(IF($K66-'[8]Berechnungen BVerfG'!H$5&lt;=0,0,$K66-IF('[8]Berechnungen BVerfG'!H$5&lt;'[8]Berechnungen BVerfG'!H$2,'[8]Berechnungen BVerfG'!H$2,'[8]Berechnungen BVerfG'!H$5))),0))),0)</f>
        <v>0</v>
      </c>
      <c r="M66" s="1916">
        <f>IFERROR(IF(K66&lt;INT('[8]Berechnungen BVerfG'!I$5),0,IF(K66=INT('[8]Berechnungen BVerfG'!I$2),'[8]Berechnungen BVerfG'!I$12,IF(K66&gt;INT('[8]Berechnungen BVerfG'!I$2),'[8]Berechnungen BVerfG'!I$12*(1+'[8]Berechnungen BVerfG'!I$9)^(IF(K66-'[8]Berechnungen BVerfG'!I$5&lt;=0,0,K66-IF('[8]Berechnungen BVerfG'!I$5&lt;'[8]Berechnungen BVerfG'!I$2,'[8]Berechnungen BVerfG'!I$2,'[8]Berechnungen BVerfG'!I$5))),0))),0)</f>
        <v>0</v>
      </c>
      <c r="N66" s="1916">
        <f>IFERROR(IF($K66&lt;INT('[8]Berechnungen BVerfG'!J$5),0,IF($K66=INT('[8]Berechnungen BVerfG'!J$2),'[8]Berechnungen BVerfG'!J$12,IF($K66&gt;INT('[8]Berechnungen BVerfG'!J$2),'[8]Berechnungen BVerfG'!J$12*(1+'[8]Berechnungen BVerfG'!J$9)^(IF($K66-'[8]Berechnungen BVerfG'!J$5&lt;=0,0,$K66-IF('[8]Berechnungen BVerfG'!J$5&lt;'[8]Berechnungen BVerfG'!J$2,'[8]Berechnungen BVerfG'!J$2,'[8]Berechnungen BVerfG'!K$5))),0))),0)</f>
        <v>0</v>
      </c>
      <c r="O66" s="1916">
        <f>IFERROR(IF($K66&lt;INT('[8]Berechnungen BVerfG'!K$5),0,IF($K66=INT('[8]Berechnungen BVerfG'!K$2),'[8]Berechnungen BVerfG'!K$12,IF($K66&gt;INT('[8]Berechnungen BVerfG'!K$2),'[8]Berechnungen BVerfG'!K$12*(1+'[8]Berechnungen BVerfG'!K$9)^(IF($K66-'[8]Berechnungen BVerfG'!K$5&lt;=0,0,$K66-IF('[8]Berechnungen BVerfG'!K$5&lt;'[8]Berechnungen BVerfG'!K$2,'[8]Berechnungen BVerfG'!K$2,'[8]Berechnungen BVerfG'!K$5))),0))),0)</f>
        <v>0</v>
      </c>
      <c r="P66" s="91">
        <f t="shared" si="3"/>
        <v>0</v>
      </c>
    </row>
    <row r="67" spans="1:16">
      <c r="A67" s="1915" t="e">
        <f>IF(PflGesamt,IF(GesVersrgPfl,SUM([8]!Tabelle2[[#This Row],[Spalte2]:[Spalte8]]),0),0)</f>
        <v>#REF!</v>
      </c>
      <c r="B67" s="1915" t="e">
        <f>IF(BerGesamt,SUM('[8]Berechnungen BVerfG'!P67:R67)+'[8]Berechnungen BVerfG'!N67,0)</f>
        <v>#REF!</v>
      </c>
      <c r="C67" s="1915">
        <f t="shared" si="2"/>
        <v>0</v>
      </c>
      <c r="D67" s="1915" t="e">
        <f>SUM('[8]Berechnungen BVerfG'!P67:R67)+'[8]Berechnungen BVerfG'!N67</f>
        <v>#REF!</v>
      </c>
      <c r="K67" t="e">
        <f>+[8]!Tabelle2[[#This Row],[Alter]]</f>
        <v>#REF!</v>
      </c>
      <c r="L67" s="91">
        <f>IFERROR(IF($K67&lt;INT('[8]Berechnungen BVerfG'!H$5),0,IF($K67=INT('[8]Berechnungen BVerfG'!H$2),'[8]Berechnungen BVerfG'!H$12,IF($K67&gt;INT('[8]Berechnungen BVerfG'!H$2),'[8]Berechnungen BVerfG'!H$12*(1+'[8]Berechnungen BVerfG'!H$9)^(IF($K67-'[8]Berechnungen BVerfG'!H$5&lt;=0,0,$K67-IF('[8]Berechnungen BVerfG'!H$5&lt;'[8]Berechnungen BVerfG'!H$2,'[8]Berechnungen BVerfG'!H$2,'[8]Berechnungen BVerfG'!H$5))),0))),0)</f>
        <v>0</v>
      </c>
      <c r="M67" s="1916">
        <f>IFERROR(IF(K67&lt;INT('[8]Berechnungen BVerfG'!I$5),0,IF(K67=INT('[8]Berechnungen BVerfG'!I$2),'[8]Berechnungen BVerfG'!I$12,IF(K67&gt;INT('[8]Berechnungen BVerfG'!I$2),'[8]Berechnungen BVerfG'!I$12*(1+'[8]Berechnungen BVerfG'!I$9)^(IF(K67-'[8]Berechnungen BVerfG'!I$5&lt;=0,0,K67-IF('[8]Berechnungen BVerfG'!I$5&lt;'[8]Berechnungen BVerfG'!I$2,'[8]Berechnungen BVerfG'!I$2,'[8]Berechnungen BVerfG'!I$5))),0))),0)</f>
        <v>0</v>
      </c>
      <c r="N67" s="1916">
        <f>IFERROR(IF($K67&lt;INT('[8]Berechnungen BVerfG'!J$5),0,IF($K67=INT('[8]Berechnungen BVerfG'!J$2),'[8]Berechnungen BVerfG'!J$12,IF($K67&gt;INT('[8]Berechnungen BVerfG'!J$2),'[8]Berechnungen BVerfG'!J$12*(1+'[8]Berechnungen BVerfG'!J$9)^(IF($K67-'[8]Berechnungen BVerfG'!J$5&lt;=0,0,$K67-IF('[8]Berechnungen BVerfG'!J$5&lt;'[8]Berechnungen BVerfG'!J$2,'[8]Berechnungen BVerfG'!J$2,'[8]Berechnungen BVerfG'!K$5))),0))),0)</f>
        <v>0</v>
      </c>
      <c r="O67" s="1916">
        <f>IFERROR(IF($K67&lt;INT('[8]Berechnungen BVerfG'!K$5),0,IF($K67=INT('[8]Berechnungen BVerfG'!K$2),'[8]Berechnungen BVerfG'!K$12,IF($K67&gt;INT('[8]Berechnungen BVerfG'!K$2),'[8]Berechnungen BVerfG'!K$12*(1+'[8]Berechnungen BVerfG'!K$9)^(IF($K67-'[8]Berechnungen BVerfG'!K$5&lt;=0,0,$K67-IF('[8]Berechnungen BVerfG'!K$5&lt;'[8]Berechnungen BVerfG'!K$2,'[8]Berechnungen BVerfG'!K$2,'[8]Berechnungen BVerfG'!K$5))),0))),0)</f>
        <v>0</v>
      </c>
      <c r="P67" s="91">
        <f t="shared" si="3"/>
        <v>0</v>
      </c>
    </row>
    <row r="68" spans="1:16">
      <c r="A68" s="1915" t="e">
        <f>IF(PflGesamt,IF(GesVersrgPfl,SUM([8]!Tabelle2[[#This Row],[Spalte2]:[Spalte8]]),0),0)</f>
        <v>#REF!</v>
      </c>
      <c r="B68" s="1915" t="e">
        <f>IF(BerGesamt,SUM('[8]Berechnungen BVerfG'!P68:R68)+'[8]Berechnungen BVerfG'!N68,0)</f>
        <v>#REF!</v>
      </c>
      <c r="C68" s="1915">
        <f t="shared" si="2"/>
        <v>0</v>
      </c>
      <c r="D68" s="1915" t="e">
        <f>SUM('[8]Berechnungen BVerfG'!P68:R68)+'[8]Berechnungen BVerfG'!N68</f>
        <v>#REF!</v>
      </c>
      <c r="K68" t="e">
        <f>+[8]!Tabelle2[[#This Row],[Alter]]</f>
        <v>#REF!</v>
      </c>
      <c r="L68" s="91">
        <f>IFERROR(IF($K68&lt;INT('[8]Berechnungen BVerfG'!H$5),0,IF($K68=INT('[8]Berechnungen BVerfG'!H$2),'[8]Berechnungen BVerfG'!H$12,IF($K68&gt;INT('[8]Berechnungen BVerfG'!H$2),'[8]Berechnungen BVerfG'!H$12*(1+'[8]Berechnungen BVerfG'!H$9)^(IF($K68-'[8]Berechnungen BVerfG'!H$5&lt;=0,0,$K68-IF('[8]Berechnungen BVerfG'!H$5&lt;'[8]Berechnungen BVerfG'!H$2,'[8]Berechnungen BVerfG'!H$2,'[8]Berechnungen BVerfG'!H$5))),0))),0)</f>
        <v>0</v>
      </c>
      <c r="M68" s="1916">
        <f>IFERROR(IF(K68&lt;INT('[8]Berechnungen BVerfG'!I$5),0,IF(K68=INT('[8]Berechnungen BVerfG'!I$2),'[8]Berechnungen BVerfG'!I$12,IF(K68&gt;INT('[8]Berechnungen BVerfG'!I$2),'[8]Berechnungen BVerfG'!I$12*(1+'[8]Berechnungen BVerfG'!I$9)^(IF(K68-'[8]Berechnungen BVerfG'!I$5&lt;=0,0,K68-IF('[8]Berechnungen BVerfG'!I$5&lt;'[8]Berechnungen BVerfG'!I$2,'[8]Berechnungen BVerfG'!I$2,'[8]Berechnungen BVerfG'!I$5))),0))),0)</f>
        <v>0</v>
      </c>
      <c r="N68" s="1916">
        <f>IFERROR(IF($K68&lt;INT('[8]Berechnungen BVerfG'!J$5),0,IF($K68=INT('[8]Berechnungen BVerfG'!J$2),'[8]Berechnungen BVerfG'!J$12,IF($K68&gt;INT('[8]Berechnungen BVerfG'!J$2),'[8]Berechnungen BVerfG'!J$12*(1+'[8]Berechnungen BVerfG'!J$9)^(IF($K68-'[8]Berechnungen BVerfG'!J$5&lt;=0,0,$K68-IF('[8]Berechnungen BVerfG'!J$5&lt;'[8]Berechnungen BVerfG'!J$2,'[8]Berechnungen BVerfG'!J$2,'[8]Berechnungen BVerfG'!K$5))),0))),0)</f>
        <v>0</v>
      </c>
      <c r="O68" s="1916">
        <f>IFERROR(IF($K68&lt;INT('[8]Berechnungen BVerfG'!K$5),0,IF($K68=INT('[8]Berechnungen BVerfG'!K$2),'[8]Berechnungen BVerfG'!K$12,IF($K68&gt;INT('[8]Berechnungen BVerfG'!K$2),'[8]Berechnungen BVerfG'!K$12*(1+'[8]Berechnungen BVerfG'!K$9)^(IF($K68-'[8]Berechnungen BVerfG'!K$5&lt;=0,0,$K68-IF('[8]Berechnungen BVerfG'!K$5&lt;'[8]Berechnungen BVerfG'!K$2,'[8]Berechnungen BVerfG'!K$2,'[8]Berechnungen BVerfG'!K$5))),0))),0)</f>
        <v>0</v>
      </c>
      <c r="P68" s="91">
        <f t="shared" si="3"/>
        <v>0</v>
      </c>
    </row>
    <row r="69" spans="1:16">
      <c r="A69" s="1915" t="e">
        <f>IF(PflGesamt,IF(GesVersrgPfl,SUM([8]!Tabelle2[[#This Row],[Spalte2]:[Spalte8]]),0),0)</f>
        <v>#REF!</v>
      </c>
      <c r="B69" s="1915" t="e">
        <f>IF(BerGesamt,SUM('[8]Berechnungen BVerfG'!P69:R69)+'[8]Berechnungen BVerfG'!N69,0)</f>
        <v>#REF!</v>
      </c>
      <c r="C69" s="1915">
        <f t="shared" si="2"/>
        <v>0</v>
      </c>
      <c r="D69" s="1915" t="e">
        <f>SUM('[8]Berechnungen BVerfG'!P69:R69)+'[8]Berechnungen BVerfG'!N69</f>
        <v>#REF!</v>
      </c>
      <c r="K69" t="e">
        <f>+[8]!Tabelle2[[#This Row],[Alter]]</f>
        <v>#REF!</v>
      </c>
      <c r="L69" s="91">
        <f>IFERROR(IF($K69&lt;INT('[8]Berechnungen BVerfG'!H$5),0,IF($K69=INT('[8]Berechnungen BVerfG'!H$2),'[8]Berechnungen BVerfG'!H$12,IF($K69&gt;INT('[8]Berechnungen BVerfG'!H$2),'[8]Berechnungen BVerfG'!H$12*(1+'[8]Berechnungen BVerfG'!H$9)^(IF($K69-'[8]Berechnungen BVerfG'!H$5&lt;=0,0,$K69-IF('[8]Berechnungen BVerfG'!H$5&lt;'[8]Berechnungen BVerfG'!H$2,'[8]Berechnungen BVerfG'!H$2,'[8]Berechnungen BVerfG'!H$5))),0))),0)</f>
        <v>0</v>
      </c>
      <c r="M69" s="1916">
        <f>IFERROR(IF(K69&lt;INT('[8]Berechnungen BVerfG'!I$5),0,IF(K69=INT('[8]Berechnungen BVerfG'!I$2),'[8]Berechnungen BVerfG'!I$12,IF(K69&gt;INT('[8]Berechnungen BVerfG'!I$2),'[8]Berechnungen BVerfG'!I$12*(1+'[8]Berechnungen BVerfG'!I$9)^(IF(K69-'[8]Berechnungen BVerfG'!I$5&lt;=0,0,K69-IF('[8]Berechnungen BVerfG'!I$5&lt;'[8]Berechnungen BVerfG'!I$2,'[8]Berechnungen BVerfG'!I$2,'[8]Berechnungen BVerfG'!I$5))),0))),0)</f>
        <v>0</v>
      </c>
      <c r="N69" s="1916">
        <f>IFERROR(IF($K69&lt;INT('[8]Berechnungen BVerfG'!J$5),0,IF($K69=INT('[8]Berechnungen BVerfG'!J$2),'[8]Berechnungen BVerfG'!J$12,IF($K69&gt;INT('[8]Berechnungen BVerfG'!J$2),'[8]Berechnungen BVerfG'!J$12*(1+'[8]Berechnungen BVerfG'!J$9)^(IF($K69-'[8]Berechnungen BVerfG'!J$5&lt;=0,0,$K69-IF('[8]Berechnungen BVerfG'!J$5&lt;'[8]Berechnungen BVerfG'!J$2,'[8]Berechnungen BVerfG'!J$2,'[8]Berechnungen BVerfG'!K$5))),0))),0)</f>
        <v>0</v>
      </c>
      <c r="O69" s="1916">
        <f>IFERROR(IF($K69&lt;INT('[8]Berechnungen BVerfG'!K$5),0,IF($K69=INT('[8]Berechnungen BVerfG'!K$2),'[8]Berechnungen BVerfG'!K$12,IF($K69&gt;INT('[8]Berechnungen BVerfG'!K$2),'[8]Berechnungen BVerfG'!K$12*(1+'[8]Berechnungen BVerfG'!K$9)^(IF($K69-'[8]Berechnungen BVerfG'!K$5&lt;=0,0,$K69-IF('[8]Berechnungen BVerfG'!K$5&lt;'[8]Berechnungen BVerfG'!K$2,'[8]Berechnungen BVerfG'!K$2,'[8]Berechnungen BVerfG'!K$5))),0))),0)</f>
        <v>0</v>
      </c>
      <c r="P69" s="91">
        <f t="shared" si="3"/>
        <v>0</v>
      </c>
    </row>
    <row r="70" spans="1:16">
      <c r="A70" s="1915" t="e">
        <f>IF(PflGesamt,IF(GesVersrgPfl,SUM([8]!Tabelle2[[#This Row],[Spalte2]:[Spalte8]]),0),0)</f>
        <v>#REF!</v>
      </c>
      <c r="B70" s="1915" t="e">
        <f>IF(BerGesamt,SUM('[8]Berechnungen BVerfG'!P70:R70)+'[8]Berechnungen BVerfG'!N70,0)</f>
        <v>#REF!</v>
      </c>
      <c r="C70" s="1915">
        <f t="shared" si="2"/>
        <v>0</v>
      </c>
      <c r="D70" s="1915" t="e">
        <f>SUM('[8]Berechnungen BVerfG'!P70:R70)+'[8]Berechnungen BVerfG'!N70</f>
        <v>#REF!</v>
      </c>
      <c r="K70" t="e">
        <f>+[8]!Tabelle2[[#This Row],[Alter]]</f>
        <v>#REF!</v>
      </c>
      <c r="L70" s="91">
        <f>IFERROR(IF($K70&lt;INT('[8]Berechnungen BVerfG'!H$5),0,IF($K70=INT('[8]Berechnungen BVerfG'!H$2),'[8]Berechnungen BVerfG'!H$12,IF($K70&gt;INT('[8]Berechnungen BVerfG'!H$2),'[8]Berechnungen BVerfG'!H$12*(1+'[8]Berechnungen BVerfG'!H$9)^(IF($K70-'[8]Berechnungen BVerfG'!H$5&lt;=0,0,$K70-IF('[8]Berechnungen BVerfG'!H$5&lt;'[8]Berechnungen BVerfG'!H$2,'[8]Berechnungen BVerfG'!H$2,'[8]Berechnungen BVerfG'!H$5))),0))),0)</f>
        <v>0</v>
      </c>
      <c r="M70" s="1916">
        <f>IFERROR(IF(K70&lt;INT('[8]Berechnungen BVerfG'!I$5),0,IF(K70=INT('[8]Berechnungen BVerfG'!I$2),'[8]Berechnungen BVerfG'!I$12,IF(K70&gt;INT('[8]Berechnungen BVerfG'!I$2),'[8]Berechnungen BVerfG'!I$12*(1+'[8]Berechnungen BVerfG'!I$9)^(IF(K70-'[8]Berechnungen BVerfG'!I$5&lt;=0,0,K70-IF('[8]Berechnungen BVerfG'!I$5&lt;'[8]Berechnungen BVerfG'!I$2,'[8]Berechnungen BVerfG'!I$2,'[8]Berechnungen BVerfG'!I$5))),0))),0)</f>
        <v>0</v>
      </c>
      <c r="N70" s="1916">
        <f>IFERROR(IF($K70&lt;INT('[8]Berechnungen BVerfG'!J$5),0,IF($K70=INT('[8]Berechnungen BVerfG'!J$2),'[8]Berechnungen BVerfG'!J$12,IF($K70&gt;INT('[8]Berechnungen BVerfG'!J$2),'[8]Berechnungen BVerfG'!J$12*(1+'[8]Berechnungen BVerfG'!J$9)^(IF($K70-'[8]Berechnungen BVerfG'!J$5&lt;=0,0,$K70-IF('[8]Berechnungen BVerfG'!J$5&lt;'[8]Berechnungen BVerfG'!J$2,'[8]Berechnungen BVerfG'!J$2,'[8]Berechnungen BVerfG'!K$5))),0))),0)</f>
        <v>0</v>
      </c>
      <c r="O70" s="1916">
        <f>IFERROR(IF($K70&lt;INT('[8]Berechnungen BVerfG'!K$5),0,IF($K70=INT('[8]Berechnungen BVerfG'!K$2),'[8]Berechnungen BVerfG'!K$12,IF($K70&gt;INT('[8]Berechnungen BVerfG'!K$2),'[8]Berechnungen BVerfG'!K$12*(1+'[8]Berechnungen BVerfG'!K$9)^(IF($K70-'[8]Berechnungen BVerfG'!K$5&lt;=0,0,$K70-IF('[8]Berechnungen BVerfG'!K$5&lt;'[8]Berechnungen BVerfG'!K$2,'[8]Berechnungen BVerfG'!K$2,'[8]Berechnungen BVerfG'!K$5))),0))),0)</f>
        <v>0</v>
      </c>
      <c r="P70" s="91">
        <f t="shared" si="3"/>
        <v>0</v>
      </c>
    </row>
    <row r="71" spans="1:16">
      <c r="A71" s="1915" t="e">
        <f>IF(PflGesamt,IF(GesVersrgPfl,SUM([8]!Tabelle2[[#This Row],[Spalte2]:[Spalte8]]),0),0)</f>
        <v>#REF!</v>
      </c>
      <c r="B71" s="1915" t="e">
        <f>IF(BerGesamt,SUM('[8]Berechnungen BVerfG'!P71:R71)+'[8]Berechnungen BVerfG'!N71,0)</f>
        <v>#REF!</v>
      </c>
      <c r="C71" s="1915">
        <f>IF(GesVersrgPfl,SUM([8]!Tabelle2[[#This Row],[Spalte2]:[Spalte8]]),0)</f>
        <v>0</v>
      </c>
      <c r="D71" s="1915" t="e">
        <f>SUM('[8]Berechnungen BVerfG'!R71:T71)+'[8]Berechnungen BVerfG'!P71</f>
        <v>#REF!</v>
      </c>
    </row>
    <row r="72" spans="1:16">
      <c r="A72" s="1915" t="e">
        <f>IF(PflGesamt,IF(GesVersrgPfl,SUM([8]!Tabelle2[[#This Row],[Spalte2]:[Spalte8]]),0),0)</f>
        <v>#REF!</v>
      </c>
      <c r="B72" s="1915" t="e">
        <f>IF(BerGesamt,SUM('[8]Berechnungen BVerfG'!P72:R72)+'[8]Berechnungen BVerfG'!N72,0)</f>
        <v>#REF!</v>
      </c>
      <c r="C72" s="1915">
        <f>IF(GesVersrgPfl,SUM([8]!Tabelle2[[#This Row],[Spalte2]:[Spalte8]]),0)</f>
        <v>0</v>
      </c>
      <c r="D72" s="1915" t="e">
        <f>SUM('[8]Berechnungen BVerfG'!R72:T72)+'[8]Berechnungen BVerfG'!P72</f>
        <v>#REF!</v>
      </c>
    </row>
    <row r="73" spans="1:16">
      <c r="A73" s="1915" t="e">
        <f>IF(PflGesamt,IF(GesVersrgPfl,SUM([8]!Tabelle2[[#This Row],[Spalte2]:[Spalte8]]),0),0)</f>
        <v>#REF!</v>
      </c>
      <c r="B73" s="1915" t="e">
        <f>IF(BerGesamt,SUM('[8]Berechnungen BVerfG'!P73:R73)+'[8]Berechnungen BVerfG'!N73,0)</f>
        <v>#REF!</v>
      </c>
      <c r="C73" s="1915">
        <f>IF(GesVersrgPfl,SUM([8]!Tabelle2[[#This Row],[Spalte2]:[Spalte8]]),0)</f>
        <v>0</v>
      </c>
      <c r="D73" s="1915" t="e">
        <f>SUM('[8]Berechnungen BVerfG'!R73:T73)+'[8]Berechnungen BVerfG'!P73</f>
        <v>#REF!</v>
      </c>
    </row>
    <row r="74" spans="1:16">
      <c r="A74" s="1915" t="e">
        <f>IF(PflGesamt,IF(GesVersrgPfl,SUM([8]!Tabelle2[[#This Row],[Spalte2]:[Spalte8]]),0),0)</f>
        <v>#REF!</v>
      </c>
      <c r="B74" s="1915" t="e">
        <f>IF(BerGesamt,SUM('[8]Berechnungen BVerfG'!P74:R74)+'[8]Berechnungen BVerfG'!N74,0)</f>
        <v>#REF!</v>
      </c>
      <c r="C74" s="1915">
        <f>IF(GesVersrgPfl,SUM([8]!Tabelle2[[#This Row],[Spalte2]:[Spalte8]]),0)</f>
        <v>0</v>
      </c>
      <c r="D74" s="1915" t="e">
        <f>SUM('[8]Berechnungen BVerfG'!R74:T74)+'[8]Berechnungen BVerfG'!P74</f>
        <v>#REF!</v>
      </c>
    </row>
    <row r="75" spans="1:16">
      <c r="A75" s="1915" t="e">
        <f>IF(PflGesamt,IF(GesVersrgPfl,SUM([8]!Tabelle2[[#This Row],[Spalte2]:[Spalte8]]),0),0)</f>
        <v>#REF!</v>
      </c>
      <c r="B75" s="1915" t="e">
        <f>IF(BerGesamt,SUM('[8]Berechnungen BVerfG'!P75:R75)+'[8]Berechnungen BVerfG'!N75,0)</f>
        <v>#REF!</v>
      </c>
      <c r="C75" s="1915">
        <f>IF(GesVersrgPfl,SUM([8]!Tabelle2[[#This Row],[Spalte2]:[Spalte8]]),0)</f>
        <v>0</v>
      </c>
      <c r="D75" s="1915" t="e">
        <f>SUM('[8]Berechnungen BVerfG'!R75:T75)+'[8]Berechnungen BVerfG'!P75</f>
        <v>#REF!</v>
      </c>
    </row>
    <row r="76" spans="1:16">
      <c r="A76" s="1915" t="e">
        <f>IF(PflGesamt,IF(GesVersrgPfl,SUM([8]!Tabelle2[[#This Row],[Spalte2]:[Spalte8]]),0),0)</f>
        <v>#REF!</v>
      </c>
      <c r="B76" s="1915" t="e">
        <f>IF(BerGesamt,SUM('[8]Berechnungen BVerfG'!P76:R76)+'[8]Berechnungen BVerfG'!N76,0)</f>
        <v>#REF!</v>
      </c>
      <c r="C76" s="1915">
        <f>IF(GesVersrgPfl,SUM([8]!Tabelle2[[#This Row],[Spalte2]:[Spalte8]]),0)</f>
        <v>0</v>
      </c>
      <c r="D76" s="1915" t="e">
        <f>SUM('[8]Berechnungen BVerfG'!R76:T76)+'[8]Berechnungen BVerfG'!P76</f>
        <v>#REF!</v>
      </c>
    </row>
    <row r="77" spans="1:16">
      <c r="A77" s="1915" t="e">
        <f>IF(PflGesamt,IF(GesVersrgPfl,SUM([8]!Tabelle2[[#This Row],[Spalte2]:[Spalte8]]),0),0)</f>
        <v>#REF!</v>
      </c>
      <c r="B77" s="1915" t="e">
        <f>IF(BerGesamt,SUM('[8]Berechnungen BVerfG'!P77:R77)+'[8]Berechnungen BVerfG'!N77,0)</f>
        <v>#REF!</v>
      </c>
      <c r="C77" s="1915">
        <f>IF(GesVersrgPfl,SUM([8]!Tabelle2[[#This Row],[Spalte2]:[Spalte8]]),0)</f>
        <v>0</v>
      </c>
      <c r="D77" s="1915" t="e">
        <f>SUM('[8]Berechnungen BVerfG'!R77:T77)+'[8]Berechnungen BVerfG'!P77</f>
        <v>#REF!</v>
      </c>
    </row>
    <row r="78" spans="1:16">
      <c r="A78" s="1915" t="e">
        <f>IF(PflGesamt,IF(GesVersrgPfl,SUM([8]!Tabelle2[[#This Row],[Spalte2]:[Spalte8]]),0),0)</f>
        <v>#REF!</v>
      </c>
      <c r="B78" s="1915" t="e">
        <f>IF(BerGesamt,SUM('[8]Berechnungen BVerfG'!P78:R78)+'[8]Berechnungen BVerfG'!N78,0)</f>
        <v>#REF!</v>
      </c>
      <c r="C78" s="1915">
        <f>IF(GesVersrgPfl,SUM([8]!Tabelle2[[#This Row],[Spalte2]:[Spalte8]]),0)</f>
        <v>0</v>
      </c>
      <c r="D78" s="1915" t="e">
        <f>SUM('[8]Berechnungen BVerfG'!R78:T78)+'[8]Berechnungen BVerfG'!P78</f>
        <v>#REF!</v>
      </c>
    </row>
    <row r="79" spans="1:16">
      <c r="A79" s="1915" t="e">
        <f>IF(PflGesamt,IF(GesVersrgPfl,SUM([8]!Tabelle2[[#This Row],[Spalte2]:[Spalte8]]),0),0)</f>
        <v>#REF!</v>
      </c>
      <c r="B79" s="1915" t="e">
        <f>IF(BerGesamt,SUM('[8]Berechnungen BVerfG'!P79:R79)+'[8]Berechnungen BVerfG'!N79,0)</f>
        <v>#REF!</v>
      </c>
      <c r="C79" s="1915">
        <f>IF(GesVersrgPfl,SUM([8]!Tabelle2[[#This Row],[Spalte2]:[Spalte8]]),0)</f>
        <v>0</v>
      </c>
      <c r="D79" s="1915" t="e">
        <f>SUM('[8]Berechnungen BVerfG'!R79:T79)+'[8]Berechnungen BVerfG'!P79</f>
        <v>#REF!</v>
      </c>
    </row>
    <row r="80" spans="1:16">
      <c r="A80" s="1915" t="e">
        <f>IF(PflGesamt,IF(GesVersrgPfl,SUM([8]!Tabelle2[[#This Row],[Spalte2]:[Spalte8]]),0),0)</f>
        <v>#REF!</v>
      </c>
      <c r="B80" s="1915" t="e">
        <f>IF(BerGesamt,SUM('[8]Berechnungen BVerfG'!P80:R80)+'[8]Berechnungen BVerfG'!N80,0)</f>
        <v>#REF!</v>
      </c>
      <c r="C80" s="1915">
        <f>IF(GesVersrgPfl,SUM([8]!Tabelle2[[#This Row],[Spalte2]:[Spalte8]]),0)</f>
        <v>0</v>
      </c>
      <c r="D80" s="1915" t="e">
        <f>SUM('[8]Berechnungen BVerfG'!R80:T80)+'[8]Berechnungen BVerfG'!P80</f>
        <v>#REF!</v>
      </c>
    </row>
    <row r="81" spans="1:4">
      <c r="A81" s="1915" t="e">
        <f>IF(PflGesamt,IF(GesVersrgPfl,SUM([8]!Tabelle2[[#This Row],[Spalte2]:[Spalte8]]),0),0)</f>
        <v>#REF!</v>
      </c>
      <c r="B81" s="1915" t="e">
        <f>IF(BerGesamt,SUM('[8]Berechnungen BVerfG'!P81:R81)+'[8]Berechnungen BVerfG'!N81,0)</f>
        <v>#REF!</v>
      </c>
      <c r="C81" s="1915">
        <f>IF(GesVersrgPfl,SUM([8]!Tabelle2[[#This Row],[Spalte2]:[Spalte8]]),0)</f>
        <v>0</v>
      </c>
      <c r="D81" s="1915" t="e">
        <f>SUM('[8]Berechnungen BVerfG'!R81:T81)+'[8]Berechnungen BVerfG'!P81</f>
        <v>#REF!</v>
      </c>
    </row>
    <row r="82" spans="1:4">
      <c r="A82" s="1915" t="e">
        <f>IF(PflGesamt,IF(GesVersrgPfl,SUM([8]!Tabelle2[[#This Row],[Spalte2]:[Spalte8]]),0),0)</f>
        <v>#REF!</v>
      </c>
      <c r="B82" s="1915" t="e">
        <f>IF(BerGesamt,SUM('[8]Berechnungen BVerfG'!P82:R82)+'[8]Berechnungen BVerfG'!N82,0)</f>
        <v>#REF!</v>
      </c>
      <c r="C82" s="1915">
        <f>IF(GesVersrgPfl,SUM([8]!Tabelle2[[#This Row],[Spalte2]:[Spalte8]]),0)</f>
        <v>0</v>
      </c>
      <c r="D82" s="1915" t="e">
        <f>SUM('[8]Berechnungen BVerfG'!R82:T82)+'[8]Berechnungen BVerfG'!P82</f>
        <v>#REF!</v>
      </c>
    </row>
    <row r="83" spans="1:4">
      <c r="A83" s="1915" t="e">
        <f>IF(PflGesamt,IF(GesVersrgPfl,SUM([8]!Tabelle2[[#This Row],[Spalte2]:[Spalte8]]),0),0)</f>
        <v>#REF!</v>
      </c>
      <c r="B83" s="1915" t="e">
        <f>IF(BerGesamt,SUM('[8]Berechnungen BVerfG'!P83:R83)+'[8]Berechnungen BVerfG'!N83,0)</f>
        <v>#REF!</v>
      </c>
      <c r="C83" s="1915">
        <f>IF(GesVersrgPfl,SUM([8]!Tabelle2[[#This Row],[Spalte2]:[Spalte8]]),0)</f>
        <v>0</v>
      </c>
      <c r="D83" s="1915" t="e">
        <f>SUM('[8]Berechnungen BVerfG'!R83:T83)+'[8]Berechnungen BVerfG'!P83</f>
        <v>#REF!</v>
      </c>
    </row>
    <row r="84" spans="1:4">
      <c r="A84" s="1915" t="e">
        <f>IF(PflGesamt,IF(GesVersrgPfl,SUM([8]!Tabelle2[[#This Row],[Spalte2]:[Spalte8]]),0),0)</f>
        <v>#REF!</v>
      </c>
      <c r="B84" s="1915" t="e">
        <f>IF(BerGesamt,SUM('[8]Berechnungen BVerfG'!P84:R84)+'[8]Berechnungen BVerfG'!N84,0)</f>
        <v>#REF!</v>
      </c>
      <c r="C84" s="1915">
        <f>IF(GesVersrgPfl,SUM([8]!Tabelle2[[#This Row],[Spalte2]:[Spalte8]]),0)</f>
        <v>0</v>
      </c>
      <c r="D84" s="1915" t="e">
        <f>SUM('[8]Berechnungen BVerfG'!R84:T84)+'[8]Berechnungen BVerfG'!P84</f>
        <v>#REF!</v>
      </c>
    </row>
    <row r="85" spans="1:4">
      <c r="A85" s="1915" t="e">
        <f>IF(PflGesamt,IF(GesVersrgPfl,SUM([8]!Tabelle2[[#This Row],[Spalte2]:[Spalte8]]),0),0)</f>
        <v>#REF!</v>
      </c>
      <c r="B85" s="1915" t="e">
        <f>IF(BerGesamt,SUM('[8]Berechnungen BVerfG'!P85:R85)+'[8]Berechnungen BVerfG'!N85,0)</f>
        <v>#REF!</v>
      </c>
      <c r="C85" s="1915">
        <f>IF(GesVersrgPfl,SUM([8]!Tabelle2[[#This Row],[Spalte2]:[Spalte8]]),0)</f>
        <v>0</v>
      </c>
      <c r="D85" s="1915" t="e">
        <f>SUM('[8]Berechnungen BVerfG'!R85:T85)+'[8]Berechnungen BVerfG'!P85</f>
        <v>#REF!</v>
      </c>
    </row>
    <row r="86" spans="1:4">
      <c r="A86" s="1915" t="e">
        <f>IF(PflGesamt,IF(GesVersrgPfl,SUM([8]!Tabelle2[[#This Row],[Spalte2]:[Spalte8]]),0),0)</f>
        <v>#REF!</v>
      </c>
      <c r="B86" s="1915" t="e">
        <f>IF(BerGesamt,SUM('[8]Berechnungen BVerfG'!P86:R86)+'[8]Berechnungen BVerfG'!N86,0)</f>
        <v>#REF!</v>
      </c>
      <c r="C86" s="1915">
        <f>IF(GesVersrgPfl,SUM([8]!Tabelle2[[#This Row],[Spalte2]:[Spalte8]]),0)</f>
        <v>0</v>
      </c>
      <c r="D86" s="1915" t="e">
        <f>SUM('[8]Berechnungen BVerfG'!R86:T86)+'[8]Berechnungen BVerfG'!P86</f>
        <v>#REF!</v>
      </c>
    </row>
    <row r="87" spans="1:4">
      <c r="A87" s="1915" t="e">
        <f>IF(PflGesamt,IF(GesVersrgPfl,SUM([8]!Tabelle2[[#This Row],[Spalte2]:[Spalte8]]),0),0)</f>
        <v>#REF!</v>
      </c>
      <c r="B87" s="1915" t="e">
        <f>IF(BerGesamt,SUM('[8]Berechnungen BVerfG'!P87:R87)+'[8]Berechnungen BVerfG'!N87,0)</f>
        <v>#REF!</v>
      </c>
      <c r="C87" s="1915">
        <f>IF(GesVersrgPfl,SUM([8]!Tabelle2[[#This Row],[Spalte2]:[Spalte8]]),0)</f>
        <v>0</v>
      </c>
      <c r="D87" s="1915" t="e">
        <f>SUM('[8]Berechnungen BVerfG'!R87:T87)+'[8]Berechnungen BVerfG'!P87</f>
        <v>#REF!</v>
      </c>
    </row>
    <row r="88" spans="1:4">
      <c r="A88" s="1915" t="e">
        <f>IF(PflGesamt,IF(GesVersrgPfl,SUM([8]!Tabelle2[[#This Row],[Spalte2]:[Spalte8]]),0),0)</f>
        <v>#REF!</v>
      </c>
      <c r="B88" s="1915" t="e">
        <f>IF(BerGesamt,SUM('[8]Berechnungen BVerfG'!P88:R88)+'[8]Berechnungen BVerfG'!N88,0)</f>
        <v>#REF!</v>
      </c>
      <c r="C88" s="1915">
        <f>IF(GesVersrgPfl,SUM([8]!Tabelle2[[#This Row],[Spalte2]:[Spalte8]]),0)</f>
        <v>0</v>
      </c>
      <c r="D88" s="1915" t="e">
        <f>SUM('[8]Berechnungen BVerfG'!R88:T88)+'[8]Berechnungen BVerfG'!P88</f>
        <v>#REF!</v>
      </c>
    </row>
    <row r="89" spans="1:4">
      <c r="A89" s="1915" t="e">
        <f>IF(PflGesamt,IF(GesVersrgPfl,SUM([8]!Tabelle2[[#This Row],[Spalte2]:[Spalte8]]),0),0)</f>
        <v>#REF!</v>
      </c>
      <c r="B89" s="1915" t="e">
        <f>IF(BerGesamt,SUM('[8]Berechnungen BVerfG'!P89:R89)+'[8]Berechnungen BVerfG'!N89,0)</f>
        <v>#REF!</v>
      </c>
      <c r="C89" s="1915">
        <f>IF(GesVersrgPfl,SUM([8]!Tabelle2[[#This Row],[Spalte2]:[Spalte8]]),0)</f>
        <v>0</v>
      </c>
      <c r="D89" s="1915" t="e">
        <f>SUM('[8]Berechnungen BVerfG'!R89:T89)+'[8]Berechnungen BVerfG'!P89</f>
        <v>#REF!</v>
      </c>
    </row>
    <row r="90" spans="1:4">
      <c r="A90" s="1915" t="e">
        <f>IF(PflGesamt,IF(GesVersrgPfl,SUM([8]!Tabelle2[[#This Row],[Spalte2]:[Spalte8]]),0),0)</f>
        <v>#REF!</v>
      </c>
      <c r="B90" s="1915" t="e">
        <f>IF(BerGesamt,SUM('[8]Berechnungen BVerfG'!P90:R90)+'[8]Berechnungen BVerfG'!N90,0)</f>
        <v>#REF!</v>
      </c>
      <c r="C90" s="1915">
        <f>IF(GesVersrgPfl,SUM([8]!Tabelle2[[#This Row],[Spalte2]:[Spalte8]]),0)</f>
        <v>0</v>
      </c>
      <c r="D90" s="1915" t="e">
        <f>SUM('[8]Berechnungen BVerfG'!R90:T90)+'[8]Berechnungen BVerfG'!P90</f>
        <v>#REF!</v>
      </c>
    </row>
    <row r="91" spans="1:4">
      <c r="A91" s="1915" t="e">
        <f>IF(PflGesamt,IF(GesVersrgPfl,SUM([8]!Tabelle2[[#This Row],[Spalte2]:[Spalte8]]),0),0)</f>
        <v>#REF!</v>
      </c>
      <c r="B91" s="1915" t="e">
        <f>IF(BerGesamt,SUM('[8]Berechnungen BVerfG'!P91:R91)+'[8]Berechnungen BVerfG'!N91,0)</f>
        <v>#REF!</v>
      </c>
      <c r="C91" s="1915">
        <f>IF(GesVersrgPfl,SUM([8]!Tabelle2[[#This Row],[Spalte2]:[Spalte8]]),0)</f>
        <v>0</v>
      </c>
      <c r="D91" s="1915" t="e">
        <f>SUM('[8]Berechnungen BVerfG'!R91:T91)+'[8]Berechnungen BVerfG'!P91</f>
        <v>#REF!</v>
      </c>
    </row>
    <row r="92" spans="1:4">
      <c r="A92" s="1915" t="e">
        <f>IF(PflGesamt,IF(GesVersrgPfl,SUM([8]!Tabelle2[[#This Row],[Spalte2]:[Spalte8]]),0),0)</f>
        <v>#REF!</v>
      </c>
      <c r="B92" s="1915" t="e">
        <f>IF(BerGesamt,SUM('[8]Berechnungen BVerfG'!P92:R92)+'[8]Berechnungen BVerfG'!N92,0)</f>
        <v>#REF!</v>
      </c>
      <c r="C92" s="1915">
        <f>IF(GesVersrgPfl,SUM([8]!Tabelle2[[#This Row],[Spalte2]:[Spalte8]]),0)</f>
        <v>0</v>
      </c>
      <c r="D92" s="1915" t="e">
        <f>SUM('[8]Berechnungen BVerfG'!R92:T92)+'[8]Berechnungen BVerfG'!P92</f>
        <v>#REF!</v>
      </c>
    </row>
    <row r="93" spans="1:4">
      <c r="A93" s="1915" t="e">
        <f>IF(PflGesamt,IF(GesVersrgPfl,SUM([8]!Tabelle2[[#This Row],[Spalte2]:[Spalte8]]),0),0)</f>
        <v>#REF!</v>
      </c>
      <c r="B93" s="1915" t="e">
        <f>IF(BerGesamt,SUM('[8]Berechnungen BVerfG'!P93:R93)+'[8]Berechnungen BVerfG'!N93,0)</f>
        <v>#REF!</v>
      </c>
      <c r="C93" s="1915">
        <f>IF(GesVersrgPfl,SUM([8]!Tabelle2[[#This Row],[Spalte2]:[Spalte8]]),0)</f>
        <v>0</v>
      </c>
      <c r="D93" s="1915" t="e">
        <f>SUM('[8]Berechnungen BVerfG'!R93:T93)+'[8]Berechnungen BVerfG'!P93</f>
        <v>#REF!</v>
      </c>
    </row>
    <row r="94" spans="1:4">
      <c r="A94" s="1915" t="e">
        <f>IF(PflGesamt,IF(GesVersrgPfl,SUM([8]!Tabelle2[[#This Row],[Spalte2]:[Spalte8]]),0),0)</f>
        <v>#REF!</v>
      </c>
      <c r="B94" s="1915" t="e">
        <f>IF(BerGesamt,SUM('[8]Berechnungen BVerfG'!P94:R94)+'[8]Berechnungen BVerfG'!N94,0)</f>
        <v>#REF!</v>
      </c>
      <c r="C94" s="1915">
        <f>IF(GesVersrgPfl,SUM([8]!Tabelle2[[#This Row],[Spalte2]:[Spalte8]]),0)</f>
        <v>0</v>
      </c>
      <c r="D94" s="1915" t="e">
        <f>SUM('[8]Berechnungen BVerfG'!R94:T94)+'[8]Berechnungen BVerfG'!P94</f>
        <v>#REF!</v>
      </c>
    </row>
  </sheetData>
  <sheetProtection algorithmName="SHA-512" hashValue="1o9caLIT0CQKaVdRUk1VT95yxPO5fjcOuGram+9AojAzdgxRWKr3+m7Mt7TLZX9b5pUxr33Anq/9/lqCXhb0QA==" saltValue="QV+4c9qdQOwQkZGSsU2k3A==" spinCount="100000" sheet="1" objects="1" scenarios="1" formatColumns="0" autoFilter="0"/>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BA2F-421D-4BA2-AA9C-BAB89A491486}">
  <sheetPr codeName="Tabelle32"/>
  <dimension ref="B16:B94"/>
  <sheetViews>
    <sheetView workbookViewId="0">
      <selection activeCell="B3" sqref="B3"/>
    </sheetView>
  </sheetViews>
  <sheetFormatPr baseColWidth="10" defaultRowHeight="14.25"/>
  <sheetData>
    <row r="16" spans="2:2" ht="28.5">
      <c r="B16" s="1914" t="s">
        <v>1865</v>
      </c>
    </row>
    <row r="17" spans="2:2">
      <c r="B17" s="235"/>
    </row>
    <row r="18" spans="2:2">
      <c r="B18" s="1915" t="e">
        <f>IF(BerGesamt,SUM('[8]Berechnungen BVerfG'!P18:R18)+'[8]Berechnungen BVerfG'!N18,0)</f>
        <v>#REF!</v>
      </c>
    </row>
    <row r="19" spans="2:2">
      <c r="B19" s="1915" t="e">
        <f>IF(BerGesamt,SUM('[8]Berechnungen BVerfG'!P19:R19)+'[8]Berechnungen BVerfG'!N19,0)</f>
        <v>#REF!</v>
      </c>
    </row>
    <row r="20" spans="2:2">
      <c r="B20" s="1915" t="e">
        <f>IF(BerGesamt,SUM('[8]Berechnungen BVerfG'!P20:R20)+'[8]Berechnungen BVerfG'!N20,0)</f>
        <v>#REF!</v>
      </c>
    </row>
    <row r="21" spans="2:2">
      <c r="B21" s="1915" t="e">
        <f>IF(BerGesamt,SUM('[8]Berechnungen BVerfG'!P21:R21)+'[8]Berechnungen BVerfG'!N21,0)</f>
        <v>#REF!</v>
      </c>
    </row>
    <row r="22" spans="2:2">
      <c r="B22" s="1915" t="e">
        <f>IF(BerGesamt,SUM('[8]Berechnungen BVerfG'!P22:R22)+'[8]Berechnungen BVerfG'!N22,0)</f>
        <v>#REF!</v>
      </c>
    </row>
    <row r="23" spans="2:2">
      <c r="B23" s="1915" t="e">
        <f>IF(BerGesamt,SUM('[8]Berechnungen BVerfG'!P23:R23)+'[8]Berechnungen BVerfG'!N23,0)</f>
        <v>#REF!</v>
      </c>
    </row>
    <row r="24" spans="2:2">
      <c r="B24" s="1915" t="e">
        <f>IF(BerGesamt,SUM('[8]Berechnungen BVerfG'!P24:R24)+'[8]Berechnungen BVerfG'!N24,0)</f>
        <v>#REF!</v>
      </c>
    </row>
    <row r="25" spans="2:2">
      <c r="B25" s="1915" t="e">
        <f>IF(BerGesamt,SUM('[8]Berechnungen BVerfG'!P25:R25)+'[8]Berechnungen BVerfG'!N25,0)</f>
        <v>#REF!</v>
      </c>
    </row>
    <row r="26" spans="2:2">
      <c r="B26" s="1915" t="e">
        <f>IF(BerGesamt,SUM('[8]Berechnungen BVerfG'!P26:R26)+'[8]Berechnungen BVerfG'!N26,0)</f>
        <v>#REF!</v>
      </c>
    </row>
    <row r="27" spans="2:2">
      <c r="B27" s="1915" t="e">
        <f>IF(BerGesamt,SUM('[8]Berechnungen BVerfG'!P27:R27)+'[8]Berechnungen BVerfG'!N27,0)</f>
        <v>#REF!</v>
      </c>
    </row>
    <row r="28" spans="2:2">
      <c r="B28" s="1915" t="e">
        <f>IF(BerGesamt,SUM('[8]Berechnungen BVerfG'!P28:R28)+'[8]Berechnungen BVerfG'!N28,0)</f>
        <v>#REF!</v>
      </c>
    </row>
    <row r="29" spans="2:2">
      <c r="B29" s="1915" t="e">
        <f>IF(BerGesamt,SUM('[8]Berechnungen BVerfG'!P29:R29)+'[8]Berechnungen BVerfG'!N29,0)</f>
        <v>#REF!</v>
      </c>
    </row>
    <row r="30" spans="2:2">
      <c r="B30" s="1915" t="e">
        <f>IF(BerGesamt,SUM('[8]Berechnungen BVerfG'!P30:R30)+'[8]Berechnungen BVerfG'!N30,0)</f>
        <v>#REF!</v>
      </c>
    </row>
    <row r="31" spans="2:2">
      <c r="B31" s="1915" t="e">
        <f>IF(BerGesamt,SUM('[8]Berechnungen BVerfG'!P31:R31)+'[8]Berechnungen BVerfG'!N31,0)</f>
        <v>#REF!</v>
      </c>
    </row>
    <row r="32" spans="2:2">
      <c r="B32" s="1915" t="e">
        <f>IF(BerGesamt,SUM('[8]Berechnungen BVerfG'!P32:R32)+'[8]Berechnungen BVerfG'!N32,0)</f>
        <v>#REF!</v>
      </c>
    </row>
    <row r="33" spans="2:2">
      <c r="B33" s="1915" t="e">
        <f>IF(BerGesamt,SUM('[8]Berechnungen BVerfG'!P33:R33)+'[8]Berechnungen BVerfG'!N33,0)</f>
        <v>#REF!</v>
      </c>
    </row>
    <row r="34" spans="2:2">
      <c r="B34" s="1915" t="e">
        <f>IF(BerGesamt,SUM('[8]Berechnungen BVerfG'!P34:R34)+'[8]Berechnungen BVerfG'!N34,0)</f>
        <v>#REF!</v>
      </c>
    </row>
    <row r="35" spans="2:2">
      <c r="B35" s="1915" t="e">
        <f>IF(BerGesamt,SUM('[8]Berechnungen BVerfG'!P35:R35)+'[8]Berechnungen BVerfG'!N35,0)</f>
        <v>#REF!</v>
      </c>
    </row>
    <row r="36" spans="2:2">
      <c r="B36" s="1915" t="e">
        <f>IF(BerGesamt,SUM('[8]Berechnungen BVerfG'!P36:R36)+'[8]Berechnungen BVerfG'!N36,0)</f>
        <v>#REF!</v>
      </c>
    </row>
    <row r="37" spans="2:2">
      <c r="B37" s="1915" t="e">
        <f>IF(BerGesamt,SUM('[8]Berechnungen BVerfG'!P37:R37)+'[8]Berechnungen BVerfG'!N37,0)</f>
        <v>#REF!</v>
      </c>
    </row>
    <row r="38" spans="2:2">
      <c r="B38" s="1915" t="e">
        <f>IF(BerGesamt,SUM('[8]Berechnungen BVerfG'!P38:R38)+'[8]Berechnungen BVerfG'!N38,0)</f>
        <v>#REF!</v>
      </c>
    </row>
    <row r="39" spans="2:2">
      <c r="B39" s="1915" t="e">
        <f>IF(BerGesamt,SUM('[8]Berechnungen BVerfG'!P39:R39)+'[8]Berechnungen BVerfG'!N39,0)</f>
        <v>#REF!</v>
      </c>
    </row>
    <row r="40" spans="2:2">
      <c r="B40" s="1915" t="e">
        <f>IF(BerGesamt,SUM('[8]Berechnungen BVerfG'!P40:R40)+'[8]Berechnungen BVerfG'!N40,0)</f>
        <v>#REF!</v>
      </c>
    </row>
    <row r="41" spans="2:2">
      <c r="B41" s="1915" t="e">
        <f>IF(BerGesamt,SUM('[8]Berechnungen BVerfG'!P41:R41)+'[8]Berechnungen BVerfG'!N41,0)</f>
        <v>#REF!</v>
      </c>
    </row>
    <row r="42" spans="2:2">
      <c r="B42" s="1915" t="e">
        <f>IF(BerGesamt,SUM('[8]Berechnungen BVerfG'!P42:R42)+'[8]Berechnungen BVerfG'!N42,0)</f>
        <v>#REF!</v>
      </c>
    </row>
    <row r="43" spans="2:2">
      <c r="B43" s="1915" t="e">
        <f>IF(BerGesamt,SUM('[8]Berechnungen BVerfG'!P43:R43)+'[8]Berechnungen BVerfG'!N43,0)</f>
        <v>#REF!</v>
      </c>
    </row>
    <row r="44" spans="2:2">
      <c r="B44" s="1915" t="e">
        <f>IF(BerGesamt,SUM('[8]Berechnungen BVerfG'!P44:R44)+'[8]Berechnungen BVerfG'!N44,0)</f>
        <v>#REF!</v>
      </c>
    </row>
    <row r="45" spans="2:2">
      <c r="B45" s="1915" t="e">
        <f>IF(BerGesamt,SUM('[8]Berechnungen BVerfG'!P45:R45)+'[8]Berechnungen BVerfG'!N45,0)</f>
        <v>#REF!</v>
      </c>
    </row>
    <row r="46" spans="2:2">
      <c r="B46" s="1915" t="e">
        <f>IF(BerGesamt,SUM('[8]Berechnungen BVerfG'!P46:R46)+'[8]Berechnungen BVerfG'!N46,0)</f>
        <v>#REF!</v>
      </c>
    </row>
    <row r="47" spans="2:2">
      <c r="B47" s="1915" t="e">
        <f>IF(BerGesamt,SUM('[8]Berechnungen BVerfG'!P47:R47)+'[8]Berechnungen BVerfG'!N47,0)</f>
        <v>#REF!</v>
      </c>
    </row>
    <row r="48" spans="2:2">
      <c r="B48" s="1915" t="e">
        <f>IF(BerGesamt,SUM('[8]Berechnungen BVerfG'!P48:R48)+'[8]Berechnungen BVerfG'!N48,0)</f>
        <v>#REF!</v>
      </c>
    </row>
    <row r="49" spans="2:2">
      <c r="B49" s="1915" t="e">
        <f>IF(BerGesamt,SUM('[8]Berechnungen BVerfG'!P49:R49)+'[8]Berechnungen BVerfG'!N49,0)</f>
        <v>#REF!</v>
      </c>
    </row>
    <row r="50" spans="2:2">
      <c r="B50" s="1915" t="e">
        <f>IF(BerGesamt,SUM('[8]Berechnungen BVerfG'!P50:R50)+'[8]Berechnungen BVerfG'!N50,0)</f>
        <v>#REF!</v>
      </c>
    </row>
    <row r="51" spans="2:2">
      <c r="B51" s="1915" t="e">
        <f>IF(BerGesamt,SUM('[8]Berechnungen BVerfG'!P51:R51)+'[8]Berechnungen BVerfG'!N51,0)</f>
        <v>#REF!</v>
      </c>
    </row>
    <row r="52" spans="2:2">
      <c r="B52" s="1915" t="e">
        <f>IF(BerGesamt,SUM('[8]Berechnungen BVerfG'!P52:R52)+'[8]Berechnungen BVerfG'!N52,0)</f>
        <v>#REF!</v>
      </c>
    </row>
    <row r="53" spans="2:2">
      <c r="B53" s="1915" t="e">
        <f>IF(BerGesamt,SUM('[8]Berechnungen BVerfG'!P53:R53)+'[8]Berechnungen BVerfG'!N53,0)</f>
        <v>#REF!</v>
      </c>
    </row>
    <row r="54" spans="2:2">
      <c r="B54" s="1915" t="e">
        <f>IF(BerGesamt,SUM('[8]Berechnungen BVerfG'!P54:R54)+'[8]Berechnungen BVerfG'!N54,0)</f>
        <v>#REF!</v>
      </c>
    </row>
    <row r="55" spans="2:2">
      <c r="B55" s="1915" t="e">
        <f>IF(BerGesamt,SUM('[8]Berechnungen BVerfG'!P55:R55)+'[8]Berechnungen BVerfG'!N55,0)</f>
        <v>#REF!</v>
      </c>
    </row>
    <row r="56" spans="2:2">
      <c r="B56" s="1915" t="e">
        <f>IF(BerGesamt,SUM('[8]Berechnungen BVerfG'!P56:R56)+'[8]Berechnungen BVerfG'!N56,0)</f>
        <v>#REF!</v>
      </c>
    </row>
    <row r="57" spans="2:2">
      <c r="B57" s="1915" t="e">
        <f>IF(BerGesamt,SUM('[8]Berechnungen BVerfG'!P57:R57)+'[8]Berechnungen BVerfG'!N57,0)</f>
        <v>#REF!</v>
      </c>
    </row>
    <row r="58" spans="2:2">
      <c r="B58" s="1915" t="e">
        <f>IF(BerGesamt,SUM('[8]Berechnungen BVerfG'!P58:R58)+'[8]Berechnungen BVerfG'!N58,0)</f>
        <v>#REF!</v>
      </c>
    </row>
    <row r="59" spans="2:2">
      <c r="B59" s="1915" t="e">
        <f>IF(BerGesamt,SUM('[8]Berechnungen BVerfG'!P59:R59)+'[8]Berechnungen BVerfG'!N59,0)</f>
        <v>#REF!</v>
      </c>
    </row>
    <row r="60" spans="2:2">
      <c r="B60" s="1915" t="e">
        <f>IF(BerGesamt,SUM('[8]Berechnungen BVerfG'!P60:R60)+'[8]Berechnungen BVerfG'!N60,0)</f>
        <v>#REF!</v>
      </c>
    </row>
    <row r="61" spans="2:2">
      <c r="B61" s="1915" t="e">
        <f>IF(BerGesamt,SUM('[8]Berechnungen BVerfG'!P61:R61)+'[8]Berechnungen BVerfG'!N61,0)</f>
        <v>#REF!</v>
      </c>
    </row>
    <row r="62" spans="2:2">
      <c r="B62" s="1915" t="e">
        <f>IF(BerGesamt,SUM('[8]Berechnungen BVerfG'!P62:R62)+'[8]Berechnungen BVerfG'!N62,0)</f>
        <v>#REF!</v>
      </c>
    </row>
    <row r="63" spans="2:2">
      <c r="B63" s="1915" t="e">
        <f>IF(BerGesamt,SUM('[8]Berechnungen BVerfG'!P63:R63)+'[8]Berechnungen BVerfG'!N63,0)</f>
        <v>#REF!</v>
      </c>
    </row>
    <row r="64" spans="2:2">
      <c r="B64" s="1915" t="e">
        <f>IF(BerGesamt,SUM('[8]Berechnungen BVerfG'!P64:R64)+'[8]Berechnungen BVerfG'!N64,0)</f>
        <v>#REF!</v>
      </c>
    </row>
    <row r="65" spans="2:2">
      <c r="B65" s="1915" t="e">
        <f>IF(BerGesamt,SUM('[8]Berechnungen BVerfG'!P65:R65)+'[8]Berechnungen BVerfG'!N65,0)</f>
        <v>#REF!</v>
      </c>
    </row>
    <row r="66" spans="2:2">
      <c r="B66" s="1915" t="e">
        <f>IF(BerGesamt,SUM('[8]Berechnungen BVerfG'!P66:R66)+'[8]Berechnungen BVerfG'!N66,0)</f>
        <v>#REF!</v>
      </c>
    </row>
    <row r="67" spans="2:2">
      <c r="B67" s="1915" t="e">
        <f>IF(BerGesamt,SUM('[8]Berechnungen BVerfG'!P67:R67)+'[8]Berechnungen BVerfG'!N67,0)</f>
        <v>#REF!</v>
      </c>
    </row>
    <row r="68" spans="2:2">
      <c r="B68" s="1915" t="e">
        <f>IF(BerGesamt,SUM('[8]Berechnungen BVerfG'!P68:R68)+'[8]Berechnungen BVerfG'!N68,0)</f>
        <v>#REF!</v>
      </c>
    </row>
    <row r="69" spans="2:2">
      <c r="B69" s="1915" t="e">
        <f>IF(BerGesamt,SUM('[8]Berechnungen BVerfG'!P69:R69)+'[8]Berechnungen BVerfG'!N69,0)</f>
        <v>#REF!</v>
      </c>
    </row>
    <row r="70" spans="2:2">
      <c r="B70" s="1915" t="e">
        <f>IF(BerGesamt,SUM('[8]Berechnungen BVerfG'!P70:R70)+'[8]Berechnungen BVerfG'!N70,0)</f>
        <v>#REF!</v>
      </c>
    </row>
    <row r="71" spans="2:2">
      <c r="B71" s="1915" t="e">
        <f>IF(BerGesamt,SUM('[8]Berechnungen BVerfG'!P71:R71)+'[8]Berechnungen BVerfG'!N71,0)</f>
        <v>#REF!</v>
      </c>
    </row>
    <row r="72" spans="2:2">
      <c r="B72" s="1915" t="e">
        <f>IF(BerGesamt,SUM('[8]Berechnungen BVerfG'!P72:R72)+'[8]Berechnungen BVerfG'!N72,0)</f>
        <v>#REF!</v>
      </c>
    </row>
    <row r="73" spans="2:2">
      <c r="B73" s="1915" t="e">
        <f>IF(BerGesamt,SUM('[8]Berechnungen BVerfG'!P73:R73)+'[8]Berechnungen BVerfG'!N73,0)</f>
        <v>#REF!</v>
      </c>
    </row>
    <row r="74" spans="2:2">
      <c r="B74" s="1915" t="e">
        <f>IF(BerGesamt,SUM('[8]Berechnungen BVerfG'!P74:R74)+'[8]Berechnungen BVerfG'!N74,0)</f>
        <v>#REF!</v>
      </c>
    </row>
    <row r="75" spans="2:2">
      <c r="B75" s="1915" t="e">
        <f>IF(BerGesamt,SUM('[8]Berechnungen BVerfG'!P75:R75)+'[8]Berechnungen BVerfG'!N75,0)</f>
        <v>#REF!</v>
      </c>
    </row>
    <row r="76" spans="2:2">
      <c r="B76" s="1915" t="e">
        <f>IF(BerGesamt,SUM('[8]Berechnungen BVerfG'!P76:R76)+'[8]Berechnungen BVerfG'!N76,0)</f>
        <v>#REF!</v>
      </c>
    </row>
    <row r="77" spans="2:2">
      <c r="B77" s="1915" t="e">
        <f>IF(BerGesamt,SUM('[8]Berechnungen BVerfG'!P77:R77)+'[8]Berechnungen BVerfG'!N77,0)</f>
        <v>#REF!</v>
      </c>
    </row>
    <row r="78" spans="2:2">
      <c r="B78" s="1915" t="e">
        <f>IF(BerGesamt,SUM('[8]Berechnungen BVerfG'!P78:R78)+'[8]Berechnungen BVerfG'!N78,0)</f>
        <v>#REF!</v>
      </c>
    </row>
    <row r="79" spans="2:2">
      <c r="B79" s="1915" t="e">
        <f>IF(BerGesamt,SUM('[8]Berechnungen BVerfG'!P79:R79)+'[8]Berechnungen BVerfG'!N79,0)</f>
        <v>#REF!</v>
      </c>
    </row>
    <row r="80" spans="2:2">
      <c r="B80" s="1915" t="e">
        <f>IF(BerGesamt,SUM('[8]Berechnungen BVerfG'!P80:R80)+'[8]Berechnungen BVerfG'!N80,0)</f>
        <v>#REF!</v>
      </c>
    </row>
    <row r="81" spans="2:2">
      <c r="B81" s="1915" t="e">
        <f>IF(BerGesamt,SUM('[8]Berechnungen BVerfG'!P81:R81)+'[8]Berechnungen BVerfG'!N81,0)</f>
        <v>#REF!</v>
      </c>
    </row>
    <row r="82" spans="2:2">
      <c r="B82" s="1915" t="e">
        <f>IF(BerGesamt,SUM('[8]Berechnungen BVerfG'!P82:R82)+'[8]Berechnungen BVerfG'!N82,0)</f>
        <v>#REF!</v>
      </c>
    </row>
    <row r="83" spans="2:2">
      <c r="B83" s="1915" t="e">
        <f>IF(BerGesamt,SUM('[8]Berechnungen BVerfG'!P83:R83)+'[8]Berechnungen BVerfG'!N83,0)</f>
        <v>#REF!</v>
      </c>
    </row>
    <row r="84" spans="2:2">
      <c r="B84" s="1915" t="e">
        <f>IF(BerGesamt,SUM('[8]Berechnungen BVerfG'!P84:R84)+'[8]Berechnungen BVerfG'!N84,0)</f>
        <v>#REF!</v>
      </c>
    </row>
    <row r="85" spans="2:2">
      <c r="B85" s="1915" t="e">
        <f>IF(BerGesamt,SUM('[8]Berechnungen BVerfG'!P85:R85)+'[8]Berechnungen BVerfG'!N85,0)</f>
        <v>#REF!</v>
      </c>
    </row>
    <row r="86" spans="2:2">
      <c r="B86" s="1915" t="e">
        <f>IF(BerGesamt,SUM('[8]Berechnungen BVerfG'!P86:R86)+'[8]Berechnungen BVerfG'!N86,0)</f>
        <v>#REF!</v>
      </c>
    </row>
    <row r="87" spans="2:2">
      <c r="B87" s="1915" t="e">
        <f>IF(BerGesamt,SUM('[8]Berechnungen BVerfG'!P87:R87)+'[8]Berechnungen BVerfG'!N87,0)</f>
        <v>#REF!</v>
      </c>
    </row>
    <row r="88" spans="2:2">
      <c r="B88" s="1915" t="e">
        <f>IF(BerGesamt,SUM('[8]Berechnungen BVerfG'!P88:R88)+'[8]Berechnungen BVerfG'!N88,0)</f>
        <v>#REF!</v>
      </c>
    </row>
    <row r="89" spans="2:2">
      <c r="B89" s="1915" t="e">
        <f>IF(BerGesamt,SUM('[8]Berechnungen BVerfG'!P89:R89)+'[8]Berechnungen BVerfG'!N89,0)</f>
        <v>#REF!</v>
      </c>
    </row>
    <row r="90" spans="2:2">
      <c r="B90" s="1915" t="e">
        <f>IF(BerGesamt,SUM('[8]Berechnungen BVerfG'!P90:R90)+'[8]Berechnungen BVerfG'!N90,0)</f>
        <v>#REF!</v>
      </c>
    </row>
    <row r="91" spans="2:2">
      <c r="B91" s="1915" t="e">
        <f>IF(BerGesamt,SUM('[8]Berechnungen BVerfG'!P91:R91)+'[8]Berechnungen BVerfG'!N91,0)</f>
        <v>#REF!</v>
      </c>
    </row>
    <row r="92" spans="2:2">
      <c r="B92" s="1915" t="e">
        <f>IF(BerGesamt,SUM('[8]Berechnungen BVerfG'!P92:R92)+'[8]Berechnungen BVerfG'!N92,0)</f>
        <v>#REF!</v>
      </c>
    </row>
    <row r="93" spans="2:2">
      <c r="B93" s="1915" t="e">
        <f>IF(BerGesamt,SUM('[8]Berechnungen BVerfG'!P93:R93)+'[8]Berechnungen BVerfG'!N93,0)</f>
        <v>#REF!</v>
      </c>
    </row>
    <row r="94" spans="2:2">
      <c r="B94" s="1915" t="e">
        <f>IF(BerGesamt,SUM('[8]Berechnungen BVerfG'!P94:R94)+'[8]Berechnungen BVerfG'!N94,0)</f>
        <v>#REF!</v>
      </c>
    </row>
  </sheetData>
  <sheetProtection algorithmName="SHA-512" hashValue="S8yKGJi7aVtTbeyjx7fC95avsU/uRKTdqs1KfR/9HkwrKhirGbuOXqc3j3dXpMH37UbpxoSNGAUyI9P8AUoL+Q==" saltValue="5fTEFnKB4nJZsTF5bqTopQ==" spinCount="100000" sheet="1" objects="1" scenarios="1" formatColumns="0" autoFilter="0"/>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30">
    <tabColor rgb="FFFF0000"/>
    <pageSetUpPr fitToPage="1"/>
  </sheetPr>
  <dimension ref="A1:AER71"/>
  <sheetViews>
    <sheetView showGridLines="0" showRowColHeaders="0" zoomScaleNormal="100" workbookViewId="0">
      <selection activeCell="D17" sqref="D17"/>
    </sheetView>
  </sheetViews>
  <sheetFormatPr baseColWidth="10" defaultColWidth="0" defaultRowHeight="14.25" zeroHeight="1"/>
  <cols>
    <col min="1" max="1" width="2.125" style="518" customWidth="1"/>
    <col min="2" max="2" width="72.125" style="207" customWidth="1"/>
    <col min="3" max="4" width="14.625" style="207" customWidth="1"/>
    <col min="5" max="5" width="15.625" style="208" customWidth="1"/>
    <col min="6" max="7" width="14.625" customWidth="1"/>
    <col min="8" max="8" width="15.625" customWidth="1"/>
    <col min="9" max="11" width="13.625" hidden="1" customWidth="1"/>
    <col min="12" max="12" width="2.125" customWidth="1"/>
    <col min="13" max="13" width="10.125" hidden="1" customWidth="1"/>
    <col min="14" max="14" width="14.625" hidden="1" customWidth="1"/>
    <col min="15" max="15" width="20.625" hidden="1" customWidth="1"/>
    <col min="16" max="23" width="15.625" hidden="1" customWidth="1"/>
    <col min="24" max="25" width="41.625" customWidth="1"/>
    <col min="26" max="26" width="1.125" customWidth="1"/>
    <col min="27" max="27" width="27.625" customWidth="1"/>
    <col min="28" max="28" width="1.125" style="25" customWidth="1"/>
    <col min="29" max="30" width="13.125" hidden="1" customWidth="1"/>
    <col min="31" max="31" width="75.625" hidden="1" customWidth="1"/>
    <col min="32" max="32" width="13.125" hidden="1" customWidth="1"/>
    <col min="33" max="33" width="16.625" hidden="1" customWidth="1"/>
    <col min="34" max="35" width="13.125" hidden="1" customWidth="1"/>
    <col min="36" max="36" width="14.625" hidden="1" customWidth="1"/>
    <col min="37" max="39" width="11.125" hidden="1" customWidth="1"/>
    <col min="40" max="47" width="13.125" hidden="1" customWidth="1"/>
    <col min="48" max="48" width="14.125" hidden="1" customWidth="1"/>
    <col min="49" max="824" width="0" hidden="1" customWidth="1"/>
    <col min="825" max="16384" width="13.125" hidden="1"/>
  </cols>
  <sheetData>
    <row r="1" spans="1:42" ht="25.5" customHeight="1" thickBot="1">
      <c r="A1" s="3033"/>
      <c r="B1" s="3033"/>
      <c r="C1" s="3033"/>
      <c r="D1" s="3033"/>
      <c r="E1" s="3033"/>
      <c r="F1" s="3033"/>
      <c r="G1" s="3033"/>
      <c r="H1" s="3033"/>
      <c r="I1" s="3033"/>
      <c r="J1" s="3033"/>
      <c r="K1" s="3033"/>
      <c r="L1" s="3033"/>
      <c r="M1" s="3033"/>
      <c r="N1" s="3033"/>
      <c r="O1" s="3033"/>
      <c r="P1" s="3033"/>
      <c r="Q1" s="3033"/>
      <c r="R1" s="3033"/>
      <c r="S1" s="3033"/>
      <c r="T1" s="3033"/>
      <c r="U1" s="3033"/>
      <c r="V1" s="3033"/>
      <c r="W1" s="3033"/>
      <c r="X1" s="3033"/>
      <c r="Y1" s="3033"/>
      <c r="Z1" s="3033"/>
      <c r="AA1" s="3033"/>
    </row>
    <row r="2" spans="1:42" ht="38.25" customHeight="1" thickBot="1">
      <c r="A2" s="1447">
        <v>1</v>
      </c>
      <c r="B2" s="1161" t="s">
        <v>1143</v>
      </c>
      <c r="C2" s="1160" t="s">
        <v>1144</v>
      </c>
      <c r="D2" s="3051" t="str">
        <f>"Zur Anzeige der Werte bitte die Check-Boxen für die einzelnen Versorgungen aktivieren"</f>
        <v>Zur Anzeige der Werte bitte die Check-Boxen für die einzelnen Versorgungen aktivieren</v>
      </c>
      <c r="E2" s="3052"/>
      <c r="F2" s="1771"/>
      <c r="G2" s="1771"/>
      <c r="H2" s="3034" t="s">
        <v>883</v>
      </c>
      <c r="I2" s="3034"/>
      <c r="J2" s="3034"/>
      <c r="K2" s="3035"/>
      <c r="L2" s="614"/>
      <c r="M2" s="66"/>
      <c r="N2" s="66" t="s">
        <v>855</v>
      </c>
      <c r="O2" s="66" t="s">
        <v>1478</v>
      </c>
      <c r="P2" s="655"/>
      <c r="Q2" s="655"/>
      <c r="R2" s="655" t="s">
        <v>217</v>
      </c>
      <c r="T2" t="s">
        <v>21</v>
      </c>
      <c r="U2" t="s">
        <v>61</v>
      </c>
      <c r="V2" s="655"/>
      <c r="W2" s="655"/>
      <c r="X2" s="655"/>
      <c r="AA2" s="3049" t="s">
        <v>877</v>
      </c>
      <c r="AC2" s="762"/>
    </row>
    <row r="3" spans="1:42" ht="45" customHeight="1" thickBot="1">
      <c r="A3" s="1448">
        <v>2</v>
      </c>
      <c r="B3" s="1152" t="s">
        <v>1145</v>
      </c>
      <c r="C3" s="971" t="s">
        <v>382</v>
      </c>
      <c r="D3" s="503" t="s">
        <v>2023</v>
      </c>
      <c r="E3" s="687" t="str">
        <f>"DRV"&amp;CHAR(10)&amp;IF(SUM(K4:K5)&gt;0,"",IF(E6+K4+K5&gt;0,"manuell eingegeben"," aus "&amp;IF(E20&gt;0,TEXT(IF(D21&gt;0,D21,D20),"#.###.##0 €"),"")))</f>
        <v>DRV
 aus 0 €</v>
      </c>
      <c r="F3" s="703" t="str">
        <f>"VerAusglK"&amp;IF(_xlfn.ISFORMULA(Adaequanz_RentenhoeheVersAusglK),"",IF(VersAusglKJa,IF(Adaequanz_RentenhoeheVersAusglK&gt;0," aus "&amp;TEXT(IF(Adaequanz_AusglWertQuelle&gt;0,Adaequanz_AusglWertQuelle,Adaequanz_errechneterKapWert),"#.##0,00 €"),""),""))</f>
        <v>VerAusglK</v>
      </c>
      <c r="G3" s="504" t="s">
        <v>1623</v>
      </c>
      <c r="H3" s="1053" t="s">
        <v>884</v>
      </c>
      <c r="I3" s="763"/>
      <c r="J3" s="596" t="s">
        <v>583</v>
      </c>
      <c r="K3" s="597" t="s">
        <v>584</v>
      </c>
      <c r="L3" s="25"/>
      <c r="M3" s="66" t="s">
        <v>570</v>
      </c>
      <c r="N3" s="66">
        <f>YEAR(Adaequanz_GebDat)+IF(MONTH(Adaequanz_GebDat)&gt;6,1,0)</f>
        <v>1900</v>
      </c>
      <c r="O3" s="66">
        <f>+VersGebJahrgPfl-1900+2</f>
        <v>2</v>
      </c>
      <c r="R3" t="s">
        <v>263</v>
      </c>
      <c r="S3" t="s">
        <v>1017</v>
      </c>
      <c r="T3" s="148">
        <f>VLOOKUP(YEAR(B_Dat),MonatlicheBezugsgröße,4)</f>
        <v>39.550000000000004</v>
      </c>
      <c r="U3" s="148">
        <f>VLOOKUP(YEAR(B_Dat),MonatlicheBezugsgröße,5)</f>
        <v>4746</v>
      </c>
      <c r="AA3" s="3050"/>
      <c r="AB3" s="1981"/>
    </row>
    <row r="4" spans="1:42" ht="17.100000000000001" customHeight="1">
      <c r="A4" s="1448">
        <v>3</v>
      </c>
      <c r="B4" s="1251" t="s">
        <v>1479</v>
      </c>
      <c r="C4" s="1250">
        <f>IF(D4&gt;0,D4,IF(Dat_EzE&gt;0,Dat_EzE,""))</f>
        <v>46203</v>
      </c>
      <c r="D4" s="1233"/>
      <c r="E4" s="1994" t="str">
        <f>IF(B_Dat="","",IF(AND(Adaequanz_Zugangsfaktor&lt;1,E9&gt;0)," § 77 SGB VI",IF(Adaequanz_DRV_Alter&gt;E9,"§ 187 IV SGB VI !","")))</f>
        <v xml:space="preserve"> § 77 SGB VI</v>
      </c>
      <c r="F4" s="3042" t="s">
        <v>387</v>
      </c>
      <c r="G4" s="3036" t="s">
        <v>315</v>
      </c>
      <c r="H4" s="800"/>
      <c r="I4" s="764" t="s">
        <v>836</v>
      </c>
      <c r="J4" s="474"/>
      <c r="K4" s="598"/>
      <c r="L4" s="25"/>
      <c r="M4" s="3" t="s">
        <v>571</v>
      </c>
      <c r="N4" s="66">
        <f>YEAR(Adaequanz_GebDatAglBer)+IF(MONTH(Adaequanz_GebDatAglBer)&gt;6,1,0)</f>
        <v>1900</v>
      </c>
      <c r="O4" s="66">
        <f>+N4-1900+2</f>
        <v>2</v>
      </c>
      <c r="P4" s="15"/>
      <c r="R4" t="s">
        <v>384</v>
      </c>
      <c r="S4" s="148"/>
      <c r="V4" s="148"/>
      <c r="AA4" s="840" t="str">
        <f>+AE10</f>
        <v xml:space="preserve">Quell-Versorgung </v>
      </c>
      <c r="AB4" s="1982"/>
      <c r="AE4" t="s">
        <v>374</v>
      </c>
    </row>
    <row r="5" spans="1:42" ht="17.25" customHeight="1" thickBot="1">
      <c r="A5" s="1448">
        <v>4</v>
      </c>
      <c r="B5" s="3054" t="s">
        <v>312</v>
      </c>
      <c r="C5" s="3055"/>
      <c r="D5" s="330"/>
      <c r="E5" s="1118" t="str">
        <f>"Rentenerwerb"&amp;Zeichen!B7</f>
        <v>Rentenerwerb↓</v>
      </c>
      <c r="F5" s="3043"/>
      <c r="G5" s="3037"/>
      <c r="H5" s="1118" t="str">
        <f>"Rentenerwerb"&amp;Zeichen!B7</f>
        <v>Rentenerwerb↓</v>
      </c>
      <c r="I5" s="765" t="s">
        <v>837</v>
      </c>
      <c r="J5" s="599"/>
      <c r="K5" s="600"/>
      <c r="L5" s="25"/>
      <c r="M5" t="s">
        <v>317</v>
      </c>
      <c r="N5" s="15">
        <v>2</v>
      </c>
      <c r="O5" s="367">
        <f>IF(BerechnetAuf=1,B_Dat,D5)</f>
        <v>0</v>
      </c>
      <c r="P5" s="15"/>
      <c r="AA5" s="840" t="str">
        <f>+AF10</f>
        <v xml:space="preserve">DRV </v>
      </c>
      <c r="AB5" s="1982"/>
      <c r="AE5" s="25">
        <f>(VLOOKUP(B_Dat,VPI,2)/VLOOKUP(DATE(YEAR(B_Dat)-10,MONTH(B_Dat),DAY(B_Dat)),VPI,2))-1</f>
        <v>-1</v>
      </c>
    </row>
    <row r="6" spans="1:42" ht="17.25" customHeight="1">
      <c r="A6" s="1448">
        <v>5</v>
      </c>
      <c r="B6" s="1151" t="str">
        <f>"Geschlecht "&amp;IF(BGHXIIZB23016,"ausgleichsber.","ausgleichspfl.")&amp;" Person eingeben (m/w/d)"</f>
        <v>Geschlecht ausgleichspfl. Person eingeben (m/w/d)</v>
      </c>
      <c r="C6" s="51"/>
      <c r="D6" s="798"/>
      <c r="E6" s="797"/>
      <c r="F6" s="3043"/>
      <c r="G6" s="3038"/>
      <c r="H6" s="797"/>
      <c r="I6" s="603"/>
      <c r="J6" s="601"/>
      <c r="K6" s="602"/>
      <c r="L6" s="25"/>
      <c r="M6" t="s">
        <v>320</v>
      </c>
      <c r="N6" s="15" t="b">
        <v>0</v>
      </c>
      <c r="AA6" s="840" t="str">
        <f>+AG10</f>
        <v xml:space="preserve">VersAusglK </v>
      </c>
      <c r="AB6" s="1982"/>
      <c r="AE6" s="333">
        <f>_xlfn.RRI(YEARFRAC(DATE(YEAR(B_Dat)-10,MONTH(B_Dat),DAY(B_Dat)),B_Dat,0),VLOOKUP(DATE(YEAR(B_Dat)-10,MONTH(B_Dat),DAY(B_Dat)),VPI,2),VLOOKUP(DATE(YEAR(B_Dat),MONTH(B_Dat),DAY(B_Dat)),VPI,2))</f>
        <v>-1</v>
      </c>
      <c r="AF6" t="s">
        <v>382</v>
      </c>
      <c r="AG6" s="15" t="b">
        <v>0</v>
      </c>
    </row>
    <row r="7" spans="1:42" ht="17.25" customHeight="1">
      <c r="A7" s="1448">
        <v>6</v>
      </c>
      <c r="B7" s="1175" t="str">
        <f>"Geburtsdatum der "&amp;IF(BGHXIIZB23016,"ausgleichsberechtigten ","ausgleichspflichtigen ")&amp;"Person eingeben: (ggfls. aus Datenerfassung)"</f>
        <v>Geburtsdatum der ausgleichspflichtigen Person eingeben: (ggfls. aus Datenerfassung)</v>
      </c>
      <c r="C7" s="1252">
        <f>IF(D7&gt;0,D7,IF(D7="",IF(D6="m",Dat_GebDat_M,IF(D6="w",Dat_GebDat_F,IF(D6="d","Gebdat Eingabe!",0)))))</f>
        <v>0</v>
      </c>
      <c r="D7" s="1233"/>
      <c r="E7" s="688" t="str">
        <f>IF(Adaequanz_GebDat=0,"",Adaequanz_GebDat)</f>
        <v/>
      </c>
      <c r="F7" s="688" t="str">
        <f>+E7</f>
        <v/>
      </c>
      <c r="G7" s="1249" t="str">
        <f>+F7</f>
        <v/>
      </c>
      <c r="H7" s="742"/>
      <c r="I7" s="505">
        <f>+Adaequanz_GebDatAglBer</f>
        <v>0</v>
      </c>
      <c r="J7" s="483">
        <f>+I7</f>
        <v>0</v>
      </c>
      <c r="K7" s="484">
        <f>+J7</f>
        <v>0</v>
      </c>
      <c r="L7" s="25"/>
      <c r="M7" t="s">
        <v>690</v>
      </c>
      <c r="N7">
        <f>VLOOKUP(B_Dat,aktRW,WO_Schalter)</f>
        <v>40.79</v>
      </c>
      <c r="AA7" s="840" t="str">
        <f>+AH10</f>
        <v xml:space="preserve">Sonstige </v>
      </c>
      <c r="AB7" s="1982"/>
    </row>
    <row r="8" spans="1:42" ht="17.25" customHeight="1">
      <c r="A8" s="1448">
        <v>7</v>
      </c>
      <c r="B8" s="3056" t="str">
        <f>IF(D5="","Alter im Ehezeitende "&amp;IF(Adaequanz_GebDat="","",TEXT(B_Dat,"TT.MM.JJJJ")),"Alter im Berechnungszeitpunkt "&amp;IF(Adaequanz_GebDat="","",TEXT(D5,"TT.MM.JJJJ")))</f>
        <v>Alter im Ehezeitende 30.06.2026</v>
      </c>
      <c r="C8" s="3057"/>
      <c r="D8" s="201" t="str">
        <f>IFERROR(IF(D7+Adaequanz_GebDat=0,"",IFERROR(IF(AND(Adaequanz_GebDat="",Adaequanz_GebDatDRV=""),"",ROUND(YEARFRAC(Adaequanz_GebDat,IF(AND(BerechnetAuf=2,D5&gt;0),D5,B_Dat),0),2)),"")),"")</f>
        <v/>
      </c>
      <c r="E8" s="1253" t="str">
        <f>IFERROR(IF(E7="","",ROUND(YEARFRAC(E7,IF(AND(BerechnetAuf=2,D5&gt;0),$D5,B_Dat),0),2)),"")</f>
        <v/>
      </c>
      <c r="F8" s="1253" t="str">
        <f>IFERROR(IF(F7="","",ROUND(YEARFRAC(F7,IF(AND(BerechnetAuf=2,E5&gt;0),$D5,B_Dat),0),2)),"")</f>
        <v/>
      </c>
      <c r="G8" s="1254" t="str">
        <f>IFERROR(IF(G7="","",ROUND(YEARFRAC(G7,IF(AND(BerechnetAuf=2,F5&gt;0),$D5,B_Dat),0),2)),"")</f>
        <v/>
      </c>
      <c r="H8" s="1255">
        <f>IFERROR(IF(AND(Adaequanz_GebDat="",H7=""),"",ROUND(YEARFRAC(H7,IF(AND(BerechnetAuf=2,$D5&gt;0),$D5,B_Dat),0),2)),"")</f>
        <v>126.5</v>
      </c>
      <c r="I8" s="1256">
        <f>IFERROR(IF(AND(Adaequanz_GebDat="",I7=""),"",ROUND(YEARFRAC(I7,IF(AND(BerechnetAuf=2,$D5&gt;0),$D5,B_Dat),0),2)),"")</f>
        <v>126.5</v>
      </c>
      <c r="J8" s="1257">
        <f>IFERROR(IF(AND(Adaequanz_GebDat="",J7=""),"",ROUND(YEARFRAC(J7,IF(AND(BerechnetAuf=2,$D5&gt;0),$D5,B_Dat),0),2)),"")</f>
        <v>126.5</v>
      </c>
      <c r="K8" s="1258">
        <f>IFERROR(IF(AND(Adaequanz_GebDat="",K7=""),"",ROUND(YEARFRAC(K7,IF(AND(BerechnetAuf=2,$D5&gt;0),$D5,B_Dat),0),2)),"")</f>
        <v>126.5</v>
      </c>
      <c r="L8" s="25"/>
      <c r="M8" t="s">
        <v>383</v>
      </c>
      <c r="N8">
        <f>IF(D6="M",1,IF(D6="W",2,IF(D6="D",3,1)))</f>
        <v>1</v>
      </c>
      <c r="P8" s="15">
        <f>IFERROR(VLOOKUP(IF(Adaequanz_ReEintrittPfl&lt;Adaequanz_QV_Alter,Adaequanz_QV_Alter,Adaequanz_ReEintrittPfl),CHOOSE(Sexwahl,Lebenserwartung_M_V2,Lebenserwartung_F_V2,Lebenserwartung_N_V2),YEAR(Adaequanz_GebDat)+IF(MONTH(Adaequanz_GebDat)&gt;6,1,0)-1900+2),0)</f>
        <v>0</v>
      </c>
      <c r="R8" s="15"/>
      <c r="AA8" s="840" t="str">
        <f>+AI10</f>
        <v xml:space="preserve">∑ Versorg. </v>
      </c>
      <c r="AB8" s="1982"/>
      <c r="AE8" t="s">
        <v>385</v>
      </c>
      <c r="AF8" t="s">
        <v>386</v>
      </c>
      <c r="AO8" t="s">
        <v>880</v>
      </c>
      <c r="AP8" t="s">
        <v>881</v>
      </c>
    </row>
    <row r="9" spans="1:42" ht="17.25" customHeight="1">
      <c r="A9" s="1448">
        <v>8</v>
      </c>
      <c r="B9" s="686" t="str">
        <f>IFERROR(IF(D9="","Renteneintrittsalter der Quellversorgung eingeben: ","Renteneintritt (in Quellversorgung mit "&amp;TEXT(Adaequanz_ReEintrittPfl,"#0,00")&amp;" Jahren am "&amp;TEXT(DATE(YEAR(Adaequanz_GebDat)+INT(Adaequanz_ReEintrittPfl),MONTH(Adaequanz_GebDat)+(Adaequanz_ReEintrittPfl-INT(Adaequanz_ReEintrittPfl))*12+1,1),"TT.MM.JJJJ")&amp;")"),"")</f>
        <v xml:space="preserve">Renteneintrittsalter der Quellversorgung eingeben: </v>
      </c>
      <c r="C9" s="681"/>
      <c r="D9" s="331"/>
      <c r="E9" s="689" t="str">
        <f>IFERROR(IF(E7="","",IF(Invaliditätsrente,Adaequanz_ReEintrittPfl,Adaequanz_Renteneintritt)),"")</f>
        <v/>
      </c>
      <c r="F9" s="258"/>
      <c r="G9" s="537"/>
      <c r="H9" s="712" t="str">
        <f>IF(H7="","",VLOOKUP(YEAR(Adaequanz_GebDatAglBer),Renteneintrittstabelle,3))</f>
        <v/>
      </c>
      <c r="I9" s="506"/>
      <c r="J9" s="469"/>
      <c r="K9" s="476"/>
      <c r="L9" s="25"/>
      <c r="O9" s="15"/>
      <c r="AA9" s="840" t="str">
        <f>+AJ10</f>
        <v>DRV-Ber.</v>
      </c>
      <c r="AB9" s="1982"/>
      <c r="AE9" s="15" t="b">
        <v>1</v>
      </c>
      <c r="AF9" s="15" t="b">
        <v>1</v>
      </c>
      <c r="AG9" s="15" t="b">
        <v>1</v>
      </c>
      <c r="AH9" s="15" t="b">
        <v>1</v>
      </c>
      <c r="AI9" s="15" t="b">
        <v>0</v>
      </c>
      <c r="AJ9" s="15" t="b">
        <v>0</v>
      </c>
      <c r="AO9" s="15" t="b">
        <v>0</v>
      </c>
      <c r="AP9" s="15" t="b">
        <v>0</v>
      </c>
    </row>
    <row r="10" spans="1:42" ht="17.25" customHeight="1">
      <c r="A10" s="1448">
        <v>9</v>
      </c>
      <c r="B10" s="1151" t="s">
        <v>256</v>
      </c>
      <c r="C10" s="680"/>
      <c r="D10" s="201">
        <f>IFERROR(+P11,"")</f>
        <v>0</v>
      </c>
      <c r="E10" s="2154">
        <f>IFERROR(Q11,"")</f>
        <v>0</v>
      </c>
      <c r="F10" s="2155">
        <f>IFERROR(R11,"")</f>
        <v>0</v>
      </c>
      <c r="G10" s="2156">
        <f>IFERROR(+S11,"")</f>
        <v>0</v>
      </c>
      <c r="H10" s="712">
        <f>+T11</f>
        <v>0</v>
      </c>
      <c r="I10" s="766">
        <f>+U11</f>
        <v>0</v>
      </c>
      <c r="J10" s="738">
        <f>+V11</f>
        <v>0</v>
      </c>
      <c r="K10" s="737">
        <f>+W11</f>
        <v>0</v>
      </c>
      <c r="L10" s="25"/>
      <c r="M10" t="s">
        <v>295</v>
      </c>
      <c r="N10" s="15" t="b">
        <v>0</v>
      </c>
      <c r="O10" s="3"/>
      <c r="P10" s="66" t="s">
        <v>286</v>
      </c>
      <c r="Q10" s="66" t="s">
        <v>126</v>
      </c>
      <c r="R10" s="66" t="s">
        <v>287</v>
      </c>
      <c r="S10" s="66" t="s">
        <v>307</v>
      </c>
      <c r="T10" s="66" t="s">
        <v>329</v>
      </c>
      <c r="U10" s="66" t="s">
        <v>565</v>
      </c>
      <c r="V10" s="66" t="s">
        <v>566</v>
      </c>
      <c r="W10" s="66" t="s">
        <v>566</v>
      </c>
      <c r="X10" s="3"/>
      <c r="AA10" s="616"/>
      <c r="AE10" s="4" t="str">
        <f>D3&amp;" "&amp;IF(D6&lt;&gt;"",CHOOSE(Sexwahl,männlich,weiblich,"AusglPfl. "),"")</f>
        <v xml:space="preserve">Quell-Versorgung </v>
      </c>
      <c r="AF10" s="4" t="str">
        <f>"DRV "&amp;IF(D6&lt;&gt;"",CHOOSE(Sexwahl,männlich,weiblich,"AusglPfl. "),"")</f>
        <v xml:space="preserve">DRV </v>
      </c>
      <c r="AG10" s="4" t="str">
        <f>"VersAusglK "&amp;IF(D6&lt;&gt;"",CHOOSE(Sexwahl,männlich,weiblich,"AusglPfl. "),"")</f>
        <v xml:space="preserve">VersAusglK </v>
      </c>
      <c r="AH10" s="4" t="str">
        <f>"Sonstige "&amp;IF(D6&lt;&gt;"",CHOOSE(Sexwahl,männlich,Zeichen!B15,"AusglPfl. "),"")</f>
        <v xml:space="preserve">Sonstige </v>
      </c>
      <c r="AI10" s="4" t="str">
        <f>Summenzeichen&amp;" Versorg. "&amp;IF(D6&lt;&gt;"",CHOOSE(Sexwahl,männlich,weiblich,"AusglPfl."),"")</f>
        <v xml:space="preserve">∑ Versorg. </v>
      </c>
      <c r="AJ10" s="4" t="str">
        <f>IF(SUM(I12:K12)=0,"DRV-Ber.",Summenzeichen&amp;" Versorg. ")&amp;IF(D6&lt;&gt;"",CHOOSE(Sexwahl,weiblich,männlich,"Ausglber. "),"")</f>
        <v>DRV-Ber.</v>
      </c>
      <c r="AK10" s="4" t="str">
        <f>"DRV "&amp;IF(D6&lt;&gt;"",CHOOSE(Sexwahl,Zeichen!B15,Zeichen!#REF!,"AusglBer. "),"")</f>
        <v xml:space="preserve">DRV </v>
      </c>
      <c r="AL10" t="str">
        <f>I6&amp;" "&amp;CHOOSE(Sexwahl,Zeichen!B15,Zeichen!#REF!,"AusglBer. ")</f>
        <v xml:space="preserve"> </v>
      </c>
      <c r="AM10" t="str">
        <f>J6&amp;" "&amp;CHOOSE(Sexwahl,Zeichen!B15,Zeichen!#REF!,"AusglBer. ")</f>
        <v xml:space="preserve"> </v>
      </c>
      <c r="AN10" t="str">
        <f>K6&amp;" "&amp;CHOOSE(Sexwahl,Zeichen!B15,Zeichen!#REF!,"AusglBer. ")</f>
        <v xml:space="preserve"> </v>
      </c>
    </row>
    <row r="11" spans="1:42" ht="17.25" customHeight="1" thickBot="1">
      <c r="A11" s="1448">
        <v>10</v>
      </c>
      <c r="B11" s="1151" t="s">
        <v>257</v>
      </c>
      <c r="C11" s="680"/>
      <c r="D11" s="201" t="str">
        <f>IF(D8="","",IF(D9&gt;D8,D9-D8,0))</f>
        <v/>
      </c>
      <c r="E11" s="2154" t="str">
        <f>IF(E8="","",IF(E9&gt;E8,E9-E8,0))</f>
        <v/>
      </c>
      <c r="F11" s="2154" t="str">
        <f>IF(F8="","",IF(F9&gt;F8,F9-F8,0))</f>
        <v/>
      </c>
      <c r="G11" s="2154" t="str">
        <f>IF(G8="","",IF(G9&gt;G8,G9-G8,0))</f>
        <v/>
      </c>
      <c r="H11" s="712" t="str">
        <f>IFERROR(IF(H8="","",IF(H9&gt;H8,H9-H8,0)),"")</f>
        <v/>
      </c>
      <c r="I11" s="507">
        <f>IF(I8="","",IF(I9&gt;I8,I9-I8,0))</f>
        <v>0</v>
      </c>
      <c r="J11" s="308">
        <f>IF(J8="","",IF(J9&gt;J8,J9-J8,0))</f>
        <v>0</v>
      </c>
      <c r="K11" s="475">
        <f>IF(K8="","",IF(K9&gt;K8,K9-K8,0))</f>
        <v>0</v>
      </c>
      <c r="L11" s="25"/>
      <c r="N11" s="15"/>
      <c r="O11" s="3" t="s">
        <v>854</v>
      </c>
      <c r="P11" s="1040">
        <f>IF(Adaequanz_ReEintrittPfl="",0,IFERROR(VLOOKUP(IF(Adaequanz_ReEintrittPfl&lt;Adaequanz_QV_Alter,Adaequanz_QV_Alter,Adaequanz_ReEintrittPfl),CHOOSE(Sexwahl,Lebenserwartung_M_V2,Lebenserwartung_F_V2,Lebenserwartung_N_V2),YEAR(Adaequanz_GebDat)+IF(MONTH(Adaequanz_GebDat)&gt;6,1,0)-1900+2),0))</f>
        <v>0</v>
      </c>
      <c r="Q11" s="1040">
        <f>IF(E9="",0,IFERROR(VLOOKUP(IF(E9&lt;Adaequanz_DRV_Alter,Adaequanz_DRV_Alter,E9),CHOOSE(Sexwahl,Lebenserwartung_M_V2,Lebenserwartung_F_V2,Lebenserwartung_N_V2),YEAR(Adaequanz_GebDat)+IF(MONTH(Adaequanz_GebDat)&gt;6,1,0)-1900+2),0))</f>
        <v>0</v>
      </c>
      <c r="R11" s="1040">
        <f>IF(Adaequanz_RenteneintrittVersAusglK="",0,IFERROR(VLOOKUP(IF(F9&lt;F8,F8,F9),CHOOSE(Sexwahl,Lebenserwartung_M_V2,Lebenserwartung_F_V2,Lebenserwartung_N_V2),YEAR(Adaequanz_GebDat)+IF(MONTH(Adaequanz_GebDat)&gt;6,1,0)-1900+2),0))</f>
        <v>0</v>
      </c>
      <c r="S11" s="1040">
        <f>IF(Adaequanz_Reintritt="",0,IFERROR(VLOOKUP(IF(G9&lt;G8,G8,G9),CHOOSE(Sexwahl,Lebenserwartung_M_V2,Lebenserwartung_F_V2,Lebenserwartung_N_V2),YEAR(Adaequanz_GebDat)+IF(MONTH(Adaequanz_GebDat)&gt;6,1,0)-1900+2),0))</f>
        <v>0</v>
      </c>
      <c r="T11" s="1040">
        <f>IF(H9="",0,IFERROR(VLOOKUP(IF(H9&lt;H8,H8,H9),CHOOSE(IF(Sexwahl=1,2,IF(Sexwahl=2,1,3)),Lebenserwartung_M_V2,Lebenserwartung_F_V2,Lebenserwartung_N_V2),YEAR(Adaequanz_GebDatAglBer)+IF(MONTH(Adaequanz_GebDatAglBer)&gt;6,1,0)-1900+2),0))</f>
        <v>0</v>
      </c>
      <c r="U11" s="1040">
        <f>IF(I9="",0,IFERROR(VLOOKUP(IF(I9&lt;I8,I8,I9),CHOOSE(IF(Sexwahl=1,2,IF(Sexwahl=2,1,3)),Lebenserwartung_M_V2,Lebenserwartung_F_V2,Lebenserwartung_N_V2),YEAR(Adaequanz_GebDatAglBer)+IF(MONTH(Adaequanz_GebDatAglBer)&gt;6,1,0)-1900+2),0))</f>
        <v>0</v>
      </c>
      <c r="V11" s="1040">
        <f>IF(J9="",0,IFERROR(VLOOKUP(IF(J9&lt;J8,J8,J9),CHOOSE(IF(Sexwahl=1,2,IF(Sexwahl=2,1,3)),Lebenserwartung_M_V2,Lebenserwartung_F_V2,Lebenserwartung_N_V2),YEAR(Adaequanz_GebDatAglBer)+IF(MONTH(Adaequanz_GebDatAglBer)&gt;6,1,0)-1900+2),0))</f>
        <v>0</v>
      </c>
      <c r="W11" s="1040">
        <f>IF(K9="",0,IFERROR(VLOOKUP(IF(K9&lt;K8,K8,K9),CHOOSE(IF(Sexwahl=1,2,IF(Sexwahl=2,1,3)),Lebenserwartung_M_V2,Lebenserwartung_F_V2,Lebenserwartung_N_V2),YEAR(Adaequanz_GebDatAglBer)+IF(MONTH(Adaequanz_GebDatAglBer)&gt;6,1,0)-1900+2),0))</f>
        <v>0</v>
      </c>
      <c r="X11" s="1050"/>
      <c r="AA11" s="616"/>
    </row>
    <row r="12" spans="1:42" ht="17.25" customHeight="1" thickBot="1">
      <c r="A12" s="1448">
        <v>11</v>
      </c>
      <c r="B12" s="1132" t="str">
        <f>"hälftiger ehezeitl. Versorgungserwerb (Ausgleichswert) am "&amp;IF(D5="",IF(B_Dat&gt;0,TEXT(B_Dat,"T.M.JJ"),""),IF(BerechnetAuf=2,TEXT(D5,"TT.MM.JJJJ"),TEXT(C4,"TT.MM.JJJJ"))&amp;":")</f>
        <v>hälftiger ehezeitl. Versorgungserwerb (Ausgleichswert) am 30.6.26</v>
      </c>
      <c r="C12" s="1135" t="str">
        <f>IFERROR(IF(D12&gt;0,IF(AND(Adaequanz_RentePfl&lt;BagatellgrenzeRente,Adaequanz_RentePfl&gt;0),"Bagatellwert!",""),""),"")</f>
        <v/>
      </c>
      <c r="D12" s="1951"/>
      <c r="E12" s="690">
        <f>IFERROR(IF(AND(RentenerwerbDRV,E6&gt;0),E6,ROUND(IF(K4&gt;0,K4,IF(K5&gt;0,K5,IF(Adaequanz_AusglWertQuelle&gt;0,Adaequanz_AusglWertQuelle,IF(Adaequanz_VerzinsungAusglW&gt;1,P23,Adaequanz_Ausgleichswert1)))*VLOOKUP(IF(AND(D5&gt;0,OR(BerechnetAuf=2,Adaequanz_VerzinsungAusglW&gt;1)),D5,B_Dat),Umrechnungsfaktoren,WO_Schalter)*VLOOKUP(IF(AND(D5&gt;0,OR(BerechnetAuf=2,N18&gt;1)),D5,B_Dat),aktRW,WO_Schalter)*Adaequanz_Zugangsfaktor),2)),"")</f>
        <v>0</v>
      </c>
      <c r="F12" s="1060"/>
      <c r="G12" s="1059"/>
      <c r="H12" s="749">
        <f>IF(AND(H6&gt;0,RentenerwerbDRVBer),H6,IFERROR(IF(J4&gt;0,J4,ROUND(IF(J5&gt;0,J5,IF(Adaequanz_AusglWertQuelle&gt;0,Adaequanz_AusglWertQuelle,Adaequanz_Ausgleichswert1))*VLOOKUP(IF(AND(D5&gt;0,BerechnetAuf=2),D5,B_Dat),Umrechnungsfaktoren,WO_Schalter)*VLOOKUP(IF(AND(D5&gt;0,BerechnetAuf=2),D5,B_Dat),aktRW,WO_Schalter)*Adaequanz_Zugangsfaktor,2)),""))</f>
        <v>0</v>
      </c>
      <c r="I12" s="767"/>
      <c r="J12" s="470"/>
      <c r="K12" s="477"/>
      <c r="L12" s="260"/>
      <c r="M12" t="s">
        <v>260</v>
      </c>
      <c r="N12" s="91">
        <f>VLOOKUP(YEAR(Adaequanz_GebDat),Renteneintrittstabelle,3)</f>
        <v>65</v>
      </c>
      <c r="O12" s="209" t="s">
        <v>1221</v>
      </c>
      <c r="P12" s="613" t="e">
        <f>IF(Invaliditätsrente,0,VLOOKUP(D8,CHOOSE(IF(D9&lt;60,60,IF(D9&gt;67,67,D9))-59,HRIR60,HRIR61,HRIR62,HRIR63,HRIR64,HRIR,HRIR66,HRIR67),CHOOSE(Sexwahl,7,16,25))*Adaequanz_IRPfl)</f>
        <v>#N/A</v>
      </c>
      <c r="Q12" s="883">
        <f>IFERROR(ROUND(VLOOKUP(E8,CHOOSE(IF(E9&lt;60,60,IF(E9&gt;67,67,E9))-59,HRIR60,HRIR61,HRIR62,HRIR63,HRIR64,HRIR,HRIR66,HRIR67),CHOOSE(Sexwahl,7,16,25)),4)*E17,0)</f>
        <v>0</v>
      </c>
      <c r="R12" s="883">
        <v>0</v>
      </c>
      <c r="S12" s="883">
        <f>IFERROR(ROUND(VLOOKUP(G8,CHOOSE(IF(G9&lt;60,60,IF(G9&gt;67,67,G9))-59,HRIR60,HRIR61,HRIR62,HRIR63,HRIR64,HRIR,HRIR66,HRIR67),CHOOSE(Sexwahl,7,16,25)),4)*G17,0)</f>
        <v>0</v>
      </c>
      <c r="T12" s="261">
        <f>IFERROR(ROUND(VLOOKUP(H8,CHOOSE(IF(H9&lt;60,60,IF(H9&gt;67,67,H9))-59,HRIR60,HRIR61,HRIR62,HRIR63,HRIR64,HRIR,HRIR66,HRIR67),CHOOSE(Sexwahl,16,7,25)),4)*H17,0)</f>
        <v>0</v>
      </c>
      <c r="U12" s="261">
        <f>IFERROR(ROUND(VLOOKUP(I8,CHOOSE(IF(I9&lt;60,60,IF(I9&gt;67,67,I9))-59,HRIR60,HRIR61,HRIR62,HRIR63,HRIR64,HRIR,HRIR66,HRIR67),CHOOSE(Sexwahl,16,7,25)),4)*I17,0)</f>
        <v>0</v>
      </c>
      <c r="V12" s="261">
        <f>IFERROR(ROUND(VLOOKUP(J8,CHOOSE(IF(J9&lt;60,60,IF(J9&gt;67,67,J9))-59,HRIR60,HRIR61,HRIR62,HRIR63,HRIR64,HRIR,HRIR66,HRIR67),CHOOSE(Sexwahl,16,7,25)),4)*J17,0)</f>
        <v>0</v>
      </c>
      <c r="W12" s="261">
        <f>IFERROR(ROUND(VLOOKUP(K8,CHOOSE(IF(K9&lt;60,60,IF(K9&gt;67,67,K9))-59,HRIR60,HRIR61,HRIR62,HRIR63,HRIR64,HRIR,HRIR66,HRIR67),CHOOSE(Sexwahl,16,7,25)),4)*K17,0)</f>
        <v>0</v>
      </c>
      <c r="X12" s="3"/>
      <c r="AA12" s="616"/>
      <c r="AE12" t="s">
        <v>388</v>
      </c>
      <c r="AF12" t="str">
        <f>IF(BGHXIIZB23016,"Alter AusglBer.","AlterAusglPfl.")</f>
        <v>AlterAusglPfl.</v>
      </c>
      <c r="AG12" t="str">
        <f>IF(AF12="AlterAusglPfl.","AlterAusglBer.","AlterAusglPfl.")</f>
        <v>AlterAusglBer.</v>
      </c>
    </row>
    <row r="13" spans="1:42" ht="17.25" customHeight="1">
      <c r="A13" s="1448">
        <v>12</v>
      </c>
      <c r="B13" s="682" t="s">
        <v>258</v>
      </c>
      <c r="C13" s="683"/>
      <c r="D13" s="332"/>
      <c r="E13" s="691">
        <f>+RententrendDRV</f>
        <v>2.5999999999999999E-2</v>
      </c>
      <c r="F13" s="691">
        <f>+AW_DynamikVersAusglK</f>
        <v>0.01</v>
      </c>
      <c r="G13" s="1061"/>
      <c r="H13" s="714">
        <f>+E13</f>
        <v>2.5999999999999999E-2</v>
      </c>
      <c r="I13" s="508"/>
      <c r="J13" s="471"/>
      <c r="K13" s="478"/>
      <c r="L13" s="260"/>
      <c r="M13" t="s">
        <v>1676</v>
      </c>
      <c r="O13" s="209" t="s">
        <v>1222</v>
      </c>
      <c r="P13" s="1041">
        <f>IFERROR(ROUND(VLOOKUP(D8,CHOOSE(IF(D9&lt;60,60,IF(D9&gt;67,67,D9))-59,HRIR60,HRIR61,HRIR62,HRIR63,HRIR64,HRIR,HRIR66,HRIR67),CHOOSE(Sexwahl,8,17,26)),4)*Adaequanz_HRPfl,0)</f>
        <v>0</v>
      </c>
      <c r="Q13" s="613">
        <f>IFERROR(ROUND(VLOOKUP(E8,CHOOSE(IF(E9&lt;60,60,IF(E9&gt;67,67,E9))-59,HRIR60,HRIR61,HRIR62,HRIR63,HRIR64,HRIR,HRIR66,HRIR67),CHOOSE(Sexwahl,8,17,26)),4)*E18,0)</f>
        <v>0</v>
      </c>
      <c r="R13" s="613">
        <v>0</v>
      </c>
      <c r="S13" s="613">
        <f>IFERROR(ROUND(VLOOKUP(G8,CHOOSE(IF(G9&lt;60,60,IF(G9&gt;67,67,G9))-59,HRIR60,HRIR61,HRIR62,HRIR63,HRIR64,HRIR,HRIR66,HRIR67),CHOOSE(Sexwahl,8,17,26)),4)*G18,0)</f>
        <v>0</v>
      </c>
      <c r="T13" s="613">
        <f>IFERROR(ROUND(VLOOKUP(H8,CHOOSE(IF(H9&lt;60,60,IF(H9&gt;67,67,H9))-59,HRIR60,HRIR61,HRIR62,HRIR63,HRIR64,HRIR,HRIR66,HRIR67),CHOOSE(Sexwahl,17,8,26)),4)*H18,0)</f>
        <v>1.6500000000000002E-3</v>
      </c>
      <c r="U13" s="613">
        <f>IFERROR(ROUND(VLOOKUP(I8,CHOOSE(IF(I9&lt;60,60,IF(I9&gt;67,67,I9))-59,HRIR60,HRIR61,HRIR62,HRIR63,HRIR64,HRIR,HRIR66,HRIR67),CHOOSE(Sexwahl,17,8,26)),4)*I18,0)</f>
        <v>1.8E-3</v>
      </c>
      <c r="V13" s="613">
        <f>IFERROR(ROUND(VLOOKUP(J8,CHOOSE(IF(J9&lt;60,60,IF(J9&gt;67,67,J9))-59,HRIR60,HRIR61,HRIR62,HRIR63,HRIR64,HRIR,HRIR66,HRIR67),CHOOSE(Sexwahl,17,8,26)),4)*J18,0)</f>
        <v>1.8E-3</v>
      </c>
      <c r="W13" s="613">
        <f>IFERROR(ROUND(VLOOKUP(K8,CHOOSE(IF(K9&lt;60,60,IF(K9&gt;67,67,K9))-59,HRIR60,HRIR61,HRIR62,HRIR63,HRIR64,HRIR,HRIR66,HRIR67),CHOOSE(Sexwahl,17,8,26)),4)*K18,0)</f>
        <v>0</v>
      </c>
      <c r="X13" s="3"/>
      <c r="AA13" s="616"/>
      <c r="AL13" s="410">
        <f>E31-(E29-E33)</f>
        <v>0</v>
      </c>
    </row>
    <row r="14" spans="1:42" ht="17.25" customHeight="1">
      <c r="A14" s="1448">
        <v>13</v>
      </c>
      <c r="B14" s="1239" t="s">
        <v>316</v>
      </c>
      <c r="C14" s="1240"/>
      <c r="D14" s="332"/>
      <c r="E14" s="691">
        <f>+RententrendDRV</f>
        <v>2.5999999999999999E-2</v>
      </c>
      <c r="F14" s="691">
        <f>+L_DynamikVersAusglK</f>
        <v>0.01</v>
      </c>
      <c r="G14" s="1061"/>
      <c r="H14" s="715">
        <f>+E13</f>
        <v>2.5999999999999999E-2</v>
      </c>
      <c r="I14" s="508"/>
      <c r="J14" s="471"/>
      <c r="K14" s="478"/>
      <c r="L14" s="260"/>
      <c r="M14" s="68"/>
      <c r="O14" s="3" t="s">
        <v>308</v>
      </c>
      <c r="P14" s="1223">
        <f>IFERROR(ROUND(P13+P12,4),0)</f>
        <v>0</v>
      </c>
      <c r="Q14" s="1223">
        <f>ROUND(Q13+Q12,4)</f>
        <v>0</v>
      </c>
      <c r="R14" s="261">
        <v>0</v>
      </c>
      <c r="S14" s="261">
        <f>+S13+S12</f>
        <v>0</v>
      </c>
      <c r="T14" s="261">
        <f>+T13+T12</f>
        <v>1.6500000000000002E-3</v>
      </c>
      <c r="U14" s="261">
        <f>+U13+U12</f>
        <v>1.8E-3</v>
      </c>
      <c r="V14" s="261">
        <f>+V13+V12</f>
        <v>1.8E-3</v>
      </c>
      <c r="W14" s="261">
        <f>+W13+W12</f>
        <v>0</v>
      </c>
      <c r="X14" s="3"/>
      <c r="AA14" s="616"/>
      <c r="AL14" s="59">
        <f>((IF(C20&gt;0,C20,P15/100)-AJ29)/0.25)*100</f>
        <v>0</v>
      </c>
    </row>
    <row r="15" spans="1:42" ht="17.25" customHeight="1">
      <c r="A15" s="1448">
        <v>14</v>
      </c>
      <c r="B15" s="1151" t="str">
        <f>"Rente bei Renteneintritt bzw im Ehezeitende: "&amp;IF(AND(Adaequanz_ReEintrittPfl&gt;D8,D13&gt;0),TEXT(E12,"#.##0,00")&amp;" x (1 + "&amp;TEXT(Adaequanz_ADynPfl,"0,00%")&amp;")^"&amp;TEXT(Adaequanz_ReEintrittPfl-D8,"0,00"),"")</f>
        <v xml:space="preserve">Rente bei Renteneintritt bzw im Ehezeitende: </v>
      </c>
      <c r="C15" s="680"/>
      <c r="D15" s="202" t="str">
        <f>IFERROR(ROUND(D12*(1+(D13))^(D11),2),"")</f>
        <v/>
      </c>
      <c r="E15" s="692" t="str">
        <f>IFERROR(ROUND(E12*(1+E13)^E11,2),"")</f>
        <v/>
      </c>
      <c r="F15" s="1058" t="str">
        <f>IFERROR(ROUND(F12*(1+(F13))^F11,2),"")</f>
        <v/>
      </c>
      <c r="G15" s="1120" t="str">
        <f>IFERROR(ROUND(G12*(1+(G13))^G11,2),"")</f>
        <v/>
      </c>
      <c r="H15" s="713" t="str">
        <f>IFERROR(H12*(1+(H13))^H11,"")</f>
        <v/>
      </c>
      <c r="I15" s="509">
        <f>IFERROR(I12*(1+I13)^I11,"")</f>
        <v>0</v>
      </c>
      <c r="J15" s="309">
        <f>IFERROR(J12*(1+J13)^J11,"")</f>
        <v>0</v>
      </c>
      <c r="K15" s="479">
        <f>IFERROR(K12*(1+K13)^K11,"")</f>
        <v>0</v>
      </c>
      <c r="L15" s="25"/>
      <c r="N15" s="145"/>
      <c r="O15" s="3" t="s">
        <v>281</v>
      </c>
      <c r="P15" s="3">
        <f>IFERROR(IF(C20&gt;0,C20*100,IF(AND(D5&gt;0,BerechnetAuf=2),VLOOKUP(D5,IF(C_BilMoG10,BilMoG10,BilmoGZins),16),VLOOKUP(B_Dat,IF(C_BilMoG10,BilMoG10,BilmoGZins),16))),6)</f>
        <v>2.5</v>
      </c>
      <c r="Q15" s="3" t="s">
        <v>395</v>
      </c>
      <c r="R15" s="409" t="b">
        <v>1</v>
      </c>
      <c r="S15" s="3"/>
      <c r="T15" s="3"/>
      <c r="U15" s="3"/>
      <c r="V15" s="409"/>
      <c r="W15" s="3"/>
      <c r="X15" s="3"/>
      <c r="AA15" s="616"/>
    </row>
    <row r="16" spans="1:42" s="391" customFormat="1" ht="34.35" customHeight="1">
      <c r="A16" s="1448">
        <v>15</v>
      </c>
      <c r="B16" s="3060" t="s">
        <v>1828</v>
      </c>
      <c r="C16" s="3061"/>
      <c r="D16" s="1308" t="str">
        <f>IFERROR(ROUND(IF((Adaequanz_LDynPfl)=0,D15*D10*12,-PV(-Adaequanz_LDynPfl,D10,D15*12,,1)),0),"")</f>
        <v/>
      </c>
      <c r="E16" s="693" t="str">
        <f>IFERROR(ROUND(IF(E14=0,E15*12*E10,-PV(-E14,E10,E15*12,,1)),0),"")</f>
        <v/>
      </c>
      <c r="F16" s="693" t="str">
        <f>IFERROR(ROUND(IF(F14=0,F15*12*F10,-PV(-F14,F10,F15*12,,1)),0),"")</f>
        <v/>
      </c>
      <c r="G16" s="706" t="str">
        <f>IFERROR(IF(Adaequanz_Kapitalleistung,G52,IF(G14=0,G15*12*G10,-PV(-G14,G10,G15*12,,1))),"")</f>
        <v/>
      </c>
      <c r="H16" s="716" t="str">
        <f>IFERROR(ROUND(IF(H14=0,H15*12*H10,-PV(-H14,H10,H15*12,0,1)),1),"")</f>
        <v/>
      </c>
      <c r="I16" s="510">
        <f>IFERROR(ROUND(IF(I14=0,I15*I10*12,(((1+I14)^I10-1)/I14)*I15*12),0),"")</f>
        <v>0</v>
      </c>
      <c r="J16" s="349">
        <f>IFERROR(ROUND(IF(J14=0,J15*J10*12,(((1+J14)^J10-1)/J14)*J15*12),0),"")</f>
        <v>0</v>
      </c>
      <c r="K16" s="480">
        <f>IFERROR(ROUND(IF(K14=0,K15*12*K10,(((1+K14)^K10-1)/K14)*K15*12),0),"")</f>
        <v>0</v>
      </c>
      <c r="L16" s="671"/>
      <c r="N16" s="392"/>
      <c r="O16" s="750" t="s">
        <v>282</v>
      </c>
      <c r="P16" s="1245">
        <f>IFERROR(-PV($P15/100-Adaequanz_LDynPfl,D10,D15*12,,0),0)</f>
        <v>0</v>
      </c>
      <c r="Q16" s="1245">
        <f t="shared" ref="Q16:W16" si="0">IFERROR(-PV($P15/100-E14,E10,E15*12,,0),0)</f>
        <v>0</v>
      </c>
      <c r="R16" s="1245">
        <f t="shared" si="0"/>
        <v>0</v>
      </c>
      <c r="S16" s="1245">
        <f t="shared" si="0"/>
        <v>0</v>
      </c>
      <c r="T16" s="1245">
        <f t="shared" si="0"/>
        <v>0</v>
      </c>
      <c r="U16" s="1245">
        <f t="shared" si="0"/>
        <v>0</v>
      </c>
      <c r="V16" s="1245">
        <f t="shared" si="0"/>
        <v>0</v>
      </c>
      <c r="W16" s="1245">
        <f t="shared" si="0"/>
        <v>0</v>
      </c>
      <c r="X16" s="750"/>
      <c r="AA16" s="841"/>
      <c r="AB16" s="1404"/>
      <c r="AC16" s="414"/>
      <c r="AD16" s="414"/>
      <c r="AE16" t="str">
        <f>IF(AA28&lt;&gt;"",AA28,AG2&amp;"Rentenhöhe in unterschiedlichen Versorgungssystemen aus einem Ausgleichswert i.H.v. "&amp;TEXT(IF(D21&gt;0,D21,D20),"#.##0 €")&amp;IF(B_Dat="","",", EzE "&amp;TEXT(B_Dat,"TT.MM.JJ")&amp;IF(AND(D5&gt;0,BerechnetAuf=2),", Berechnungstag: "&amp;TEXT(D5,"TT.MM.JJ"),"")))</f>
        <v>Rentenhöhe in unterschiedlichen Versorgungssystemen aus einem Ausgleichswert i.H.v. 0 €, EzE 30.06.26</v>
      </c>
    </row>
    <row r="17" spans="1:41" ht="17.25" customHeight="1" thickBot="1">
      <c r="A17" s="1448">
        <v>16</v>
      </c>
      <c r="B17" s="1151" t="str">
        <f>"Invaliditätsabsicherung in Quellversorgung in %: Zuschlag "&amp;IFERROR(TEXT(P12,"0,00%"),"")</f>
        <v xml:space="preserve">Invaliditätsabsicherung in Quellversorgung in %: Zuschlag </v>
      </c>
      <c r="C17" s="680"/>
      <c r="D17" s="388"/>
      <c r="E17" s="389">
        <f>IF(KeineInvaliditätinDRV,0,100%)</f>
        <v>1</v>
      </c>
      <c r="F17" s="3058" t="str">
        <f>IFERROR(IF(AND(VersAusglKJa,Adaequanz_RentenhoeheVersAusglK="",E20&gt;0),"Info: aus AusglWert DRV von "&amp;TEXT(E22,"#.##0 €")&amp;" in VersAusglK ca.: "&amp;TEXT(#REF!,"#.##0,00 €")&amp;" reine AV","Versorgungen aus der VersAusglK sind reine Altersversorgungen"),"")</f>
        <v>Versorgungen aus der VersAusglK sind reine Altersversorgungen</v>
      </c>
      <c r="G17" s="1062"/>
      <c r="H17" s="717">
        <f>+E17</f>
        <v>1</v>
      </c>
      <c r="I17" s="511">
        <v>1</v>
      </c>
      <c r="J17" s="472">
        <v>1</v>
      </c>
      <c r="K17" s="481"/>
      <c r="L17" s="672"/>
      <c r="N17" s="196"/>
      <c r="O17" s="3" t="s">
        <v>283</v>
      </c>
      <c r="P17" s="3">
        <f>VLOOKUP(ROUND(Adaequanz_ReEintrittPfl,0),CHOOSE(Sexwahl,G_Kohorte_M,G_Kohorte_F,G_Kohorte_N),TabSchrittePfl)</f>
        <v>0</v>
      </c>
      <c r="Q17" s="3" t="e">
        <f>VLOOKUP(ROUND(E9,0),CHOOSE(Sexwahl,G_Kohorte_M,G_Kohorte_F,G_Kohorte_N),TabSchrittePfl)</f>
        <v>#VALUE!</v>
      </c>
      <c r="R17" s="3">
        <f>VLOOKUP(ROUND(F9,0),CHOOSE(Sexwahl,G_Kohorte_M,G_Kohorte_F,G_Kohorte_N),TabSchrittePfl)</f>
        <v>0</v>
      </c>
      <c r="S17" s="3">
        <f>VLOOKUP(ROUND(G9,0),CHOOSE(Sexwahl,G_Kohorte_M,G_Kohorte_F,G_Kohorte_N),TabSchrittePfl)</f>
        <v>0</v>
      </c>
      <c r="T17" s="3" t="e">
        <f>VLOOKUP(ROUND(H9,0),CHOOSE(CHOOSE(Sexwahl,2,1,3),G_Kohorte_M,G_Kohorte_F,G_Kohorte_N),TabSchritteBer)</f>
        <v>#VALUE!</v>
      </c>
      <c r="U17" s="3">
        <f>VLOOKUP(ROUND(I9,0),CHOOSE(CHOOSE(Sexwahl,2,1,3),G_Kohorte_M,G_Kohorte_F,G_Kohorte_N),TabSchritteBer)</f>
        <v>0</v>
      </c>
      <c r="V17" s="3">
        <f>VLOOKUP(ROUND(J9,0),CHOOSE(CHOOSE(Sexwahl,2,1,3),G_Kohorte_M,G_Kohorte_F,G_Kohorte_N),TabSchritteBer)</f>
        <v>0</v>
      </c>
      <c r="W17" s="3">
        <f>VLOOKUP(ROUND(K9,0),CHOOSE(CHOOSE(Sexwahl,2,1,3),G_Kohorte_M,G_Kohorte_F,G_Kohorte_N),TabSchritteBer)</f>
        <v>0</v>
      </c>
      <c r="X17" s="615"/>
      <c r="Z17" s="843"/>
      <c r="AA17" s="842"/>
      <c r="AC17" s="148"/>
      <c r="AD17" s="148"/>
      <c r="AE17" t="str">
        <f>IF(GrafikSchalter,"Barwerte ","Barwerte ")&amp;"aus Ausgleichswert von "&amp;TEXT(IF(D21&gt;0,D21,Adaequanz_errechneterKapWert),"#.##0 €")&amp;" in unterschiedlichen Versorgungssystemen, "&amp;IF(B_Dat="","","EzE "&amp;TEXT(B_Dat,"TT.MM.JJ")&amp;IF(AND(D5&gt;0,BerechnetAuf=2),", Berechnungstag: "&amp;TEXT(D5,"TT.MM.JJ"),""))</f>
        <v>Barwerte aus Ausgleichswert von 0 € in unterschiedlichen Versorgungssystemen, EzE 30.06.26</v>
      </c>
    </row>
    <row r="18" spans="1:41" ht="17.25" customHeight="1" thickBot="1">
      <c r="A18" s="1448">
        <v>17</v>
      </c>
      <c r="B18" s="1151" t="str">
        <f>"Hinterbliebenenversorgung in Quellversorgung in %: Zuschlag: "&amp;IFERROR(TEXT(P13,"0,00%"),"")</f>
        <v>Hinterbliebenenversorgung in Quellversorgung in %: Zuschlag: 0,00%</v>
      </c>
      <c r="C18" s="680"/>
      <c r="D18" s="388"/>
      <c r="E18" s="389">
        <v>0.55000000000000004</v>
      </c>
      <c r="F18" s="3059"/>
      <c r="G18" s="1062"/>
      <c r="H18" s="717">
        <f>+E18</f>
        <v>0.55000000000000004</v>
      </c>
      <c r="I18" s="515">
        <v>0.6</v>
      </c>
      <c r="J18" s="472">
        <v>0.6</v>
      </c>
      <c r="K18" s="481"/>
      <c r="L18" s="25"/>
      <c r="M18" s="198" t="s">
        <v>313</v>
      </c>
      <c r="N18" s="15">
        <v>1</v>
      </c>
      <c r="O18" s="3" t="s">
        <v>284</v>
      </c>
      <c r="P18" s="3">
        <f>IFERROR(VLOOKUP(ROUND(D8,0),CHOOSE(Sexwahl,G_Kohorte_M,G_Kohorte_F,G_Kohorte_N),TabSchrittePfl),0)</f>
        <v>0</v>
      </c>
      <c r="Q18" s="3" t="e">
        <f>VLOOKUP(ROUND(E8,0),CHOOSE(Sexwahl,G_Kohorte_M,G_Kohorte_F,G_Kohorte_N),TabSchrittePfl)</f>
        <v>#VALUE!</v>
      </c>
      <c r="R18" s="3" t="e">
        <f>VLOOKUP(ROUND(F8,0),CHOOSE(Sexwahl,G_Kohorte_M,G_Kohorte_F,G_Kohorte_N),TabSchrittePfl)</f>
        <v>#VALUE!</v>
      </c>
      <c r="S18" s="3" t="e">
        <f>VLOOKUP(ROUND(G8,0),CHOOSE(Sexwahl,G_Kohorte_M,G_Kohorte_F,G_Kohorte_N),TabSchrittePfl)</f>
        <v>#VALUE!</v>
      </c>
      <c r="T18" s="3">
        <f>VLOOKUP(ROUND(H8,0),CHOOSE(CHOOSE(Sexwahl,2,1,3),G_Kohorte_M,G_Kohorte_F,G_Kohorte_N),TabSchritteBer)</f>
        <v>0</v>
      </c>
      <c r="U18" s="3">
        <f>VLOOKUP(ROUND(I8,0),CHOOSE(CHOOSE(Sexwahl,2,1,3),G_Kohorte_M,G_Kohorte_F,G_Kohorte_N),TabSchritteBer)</f>
        <v>0</v>
      </c>
      <c r="V18" s="3">
        <f>VLOOKUP(ROUND(J8,0),CHOOSE(CHOOSE(Sexwahl,2,1,3),G_Kohorte_M,G_Kohorte_F,G_Kohorte_N),TabSchritteBer)</f>
        <v>0</v>
      </c>
      <c r="W18" s="1973">
        <f>VLOOKUP(ROUND(K8,0),CHOOSE(CHOOSE(Sexwahl,2,1,3),G_Kohorte_M,G_Kohorte_F,G_Kohorte_N),TabSchritteBer)</f>
        <v>0</v>
      </c>
      <c r="X18" s="25"/>
      <c r="Y18" s="25"/>
      <c r="Z18" s="25"/>
      <c r="AA18" s="25"/>
      <c r="AC18" s="3053"/>
      <c r="AD18" s="3053"/>
      <c r="AE18" s="197"/>
    </row>
    <row r="19" spans="1:41" ht="17.25" customHeight="1" thickBot="1">
      <c r="A19" s="1448">
        <v>18</v>
      </c>
      <c r="B19" s="684" t="s">
        <v>538</v>
      </c>
      <c r="C19" s="685" t="s">
        <v>835</v>
      </c>
      <c r="D19" s="390">
        <f>IF(Adaequanz_HRPfl+Adaequanz_IRPfl=0,,ROUND(P14,4))</f>
        <v>0</v>
      </c>
      <c r="E19" s="694">
        <f>+ROUND(Q14,4)</f>
        <v>0</v>
      </c>
      <c r="F19" s="3042"/>
      <c r="G19" s="707" t="str">
        <f>IF(SonstJa=FALSE,"",ROUND(S14,4))</f>
        <v/>
      </c>
      <c r="H19" s="715">
        <f>ROUND(T14,4)</f>
        <v>1.6999999999999999E-3</v>
      </c>
      <c r="I19" s="513">
        <f>ROUND(U14,4)</f>
        <v>1.8E-3</v>
      </c>
      <c r="J19" s="473">
        <f>ROUND(V14,4)</f>
        <v>1.8E-3</v>
      </c>
      <c r="K19" s="482">
        <f>ROUND(W14,4)</f>
        <v>0</v>
      </c>
      <c r="L19" s="671"/>
      <c r="M19" t="s">
        <v>309</v>
      </c>
      <c r="N19" t="e">
        <f>VLOOKUP(YEAR(E7),Renteneintrittstabelle,3)</f>
        <v>#VALUE!</v>
      </c>
      <c r="O19" s="3" t="s">
        <v>1216</v>
      </c>
      <c r="P19" s="1246" t="e">
        <f t="shared" ref="P19:W19" si="1">IF(P17/P18&gt;1,1,ROUND(P17/P18,4))</f>
        <v>#DIV/0!</v>
      </c>
      <c r="Q19" s="3" t="e">
        <f>IF(Q17/Q18&gt;1,1,ROUND(Q17/Q18,3))</f>
        <v>#VALUE!</v>
      </c>
      <c r="R19" s="3" t="e">
        <f t="shared" si="1"/>
        <v>#VALUE!</v>
      </c>
      <c r="S19" s="1246" t="e">
        <f t="shared" si="1"/>
        <v>#VALUE!</v>
      </c>
      <c r="T19" s="1246" t="e">
        <f t="shared" si="1"/>
        <v>#VALUE!</v>
      </c>
      <c r="U19" s="1246" t="e">
        <f t="shared" si="1"/>
        <v>#DIV/0!</v>
      </c>
      <c r="V19" s="1246" t="e">
        <f t="shared" si="1"/>
        <v>#DIV/0!</v>
      </c>
      <c r="W19" s="1974" t="e">
        <f t="shared" si="1"/>
        <v>#DIV/0!</v>
      </c>
      <c r="X19" s="3097" t="str">
        <f>IF(Tenorschalter=0,"Tenorierungsvorschlag:"&amp;CHAR(10)&amp;"Wählen Sie eine Zielversorgung über die Checkbox aus (Zeile 2)",IF(Tenorschalter&gt;1,"Tenorierungsvorschlag nur für eine einzelne Zielversorgung möglich!","Tenorierungsvorschlag:"))</f>
        <v>Tenorierungsvorschlag:</v>
      </c>
      <c r="Y19" s="3098"/>
      <c r="Z19" s="25"/>
      <c r="AA19" s="1977"/>
      <c r="AC19" s="368"/>
      <c r="AD19" s="368"/>
      <c r="AE19" s="417"/>
    </row>
    <row r="20" spans="1:41" ht="17.25" customHeight="1" thickTop="1" thickBot="1">
      <c r="A20" s="1448">
        <v>19</v>
      </c>
      <c r="B20" s="686" t="str">
        <f>IFERROR("berechneter Barwert d. Versorg., "&amp;IF(C20&gt;0,"Rezins: "&amp;TEXT(C20,"0,00%"),IF(AND(C_BilMoG10,N26&lt;&gt;10),"BilMoG-10:",IF(AND(N24&lt;&gt;10,C_BilMoG10=FALSE),"BilMoG-7:","BilMoG NV"))&amp; " "&amp;TEXT(P15/100,"0,00%")),"")</f>
        <v>berechneter Barwert d. Versorg., Rezins: 2,50%</v>
      </c>
      <c r="C20" s="1162">
        <v>2.5000000000000001E-2</v>
      </c>
      <c r="D20" s="770">
        <f>IFERROR(P22,"")</f>
        <v>0</v>
      </c>
      <c r="E20" s="704" t="str">
        <f>IF(Q23=0,"",IF(DRVJa,Q23,""))</f>
        <v/>
      </c>
      <c r="F20" s="704" t="str">
        <f>IFERROR(IF(R23=0,"",IF(VersAusglKJa,IFERROR(IF(R23=0,"",ROUND(R23,0)),""),0)),"")</f>
        <v/>
      </c>
      <c r="G20" s="708" t="str">
        <f>IF(S23=0,"",IF(SonstJa,S23,0))</f>
        <v/>
      </c>
      <c r="H20" s="718">
        <f>IF(DRVAusglBerJa,T23,0)</f>
        <v>0</v>
      </c>
      <c r="I20" s="512">
        <f>+U23</f>
        <v>0</v>
      </c>
      <c r="J20" s="485">
        <f>+V23</f>
        <v>0</v>
      </c>
      <c r="K20" s="486">
        <f>W23</f>
        <v>0</v>
      </c>
      <c r="L20" s="25"/>
      <c r="M20" s="197" t="s">
        <v>311</v>
      </c>
      <c r="N20" s="15" t="b">
        <v>0</v>
      </c>
      <c r="O20" s="3" t="s">
        <v>285</v>
      </c>
      <c r="P20" s="1247">
        <f t="shared" ref="P20:W20" si="2">1+D19</f>
        <v>1</v>
      </c>
      <c r="Q20" s="1247">
        <f t="shared" si="2"/>
        <v>1</v>
      </c>
      <c r="R20" s="1247">
        <f t="shared" si="2"/>
        <v>1</v>
      </c>
      <c r="S20" s="1248" t="e">
        <f t="shared" si="2"/>
        <v>#VALUE!</v>
      </c>
      <c r="T20" s="1247">
        <f t="shared" si="2"/>
        <v>1.0017</v>
      </c>
      <c r="U20" s="1247">
        <f t="shared" si="2"/>
        <v>1.0018</v>
      </c>
      <c r="V20" s="1247">
        <f t="shared" si="2"/>
        <v>1.0018</v>
      </c>
      <c r="W20" s="1975">
        <f t="shared" si="2"/>
        <v>1</v>
      </c>
      <c r="X20" s="3099"/>
      <c r="Y20" s="3100"/>
      <c r="Z20" s="25"/>
      <c r="AA20" s="25"/>
      <c r="AC20" s="2395"/>
      <c r="AD20" s="2395"/>
      <c r="AE20" s="148"/>
    </row>
    <row r="21" spans="1:41" ht="17.25" customHeight="1" thickTop="1" thickBot="1">
      <c r="A21" s="1448">
        <v>20</v>
      </c>
      <c r="B21" s="1133" t="str">
        <f>IFERROR("anderen Ausgleichswert als: "&amp;TEXT(D20,"#.##0 €")&amp;" hier eintragen: (bei DRV mitgeteilter Kapitalwert)","")</f>
        <v>anderen Ausgleichswert als: 0 € hier eintragen: (bei DRV mitgeteilter Kapitalwert)</v>
      </c>
      <c r="C21" s="1134" t="str">
        <f>IF(Adaequanz_errechneterKapWert+Adaequanz_AusglWertQuelle&gt;0,IF(OR(Adaequanz_errechneterKapWert&lt;BagatellgrenzeKapital,AND(Adaequanz_AusglWertQuelle&gt;0,Adaequanz_AusglWertQuelle&lt;BagatellgrenzeKapital)),"Bagatelle § 18",""),"")</f>
        <v/>
      </c>
      <c r="D21" s="427"/>
      <c r="E21" s="502" t="str">
        <f>IF(BerechnetAuf=1,IF(Adaequanz_VerzinsungAusglW&gt;1,"v. "&amp;TEXT(B_Dat,"T.M.JJ")&amp; " b. "&amp;TEXT(D5,"T.M.JJ")&amp;" mit "&amp;TEXT(P15/100,"0,00%")&amp;CHOOSE(Adaequanz_VerzinsungAusglW,""," aufgezinst: "&amp;TEXT(P23,"0.00# €")," verzinst: "&amp;TEXT(P23,"0.00# €")),""),"")</f>
        <v/>
      </c>
      <c r="F21" s="502"/>
      <c r="G21" s="538"/>
      <c r="H21" s="607"/>
      <c r="I21" s="608" t="str">
        <f>IFERROR(I20/I12,"")</f>
        <v/>
      </c>
      <c r="J21" s="25"/>
      <c r="K21" s="673"/>
      <c r="L21" s="25"/>
      <c r="O21" s="3" t="s">
        <v>1217</v>
      </c>
      <c r="P21" s="250">
        <f>IFERROR(-PV($P$15/100,D11,,P16,0),0)</f>
        <v>0</v>
      </c>
      <c r="Q21" s="250" t="e">
        <f>-PV($P$15/100,E11,,Q16,1)</f>
        <v>#VALUE!</v>
      </c>
      <c r="R21" s="250" t="e">
        <f>-PV($P$15/100,F11,,R16,1)*R17/R18</f>
        <v>#VALUE!</v>
      </c>
      <c r="S21" s="250">
        <f>IFERROR(-PV($P$15/100,G11,,R16,1)*S17/S18,0)</f>
        <v>0</v>
      </c>
      <c r="T21" s="250">
        <f>IFERROR(-PV($P$15/100,H11,,T16,1)*T17/T18,0)</f>
        <v>0</v>
      </c>
      <c r="U21" s="250">
        <f t="shared" ref="S21:W22" si="3">IFERROR(-PV($P$15/100,I10,,U15,1)*U18*U19,0)</f>
        <v>0</v>
      </c>
      <c r="V21" s="250">
        <f t="shared" si="3"/>
        <v>0</v>
      </c>
      <c r="W21" s="1976">
        <f t="shared" si="3"/>
        <v>0</v>
      </c>
      <c r="X21" s="3101" t="str">
        <f>IF(Tenorschalter=1,"Zu Lasten des Anrechts "&amp;AE33&amp;" bei der &lt;"&amp;D3&amp;", VersNr.: ...&gt; wird im Wege der externen Teilung zu Gunsten"&amp;AE34&amp;"in der "&amp;IF(DRVJa,"DRV, VersNr. .....",IF(VersAusglKJa,"Versorgungsausgleichskasse","&lt;"&amp;G3&amp;"&gt;"))&amp;" ein Anrecht aus einem Ausgleichswert in Höhe von "&amp;TEXT(IF(Adaequanz_AusglWertQuelle&gt;0,Adaequanz_AusglWertQuelle,Adaequanz_errechneterKapWert),"#.##0 €")&amp;AE29&amp;", bezogen auf den "&amp;TEXT(IF(BerechnetAuf=1,B_Dat,D5),"TT.MM.JJ")&amp;" begründet. "&amp;IF(AND(BerechnetAuf=1,D5&gt;0)," Der Versorgungsträger der Quellversorgung wird verpflichtet, den Betrag in Höhe von "&amp;TEXT(IF(D21&lt;&gt;"",D21,D20)+E27,"#.##0 €")&amp;" nebst "&amp;TEXT(ReZins/100,"0,00%")&amp;" Zinsen vom "&amp;TEXT(B_Dat,"TT.MM.JJ")&amp;" bis zum Zeitpunkt der Rechtskraft der Entscheidung an den Träger der Zielversorgung zu zahlen.",""),"")</f>
        <v xml:space="preserve">Zu Lasten des Anrechts  der Ehefrau  bei der &lt;Quell-Versorgung, VersNr.: ...&gt; wird im Wege der externen Teilung zu Gunsten des Ehemannes in der DRV, VersNr. ..... ein Anrecht aus einem Ausgleichswert in Höhe von 0 €, bezogen auf den 00.01.00 begründet. </v>
      </c>
      <c r="Y21" s="3102"/>
      <c r="Z21" s="25"/>
      <c r="AA21" s="25"/>
      <c r="AC21" s="148"/>
      <c r="AD21" s="148"/>
      <c r="AE21" s="148"/>
    </row>
    <row r="22" spans="1:41" ht="17.25" customHeight="1" thickTop="1" thickBot="1">
      <c r="A22" s="1448">
        <v>21</v>
      </c>
      <c r="B22" s="3044" t="str">
        <f>IFERROR(IF(SUM(D22:G22)=0,"",IF(Adaequanz_AusglWertQuelle&gt;0,"Ausgleichswert der Quellversorgung bzw. Barwert der Versorgungen ","Barwert der Versorgung: ")),"")</f>
        <v/>
      </c>
      <c r="C22" s="3045"/>
      <c r="D22" s="386">
        <f>IF(Adaequanz_AusglWertQuelle&gt;0,Adaequanz_AusglWertQuelle,IF(Adaequanz_VerzinsungAusglW&gt;1,ROUND(P23,0),ROUND(Adaequanz_errechneterKapWert,0)))</f>
        <v>0</v>
      </c>
      <c r="E22" s="695">
        <f>IF(DRVJa,IFERROR(IF(Adaequanz_Kapitalleistung,ROUND(E60,0),ROUND(Q23,0)),""),"")</f>
        <v>0</v>
      </c>
      <c r="F22" s="695" t="str">
        <f>IFERROR(IF(R23=0,"",IF(VersAusglKJa,IFERROR(ROUND(R23,0),""),"")),"")</f>
        <v/>
      </c>
      <c r="G22" s="709" t="str">
        <f>IF(S23=0,"",IF(SonstJa,IFERROR(ROUND(S23,0),0),""))</f>
        <v/>
      </c>
      <c r="H22" s="719">
        <f>IF(DRVAusglBerJa,ROUND(T23,0),0)</f>
        <v>0</v>
      </c>
      <c r="I22" s="663" t="str">
        <f>IFERROR(Adaequanz_Ausgleichswert1/Adaequanz_RentePfl,"")</f>
        <v/>
      </c>
      <c r="J22" s="595" t="str">
        <f>"∑ Barwerte "&amp;CHOOSE(Sexwahl,Zeichen!B15,Zeichen!#REF!,"AuslgBer.")</f>
        <v>∑ Barwerte </v>
      </c>
      <c r="K22" s="487">
        <f>SUM(H20:K20)</f>
        <v>0</v>
      </c>
      <c r="L22" s="25"/>
      <c r="N22" s="15"/>
      <c r="O22" s="3" t="s">
        <v>1218</v>
      </c>
      <c r="P22" s="250">
        <f>IFERROR(-PV(P15/100,D11,,P16,0)*P19*P20,0)</f>
        <v>0</v>
      </c>
      <c r="Q22" s="250">
        <f>IFERROR(-PV($P15/100,E11,,Q16,1)*Q19*Q20,0)</f>
        <v>0</v>
      </c>
      <c r="R22" s="250" t="e">
        <f>-PV($P15/100,F11,,R16,1)*R19*R20</f>
        <v>#VALUE!</v>
      </c>
      <c r="S22" s="250">
        <f t="shared" si="3"/>
        <v>0</v>
      </c>
      <c r="T22" s="250">
        <f t="shared" si="3"/>
        <v>0</v>
      </c>
      <c r="U22" s="250">
        <f t="shared" si="3"/>
        <v>0</v>
      </c>
      <c r="V22" s="250">
        <f t="shared" si="3"/>
        <v>0</v>
      </c>
      <c r="W22" s="1976">
        <f t="shared" si="3"/>
        <v>0</v>
      </c>
      <c r="X22" s="3101"/>
      <c r="Y22" s="3102"/>
      <c r="Z22" s="25"/>
      <c r="AA22" s="25"/>
      <c r="AC22" s="416"/>
      <c r="AD22" s="416"/>
      <c r="AE22" s="196"/>
    </row>
    <row r="23" spans="1:41" ht="17.25" customHeight="1" thickTop="1">
      <c r="A23" s="1448">
        <v>22</v>
      </c>
      <c r="B23" s="3076" t="s">
        <v>834</v>
      </c>
      <c r="C23" s="3077"/>
      <c r="D23" s="3078"/>
      <c r="E23" s="696" t="str">
        <f>IF(AND(DRVJa,D20&gt;0),ROUND((E20/$D20)-1,4),"")</f>
        <v/>
      </c>
      <c r="F23" s="696" t="str">
        <f>IF(OR(Adaequanz_RentenhoeheVersAusglK=0,Adaequanz_RenteneintrittVersAusglK=0),"",IFERROR(1-ROUND(($D20/F20),4),""))</f>
        <v/>
      </c>
      <c r="G23" s="710" t="str">
        <f>IF(SonstJa,IF(Adaequanz_RenteBer=0,0,IFERROR(1-ROUND((D20/$G20),4),"")),"")</f>
        <v/>
      </c>
      <c r="H23" s="720" t="str">
        <f>IFERROR(ROUND((H22/$D20),4)-1,"")</f>
        <v/>
      </c>
      <c r="I23" s="148" t="str">
        <f>IFERROR(+Adaequanz_errechneterKapWert/Adaequanz_RentePfl,"")</f>
        <v/>
      </c>
      <c r="J23" s="595" t="e">
        <f>"∑ Barwerte "&amp;CHOOSE(Sexwahl,Zeichen!#REF!,Zeichen!B15,"AuslgPflr.")</f>
        <v>#REF!</v>
      </c>
      <c r="K23" s="489">
        <f>SUM(D20:G20)</f>
        <v>0</v>
      </c>
      <c r="L23" s="25"/>
      <c r="O23" s="3" t="s">
        <v>314</v>
      </c>
      <c r="P23" s="250">
        <f>ROUND(IF(AND(BerechnetAuf=1,Adaequanz_VerzinsungAusglW=1),P22,IF(AND(BerechnetAuf=2,D5&gt;0),CHOOSE(Adaequanz_VerzinsungAusglW,P22,P22*(1+P15/100)^YEARFRAC(B_Dat,D5,0),P22+P22*P15/100*YEARFRAC(B_Dat,D5,0)),P22)),0)</f>
        <v>0</v>
      </c>
      <c r="Q23" s="250">
        <f t="shared" ref="Q23:W23" si="4">+Q22</f>
        <v>0</v>
      </c>
      <c r="R23" s="250" t="e">
        <f t="shared" si="4"/>
        <v>#VALUE!</v>
      </c>
      <c r="S23" s="250">
        <f t="shared" si="4"/>
        <v>0</v>
      </c>
      <c r="T23" s="250">
        <f t="shared" si="4"/>
        <v>0</v>
      </c>
      <c r="U23" s="250">
        <f t="shared" si="4"/>
        <v>0</v>
      </c>
      <c r="V23" s="250">
        <f t="shared" si="4"/>
        <v>0</v>
      </c>
      <c r="W23" s="1976">
        <f t="shared" si="4"/>
        <v>0</v>
      </c>
      <c r="X23" s="3101"/>
      <c r="Y23" s="3102"/>
      <c r="Z23" s="25"/>
      <c r="AA23" s="25"/>
      <c r="AC23" s="148"/>
      <c r="AD23" s="148"/>
      <c r="AE23" s="196"/>
    </row>
    <row r="24" spans="1:41" ht="80.25" customHeight="1">
      <c r="A24" s="1448">
        <v>23</v>
      </c>
      <c r="B24" s="3091" t="s">
        <v>1026</v>
      </c>
      <c r="C24" s="3092"/>
      <c r="D24" s="3093" t="str">
        <f>IFERROR(IF(SUM(K4:K5)&gt;0,"manuelle Eingabe der Versorgungshöhe DRV veranlasst. Keine Berechnung sinnvoll.",IF(AND(DRVJa,E23&lt;-0.1),IFERROR(IF(Adaequanz_errechneterKapWert+E22=0,"",IF(AND(E22=0,Adaequanz_errechneterKapWert=0),"",IF(E23&gt;=0,"Ext. Teilung in DRV besser/gleich int. Teilung! Versorgungs-gewinn "&amp;TEXT(E23,"0,0%"),"Transfer-Verlust (BVerfG 1 BvL 5/16): "&amp;CHAR(10)&amp;TEXT(E23,"0,00%")&amp;CHAR(10)&amp;"Ausgleichswert zu Lasten der ausglpfl. Person: "&amp;TEXT(IF(D21&gt;0,D21,Adaequanz_errechneterKapWert),"#.##0 €")&amp;" und zu Lasten des Versorgungsträgers zusätzlich "&amp;TEXT(E27,"#.##0 €")&amp;" auf insgesamt "&amp;TEXT(E26,"#.##0 €")))),"#.##0,00 €")&amp;" anheben ("&amp;TEXT(Adaequanz_errechneterKapWert,"#.##0")&amp;" x "&amp;TEXT(Adaequanz_Ausgleichswert1,"#.##0")&amp;" / "&amp;TEXT(E22,"#.##0")&amp;" x 90%).",IF(AND(E23&gt;0.1,Adaequanz_RentePfl&lt;&gt;'Gewinn &amp; Verlust'!C21,Adaequanz_AusglWertQuelle&lt;&gt;'Gewinn &amp; Verlust'!D23),"Transfer-Gewinn ca. "&amp;TEXT(E23,"0%")&amp;CHAR(10)&amp;IF(AND(SUM(K4:K5)=0,E23&gt;0)," 'Barwertgleiche' entsteht, wenn in Q-Versorgung "&amp;TEXT('Gewinn &amp; Verlust'!C21,"#.##0,00 €")&amp;" aus dem ehezeitl. Versorg-Erwerb belassen werden und der Ausgleich auf "&amp;TEXT(Adaequanz_RentePfl*2-'Gewinn &amp; Verlust'!C21,"#.##0,00")&amp;" "&amp;_xlfn.UNICHAR(8793)&amp;" "&amp;TEXT('Gewinn &amp; Verlust'!D23,"#.##0,00 €")&amp;" verringert wird."&amp;" Bitte ggfls. diese Zahlen notieren und in Zeile 11 und 20 eintragen.",""),""))),"")</f>
        <v/>
      </c>
      <c r="E24" s="3094"/>
      <c r="F24" s="705" t="str">
        <f>IF(AND(VersAusglKJa,F23&lt;-0.1),IF(Adaequanz_RentenhoeheVersAusglK=0,"",IFERROR(IF(Adaequanz_errechneterKapWert=0,"",IF(F23&gt;=0,"Ex. Teilung in VersAusglK besser/gleich int. Teilung! Versor-gungsgewinn "&amp;TEXT(F23,"0,0%"),"Anhebung d. AusglW bzw. der Rente: "&amp;TEXT(Adaequanz_errechneterKapWert,"#.##0")&amp;" / "&amp;TEXT(F22,"#.##0")&amp;" = auf "&amp;TEXT(Adaequanz_errechneterKapWert/F22,"0,00%"))),"")),"")</f>
        <v/>
      </c>
      <c r="G24" s="711" t="str">
        <f>IF(AND(SonstJa,G23&lt;-0.1),IF(Adaequanz_RenteBer=0,"",IFERROR(IF(Adaequanz_errechneterKapWert=0,"",IF(G23&gt;=0,"Ext. Teilung in gewählte ZV besser/gleich int. Teilung! Versor-gungsgewinn "&amp;TEXT(G23,"0,0%"),"Anhebung d. Ausgleichswerts bzw. der Rente: "&amp;TEXT(Adaequanz_errechneterKapWert,"#.##0")&amp;" / "&amp;TEXT(G22,"#.##0")&amp;" = auf "&amp;TEXT(Adaequanz_errechneterKapWert/Adaequanz_RVolumenBer,"0,00%"))),"")),"")</f>
        <v/>
      </c>
      <c r="H24" s="721" t="str">
        <f>IFERROR("Verhältnis Barw./Beitragsw.: "&amp;CHAR(10)&amp;TEXT(H20,"#.##0,00")&amp;" / "&amp;TEXT((H12/N7*VLOOKUP(B_Dat,Umrechnung,2)),"#.##0,00")&amp;" = "&amp;TEXT(H20/(H12/N7*VLOOKUP(B_Dat,Umrechnung,2)),"0,00"),"")</f>
        <v/>
      </c>
      <c r="I24" s="662" t="str">
        <f>IFERROR(Adaequanz_AusglWertQuelle/Adaequanz_RentePfl,"")</f>
        <v/>
      </c>
      <c r="J24" s="542" t="str">
        <f>"Barwert-Differenz "&amp;TEXT(ABS(K22-K23),"#.##0,00")&amp;" = Barwertteilung: "&amp;TEXT((K23+K22)/2,"#.##0")</f>
        <v>Barwert-Differenz 0,00 = Barwertteilung: 0</v>
      </c>
      <c r="K24" s="606">
        <f>+(K23-K22)/2</f>
        <v>0</v>
      </c>
      <c r="L24" s="25"/>
      <c r="M24" s="71" t="s">
        <v>400</v>
      </c>
      <c r="N24" s="128">
        <f>_xlfn.IFNA(N27,10)</f>
        <v>10</v>
      </c>
      <c r="Q24" s="148"/>
      <c r="X24" s="3101"/>
      <c r="Y24" s="3102"/>
      <c r="Z24" s="25"/>
      <c r="AA24" s="25"/>
      <c r="AC24" s="416"/>
      <c r="AD24" s="416"/>
      <c r="AE24" s="416"/>
      <c r="AI24" s="59"/>
    </row>
    <row r="25" spans="1:41" ht="17.25" customHeight="1" thickBot="1">
      <c r="A25" s="1448">
        <v>24</v>
      </c>
      <c r="B25" s="3046" t="s">
        <v>1228</v>
      </c>
      <c r="C25" s="3047"/>
      <c r="D25" s="3048"/>
      <c r="E25" s="697" t="str">
        <f>IF(AND(DRVJa,E23&lt;-0.1),IFERROR(IF(Adaequanz_AusglWertQuelle=0,Adaequanz_errechneterKapWert,Adaequanz_AusglWertQuelle)*Adaequanz_errechneterKapWert/E22,0),"")</f>
        <v/>
      </c>
      <c r="F25" s="698" t="str">
        <f>IF(AND(VersAusglKJa,F23&lt;-0.1),IFERROR(IF(Adaequanz_AusglWertQuelle=0,Adaequanz_errechneterKapWert,Adaequanz_AusglWertQuelle)*Adaequanz_errechneterKapWert/F22,0),"")</f>
        <v/>
      </c>
      <c r="G25" s="699" t="str">
        <f>IF(AND(SonstJa,G23&lt;-0.1),IFERROR(IF(Adaequanz_AusglWertQuelle=0,Adaequanz_errechneterKapWert,Adaequanz_AusglWertQuelle)*Adaequanz_errechneterKapWert/G22,0),"")</f>
        <v/>
      </c>
      <c r="H25" s="3079"/>
      <c r="I25" s="670" t="str">
        <f>IFERROR(+I20/I15,"")</f>
        <v/>
      </c>
      <c r="J25" s="490" t="s">
        <v>570</v>
      </c>
      <c r="K25" s="491" t="s">
        <v>571</v>
      </c>
      <c r="L25" s="25"/>
      <c r="M25" t="str">
        <f>IF(F26&gt;0,F26,"")</f>
        <v/>
      </c>
      <c r="P25" s="248" t="s">
        <v>543</v>
      </c>
      <c r="Q25" s="148">
        <f>-PV(-2.6%,20.6,51.84*12,,1)</f>
        <v>16793.42985233308</v>
      </c>
      <c r="R25" s="1107"/>
      <c r="X25" s="3103"/>
      <c r="Y25" s="3104"/>
      <c r="Z25" s="25"/>
      <c r="AA25" s="25"/>
    </row>
    <row r="26" spans="1:41" ht="30" customHeight="1" thickTop="1" thickBot="1">
      <c r="A26" s="1448">
        <v>25</v>
      </c>
      <c r="B26" s="3039" t="s">
        <v>899</v>
      </c>
      <c r="C26" s="3040"/>
      <c r="D26" s="3041"/>
      <c r="E26" s="700">
        <f>IF(DRVJa,IF(E23&gt;0,0,IFERROR(+E25*0.9,"")),"")</f>
        <v>0</v>
      </c>
      <c r="F26" s="700" t="str">
        <f>IFERROR(IF(+F25*0.9&lt;=IF(D21&gt;0,D21,Adaequanz_errechneterKapWert),0,+F25*0.9),"")</f>
        <v/>
      </c>
      <c r="G26" s="701" t="str">
        <f>IFERROR(IF(+G25*0.9&lt;=IF(D21&gt;0,D21,Adaequanz_errechneterKapWert),0,+G25*0.9),"")</f>
        <v/>
      </c>
      <c r="H26" s="3080"/>
      <c r="I26" s="674" t="str">
        <f>IFERROR(H20/(H12/N7*VLOOKUP(B_Dat,UmrechnungEP_Kap,2)),"")</f>
        <v/>
      </c>
      <c r="J26" s="488">
        <f>SUM(D16:G16)</f>
        <v>0</v>
      </c>
      <c r="K26" s="495">
        <f>SUM(H16:K16)</f>
        <v>0</v>
      </c>
      <c r="L26" s="25"/>
      <c r="M26" s="71" t="s">
        <v>399</v>
      </c>
      <c r="N26" s="128">
        <f>_xlfn.IFNA(N28,10)</f>
        <v>10</v>
      </c>
      <c r="P26" s="249" t="s">
        <v>1229</v>
      </c>
      <c r="Q26" s="148">
        <f>-PV(-2.6%,20.6,34.87*12*1.026^15.45,,1)</f>
        <v>16793.958785002207</v>
      </c>
      <c r="R26">
        <f>34.86*12*1.026^15.45/12</f>
        <v>51.826765657844788</v>
      </c>
      <c r="X26" s="25"/>
      <c r="Y26" s="25"/>
      <c r="Z26" s="25"/>
      <c r="AA26" s="25"/>
      <c r="AN26" t="s">
        <v>629</v>
      </c>
      <c r="AO26">
        <f>IF(Rentner=1,10,8)</f>
        <v>8</v>
      </c>
    </row>
    <row r="27" spans="1:41" ht="17.25" customHeight="1" thickBot="1">
      <c r="A27" s="1448">
        <v>26</v>
      </c>
      <c r="B27" s="3114" t="s">
        <v>393</v>
      </c>
      <c r="C27" s="3114"/>
      <c r="D27" s="3114"/>
      <c r="E27" s="768">
        <f>IFERROR(IF(AND(DRVJa,E26-IF(Adaequanz_AusglWertQuelle&gt;0,Adaequanz_AusglWertQuelle,Adaequanz_errechneterKapWert)&gt;0),E26-IF(Adaequanz_AusglWertQuelle&gt;0,Adaequanz_AusglWertQuelle,Adaequanz_errechneterKapWert),0),"")</f>
        <v>0</v>
      </c>
      <c r="F27" s="768">
        <f>IF(AND(VersAusglKJa,F23&lt;-0.1),IF(AND(VersAusglKJa,+F26-IF(D21&gt;0,D21,Adaequanz_errechneterKapWert)&gt;0),+F26-IF(D21&gt;0,D21,Adaequanz_errechneterKapWert),0),0)</f>
        <v>0</v>
      </c>
      <c r="G27" s="769" t="str">
        <f>IFERROR(IF(AND(SonstJa,G26-IF(D21&gt;0,D21,Adaequanz_errechneterKapWert)&gt;0),+G26-IF(D21&gt;0,D21,Adaequanz_errechneterKapWert),""),"")</f>
        <v/>
      </c>
      <c r="H27" s="3081"/>
      <c r="I27" s="25"/>
      <c r="J27" s="492"/>
      <c r="K27" s="493"/>
      <c r="L27" s="25"/>
      <c r="M27" s="71" t="s">
        <v>397</v>
      </c>
      <c r="N27" s="128" t="e">
        <f>VLOOKUP(IF(BerechnetAuf=1,B_Dat,D5),BilmoGZins,16)</f>
        <v>#N/A</v>
      </c>
      <c r="P27" s="249" t="s">
        <v>1230</v>
      </c>
      <c r="X27" s="25"/>
      <c r="Y27" s="25"/>
      <c r="Z27" s="25"/>
      <c r="AA27" s="25"/>
      <c r="AF27" s="148"/>
      <c r="AN27" t="s">
        <v>628</v>
      </c>
      <c r="AO27">
        <f>IF(Adaequanz_ReEintrittPfl&lt;Adaequanz_QV_Alter,1,0)</f>
        <v>0</v>
      </c>
    </row>
    <row r="28" spans="1:41" ht="21.6" hidden="1" customHeight="1" thickBot="1">
      <c r="A28" s="1448">
        <v>27</v>
      </c>
      <c r="B28" s="3117"/>
      <c r="C28" s="3118"/>
      <c r="D28" s="3118"/>
      <c r="E28" s="3118"/>
      <c r="F28" s="3118"/>
      <c r="G28" s="3118"/>
      <c r="H28" s="3119"/>
      <c r="I28" s="25"/>
      <c r="J28" s="25"/>
      <c r="K28" s="25"/>
      <c r="L28" s="211"/>
      <c r="M28" s="71" t="s">
        <v>398</v>
      </c>
      <c r="N28" s="128" t="e">
        <f>VLOOKUP(IF(BerechnetAuf=1,B_Dat,D5),BilMoG10,16)</f>
        <v>#N/A</v>
      </c>
      <c r="R28" s="215"/>
      <c r="S28" s="215"/>
      <c r="T28" s="215"/>
      <c r="U28" s="215"/>
      <c r="V28" s="215"/>
      <c r="W28" s="215"/>
      <c r="X28" s="25"/>
      <c r="Y28" s="25"/>
      <c r="Z28" s="1978"/>
      <c r="AA28" s="1979"/>
      <c r="AB28" s="1978"/>
      <c r="AF28" s="148"/>
      <c r="AG28" s="799" t="s">
        <v>609</v>
      </c>
      <c r="AH28" s="799"/>
      <c r="AI28" s="15" t="b">
        <v>0</v>
      </c>
      <c r="AM28" t="s">
        <v>623</v>
      </c>
      <c r="AN28" t="s">
        <v>625</v>
      </c>
      <c r="AO28" t="s">
        <v>627</v>
      </c>
    </row>
    <row r="29" spans="1:41" ht="17.25" hidden="1" customHeight="1">
      <c r="A29" s="1448">
        <v>28</v>
      </c>
      <c r="B29" s="3115"/>
      <c r="C29" s="3116"/>
      <c r="D29" s="3116"/>
      <c r="E29" s="556"/>
      <c r="F29" s="3108"/>
      <c r="G29" s="3108"/>
      <c r="H29" s="3108"/>
      <c r="I29" s="3095"/>
      <c r="J29" s="3096"/>
      <c r="K29" s="604"/>
      <c r="L29" s="336"/>
      <c r="M29" s="215" t="s">
        <v>600</v>
      </c>
      <c r="N29" s="15" t="b">
        <v>0</v>
      </c>
      <c r="Q29" s="215"/>
      <c r="R29" s="215"/>
      <c r="S29" s="215"/>
      <c r="T29" s="215"/>
      <c r="U29" s="215"/>
      <c r="V29" s="215"/>
      <c r="W29" s="215"/>
      <c r="X29" s="25"/>
      <c r="Y29" s="25"/>
      <c r="Z29" s="1980"/>
      <c r="AA29" s="1980"/>
      <c r="AB29" s="1980"/>
      <c r="AD29" t="s">
        <v>394</v>
      </c>
      <c r="AE29" t="str">
        <f>IF(AE30&lt;&gt;"",AE30,IF(AE31&lt;&gt;"",AE31,IF(AE32&lt;&gt;"",AE32,"")))</f>
        <v/>
      </c>
      <c r="AG29" s="799"/>
      <c r="AH29" s="799"/>
      <c r="AI29" t="s">
        <v>614</v>
      </c>
      <c r="AJ29" s="553">
        <f>VLOOKUP(IF(C20&gt;0,C20,P15/100),BWVergl_F_DRVIR,1,TRUE)</f>
        <v>2.5000000000000001E-2</v>
      </c>
      <c r="AK29" s="552">
        <f>ROUND(AJ29/0.025%,0)</f>
        <v>100</v>
      </c>
      <c r="AL29" s="59">
        <f>+AK29*0.25/100</f>
        <v>0.25</v>
      </c>
      <c r="AM29" s="247">
        <v>0.01</v>
      </c>
      <c r="AN29" s="4">
        <v>35</v>
      </c>
      <c r="AO29" s="555" t="e">
        <f>ROUND(VLOOKUP(AJ29,IF(D6="w",BWVergl_F_VersAusglK,BWVergl_M_VersAusglK),$AH$39,TRUE),2)</f>
        <v>#REF!</v>
      </c>
    </row>
    <row r="30" spans="1:41" ht="17.25" hidden="1" customHeight="1">
      <c r="A30" s="1448">
        <v>29</v>
      </c>
      <c r="B30" s="3115"/>
      <c r="C30" s="3116"/>
      <c r="D30" s="3116"/>
      <c r="E30" s="556"/>
      <c r="F30" s="3108"/>
      <c r="G30" s="3108"/>
      <c r="H30" s="3109"/>
      <c r="I30" s="3095"/>
      <c r="J30" s="3096"/>
      <c r="K30" s="604"/>
      <c r="L30" s="211"/>
      <c r="M30" t="s">
        <v>319</v>
      </c>
      <c r="N30">
        <f>IF(EP_Ost,3,2)</f>
        <v>2</v>
      </c>
      <c r="O30" s="215"/>
      <c r="P30" s="215"/>
      <c r="Q30" s="215"/>
      <c r="R30" s="215"/>
      <c r="S30" s="215"/>
      <c r="T30" s="215"/>
      <c r="U30" s="215"/>
      <c r="V30" s="215"/>
      <c r="W30" s="215"/>
      <c r="X30" s="25"/>
      <c r="Y30" s="25"/>
      <c r="Z30" s="1980"/>
      <c r="AA30" s="1980"/>
      <c r="AB30" s="1980"/>
      <c r="AD30">
        <v>1</v>
      </c>
      <c r="AE30" t="str">
        <f>IF(AND(E27&lt;&gt;"",E27&gt;0),IF(DRVJa," sowie zu Lasten des &lt;Trägers der Quellversorgung&gt; aus einem weiteren Betrag in Höhe von "&amp;TEXT(E27,"#.##0 €"),""),"")</f>
        <v/>
      </c>
      <c r="AG30" t="s">
        <v>610</v>
      </c>
      <c r="AH30" t="e">
        <f>IF(Adaequanz_IRPfl&gt;0,IF(D6="m","BWVergl_M_DRVIR","BWVergl_M_DRV"),IF(Adaequanz_IRPfl&gt;0,BWVergl_F_DRVIR,BWVergl_F_DRV))</f>
        <v>#VALUE!</v>
      </c>
      <c r="AM30" s="554">
        <v>1.2500000000000001E-2</v>
      </c>
      <c r="AN30" s="4">
        <v>40</v>
      </c>
      <c r="AO30" s="555" t="e">
        <f>ROUND(VLOOKUP(AJ29,IF(D6="w",BWVergl_F_VersAusglK,BWVergl_M_VersAusglK),$AI$39,TRUE),2)</f>
        <v>#REF!</v>
      </c>
    </row>
    <row r="31" spans="1:41" ht="17.25" hidden="1" customHeight="1">
      <c r="A31" s="1448">
        <v>30</v>
      </c>
      <c r="B31" s="3089"/>
      <c r="C31" s="3090"/>
      <c r="D31" s="3090"/>
      <c r="E31" s="557"/>
      <c r="F31" s="3110"/>
      <c r="G31" s="3110"/>
      <c r="H31" s="3111"/>
      <c r="I31" s="3095"/>
      <c r="J31" s="3096"/>
      <c r="K31" s="604"/>
      <c r="L31" s="558"/>
      <c r="M31" s="215"/>
      <c r="N31" s="215"/>
      <c r="O31" s="215"/>
      <c r="P31" s="215"/>
      <c r="Q31" s="215"/>
      <c r="R31" s="215"/>
      <c r="S31" s="215"/>
      <c r="T31" s="215"/>
      <c r="U31" s="215"/>
      <c r="V31" s="215"/>
      <c r="W31" s="215"/>
      <c r="X31" s="25"/>
      <c r="Y31" s="25"/>
      <c r="Z31" s="1980"/>
      <c r="AA31" s="1980"/>
      <c r="AB31" s="1980"/>
      <c r="AD31">
        <v>2</v>
      </c>
      <c r="AE31" t="str">
        <f>IF(AND(VersAusglKJa,F27&gt;0)," sowie zu Lasten d. &lt;"&amp;D3&amp;"&gt; aus einem weiteren Betrag in Höhe von "&amp;TEXT(F27,"#.##0 €"),"")</f>
        <v/>
      </c>
      <c r="AG31" t="s">
        <v>610</v>
      </c>
      <c r="AH31" t="str">
        <f>IF(Adaequanz_IRPfl&gt;0,"BWVergl_F_DRVIR","BWVerrgl_F_DRV")</f>
        <v>BWVerrgl_F_DRV</v>
      </c>
      <c r="AM31" s="247">
        <v>1.4999999999999999E-2</v>
      </c>
      <c r="AN31" s="4">
        <v>45</v>
      </c>
      <c r="AO31" s="541" t="e">
        <f>AO29-(AO29-AO30)*(AH33-INT(AH33))</f>
        <v>#REF!</v>
      </c>
    </row>
    <row r="32" spans="1:41" ht="17.25" hidden="1" customHeight="1">
      <c r="A32" s="1448">
        <v>31</v>
      </c>
      <c r="B32" s="3089"/>
      <c r="C32" s="3090"/>
      <c r="D32" s="3090"/>
      <c r="E32" s="557"/>
      <c r="F32" s="3110"/>
      <c r="G32" s="3110"/>
      <c r="H32" s="3111"/>
      <c r="I32" s="3095"/>
      <c r="J32" s="3096"/>
      <c r="K32" s="604"/>
      <c r="L32" s="431"/>
      <c r="M32" s="215"/>
      <c r="N32" s="215"/>
      <c r="O32" s="215"/>
      <c r="P32" s="453"/>
      <c r="Q32" s="215"/>
      <c r="R32" s="215"/>
      <c r="S32" s="215"/>
      <c r="T32" s="215"/>
      <c r="U32" s="215"/>
      <c r="V32" s="215"/>
      <c r="W32" s="215"/>
      <c r="X32" s="25"/>
      <c r="Y32" s="25"/>
      <c r="Z32" s="1980"/>
      <c r="AA32" s="1980"/>
      <c r="AB32" s="1980"/>
      <c r="AD32">
        <v>3</v>
      </c>
      <c r="AE32" t="str">
        <f>IF(AND(SonstJa,G27&gt;0)," sowie zu Lasten d. &lt;"&amp;G3&amp;"&gt; aus einem weiteren Betrag in Höhe von "&amp;TEXT(G27,"#.##0 €"),"")</f>
        <v/>
      </c>
      <c r="AG32" t="s">
        <v>611</v>
      </c>
      <c r="AH32" t="str">
        <f>IF(D6="M",AH30,AH31)</f>
        <v>BWVerrgl_F_DRV</v>
      </c>
      <c r="AM32" s="554">
        <v>1.7500000000000002E-2</v>
      </c>
      <c r="AN32" s="4">
        <v>50</v>
      </c>
    </row>
    <row r="33" spans="1:41" ht="17.25" hidden="1" customHeight="1">
      <c r="A33" s="1448">
        <v>27</v>
      </c>
      <c r="B33" s="3089"/>
      <c r="C33" s="3090"/>
      <c r="D33" s="3090"/>
      <c r="E33" s="557"/>
      <c r="F33" s="3110"/>
      <c r="G33" s="3110"/>
      <c r="H33" s="3111"/>
      <c r="L33" s="431"/>
      <c r="M33" s="215"/>
      <c r="N33" s="215"/>
      <c r="O33" s="215"/>
      <c r="P33" s="215"/>
      <c r="Q33" s="215"/>
      <c r="R33" s="215"/>
      <c r="S33" s="215"/>
      <c r="T33" s="215"/>
      <c r="U33" s="215"/>
      <c r="V33" s="215"/>
      <c r="W33" s="215"/>
      <c r="X33" s="25"/>
      <c r="Y33" s="25"/>
      <c r="Z33" s="1980"/>
      <c r="AA33" s="1980"/>
      <c r="AB33" s="1980"/>
      <c r="AE33" t="str">
        <f>IF(D6="M"," des Ehemannes "," der Ehefrau ")</f>
        <v xml:space="preserve"> der Ehefrau </v>
      </c>
      <c r="AG33" t="s">
        <v>612</v>
      </c>
      <c r="AH33" t="e">
        <f>IF((Adaequanz_QV_Alter-35)/5+2&gt;Spalten,Spalten,(Adaequanz_QV_Alter-35)/5+2)</f>
        <v>#VALUE!</v>
      </c>
      <c r="AI33" t="e">
        <f>IF(Adaequanz_QV_Alter&lt;Adaequanz_ReEintrittPfl,IF(AH33+1&gt;8,8,AH33+1),IF(AH33+1&gt;10,10,AH33+1))</f>
        <v>#VALUE!</v>
      </c>
      <c r="AM33" s="247">
        <v>0.02</v>
      </c>
      <c r="AN33" s="4">
        <v>55</v>
      </c>
      <c r="AO33" s="555" t="e">
        <f>ROUND(VLOOKUP(AJ29+0.25%,IF($D$6="m",BWVergl_M_VersAusglK,BWVergl_F_VersAusglK),$AH$39),2)</f>
        <v>#REF!</v>
      </c>
    </row>
    <row r="34" spans="1:41" ht="17.25" hidden="1" customHeight="1" thickBot="1">
      <c r="A34" s="1448">
        <v>28</v>
      </c>
      <c r="B34" s="3120"/>
      <c r="C34" s="3121"/>
      <c r="D34" s="3121"/>
      <c r="E34" s="702"/>
      <c r="F34" s="3112"/>
      <c r="G34" s="3112"/>
      <c r="H34" s="3113"/>
      <c r="I34" s="3095"/>
      <c r="J34" s="3096"/>
      <c r="K34" s="604"/>
      <c r="L34" s="211"/>
      <c r="M34" s="453"/>
      <c r="N34" s="453"/>
      <c r="O34" s="215"/>
      <c r="P34" s="215"/>
      <c r="Q34" s="215"/>
      <c r="R34" s="215"/>
      <c r="S34" s="215"/>
      <c r="T34" s="215"/>
      <c r="U34" s="215"/>
      <c r="V34" s="215"/>
      <c r="W34" s="215"/>
      <c r="X34" s="25"/>
      <c r="Y34" s="25"/>
      <c r="Z34" s="429"/>
      <c r="AA34" s="429"/>
      <c r="AB34" s="429"/>
      <c r="AE34" t="str">
        <f>IF(AE33=" des Ehemannes "," der Ehefrau "," des Ehemannes ")</f>
        <v xml:space="preserve"> des Ehemannes </v>
      </c>
      <c r="AG34" t="s">
        <v>624</v>
      </c>
      <c r="AH34" t="e">
        <f>VLOOKUP(Adaequanz_QV_Alter,Altersstaffel,1)</f>
        <v>#N/A</v>
      </c>
      <c r="AM34" s="554">
        <v>2.2499999999999999E-2</v>
      </c>
      <c r="AN34" s="4">
        <v>60</v>
      </c>
    </row>
    <row r="35" spans="1:41" ht="17.25" hidden="1" customHeight="1">
      <c r="A35" s="1448"/>
      <c r="B35" s="3105" t="str">
        <f>IF(MAX(E23:H23)&gt;0,"Wenn ein Teilungsgewinn auf die Gatten hälftig aufgeteilt werden soll, ist der in Zeile 32 Spaltenwerte als Kapital-Ausgleichswert in Zeile 20 Spalte D und der Spaltenwert aus Zeile 33 als neuer Rentenwert in Zeile 11 einzutragen."&amp;" Bitte die Werte vor Übertragung handschriftlich notieren und erst danach eintragen, weil sich durch den Eintrag die Korrekturwerte wiederum ändern.","")</f>
        <v/>
      </c>
      <c r="C35" s="3106"/>
      <c r="D35" s="3106"/>
      <c r="E35" s="3106"/>
      <c r="F35" s="3106"/>
      <c r="G35" s="3106"/>
      <c r="H35" s="3107"/>
      <c r="I35" s="454"/>
      <c r="J35" s="454"/>
      <c r="K35" s="454"/>
      <c r="L35" s="211"/>
      <c r="M35" s="215"/>
      <c r="N35" s="215" t="e">
        <f>1-N34/M34</f>
        <v>#DIV/0!</v>
      </c>
      <c r="O35" s="215"/>
      <c r="P35" s="215"/>
      <c r="Q35" s="215"/>
      <c r="R35" s="215"/>
      <c r="S35" s="215"/>
      <c r="T35" s="215"/>
      <c r="U35" s="215"/>
      <c r="V35" s="215"/>
      <c r="W35" s="215"/>
      <c r="X35" s="429"/>
      <c r="Y35" s="429"/>
      <c r="Z35" s="429"/>
      <c r="AA35" s="429"/>
      <c r="AB35" s="429"/>
      <c r="AG35" t="s">
        <v>626</v>
      </c>
      <c r="AH35" t="e">
        <f>+AH34+5</f>
        <v>#N/A</v>
      </c>
      <c r="AM35" s="247">
        <v>2.5000000000000001E-2</v>
      </c>
      <c r="AN35" s="4">
        <v>65</v>
      </c>
    </row>
    <row r="36" spans="1:41" ht="17.25" hidden="1" customHeight="1">
      <c r="A36" s="1448"/>
      <c r="B36" s="3105"/>
      <c r="C36" s="3106"/>
      <c r="D36" s="3106"/>
      <c r="E36" s="3106"/>
      <c r="F36" s="3106"/>
      <c r="G36" s="3106"/>
      <c r="H36" s="3107"/>
      <c r="I36" s="454"/>
      <c r="J36" s="454"/>
      <c r="K36" s="454"/>
      <c r="L36" s="211"/>
      <c r="M36" s="215"/>
      <c r="N36" s="215"/>
      <c r="O36" s="215"/>
      <c r="P36" s="215"/>
      <c r="Q36" s="215"/>
      <c r="R36" s="215"/>
      <c r="S36" s="215"/>
      <c r="T36" s="215"/>
      <c r="U36" s="215"/>
      <c r="V36" s="215"/>
      <c r="W36" s="215"/>
      <c r="X36" s="429"/>
      <c r="Y36" s="429"/>
      <c r="Z36" s="429"/>
      <c r="AA36" s="429"/>
      <c r="AB36" s="429"/>
      <c r="AH36" t="e">
        <f>(Adaequanz_QV_Alter/10-INT(Adaequanz_QV_Alter/10))*10</f>
        <v>#VALUE!</v>
      </c>
      <c r="AM36" s="554">
        <v>2.75E-2</v>
      </c>
      <c r="AN36" s="4">
        <v>70</v>
      </c>
    </row>
    <row r="37" spans="1:41" ht="17.25" hidden="1" customHeight="1">
      <c r="A37" s="1448"/>
      <c r="B37" s="3105"/>
      <c r="C37" s="3106"/>
      <c r="D37" s="3106"/>
      <c r="E37" s="3106"/>
      <c r="F37" s="3106"/>
      <c r="G37" s="3106"/>
      <c r="H37" s="3107"/>
      <c r="I37" s="454"/>
      <c r="J37" s="454"/>
      <c r="K37" s="454"/>
      <c r="L37" s="211"/>
      <c r="M37" s="215"/>
      <c r="N37" s="215"/>
      <c r="O37" s="215"/>
      <c r="P37" s="215"/>
      <c r="Q37" s="215"/>
      <c r="R37" s="215"/>
      <c r="S37" s="215"/>
      <c r="T37" s="215"/>
      <c r="U37" s="215"/>
      <c r="V37" s="215"/>
      <c r="W37" s="215"/>
      <c r="X37" s="429"/>
      <c r="Y37" s="429"/>
      <c r="Z37" s="429"/>
      <c r="AA37" s="429"/>
      <c r="AB37" s="429"/>
      <c r="AM37" s="247">
        <v>0.03</v>
      </c>
      <c r="AN37" s="4">
        <v>75</v>
      </c>
    </row>
    <row r="38" spans="1:41" ht="17.25" hidden="1" customHeight="1">
      <c r="A38" s="1448"/>
      <c r="B38" s="3105"/>
      <c r="C38" s="3106"/>
      <c r="D38" s="3106"/>
      <c r="E38" s="3106"/>
      <c r="F38" s="3106"/>
      <c r="G38" s="3106"/>
      <c r="H38" s="3107"/>
      <c r="I38" s="454"/>
      <c r="J38" s="454"/>
      <c r="K38" s="454"/>
      <c r="L38" s="211"/>
      <c r="M38" s="215"/>
      <c r="N38" s="215"/>
      <c r="O38" s="215"/>
      <c r="P38" s="215"/>
      <c r="Q38" s="215"/>
      <c r="R38" s="215"/>
      <c r="S38" s="215"/>
      <c r="T38" s="215"/>
      <c r="U38" s="215"/>
      <c r="V38" s="215"/>
      <c r="W38" s="215"/>
      <c r="X38" s="429"/>
      <c r="Y38" s="429"/>
      <c r="Z38" s="429"/>
      <c r="AA38" s="429"/>
      <c r="AB38" s="429"/>
      <c r="AM38" s="554">
        <v>3.2500000000000001E-2</v>
      </c>
    </row>
    <row r="39" spans="1:41">
      <c r="A39" s="1448"/>
      <c r="B39" s="25" t="s">
        <v>117</v>
      </c>
      <c r="C39" s="969" t="str">
        <f>"Version "&amp;TEXT(MONTH(Enddatum),"00")&amp;"/"&amp;TEXT(YEAR(Enddatum),"####")</f>
        <v>Version 07/2026</v>
      </c>
      <c r="D39" s="969"/>
      <c r="E39" s="970" t="s">
        <v>844</v>
      </c>
      <c r="F39" s="970"/>
      <c r="G39" s="970"/>
      <c r="H39" s="970"/>
      <c r="I39" s="455"/>
      <c r="J39" s="455"/>
      <c r="K39" s="455"/>
      <c r="L39" s="211"/>
      <c r="M39" s="215"/>
      <c r="N39" s="215"/>
      <c r="O39" s="215"/>
      <c r="P39" s="215"/>
      <c r="Q39" s="215"/>
      <c r="R39" s="215"/>
      <c r="S39" s="215"/>
      <c r="T39" s="215"/>
      <c r="U39" s="215"/>
      <c r="V39" s="215"/>
      <c r="W39" s="215"/>
      <c r="X39" s="429"/>
      <c r="Y39" s="429"/>
      <c r="Z39" s="429"/>
      <c r="AA39" s="429"/>
      <c r="AB39" s="429"/>
      <c r="AD39" t="s">
        <v>286</v>
      </c>
      <c r="AE39" t="s">
        <v>502</v>
      </c>
      <c r="AG39" t="s">
        <v>613</v>
      </c>
      <c r="AH39" t="e">
        <f>INT(AH33)</f>
        <v>#VALUE!</v>
      </c>
      <c r="AI39" t="e">
        <f>INT(AI33)</f>
        <v>#VALUE!</v>
      </c>
      <c r="AM39" s="247">
        <v>3.5000000000000003E-2</v>
      </c>
    </row>
    <row r="40" spans="1:41" ht="15" hidden="1">
      <c r="B40" s="773" t="s">
        <v>322</v>
      </c>
      <c r="C40" s="774"/>
      <c r="D40" s="775" t="str">
        <f>IFERROR(D20/D12,"")</f>
        <v/>
      </c>
      <c r="E40" s="775" t="str">
        <f t="shared" ref="E40:K40" si="5">IFERROR(E20/E12,"")</f>
        <v/>
      </c>
      <c r="F40" s="775" t="str">
        <f t="shared" si="5"/>
        <v/>
      </c>
      <c r="G40" s="775" t="str">
        <f t="shared" si="5"/>
        <v/>
      </c>
      <c r="H40" s="775" t="str">
        <f t="shared" si="5"/>
        <v/>
      </c>
      <c r="I40" s="775" t="str">
        <f t="shared" si="5"/>
        <v/>
      </c>
      <c r="J40" s="775" t="str">
        <f t="shared" si="5"/>
        <v/>
      </c>
      <c r="K40" s="775" t="str">
        <f t="shared" si="5"/>
        <v/>
      </c>
      <c r="L40" s="25"/>
      <c r="AC40" t="s">
        <v>559</v>
      </c>
      <c r="AD40" s="148">
        <v>150027</v>
      </c>
      <c r="AE40" s="148">
        <v>98164</v>
      </c>
      <c r="AM40" s="554">
        <v>3.7499999999999999E-2</v>
      </c>
    </row>
    <row r="41" spans="1:41" ht="15" hidden="1">
      <c r="B41" s="773"/>
      <c r="C41" s="774"/>
      <c r="D41" s="775" t="s">
        <v>13</v>
      </c>
      <c r="E41" s="775"/>
      <c r="F41" s="775"/>
      <c r="G41" s="775"/>
      <c r="H41" s="775"/>
      <c r="I41" s="775" t="s">
        <v>13</v>
      </c>
      <c r="J41" s="775"/>
      <c r="K41" s="775"/>
      <c r="L41" s="25"/>
      <c r="AD41" s="148"/>
      <c r="AE41" s="148"/>
      <c r="AM41" s="554"/>
    </row>
    <row r="42" spans="1:41" ht="15" hidden="1">
      <c r="B42" s="773"/>
      <c r="C42" s="774"/>
      <c r="D42" s="777"/>
      <c r="E42" s="777"/>
      <c r="F42" s="777"/>
      <c r="G42" s="777"/>
      <c r="H42" s="777"/>
      <c r="I42" s="778" t="e">
        <f>+I40/D40</f>
        <v>#VALUE!</v>
      </c>
      <c r="J42" s="777"/>
      <c r="K42" s="777"/>
      <c r="L42" s="25"/>
      <c r="AD42" s="148"/>
      <c r="AE42" s="148"/>
      <c r="AM42" s="554"/>
    </row>
    <row r="43" spans="1:41" ht="15" hidden="1">
      <c r="B43" s="3083" t="str">
        <f>"Alters-Rentenertrag / Kapitalwert: "&amp;TEXT(D16,"#.##0,00")&amp;" / "&amp;TEXT(Adaequanz_errechneterKapWert,"#.##0,00")</f>
        <v>Alters-Rentenertrag / Kapitalwert:  / 0,00</v>
      </c>
      <c r="C43" s="3084"/>
      <c r="D43" s="776" t="e">
        <f>+D16/D20</f>
        <v>#VALUE!</v>
      </c>
      <c r="E43" s="776" t="e">
        <f>+E16/E20</f>
        <v>#VALUE!</v>
      </c>
      <c r="G43">
        <v>51863</v>
      </c>
      <c r="L43" s="25"/>
      <c r="AC43" t="s">
        <v>21</v>
      </c>
      <c r="AD43" s="148">
        <v>571</v>
      </c>
      <c r="AE43" s="148">
        <v>434.37</v>
      </c>
      <c r="AM43" s="247">
        <v>0.04</v>
      </c>
    </row>
    <row r="44" spans="1:41" ht="15" hidden="1">
      <c r="B44" s="3083" t="s">
        <v>321</v>
      </c>
      <c r="C44" s="3084"/>
      <c r="D44" s="3082" t="e">
        <f>(E43/D43)</f>
        <v>#VALUE!</v>
      </c>
      <c r="E44" s="3082"/>
      <c r="F44">
        <v>150027</v>
      </c>
      <c r="G44">
        <v>229290</v>
      </c>
      <c r="H44">
        <f>+G44+F44</f>
        <v>379317</v>
      </c>
      <c r="L44" s="25"/>
      <c r="O44" s="246"/>
      <c r="P44" s="148"/>
      <c r="Q44" s="148"/>
      <c r="R44" s="148"/>
      <c r="S44" s="245"/>
      <c r="V44" s="245"/>
      <c r="AC44" t="s">
        <v>560</v>
      </c>
      <c r="AD44" s="148">
        <f>+AD40/AD43</f>
        <v>262.74430823117336</v>
      </c>
      <c r="AE44" s="148">
        <f>+AE40/AE43</f>
        <v>225.99166609112046</v>
      </c>
    </row>
    <row r="45" spans="1:41" ht="15" hidden="1">
      <c r="B45" s="3083" t="str">
        <f>"Alters- &amp; Nebenleistungs-Rentenertrag / Kapitalwert: "&amp;TEXT(D18,"#.##0,00")&amp;" / "&amp;TEXT(Adaequanz_errechneterKapWert,"#.##0,00")</f>
        <v>Alters- &amp; Nebenleistungs-Rentenertrag / Kapitalwert: 0,00 / 0,00</v>
      </c>
      <c r="C45" s="3084"/>
      <c r="D45" s="251" t="e">
        <f>+D22/D20</f>
        <v>#DIV/0!</v>
      </c>
      <c r="E45" s="251" t="e">
        <f>+E22/E20</f>
        <v>#VALUE!</v>
      </c>
      <c r="F45">
        <f>+F44/H44</f>
        <v>0.39551878771581556</v>
      </c>
      <c r="G45">
        <f>+G44/H44</f>
        <v>0.6044812122841845</v>
      </c>
      <c r="L45" s="25"/>
      <c r="O45" s="246"/>
      <c r="P45" s="148"/>
      <c r="Q45" s="148"/>
      <c r="R45" s="148"/>
      <c r="AC45" t="s">
        <v>561</v>
      </c>
      <c r="AD45" s="197">
        <f>1-AE45+1</f>
        <v>1.1398798793681819</v>
      </c>
      <c r="AE45" s="415">
        <f>+AE44/AD44</f>
        <v>0.8601201206318182</v>
      </c>
    </row>
    <row r="46" spans="1:41" ht="15" hidden="1">
      <c r="B46" s="3083" t="s">
        <v>321</v>
      </c>
      <c r="C46" s="3084"/>
      <c r="D46" s="3082" t="e">
        <f>(E45/D45)</f>
        <v>#VALUE!</v>
      </c>
      <c r="E46" s="3082"/>
      <c r="L46" s="25"/>
    </row>
    <row r="47" spans="1:41" hidden="1">
      <c r="E47" s="365" t="e">
        <f>+E61/Adaequanz_errechneterKapWert-1</f>
        <v>#VALUE!</v>
      </c>
      <c r="L47" s="25"/>
    </row>
    <row r="48" spans="1:41" hidden="1">
      <c r="B48" s="3088" t="str">
        <f>"Beitrag von "&amp;TEXT(Adaequanz_Ausgleichswert1,"#.##0 €")&amp;" führt bez. auf den "&amp;TEXT(B_Dat,"T.M.J")&amp;" zu DRV-Rentenbarwert i.H.v. "&amp;TEXT(E60,"#.##0 €")&amp;"."</f>
        <v>Beitrag von 0 € führt bez. auf den 30.6.26 zu DRV-Rentenbarwert i.H.v. 0 €.</v>
      </c>
      <c r="C48" s="3088"/>
      <c r="D48" s="3088"/>
      <c r="F48" t="e">
        <f>E15*12/5.19%+1/(1.0519^19.92)</f>
        <v>#VALUE!</v>
      </c>
      <c r="L48" s="25"/>
    </row>
    <row r="49" spans="2:17" hidden="1">
      <c r="E49" s="208" t="e">
        <f>(E15*12)*(1/(P15/100)-1/5.16%*(1+5.16%)^19.92)</f>
        <v>#VALUE!</v>
      </c>
      <c r="L49" s="25"/>
    </row>
    <row r="50" spans="2:17" hidden="1">
      <c r="E50" s="242">
        <f>PV(5.19%-2%,19.92,409.41*12)</f>
        <v>-71617.514554685782</v>
      </c>
      <c r="F50">
        <f>409.41*(1/5%-1/(5%*(1+5%)^19))</f>
        <v>4947.851213156262</v>
      </c>
      <c r="L50" s="25"/>
    </row>
    <row r="51" spans="2:17" ht="22.5" hidden="1">
      <c r="B51" s="207" t="s">
        <v>327</v>
      </c>
      <c r="C51" s="256" t="b">
        <v>0</v>
      </c>
      <c r="F51">
        <f>VLOOKUP(IF(AND(D5&gt;0,BerechnetAuf=2),D5,B_Dat),Umrechnungsfaktoren,WO_Schalter)</f>
        <v>1.0350269999999999E-4</v>
      </c>
      <c r="L51" s="25"/>
    </row>
    <row r="52" spans="2:17" hidden="1">
      <c r="B52" s="138" t="s">
        <v>325</v>
      </c>
      <c r="C52" s="138"/>
      <c r="D52" s="255">
        <f>+D10</f>
        <v>0</v>
      </c>
      <c r="E52" s="254">
        <f>IFERROR(+E53-E9,0)</f>
        <v>0</v>
      </c>
      <c r="F52" s="148">
        <f>(((1+F14)^F10-1)/F14)*Adaequanz_RentenhoeheVersAusglK*12</f>
        <v>0</v>
      </c>
      <c r="G52">
        <f>VLOOKUP(IF(AND(D5&gt;0,BerechnetAuf=2),D5,B_Dat),Umrechnungsfaktoren,WO_Schalter)</f>
        <v>1.0350269999999999E-4</v>
      </c>
      <c r="H52" s="148" t="e">
        <f>-PV(P15/100-H14,H10,H15*12)*(1+H19)</f>
        <v>#VALUE!</v>
      </c>
      <c r="I52" s="148"/>
      <c r="J52" s="148"/>
      <c r="K52" s="148"/>
      <c r="L52" s="25"/>
      <c r="Q52" s="244"/>
    </row>
    <row r="53" spans="2:17" hidden="1">
      <c r="B53" s="138" t="s">
        <v>326</v>
      </c>
      <c r="C53" s="138"/>
      <c r="D53" s="255">
        <f>D9+D10</f>
        <v>0</v>
      </c>
      <c r="E53" s="255">
        <f>IFERROR(IF(E9+E10&gt;D53,D53,E9+E10),0)</f>
        <v>0</v>
      </c>
      <c r="H53" s="148" t="e">
        <f>-PV(P15/100,H11,,H52)</f>
        <v>#VALUE!</v>
      </c>
      <c r="I53" s="148"/>
      <c r="J53" s="148"/>
      <c r="K53" s="148"/>
      <c r="L53" s="25"/>
      <c r="Q53" s="148"/>
    </row>
    <row r="54" spans="2:17" hidden="1">
      <c r="H54" t="e">
        <f>IF(VLOOKUP(H9,CHOOSE(Sexwahl,G_Kohorte_F,G_Kohorte_M,G_Kohorte_N),YEAR(H7)-1900+1)/VLOOKUP(H8,CHOOSE(Sexwahl,G_Kohorte_F,G_Kohorte_M,G_Kohorte_N),YEAR(H7)-1900+1)&gt;1,1,VLOOKUP(H9,CHOOSE(Sexwahl,G_Kohorte_F,G_Kohorte_M,G_Kohorte_N),YEAR(H7)-1900+1)/VLOOKUP(H8,CHOOSE(Sexwahl,G_Kohorte_F,G_Kohorte_M,G_Kohorte_N),YEAR(H7)-1900+1))</f>
        <v>#N/A</v>
      </c>
      <c r="L54" s="25"/>
    </row>
    <row r="55" spans="2:17" ht="15" hidden="1">
      <c r="B55" s="3087"/>
      <c r="C55" s="3087"/>
      <c r="D55" s="370"/>
      <c r="H55" s="262" t="e">
        <f>+H54*H53</f>
        <v>#N/A</v>
      </c>
      <c r="I55" s="456"/>
      <c r="J55" s="456"/>
      <c r="K55" s="456"/>
      <c r="L55" s="25"/>
    </row>
    <row r="56" spans="2:17" ht="20.25" hidden="1">
      <c r="B56" s="3085" t="s">
        <v>505</v>
      </c>
      <c r="C56" s="3086"/>
      <c r="D56" s="3086"/>
      <c r="E56" s="3086"/>
      <c r="F56" s="384"/>
      <c r="G56" s="384"/>
      <c r="H56" s="385"/>
      <c r="I56" s="457"/>
      <c r="J56" s="457"/>
      <c r="K56" s="457"/>
      <c r="L56" s="25"/>
      <c r="O56" s="148"/>
    </row>
    <row r="57" spans="2:17" hidden="1">
      <c r="B57" s="3064" t="s">
        <v>401</v>
      </c>
      <c r="C57" s="3065"/>
      <c r="D57" s="3065"/>
      <c r="E57" s="349">
        <f>+Q16</f>
        <v>0</v>
      </c>
      <c r="F57" s="349">
        <f>+R16</f>
        <v>0</v>
      </c>
      <c r="G57" s="371">
        <f>ROUND(S16,0)</f>
        <v>0</v>
      </c>
      <c r="H57" s="371">
        <f>ROUND(T16,0)</f>
        <v>0</v>
      </c>
      <c r="I57" s="458"/>
      <c r="J57" s="458"/>
      <c r="K57" s="458"/>
      <c r="L57" s="25"/>
      <c r="O57" s="148"/>
    </row>
    <row r="58" spans="2:17" hidden="1">
      <c r="B58" s="3064" t="s">
        <v>523</v>
      </c>
      <c r="C58" s="3065"/>
      <c r="D58" s="3065"/>
      <c r="E58" s="349" t="str">
        <f>IFERROR(IF(E11&gt;0,-PV($P$15/100,E11,,E57),E57),"")</f>
        <v/>
      </c>
      <c r="F58" s="349" t="str">
        <f>IFERROR(IF(F11&gt;0,-PV($P$15/100,F11,,F57),F57),"")</f>
        <v/>
      </c>
      <c r="G58" s="371" t="str">
        <f>IFERROR(IF(G11&gt;0,-PV($P$15/100,G11,,G57),G57),"")</f>
        <v/>
      </c>
      <c r="H58" s="371" t="str">
        <f>IFERROR(IF(H11&gt;0,-PV($P$15/100,H11,,H57),H57),"")</f>
        <v/>
      </c>
      <c r="I58" s="458"/>
      <c r="J58" s="458"/>
      <c r="K58" s="458"/>
      <c r="L58" s="25"/>
    </row>
    <row r="59" spans="2:17" hidden="1">
      <c r="B59" s="3064" t="s">
        <v>402</v>
      </c>
      <c r="C59" s="3065"/>
      <c r="D59" s="3065"/>
      <c r="E59" s="350" t="str">
        <f>IFERROR(+Q19,"")</f>
        <v/>
      </c>
      <c r="F59" s="350" t="str">
        <f>IFERROR(+R19,"")</f>
        <v/>
      </c>
      <c r="G59" s="372" t="str">
        <f>IFERROR(+S19,"")</f>
        <v/>
      </c>
      <c r="H59" s="378" t="e">
        <f>T19</f>
        <v>#VALUE!</v>
      </c>
      <c r="I59" s="459"/>
      <c r="J59" s="459"/>
      <c r="K59" s="459"/>
      <c r="L59" s="25"/>
      <c r="O59" s="246"/>
      <c r="P59" s="148"/>
      <c r="Q59" s="148"/>
    </row>
    <row r="60" spans="2:17" hidden="1">
      <c r="B60" s="3064" t="s">
        <v>403</v>
      </c>
      <c r="C60" s="3065"/>
      <c r="D60" s="3065"/>
      <c r="E60" s="351">
        <f>+IFERROR(E19,"")</f>
        <v>0</v>
      </c>
      <c r="F60" s="351">
        <f>+F19</f>
        <v>0</v>
      </c>
      <c r="G60" s="373" t="str">
        <f>+G19</f>
        <v/>
      </c>
      <c r="H60" s="379">
        <f>+H19</f>
        <v>1.6999999999999999E-3</v>
      </c>
      <c r="I60" s="460"/>
      <c r="J60" s="460"/>
      <c r="K60" s="460"/>
      <c r="L60" s="25"/>
    </row>
    <row r="61" spans="2:17" ht="15" hidden="1">
      <c r="B61" s="3071" t="s">
        <v>535</v>
      </c>
      <c r="C61" s="3072"/>
      <c r="D61" s="3072"/>
      <c r="E61" s="352" t="str">
        <f>IFERROR(IF(DRVJa,ROUND(E58*E59*(1+E60),0),""),"")</f>
        <v/>
      </c>
      <c r="F61" s="352" t="str">
        <f>IFERROR(IF(VersAusglKJa,ROUND(F58*F59*(1+F60),0),""),"")</f>
        <v/>
      </c>
      <c r="G61" s="374" t="str">
        <f>IFERROR(IF(SonstJa,ROUND(G58*G59*(1+G60),0),""),"")</f>
        <v/>
      </c>
      <c r="H61" s="380" t="str">
        <f>IFERROR(IF(DRVAusglBerJa,ROUND(H58*H59*(1+H60),0),"")+SUM(I20:K20),"")</f>
        <v/>
      </c>
      <c r="I61" s="461"/>
      <c r="J61" s="461"/>
      <c r="K61" s="461"/>
      <c r="L61" s="25"/>
    </row>
    <row r="62" spans="2:17" ht="15" hidden="1">
      <c r="B62" s="3073" t="s">
        <v>534</v>
      </c>
      <c r="C62" s="3074"/>
      <c r="D62" s="3075"/>
      <c r="E62" s="366" t="str">
        <f>IFERROR(IF(E61&gt;0,E61/Adaequanz_errechneterKapWert-1,""),"")</f>
        <v/>
      </c>
      <c r="F62" s="366" t="str">
        <f>IFERROR(IF(F61&gt;0,F61/Adaequanz_errechneterKapWert-1,""),"")</f>
        <v/>
      </c>
      <c r="G62" s="375" t="str">
        <f>IFERROR(IF(G61&gt;0,G61/Adaequanz_errechneterKapWert-1,""),"")</f>
        <v/>
      </c>
      <c r="H62" s="381" t="str">
        <f>IFERROR(IF(H61&gt;0,H61/Adaequanz_errechneterKapWert-1,""),"")</f>
        <v/>
      </c>
      <c r="I62" s="462"/>
      <c r="J62" s="462"/>
      <c r="K62" s="462"/>
      <c r="L62" s="25"/>
    </row>
    <row r="63" spans="2:17" hidden="1">
      <c r="B63" s="3064" t="s">
        <v>404</v>
      </c>
      <c r="C63" s="3065"/>
      <c r="D63" s="3065"/>
      <c r="E63" s="366" t="str">
        <f>IFERROR(IF(+Adaequanz_errechneterKapWert/E61&gt;1,+Adaequanz_errechneterKapWert/E61,0),"")</f>
        <v/>
      </c>
      <c r="F63" s="366" t="str">
        <f>IFERROR(IF(+Adaequanz_errechneterKapWert/F61&gt;1,+Adaequanz_errechneterKapWert/F61,0),"")</f>
        <v/>
      </c>
      <c r="G63" s="375" t="str">
        <f>IFERROR(IF(+Adaequanz_errechneterKapWert/G61&gt;1,+Adaequanz_errechneterKapWert/G61,0),"")</f>
        <v/>
      </c>
      <c r="H63" s="387" t="str">
        <f>IFERROR(IF(+Adaequanz_errechneterKapWert/H61&gt;1,+Adaequanz_errechneterKapWert/H61,0),"")</f>
        <v/>
      </c>
      <c r="I63" s="463"/>
      <c r="J63" s="463"/>
      <c r="K63" s="463"/>
      <c r="L63" s="25"/>
    </row>
    <row r="64" spans="2:17" ht="15" hidden="1" thickBot="1">
      <c r="B64" s="3069" t="str">
        <f>"Aufstockung des Ausgleichswerts von "&amp;TEXT(Adaequanz_errechneterKapWert,"#.##0")&amp;" zur Erreichung von 90% des Barwerts der Quellversorgung auf:"</f>
        <v>Aufstockung des Ausgleichswerts von 0 zur Erreichung von 90% des Barwerts der Quellversorgung auf:</v>
      </c>
      <c r="C64" s="3070"/>
      <c r="D64" s="3070"/>
      <c r="E64" s="353" t="str">
        <f>IFERROR(IF(E63&gt;1,E63*Adaequanz_errechneterKapWert*0.9,""),"")</f>
        <v/>
      </c>
      <c r="F64" s="353" t="str">
        <f>IFERROR(IF(F63&gt;1,F63*Adaequanz_errechneterKapWert*0.9,""),"")</f>
        <v/>
      </c>
      <c r="G64" s="376" t="str">
        <f>IFERROR(IF(G63&gt;1,G63*Adaequanz_errechneterKapWert*0.9,""),"")</f>
        <v/>
      </c>
      <c r="H64" s="382" t="str">
        <f>IFERROR(IF(H63&gt;1,H63*Adaequanz_errechneterKapWert*0.9,""),"")</f>
        <v/>
      </c>
      <c r="I64" s="458"/>
      <c r="J64" s="458"/>
      <c r="K64" s="458"/>
      <c r="L64" s="25"/>
    </row>
    <row r="65" spans="1:11" ht="15.75" hidden="1" thickBot="1">
      <c r="B65" s="3066" t="str">
        <f>+B27</f>
        <v>Zuschlag zum Ausgleichswert zur Erreichung einer adäquaten Versorgung in der Zielversorgung:</v>
      </c>
      <c r="C65" s="3067"/>
      <c r="D65" s="3068"/>
      <c r="E65" s="354" t="str">
        <f>IFERROR(IF(AND(DRVJa,E64-Adaequanz_errechneterKapWert&gt;0),E64-Adaequanz_errechneterKapWert,0),"")</f>
        <v/>
      </c>
      <c r="F65" s="355" t="str">
        <f>IFERROR(IF(AND(VersAusglKJa,+F64-Adaequanz_errechneterKapWert&gt;0),+F64-Adaequanz_errechneterKapWert,0),"")</f>
        <v/>
      </c>
      <c r="G65" s="377" t="str">
        <f>IFERROR(IF(AND(SonstJa,G64-Adaequanz_errechneterKapWert&gt;0),+G64-Adaequanz_errechneterKapWert,0),"")</f>
        <v/>
      </c>
      <c r="H65" s="383"/>
      <c r="I65" s="461"/>
      <c r="J65" s="461"/>
      <c r="K65" s="461"/>
    </row>
    <row r="68" spans="1:11" hidden="1">
      <c r="A68" s="1448">
        <v>28</v>
      </c>
      <c r="B68" s="3062" t="s">
        <v>562</v>
      </c>
      <c r="C68" s="3063"/>
      <c r="D68" s="446">
        <f>IFERROR(IF(E23&gt;0,(Adaequanz_Ausgleichswert1+E22)/2,""),"")</f>
        <v>0</v>
      </c>
      <c r="E68" s="446"/>
      <c r="F68" s="447"/>
      <c r="G68" s="447"/>
      <c r="H68" s="450"/>
      <c r="I68" s="464"/>
      <c r="J68" s="464"/>
      <c r="K68" s="464"/>
    </row>
    <row r="69" spans="1:11" hidden="1">
      <c r="A69" s="1448">
        <v>29</v>
      </c>
      <c r="B69" s="3062"/>
      <c r="C69" s="3063"/>
      <c r="D69" s="443" t="str">
        <f>IFERROR(IF(F23&gt;0,(Adaequanz_Ausgleichswert1+F22)/2,""),"")</f>
        <v/>
      </c>
      <c r="E69" s="443"/>
      <c r="F69" s="443"/>
      <c r="G69" s="448"/>
      <c r="H69" s="430"/>
      <c r="I69" s="465"/>
      <c r="J69" s="465"/>
      <c r="K69" s="465"/>
    </row>
    <row r="70" spans="1:11" hidden="1">
      <c r="A70" s="1448">
        <v>30</v>
      </c>
      <c r="B70" s="3062"/>
      <c r="C70" s="3063"/>
      <c r="D70" s="444" t="str">
        <f>IFERROR(IF(G23&gt;0,(Adaequanz_errechneterKapWert+G22)/2,""),"")</f>
        <v/>
      </c>
      <c r="E70" s="445"/>
      <c r="F70" s="445"/>
      <c r="G70" s="445"/>
      <c r="H70" s="430"/>
      <c r="I70" s="465"/>
      <c r="J70" s="465"/>
      <c r="K70" s="465"/>
    </row>
    <row r="71" spans="1:11" hidden="1">
      <c r="A71" s="1448">
        <v>31</v>
      </c>
      <c r="B71" s="3062"/>
      <c r="C71" s="3063"/>
      <c r="D71" s="449">
        <f>IFERROR(IF(H23&gt;0,(Adaequanz_errechneterKapWert+H22)/2,""),"")</f>
        <v>0</v>
      </c>
      <c r="E71" s="449"/>
      <c r="F71" s="449"/>
      <c r="G71" s="449"/>
      <c r="H71" s="451"/>
      <c r="I71" s="466"/>
      <c r="J71" s="466"/>
      <c r="K71" s="466"/>
    </row>
  </sheetData>
  <sheetProtection algorithmName="SHA-512" hashValue="j1iQjn97RIvnmp214a8+gT2vXj7vuQ5VI2i4O5rsH2H6DsQhrPh/3j7K8POJX7VhKTtW0u9dKQML8BTr21pbzw==" saltValue="T2dadJkl9W/GYewla4s41Q==" spinCount="100000" sheet="1" objects="1" scenarios="1" formatColumns="0" selectLockedCells="1" autoFilter="0"/>
  <dataConsolidate/>
  <mergeCells count="59">
    <mergeCell ref="B35:H38"/>
    <mergeCell ref="F29:H30"/>
    <mergeCell ref="F31:H34"/>
    <mergeCell ref="B27:D27"/>
    <mergeCell ref="B29:D29"/>
    <mergeCell ref="B28:H28"/>
    <mergeCell ref="B30:D30"/>
    <mergeCell ref="B31:D31"/>
    <mergeCell ref="B32:D32"/>
    <mergeCell ref="B34:D34"/>
    <mergeCell ref="I30:J30"/>
    <mergeCell ref="I34:J34"/>
    <mergeCell ref="I31:J31"/>
    <mergeCell ref="I32:J32"/>
    <mergeCell ref="X19:Y20"/>
    <mergeCell ref="I29:J29"/>
    <mergeCell ref="X21:Y25"/>
    <mergeCell ref="B57:D57"/>
    <mergeCell ref="B58:D58"/>
    <mergeCell ref="B23:D23"/>
    <mergeCell ref="H25:H27"/>
    <mergeCell ref="D46:E46"/>
    <mergeCell ref="B43:C43"/>
    <mergeCell ref="B56:E56"/>
    <mergeCell ref="B44:C44"/>
    <mergeCell ref="B55:C55"/>
    <mergeCell ref="B45:C45"/>
    <mergeCell ref="B46:C46"/>
    <mergeCell ref="B48:D48"/>
    <mergeCell ref="B33:D33"/>
    <mergeCell ref="B24:C24"/>
    <mergeCell ref="D24:E24"/>
    <mergeCell ref="D44:E44"/>
    <mergeCell ref="B71:C71"/>
    <mergeCell ref="B68:C68"/>
    <mergeCell ref="B59:D59"/>
    <mergeCell ref="B60:D60"/>
    <mergeCell ref="B65:D65"/>
    <mergeCell ref="B69:C69"/>
    <mergeCell ref="B64:D64"/>
    <mergeCell ref="B63:D63"/>
    <mergeCell ref="B61:D61"/>
    <mergeCell ref="B62:D62"/>
    <mergeCell ref="B70:C70"/>
    <mergeCell ref="AC18:AD18"/>
    <mergeCell ref="AC20:AD20"/>
    <mergeCell ref="B5:C5"/>
    <mergeCell ref="B8:C8"/>
    <mergeCell ref="F17:F19"/>
    <mergeCell ref="B16:C16"/>
    <mergeCell ref="A1:AA1"/>
    <mergeCell ref="H2:K2"/>
    <mergeCell ref="G4:G6"/>
    <mergeCell ref="B26:D26"/>
    <mergeCell ref="F4:F6"/>
    <mergeCell ref="B22:C22"/>
    <mergeCell ref="B25:D25"/>
    <mergeCell ref="AA2:AA3"/>
    <mergeCell ref="D2:E2"/>
  </mergeCells>
  <conditionalFormatting sqref="B27">
    <cfRule type="expression" dxfId="312" priority="312">
      <formula>SUM(E23:H23&lt;=0)</formula>
    </cfRule>
  </conditionalFormatting>
  <conditionalFormatting sqref="B29:B30">
    <cfRule type="expression" dxfId="311" priority="97">
      <formula>Algleichsgewinn=FALSE</formula>
    </cfRule>
  </conditionalFormatting>
  <conditionalFormatting sqref="B56">
    <cfRule type="expression" dxfId="310" priority="135">
      <formula>AND(Adaequanz_Kapitalleistung,D21=0)</formula>
    </cfRule>
  </conditionalFormatting>
  <conditionalFormatting sqref="B29:H34">
    <cfRule type="expression" dxfId="309" priority="540">
      <formula>AND(DFGT=TRUE,$C$4&gt;0,$D$6&lt;&gt;"",$C$7&gt;0,$D$9&gt;0,$D$12&gt;0)</formula>
    </cfRule>
  </conditionalFormatting>
  <conditionalFormatting sqref="B35:K38">
    <cfRule type="expression" dxfId="308" priority="98">
      <formula>Ausgleichsgewinn</formula>
    </cfRule>
  </conditionalFormatting>
  <conditionalFormatting sqref="B60:K60">
    <cfRule type="expression" dxfId="307" priority="136">
      <formula>Adaequanz_Kapitalleistung</formula>
    </cfRule>
  </conditionalFormatting>
  <conditionalFormatting sqref="B61:K61 B62 E62:K62">
    <cfRule type="expression" dxfId="306" priority="129">
      <formula>GrafikSchalter</formula>
    </cfRule>
  </conditionalFormatting>
  <conditionalFormatting sqref="C4">
    <cfRule type="expression" dxfId="305" priority="3">
      <formula>D4&lt;&gt;""</formula>
    </cfRule>
  </conditionalFormatting>
  <conditionalFormatting sqref="C7">
    <cfRule type="expression" dxfId="303" priority="5">
      <formula>AND($D$7="",$C$7&gt;0)</formula>
    </cfRule>
    <cfRule type="expression" dxfId="302" priority="8">
      <formula>OR(C7=0,C7=FALSE,D7&lt;&gt;"")</formula>
    </cfRule>
  </conditionalFormatting>
  <conditionalFormatting sqref="C12">
    <cfRule type="expression" dxfId="301" priority="12">
      <formula>AND(D12&gt;0,$D$12&lt;$T$3)</formula>
    </cfRule>
  </conditionalFormatting>
  <conditionalFormatting sqref="C21">
    <cfRule type="expression" dxfId="300" priority="11">
      <formula>AND(($D$20+$D$21)&gt;0,OR($D$20&lt;U3,AND(D21&gt;0,D21&lt;U3)))</formula>
    </cfRule>
  </conditionalFormatting>
  <conditionalFormatting sqref="C27">
    <cfRule type="expression" dxfId="299" priority="320">
      <formula>SUM(F23:K23&lt;=0)</formula>
    </cfRule>
  </conditionalFormatting>
  <conditionalFormatting sqref="D2">
    <cfRule type="expression" dxfId="298" priority="442">
      <formula>#REF!="nein"</formula>
    </cfRule>
    <cfRule type="expression" dxfId="297" priority="441">
      <formula>#REF!="Ja"</formula>
    </cfRule>
    <cfRule type="expression" dxfId="296" priority="440">
      <formula>#REF!=""</formula>
    </cfRule>
    <cfRule type="expression" dxfId="295" priority="439">
      <formula>#REF!="Jein"</formula>
    </cfRule>
  </conditionalFormatting>
  <conditionalFormatting sqref="D4">
    <cfRule type="expression" dxfId="294" priority="2">
      <formula>AND($C$4="",$D$4=0)</formula>
    </cfRule>
    <cfRule type="expression" dxfId="293" priority="1">
      <formula>BerechnetAuf = 2</formula>
    </cfRule>
  </conditionalFormatting>
  <conditionalFormatting sqref="D5">
    <cfRule type="expression" dxfId="292" priority="67">
      <formula>BerechnetAuf=1</formula>
    </cfRule>
    <cfRule type="expression" dxfId="291" priority="119">
      <formula>AND(N5=2,D5="")</formula>
    </cfRule>
  </conditionalFormatting>
  <conditionalFormatting sqref="D6">
    <cfRule type="expression" dxfId="290" priority="148">
      <formula>D6=""</formula>
    </cfRule>
  </conditionalFormatting>
  <conditionalFormatting sqref="D7">
    <cfRule type="expression" dxfId="289" priority="7">
      <formula>AND(D7="",C7=0)</formula>
    </cfRule>
  </conditionalFormatting>
  <conditionalFormatting sqref="D9">
    <cfRule type="expression" dxfId="288" priority="208">
      <formula>D9=""</formula>
    </cfRule>
    <cfRule type="expression" dxfId="287" priority="116">
      <formula>D9=""</formula>
    </cfRule>
  </conditionalFormatting>
  <conditionalFormatting sqref="D12">
    <cfRule type="expression" dxfId="286" priority="13">
      <formula>AND(D12&gt;0,$D$12&lt;$T$3)</formula>
    </cfRule>
    <cfRule type="expression" dxfId="285" priority="115">
      <formula>D12=""</formula>
    </cfRule>
  </conditionalFormatting>
  <conditionalFormatting sqref="D12:D14">
    <cfRule type="expression" dxfId="284" priority="205">
      <formula>D12=""</formula>
    </cfRule>
  </conditionalFormatting>
  <conditionalFormatting sqref="D17:D18">
    <cfRule type="expression" dxfId="283" priority="203">
      <formula>D17=""</formula>
    </cfRule>
  </conditionalFormatting>
  <conditionalFormatting sqref="D20">
    <cfRule type="expression" dxfId="282" priority="10">
      <formula>AND(D20&gt;0,$D$20&lt;BagatellgrenzeKapital)</formula>
    </cfRule>
    <cfRule type="colorScale" priority="59">
      <colorScale>
        <cfvo type="min"/>
        <cfvo type="max"/>
        <color rgb="FFFF0000"/>
        <color rgb="FF92D050"/>
      </colorScale>
    </cfRule>
    <cfRule type="colorScale" priority="60">
      <colorScale>
        <cfvo type="min"/>
        <cfvo type="percentile" val="50"/>
        <cfvo type="max"/>
        <color rgb="FFFF0000"/>
        <color rgb="FFFFEB84"/>
        <color rgb="FF00B050"/>
      </colorScale>
    </cfRule>
  </conditionalFormatting>
  <conditionalFormatting sqref="D21">
    <cfRule type="expression" dxfId="281" priority="9">
      <formula>AND($D$21&gt;0,$D$21&lt;$U$3)</formula>
    </cfRule>
  </conditionalFormatting>
  <conditionalFormatting sqref="D22">
    <cfRule type="colorScale" priority="163">
      <colorScale>
        <cfvo type="min"/>
        <cfvo type="percentile" val="50"/>
        <cfvo type="max"/>
        <color rgb="FFFF0000"/>
        <color rgb="FFFFEB84"/>
        <color rgb="FF00B050"/>
      </colorScale>
    </cfRule>
    <cfRule type="colorScale" priority="162">
      <colorScale>
        <cfvo type="min"/>
        <cfvo type="max"/>
        <color rgb="FFFF0000"/>
        <color rgb="FF92D050"/>
      </colorScale>
    </cfRule>
  </conditionalFormatting>
  <conditionalFormatting sqref="D24">
    <cfRule type="expression" dxfId="280" priority="153">
      <formula>AND(E8&lt;E9,E8&lt;&gt;"",E23&lt;-0.1,DRVJa)</formula>
    </cfRule>
  </conditionalFormatting>
  <conditionalFormatting sqref="D24:E24">
    <cfRule type="expression" dxfId="279" priority="55">
      <formula>AND($E$23&gt;0.1,$E$20&gt;0,DRVJa,$D$22+$E$22&gt;0)</formula>
    </cfRule>
  </conditionalFormatting>
  <conditionalFormatting sqref="D27:E27">
    <cfRule type="expression" dxfId="278" priority="294">
      <formula>SUM(G23:M23&lt;=0)</formula>
    </cfRule>
  </conditionalFormatting>
  <conditionalFormatting sqref="D20:G20">
    <cfRule type="colorScale" priority="18">
      <colorScale>
        <cfvo type="min"/>
        <cfvo type="percentile" val="50"/>
        <cfvo type="max"/>
        <color rgb="FFF8696B"/>
        <color rgb="FFFFEB84"/>
        <color rgb="FF63BE7B"/>
      </colorScale>
    </cfRule>
  </conditionalFormatting>
  <conditionalFormatting sqref="D22:G22">
    <cfRule type="colorScale" priority="17">
      <colorScale>
        <cfvo type="min"/>
        <cfvo type="percentile" val="50"/>
        <cfvo type="max"/>
        <color rgb="FFF8696B"/>
        <color rgb="FFFFEB84"/>
        <color rgb="FF63BE7B"/>
      </colorScale>
    </cfRule>
  </conditionalFormatting>
  <conditionalFormatting sqref="E3">
    <cfRule type="expression" dxfId="277" priority="455">
      <formula>AND(E22&gt;0,E26=#REF!)</formula>
    </cfRule>
    <cfRule type="expression" dxfId="276" priority="454">
      <formula>E20=0</formula>
    </cfRule>
  </conditionalFormatting>
  <conditionalFormatting sqref="E4">
    <cfRule type="expression" dxfId="275" priority="120">
      <formula>AND(E8&gt;=E9,E8&lt;&gt;"",DRVJa)</formula>
    </cfRule>
    <cfRule type="expression" dxfId="274" priority="75">
      <formula>DRVJa=FALSE</formula>
    </cfRule>
  </conditionalFormatting>
  <conditionalFormatting sqref="E6">
    <cfRule type="expression" dxfId="273" priority="46">
      <formula>OR(RentenerwerbDRV,$E$6&gt;0)</formula>
    </cfRule>
  </conditionalFormatting>
  <conditionalFormatting sqref="E7:E9 E11:E19">
    <cfRule type="expression" dxfId="272" priority="70">
      <formula>DRVJa=FALSE</formula>
    </cfRule>
  </conditionalFormatting>
  <conditionalFormatting sqref="E10">
    <cfRule type="expression" dxfId="271" priority="54">
      <formula>DRVJa=FALSE</formula>
    </cfRule>
  </conditionalFormatting>
  <conditionalFormatting sqref="E17:E18">
    <cfRule type="expression" dxfId="270" priority="191">
      <formula>E17=""</formula>
    </cfRule>
  </conditionalFormatting>
  <conditionalFormatting sqref="E20:E21">
    <cfRule type="expression" dxfId="269" priority="19">
      <formula>DRVJa=FALSE</formula>
    </cfRule>
  </conditionalFormatting>
  <conditionalFormatting sqref="E26">
    <cfRule type="expression" dxfId="268" priority="155">
      <formula>$E$22=0</formula>
    </cfRule>
  </conditionalFormatting>
  <conditionalFormatting sqref="E26:F26">
    <cfRule type="expression" dxfId="267" priority="123">
      <formula>E26=0</formula>
    </cfRule>
  </conditionalFormatting>
  <conditionalFormatting sqref="E26:G26">
    <cfRule type="colorScale" priority="158">
      <colorScale>
        <cfvo type="min"/>
        <cfvo type="percent" val="50"/>
        <cfvo type="max"/>
        <color rgb="FF00B050"/>
        <color rgb="FFFFEB84"/>
        <color rgb="FFFF3300"/>
      </colorScale>
    </cfRule>
  </conditionalFormatting>
  <conditionalFormatting sqref="E58:K58">
    <cfRule type="expression" dxfId="266" priority="137">
      <formula>Adaequanz_Kapitalleistung</formula>
    </cfRule>
  </conditionalFormatting>
  <conditionalFormatting sqref="F4">
    <cfRule type="expression" dxfId="265" priority="78">
      <formula>VersAusglKJa=FALSE</formula>
    </cfRule>
  </conditionalFormatting>
  <conditionalFormatting sqref="F7">
    <cfRule type="expression" dxfId="264" priority="74" stopIfTrue="1">
      <formula>VersAusglKJa=FALSE</formula>
    </cfRule>
  </conditionalFormatting>
  <conditionalFormatting sqref="F8">
    <cfRule type="expression" dxfId="263" priority="33">
      <formula>VersAusglKJa=FALSE</formula>
    </cfRule>
  </conditionalFormatting>
  <conditionalFormatting sqref="F9">
    <cfRule type="expression" dxfId="262" priority="29">
      <formula>VersAusglKJa=FALSE</formula>
    </cfRule>
  </conditionalFormatting>
  <conditionalFormatting sqref="F10">
    <cfRule type="expression" dxfId="261" priority="22">
      <formula>VersAusglKJa=FALSE</formula>
    </cfRule>
  </conditionalFormatting>
  <conditionalFormatting sqref="F11">
    <cfRule type="expression" dxfId="260" priority="21">
      <formula>VersAusglKJa=FALSE</formula>
    </cfRule>
  </conditionalFormatting>
  <conditionalFormatting sqref="F12">
    <cfRule type="expression" dxfId="259" priority="23">
      <formula>VersAusglKJa=FALSE</formula>
    </cfRule>
  </conditionalFormatting>
  <conditionalFormatting sqref="F13:F21">
    <cfRule type="expression" dxfId="258" priority="34">
      <formula>VersAusglKJa=FALSE</formula>
    </cfRule>
  </conditionalFormatting>
  <conditionalFormatting sqref="F27">
    <cfRule type="expression" dxfId="257" priority="122">
      <formula>F27=0</formula>
    </cfRule>
    <cfRule type="expression" dxfId="256" priority="453">
      <formula>SUM(I23:N23&lt;=0)</formula>
    </cfRule>
  </conditionalFormatting>
  <conditionalFormatting sqref="F9:G9">
    <cfRule type="expression" dxfId="255" priority="131">
      <formula>F9=""</formula>
    </cfRule>
  </conditionalFormatting>
  <conditionalFormatting sqref="F12:G12">
    <cfRule type="expression" dxfId="254" priority="27">
      <formula>F12=""</formula>
    </cfRule>
  </conditionalFormatting>
  <conditionalFormatting sqref="G4:G8">
    <cfRule type="expression" dxfId="253" priority="31">
      <formula>SonstJa=FALSE</formula>
    </cfRule>
  </conditionalFormatting>
  <conditionalFormatting sqref="G9">
    <cfRule type="expression" dxfId="252" priority="30">
      <formula>SonstJa=FALSE</formula>
    </cfRule>
  </conditionalFormatting>
  <conditionalFormatting sqref="G10">
    <cfRule type="expression" dxfId="251" priority="49">
      <formula>SonstJa=FALSE</formula>
    </cfRule>
  </conditionalFormatting>
  <conditionalFormatting sqref="G11">
    <cfRule type="expression" dxfId="250" priority="26">
      <formula>SonstJa=FALSE</formula>
    </cfRule>
  </conditionalFormatting>
  <conditionalFormatting sqref="G12">
    <cfRule type="expression" dxfId="249" priority="24">
      <formula>SonstJa=FALSE</formula>
    </cfRule>
  </conditionalFormatting>
  <conditionalFormatting sqref="G13:G14">
    <cfRule type="expression" dxfId="248" priority="16">
      <formula>SonstJa</formula>
    </cfRule>
  </conditionalFormatting>
  <conditionalFormatting sqref="G15">
    <cfRule type="expression" dxfId="247" priority="14">
      <formula>SonstJa</formula>
    </cfRule>
  </conditionalFormatting>
  <conditionalFormatting sqref="G17:G18">
    <cfRule type="expression" dxfId="246" priority="15">
      <formula>SonstJa</formula>
    </cfRule>
  </conditionalFormatting>
  <conditionalFormatting sqref="G26">
    <cfRule type="expression" dxfId="245" priority="157">
      <formula>$G$26=0</formula>
    </cfRule>
  </conditionalFormatting>
  <conditionalFormatting sqref="G27">
    <cfRule type="expression" dxfId="244" priority="451">
      <formula>SUM(M23:N23&lt;=0)</formula>
    </cfRule>
    <cfRule type="expression" dxfId="243" priority="121">
      <formula>G26=0</formula>
    </cfRule>
  </conditionalFormatting>
  <conditionalFormatting sqref="H6">
    <cfRule type="expression" dxfId="242" priority="44">
      <formula>RentenerwerbDRVBer</formula>
    </cfRule>
  </conditionalFormatting>
  <conditionalFormatting sqref="H7">
    <cfRule type="expression" dxfId="241" priority="264">
      <formula>AND(A2=1,H7&lt;&gt;"")</formula>
    </cfRule>
    <cfRule type="expression" dxfId="240" priority="265">
      <formula>AND(A2=1,H7="")</formula>
    </cfRule>
  </conditionalFormatting>
  <conditionalFormatting sqref="H7:H23 I10:K10">
    <cfRule type="expression" dxfId="239" priority="76">
      <formula>DRVAusglBerJa=FALSE</formula>
    </cfRule>
  </conditionalFormatting>
  <conditionalFormatting sqref="H8:H20 I10:K11 H22:H25 I8:K8 I15:K15 I18:I19 J19:K20 J25:K26">
    <cfRule type="expression" dxfId="238" priority="298">
      <formula>AND($H$7&gt;0,DRVAusglBerJa)</formula>
    </cfRule>
  </conditionalFormatting>
  <conditionalFormatting sqref="I5">
    <cfRule type="expression" dxfId="237" priority="390">
      <formula>#REF!=1</formula>
    </cfRule>
  </conditionalFormatting>
  <conditionalFormatting sqref="I9:K9">
    <cfRule type="expression" dxfId="236" priority="68">
      <formula>I9=""</formula>
    </cfRule>
  </conditionalFormatting>
  <conditionalFormatting sqref="I12:K12">
    <cfRule type="expression" dxfId="235" priority="61">
      <formula>I12=""</formula>
    </cfRule>
  </conditionalFormatting>
  <conditionalFormatting sqref="J6:K6">
    <cfRule type="expression" dxfId="234" priority="392">
      <formula>#REF!=1</formula>
    </cfRule>
  </conditionalFormatting>
  <conditionalFormatting sqref="J27:K27">
    <cfRule type="expression" dxfId="233" priority="449">
      <formula>SUM(#REF!&lt;=0)</formula>
    </cfRule>
  </conditionalFormatting>
  <dataValidations xWindow="1052" yWindow="1102" count="10">
    <dataValidation type="date" allowBlank="1" showInputMessage="1" showErrorMessage="1" errorTitle="Kapitalwertkontrolle" error="Es sind nur Datumsangaben zischen dem 1.1.1920 und dem letzten Tag des für diese Version des Programms maßgeblichen Pflegemonats zulässig. " prompt="Es sind nur Datumsangaben zischen dem 1.1.1920 und dem letzten Tag des für diese Version des Programms maßgeblichen Pflegemonats zulässig. " sqref="D5" xr:uid="{32456123-035C-4C08-B776-C64B8D090D04}">
      <formula1>7306</formula1>
      <formula2>Enddatum</formula2>
    </dataValidation>
    <dataValidation type="decimal" allowBlank="1" showInputMessage="1" showErrorMessage="1" errorTitle="Adaequanzprüfung" error="Renteneintrittsalter &lt;40 und &gt;70 ist unzulässig" sqref="D9" xr:uid="{FE581511-1E5E-478B-9CEB-36D431F34A9A}">
      <formula1>20</formula1>
      <formula2>75</formula2>
    </dataValidation>
    <dataValidation type="decimal" allowBlank="1" showInputMessage="1" showErrorMessage="1" errorTitle="Eingabefehler" error="Renteneintrittsalter muss &gt;=40 und &lt;=70 sein" sqref="F9" xr:uid="{2D8D3497-0EE5-4D34-AE88-5D03149CFA74}">
      <formula1>40</formula1>
      <formula2>70</formula2>
    </dataValidation>
    <dataValidation type="decimal" allowBlank="1" showInputMessage="1" showErrorMessage="1" errorTitle="Eingabebeschränkung" error="Rentenalter nur zwischen 40 und 70 möglich" sqref="G9" xr:uid="{132D12B0-BC36-4356-9F44-3CFC0A84E4BA}">
      <formula1>40</formula1>
      <formula2>70</formula2>
    </dataValidation>
    <dataValidation type="decimal" allowBlank="1" showInputMessage="1" showErrorMessage="1" errorTitle="Eingabebeschränkung" error="Werte &gt; 100% unzulässig" sqref="D17" xr:uid="{037F95BF-4295-4281-882D-5B4A6C88D9D5}">
      <formula1>0</formula1>
      <formula2>1</formula2>
    </dataValidation>
    <dataValidation type="decimal" allowBlank="1" showInputMessage="1" showErrorMessage="1" promptTitle="Eingabebeschränkung" prompt="Werte &gt;60% unzulässig" sqref="D18" xr:uid="{158B017E-B3C5-40F5-AD68-537898251C5F}">
      <formula1>0</formula1>
      <formula2>1</formula2>
    </dataValidation>
    <dataValidation type="decimal" allowBlank="1" showInputMessage="1" showErrorMessage="1" errorTitle="Eingabebeschränkung" error="Werte &gt;100% sind unzulässig" sqref="G17" xr:uid="{B5E499D9-15B6-45CB-9202-3A43A46C3CD0}">
      <formula1>0</formula1>
      <formula2>1</formula2>
    </dataValidation>
    <dataValidation type="decimal" allowBlank="1" showInputMessage="1" showErrorMessage="1" errorTitle="Eingabebeschränkung" error="Der Wert darf 60% nicht übersteigen" sqref="G18" xr:uid="{10CAC93B-627E-4D90-9ECE-2DD57D52FAB4}">
      <formula1>0</formula1>
      <formula2>0.6</formula2>
    </dataValidation>
    <dataValidation type="list" allowBlank="1" showInputMessage="1" showErrorMessage="1" promptTitle="Eingabebeschränkung" prompt="Eingaben m, w, d sind zulässig" sqref="D6" xr:uid="{5CA176B4-DF1A-40F4-9626-4A5EA29F16A3}">
      <formula1>$R$2:$R$4</formula1>
    </dataValidation>
    <dataValidation type="decimal" allowBlank="1" showInputMessage="1" showErrorMessage="1" errorTitle="Falscheingabe" error="Es sind nur eingaben zwischen 0 und 10% zulässig!" sqref="D13:D14" xr:uid="{B4AF1384-7588-4CA5-A412-CD0EE05D4F70}">
      <formula1>0</formula1>
      <formula2>0.1</formula2>
    </dataValidation>
  </dataValidations>
  <hyperlinks>
    <hyperlink ref="F3" r:id="rId1" display="https://alms.allianz.de/anonym/pages/start.xhtml?esales=VAUKAS" xr:uid="{4A00AC96-D6F4-405E-B0AA-F7BF936198BE}"/>
    <hyperlink ref="E39:H39" r:id="rId2" display="Mail an Rechtsanwalt Hauß: Hauss@Anwaelte-DU.de" xr:uid="{814CC854-1AE6-4E27-ACBF-9A5B77D36051}"/>
    <hyperlink ref="C21" r:id="rId3" display="https://www.gesetze-im-internet.de/versausglg/__18.html" xr:uid="{EA7A932E-A74E-4B9A-BBA0-5CD35A8F20B4}"/>
    <hyperlink ref="C12" r:id="rId4" display="https://www.gesetze-im-internet.de/versausglg/__18.html" xr:uid="{C88E6F04-A674-4112-B385-9E64ED3ABD69}"/>
    <hyperlink ref="C3" r:id="rId5" xr:uid="{DF82C3F5-0B70-47AA-98C3-074BDE5E42E6}"/>
    <hyperlink ref="C2" r:id="rId6" xr:uid="{5CF43212-F3FB-42A1-9168-4F83C4634F0A}"/>
  </hyperlinks>
  <printOptions horizontalCentered="1" verticalCentered="1"/>
  <pageMargins left="0" right="0" top="0.78740157480314965" bottom="0.78740157480314965" header="0.31496062992125984" footer="0.31496062992125984"/>
  <pageSetup paperSize="9" scale="84" orientation="landscape" r:id="rId7"/>
  <rowBreaks count="1" manualBreakCount="1">
    <brk id="24" min="1" max="17" man="1"/>
  </rowBreaks>
  <colBreaks count="2" manualBreakCount="2">
    <brk id="4" min="1" max="26" man="1"/>
    <brk id="23" max="1048575" man="1"/>
  </colBreaks>
  <cellWatches>
    <cellWatch r="D12"/>
  </cellWatches>
  <drawing r:id="rId8"/>
  <legacyDrawing r:id="rId9"/>
  <mc:AlternateContent xmlns:mc="http://schemas.openxmlformats.org/markup-compatibility/2006">
    <mc:Choice Requires="x14">
      <controls>
        <mc:AlternateContent xmlns:mc="http://schemas.openxmlformats.org/markup-compatibility/2006">
          <mc:Choice Requires="x14">
            <control shapeId="1787987" r:id="rId10" name="Check Box 83">
              <controlPr defaultSize="0" autoFill="0" autoLine="0" autoPict="0">
                <anchor moveWithCells="1">
                  <from>
                    <xdr:col>1</xdr:col>
                    <xdr:colOff>2362200</xdr:colOff>
                    <xdr:row>17</xdr:row>
                    <xdr:rowOff>180975</xdr:rowOff>
                  </from>
                  <to>
                    <xdr:col>1</xdr:col>
                    <xdr:colOff>3800475</xdr:colOff>
                    <xdr:row>18</xdr:row>
                    <xdr:rowOff>152400</xdr:rowOff>
                  </to>
                </anchor>
              </controlPr>
            </control>
          </mc:Choice>
        </mc:AlternateContent>
        <mc:AlternateContent xmlns:mc="http://schemas.openxmlformats.org/markup-compatibility/2006">
          <mc:Choice Requires="x14">
            <control shapeId="1787992" r:id="rId11" name="Check Box 88">
              <controlPr defaultSize="0" autoFill="0" autoLine="0" autoPict="0">
                <anchor moveWithCells="1">
                  <from>
                    <xdr:col>1</xdr:col>
                    <xdr:colOff>4676775</xdr:colOff>
                    <xdr:row>8</xdr:row>
                    <xdr:rowOff>0</xdr:rowOff>
                  </from>
                  <to>
                    <xdr:col>2</xdr:col>
                    <xdr:colOff>809625</xdr:colOff>
                    <xdr:row>9</xdr:row>
                    <xdr:rowOff>28575</xdr:rowOff>
                  </to>
                </anchor>
              </controlPr>
            </control>
          </mc:Choice>
        </mc:AlternateContent>
        <mc:AlternateContent xmlns:mc="http://schemas.openxmlformats.org/markup-compatibility/2006">
          <mc:Choice Requires="x14">
            <control shapeId="1787993" r:id="rId12" name="Check Box 89">
              <controlPr defaultSize="0" autoFill="0" autoLine="0" autoPict="0">
                <anchor moveWithCells="1">
                  <from>
                    <xdr:col>4</xdr:col>
                    <xdr:colOff>0</xdr:colOff>
                    <xdr:row>2</xdr:row>
                    <xdr:rowOff>371475</xdr:rowOff>
                  </from>
                  <to>
                    <xdr:col>4</xdr:col>
                    <xdr:colOff>257175</xdr:colOff>
                    <xdr:row>3</xdr:row>
                    <xdr:rowOff>47625</xdr:rowOff>
                  </to>
                </anchor>
              </controlPr>
            </control>
          </mc:Choice>
        </mc:AlternateContent>
        <mc:AlternateContent xmlns:mc="http://schemas.openxmlformats.org/markup-compatibility/2006">
          <mc:Choice Requires="x14">
            <control shapeId="1787994" r:id="rId13" name="Check Box 90">
              <controlPr defaultSize="0" autoFill="0" autoLine="0" autoPict="0">
                <anchor moveWithCells="1">
                  <from>
                    <xdr:col>5</xdr:col>
                    <xdr:colOff>28575</xdr:colOff>
                    <xdr:row>2</xdr:row>
                    <xdr:rowOff>371475</xdr:rowOff>
                  </from>
                  <to>
                    <xdr:col>5</xdr:col>
                    <xdr:colOff>228600</xdr:colOff>
                    <xdr:row>3</xdr:row>
                    <xdr:rowOff>28575</xdr:rowOff>
                  </to>
                </anchor>
              </controlPr>
            </control>
          </mc:Choice>
        </mc:AlternateContent>
        <mc:AlternateContent xmlns:mc="http://schemas.openxmlformats.org/markup-compatibility/2006">
          <mc:Choice Requires="x14">
            <control shapeId="1787995" r:id="rId14" name="Check Box 91">
              <controlPr defaultSize="0" autoFill="0" autoLine="0" autoPict="0">
                <anchor moveWithCells="1">
                  <from>
                    <xdr:col>6</xdr:col>
                    <xdr:colOff>28575</xdr:colOff>
                    <xdr:row>2</xdr:row>
                    <xdr:rowOff>371475</xdr:rowOff>
                  </from>
                  <to>
                    <xdr:col>6</xdr:col>
                    <xdr:colOff>276225</xdr:colOff>
                    <xdr:row>3</xdr:row>
                    <xdr:rowOff>28575</xdr:rowOff>
                  </to>
                </anchor>
              </controlPr>
            </control>
          </mc:Choice>
        </mc:AlternateContent>
        <mc:AlternateContent xmlns:mc="http://schemas.openxmlformats.org/markup-compatibility/2006">
          <mc:Choice Requires="x14">
            <control shapeId="1788010" r:id="rId15" name="Drop Down 106">
              <controlPr defaultSize="0" autoLine="0" autoPict="0">
                <anchor moveWithCells="1">
                  <from>
                    <xdr:col>1</xdr:col>
                    <xdr:colOff>4295775</xdr:colOff>
                    <xdr:row>19</xdr:row>
                    <xdr:rowOff>28575</xdr:rowOff>
                  </from>
                  <to>
                    <xdr:col>2</xdr:col>
                    <xdr:colOff>0</xdr:colOff>
                    <xdr:row>19</xdr:row>
                    <xdr:rowOff>200025</xdr:rowOff>
                  </to>
                </anchor>
              </controlPr>
            </control>
          </mc:Choice>
        </mc:AlternateContent>
        <mc:AlternateContent xmlns:mc="http://schemas.openxmlformats.org/markup-compatibility/2006">
          <mc:Choice Requires="x14">
            <control shapeId="1788029" r:id="rId16" name="Option Button 125">
              <controlPr defaultSize="0" autoFill="0" autoLine="0" autoPict="0">
                <anchor moveWithCells="1">
                  <from>
                    <xdr:col>1</xdr:col>
                    <xdr:colOff>66675</xdr:colOff>
                    <xdr:row>3</xdr:row>
                    <xdr:rowOff>66675</xdr:rowOff>
                  </from>
                  <to>
                    <xdr:col>1</xdr:col>
                    <xdr:colOff>1476375</xdr:colOff>
                    <xdr:row>3</xdr:row>
                    <xdr:rowOff>180975</xdr:rowOff>
                  </to>
                </anchor>
              </controlPr>
            </control>
          </mc:Choice>
        </mc:AlternateContent>
        <mc:AlternateContent xmlns:mc="http://schemas.openxmlformats.org/markup-compatibility/2006">
          <mc:Choice Requires="x14">
            <control shapeId="1788030" r:id="rId17" name="Option Button 126">
              <controlPr defaultSize="0" autoFill="0" autoLine="0" autoPict="0">
                <anchor moveWithCells="1">
                  <from>
                    <xdr:col>1</xdr:col>
                    <xdr:colOff>38100</xdr:colOff>
                    <xdr:row>4</xdr:row>
                    <xdr:rowOff>28575</xdr:rowOff>
                  </from>
                  <to>
                    <xdr:col>1</xdr:col>
                    <xdr:colOff>1876425</xdr:colOff>
                    <xdr:row>5</xdr:row>
                    <xdr:rowOff>0</xdr:rowOff>
                  </to>
                </anchor>
              </controlPr>
            </control>
          </mc:Choice>
        </mc:AlternateContent>
        <mc:AlternateContent xmlns:mc="http://schemas.openxmlformats.org/markup-compatibility/2006">
          <mc:Choice Requires="x14">
            <control shapeId="1788042" r:id="rId18" name="Check Box 138">
              <controlPr defaultSize="0" autoFill="0" autoLine="0" autoPict="0">
                <anchor moveWithCells="1">
                  <from>
                    <xdr:col>6</xdr:col>
                    <xdr:colOff>1104900</xdr:colOff>
                    <xdr:row>3</xdr:row>
                    <xdr:rowOff>28575</xdr:rowOff>
                  </from>
                  <to>
                    <xdr:col>7</xdr:col>
                    <xdr:colOff>1019175</xdr:colOff>
                    <xdr:row>4</xdr:row>
                    <xdr:rowOff>0</xdr:rowOff>
                  </to>
                </anchor>
              </controlPr>
            </control>
          </mc:Choice>
        </mc:AlternateContent>
        <mc:AlternateContent xmlns:mc="http://schemas.openxmlformats.org/markup-compatibility/2006">
          <mc:Choice Requires="x14">
            <control shapeId="1788044" r:id="rId19" name="Check Box 140">
              <controlPr defaultSize="0" autoFill="0" autoLine="0" autoPict="0">
                <anchor moveWithCells="1">
                  <from>
                    <xdr:col>6</xdr:col>
                    <xdr:colOff>1104900</xdr:colOff>
                    <xdr:row>2</xdr:row>
                    <xdr:rowOff>371475</xdr:rowOff>
                  </from>
                  <to>
                    <xdr:col>7</xdr:col>
                    <xdr:colOff>1019175</xdr:colOff>
                    <xdr:row>3</xdr:row>
                    <xdr:rowOff>28575</xdr:rowOff>
                  </to>
                </anchor>
              </controlPr>
            </control>
          </mc:Choice>
        </mc:AlternateContent>
        <mc:AlternateContent xmlns:mc="http://schemas.openxmlformats.org/markup-compatibility/2006">
          <mc:Choice Requires="x14">
            <control shapeId="1788047" r:id="rId20" name="Check Box 143">
              <controlPr defaultSize="0" autoFill="0" autoLine="0" autoPict="0">
                <anchor moveWithCells="1">
                  <from>
                    <xdr:col>1</xdr:col>
                    <xdr:colOff>4448175</xdr:colOff>
                    <xdr:row>4</xdr:row>
                    <xdr:rowOff>190500</xdr:rowOff>
                  </from>
                  <to>
                    <xdr:col>2</xdr:col>
                    <xdr:colOff>990600</xdr:colOff>
                    <xdr:row>6</xdr:row>
                    <xdr:rowOff>47625</xdr:rowOff>
                  </to>
                </anchor>
              </controlPr>
            </control>
          </mc:Choice>
        </mc:AlternateContent>
        <mc:AlternateContent xmlns:mc="http://schemas.openxmlformats.org/markup-compatibility/2006">
          <mc:Choice Requires="x14">
            <control shapeId="1788102" r:id="rId21" name="Check Box 198">
              <controlPr defaultSize="0" autoFill="0" autoLine="0" autoPict="0">
                <anchor moveWithCells="1">
                  <from>
                    <xdr:col>1</xdr:col>
                    <xdr:colOff>2362200</xdr:colOff>
                    <xdr:row>17</xdr:row>
                    <xdr:rowOff>180975</xdr:rowOff>
                  </from>
                  <to>
                    <xdr:col>1</xdr:col>
                    <xdr:colOff>3810000</xdr:colOff>
                    <xdr:row>18</xdr:row>
                    <xdr:rowOff>152400</xdr:rowOff>
                  </to>
                </anchor>
              </controlPr>
            </control>
          </mc:Choice>
        </mc:AlternateContent>
        <mc:AlternateContent xmlns:mc="http://schemas.openxmlformats.org/markup-compatibility/2006">
          <mc:Choice Requires="x14">
            <control shapeId="1788106" r:id="rId22" name="Drop Down 202">
              <controlPr defaultSize="0" autoLine="0" autoPict="0">
                <anchor moveWithCells="1">
                  <from>
                    <xdr:col>1</xdr:col>
                    <xdr:colOff>4295775</xdr:colOff>
                    <xdr:row>19</xdr:row>
                    <xdr:rowOff>28575</xdr:rowOff>
                  </from>
                  <to>
                    <xdr:col>2</xdr:col>
                    <xdr:colOff>0</xdr:colOff>
                    <xdr:row>19</xdr:row>
                    <xdr:rowOff>200025</xdr:rowOff>
                  </to>
                </anchor>
              </controlPr>
            </control>
          </mc:Choice>
        </mc:AlternateContent>
        <mc:AlternateContent xmlns:mc="http://schemas.openxmlformats.org/markup-compatibility/2006">
          <mc:Choice Requires="x14">
            <control shapeId="1788112" r:id="rId23" name="Check Box 208">
              <controlPr defaultSize="0" autoFill="0" autoLine="0" autoPict="0">
                <anchor moveWithCells="1">
                  <from>
                    <xdr:col>1</xdr:col>
                    <xdr:colOff>4714875</xdr:colOff>
                    <xdr:row>16</xdr:row>
                    <xdr:rowOff>28575</xdr:rowOff>
                  </from>
                  <to>
                    <xdr:col>2</xdr:col>
                    <xdr:colOff>485775</xdr:colOff>
                    <xdr:row>17</xdr:row>
                    <xdr:rowOff>28575</xdr:rowOff>
                  </to>
                </anchor>
              </controlPr>
            </control>
          </mc:Choice>
        </mc:AlternateContent>
        <mc:AlternateContent xmlns:mc="http://schemas.openxmlformats.org/markup-compatibility/2006">
          <mc:Choice Requires="x14">
            <control shapeId="1788183" r:id="rId24" name="Check Box 279">
              <controlPr defaultSize="0" autoFill="0" autoLine="0" autoPict="0">
                <anchor moveWithCells="1">
                  <from>
                    <xdr:col>3</xdr:col>
                    <xdr:colOff>0</xdr:colOff>
                    <xdr:row>2</xdr:row>
                    <xdr:rowOff>381000</xdr:rowOff>
                  </from>
                  <to>
                    <xdr:col>3</xdr:col>
                    <xdr:colOff>219075</xdr:colOff>
                    <xdr:row>3</xdr:row>
                    <xdr:rowOff>0</xdr:rowOff>
                  </to>
                </anchor>
              </controlPr>
            </control>
          </mc:Choice>
        </mc:AlternateContent>
        <mc:AlternateContent xmlns:mc="http://schemas.openxmlformats.org/markup-compatibility/2006">
          <mc:Choice Requires="x14">
            <control shapeId="1788201" r:id="rId25" name="Check Box 297">
              <controlPr defaultSize="0" autoFill="0" autoLine="0" autoPict="0">
                <anchor moveWithCells="1">
                  <from>
                    <xdr:col>1</xdr:col>
                    <xdr:colOff>3571875</xdr:colOff>
                    <xdr:row>19</xdr:row>
                    <xdr:rowOff>0</xdr:rowOff>
                  </from>
                  <to>
                    <xdr:col>1</xdr:col>
                    <xdr:colOff>4295775</xdr:colOff>
                    <xdr:row>20</xdr:row>
                    <xdr:rowOff>0</xdr:rowOff>
                  </to>
                </anchor>
              </controlPr>
            </control>
          </mc:Choice>
        </mc:AlternateContent>
        <mc:AlternateContent xmlns:mc="http://schemas.openxmlformats.org/markup-compatibility/2006">
          <mc:Choice Requires="x14">
            <control shapeId="1788203" r:id="rId26" name="Check Box 299">
              <controlPr defaultSize="0" autoFill="0" autoLine="0" autoPict="0">
                <anchor moveWithCells="1">
                  <from>
                    <xdr:col>4</xdr:col>
                    <xdr:colOff>0</xdr:colOff>
                    <xdr:row>4</xdr:row>
                    <xdr:rowOff>28575</xdr:rowOff>
                  </from>
                  <to>
                    <xdr:col>4</xdr:col>
                    <xdr:colOff>180975</xdr:colOff>
                    <xdr:row>5</xdr:row>
                    <xdr:rowOff>0</xdr:rowOff>
                  </to>
                </anchor>
              </controlPr>
            </control>
          </mc:Choice>
        </mc:AlternateContent>
        <mc:AlternateContent xmlns:mc="http://schemas.openxmlformats.org/markup-compatibility/2006">
          <mc:Choice Requires="x14">
            <control shapeId="1788204" r:id="rId27" name="Check Box 300">
              <controlPr defaultSize="0" autoFill="0" autoLine="0" autoPict="0">
                <anchor moveWithCells="1">
                  <from>
                    <xdr:col>26</xdr:col>
                    <xdr:colOff>28575</xdr:colOff>
                    <xdr:row>2</xdr:row>
                    <xdr:rowOff>561975</xdr:rowOff>
                  </from>
                  <to>
                    <xdr:col>26</xdr:col>
                    <xdr:colOff>257175</xdr:colOff>
                    <xdr:row>4</xdr:row>
                    <xdr:rowOff>28575</xdr:rowOff>
                  </to>
                </anchor>
              </controlPr>
            </control>
          </mc:Choice>
        </mc:AlternateContent>
        <mc:AlternateContent xmlns:mc="http://schemas.openxmlformats.org/markup-compatibility/2006">
          <mc:Choice Requires="x14">
            <control shapeId="1788205" r:id="rId28" name="Check Box 301">
              <controlPr defaultSize="0" autoFill="0" autoLine="0" autoPict="0">
                <anchor moveWithCells="1">
                  <from>
                    <xdr:col>6</xdr:col>
                    <xdr:colOff>1104900</xdr:colOff>
                    <xdr:row>4</xdr:row>
                    <xdr:rowOff>28575</xdr:rowOff>
                  </from>
                  <to>
                    <xdr:col>7</xdr:col>
                    <xdr:colOff>228600</xdr:colOff>
                    <xdr:row>5</xdr:row>
                    <xdr:rowOff>0</xdr:rowOff>
                  </to>
                </anchor>
              </controlPr>
            </control>
          </mc:Choice>
        </mc:AlternateContent>
        <mc:AlternateContent xmlns:mc="http://schemas.openxmlformats.org/markup-compatibility/2006">
          <mc:Choice Requires="x14">
            <control shapeId="1788206" r:id="rId29" name="Check Box 302">
              <controlPr defaultSize="0" autoFill="0" autoLine="0" autoPict="0">
                <anchor moveWithCells="1" sizeWithCells="1">
                  <from>
                    <xdr:col>26</xdr:col>
                    <xdr:colOff>28575</xdr:colOff>
                    <xdr:row>4</xdr:row>
                    <xdr:rowOff>28575</xdr:rowOff>
                  </from>
                  <to>
                    <xdr:col>26</xdr:col>
                    <xdr:colOff>266700</xdr:colOff>
                    <xdr:row>5</xdr:row>
                    <xdr:rowOff>28575</xdr:rowOff>
                  </to>
                </anchor>
              </controlPr>
            </control>
          </mc:Choice>
        </mc:AlternateContent>
        <mc:AlternateContent xmlns:mc="http://schemas.openxmlformats.org/markup-compatibility/2006">
          <mc:Choice Requires="x14">
            <control shapeId="1788207" r:id="rId30" name="Check Box 303">
              <controlPr defaultSize="0" autoFill="0" autoLine="0" autoPict="0">
                <anchor moveWithCells="1" sizeWithCells="1">
                  <from>
                    <xdr:col>26</xdr:col>
                    <xdr:colOff>28575</xdr:colOff>
                    <xdr:row>6</xdr:row>
                    <xdr:rowOff>219075</xdr:rowOff>
                  </from>
                  <to>
                    <xdr:col>26</xdr:col>
                    <xdr:colOff>295275</xdr:colOff>
                    <xdr:row>7</xdr:row>
                    <xdr:rowOff>219075</xdr:rowOff>
                  </to>
                </anchor>
              </controlPr>
            </control>
          </mc:Choice>
        </mc:AlternateContent>
        <mc:AlternateContent xmlns:mc="http://schemas.openxmlformats.org/markup-compatibility/2006">
          <mc:Choice Requires="x14">
            <control shapeId="1788208" r:id="rId31" name="Check Box 304">
              <controlPr defaultSize="0" autoFill="0" autoLine="0" autoPict="0">
                <anchor moveWithCells="1" sizeWithCells="1">
                  <from>
                    <xdr:col>26</xdr:col>
                    <xdr:colOff>28575</xdr:colOff>
                    <xdr:row>5</xdr:row>
                    <xdr:rowOff>219075</xdr:rowOff>
                  </from>
                  <to>
                    <xdr:col>26</xdr:col>
                    <xdr:colOff>266700</xdr:colOff>
                    <xdr:row>6</xdr:row>
                    <xdr:rowOff>219075</xdr:rowOff>
                  </to>
                </anchor>
              </controlPr>
            </control>
          </mc:Choice>
        </mc:AlternateContent>
        <mc:AlternateContent xmlns:mc="http://schemas.openxmlformats.org/markup-compatibility/2006">
          <mc:Choice Requires="x14">
            <control shapeId="1788209" r:id="rId32" name="Check Box 305">
              <controlPr defaultSize="0" autoFill="0" autoLine="0" autoPict="0">
                <anchor moveWithCells="1" sizeWithCells="1">
                  <from>
                    <xdr:col>26</xdr:col>
                    <xdr:colOff>28575</xdr:colOff>
                    <xdr:row>7</xdr:row>
                    <xdr:rowOff>219075</xdr:rowOff>
                  </from>
                  <to>
                    <xdr:col>26</xdr:col>
                    <xdr:colOff>295275</xdr:colOff>
                    <xdr:row>9</xdr:row>
                    <xdr:rowOff>0</xdr:rowOff>
                  </to>
                </anchor>
              </controlPr>
            </control>
          </mc:Choice>
        </mc:AlternateContent>
        <mc:AlternateContent xmlns:mc="http://schemas.openxmlformats.org/markup-compatibility/2006">
          <mc:Choice Requires="x14">
            <control shapeId="1788210" r:id="rId33" name="Check Box 306">
              <controlPr defaultSize="0" autoFill="0" autoLine="0" autoPict="0">
                <anchor moveWithCells="1" sizeWithCells="1">
                  <from>
                    <xdr:col>26</xdr:col>
                    <xdr:colOff>28575</xdr:colOff>
                    <xdr:row>5</xdr:row>
                    <xdr:rowOff>28575</xdr:rowOff>
                  </from>
                  <to>
                    <xdr:col>26</xdr:col>
                    <xdr:colOff>219075</xdr:colOff>
                    <xdr:row>5</xdr:row>
                    <xdr:rowOff>219075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4535CA48-DB1D-434D-8A15-80125E447C19}">
            <xm:f>AND($D$4="",Fallerfassung!$V$3&gt;0)</xm:f>
            <x14:dxf>
              <fill>
                <patternFill>
                  <bgColor theme="4" tint="0.59996337778862885"/>
                </patternFill>
              </fill>
            </x14:dxf>
          </x14:cfRule>
          <xm:sqref>C4</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3C60-BFFA-4617-8452-FB98773153EA}">
  <sheetPr codeName="Tabelle37">
    <pageSetUpPr fitToPage="1"/>
  </sheetPr>
  <dimension ref="A2:H25"/>
  <sheetViews>
    <sheetView showGridLines="0" showRowColHeaders="0" topLeftCell="A2" zoomScale="130" zoomScaleNormal="130" workbookViewId="0">
      <selection activeCell="A2" sqref="A2"/>
    </sheetView>
  </sheetViews>
  <sheetFormatPr baseColWidth="10" defaultColWidth="0" defaultRowHeight="14.25" zeroHeight="1"/>
  <cols>
    <col min="1" max="1" width="2.625" customWidth="1"/>
    <col min="2" max="2" width="80.125" customWidth="1"/>
    <col min="3" max="4" width="13.625" customWidth="1"/>
    <col min="5" max="5" width="2.625" customWidth="1"/>
    <col min="6" max="6" width="38.5" hidden="1" customWidth="1"/>
    <col min="7" max="16384" width="11" hidden="1"/>
  </cols>
  <sheetData>
    <row r="2" spans="1:8" ht="15" thickBot="1">
      <c r="A2" s="1866">
        <v>160</v>
      </c>
      <c r="B2" s="25"/>
      <c r="C2" s="25"/>
      <c r="D2" s="25"/>
      <c r="E2" s="25"/>
    </row>
    <row r="3" spans="1:8" ht="15.75">
      <c r="A3" s="25"/>
      <c r="B3" s="3129" t="str">
        <f>IF(Gewinn,"Verteilung von Gewinnen der externen Teilung betrieblicher Versorgungen in die DRV","Berechnung des Ausgleichs des Transferverlustes bei externer Teilung in die DRV")</f>
        <v>Verteilung von Gewinnen der externen Teilung betrieblicher Versorgungen in die DRV</v>
      </c>
      <c r="C3" s="3130"/>
      <c r="D3" s="3131"/>
      <c r="E3" s="988"/>
      <c r="G3" t="s">
        <v>900</v>
      </c>
      <c r="H3" t="b">
        <f>IF('BVerfG 1 BvL 5-18'!E23&lt;0,FALSE,TRUE)</f>
        <v>1</v>
      </c>
    </row>
    <row r="4" spans="1:8" ht="16.5" customHeight="1" thickBot="1">
      <c r="A4" s="25"/>
      <c r="B4" s="3132" t="s">
        <v>840</v>
      </c>
      <c r="C4" s="3133"/>
      <c r="D4" s="3134"/>
      <c r="E4" s="210"/>
    </row>
    <row r="5" spans="1:8">
      <c r="A5" s="25"/>
      <c r="B5" s="730" t="s">
        <v>631</v>
      </c>
      <c r="C5" s="3125">
        <f>+'BVerfG 1 BvL 5-18'!C4</f>
        <v>46203</v>
      </c>
      <c r="D5" s="3126"/>
      <c r="E5" s="210"/>
    </row>
    <row r="6" spans="1:8" ht="36.75" customHeight="1">
      <c r="A6" s="25"/>
      <c r="B6" s="744" t="s">
        <v>857</v>
      </c>
      <c r="C6" s="722" t="str">
        <f>IF(BGHXIIZB23016,"AusglBer.","AusglPfl.")&amp;"("&amp;Adaequanz_QV_Alter&amp;") Quellversorgung"</f>
        <v>AusglPfl.() Quellversorgung</v>
      </c>
      <c r="D6" s="723" t="str">
        <f>IF(BGHXIIZB23016,"AusglBer.","AusglPfl.")&amp;" DRV"</f>
        <v>AusglPfl. DRV</v>
      </c>
      <c r="E6" s="989"/>
    </row>
    <row r="7" spans="1:8" ht="15">
      <c r="A7" s="25"/>
      <c r="B7" s="725" t="s">
        <v>852</v>
      </c>
      <c r="C7" s="804">
        <f>IF(Adaequanz_AusglWertQuelle=0,Adaequanz_errechneterKapWert,Adaequanz_AusglWertQuelle)</f>
        <v>0</v>
      </c>
      <c r="D7" s="3135" t="s">
        <v>841</v>
      </c>
      <c r="E7" s="990"/>
    </row>
    <row r="8" spans="1:8" ht="15">
      <c r="A8" s="25"/>
      <c r="B8" s="725" t="s">
        <v>882</v>
      </c>
      <c r="C8" s="804">
        <f>+Adaequanz_RentePfl</f>
        <v>0</v>
      </c>
      <c r="D8" s="3136"/>
      <c r="E8" s="990"/>
    </row>
    <row r="9" spans="1:8" ht="15">
      <c r="A9" s="25"/>
      <c r="B9" s="726" t="str">
        <f>"errechneter Barwert der vom Versorgungsträger mitgeteilten Rente von "&amp;TEXT(C8,"#.##0,00 €")&amp;" ReZins: "&amp;TEXT('BVerfG 1 BvL 5-18'!P15,"0,00")&amp;" %"</f>
        <v>errechneter Barwert der vom Versorgungsträger mitgeteilten Rente von 0,00 € ReZins: 2,50 %</v>
      </c>
      <c r="C9" s="833">
        <f>+Adaequanz_errechneterKapWert</f>
        <v>0</v>
      </c>
      <c r="D9" s="803" t="s">
        <v>842</v>
      </c>
      <c r="E9" s="991"/>
    </row>
    <row r="10" spans="1:8">
      <c r="A10" s="25"/>
      <c r="B10" s="727" t="str">
        <f>IFERROR("DRV-Rente aus dem vom VT der Quellversorgung mitgeteilten Ausgleichswert für F:"&amp;CHAR(10)&amp;"AusglW x U-Faktor x aktRW = "&amp;TEXT(C7,"#.##0,00")&amp;" x "&amp;TEXT(VLOOKUP(C5,Umrechnungsfaktoren,2),"0,0000000000")&amp;" x "&amp;TEXT(VLOOKUP(C5,aktRW,2),"0,00 €"),"")</f>
        <v>DRV-Rente aus dem vom VT der Quellversorgung mitgeteilten Ausgleichswert für F:
AusglW x U-Faktor x aktRW = 0,00 x 0,0001035027 x 40,79 €</v>
      </c>
      <c r="C10" s="805"/>
      <c r="D10" s="806">
        <f>IFERROR(C7*VLOOKUP(C5,Umrechnungsfaktoren,2)*VLOOKUP(C5,aktRW,2),"")</f>
        <v>0</v>
      </c>
      <c r="E10" s="992"/>
    </row>
    <row r="11" spans="1:8">
      <c r="A11" s="25"/>
      <c r="B11" s="726" t="str">
        <f>"Barwert einer DRV-Rente von "&amp;TEXT(D10,"#.##0,00 €")&amp;" im EzE"</f>
        <v>Barwert einer DRV-Rente von 0,00 € im EzE</v>
      </c>
      <c r="C11" s="724" t="s">
        <v>842</v>
      </c>
      <c r="D11" s="832" t="str">
        <f>+'BVerfG 1 BvL 5-18'!E20</f>
        <v/>
      </c>
      <c r="E11" s="993"/>
    </row>
    <row r="12" spans="1:8" ht="28.5">
      <c r="A12" s="25"/>
      <c r="B12" s="727" t="str">
        <f>"Beitrag zur Erlangung eines Barwerts von "&amp;TEXT(C9,"#.##0,00")&amp;" in DRV: "&amp;CHAR(10)&amp;TEXT(C7,"#.##0,00")&amp;" x "&amp;TEXT(C9,"#.##0,00")&amp;" / "&amp;TEXT(D11,"#.##0,00")</f>
        <v xml:space="preserve">Beitrag zur Erlangung eines Barwerts von 0,00 in DRV: 
0,00 x 0,00 / </v>
      </c>
      <c r="C12" s="807"/>
      <c r="D12" s="832" t="str">
        <f>IFERROR(C7*C9/D11,"")</f>
        <v/>
      </c>
      <c r="E12" s="993"/>
      <c r="F12" s="148"/>
    </row>
    <row r="13" spans="1:8">
      <c r="A13" s="25"/>
      <c r="B13" s="727" t="str">
        <f>IFERROR("DRV-Rente im EzE aus Beitrag von "&amp;TEXT(D12,"#.##0,00 €")&amp;" x "&amp;TEXT(VLOOKUP(C5,Umrechnungsfaktoren,2),"0,0000000000")&amp;" x "&amp;TEXT(VLOOKUP(C5,aktRW,2),"0,00 €"),"")</f>
        <v>DRV-Rente im EzE aus Beitrag von  x 0,0001035027 x 40,79 €</v>
      </c>
      <c r="C13" s="807"/>
      <c r="D13" s="806" t="str">
        <f>IFERROR(+D12*VLOOKUP(C5,Umrechnungsfaktoren,2)*VLOOKUP(C5,aktRW,2),"")</f>
        <v/>
      </c>
      <c r="E13" s="992"/>
      <c r="F13" s="148"/>
    </row>
    <row r="14" spans="1:8">
      <c r="A14" s="25"/>
      <c r="B14" s="726" t="str">
        <f>"Barwert einer DRV-Rente zum EzE i.H.v. "&amp;TEXT(D13,"#.##0,00 €")&amp;", Rentenalter: "&amp;TEXT('BVerfG 1 BvL 5-18'!E9,"0,0")&amp;", ReZins: "&amp;TEXT('BVerfG 1 BvL 5-18'!P15,"0,00")&amp;" %"</f>
        <v>Barwert einer DRV-Rente zum EzE i.H.v. , Rentenalter: , ReZins: 2,50 %</v>
      </c>
      <c r="C14" s="802" t="s">
        <v>842</v>
      </c>
      <c r="D14" s="832">
        <f>+C9</f>
        <v>0</v>
      </c>
      <c r="E14" s="993"/>
      <c r="F14" s="148"/>
    </row>
    <row r="15" spans="1:8">
      <c r="A15" s="25"/>
      <c r="B15" s="726" t="str">
        <f>"die Barwertgleiche "&amp;IF(Gewinn,"überschießender ","unterschreitender ")&amp;"Ausgleichswert: "&amp;TEXT(C7,"#.##0,00")&amp;" - "&amp;TEXT(D12,"#.##0")</f>
        <v xml:space="preserve">die Barwertgleiche überschießender Ausgleichswert: 0,00 - </v>
      </c>
      <c r="C15" s="3127" t="str">
        <f>IFERROR(ROUND(+C7-D12,0),"")</f>
        <v/>
      </c>
      <c r="D15" s="3128"/>
      <c r="E15" s="992"/>
    </row>
    <row r="16" spans="1:8" ht="28.5" customHeight="1">
      <c r="A16" s="25"/>
      <c r="B16" s="834" t="str">
        <f>IF(Gewinn,"","zur Erreichung von 90% des Barwerts der Quellversorgung sind zu Lasten des Versorgungsträgers "&amp;TEXT(D12*0.9-C7,"#.##0,00")&amp;" erforderlich ("&amp;TEXT(D12,"#.##0,00")&amp;" x 90% - "&amp;TEXT(C7,"#.##0,00")&amp;"), insgesamt mithin:")</f>
        <v/>
      </c>
      <c r="C16" s="811"/>
      <c r="D16" s="812" t="e">
        <f>+D12*0.9</f>
        <v>#VALUE!</v>
      </c>
      <c r="E16" s="994"/>
    </row>
    <row r="17" spans="1:6">
      <c r="A17" s="25"/>
      <c r="B17" s="726" t="str">
        <f>"Kosten pro Euro Barwert: "&amp;TEXT(C7,"#.##0,00 €")&amp;" / "&amp;TEXT(C9,"#.##0,00")&amp;" bzw. "&amp;TEXT(D12,"#.##0,00")&amp;" / "&amp;TEXT(D14,"#.##0,00")</f>
        <v>Kosten pro Euro Barwert: 0,00 € / 0,00 bzw.  / 0,00</v>
      </c>
      <c r="C17" s="805" t="str">
        <f>IFERROR(+C7/C9,"")</f>
        <v/>
      </c>
      <c r="D17" s="806" t="str">
        <f>IFERROR(D12/D14,"")</f>
        <v/>
      </c>
      <c r="E17" s="992"/>
      <c r="F17" s="148"/>
    </row>
    <row r="18" spans="1:6">
      <c r="A18" s="25"/>
      <c r="B18" s="726" t="str">
        <f>"Anteile in % am Rest: "&amp;TEXT(C17,"0,00")&amp;" / ("&amp;TEXT(C17,"0,00")&amp;" + "&amp;TEXT(D17,"0,00")&amp;") bzw. "&amp;TEXT(D17,"0,00")&amp;" / ("&amp;TEXT(C17,"0,00")&amp;" + "&amp;TEXT(D17,"0,00")&amp;")"</f>
        <v>Anteile in % am Rest:  / ( + ) bzw.  / ( + )</v>
      </c>
      <c r="C18" s="808" t="str">
        <f>IFERROR(ROUND(C17/SUM(C17:D17),4),"")</f>
        <v/>
      </c>
      <c r="D18" s="809" t="str">
        <f>IFERROR(ROUND(D17/SUM(C17:D17),4),"")</f>
        <v/>
      </c>
      <c r="E18" s="995"/>
    </row>
    <row r="19" spans="1:6">
      <c r="A19" s="25"/>
      <c r="B19" s="726" t="str">
        <f>"Anteile in € am Rest: "&amp;TEXT(C15,"#.##0,00")&amp;" x "&amp;TEXT(C18,"0,00%")&amp;" bzw. "&amp;TEXT(C15,"#.##0,00")&amp;" x "&amp;TEXT(D18,"0,00%")</f>
        <v xml:space="preserve">Anteile in € am Rest:  x  bzw.  x </v>
      </c>
      <c r="C19" s="1310" t="str">
        <f>IFERROR(C15*C18,"")</f>
        <v/>
      </c>
      <c r="D19" s="832" t="str">
        <f>IFERROR(D18*C15,"")</f>
        <v/>
      </c>
      <c r="E19" s="992"/>
    </row>
    <row r="20" spans="1:6">
      <c r="A20" s="25"/>
      <c r="B20" s="728" t="str">
        <f>"Rentenwert des Anteils in Q-Versorgung: "&amp;TEXT(C19,"#.##0,00 €")&amp;" / ("&amp;TEXT(C7,"#.##0,00")&amp;" / "&amp;TEXT(C8,"#.##0,00 €")&amp;")"</f>
        <v>Rentenwert des Anteils in Q-Versorgung:  / (0,00 / 0,00 €)</v>
      </c>
      <c r="C20" s="805" t="str">
        <f>IFERROR(C19/(C7/C8),"")</f>
        <v/>
      </c>
      <c r="D20" s="806"/>
      <c r="E20" s="992"/>
    </row>
    <row r="21" spans="1:6" ht="15">
      <c r="A21" s="25"/>
      <c r="B21" s="726" t="str">
        <f>"Der der ausglpfl. Person verbleibende Quellversorgungsanzeil: "&amp;TEXT(C8,"#.##0,00 €")&amp;" + "&amp;TEXT(C20,"#.##0,00 €")</f>
        <v xml:space="preserve">Der der ausglpfl. Person verbleibende Quellversorgungsanzeil: 0,00 € + </v>
      </c>
      <c r="C21" s="805" t="str">
        <f>IFERROR(ROUND(C8+C20,2),"")</f>
        <v/>
      </c>
      <c r="D21" s="810"/>
      <c r="E21" s="997"/>
      <c r="F21" s="3122" t="str">
        <f>"Tragen Sie im Blatt 'BVerfG Adäquanzprüfung' in Zeile 11 Spalte D den Wert "&amp;TEXT(C21,"#.##0,00 €")&amp;" ein."</f>
        <v>Tragen Sie im Blatt 'BVerfG Adäquanzprüfung' in Zeile 11 Spalte D den Wert  ein.</v>
      </c>
    </row>
    <row r="22" spans="1:6" ht="15">
      <c r="A22" s="25"/>
      <c r="B22" s="801" t="str">
        <f>"Der Ausgleichswert reduziert sich auf: 2 x "&amp;TEXT(C8,"#.##0,00 €")&amp;" - "&amp;TEXT(C21,"#.##0,00 €")</f>
        <v xml:space="preserve">Der Ausgleichswert reduziert sich auf: 2 x 0,00 € - </v>
      </c>
      <c r="C22" s="811" t="str">
        <f>IFERROR(2*C8-C21,"")</f>
        <v/>
      </c>
      <c r="D22" s="810"/>
      <c r="E22" s="997"/>
      <c r="F22" s="3122"/>
    </row>
    <row r="23" spans="1:6" ht="15">
      <c r="A23" s="25"/>
      <c r="B23" s="726" t="str">
        <f>"Neuer Beitrag (AusglW) für ausglber. Person: "&amp;TEXT(D12,"#.##0,00 €")&amp;" + "&amp;TEXT(D19,"#.##0,00 €")</f>
        <v xml:space="preserve">Neuer Beitrag (AusglW) für ausglber. Person:  + </v>
      </c>
      <c r="C23" s="805"/>
      <c r="D23" s="1309" t="str">
        <f>IFERROR(ROUND(D12+D19,2),"")</f>
        <v/>
      </c>
      <c r="E23" s="994"/>
    </row>
    <row r="24" spans="1:6" ht="33.75" customHeight="1" thickBot="1">
      <c r="A24" s="25"/>
      <c r="B24" s="729" t="str">
        <f>IFERROR("aus dem Ausgleichswert in DRV resultierende Rente im EzE (Berechnungszpkt): "&amp;CHAR(10)&amp;TEXT(D23,"#.##0,00")&amp;" x "&amp;TEXT(VLOOKUP(C5,Umrechnungsfaktoren,2),"0,0000000000")&amp;" x "&amp;TEXT(VLOOKUP(C5,aktRW,2),"0,00 €"),"")</f>
        <v>aus dem Ausgleichswert in DRV resultierende Rente im EzE (Berechnungszpkt): 
 x 0,0001035027 x 40,79 €</v>
      </c>
      <c r="C24" s="813"/>
      <c r="D24" s="814" t="str">
        <f>IFERROR(D23*VLOOKUP(C5,Umrechnungsfaktoren,2)*VLOOKUP(C5,aktRW,2),"")</f>
        <v/>
      </c>
      <c r="E24" s="992"/>
    </row>
    <row r="25" spans="1:6" ht="22.5" customHeight="1">
      <c r="A25" s="25"/>
      <c r="B25" s="3123" t="s">
        <v>843</v>
      </c>
      <c r="C25" s="3124"/>
      <c r="D25" s="3124"/>
      <c r="E25" s="996"/>
    </row>
  </sheetData>
  <sheetProtection algorithmName="SHA-512" hashValue="DwF3FLes4dNo2ZFDAQuCPECHjAAghqAO4xoK6Vont2I5A3i8oW4a5RXvWhXL836fjxmjWvGCUJ6Y5crBk4v4XA==" saltValue="RsiN0v/ppFPPfAhD7iYJXQ==" spinCount="100000" sheet="1" objects="1" scenarios="1" formatColumns="0" autoFilter="0"/>
  <mergeCells count="7">
    <mergeCell ref="F21:F22"/>
    <mergeCell ref="B25:D25"/>
    <mergeCell ref="C5:D5"/>
    <mergeCell ref="C15:D15"/>
    <mergeCell ref="B3:D3"/>
    <mergeCell ref="B4:D4"/>
    <mergeCell ref="D7:D8"/>
  </mergeCells>
  <conditionalFormatting sqref="B16:E16">
    <cfRule type="expression" dxfId="232" priority="1">
      <formula>Gewinn</formula>
    </cfRule>
  </conditionalFormatting>
  <conditionalFormatting sqref="B17:E24">
    <cfRule type="expression" dxfId="231" priority="2">
      <formula>Gewinn=FALSE</formula>
    </cfRule>
  </conditionalFormatting>
  <hyperlinks>
    <hyperlink ref="B25:D25" r:id="rId1" display="mailto:Hauss@Anwaelte-DU.de?subject=Programm%20Kapitalwertkontrolle%20hier:%20Transfergewinne" xr:uid="{09587F88-6B83-4A40-8C3A-1FF11724F40C}"/>
  </hyperlinks>
  <printOptions horizontalCentered="1" verticalCentered="1"/>
  <pageMargins left="0.31496062992125984" right="0.31496062992125984" top="0.59055118110236227" bottom="0.59055118110236227" header="0.31496062992125984" footer="0.31496062992125984"/>
  <pageSetup paperSize="9" orientation="landscape" r:id="rId2"/>
  <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54142-2813-46E3-8A14-800CFD6FDF47}">
  <sheetPr codeName="Tabelle47">
    <tabColor rgb="FFFFFF00"/>
    <pageSetUpPr fitToPage="1"/>
  </sheetPr>
  <dimension ref="A1:S29"/>
  <sheetViews>
    <sheetView showGridLines="0" showRowColHeaders="0" zoomScale="145" zoomScaleNormal="145" workbookViewId="0">
      <selection activeCell="C7" sqref="C7"/>
    </sheetView>
  </sheetViews>
  <sheetFormatPr baseColWidth="10" defaultColWidth="0" defaultRowHeight="14.25" zeroHeight="1"/>
  <cols>
    <col min="1" max="1" width="3.625" customWidth="1"/>
    <col min="2" max="2" width="18" customWidth="1"/>
    <col min="3" max="3" width="13.125" customWidth="1"/>
    <col min="4" max="4" width="24.625" customWidth="1"/>
    <col min="5" max="5" width="19.125" customWidth="1"/>
    <col min="6" max="6" width="20.5" customWidth="1"/>
    <col min="7" max="7" width="16.625" customWidth="1"/>
    <col min="8" max="8" width="16.5" customWidth="1"/>
    <col min="9" max="9" width="4" customWidth="1"/>
    <col min="10" max="14" width="12.625" hidden="1" customWidth="1"/>
    <col min="15" max="16384" width="11" hidden="1"/>
  </cols>
  <sheetData>
    <row r="1" spans="1:19" ht="15" thickBot="1">
      <c r="A1" s="1792">
        <v>1.6</v>
      </c>
      <c r="B1" s="964"/>
      <c r="C1" s="964"/>
      <c r="D1" s="964"/>
      <c r="E1" s="964"/>
      <c r="F1" s="964"/>
      <c r="G1" s="964"/>
      <c r="H1" s="964"/>
      <c r="I1" s="964"/>
    </row>
    <row r="2" spans="1:19" ht="29.25" customHeight="1">
      <c r="A2" s="964"/>
      <c r="B2" s="3139" t="s">
        <v>1299</v>
      </c>
      <c r="C2" s="3140"/>
      <c r="D2" s="3140"/>
      <c r="E2" s="3140"/>
      <c r="F2" s="3140"/>
      <c r="G2" s="3140"/>
      <c r="H2" s="3141"/>
      <c r="I2" s="965"/>
      <c r="K2" s="15">
        <v>1</v>
      </c>
      <c r="Q2" s="58" t="e">
        <f>VLOOKUP($K$2+4,'TO Ziff.5'!$B$7:$P$425,3)</f>
        <v>#N/A</v>
      </c>
    </row>
    <row r="3" spans="1:19" s="71" customFormat="1" ht="19.5" customHeight="1">
      <c r="A3" s="968"/>
      <c r="B3" s="3168" t="s">
        <v>1117</v>
      </c>
      <c r="C3" s="3169"/>
      <c r="D3" s="3169"/>
      <c r="E3" s="3169"/>
      <c r="F3" s="3169"/>
      <c r="G3" s="3170"/>
      <c r="H3" s="3174" t="s">
        <v>1298</v>
      </c>
      <c r="I3" s="968"/>
      <c r="K3" s="16">
        <v>1</v>
      </c>
    </row>
    <row r="4" spans="1:19" s="71" customFormat="1" ht="19.5" customHeight="1">
      <c r="A4" s="968"/>
      <c r="B4" s="3171"/>
      <c r="C4" s="3172"/>
      <c r="D4" s="3172"/>
      <c r="E4" s="3172"/>
      <c r="F4" s="3172"/>
      <c r="G4" s="3173"/>
      <c r="H4" s="3175"/>
      <c r="I4" s="968"/>
    </row>
    <row r="5" spans="1:19" ht="29.25" customHeight="1">
      <c r="A5" s="964"/>
      <c r="B5" s="3163"/>
      <c r="C5" s="3164"/>
      <c r="D5" s="3165"/>
      <c r="E5" s="3160" t="s">
        <v>1147</v>
      </c>
      <c r="F5" s="3161"/>
      <c r="G5" s="3161"/>
      <c r="H5" s="3162"/>
      <c r="I5" s="2029"/>
      <c r="K5" s="139"/>
    </row>
    <row r="6" spans="1:19" ht="48.75" customHeight="1">
      <c r="A6" s="964"/>
      <c r="B6" s="3137" t="str">
        <f>IFERROR(VLOOKUP($K$2+4,'TO Ziff.5'!$B$7:$P$425,2),"")</f>
        <v/>
      </c>
      <c r="C6" s="3138"/>
      <c r="D6" s="3138"/>
      <c r="E6" s="3157" t="str">
        <f>IFERROR(IF(SUM(O11:R11)=0,"","TO "&amp;IF(S11=4,"","ermöglicht u.a.")&amp;": "&amp;IF(O11&gt;0,"Tarifwechel"&amp;IF(P11+Q11+R11&gt;0,"; ","."),"")&amp;IF(P11&gt;0,"doppelten Kostenabzug"&amp;IF(Q11+R11&gt;0,"; ","."),"")&amp;IF(Q11&gt;0," Abweichungen vom gerichtl. festgelegten Ausgleichswert"&amp;IF(R11&gt;0,"; ","."),"")&amp;IF(R11&gt;0," eine Verzinsung d. AusglWerts zwischen EzE und RK ist ggfls. geltend zu machen","")),"")</f>
        <v/>
      </c>
      <c r="F6" s="3158"/>
      <c r="G6" s="3158"/>
      <c r="H6" s="3159"/>
      <c r="I6" s="966"/>
      <c r="O6" s="128" t="s">
        <v>1044</v>
      </c>
      <c r="P6" s="139" t="s">
        <v>1045</v>
      </c>
      <c r="Q6" s="139" t="s">
        <v>1115</v>
      </c>
      <c r="R6" s="139" t="s">
        <v>1116</v>
      </c>
    </row>
    <row r="7" spans="1:19" ht="14.25" customHeight="1">
      <c r="A7" s="964"/>
      <c r="B7" s="185" t="s">
        <v>63</v>
      </c>
      <c r="C7" s="895"/>
      <c r="D7" s="1369">
        <f>IF(C7&gt;0,C7,IF(Dat_EzE="","",Dat_EzE))</f>
        <v>46203</v>
      </c>
      <c r="E7" s="3153" t="s">
        <v>1118</v>
      </c>
      <c r="F7" s="3154"/>
      <c r="G7" s="3154"/>
      <c r="H7" s="3151" t="str">
        <f>IFERROR(IF(VLOOKUP($K$2+4,'TO Ziff.5'!$B$7:$P$425,4)=0,"",VLOOKUP($K$2+4,'TO Ziff.5'!$B$7:$P$425,4)),"")</f>
        <v/>
      </c>
      <c r="I7" s="966"/>
      <c r="O7" s="128"/>
      <c r="P7" s="139"/>
      <c r="Q7" s="139"/>
      <c r="R7" s="139"/>
    </row>
    <row r="8" spans="1:19" ht="14.25" customHeight="1" thickBot="1">
      <c r="A8" s="964"/>
      <c r="B8" s="976" t="s">
        <v>500</v>
      </c>
      <c r="C8" s="977"/>
      <c r="D8" s="978"/>
      <c r="E8" s="3155"/>
      <c r="F8" s="3156"/>
      <c r="G8" s="3156"/>
      <c r="H8" s="3152"/>
      <c r="I8" s="966"/>
      <c r="J8" t="s">
        <v>1319</v>
      </c>
      <c r="K8" s="15">
        <v>1</v>
      </c>
      <c r="O8" s="128"/>
      <c r="P8" s="139"/>
      <c r="Q8" s="139"/>
      <c r="R8" s="139"/>
    </row>
    <row r="9" spans="1:19" ht="36.75" customHeight="1" thickBot="1">
      <c r="A9" s="964"/>
      <c r="B9" s="3179" t="s">
        <v>1159</v>
      </c>
      <c r="C9" s="3180"/>
      <c r="D9" s="1127" t="s">
        <v>1320</v>
      </c>
      <c r="E9" s="1127" t="s">
        <v>1158</v>
      </c>
      <c r="F9" s="1127" t="s">
        <v>1490</v>
      </c>
      <c r="G9" s="3177" t="s">
        <v>1322</v>
      </c>
      <c r="H9" s="3178"/>
      <c r="I9" s="964"/>
      <c r="J9" t="e">
        <f>VLOOKUP($K$2+4,'TO Ziff.5'!$B$6:$P$425,14)</f>
        <v>#N/A</v>
      </c>
      <c r="O9" s="128"/>
      <c r="P9" s="139"/>
      <c r="Q9" s="139"/>
      <c r="R9" s="139"/>
    </row>
    <row r="10" spans="1:19" ht="30" customHeight="1" thickBot="1">
      <c r="A10" s="964"/>
      <c r="B10" s="1028" t="s">
        <v>1176</v>
      </c>
      <c r="C10" s="3166" t="str">
        <f>IFERROR(IF(VLOOKUP($K$2+4,'TO Ziff.5'!$B$6:$P$425,8)=0,"",VLOOKUP($K$2+4,'TO Ziff.5'!$B$6:$P$425,8)),"")</f>
        <v/>
      </c>
      <c r="D10" s="3166"/>
      <c r="E10" s="3166"/>
      <c r="F10" s="3166"/>
      <c r="G10" s="3166"/>
      <c r="H10" s="3167"/>
      <c r="I10" s="964"/>
      <c r="J10" t="s">
        <v>1300</v>
      </c>
      <c r="O10" s="128"/>
      <c r="P10" s="139"/>
      <c r="Q10" s="139"/>
      <c r="R10" s="139"/>
    </row>
    <row r="11" spans="1:19" ht="30.75" customHeight="1">
      <c r="A11" s="964"/>
      <c r="B11" s="1029" t="s">
        <v>686</v>
      </c>
      <c r="C11" s="1030"/>
      <c r="D11" s="1030"/>
      <c r="E11" s="1129"/>
      <c r="F11" s="1864" t="s">
        <v>1858</v>
      </c>
      <c r="G11" s="1865" t="s">
        <v>1859</v>
      </c>
      <c r="H11" s="1277" t="s">
        <v>1492</v>
      </c>
      <c r="I11" s="964"/>
      <c r="J11" s="972" t="s">
        <v>1148</v>
      </c>
      <c r="K11" s="128"/>
      <c r="O11" t="e">
        <f>VLOOKUP($K$2+4,'TO Ziff.5'!$B$7:$P$425,10)</f>
        <v>#N/A</v>
      </c>
      <c r="P11" t="e">
        <f>VLOOKUP($K$2+4,'TO Ziff.5'!$B$7:$P$425,11)</f>
        <v>#N/A</v>
      </c>
      <c r="Q11" t="e">
        <f>VLOOKUP($K$2+4,'TO Ziff.5'!$B$7:$P$425,12)</f>
        <v>#N/A</v>
      </c>
      <c r="R11" t="e">
        <f>VLOOKUP($K$2+4,'TO Ziff.5'!$B$7:$P$425,13)</f>
        <v>#N/A</v>
      </c>
      <c r="S11" t="e">
        <f>SUM(O11:R11)</f>
        <v>#N/A</v>
      </c>
    </row>
    <row r="12" spans="1:19" s="983" customFormat="1" ht="15" customHeight="1">
      <c r="A12" s="979"/>
      <c r="B12" s="3142" t="str">
        <f>IFERROR("Im Wege der internen Teilung wird zu Lasten des Anrechts der &lt;ausgleichspflichtigen Person&gt; bei der "&amp;B6 &amp;" &lt;VersNr. ...&gt; zu Gunsten der &lt;ausgleichsberechtigten Person&gt; bezogen auf den "&amp;IF(D7&gt;0,TEXT(D7,"TT.MM.JJJ")&amp;" (Ehezeitende)","&lt;Ehezeitende einsetzen&gt;")&amp;" eine Versorgung aus einem Ausgleichswert in Höhe von "&amp;IF(C8=0,"&lt;Ausgleichswert einsetzen&gt;",TEXT(C8,"#.##0,00 €")&amp;" ("&amp;IF(K3=1,"Kapitalwert","Monatsrente")&amp;")")&amp;" nach Maßgabe der Teilungsordnung des Versorgungsträgers in der Fassung vom "&amp;IF(Q2=0," &lt;Datum der TO eintragen&gt; ",TEXT(Q2,"TT.MM.JJJJ"))&amp;" übertragen"&amp;IF(S11&gt;0,",",".")&amp;B23,"")</f>
        <v/>
      </c>
      <c r="C12" s="3143"/>
      <c r="D12" s="3143"/>
      <c r="E12" s="3143"/>
      <c r="F12" s="3143"/>
      <c r="G12" s="3143"/>
      <c r="H12" s="3144"/>
      <c r="I12" s="980"/>
      <c r="J12" s="981" t="s">
        <v>1149</v>
      </c>
      <c r="K12" s="982"/>
      <c r="O12" s="983" t="e">
        <f>IF(O11=1,"Tarifwechsel (BGH XII ZB 359/19)  ","")</f>
        <v>#N/A</v>
      </c>
      <c r="P12" s="983" t="e">
        <f>IF(P11=2,IF(O12&lt;&gt;"",", ","")&amp;"doppelten Kostenabzug","")</f>
        <v>#N/A</v>
      </c>
      <c r="Q12" s="983" t="e">
        <f>IF(Q11=3,IF(P12&lt;&gt;"",", ","")&amp;"Abweichungen vom Ausgleichswert ","")</f>
        <v>#N/A</v>
      </c>
      <c r="R12" s="983" t="e">
        <f>IF(R11=4,IF(Q12&lt;&gt;"",", ","")&amp;"Wertteilhabe zwischen EzE und RK nicht gewährleistet","")</f>
        <v>#N/A</v>
      </c>
    </row>
    <row r="13" spans="1:19" s="983" customFormat="1" ht="15" customHeight="1">
      <c r="A13" s="979"/>
      <c r="B13" s="3145"/>
      <c r="C13" s="3146"/>
      <c r="D13" s="3146"/>
      <c r="E13" s="3146"/>
      <c r="F13" s="3146"/>
      <c r="G13" s="3146"/>
      <c r="H13" s="3147"/>
      <c r="I13" s="980"/>
      <c r="J13" s="981" t="s">
        <v>1150</v>
      </c>
      <c r="K13" s="984"/>
      <c r="O13" s="983" t="e">
        <f>IF(S11&gt;0,"Die TO ermöglicht "&amp;O12&amp;P12&amp;Q12&amp;R12,"Die TO hat bei Prüfung auf Tarifwechsel, Kostenabzug, Ausgleichswertabweichung und Wertteilhabe zwischen EzE und RK keine Auffälligkeiten ergeben.")</f>
        <v>#N/A</v>
      </c>
    </row>
    <row r="14" spans="1:19" s="983" customFormat="1" ht="15" customHeight="1">
      <c r="A14" s="979"/>
      <c r="B14" s="3145"/>
      <c r="C14" s="3146"/>
      <c r="D14" s="3146"/>
      <c r="E14" s="3146"/>
      <c r="F14" s="3146"/>
      <c r="G14" s="3146"/>
      <c r="H14" s="3147"/>
      <c r="I14" s="980"/>
      <c r="J14" s="3176" t="s">
        <v>1153</v>
      </c>
      <c r="K14" s="983" t="s">
        <v>1154</v>
      </c>
    </row>
    <row r="15" spans="1:19" s="983" customFormat="1" ht="15" customHeight="1">
      <c r="A15" s="979"/>
      <c r="B15" s="3145"/>
      <c r="C15" s="3146"/>
      <c r="D15" s="3146"/>
      <c r="E15" s="3146"/>
      <c r="F15" s="3146"/>
      <c r="G15" s="3146"/>
      <c r="H15" s="3147"/>
      <c r="I15" s="980"/>
      <c r="J15" s="3176"/>
    </row>
    <row r="16" spans="1:19" s="983" customFormat="1" ht="15" customHeight="1">
      <c r="A16" s="979"/>
      <c r="B16" s="3145"/>
      <c r="C16" s="3146"/>
      <c r="D16" s="3146"/>
      <c r="E16" s="3146"/>
      <c r="F16" s="3146"/>
      <c r="G16" s="3146"/>
      <c r="H16" s="3147"/>
      <c r="I16" s="980"/>
      <c r="J16" s="983" t="s">
        <v>1155</v>
      </c>
    </row>
    <row r="17" spans="1:10" s="983" customFormat="1" ht="15" customHeight="1">
      <c r="A17" s="979"/>
      <c r="B17" s="3145"/>
      <c r="C17" s="3146"/>
      <c r="D17" s="3146"/>
      <c r="E17" s="3146"/>
      <c r="F17" s="3146"/>
      <c r="G17" s="3146"/>
      <c r="H17" s="3147"/>
      <c r="I17" s="980"/>
      <c r="J17" s="981" t="s">
        <v>1151</v>
      </c>
    </row>
    <row r="18" spans="1:10" s="983" customFormat="1" ht="15" customHeight="1">
      <c r="A18" s="979"/>
      <c r="B18" s="3145"/>
      <c r="C18" s="3146"/>
      <c r="D18" s="3146"/>
      <c r="E18" s="3146"/>
      <c r="F18" s="3146"/>
      <c r="G18" s="3146"/>
      <c r="H18" s="3147"/>
      <c r="I18" s="980"/>
      <c r="J18" s="981" t="s">
        <v>1156</v>
      </c>
    </row>
    <row r="19" spans="1:10" s="983" customFormat="1" ht="15" customHeight="1">
      <c r="A19" s="979"/>
      <c r="B19" s="3145"/>
      <c r="C19" s="3146"/>
      <c r="D19" s="3146"/>
      <c r="E19" s="3146"/>
      <c r="F19" s="3146"/>
      <c r="G19" s="3146"/>
      <c r="H19" s="3147"/>
      <c r="I19" s="980"/>
      <c r="J19" s="981" t="s">
        <v>1157</v>
      </c>
    </row>
    <row r="20" spans="1:10" s="983" customFormat="1" ht="15" customHeight="1">
      <c r="A20" s="979"/>
      <c r="B20" s="3145"/>
      <c r="C20" s="3146"/>
      <c r="D20" s="3146"/>
      <c r="E20" s="3146"/>
      <c r="F20" s="3146"/>
      <c r="G20" s="3146"/>
      <c r="H20" s="3147"/>
      <c r="I20" s="980"/>
      <c r="J20" s="981" t="s">
        <v>1152</v>
      </c>
    </row>
    <row r="21" spans="1:10" s="983" customFormat="1" ht="15" customHeight="1" thickBot="1">
      <c r="A21" s="979"/>
      <c r="B21" s="3148"/>
      <c r="C21" s="3149"/>
      <c r="D21" s="3149"/>
      <c r="E21" s="3149"/>
      <c r="F21" s="3149"/>
      <c r="G21" s="3149"/>
      <c r="H21" s="3150"/>
      <c r="I21" s="980"/>
    </row>
    <row r="22" spans="1:10">
      <c r="A22" s="964"/>
      <c r="B22" s="3181" t="s">
        <v>1146</v>
      </c>
      <c r="C22" s="3181"/>
      <c r="D22" s="3181"/>
      <c r="E22" s="3181"/>
      <c r="F22" s="3181"/>
      <c r="G22" s="3181"/>
      <c r="H22" s="3181"/>
      <c r="I22" s="967"/>
    </row>
    <row r="23" spans="1:10" ht="14.25" hidden="1" customHeight="1">
      <c r="B23" s="3182" t="e">
        <f>IF(S11=0,"",CHAR(10)&amp;"mit der Maßgabe, dass abweichend von &lt;"&amp;IF(H7=0," "," "&amp;H7&amp;" ")&amp;"&gt; der Teilungsordnung des Versorgungsträgers"&amp;IF(O11=1,CHAR(10)&amp;"- auf das zu begründende Anrecht Rechnungszins und Sterbetafel der auszugleichenden Versorgung anzuwenden sind","")&amp;IF(SUM(P11:R11)&gt;0,",","."))&amp;IF(K3=3,"",IF(P11=0,"",CHAR(10)&amp;"- ein Abzug der Teilungskosten vom titulierten Ausgleichsbetrag unzulässig ist"&amp;IF(Q11+R11&gt;0,",","."))&amp;IF(Q11=0,"",CHAR(10)&amp;"- eine Abweichung vom gerichtlich festgelegten Ausgleichsbetrag unzulässig ist"&amp;IF(R11&gt;0,",","."))&amp;IF(R11=0,"",CHAR(10)&amp;"- der Ausgleichswert zwischen dem "&amp;TEXT(IF(D7&gt;0,D7,"...&lt;Ehezeitende&gt;..."),"TT.MM.JJJ")&amp;" und dem Datum der Rechtskraft der Entscheidung mit dem Zinssatz aufzuzinsen ist (BGH XII ZB 433/14), mit dem auch der Ausgleichswert berechnet wurde."))</f>
        <v>#N/A</v>
      </c>
      <c r="C23" s="3182"/>
      <c r="D23" s="3182"/>
      <c r="E23" s="3182"/>
      <c r="F23" s="3182"/>
      <c r="G23" s="3182"/>
      <c r="H23" s="963"/>
      <c r="I23" s="963"/>
    </row>
    <row r="24" spans="1:10" hidden="1">
      <c r="B24" s="3182"/>
      <c r="C24" s="3182"/>
      <c r="D24" s="3182"/>
      <c r="E24" s="3182"/>
      <c r="F24" s="3182"/>
      <c r="G24" s="3182"/>
      <c r="H24" s="963"/>
      <c r="I24" s="963"/>
    </row>
    <row r="25" spans="1:10" hidden="1">
      <c r="B25" s="3182"/>
      <c r="C25" s="3182"/>
      <c r="D25" s="3182"/>
      <c r="E25" s="3182"/>
      <c r="F25" s="3182"/>
      <c r="G25" s="3182"/>
      <c r="H25" s="963"/>
      <c r="I25" s="963"/>
    </row>
    <row r="26" spans="1:10" hidden="1">
      <c r="B26" s="3182"/>
      <c r="C26" s="3182"/>
      <c r="D26" s="3182"/>
      <c r="E26" s="3182"/>
      <c r="F26" s="3182"/>
      <c r="G26" s="3182"/>
      <c r="H26" s="963"/>
      <c r="I26" s="963"/>
    </row>
    <row r="27" spans="1:10" hidden="1">
      <c r="B27" s="3182"/>
      <c r="C27" s="3182"/>
      <c r="D27" s="3182"/>
      <c r="E27" s="3182"/>
      <c r="F27" s="3182"/>
      <c r="G27" s="3182"/>
    </row>
    <row r="28" spans="1:10" hidden="1">
      <c r="B28" s="3182"/>
      <c r="C28" s="3182"/>
      <c r="D28" s="3182"/>
      <c r="E28" s="3182"/>
      <c r="F28" s="3182"/>
      <c r="G28" s="3182"/>
    </row>
    <row r="29" spans="1:10" hidden="1">
      <c r="B29" s="3182"/>
      <c r="C29" s="3182"/>
      <c r="D29" s="3182"/>
      <c r="E29" s="3182"/>
      <c r="F29" s="3182"/>
      <c r="G29" s="3182"/>
    </row>
  </sheetData>
  <sheetProtection algorithmName="SHA-512" hashValue="Kb+E7QVERrM23ivZjdQf7R+WC1hez32KMmIArOM//BWUUlq/a2oUlThMNsBnRcTTuyEsfASv2Hw66tKHliki4Q==" saltValue="byM+AroJVUMdsAp8dtOaHw==" spinCount="100000" sheet="1" objects="1" scenarios="1" formatColumns="0" selectLockedCells="1"/>
  <mergeCells count="16">
    <mergeCell ref="J14:J15"/>
    <mergeCell ref="G9:H9"/>
    <mergeCell ref="B9:C9"/>
    <mergeCell ref="B22:H22"/>
    <mergeCell ref="B23:G29"/>
    <mergeCell ref="B6:D6"/>
    <mergeCell ref="B2:H2"/>
    <mergeCell ref="B12:H21"/>
    <mergeCell ref="H7:H8"/>
    <mergeCell ref="E7:G8"/>
    <mergeCell ref="E6:H6"/>
    <mergeCell ref="E5:H5"/>
    <mergeCell ref="B5:D5"/>
    <mergeCell ref="C10:H10"/>
    <mergeCell ref="B3:G4"/>
    <mergeCell ref="H3:H4"/>
  </mergeCells>
  <conditionalFormatting sqref="B5">
    <cfRule type="expression" dxfId="230" priority="465">
      <formula>K2&gt;1</formula>
    </cfRule>
  </conditionalFormatting>
  <conditionalFormatting sqref="C5:D5">
    <cfRule type="expression" dxfId="229" priority="4">
      <formula>P2&gt;1</formula>
    </cfRule>
  </conditionalFormatting>
  <conditionalFormatting sqref="C10:H10">
    <cfRule type="expression" dxfId="228" priority="3">
      <formula>$C$10&lt;&gt;""</formula>
    </cfRule>
  </conditionalFormatting>
  <conditionalFormatting sqref="D7">
    <cfRule type="expression" dxfId="227" priority="1">
      <formula>AND(Dat_EzE&gt;0,C7="")</formula>
    </cfRule>
  </conditionalFormatting>
  <conditionalFormatting sqref="D9">
    <cfRule type="expression" dxfId="226" priority="8">
      <formula>$O$11=1</formula>
    </cfRule>
  </conditionalFormatting>
  <conditionalFormatting sqref="E9">
    <cfRule type="expression" dxfId="225" priority="7">
      <formula>$P$11=2</formula>
    </cfRule>
  </conditionalFormatting>
  <conditionalFormatting sqref="E6:H6">
    <cfRule type="expression" dxfId="224" priority="413">
      <formula>$O$11=1</formula>
    </cfRule>
  </conditionalFormatting>
  <conditionalFormatting sqref="F9">
    <cfRule type="expression" dxfId="223" priority="6">
      <formula>$Q$11=3</formula>
    </cfRule>
  </conditionalFormatting>
  <conditionalFormatting sqref="G9:H9">
    <cfRule type="expression" dxfId="222" priority="5">
      <formula>$R$11=4</formula>
    </cfRule>
  </conditionalFormatting>
  <hyperlinks>
    <hyperlink ref="H3:H4" r:id="rId1" display="mailto:Hauss@Anwaelte-du.de?subject=Übersendung%20einer%20Teilungsordnung" xr:uid="{DE6FA788-9333-4A06-85B5-058B77536B61}"/>
    <hyperlink ref="H11" location="Stammdatenerfassung" display="Zurück zur Fallerfassung" xr:uid="{78E1904A-7EB6-4D31-A660-434ACE02B726}"/>
  </hyperlinks>
  <pageMargins left="0.51181102362204722" right="0.51181102362204722" top="0.78740157480314965" bottom="0.78740157480314965" header="0.31496062992125984" footer="0.31496062992125984"/>
  <pageSetup paperSize="9"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921026" r:id="rId5" name="Drop Down 2">
              <controlPr defaultSize="0" autoLine="0" autoPict="0">
                <anchor>
                  <from>
                    <xdr:col>1</xdr:col>
                    <xdr:colOff>28575</xdr:colOff>
                    <xdr:row>4</xdr:row>
                    <xdr:rowOff>38100</xdr:rowOff>
                  </from>
                  <to>
                    <xdr:col>3</xdr:col>
                    <xdr:colOff>1590675</xdr:colOff>
                    <xdr:row>4</xdr:row>
                    <xdr:rowOff>333375</xdr:rowOff>
                  </to>
                </anchor>
              </controlPr>
            </control>
          </mc:Choice>
        </mc:AlternateContent>
        <mc:AlternateContent xmlns:mc="http://schemas.openxmlformats.org/markup-compatibility/2006">
          <mc:Choice Requires="x14">
            <control shapeId="1921027" r:id="rId6" name="Option Button 3">
              <controlPr defaultSize="0" autoFill="0" autoLine="0" autoPict="0">
                <anchor moveWithCells="1">
                  <from>
                    <xdr:col>3</xdr:col>
                    <xdr:colOff>28575</xdr:colOff>
                    <xdr:row>7</xdr:row>
                    <xdr:rowOff>28575</xdr:rowOff>
                  </from>
                  <to>
                    <xdr:col>3</xdr:col>
                    <xdr:colOff>600075</xdr:colOff>
                    <xdr:row>7</xdr:row>
                    <xdr:rowOff>180975</xdr:rowOff>
                  </to>
                </anchor>
              </controlPr>
            </control>
          </mc:Choice>
        </mc:AlternateContent>
        <mc:AlternateContent xmlns:mc="http://schemas.openxmlformats.org/markup-compatibility/2006">
          <mc:Choice Requires="x14">
            <control shapeId="1921028" r:id="rId7" name="Option Button 4">
              <controlPr defaultSize="0" autoFill="0" autoLine="0" autoPict="0">
                <anchor moveWithCells="1">
                  <from>
                    <xdr:col>3</xdr:col>
                    <xdr:colOff>1323975</xdr:colOff>
                    <xdr:row>7</xdr:row>
                    <xdr:rowOff>28575</xdr:rowOff>
                  </from>
                  <to>
                    <xdr:col>3</xdr:col>
                    <xdr:colOff>1857375</xdr:colOff>
                    <xdr:row>7</xdr:row>
                    <xdr:rowOff>180975</xdr:rowOff>
                  </to>
                </anchor>
              </controlPr>
            </control>
          </mc:Choice>
        </mc:AlternateContent>
        <mc:AlternateContent xmlns:mc="http://schemas.openxmlformats.org/markup-compatibility/2006">
          <mc:Choice Requires="x14">
            <control shapeId="1921029" r:id="rId8" name="Option Button 5">
              <controlPr defaultSize="0" autoFill="0" autoLine="0" autoPict="0">
                <anchor moveWithCells="1">
                  <from>
                    <xdr:col>3</xdr:col>
                    <xdr:colOff>676275</xdr:colOff>
                    <xdr:row>7</xdr:row>
                    <xdr:rowOff>28575</xdr:rowOff>
                  </from>
                  <to>
                    <xdr:col>3</xdr:col>
                    <xdr:colOff>1219200</xdr:colOff>
                    <xdr:row>7</xdr:row>
                    <xdr:rowOff>180975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9E04A-363F-4F51-898F-C13606121EB2}">
  <sheetPr codeName="Tabelle43">
    <pageSetUpPr fitToPage="1"/>
  </sheetPr>
  <dimension ref="A1:AC74"/>
  <sheetViews>
    <sheetView showGridLines="0" showRowColHeaders="0" topLeftCell="B1" zoomScaleNormal="100" workbookViewId="0">
      <selection activeCell="G23" sqref="G23"/>
    </sheetView>
  </sheetViews>
  <sheetFormatPr baseColWidth="10" defaultColWidth="0" defaultRowHeight="14.25"/>
  <cols>
    <col min="1" max="1" width="0" hidden="1" customWidth="1"/>
    <col min="2" max="2" width="4" customWidth="1"/>
    <col min="3" max="3" width="19" customWidth="1"/>
    <col min="4" max="4" width="14.125" customWidth="1"/>
    <col min="5" max="5" width="12.625" customWidth="1"/>
    <col min="6" max="7" width="13.625" customWidth="1"/>
    <col min="8" max="8" width="14.625" customWidth="1"/>
    <col min="9" max="9" width="15.625" customWidth="1"/>
    <col min="10" max="10" width="4.625" customWidth="1"/>
    <col min="11" max="12" width="11" hidden="1" customWidth="1"/>
    <col min="13" max="17" width="12.125" hidden="1" customWidth="1"/>
    <col min="18" max="18" width="16.625" hidden="1" customWidth="1"/>
    <col min="19" max="19" width="2.5" hidden="1" customWidth="1"/>
    <col min="20" max="20" width="16.625" hidden="1" customWidth="1"/>
    <col min="21" max="21" width="14.625" hidden="1" customWidth="1"/>
    <col min="22" max="23" width="13.125" hidden="1" customWidth="1"/>
    <col min="24" max="24" width="2.625" hidden="1" customWidth="1"/>
    <col min="25" max="27" width="13.625" hidden="1"/>
    <col min="28" max="28" width="12.5" hidden="1"/>
    <col min="29" max="29" width="10.125" hidden="1"/>
  </cols>
  <sheetData>
    <row r="1" spans="1:27" ht="11.25" customHeight="1" thickBot="1">
      <c r="A1" s="25"/>
      <c r="B1" s="1868">
        <v>1.05</v>
      </c>
      <c r="C1" s="1890"/>
      <c r="D1" s="1855"/>
      <c r="E1" s="1855"/>
      <c r="F1" s="1888"/>
      <c r="G1" s="1855"/>
      <c r="H1" s="964"/>
      <c r="I1" s="964"/>
      <c r="J1" s="964"/>
      <c r="K1" s="25"/>
      <c r="L1" s="25"/>
      <c r="X1" s="25"/>
    </row>
    <row r="2" spans="1:27" ht="30.75" customHeight="1" thickTop="1">
      <c r="B2" s="1853">
        <v>2</v>
      </c>
      <c r="C2" s="3185" t="s">
        <v>1592</v>
      </c>
      <c r="D2" s="3186"/>
      <c r="E2" s="3186"/>
      <c r="F2" s="1891" t="s">
        <v>1861</v>
      </c>
      <c r="G2" s="3183" t="s">
        <v>531</v>
      </c>
      <c r="H2" s="3183"/>
      <c r="I2" s="3184"/>
      <c r="J2" s="1854"/>
      <c r="S2" s="1764"/>
      <c r="T2" s="1764"/>
      <c r="U2" s="1764"/>
      <c r="V2" s="1764"/>
      <c r="W2" s="1764"/>
      <c r="X2" s="25"/>
    </row>
    <row r="3" spans="1:27" ht="25.5" customHeight="1">
      <c r="B3" s="1853">
        <v>3</v>
      </c>
      <c r="C3" s="3207" t="s">
        <v>1860</v>
      </c>
      <c r="D3" s="3208"/>
      <c r="E3" s="3208"/>
      <c r="F3" s="3209"/>
      <c r="G3" s="3210"/>
      <c r="H3" s="3211"/>
      <c r="I3" s="3212"/>
      <c r="J3" s="1863"/>
      <c r="S3" s="1764"/>
      <c r="T3" s="1764"/>
      <c r="U3" s="1764"/>
      <c r="V3" s="1764"/>
      <c r="W3" s="1764"/>
      <c r="X3" s="25"/>
    </row>
    <row r="4" spans="1:27" s="71" customFormat="1" ht="18" customHeight="1" thickBot="1">
      <c r="B4" s="1853">
        <v>4</v>
      </c>
      <c r="C4" s="1819" t="s">
        <v>556</v>
      </c>
      <c r="D4" s="1820"/>
      <c r="E4" s="1821">
        <f>IF(D4&gt;0,D4,IF(Dat_EzE&gt;0,Dat_EzE,""))</f>
        <v>46203</v>
      </c>
      <c r="F4" s="3187" t="s">
        <v>1847</v>
      </c>
      <c r="G4" s="3188"/>
      <c r="H4" s="2030">
        <f ca="1">TODAY()</f>
        <v>46239</v>
      </c>
      <c r="I4" s="1850">
        <f ca="1">IF(H4="",TODAY(),H4)</f>
        <v>46239</v>
      </c>
      <c r="J4" s="1863"/>
      <c r="S4" s="1764"/>
      <c r="T4" s="1764"/>
      <c r="U4" s="1764"/>
      <c r="V4" s="1764"/>
      <c r="W4" s="1764"/>
      <c r="X4" s="64"/>
    </row>
    <row r="5" spans="1:27" s="71" customFormat="1" ht="18" customHeight="1">
      <c r="B5" s="1853">
        <v>5</v>
      </c>
      <c r="C5" s="1892" t="s">
        <v>1844</v>
      </c>
      <c r="D5" s="1870"/>
      <c r="E5" s="1870"/>
      <c r="F5" s="1871"/>
      <c r="G5" s="1871"/>
      <c r="H5" s="2270" t="s">
        <v>2024</v>
      </c>
      <c r="I5" s="1893"/>
      <c r="J5" s="1863"/>
      <c r="S5" s="1764"/>
      <c r="T5" s="1764"/>
      <c r="U5" s="1764"/>
      <c r="V5" s="1764"/>
      <c r="W5" s="1764"/>
      <c r="X5" s="64"/>
      <c r="Z5" s="71" t="s">
        <v>1604</v>
      </c>
      <c r="AA5" s="153" t="e">
        <f>VLOOKUP(YEAR(D4),MonatlicheBezugsgroesse,4)*2</f>
        <v>#N/A</v>
      </c>
    </row>
    <row r="6" spans="1:27" s="71" customFormat="1" ht="18" customHeight="1">
      <c r="B6" s="1853">
        <v>6</v>
      </c>
      <c r="C6" s="3201" t="s">
        <v>1853</v>
      </c>
      <c r="D6" s="3202"/>
      <c r="E6" s="3203"/>
      <c r="F6" s="1400" t="s">
        <v>551</v>
      </c>
      <c r="G6" s="1400" t="s">
        <v>552</v>
      </c>
      <c r="H6" s="1400" t="s">
        <v>555</v>
      </c>
      <c r="I6" s="1894" t="str">
        <f>Summenzeichen&amp;" SV-Abzug: "</f>
        <v xml:space="preserve">∑ SV-Abzug: </v>
      </c>
      <c r="J6" s="1863"/>
      <c r="M6" s="1601"/>
      <c r="N6" s="1601"/>
      <c r="O6" s="1601"/>
      <c r="P6" s="1601"/>
      <c r="Q6" s="1601"/>
      <c r="R6" s="1614"/>
      <c r="S6" s="208"/>
      <c r="T6" s="208"/>
      <c r="U6" s="208"/>
      <c r="V6" s="208"/>
      <c r="W6" s="208"/>
      <c r="X6" s="64"/>
      <c r="AA6" s="153"/>
    </row>
    <row r="7" spans="1:27" s="71" customFormat="1" ht="18" customHeight="1">
      <c r="B7" s="1853">
        <v>7</v>
      </c>
      <c r="C7" s="3204"/>
      <c r="D7" s="3205"/>
      <c r="E7" s="3206"/>
      <c r="F7" s="1817"/>
      <c r="G7" s="1817"/>
      <c r="H7" s="1818">
        <v>2.9000000000000001E-2</v>
      </c>
      <c r="I7" s="1895">
        <f>+H7+G7+F7</f>
        <v>2.9000000000000001E-2</v>
      </c>
      <c r="J7" s="1863"/>
      <c r="M7" s="1601"/>
      <c r="N7" s="1601"/>
      <c r="O7" s="1601"/>
      <c r="P7" s="1601"/>
      <c r="Q7" s="1601"/>
      <c r="R7" s="1614"/>
      <c r="S7" s="208"/>
      <c r="T7" s="208"/>
      <c r="U7" s="208"/>
      <c r="V7" s="208"/>
      <c r="W7" s="208"/>
      <c r="X7" s="64"/>
      <c r="AA7" s="153"/>
    </row>
    <row r="8" spans="1:27" s="71" customFormat="1" ht="18" customHeight="1">
      <c r="B8" s="1853">
        <v>8</v>
      </c>
      <c r="C8" s="3197" t="str">
        <f ca="1">"Beitragsbemessungsgrenze der gesetzlichen KV- und PV-Vers. am "&amp;TEXT(I4,"TT.MM.JJJJ")&amp;":"</f>
        <v>Beitragsbemessungsgrenze der gesetzlichen KV- und PV-Vers. am 05.08.2026:</v>
      </c>
      <c r="D8" s="3197"/>
      <c r="E8" s="3197"/>
      <c r="F8" s="3197"/>
      <c r="G8" s="3197"/>
      <c r="H8" s="3197"/>
      <c r="I8" s="1832">
        <f ca="1">IFERROR(VLOOKUP(I4,KVundPV,2),"")</f>
        <v>5512.5</v>
      </c>
      <c r="J8" s="1863"/>
      <c r="M8" s="1601"/>
      <c r="N8" s="1601"/>
      <c r="O8" s="1601"/>
      <c r="P8" s="1601"/>
      <c r="Q8" s="1601"/>
      <c r="R8" s="1614"/>
      <c r="S8" s="208"/>
      <c r="T8" s="208"/>
      <c r="U8" s="208"/>
      <c r="V8" s="208"/>
      <c r="W8" s="208"/>
      <c r="X8" s="64"/>
      <c r="AA8" s="153"/>
    </row>
    <row r="9" spans="1:27" s="71" customFormat="1" ht="18" customHeight="1" thickBot="1">
      <c r="B9" s="1853">
        <v>9</v>
      </c>
      <c r="C9" s="3198" t="str">
        <f>IF(sVA_Privat,"kein KV-Freibetrag, da ausglpfl. Person privatversicht ist. Ggfls C-Box in Zeile 23 deaktivieren","Krankenversicherungs-Freigrenze für Betriebsrenten (§ 226 II SGB V) "&amp;YEAR(I4)&amp;":")</f>
        <v>kein KV-Freibetrag, da ausglpfl. Person privatversicht ist. Ggfls C-Box in Zeile 23 deaktivieren</v>
      </c>
      <c r="D9" s="3199"/>
      <c r="E9" s="3199"/>
      <c r="F9" s="3199"/>
      <c r="G9" s="3199"/>
      <c r="H9" s="3200"/>
      <c r="I9" s="1896">
        <f>IF(sVA_Privat,0,IF(FB_Aktiv,IF(YEAR(I4)&lt;2020,0,VLOOKUP(YEAR(I4),MonatlicheBezugsgroesse,2)/20),0))</f>
        <v>0</v>
      </c>
      <c r="J9" s="1863"/>
      <c r="M9" s="1601"/>
      <c r="N9" s="1601"/>
      <c r="O9" s="1601"/>
      <c r="P9" s="1601"/>
      <c r="Q9" s="1601"/>
      <c r="R9" s="1614"/>
      <c r="S9" s="208"/>
      <c r="T9" s="208"/>
      <c r="U9" s="208"/>
      <c r="V9" s="208"/>
      <c r="W9" s="208"/>
      <c r="X9" s="64"/>
      <c r="AA9" s="153"/>
    </row>
    <row r="10" spans="1:27" s="71" customFormat="1" ht="18" customHeight="1">
      <c r="B10" s="1853">
        <v>10</v>
      </c>
      <c r="C10" s="3213" t="s">
        <v>1845</v>
      </c>
      <c r="D10" s="3214"/>
      <c r="E10" s="3214"/>
      <c r="F10" s="3214"/>
      <c r="G10" s="3214"/>
      <c r="H10" s="3214"/>
      <c r="I10" s="3215"/>
      <c r="J10" s="1863"/>
      <c r="N10" s="2006"/>
      <c r="O10" s="2006"/>
      <c r="P10" s="2006"/>
      <c r="Q10" s="1601"/>
      <c r="R10" s="1614"/>
      <c r="S10" s="208"/>
      <c r="T10" s="208"/>
      <c r="U10" s="208"/>
      <c r="V10" s="208"/>
      <c r="W10" s="208"/>
      <c r="X10" s="64"/>
      <c r="AA10" s="153"/>
    </row>
    <row r="11" spans="1:27" s="71" customFormat="1" ht="18" customHeight="1">
      <c r="B11" s="1853">
        <v>11</v>
      </c>
      <c r="C11" s="3216" t="s">
        <v>1848</v>
      </c>
      <c r="D11" s="3217"/>
      <c r="E11" s="3217"/>
      <c r="F11" s="3217"/>
      <c r="G11" s="3217"/>
      <c r="H11" s="3217"/>
      <c r="I11" s="3218"/>
      <c r="J11" s="1863"/>
      <c r="M11" s="2006"/>
      <c r="N11" s="2006"/>
      <c r="O11" s="2006"/>
      <c r="P11" s="2006"/>
      <c r="Q11" s="1601"/>
      <c r="R11" s="1614"/>
      <c r="S11" s="208"/>
      <c r="T11" s="208"/>
      <c r="U11" s="208"/>
      <c r="V11" s="208"/>
      <c r="W11" s="208"/>
      <c r="X11" s="64"/>
      <c r="AA11" s="153"/>
    </row>
    <row r="12" spans="1:27" s="71" customFormat="1" ht="18" customHeight="1" thickBot="1">
      <c r="B12" s="1853">
        <v>12</v>
      </c>
      <c r="C12" s="3219"/>
      <c r="D12" s="3220"/>
      <c r="E12" s="3220"/>
      <c r="F12" s="3220"/>
      <c r="G12" s="3220"/>
      <c r="H12" s="3220"/>
      <c r="I12" s="3221"/>
      <c r="J12" s="1863"/>
      <c r="M12" s="2006"/>
      <c r="N12" s="2006"/>
      <c r="O12" s="2006"/>
      <c r="P12" s="2006"/>
      <c r="Q12" s="1601"/>
      <c r="R12" s="1614"/>
      <c r="S12" s="208"/>
      <c r="T12" s="208"/>
      <c r="U12" s="208"/>
      <c r="V12" s="208"/>
      <c r="W12" s="208"/>
      <c r="X12" s="64"/>
      <c r="AA12" s="153"/>
    </row>
    <row r="13" spans="1:27" s="71" customFormat="1" ht="18" customHeight="1">
      <c r="B13" s="1853">
        <v>13</v>
      </c>
      <c r="C13" s="3236" t="s">
        <v>1602</v>
      </c>
      <c r="D13" s="3237"/>
      <c r="E13" s="3238"/>
      <c r="F13" s="1889"/>
      <c r="G13" s="3222" t="str">
        <f ca="1">IF(AND(E20&gt;I8,sVA_Privat=FALSE),Summenzeichen&amp;" der Alterseinkünfte &gt; BBG "&amp;YEAR(I4)&amp;" daher:","")</f>
        <v/>
      </c>
      <c r="H13" s="3223"/>
      <c r="I13" s="3233" t="str">
        <f>IFERROR(IF(sVA_Privat,"Einkommen",IF(E20&gt;I8," KV-pfl. Einkommen: "&amp;CHAR(10)&amp;"("&amp;TEXT(CHOOSE(sVA_Einkommensauswahl,E16,E17,JI31,E19),"#.##,00")&amp;" - "&amp;TEXT(ABS(CHOOSE(sVA_Einkommensauswahl,H16,H17,H18,H19)),"#.##0,00")&amp;") x ("&amp;TEXT(I8,"#.##0,00")&amp;" - "&amp;TEXT(ABS(H20),"#.##0,00")&amp;") / ("&amp;TEXT(E20,"#.##0,00")&amp;" - "&amp;TEXT(ABS(H20),"#.##0,00")&amp;") =","KV-versicherungs-pflichtiges Einkommen:"&amp;TEXT(CHOOSE(sVA_Einkommensauswahl,E16,E17,E18,E19),"#.##0,00")&amp;" - "&amp;TEXT(ABS(CHOOSE(sVA_Einkommensauswahl,H16,H17,H18,H19)),"#.##0,00"))),"")</f>
        <v>Einkommen</v>
      </c>
      <c r="J13" s="1863"/>
      <c r="M13" s="2006"/>
      <c r="N13" s="2006"/>
      <c r="O13" s="2006"/>
      <c r="P13" s="2006"/>
      <c r="Q13" s="1601"/>
      <c r="R13" s="1614"/>
      <c r="S13" s="208"/>
      <c r="T13" s="208"/>
      <c r="U13" s="208"/>
      <c r="V13" s="208"/>
      <c r="W13" s="208"/>
      <c r="X13" s="64"/>
      <c r="AA13" s="153"/>
    </row>
    <row r="14" spans="1:27" s="71" customFormat="1" ht="18" customHeight="1">
      <c r="B14" s="1853">
        <v>14</v>
      </c>
      <c r="C14" s="3193" t="s">
        <v>1601</v>
      </c>
      <c r="D14" s="3194"/>
      <c r="E14" s="3224" t="s">
        <v>1599</v>
      </c>
      <c r="F14" s="3224" t="s">
        <v>1600</v>
      </c>
      <c r="G14" s="3224" t="s">
        <v>1605</v>
      </c>
      <c r="H14" s="3226" t="s">
        <v>1915</v>
      </c>
      <c r="I14" s="3234"/>
      <c r="J14" s="1863"/>
      <c r="M14" s="2006"/>
      <c r="N14" s="2006"/>
      <c r="O14" s="2006"/>
      <c r="P14" s="2006"/>
      <c r="Q14" s="1601"/>
      <c r="R14" s="1614"/>
      <c r="S14" s="208"/>
      <c r="T14" s="208"/>
      <c r="U14" s="208"/>
      <c r="V14" s="208"/>
      <c r="W14" s="208"/>
      <c r="X14" s="64"/>
      <c r="AA14" s="153"/>
    </row>
    <row r="15" spans="1:27" s="71" customFormat="1" ht="18" customHeight="1">
      <c r="B15" s="1853">
        <v>15</v>
      </c>
      <c r="C15" s="3195"/>
      <c r="D15" s="3196"/>
      <c r="E15" s="3225"/>
      <c r="F15" s="3225"/>
      <c r="G15" s="3225"/>
      <c r="H15" s="3227"/>
      <c r="I15" s="3235"/>
      <c r="J15" s="1863"/>
      <c r="M15" s="2006"/>
      <c r="N15" s="2006"/>
      <c r="O15" s="2006"/>
      <c r="P15" s="2006"/>
      <c r="Q15" s="1601"/>
      <c r="R15" s="1614"/>
      <c r="S15" s="208"/>
      <c r="T15" s="208"/>
      <c r="U15" s="208"/>
      <c r="V15" s="208"/>
      <c r="W15" s="208"/>
      <c r="X15" s="64"/>
      <c r="AA15" s="153"/>
    </row>
    <row r="16" spans="1:27" s="71" customFormat="1" ht="18" customHeight="1">
      <c r="B16" s="1853">
        <v>16</v>
      </c>
      <c r="C16" s="3189"/>
      <c r="D16" s="3190"/>
      <c r="E16" s="1798"/>
      <c r="F16" s="1799">
        <v>1</v>
      </c>
      <c r="G16" s="1800">
        <f>IF(sVA_Privat,0,IFERROR(+E16/SUM(E$16:E$19),""))</f>
        <v>0</v>
      </c>
      <c r="H16" s="1801">
        <f>IFERROR(IF(I$9*G16&gt;E16,-E16,-I$9*G16),"")</f>
        <v>0</v>
      </c>
      <c r="I16" s="1998">
        <f>IF(sVA_Privat,E16,IFERROR((E16+H16)*IF(E$20&gt;I$8,(I$8+H$20)/(E$20+H$20),1),""))</f>
        <v>0</v>
      </c>
      <c r="J16" s="1863"/>
      <c r="M16" s="2007"/>
      <c r="N16" s="2007"/>
      <c r="O16" s="2007"/>
      <c r="P16" s="2007"/>
      <c r="Q16" s="2007"/>
      <c r="R16" s="1614"/>
      <c r="S16" s="208"/>
      <c r="T16" s="208"/>
      <c r="U16" s="208"/>
      <c r="V16" s="208"/>
      <c r="W16" s="208"/>
      <c r="X16" s="64"/>
      <c r="AA16" s="153"/>
    </row>
    <row r="17" spans="2:29" s="71" customFormat="1" ht="18" customHeight="1">
      <c r="B17" s="1853">
        <v>17</v>
      </c>
      <c r="C17" s="3191"/>
      <c r="D17" s="3192"/>
      <c r="E17" s="1798"/>
      <c r="F17" s="1799">
        <v>1</v>
      </c>
      <c r="G17" s="1800">
        <f>IF(sVA_Privat,0,IFERROR(+E17/SUM(E$16:E$19),""))</f>
        <v>0</v>
      </c>
      <c r="H17" s="1801">
        <f>IFERROR(IF(I$9*G17&gt;E17,E17,-I$9*G17),"")</f>
        <v>0</v>
      </c>
      <c r="I17" s="1998">
        <f>IF(sVA_Privat,E17,IFERROR((E17+H17)*IF(E$20&gt;I$8,(I$8+H$20)/(E$20+H$20),1),""))</f>
        <v>0</v>
      </c>
      <c r="J17" s="1863"/>
      <c r="M17" s="2007"/>
      <c r="N17" s="2007"/>
      <c r="O17" s="2007"/>
      <c r="P17" s="2007"/>
      <c r="Q17" s="2007"/>
      <c r="R17" s="1614"/>
      <c r="S17" s="208"/>
      <c r="T17" s="208"/>
      <c r="U17" s="208"/>
      <c r="V17" s="208"/>
      <c r="W17" s="208"/>
      <c r="X17" s="64"/>
      <c r="AA17" s="153"/>
    </row>
    <row r="18" spans="2:29" s="71" customFormat="1" ht="18" customHeight="1">
      <c r="B18" s="1853">
        <v>18</v>
      </c>
      <c r="C18" s="3243"/>
      <c r="D18" s="3192"/>
      <c r="E18" s="1798"/>
      <c r="F18" s="1799">
        <v>1</v>
      </c>
      <c r="G18" s="1800">
        <f>IF(sVA_Privat,0,IFERROR(+E18/SUM(E$16:E$19),""))</f>
        <v>0</v>
      </c>
      <c r="H18" s="1801">
        <f>IFERROR(IF(I$9*G18&gt;E18,E18,-I$9*G18),"")</f>
        <v>0</v>
      </c>
      <c r="I18" s="1998">
        <f>IF(sVA_Privat,E18,IFERROR((E18+H18)*IF(E$20&gt;I$8,(I$8+H$20)/(E$20+H$20),1),""))</f>
        <v>0</v>
      </c>
      <c r="J18" s="1863"/>
      <c r="M18" s="2007"/>
      <c r="N18" s="2007"/>
      <c r="O18" s="2007"/>
      <c r="P18" s="2007"/>
      <c r="Q18" s="2007"/>
      <c r="R18" s="1614"/>
      <c r="S18" s="208"/>
      <c r="T18" s="208"/>
      <c r="U18" s="208"/>
      <c r="V18" s="208"/>
      <c r="W18" s="208"/>
      <c r="X18" s="64"/>
      <c r="AA18" s="153"/>
    </row>
    <row r="19" spans="2:29" s="71" customFormat="1" ht="18" customHeight="1">
      <c r="B19" s="1853">
        <v>19</v>
      </c>
      <c r="C19" s="3244"/>
      <c r="D19" s="3192"/>
      <c r="E19" s="1798"/>
      <c r="F19" s="1799">
        <v>1</v>
      </c>
      <c r="G19" s="1800">
        <f>IF(sVA_Privat,0,IFERROR(+E19/SUM(E$16:E$19),""))</f>
        <v>0</v>
      </c>
      <c r="H19" s="1801">
        <f>IFERROR(IF(I$9*G19&gt;E19,E19,-I$9*G19),"")</f>
        <v>0</v>
      </c>
      <c r="I19" s="1998">
        <f>IF(sVA_Privat,E19,IFERROR((E19+H19)*IF(E$20&gt;I$8,(I$8+H$20)/(E$20+H$20),1),""))</f>
        <v>0</v>
      </c>
      <c r="J19" s="1863"/>
      <c r="M19" s="2007"/>
      <c r="N19" s="2007"/>
      <c r="O19" s="2007"/>
      <c r="P19" s="2007"/>
      <c r="Q19" s="2007"/>
      <c r="R19" s="1614"/>
      <c r="S19" s="208"/>
      <c r="T19" s="208"/>
      <c r="U19" s="208"/>
      <c r="V19" s="208"/>
      <c r="W19" s="208"/>
      <c r="X19" s="64"/>
      <c r="AA19" s="153"/>
    </row>
    <row r="20" spans="2:29" s="71" customFormat="1" ht="18" customHeight="1" thickBot="1">
      <c r="B20" s="1853">
        <v>20</v>
      </c>
      <c r="C20" s="3245" t="s">
        <v>143</v>
      </c>
      <c r="D20" s="3246"/>
      <c r="E20" s="1901">
        <f>IF(SUM(E16:E19)=0,F13+H21,SUM(E16:E19)+F13)</f>
        <v>0</v>
      </c>
      <c r="F20" s="1902"/>
      <c r="G20" s="1903"/>
      <c r="H20" s="1904">
        <f>SUM(H16:H19)</f>
        <v>0</v>
      </c>
      <c r="I20" s="1999">
        <f>SUM(I16:I19)</f>
        <v>0</v>
      </c>
      <c r="J20" s="1863"/>
      <c r="M20" s="2191"/>
      <c r="N20" s="2191"/>
      <c r="O20" s="2191"/>
      <c r="P20" s="2191"/>
      <c r="Q20" s="2191"/>
      <c r="R20" s="1614"/>
      <c r="S20" s="208"/>
      <c r="T20" s="208"/>
      <c r="U20" s="208"/>
      <c r="V20" s="208"/>
      <c r="W20" s="208"/>
      <c r="X20" s="64"/>
      <c r="AA20" s="153"/>
    </row>
    <row r="21" spans="2:29" s="71" customFormat="1" ht="18" customHeight="1" thickTop="1">
      <c r="B21" s="1853">
        <v>21</v>
      </c>
      <c r="C21" s="1995" t="s">
        <v>1856</v>
      </c>
      <c r="D21" s="1996"/>
      <c r="E21" s="1996"/>
      <c r="F21" s="3247" t="s">
        <v>1914</v>
      </c>
      <c r="G21" s="3248"/>
      <c r="H21" s="1997"/>
      <c r="I21" s="2000">
        <f>CHOOSE(sVA_Einkommensauswahl,IF(Z28,E16,0),IF(Z29,E17,0),IF(Z30,E18,0),IF(Z31,E19,0))</f>
        <v>0</v>
      </c>
      <c r="J21" s="1863"/>
      <c r="M21" s="2191"/>
      <c r="N21" s="2191"/>
      <c r="O21" s="2191"/>
      <c r="P21" s="2191"/>
      <c r="Q21" s="2191"/>
      <c r="X21" s="64"/>
      <c r="Y21" s="71" t="e">
        <f>CHOOSE(12,I16,I17,I18,I19)</f>
        <v>#VALUE!</v>
      </c>
    </row>
    <row r="22" spans="2:29" s="71" customFormat="1" ht="18" customHeight="1" thickBot="1">
      <c r="B22" s="1853">
        <v>22</v>
      </c>
      <c r="C22" s="3239" t="s">
        <v>1854</v>
      </c>
      <c r="D22" s="3240"/>
      <c r="E22" s="3240"/>
      <c r="F22" s="1859" t="s">
        <v>1855</v>
      </c>
      <c r="G22" s="1900" t="str">
        <f>TEXT(CHOOSE(Y30,E16,E17,E18,E19),"#.##0,00")&amp;" / "&amp;TEXT(E23,"#.##0,00")</f>
        <v>0,00 / 2.500,00</v>
      </c>
      <c r="H22" s="3231" t="str">
        <f>"Sozialabgaben "&amp;IF(sVA_Privat,"(pKV + pPV)","(gKV + gPV)")</f>
        <v>Sozialabgaben (pKV + pPV)</v>
      </c>
      <c r="I22" s="3232"/>
      <c r="J22" s="1863"/>
      <c r="X22" s="64"/>
      <c r="Y22" s="16" t="b">
        <v>1</v>
      </c>
    </row>
    <row r="23" spans="2:29" s="71" customFormat="1" ht="18" customHeight="1" thickBot="1">
      <c r="B23" s="1853">
        <v>23</v>
      </c>
      <c r="C23" s="1897"/>
      <c r="D23" s="1822" t="s">
        <v>1843</v>
      </c>
      <c r="E23" s="1823">
        <v>2500</v>
      </c>
      <c r="F23" s="1824" t="s">
        <v>1842</v>
      </c>
      <c r="G23" s="1825">
        <v>800</v>
      </c>
      <c r="H23" s="1826">
        <f>IF(E23=0,G23/E20,CHOOSE(Y30,E16,E17,E18,E19)/E23)</f>
        <v>0</v>
      </c>
      <c r="I23" s="1898">
        <f>+IF(sVA_Privat=FALSE,0,H23*-G23)</f>
        <v>0</v>
      </c>
      <c r="J23" s="1863"/>
      <c r="X23" s="64"/>
      <c r="Y23" s="16"/>
    </row>
    <row r="24" spans="2:29" s="71" customFormat="1" ht="18" customHeight="1">
      <c r="B24" s="1853">
        <v>24</v>
      </c>
      <c r="C24" s="3251" t="str">
        <f>IF(sVA_Privat,"","./. KV "&amp;IF(H20=0,"auf "&amp;TEXT(I21,"#.##0,00")&amp;" - "&amp;TEXT(I9,"#.#0,00"),"auf "&amp;IF(I8&gt;E20,TEXT(I21,"#.##,00")&amp;" "&amp;TEXT(CHOOSE(Y30,H16,H17,H18,H19),"#.##0,00")&amp;" = "&amp;TEXT(CHOOSE(Y30,I16,I17,I18,I19),"#.##0,00"),"wg. Einkommen &gt; BBMG reduziert  "&amp;TEXT(CHOOSE(Y30,I16,I17,I18,I19),"#.##0,00"))))</f>
        <v/>
      </c>
      <c r="D24" s="3252"/>
      <c r="E24" s="3252"/>
      <c r="F24" s="3252"/>
      <c r="G24" s="1873"/>
      <c r="H24" s="1802">
        <f ca="1">IFERROR(IF(F7&gt;0,F7,IF(SVAbgaben,"",VLOOKUP(I4,KVundPV,4))),"")</f>
        <v>0.14599999999999999</v>
      </c>
      <c r="I24" s="2001">
        <f>IFERROR(ROUND(IF(sVA_Privat,0,IF(H27&lt;&gt;0,0,IF(SVAbgaben,0,IF(AND(H21&gt;0,E20-F13-H21=0),IF(-H21+I9&gt;0,0,-H21+I9),-CHOOSE(Y30,I16,I17,I18,I19))*H24))),2),"")</f>
        <v>0</v>
      </c>
      <c r="J24" s="1863"/>
      <c r="M24" s="1851"/>
      <c r="N24" s="1851"/>
      <c r="O24" s="1851"/>
      <c r="P24" s="1851"/>
      <c r="Q24" s="1851"/>
      <c r="R24" s="1851"/>
      <c r="X24" s="64"/>
    </row>
    <row r="25" spans="2:29" s="71" customFormat="1" ht="18" customHeight="1">
      <c r="B25" s="1853">
        <v>25</v>
      </c>
      <c r="C25" s="3249" t="str">
        <f>IF(sVA_Privat,"","./. PV-Beiträge § 55 III SGB XI aus "&amp;TEXT(CHOOSE(Y30,E16,E17,E18,E19)*IF(E$20&gt;I$8,I$8/E$20,1),"#.##0,00 €"))</f>
        <v/>
      </c>
      <c r="D25" s="3250"/>
      <c r="E25" s="1899" t="s">
        <v>1840</v>
      </c>
      <c r="F25" s="1795"/>
      <c r="G25" s="1796"/>
      <c r="H25" s="1793">
        <f ca="1">IFERROR(IF(G7&lt;&gt;"",G7,IF(SVAbgaben,"",VLOOKUP(I4,KVundPV,5)+IF(Y37=1,VLOOKUP(I4,KVundPV,6),0)-IF(I4&gt;'KV&amp;PV'!C40-1,IF(Y37&gt;2,(Y37-2)*0.25%,0),0))),"")</f>
        <v>4.1999999999999996E-2</v>
      </c>
      <c r="I25" s="1832">
        <f>IFERROR(ROUND(IF(sVA_Privat,0,IF(H27&lt;&gt;0,0,IF(SVAbgaben,0,IFERROR(-CHOOSE(Y30,E16,E17,E18,E19)*IF(E$20&gt;I$8,I$8/E$20,1)*H25,"")))),2),"")</f>
        <v>0</v>
      </c>
      <c r="J25" s="1863"/>
      <c r="M25" s="2008"/>
      <c r="N25" s="2008"/>
      <c r="O25" s="2008"/>
      <c r="P25" s="2008"/>
      <c r="Q25" s="2008"/>
      <c r="R25" s="1803"/>
      <c r="X25" s="64"/>
      <c r="Y25" s="16" t="b">
        <v>1</v>
      </c>
    </row>
    <row r="26" spans="2:29" s="71" customFormat="1" ht="18" customHeight="1">
      <c r="B26" s="1853">
        <v>26</v>
      </c>
      <c r="C26" s="3241" t="str">
        <f>IF(sVA_Privat,"","./. Krankenversicherungszusatzbeitrag;  242a II SGB V")</f>
        <v/>
      </c>
      <c r="D26" s="3242"/>
      <c r="E26" s="3242"/>
      <c r="F26" s="3242"/>
      <c r="G26" s="1872"/>
      <c r="H26" s="1793">
        <f>IF(SVAbgaben,"",IF(H7="",VLOOKUP(I4,KVundPV,7),H7))</f>
        <v>2.9000000000000001E-2</v>
      </c>
      <c r="I26" s="1832">
        <f>IFERROR(ROUND(IF(sVA_Privat,0,IF(H27&lt;&gt;0,0,IF(SVAbgaben,0,-CHOOSE(Y30,I16,I17,I18,I19)*H26))),2),"")</f>
        <v>0</v>
      </c>
      <c r="J26" s="1863"/>
      <c r="M26" s="2009"/>
      <c r="N26" s="2009"/>
      <c r="O26" s="2009"/>
      <c r="P26" s="2009"/>
      <c r="Q26" s="2009"/>
      <c r="R26" s="1804"/>
      <c r="X26" s="64"/>
      <c r="Y26" s="966"/>
      <c r="Z26" s="966"/>
      <c r="AA26" s="966"/>
      <c r="AB26" s="966"/>
      <c r="AC26" s="966"/>
    </row>
    <row r="27" spans="2:29" s="71" customFormat="1" ht="18" customHeight="1">
      <c r="B27" s="1853">
        <v>27</v>
      </c>
      <c r="C27" s="3228" t="str">
        <f>"./. SozVersBeiträge auf Versorgung  i.H.v. "&amp;IF(H27&gt;0,"manuell eingegeben: ",IF(sVA_Privat,TEXT(R27,"#.##0,00"),TEXT(SUM(H24:H26),"0,00%"))&amp;" x "&amp;IF(sVA_Privat,TEXT(IF(H21&gt;0,H21,CHOOSE(Y30,E16,E17,E18,E19)),"#.##0,00")&amp;" / "&amp;TEXT(R25,"#.##0,00"),TEXT(CHOOSE(sVA_Einkommensauswahl,I16,I17,I18,I19),"#.##0,00")))</f>
        <v>./. SozVersBeiträge auf Versorgung  i.H.v. 0,00 x 0,00 / 0,00</v>
      </c>
      <c r="D27" s="3229"/>
      <c r="E27" s="3229"/>
      <c r="F27" s="3229"/>
      <c r="G27" s="3230"/>
      <c r="H27" s="1797"/>
      <c r="I27" s="2002">
        <f>IF(H27&gt;0,-H27,IF(sVA_Privat,IF(H27&gt;0,-H27,I23),SUM(I24:I26)))</f>
        <v>0</v>
      </c>
      <c r="J27" s="1863"/>
      <c r="M27" s="2010"/>
      <c r="N27" s="2010"/>
      <c r="O27" s="2010"/>
      <c r="P27" s="2010"/>
      <c r="Q27" s="2010"/>
      <c r="R27" s="748"/>
      <c r="X27" s="1404"/>
      <c r="Y27" s="966"/>
      <c r="Z27" s="966"/>
      <c r="AA27" s="966"/>
      <c r="AB27" s="966"/>
      <c r="AC27" s="966"/>
    </row>
    <row r="28" spans="2:29" s="71" customFormat="1" ht="18" customHeight="1">
      <c r="B28" s="1853">
        <v>28</v>
      </c>
      <c r="C28" s="3255" t="s">
        <v>1846</v>
      </c>
      <c r="D28" s="3256"/>
      <c r="E28" s="3256"/>
      <c r="F28" s="3256"/>
      <c r="G28" s="3256"/>
      <c r="H28" s="3257"/>
      <c r="I28" s="2003">
        <f>IF(+I21+I27&lt;0,0,I21+I27)</f>
        <v>0</v>
      </c>
      <c r="J28" s="1863"/>
      <c r="M28" s="2010"/>
      <c r="N28" s="2010"/>
      <c r="O28" s="2010"/>
      <c r="P28" s="2010"/>
      <c r="Q28" s="2010"/>
      <c r="R28" s="1805"/>
      <c r="X28" s="1404"/>
      <c r="Y28" s="71" t="s">
        <v>1591</v>
      </c>
      <c r="Z28" s="16" t="b">
        <v>1</v>
      </c>
      <c r="AA28" s="153">
        <f>IF(Z28,E16*F16,0)</f>
        <v>0</v>
      </c>
      <c r="AB28" s="1410" t="e">
        <f>+AA28/AA$32</f>
        <v>#DIV/0!</v>
      </c>
      <c r="AC28" s="71">
        <f>IF(AND(Z28=TRUE,AA28&gt;0),1,0)</f>
        <v>0</v>
      </c>
    </row>
    <row r="29" spans="2:29" s="71" customFormat="1" ht="18" customHeight="1">
      <c r="B29" s="1853">
        <v>29</v>
      </c>
      <c r="C29" s="3258" t="s">
        <v>1603</v>
      </c>
      <c r="D29" s="3259"/>
      <c r="E29" s="3259"/>
      <c r="F29" s="3259"/>
      <c r="G29" s="3259"/>
      <c r="H29" s="3260"/>
      <c r="I29" s="2004">
        <f>CHOOSE(Y30,F16,F17,F18,F19)</f>
        <v>1</v>
      </c>
      <c r="J29" s="1863"/>
      <c r="M29" s="1852"/>
      <c r="N29" s="1852"/>
      <c r="O29" s="1852"/>
      <c r="P29" s="1852"/>
      <c r="Q29" s="1852"/>
      <c r="R29" s="1852"/>
      <c r="X29" s="64"/>
      <c r="Z29" s="16" t="b">
        <v>0</v>
      </c>
      <c r="AA29" s="153">
        <f>IF(Z29,E17*F17,0)</f>
        <v>0</v>
      </c>
      <c r="AB29" s="1410" t="e">
        <f>+AA29/AA$32</f>
        <v>#DIV/0!</v>
      </c>
      <c r="AC29" s="71">
        <f>IF(AND(Z29=TRUE,AA29&gt;0),1,0)</f>
        <v>0</v>
      </c>
    </row>
    <row r="30" spans="2:29" s="71" customFormat="1" ht="18" customHeight="1">
      <c r="B30" s="1853">
        <v>30</v>
      </c>
      <c r="C30" s="3258" t="str">
        <f>"ehezeitliche Versorgungshöhe: "&amp;TEXT(I28,"#.##0,00")&amp;" x "&amp;TEXT(I29,"#.##0,00%")</f>
        <v>ehezeitliche Versorgungshöhe: 0,00 x 100,00%</v>
      </c>
      <c r="D30" s="3259"/>
      <c r="E30" s="3259"/>
      <c r="F30" s="3259"/>
      <c r="G30" s="3259"/>
      <c r="H30" s="3260"/>
      <c r="I30" s="1832">
        <f>+I28*IF(H29&gt;0,H29,I29)</f>
        <v>0</v>
      </c>
      <c r="J30" s="1863"/>
      <c r="M30" s="2011"/>
      <c r="N30" s="2011"/>
      <c r="O30" s="2011"/>
      <c r="P30" s="2011"/>
      <c r="Q30" s="2011"/>
      <c r="R30" s="796"/>
      <c r="X30" s="64"/>
      <c r="Y30" s="16">
        <v>1</v>
      </c>
      <c r="Z30" s="16" t="b">
        <v>0</v>
      </c>
      <c r="AA30" s="153">
        <f>IF(Z30,E18*F18,0)</f>
        <v>0</v>
      </c>
      <c r="AB30" s="1410" t="e">
        <f>+AA30/AA$32</f>
        <v>#DIV/0!</v>
      </c>
      <c r="AC30" s="71">
        <f>IF(AND(Z30=TRUE,AA30&gt;0),1,0)</f>
        <v>0</v>
      </c>
    </row>
    <row r="31" spans="2:29" s="71" customFormat="1" ht="18" customHeight="1">
      <c r="B31" s="1853">
        <v>31</v>
      </c>
      <c r="C31" s="3258" t="s">
        <v>553</v>
      </c>
      <c r="D31" s="3259"/>
      <c r="E31" s="3259"/>
      <c r="F31" s="3259"/>
      <c r="G31" s="3259"/>
      <c r="H31" s="3260"/>
      <c r="I31" s="1832">
        <f>+I30/2</f>
        <v>0</v>
      </c>
      <c r="J31" s="1863"/>
      <c r="M31" s="2012"/>
      <c r="N31" s="2012"/>
      <c r="O31" s="2013"/>
      <c r="P31" s="2013"/>
      <c r="Q31" s="2013"/>
      <c r="R31" s="1806"/>
      <c r="X31" s="64"/>
      <c r="Y31" s="71">
        <v>0</v>
      </c>
      <c r="Z31" s="16" t="b">
        <v>0</v>
      </c>
      <c r="AA31" s="153">
        <f>IF(Z31,E19*F19,0)</f>
        <v>0</v>
      </c>
      <c r="AB31" s="1410" t="e">
        <f>+AA31/AA$32</f>
        <v>#DIV/0!</v>
      </c>
      <c r="AC31" s="71">
        <f>IF(AND(Z31=TRUE,AA31&gt;0),1,0)</f>
        <v>0</v>
      </c>
    </row>
    <row r="32" spans="2:29" s="71" customFormat="1" ht="18" customHeight="1">
      <c r="B32" s="1853">
        <v>32</v>
      </c>
      <c r="C32" s="3255" t="str">
        <f>IFERROR("bereits ausgeglichen bei Scheidung "&amp;IF(H32=0,"(nach § 3b I Nr. 1 VAHRG max."&amp;TEXT(VLOOKUP(YEAR(D4),MonatlicheBezugsgroesse,2)*0.02,"0,00")&amp;")","")&amp;": "&amp;IF(sVA_AnzahlehezeitlicherV&gt;1,"anteilig: "&amp;TEXT(H32,"0,00")&amp;" x ("&amp;M34&amp;") / "&amp;TEXT(M40,"#.##0,00"),""),"bereits bei Scheidung ausgeglichenen Betrag eingeben:")</f>
        <v>bereits bei Scheidung ausgeglichenen Betrag eingeben:</v>
      </c>
      <c r="D32" s="3256"/>
      <c r="E32" s="3256"/>
      <c r="F32" s="3256"/>
      <c r="G32" s="3257"/>
      <c r="H32" s="1272"/>
      <c r="I32" s="1827" t="str">
        <f>IFERROR(ROUND(H32*CHOOSE(Y30,AB28,AB29,AB30,AB31),2),"")</f>
        <v/>
      </c>
      <c r="J32" s="1863"/>
      <c r="M32" s="2012"/>
      <c r="N32" s="2012"/>
      <c r="O32" s="2013"/>
      <c r="P32" s="2013"/>
      <c r="Q32" s="2013"/>
      <c r="R32" s="1806"/>
      <c r="X32" s="64"/>
      <c r="Y32" s="71">
        <v>1</v>
      </c>
      <c r="AA32" s="153">
        <f>SUM(AA28:AA31)</f>
        <v>0</v>
      </c>
      <c r="AB32" s="1401" t="e">
        <f>SUM(AB28:AB31)</f>
        <v>#DIV/0!</v>
      </c>
      <c r="AC32" s="71">
        <f>SUM(AC28:AC31)</f>
        <v>0</v>
      </c>
    </row>
    <row r="33" spans="2:28" s="71" customFormat="1" ht="18" customHeight="1">
      <c r="B33" s="1853">
        <v>33</v>
      </c>
      <c r="C33" s="3258" t="str">
        <f>"aktueller Rentenwert zum Ehezeitende "&amp;IF(E4="","...Ehezeitende eingeben!(Zeile 2)",TEXT(E4,"TT.MM.JJJ"))</f>
        <v>aktueller Rentenwert zum Ehezeitende 30.06.2026</v>
      </c>
      <c r="D33" s="3259"/>
      <c r="E33" s="3259"/>
      <c r="F33" s="3259"/>
      <c r="G33" s="3260"/>
      <c r="H33" s="1828">
        <f>IFERROR(VLOOKUP(E4,aktRW,IF(sVA_EPOst,3,2)),"")</f>
        <v>40.79</v>
      </c>
      <c r="I33" s="1829"/>
      <c r="J33" s="1863"/>
      <c r="M33" s="2012"/>
      <c r="N33" s="2012"/>
      <c r="O33" s="2013"/>
      <c r="P33" s="2013"/>
      <c r="Q33" s="2013"/>
      <c r="R33" s="1806"/>
      <c r="X33" s="64"/>
      <c r="Y33" s="71">
        <v>2</v>
      </c>
    </row>
    <row r="34" spans="2:28" s="71" customFormat="1" ht="18" customHeight="1">
      <c r="B34" s="1853">
        <v>34</v>
      </c>
      <c r="C34" s="3258" t="str">
        <f ca="1">"aktueller Rentenwert zum "&amp;IF(I4="","………Berechnungsdatum eingeben! (Zeile 3)",TEXT(I4,"TT.MM.JJJJ"))</f>
        <v>aktueller Rentenwert zum 05.08.2026</v>
      </c>
      <c r="D34" s="3259"/>
      <c r="E34" s="3259"/>
      <c r="F34" s="3259"/>
      <c r="G34" s="3260"/>
      <c r="H34" s="1828">
        <f ca="1">IFERROR(VLOOKUP(I4,aktRW,IF(sVA_EPOst,3,2)),"")</f>
        <v>42.52</v>
      </c>
      <c r="I34" s="1830"/>
      <c r="J34" s="1863"/>
      <c r="M34" s="2012"/>
      <c r="N34" s="2012"/>
      <c r="O34" s="2013"/>
      <c r="P34" s="2013"/>
      <c r="Q34" s="2013"/>
      <c r="R34" s="1806"/>
      <c r="X34" s="64"/>
      <c r="Y34" s="71">
        <v>3</v>
      </c>
    </row>
    <row r="35" spans="2:28" s="71" customFormat="1" ht="18" customHeight="1">
      <c r="B35" s="1853">
        <v>35</v>
      </c>
      <c r="C35" s="3258" t="str">
        <f ca="1">IFERROR("aktual. ausgegl. Betrag (§ 51 III S. 3 VersAusglG): "&amp;TEXT(IF(H32&gt;I32,I32,H32),"0,00")&amp;" x "&amp;TEXT(H34,"0,00")&amp;" / "&amp;TEXT(H33,"0,00"),"")</f>
        <v>aktual. ausgegl. Betrag (§ 51 III S. 3 VersAusglG): 0,00 x 42,52 / 40,79</v>
      </c>
      <c r="D35" s="3259"/>
      <c r="E35" s="3259"/>
      <c r="F35" s="3259"/>
      <c r="G35" s="3260"/>
      <c r="H35" s="1831" t="s">
        <v>1849</v>
      </c>
      <c r="I35" s="1832">
        <f ca="1">IFERROR(IF(I32&gt;0,-I32,-H32)*H34/H33,0)</f>
        <v>0</v>
      </c>
      <c r="J35" s="1863"/>
      <c r="M35" s="2012"/>
      <c r="N35" s="2012"/>
      <c r="O35" s="2013"/>
      <c r="P35" s="2013"/>
      <c r="Q35" s="2013"/>
      <c r="R35" s="1806"/>
      <c r="X35" s="64"/>
      <c r="Y35" s="71">
        <v>4</v>
      </c>
    </row>
    <row r="36" spans="2:28" s="71" customFormat="1" ht="18" customHeight="1">
      <c r="B36" s="1853">
        <v>36</v>
      </c>
      <c r="C36" s="3265" t="str">
        <f ca="1">"schuldrechtlicher Ausgleichsbetrag: "&amp;IF(H36&gt;0,"selbst berechnet",TEXT(I31,"#.##0,00 €")&amp;" - "&amp;TEXT(ABS(I35),"#.##0,00"))</f>
        <v>schuldrechtlicher Ausgleichsbetrag: 0,00 € - 0,00</v>
      </c>
      <c r="D36" s="3266"/>
      <c r="E36" s="3266"/>
      <c r="F36" s="3266"/>
      <c r="G36" s="3267"/>
      <c r="H36" s="1833"/>
      <c r="I36" s="2005">
        <f ca="1">IF(H36&gt;0,H36,IF(I31+I35&lt;0,0,I31+I35))</f>
        <v>0</v>
      </c>
      <c r="J36" s="1863"/>
      <c r="M36" s="748"/>
      <c r="N36" s="748"/>
      <c r="O36" s="2013"/>
      <c r="P36" s="2013"/>
      <c r="Q36" s="2013"/>
      <c r="R36" s="1806"/>
      <c r="X36" s="64"/>
      <c r="Y36" s="71">
        <v>5</v>
      </c>
    </row>
    <row r="37" spans="2:28" s="71" customFormat="1" ht="18" customHeight="1">
      <c r="B37" s="1853">
        <v>37</v>
      </c>
      <c r="C37" s="3262" t="str">
        <f ca="1">"Bagatellgrenze (1% der mon. Bezugsgröße § 18 I SGB VI) "&amp;IF(I36&gt;I37,"überschritten","nicht überschritten")</f>
        <v>Bagatellgrenze (1% der mon. Bezugsgröße § 18 I SGB VI) nicht überschritten</v>
      </c>
      <c r="D37" s="3263"/>
      <c r="E37" s="3263"/>
      <c r="F37" s="3263"/>
      <c r="G37" s="3263"/>
      <c r="H37" s="3264"/>
      <c r="I37" s="1794">
        <f ca="1">IFERROR(VLOOKUP(YEAR(I4),MonatlicheBezugsgroesse,IF(sVA_EPOst,3,2))*0.01,"")</f>
        <v>39.550000000000004</v>
      </c>
      <c r="J37" s="1863"/>
      <c r="M37" s="153"/>
      <c r="N37" s="153"/>
      <c r="O37" s="1474"/>
      <c r="P37" s="1709"/>
      <c r="Q37" s="1709"/>
      <c r="X37" s="64"/>
      <c r="Y37" s="16">
        <v>1</v>
      </c>
    </row>
    <row r="38" spans="2:28" s="71" customFormat="1" ht="18" customHeight="1" thickBot="1">
      <c r="B38" s="1853">
        <v>38</v>
      </c>
      <c r="C38" s="3268" t="str">
        <f ca="1">IF(OR(E4=0,I4=0,+I21=0),"Gelb markierte Felder sind auszufüllen",IF(I36&lt;=I37,"Die Wesentlichkeitsgrenze von §§ 20 III S. 3;  18 VersAusglG wird nicht überschritten!","Die Wesentlichkeitsgrenze von § 18 VersAusglG wird überschritten."))</f>
        <v>Gelb markierte Felder sind auszufüllen</v>
      </c>
      <c r="D38" s="3269"/>
      <c r="E38" s="3269"/>
      <c r="F38" s="3269"/>
      <c r="G38" s="3269"/>
      <c r="H38" s="3269"/>
      <c r="I38" s="3270"/>
      <c r="J38" s="1863"/>
      <c r="M38" s="153"/>
      <c r="N38" s="153"/>
      <c r="O38" s="1474"/>
      <c r="P38" s="1709"/>
      <c r="Q38" s="1709"/>
      <c r="X38" s="64"/>
    </row>
    <row r="39" spans="2:28" s="71" customFormat="1" ht="16.350000000000001" customHeight="1" thickTop="1">
      <c r="B39" s="1853"/>
      <c r="C39" s="968"/>
      <c r="D39" s="968"/>
      <c r="E39" s="968"/>
      <c r="F39" s="968"/>
      <c r="G39" s="968"/>
      <c r="H39" s="968"/>
      <c r="I39" s="968"/>
      <c r="J39" s="1863"/>
      <c r="M39" s="153"/>
      <c r="N39" s="153"/>
      <c r="O39" s="1474"/>
      <c r="P39" s="1709"/>
      <c r="Q39" s="1709"/>
      <c r="X39" s="64"/>
    </row>
    <row r="40" spans="2:28" s="71" customFormat="1" ht="16.350000000000001" customHeight="1">
      <c r="B40" s="1856"/>
      <c r="C40" s="1857"/>
      <c r="D40" s="1857"/>
      <c r="E40" s="1857"/>
      <c r="F40" s="1857"/>
      <c r="G40" s="1857"/>
      <c r="H40" s="1857"/>
      <c r="I40" s="1857"/>
      <c r="J40" s="347"/>
      <c r="M40" s="1869"/>
      <c r="N40" s="1869"/>
      <c r="O40" s="796"/>
      <c r="P40" s="2014"/>
      <c r="Q40" s="2014"/>
      <c r="X40" s="64"/>
    </row>
    <row r="41" spans="2:28" s="71" customFormat="1" ht="16.350000000000001" customHeight="1">
      <c r="B41" s="1858"/>
      <c r="C41" s="1857"/>
      <c r="D41" s="1857"/>
      <c r="E41" s="1857"/>
      <c r="F41" s="1857"/>
      <c r="G41" s="1857"/>
      <c r="H41" s="1857"/>
      <c r="I41" s="1857"/>
      <c r="J41" s="347"/>
      <c r="K41" s="16"/>
      <c r="X41" s="64"/>
      <c r="Z41" s="3" t="s">
        <v>557</v>
      </c>
      <c r="AA41" s="409" t="b">
        <v>0</v>
      </c>
      <c r="AB41" s="3"/>
    </row>
    <row r="42" spans="2:28" ht="15" customHeight="1">
      <c r="B42" s="1858"/>
      <c r="C42" s="1807"/>
      <c r="D42" s="1807"/>
      <c r="E42" s="1807"/>
      <c r="F42" s="1807"/>
      <c r="G42" s="1807"/>
      <c r="H42" s="1807"/>
      <c r="I42" s="1807"/>
      <c r="J42" s="1807"/>
      <c r="K42" s="1619"/>
      <c r="L42" s="1619"/>
      <c r="M42" s="1807"/>
      <c r="N42" s="1807"/>
      <c r="O42" s="1807"/>
      <c r="P42" s="1807"/>
      <c r="Q42" s="1807"/>
      <c r="R42" s="1807"/>
      <c r="X42" s="25"/>
      <c r="Z42" s="615" t="s">
        <v>554</v>
      </c>
      <c r="AA42" s="1600" t="b">
        <v>0</v>
      </c>
      <c r="AB42" s="615"/>
    </row>
    <row r="43" spans="2:28">
      <c r="B43" s="4"/>
      <c r="C43" s="362"/>
      <c r="D43" s="362"/>
      <c r="E43" s="362"/>
      <c r="F43" s="362"/>
      <c r="G43" s="362"/>
      <c r="H43" s="362"/>
      <c r="I43" s="362"/>
      <c r="J43" s="362"/>
      <c r="K43" s="362"/>
      <c r="L43" s="362"/>
      <c r="M43" s="362"/>
      <c r="N43" s="362"/>
      <c r="O43" s="362"/>
      <c r="P43" s="362"/>
      <c r="Q43" s="362"/>
      <c r="R43" s="362"/>
      <c r="Z43" s="3261"/>
      <c r="AA43" s="71"/>
    </row>
    <row r="44" spans="2:28" ht="14.25" customHeight="1">
      <c r="C44" s="1599"/>
      <c r="D44" s="1599"/>
      <c r="E44" s="1599"/>
      <c r="F44" s="1599"/>
      <c r="G44" s="1599"/>
      <c r="H44" s="1599"/>
      <c r="I44" s="1599"/>
      <c r="J44" s="1599"/>
      <c r="K44" s="1599"/>
      <c r="L44" s="1599"/>
      <c r="M44" s="1599"/>
      <c r="N44" s="1599"/>
      <c r="O44" s="1599"/>
      <c r="P44" s="1599"/>
      <c r="Q44" s="1599"/>
      <c r="R44" s="1599"/>
      <c r="S44" s="1599"/>
      <c r="Z44" s="3261"/>
      <c r="AA44" s="71"/>
      <c r="AB44" s="71"/>
    </row>
    <row r="45" spans="2:28" ht="15" customHeight="1">
      <c r="C45" s="1599"/>
      <c r="D45" s="1599"/>
      <c r="E45" s="1599"/>
      <c r="F45" s="1599"/>
      <c r="G45" s="1599"/>
      <c r="H45" s="1599"/>
      <c r="I45" s="1599"/>
      <c r="J45" s="1599"/>
      <c r="K45" s="1599"/>
      <c r="L45" s="1599"/>
      <c r="M45" s="1599"/>
      <c r="N45" s="1599"/>
      <c r="O45" s="1599"/>
      <c r="P45" s="1599"/>
      <c r="Q45" s="1599"/>
      <c r="R45" s="1599"/>
      <c r="S45" s="1599"/>
      <c r="Z45" s="3261"/>
      <c r="AA45" s="71"/>
      <c r="AB45" s="71"/>
    </row>
    <row r="46" spans="2:28" ht="32.25" customHeight="1">
      <c r="C46" s="227"/>
      <c r="D46" s="227"/>
      <c r="E46" s="227"/>
      <c r="F46" s="227"/>
      <c r="G46" s="227"/>
      <c r="H46" s="227"/>
      <c r="I46" s="227"/>
      <c r="J46" s="1599"/>
      <c r="K46" s="1808"/>
      <c r="L46" s="1808"/>
      <c r="M46" s="1878"/>
      <c r="N46" s="1878"/>
      <c r="O46" s="1878"/>
      <c r="P46" s="1878"/>
      <c r="Q46" s="1878"/>
      <c r="R46" s="1878"/>
      <c r="S46" s="1808"/>
      <c r="T46" s="148"/>
      <c r="Z46" s="71"/>
      <c r="AA46" s="71"/>
      <c r="AB46" s="71"/>
    </row>
    <row r="47" spans="2:28" s="71" customFormat="1" ht="18" customHeight="1">
      <c r="B47"/>
      <c r="C47" s="1861"/>
      <c r="D47" s="1861"/>
      <c r="E47" s="1861"/>
      <c r="F47" s="1861"/>
      <c r="G47" s="1861"/>
      <c r="H47" s="1601"/>
      <c r="I47" s="1602"/>
      <c r="J47" s="1599"/>
      <c r="M47" s="1610"/>
      <c r="N47" s="1610"/>
      <c r="O47" s="1610"/>
      <c r="P47" s="1610"/>
      <c r="Q47" s="1610"/>
      <c r="R47" s="1603"/>
    </row>
    <row r="48" spans="2:28" s="71" customFormat="1" ht="18" customHeight="1">
      <c r="B48"/>
      <c r="C48" s="1861"/>
      <c r="D48" s="1861"/>
      <c r="E48" s="1861"/>
      <c r="F48" s="1861"/>
      <c r="G48" s="1861"/>
      <c r="H48" s="895"/>
      <c r="I48" s="1601"/>
      <c r="J48" s="1599"/>
      <c r="M48" s="1610"/>
      <c r="N48" s="1610"/>
      <c r="O48" s="1610"/>
      <c r="P48" s="1610"/>
      <c r="Q48" s="1602"/>
      <c r="R48" s="1602"/>
      <c r="AA48" s="16"/>
    </row>
    <row r="49" spans="2:28" s="71" customFormat="1" ht="18" customHeight="1">
      <c r="B49"/>
      <c r="C49" s="1861"/>
      <c r="D49" s="1861"/>
      <c r="E49" s="1861"/>
      <c r="F49" s="1861"/>
      <c r="G49" s="1861"/>
      <c r="H49" s="747"/>
      <c r="I49" s="1603"/>
      <c r="J49" s="1599"/>
      <c r="M49" s="1610"/>
      <c r="N49" s="1610"/>
      <c r="O49" s="1610"/>
      <c r="P49" s="1610"/>
      <c r="Q49" s="1809"/>
      <c r="R49" s="1809"/>
    </row>
    <row r="50" spans="2:28" s="71" customFormat="1" ht="18" customHeight="1">
      <c r="B50"/>
      <c r="C50" s="1861"/>
      <c r="D50" s="1861"/>
      <c r="E50" s="1861"/>
      <c r="F50" s="1861"/>
      <c r="G50" s="1861"/>
      <c r="H50" s="949"/>
      <c r="I50" s="1876"/>
      <c r="J50" s="1599"/>
      <c r="K50" s="128"/>
      <c r="L50" s="128"/>
      <c r="M50" s="1610"/>
      <c r="N50" s="1610"/>
      <c r="O50" s="1610"/>
      <c r="P50" s="1610"/>
      <c r="Q50" s="1610"/>
      <c r="R50" s="1604"/>
      <c r="Z50" s="3253"/>
      <c r="AA50" s="3253"/>
      <c r="AB50" s="3253"/>
    </row>
    <row r="51" spans="2:28" s="71" customFormat="1" ht="18" customHeight="1">
      <c r="B51"/>
      <c r="C51" s="1861"/>
      <c r="D51" s="1861"/>
      <c r="E51" s="1861"/>
      <c r="F51" s="1861"/>
      <c r="G51" s="1861"/>
      <c r="H51" s="1605"/>
      <c r="I51" s="1877"/>
      <c r="J51" s="1599"/>
      <c r="K51" s="786"/>
      <c r="L51" s="786"/>
      <c r="M51" s="1610"/>
      <c r="N51" s="1610"/>
      <c r="O51" s="1610"/>
      <c r="P51" s="1610"/>
      <c r="Q51" s="1610"/>
      <c r="R51" s="1604"/>
      <c r="AA51" s="128"/>
      <c r="AB51" s="128"/>
    </row>
    <row r="52" spans="2:28" s="71" customFormat="1" ht="18" customHeight="1">
      <c r="B52"/>
      <c r="C52" s="1610"/>
      <c r="D52" s="1861"/>
      <c r="E52" s="1861"/>
      <c r="F52" s="1861"/>
      <c r="G52" s="1861"/>
      <c r="H52" s="128"/>
      <c r="I52" s="1602"/>
      <c r="J52" s="1599"/>
      <c r="M52" s="1610"/>
      <c r="N52" s="1610"/>
      <c r="O52" s="1610"/>
      <c r="P52" s="1610"/>
      <c r="Q52" s="1610"/>
      <c r="R52" s="1604"/>
      <c r="Z52" s="347"/>
      <c r="AA52" s="1386"/>
      <c r="AB52" s="1386"/>
    </row>
    <row r="53" spans="2:28" s="71" customFormat="1" ht="18" customHeight="1">
      <c r="B53"/>
      <c r="C53" s="1610"/>
      <c r="D53" s="1861"/>
      <c r="E53" s="1861"/>
      <c r="F53" s="1861"/>
      <c r="G53" s="1861"/>
      <c r="H53" s="1606"/>
      <c r="I53" s="1606"/>
      <c r="J53" s="1599"/>
      <c r="M53" s="1610"/>
      <c r="N53" s="1610"/>
      <c r="O53" s="1610"/>
      <c r="P53" s="1610"/>
      <c r="Q53" s="1610"/>
      <c r="R53" s="1607"/>
      <c r="Z53" s="347"/>
      <c r="AA53" s="3254"/>
      <c r="AB53" s="3254"/>
    </row>
    <row r="54" spans="2:28" s="71" customFormat="1" ht="18" customHeight="1">
      <c r="B54"/>
      <c r="C54" s="1861"/>
      <c r="D54" s="1861"/>
      <c r="E54" s="1861"/>
      <c r="F54" s="1861"/>
      <c r="G54" s="1861"/>
      <c r="H54" s="1607"/>
      <c r="I54" s="1604"/>
      <c r="J54" s="1599"/>
      <c r="K54" s="1386"/>
      <c r="L54" s="1386"/>
      <c r="M54" s="1610"/>
      <c r="N54" s="1610"/>
      <c r="O54" s="1610"/>
      <c r="P54" s="1610"/>
      <c r="Q54" s="1610"/>
      <c r="R54" s="1608"/>
      <c r="Z54" s="347"/>
      <c r="AA54" s="1386"/>
      <c r="AB54" s="1609"/>
    </row>
    <row r="55" spans="2:28" s="71" customFormat="1" ht="18" customHeight="1">
      <c r="B55"/>
      <c r="C55" s="1861"/>
      <c r="D55" s="1861"/>
      <c r="E55" s="1861"/>
      <c r="F55" s="1861"/>
      <c r="G55" s="1861"/>
      <c r="H55" s="1607"/>
      <c r="I55" s="1604"/>
      <c r="J55" s="1599"/>
      <c r="K55" s="1386"/>
      <c r="L55" s="1386"/>
      <c r="M55" s="1610"/>
      <c r="N55" s="1610"/>
      <c r="O55" s="1610"/>
      <c r="P55" s="1610"/>
      <c r="Q55" s="2015"/>
      <c r="R55" s="1810"/>
      <c r="Z55" s="347"/>
      <c r="AA55" s="3254"/>
      <c r="AB55" s="3254"/>
    </row>
    <row r="56" spans="2:28" s="71" customFormat="1" ht="18" customHeight="1">
      <c r="B56"/>
      <c r="C56" s="1610"/>
      <c r="D56" s="1610"/>
      <c r="E56" s="1610"/>
      <c r="F56" s="1610"/>
      <c r="G56" s="1610"/>
      <c r="H56" s="1607"/>
      <c r="I56" s="1611"/>
      <c r="J56" s="1599"/>
      <c r="R56" s="1811"/>
      <c r="Z56" s="3253"/>
      <c r="AA56" s="3253"/>
      <c r="AB56" s="3253"/>
    </row>
    <row r="57" spans="2:28" s="71" customFormat="1" ht="18" customHeight="1">
      <c r="B57"/>
      <c r="C57" s="1861"/>
      <c r="D57" s="1861"/>
      <c r="E57" s="1861"/>
      <c r="F57" s="1861"/>
      <c r="G57" s="1861"/>
      <c r="H57" s="1603"/>
      <c r="I57" s="1880"/>
      <c r="J57" s="1599"/>
      <c r="M57" s="1463"/>
      <c r="N57" s="1463"/>
      <c r="O57" s="1463"/>
      <c r="P57" s="1463"/>
      <c r="Q57" s="2016"/>
      <c r="R57" s="1812"/>
      <c r="Z57" s="796"/>
      <c r="AA57" s="796"/>
      <c r="AB57" s="796"/>
    </row>
    <row r="58" spans="2:28" s="71" customFormat="1" ht="18" customHeight="1">
      <c r="B58"/>
      <c r="C58" s="1861"/>
      <c r="D58" s="1861"/>
      <c r="E58" s="1861"/>
      <c r="F58" s="1861"/>
      <c r="G58" s="1861"/>
      <c r="H58" s="1602"/>
      <c r="I58" s="1880"/>
      <c r="J58" s="1599"/>
      <c r="M58" s="2010"/>
      <c r="N58" s="2010"/>
      <c r="O58" s="2010"/>
      <c r="P58" s="2010"/>
      <c r="Q58" s="2010"/>
      <c r="R58" s="1813"/>
      <c r="AA58" s="1612"/>
      <c r="AB58" s="1612"/>
    </row>
    <row r="59" spans="2:28" s="71" customFormat="1" ht="18" customHeight="1">
      <c r="B59"/>
      <c r="C59" s="1613"/>
      <c r="D59" s="1613"/>
      <c r="E59" s="1613"/>
      <c r="F59" s="1613"/>
      <c r="G59" s="1613"/>
      <c r="H59" s="1614"/>
      <c r="I59" s="1880"/>
      <c r="J59" s="1615"/>
      <c r="M59" s="2017"/>
      <c r="N59" s="2017"/>
      <c r="O59" s="2017"/>
      <c r="P59" s="2017"/>
      <c r="Q59" s="2017"/>
      <c r="R59" s="1814"/>
      <c r="X59" s="619"/>
      <c r="AA59" s="1612"/>
      <c r="AB59" s="1612"/>
    </row>
    <row r="60" spans="2:28" s="71" customFormat="1" ht="18" customHeight="1">
      <c r="B60"/>
      <c r="C60" s="1883"/>
      <c r="D60" s="1862"/>
      <c r="E60" s="1862"/>
      <c r="F60" s="1862"/>
      <c r="G60" s="1862"/>
      <c r="H60" s="1884"/>
      <c r="I60" s="1887"/>
      <c r="J60" s="1615"/>
      <c r="M60" s="2018"/>
      <c r="N60" s="2018"/>
      <c r="O60" s="2018"/>
      <c r="P60" s="2018"/>
      <c r="Q60" s="2018"/>
      <c r="R60" s="1860"/>
      <c r="X60" s="619"/>
    </row>
    <row r="61" spans="2:28" s="71" customFormat="1" ht="18" customHeight="1">
      <c r="B61"/>
      <c r="C61" s="1883"/>
      <c r="D61" s="1862"/>
      <c r="E61" s="1862"/>
      <c r="F61" s="1862"/>
      <c r="G61" s="1862"/>
      <c r="H61" s="1884"/>
      <c r="I61" s="1887"/>
      <c r="J61" s="1463"/>
      <c r="M61" s="2018"/>
      <c r="N61" s="2018"/>
      <c r="O61" s="2018"/>
      <c r="P61" s="2018"/>
      <c r="Q61" s="2018"/>
      <c r="R61" s="1879"/>
      <c r="X61" s="619"/>
      <c r="Z61"/>
      <c r="AA61"/>
      <c r="AB61" s="91"/>
    </row>
    <row r="62" spans="2:28" s="71" customFormat="1" ht="27.75" customHeight="1">
      <c r="B62" s="153"/>
      <c r="C62" s="1875"/>
      <c r="D62" s="1875"/>
      <c r="E62" s="1875"/>
      <c r="F62" s="1875"/>
      <c r="G62" s="1875"/>
      <c r="H62" s="1875"/>
      <c r="I62" s="1875"/>
      <c r="J62" s="1463"/>
      <c r="M62" s="2018"/>
      <c r="N62" s="2018"/>
      <c r="O62" s="2018"/>
      <c r="P62" s="2018"/>
      <c r="Q62" s="2018"/>
      <c r="R62" s="1879"/>
      <c r="X62" s="619"/>
      <c r="Z62"/>
      <c r="AA62"/>
      <c r="AB62"/>
    </row>
    <row r="63" spans="2:28" s="71" customFormat="1" ht="18" customHeight="1">
      <c r="B63" s="153"/>
      <c r="C63" s="1874"/>
      <c r="D63" s="1874"/>
      <c r="E63" s="1874"/>
      <c r="F63" s="1874"/>
      <c r="G63" s="1874"/>
      <c r="H63" s="1874"/>
      <c r="I63" s="1616"/>
      <c r="J63" s="1463"/>
      <c r="M63" s="1875"/>
      <c r="N63" s="1875"/>
      <c r="O63" s="1875"/>
      <c r="P63" s="1875"/>
      <c r="Q63" s="1875"/>
      <c r="R63" s="1886"/>
      <c r="X63" s="619"/>
      <c r="AA63" s="153"/>
    </row>
    <row r="64" spans="2:28" s="71" customFormat="1" ht="18" customHeight="1">
      <c r="C64" s="1874"/>
      <c r="D64" s="1874"/>
      <c r="E64" s="1874"/>
      <c r="F64" s="1874"/>
      <c r="G64" s="1874"/>
      <c r="H64" s="1874"/>
      <c r="I64" s="1617"/>
      <c r="J64" s="1463"/>
      <c r="M64" s="1875"/>
      <c r="N64" s="1875"/>
      <c r="O64" s="1875"/>
      <c r="P64" s="1875"/>
      <c r="Q64" s="1875"/>
      <c r="R64" s="1886"/>
      <c r="X64" s="619"/>
      <c r="Y64" s="153"/>
      <c r="Z64" s="789"/>
      <c r="AA64" s="153"/>
    </row>
    <row r="65" spans="3:27" ht="18" customHeight="1">
      <c r="C65" s="1874"/>
      <c r="D65" s="1874"/>
      <c r="E65" s="1874"/>
      <c r="F65" s="1874"/>
      <c r="G65" s="1874"/>
      <c r="H65" s="1874"/>
      <c r="I65" s="1617"/>
      <c r="J65" s="1599"/>
      <c r="M65" s="1885"/>
      <c r="N65" s="1885"/>
      <c r="O65" s="1885"/>
      <c r="P65" s="1885"/>
      <c r="Q65" s="1885"/>
      <c r="R65" s="1885"/>
      <c r="T65" s="148"/>
      <c r="Y65" s="148"/>
      <c r="AA65" s="148"/>
    </row>
    <row r="66" spans="3:27" ht="18" customHeight="1">
      <c r="C66" s="1882"/>
      <c r="D66" s="1882"/>
      <c r="E66" s="1882"/>
      <c r="F66" s="1882"/>
      <c r="G66" s="1882"/>
      <c r="H66" s="1882"/>
      <c r="I66" s="1618"/>
      <c r="J66" s="1599"/>
      <c r="M66" s="1885"/>
      <c r="N66" s="1885"/>
      <c r="O66" s="1885"/>
      <c r="P66" s="1885"/>
      <c r="Q66" s="1885"/>
      <c r="R66" s="1885"/>
      <c r="T66" s="148"/>
      <c r="AA66" s="148"/>
    </row>
    <row r="67" spans="3:27" ht="14.25" customHeight="1">
      <c r="C67" s="97"/>
      <c r="D67" s="97"/>
      <c r="E67" s="97"/>
      <c r="F67" s="97"/>
      <c r="G67" s="97"/>
      <c r="H67" s="97"/>
      <c r="I67" s="97"/>
      <c r="J67" s="97"/>
      <c r="K67" s="97"/>
      <c r="L67" s="97"/>
      <c r="M67" s="1881"/>
      <c r="N67" s="1881"/>
      <c r="O67" s="1881"/>
      <c r="P67" s="1881"/>
      <c r="Q67" s="1881"/>
      <c r="R67" s="1881"/>
    </row>
    <row r="68" spans="3:27" ht="14.25" customHeight="1">
      <c r="C68" s="1596"/>
      <c r="D68" s="1596"/>
      <c r="E68" s="1596"/>
      <c r="F68" s="1596"/>
      <c r="G68" s="1596"/>
      <c r="H68" s="1597"/>
      <c r="I68" s="1598"/>
      <c r="J68" s="1599"/>
      <c r="M68" s="1815"/>
      <c r="N68" s="1815"/>
      <c r="O68" s="2019"/>
      <c r="P68" s="2019"/>
      <c r="Q68" s="2019"/>
      <c r="R68" s="1815"/>
    </row>
    <row r="69" spans="3:27" ht="14.25" customHeight="1">
      <c r="C69" s="248"/>
      <c r="D69" s="248"/>
      <c r="E69" s="248"/>
      <c r="F69" s="248"/>
      <c r="G69" s="248"/>
      <c r="H69" s="1598"/>
      <c r="I69" s="1598"/>
      <c r="P69" s="148"/>
      <c r="T69" s="1816"/>
    </row>
    <row r="70" spans="3:27" ht="14.25" customHeight="1">
      <c r="C70" s="1596"/>
      <c r="D70" s="1596"/>
      <c r="E70" s="1596"/>
      <c r="F70" s="1596"/>
      <c r="G70" s="1596"/>
      <c r="H70" s="1596"/>
      <c r="I70" s="1596"/>
      <c r="T70" s="148"/>
    </row>
    <row r="72" spans="3:27" ht="14.25" customHeight="1">
      <c r="T72" s="148"/>
    </row>
    <row r="74" spans="3:27" ht="14.25" customHeight="1">
      <c r="O74" s="148"/>
    </row>
  </sheetData>
  <sheetProtection algorithmName="SHA-512" hashValue="ofX37iRdP4viYgFwzbtt9IrjnEg06mwnfX7NS5ImGyUFjEuNyaiMnvEMBnYjJSAr3PLOTVbLksPW3YwN/yGR2A==" saltValue="Iel13p50fcTSGm7eXOCe3g==" spinCount="100000" sheet="1" objects="1" scenarios="1" formatColumns="0" selectLockedCells="1" autoFilter="0"/>
  <dataConsolidate/>
  <mergeCells count="46">
    <mergeCell ref="Z56:AB56"/>
    <mergeCell ref="AA55:AB55"/>
    <mergeCell ref="AA53:AB53"/>
    <mergeCell ref="C28:H28"/>
    <mergeCell ref="C30:H30"/>
    <mergeCell ref="C31:H31"/>
    <mergeCell ref="C32:G32"/>
    <mergeCell ref="Z50:AB50"/>
    <mergeCell ref="Z43:Z45"/>
    <mergeCell ref="C37:H37"/>
    <mergeCell ref="C33:G33"/>
    <mergeCell ref="C34:G34"/>
    <mergeCell ref="C35:G35"/>
    <mergeCell ref="C36:G36"/>
    <mergeCell ref="C38:I38"/>
    <mergeCell ref="C29:H29"/>
    <mergeCell ref="C27:G27"/>
    <mergeCell ref="H22:I22"/>
    <mergeCell ref="I13:I15"/>
    <mergeCell ref="F14:F15"/>
    <mergeCell ref="E14:E15"/>
    <mergeCell ref="C13:E13"/>
    <mergeCell ref="C22:E22"/>
    <mergeCell ref="C26:F26"/>
    <mergeCell ref="C18:D18"/>
    <mergeCell ref="C19:D19"/>
    <mergeCell ref="C20:D20"/>
    <mergeCell ref="F21:G21"/>
    <mergeCell ref="C25:D25"/>
    <mergeCell ref="C24:F24"/>
    <mergeCell ref="G2:I2"/>
    <mergeCell ref="C2:E2"/>
    <mergeCell ref="F4:G4"/>
    <mergeCell ref="C16:D16"/>
    <mergeCell ref="C17:D17"/>
    <mergeCell ref="C14:D15"/>
    <mergeCell ref="C8:H8"/>
    <mergeCell ref="C9:H9"/>
    <mergeCell ref="C6:E7"/>
    <mergeCell ref="C3:F3"/>
    <mergeCell ref="G3:I3"/>
    <mergeCell ref="C10:I10"/>
    <mergeCell ref="C11:I12"/>
    <mergeCell ref="G13:H13"/>
    <mergeCell ref="G14:G15"/>
    <mergeCell ref="H14:H15"/>
  </mergeCells>
  <conditionalFormatting sqref="B22:B23">
    <cfRule type="expression" dxfId="221" priority="2">
      <formula>sVA_Privat=FALSE</formula>
    </cfRule>
  </conditionalFormatting>
  <conditionalFormatting sqref="C16 E16:I16">
    <cfRule type="expression" dxfId="220" priority="11">
      <formula>$Y$30=1</formula>
    </cfRule>
  </conditionalFormatting>
  <conditionalFormatting sqref="C17 E17:I17 X30">
    <cfRule type="expression" dxfId="219" priority="1634">
      <formula>$Y$30=2</formula>
    </cfRule>
  </conditionalFormatting>
  <conditionalFormatting sqref="C18 E18:I18 Y30:AC30 X31">
    <cfRule type="expression" dxfId="218" priority="1640">
      <formula>$Y$30=3</formula>
    </cfRule>
  </conditionalFormatting>
  <conditionalFormatting sqref="C19 E19:I19 Y31:AC31 X32">
    <cfRule type="expression" dxfId="217" priority="1643">
      <formula>$Y$30=4</formula>
    </cfRule>
  </conditionalFormatting>
  <conditionalFormatting sqref="C21">
    <cfRule type="expression" dxfId="216" priority="2323">
      <formula>AND(H21&gt;0,COUNT($E$16:$E$19&gt;1))</formula>
    </cfRule>
  </conditionalFormatting>
  <conditionalFormatting sqref="C22 F22:H22 C23:I23">
    <cfRule type="expression" dxfId="215" priority="3">
      <formula>sVA_Privat=FALSE</formula>
    </cfRule>
  </conditionalFormatting>
  <conditionalFormatting sqref="C38">
    <cfRule type="expression" dxfId="214" priority="2329">
      <formula>AND($E$4+$I$21+$H$29&gt;0,$I$36&gt;$I$37)</formula>
    </cfRule>
    <cfRule type="expression" dxfId="213" priority="2330">
      <formula>AND($E$4+$I$21+$H$29&gt;0,$I$36&lt;=$I$37)</formula>
    </cfRule>
  </conditionalFormatting>
  <conditionalFormatting sqref="C42:R42">
    <cfRule type="expression" dxfId="212" priority="2281">
      <formula>AND(FB_Aktiv,COUNT($E$16:$E$19)&gt;1)</formula>
    </cfRule>
  </conditionalFormatting>
  <conditionalFormatting sqref="D4">
    <cfRule type="expression" dxfId="211" priority="57">
      <formula>AND(D4="",E4="")</formula>
    </cfRule>
  </conditionalFormatting>
  <conditionalFormatting sqref="E16:E19">
    <cfRule type="expression" dxfId="209" priority="32">
      <formula>E16=0</formula>
    </cfRule>
  </conditionalFormatting>
  <conditionalFormatting sqref="E20">
    <cfRule type="expression" dxfId="208" priority="2378">
      <formula>E20&gt;I8</formula>
    </cfRule>
  </conditionalFormatting>
  <conditionalFormatting sqref="E23">
    <cfRule type="expression" dxfId="207" priority="5">
      <formula>AND(sVA_Privat,$E$23="")</formula>
    </cfRule>
  </conditionalFormatting>
  <conditionalFormatting sqref="F16:F19">
    <cfRule type="expression" dxfId="206" priority="1646">
      <formula>Z28</formula>
    </cfRule>
  </conditionalFormatting>
  <conditionalFormatting sqref="G13">
    <cfRule type="expression" dxfId="205" priority="2379">
      <formula>$E$20&lt;=$I$8</formula>
    </cfRule>
  </conditionalFormatting>
  <conditionalFormatting sqref="G23">
    <cfRule type="expression" dxfId="204" priority="4">
      <formula>AND(sVA_Privat,$E$23&gt;0,$G$23=0)</formula>
    </cfRule>
  </conditionalFormatting>
  <conditionalFormatting sqref="H24:H26">
    <cfRule type="expression" dxfId="203" priority="42">
      <formula>sVA_Privat</formula>
    </cfRule>
  </conditionalFormatting>
  <conditionalFormatting sqref="I8">
    <cfRule type="expression" dxfId="202" priority="7">
      <formula>$E$20&gt;$I$8</formula>
    </cfRule>
  </conditionalFormatting>
  <conditionalFormatting sqref="I21">
    <cfRule type="expression" dxfId="201" priority="2282">
      <formula>E20=0</formula>
    </cfRule>
  </conditionalFormatting>
  <conditionalFormatting sqref="J22:J23">
    <cfRule type="expression" dxfId="200" priority="1">
      <formula>sVA_Privat=FALSE</formula>
    </cfRule>
  </conditionalFormatting>
  <conditionalFormatting sqref="Y29:AC29">
    <cfRule type="expression" dxfId="199" priority="1637">
      <formula>$Y$30=2</formula>
    </cfRule>
  </conditionalFormatting>
  <dataValidations xWindow="802" yWindow="929" count="10">
    <dataValidation type="decimal" allowBlank="1" showInputMessage="1" showErrorMessage="1" errorTitle="Fehleingabe" error="Es sind nur negative Zahleneingaben zulässig!" prompt="nur negative Zahleneingabe zulässig" sqref="I27" xr:uid="{D6F1CD66-ABE5-4356-8F2F-1761B0B21762}">
      <formula1>-1000</formula1>
      <formula2>0</formula2>
    </dataValidation>
    <dataValidation type="decimal" allowBlank="1" showInputMessage="1" showErrorMessage="1" sqref="H53:H56" xr:uid="{DBA95F7C-ECAC-41DE-A857-DEA4C3E19BD5}">
      <formula1>0</formula1>
      <formula2>1</formula2>
    </dataValidation>
    <dataValidation type="decimal" allowBlank="1" showInputMessage="1" showErrorMessage="1" errorTitle="Eingabebeschränkung" error="Es sind nur Eingaben bis 10.000 € zulässig." sqref="E16:E19" xr:uid="{98ABA069-65A1-41C6-8005-EC4AA743E0F0}">
      <formula1>0</formula1>
      <formula2>10000</formula2>
    </dataValidation>
    <dataValidation type="decimal" allowBlank="1" showInputMessage="1" showErrorMessage="1" errorTitle="Eingabebeschränkung!" error="Es sind nur Eingaben bis 20% zulässig!" sqref="F7" xr:uid="{1B70DF94-75E8-45F9-BFAC-6899D9526A6F}">
      <formula1>0</formula1>
      <formula2>0.2</formula2>
    </dataValidation>
    <dataValidation type="decimal" allowBlank="1" showInputMessage="1" showErrorMessage="1" errorTitle="Eingabebeschränkung" error="Es sind nur Eingaben bis 5% zulässig" sqref="G7" xr:uid="{51A777F0-CA84-43E0-A2AE-B518B04B6EAA}">
      <formula1>0</formula1>
      <formula2>0.05</formula2>
    </dataValidation>
    <dataValidation type="decimal" allowBlank="1" showInputMessage="1" showErrorMessage="1" errorTitle="Eingabebeschränkung" error="Es sind nur Eingaben bis 3% zulässig!" sqref="H7" xr:uid="{4C82092D-1A74-4FA1-947D-9B1CC71F11F3}">
      <formula1>0</formula1>
      <formula2>0.03</formula2>
    </dataValidation>
    <dataValidation type="date" allowBlank="1" showInputMessage="1" showErrorMessage="1" errorTitle="Eingabebeschränkung" error="Es sind nur Dateneingaben zwischen 1.7.1977 und 31.12.2030 zulässig." sqref="D4" xr:uid="{8D9BC8D7-6EA1-4B16-969B-C9E99973D5AA}">
      <formula1>28307</formula1>
      <formula2>47848</formula2>
    </dataValidation>
    <dataValidation type="decimal" allowBlank="1" showInputMessage="1" showErrorMessage="1" errorTitle="Eingabefehler" error="Der eingegebene Wert ist ungültig, weil er oberhalb des zulässigen Wertes nach § 3b Abs. 1 Nr. 1 VAHRG liegt." sqref="H32" xr:uid="{904DCA88-DE68-4FDD-8679-1C165B23C8A6}">
      <formula1>0</formula1>
      <formula2>1500</formula2>
    </dataValidation>
    <dataValidation type="list" allowBlank="1" showInputMessage="1" showErrorMessage="1" errorTitle="Fehleingabe!" error="Es sind nur die Eingaben &quot;m&quot;, &quot;w&quot; und &quot;d&quot; zulässig" prompt="_x000a_" sqref="H49" xr:uid="{2E34D919-951D-43C4-99DE-5AB95FC0C714}">
      <formula1>$AA$43:$AA$45</formula1>
    </dataValidation>
    <dataValidation type="date" operator="lessThan" allowBlank="1" showInputMessage="1" showErrorMessage="1" errorTitle="Fehleingabe" error="Das eingegebene Geburtsdatum ist unzulässig. Alter bei Scheidung &lt; 20 Jahre!" promptTitle="Fehleingabe" sqref="I48" xr:uid="{727F4346-E36C-4658-B190-4E55BC8B1644}">
      <formula1>DATE(YEAR(E4)-20,MONTH(E4),DAY(E4))</formula1>
    </dataValidation>
  </dataValidations>
  <hyperlinks>
    <hyperlink ref="F2" r:id="rId1" xr:uid="{6884F722-B71D-4AF2-B7ED-409268BEACA5}"/>
    <hyperlink ref="C26:F26" r:id="rId2" display="https://www.bundesanzeiger.de/pub/de/amtliche-veroeffentlichung?8" xr:uid="{ADBDEC9E-D72A-4403-A65E-16D6FB4E8048}"/>
    <hyperlink ref="C9:G9" r:id="rId3" display="https://www.gesetze-im-internet.de/sgb_5/__226.html" xr:uid="{5F285438-BBD1-48A9-8F47-DB76B7918B0E}"/>
    <hyperlink ref="C25:D25" r:id="rId4" display="https://www.gesetze-im-internet.de/sgb_11/__55.html" xr:uid="{8C65136F-0A2A-4C5B-9AF7-AE9CB9423B51}"/>
    <hyperlink ref="H5" r:id="rId5" location="krankenkassen" xr:uid="{63849478-1DFC-44C2-86AD-C43F05AB41D0}"/>
    <hyperlink ref="C8:H8" r:id="rId6" display="https://www.aok.de/fk/tools/weitere-inhalte/beitraege-und-rechengroessen-der-sozialversicherung/alle-zahlen-zum-download/?utm_source=copilot.com" xr:uid="{084B28DD-F2DD-4D1F-AF46-44E62CAD4CFE}"/>
  </hyperlinks>
  <printOptions horizontalCentered="1"/>
  <pageMargins left="0.11811023622047245" right="0.11811023622047245" top="0.78740157480314965" bottom="0.78740157480314965" header="0.31496062992125984" footer="0.31496062992125984"/>
  <pageSetup paperSize="9" scale="62"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886209" r:id="rId10" name="Check Box 1">
              <controlPr defaultSize="0" autoFill="0" autoLine="0" autoPict="0">
                <anchor moveWithCells="1">
                  <from>
                    <xdr:col>6</xdr:col>
                    <xdr:colOff>114300</xdr:colOff>
                    <xdr:row>32</xdr:row>
                    <xdr:rowOff>28575</xdr:rowOff>
                  </from>
                  <to>
                    <xdr:col>6</xdr:col>
                    <xdr:colOff>866775</xdr:colOff>
                    <xdr:row>32</xdr:row>
                    <xdr:rowOff>219075</xdr:rowOff>
                  </to>
                </anchor>
              </controlPr>
            </control>
          </mc:Choice>
        </mc:AlternateContent>
        <mc:AlternateContent xmlns:mc="http://schemas.openxmlformats.org/markup-compatibility/2006">
          <mc:Choice Requires="x14">
            <control shapeId="1886210" r:id="rId11" name="Check Box 2">
              <controlPr defaultSize="0" print="0" autoFill="0" autoLine="0" autoPict="0">
                <anchor moveWithCells="1">
                  <from>
                    <xdr:col>5</xdr:col>
                    <xdr:colOff>219075</xdr:colOff>
                    <xdr:row>23</xdr:row>
                    <xdr:rowOff>28575</xdr:rowOff>
                  </from>
                  <to>
                    <xdr:col>6</xdr:col>
                    <xdr:colOff>1028700</xdr:colOff>
                    <xdr:row>25</xdr:row>
                    <xdr:rowOff>219075</xdr:rowOff>
                  </to>
                </anchor>
              </controlPr>
            </control>
          </mc:Choice>
        </mc:AlternateContent>
        <mc:AlternateContent xmlns:mc="http://schemas.openxmlformats.org/markup-compatibility/2006">
          <mc:Choice Requires="x14">
            <control shapeId="1886215" r:id="rId12" name="Drop Down 7">
              <controlPr defaultSize="0" autoLine="0" autoPict="0">
                <anchor moveWithCells="1">
                  <from>
                    <xdr:col>4</xdr:col>
                    <xdr:colOff>790575</xdr:colOff>
                    <xdr:row>24</xdr:row>
                    <xdr:rowOff>28575</xdr:rowOff>
                  </from>
                  <to>
                    <xdr:col>5</xdr:col>
                    <xdr:colOff>180975</xdr:colOff>
                    <xdr:row>24</xdr:row>
                    <xdr:rowOff>219075</xdr:rowOff>
                  </to>
                </anchor>
              </controlPr>
            </control>
          </mc:Choice>
        </mc:AlternateContent>
        <mc:AlternateContent xmlns:mc="http://schemas.openxmlformats.org/markup-compatibility/2006">
          <mc:Choice Requires="x14">
            <control shapeId="1886219" r:id="rId13" name="Option Button 11">
              <controlPr defaultSize="0" autoFill="0" autoLine="0" autoPict="0">
                <anchor moveWithCells="1">
                  <from>
                    <xdr:col>2</xdr:col>
                    <xdr:colOff>38100</xdr:colOff>
                    <xdr:row>15</xdr:row>
                    <xdr:rowOff>28575</xdr:rowOff>
                  </from>
                  <to>
                    <xdr:col>2</xdr:col>
                    <xdr:colOff>333375</xdr:colOff>
                    <xdr:row>16</xdr:row>
                    <xdr:rowOff>28575</xdr:rowOff>
                  </to>
                </anchor>
              </controlPr>
            </control>
          </mc:Choice>
        </mc:AlternateContent>
        <mc:AlternateContent xmlns:mc="http://schemas.openxmlformats.org/markup-compatibility/2006">
          <mc:Choice Requires="x14">
            <control shapeId="1886220" r:id="rId14" name="Option Button 12">
              <controlPr defaultSize="0" autoFill="0" autoLine="0" autoPict="0">
                <anchor moveWithCells="1">
                  <from>
                    <xdr:col>2</xdr:col>
                    <xdr:colOff>38100</xdr:colOff>
                    <xdr:row>16</xdr:row>
                    <xdr:rowOff>28575</xdr:rowOff>
                  </from>
                  <to>
                    <xdr:col>2</xdr:col>
                    <xdr:colOff>333375</xdr:colOff>
                    <xdr:row>17</xdr:row>
                    <xdr:rowOff>28575</xdr:rowOff>
                  </to>
                </anchor>
              </controlPr>
            </control>
          </mc:Choice>
        </mc:AlternateContent>
        <mc:AlternateContent xmlns:mc="http://schemas.openxmlformats.org/markup-compatibility/2006">
          <mc:Choice Requires="x14">
            <control shapeId="1886221" r:id="rId15" name="Option Button 13">
              <controlPr defaultSize="0" autoFill="0" autoLine="0" autoPict="0">
                <anchor moveWithCells="1">
                  <from>
                    <xdr:col>2</xdr:col>
                    <xdr:colOff>38100</xdr:colOff>
                    <xdr:row>17</xdr:row>
                    <xdr:rowOff>28575</xdr:rowOff>
                  </from>
                  <to>
                    <xdr:col>2</xdr:col>
                    <xdr:colOff>333375</xdr:colOff>
                    <xdr:row>18</xdr:row>
                    <xdr:rowOff>0</xdr:rowOff>
                  </to>
                </anchor>
              </controlPr>
            </control>
          </mc:Choice>
        </mc:AlternateContent>
        <mc:AlternateContent xmlns:mc="http://schemas.openxmlformats.org/markup-compatibility/2006">
          <mc:Choice Requires="x14">
            <control shapeId="1886222" r:id="rId16" name="Option Button 14">
              <controlPr defaultSize="0" autoFill="0" autoLine="0" autoPict="0">
                <anchor moveWithCells="1">
                  <from>
                    <xdr:col>2</xdr:col>
                    <xdr:colOff>38100</xdr:colOff>
                    <xdr:row>18</xdr:row>
                    <xdr:rowOff>0</xdr:rowOff>
                  </from>
                  <to>
                    <xdr:col>2</xdr:col>
                    <xdr:colOff>333375</xdr:colOff>
                    <xdr:row>19</xdr:row>
                    <xdr:rowOff>0</xdr:rowOff>
                  </to>
                </anchor>
              </controlPr>
            </control>
          </mc:Choice>
        </mc:AlternateContent>
        <mc:AlternateContent xmlns:mc="http://schemas.openxmlformats.org/markup-compatibility/2006">
          <mc:Choice Requires="x14">
            <control shapeId="1886375" r:id="rId17" name="Check Box 167">
              <controlPr defaultSize="0" autoFill="0" autoLine="0" autoPict="0">
                <anchor moveWithCells="1">
                  <from>
                    <xdr:col>5</xdr:col>
                    <xdr:colOff>28575</xdr:colOff>
                    <xdr:row>15</xdr:row>
                    <xdr:rowOff>28575</xdr:rowOff>
                  </from>
                  <to>
                    <xdr:col>5</xdr:col>
                    <xdr:colOff>295275</xdr:colOff>
                    <xdr:row>16</xdr:row>
                    <xdr:rowOff>0</xdr:rowOff>
                  </to>
                </anchor>
              </controlPr>
            </control>
          </mc:Choice>
        </mc:AlternateContent>
        <mc:AlternateContent xmlns:mc="http://schemas.openxmlformats.org/markup-compatibility/2006">
          <mc:Choice Requires="x14">
            <control shapeId="1886376" r:id="rId18" name="Check Box 168">
              <controlPr defaultSize="0" autoFill="0" autoLine="0" autoPict="0">
                <anchor moveWithCells="1">
                  <from>
                    <xdr:col>5</xdr:col>
                    <xdr:colOff>28575</xdr:colOff>
                    <xdr:row>16</xdr:row>
                    <xdr:rowOff>28575</xdr:rowOff>
                  </from>
                  <to>
                    <xdr:col>5</xdr:col>
                    <xdr:colOff>295275</xdr:colOff>
                    <xdr:row>17</xdr:row>
                    <xdr:rowOff>0</xdr:rowOff>
                  </to>
                </anchor>
              </controlPr>
            </control>
          </mc:Choice>
        </mc:AlternateContent>
        <mc:AlternateContent xmlns:mc="http://schemas.openxmlformats.org/markup-compatibility/2006">
          <mc:Choice Requires="x14">
            <control shapeId="1886377" r:id="rId19" name="Check Box 169">
              <controlPr defaultSize="0" autoFill="0" autoLine="0" autoPict="0">
                <anchor moveWithCells="1">
                  <from>
                    <xdr:col>5</xdr:col>
                    <xdr:colOff>28575</xdr:colOff>
                    <xdr:row>17</xdr:row>
                    <xdr:rowOff>28575</xdr:rowOff>
                  </from>
                  <to>
                    <xdr:col>5</xdr:col>
                    <xdr:colOff>295275</xdr:colOff>
                    <xdr:row>18</xdr:row>
                    <xdr:rowOff>0</xdr:rowOff>
                  </to>
                </anchor>
              </controlPr>
            </control>
          </mc:Choice>
        </mc:AlternateContent>
        <mc:AlternateContent xmlns:mc="http://schemas.openxmlformats.org/markup-compatibility/2006">
          <mc:Choice Requires="x14">
            <control shapeId="1886378" r:id="rId20" name="Check Box 170">
              <controlPr defaultSize="0" autoFill="0" autoLine="0" autoPict="0">
                <anchor moveWithCells="1">
                  <from>
                    <xdr:col>5</xdr:col>
                    <xdr:colOff>28575</xdr:colOff>
                    <xdr:row>18</xdr:row>
                    <xdr:rowOff>28575</xdr:rowOff>
                  </from>
                  <to>
                    <xdr:col>5</xdr:col>
                    <xdr:colOff>295275</xdr:colOff>
                    <xdr:row>19</xdr:row>
                    <xdr:rowOff>0</xdr:rowOff>
                  </to>
                </anchor>
              </controlPr>
            </control>
          </mc:Choice>
        </mc:AlternateContent>
        <mc:AlternateContent xmlns:mc="http://schemas.openxmlformats.org/markup-compatibility/2006">
          <mc:Choice Requires="x14">
            <control shapeId="1886379" r:id="rId21" name="Check Box 171">
              <controlPr defaultSize="0" print="0" autoFill="0" autoLine="0" autoPict="0">
                <anchor moveWithCells="1">
                  <from>
                    <xdr:col>2</xdr:col>
                    <xdr:colOff>28575</xdr:colOff>
                    <xdr:row>22</xdr:row>
                    <xdr:rowOff>28575</xdr:rowOff>
                  </from>
                  <to>
                    <xdr:col>2</xdr:col>
                    <xdr:colOff>1362075</xdr:colOff>
                    <xdr:row>22</xdr:row>
                    <xdr:rowOff>219075</xdr:rowOff>
                  </to>
                </anchor>
              </controlPr>
            </control>
          </mc:Choice>
        </mc:AlternateContent>
        <mc:AlternateContent xmlns:mc="http://schemas.openxmlformats.org/markup-compatibility/2006">
          <mc:Choice Requires="x14">
            <control shapeId="1886389" r:id="rId22" name="Check Box 181">
              <controlPr defaultSize="0" autoFill="0" autoLine="0" autoPict="0">
                <anchor moveWithCells="1">
                  <from>
                    <xdr:col>2</xdr:col>
                    <xdr:colOff>28575</xdr:colOff>
                    <xdr:row>8</xdr:row>
                    <xdr:rowOff>28575</xdr:rowOff>
                  </from>
                  <to>
                    <xdr:col>2</xdr:col>
                    <xdr:colOff>257175</xdr:colOff>
                    <xdr:row>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5" id="{13DFDB7D-B0A6-4710-B73F-8BA4DE9CC008}">
            <xm:f>AND($D$4="",Fallerfassung!$V$3&gt;0)</xm:f>
            <x14:dxf>
              <fill>
                <patternFill>
                  <bgColor theme="4" tint="0.59996337778862885"/>
                </patternFill>
              </fill>
            </x14:dxf>
          </x14:cfRule>
          <xm:sqref>E4</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57CC-14BC-4580-82DD-F6DECDF8AD88}">
  <sheetPr codeName="Tabelle33">
    <pageSetUpPr fitToPage="1"/>
  </sheetPr>
  <dimension ref="A1:AL47"/>
  <sheetViews>
    <sheetView showGridLines="0" showZeros="0" zoomScale="85" zoomScaleNormal="85" workbookViewId="0">
      <selection activeCell="B20" sqref="B20:I21"/>
    </sheetView>
  </sheetViews>
  <sheetFormatPr baseColWidth="10" defaultColWidth="0" defaultRowHeight="14.25" zeroHeight="1"/>
  <cols>
    <col min="1" max="1" width="2.5" style="1642" customWidth="1"/>
    <col min="2" max="2" width="31" style="71" customWidth="1"/>
    <col min="3" max="3" width="7.125" style="71" customWidth="1"/>
    <col min="4" max="6" width="8" style="71" customWidth="1"/>
    <col min="7" max="7" width="9.625" style="71" customWidth="1"/>
    <col min="8" max="8" width="11.5" style="71" customWidth="1"/>
    <col min="9" max="9" width="12.125" style="71" customWidth="1"/>
    <col min="10" max="11" width="7.625" style="71" customWidth="1"/>
    <col min="12" max="13" width="8.625" style="71" customWidth="1"/>
    <col min="14" max="14" width="1.125" style="71" customWidth="1"/>
    <col min="15" max="15" width="51.5" style="71" customWidth="1"/>
    <col min="16" max="17" width="13.125" style="71" customWidth="1"/>
    <col min="18" max="18" width="2.625" style="71" customWidth="1"/>
    <col min="19" max="19" width="11" style="71" hidden="1" customWidth="1"/>
    <col min="20" max="20" width="11.125" style="71" hidden="1" customWidth="1"/>
    <col min="21" max="21" width="19.125" style="71" hidden="1" customWidth="1"/>
    <col min="22" max="25" width="15.625" style="71" hidden="1" customWidth="1"/>
    <col min="26" max="26" width="8.125" style="71" hidden="1" customWidth="1"/>
    <col min="27" max="27" width="14.625" style="71" hidden="1" customWidth="1"/>
    <col min="28" max="29" width="11.125" style="71" hidden="1" customWidth="1"/>
    <col min="30" max="30" width="11" style="71" hidden="1" customWidth="1"/>
    <col min="31" max="31" width="12.625" style="71" hidden="1" customWidth="1"/>
    <col min="32" max="33" width="11.625" style="71" hidden="1" customWidth="1"/>
    <col min="34" max="37" width="11" style="71" hidden="1" customWidth="1"/>
    <col min="38" max="38" width="11.625" style="71" hidden="1" customWidth="1"/>
    <col min="39" max="16384" width="11" style="71" hidden="1"/>
  </cols>
  <sheetData>
    <row r="1" spans="1:36" ht="16.350000000000001" customHeight="1" thickBot="1">
      <c r="A1" s="1638"/>
      <c r="B1" s="968"/>
      <c r="C1" s="968"/>
      <c r="D1" s="968"/>
      <c r="E1" s="968"/>
      <c r="F1" s="968"/>
      <c r="G1" s="968"/>
      <c r="H1" s="968"/>
      <c r="I1" s="968"/>
      <c r="J1" s="968"/>
      <c r="K1" s="968"/>
      <c r="L1" s="968"/>
      <c r="M1" s="968"/>
      <c r="N1" s="968"/>
      <c r="O1" s="968"/>
      <c r="P1" s="968"/>
      <c r="Q1" s="968"/>
      <c r="R1" s="968"/>
    </row>
    <row r="2" spans="1:36" s="128" customFormat="1" ht="18.75" customHeight="1" thickTop="1">
      <c r="A2" s="1637">
        <v>2</v>
      </c>
      <c r="B2" s="3396" t="s">
        <v>1766</v>
      </c>
      <c r="C2" s="3397"/>
      <c r="D2" s="3397"/>
      <c r="E2" s="3397"/>
      <c r="F2" s="3397"/>
      <c r="G2" s="3397"/>
      <c r="H2" s="3397"/>
      <c r="I2" s="3398"/>
      <c r="J2" s="3386" t="s">
        <v>531</v>
      </c>
      <c r="K2" s="3387"/>
      <c r="L2" s="3387"/>
      <c r="M2" s="3388"/>
      <c r="N2" s="968"/>
      <c r="O2" s="3362" t="str">
        <f>"D. Versorgungsertrag der ausgleichsberechtigten Person"&amp;CHAR(10)&amp;"bei Begründung der Versorgung in "&amp;IF(ZVAusglBerAlternativ=1,"ges. RV (DRV) ",J28)</f>
        <v xml:space="preserve">D. Versorgungsertrag der ausgleichsberechtigten Person
bei Begründung der Versorgung in ges. RV (DRV) </v>
      </c>
      <c r="P2" s="3363"/>
      <c r="Q2" s="3364"/>
      <c r="R2" s="1467">
        <v>2</v>
      </c>
      <c r="U2" s="128" t="s">
        <v>1720</v>
      </c>
    </row>
    <row r="3" spans="1:36" s="128" customFormat="1" ht="31.5" customHeight="1">
      <c r="A3" s="1467">
        <f>+A2+1</f>
        <v>3</v>
      </c>
      <c r="B3" s="3399"/>
      <c r="C3" s="3400"/>
      <c r="D3" s="3400"/>
      <c r="E3" s="3400"/>
      <c r="F3" s="3400"/>
      <c r="G3" s="3400"/>
      <c r="H3" s="3400"/>
      <c r="I3" s="3401"/>
      <c r="J3" s="3295" t="str">
        <f>IF(J4="d",IF(X6&gt;0,X6,"")&amp;IF(X5&gt;0,"    "&amp;X5,""),"")</f>
        <v/>
      </c>
      <c r="K3" s="3296"/>
      <c r="L3" s="3296"/>
      <c r="M3" s="3297"/>
      <c r="N3" s="968"/>
      <c r="O3" s="3365"/>
      <c r="P3" s="3366"/>
      <c r="Q3" s="3367"/>
      <c r="R3" s="1467">
        <f>+R2+1</f>
        <v>3</v>
      </c>
    </row>
    <row r="4" spans="1:36" s="128" customFormat="1" ht="16.350000000000001" customHeight="1">
      <c r="A4" s="1467">
        <f t="shared" ref="A4:A44" si="0">+A3+1</f>
        <v>4</v>
      </c>
      <c r="B4" s="3389" t="s">
        <v>1630</v>
      </c>
      <c r="C4" s="2480"/>
      <c r="D4" s="2480"/>
      <c r="E4" s="2480"/>
      <c r="F4" s="2480"/>
      <c r="G4" s="2480"/>
      <c r="H4" s="2480"/>
      <c r="I4" s="2480"/>
      <c r="J4" s="3379" t="s">
        <v>217</v>
      </c>
      <c r="K4" s="3380"/>
      <c r="L4" s="3380"/>
      <c r="M4" s="3390"/>
      <c r="N4" s="968"/>
      <c r="O4" s="1648" t="s">
        <v>1710</v>
      </c>
      <c r="P4" s="1644" t="s">
        <v>384</v>
      </c>
      <c r="Q4" s="1649"/>
      <c r="R4" s="1467">
        <f t="shared" ref="R4:R44" si="1">+R3+1</f>
        <v>4</v>
      </c>
      <c r="U4" s="128" t="e">
        <f ca="1">"{[(1 + "&amp;TEXT(J13,"0,00%")&amp;")^"&amp;TEXT(V36,"0,0")&amp;" - 1] / "&amp;TEXT(J13,"0,00%")&amp;"}"&amp;" x "&amp;TEXT(I7,"0,00")&amp;IF(J12=0,""," x (1 + "&amp;TEXT(J12,"0,00%")&amp;")^"&amp;TEXT(W36,"0,0"))&amp;" x 12  ="</f>
        <v>#VALUE!</v>
      </c>
    </row>
    <row r="5" spans="1:36" s="128" customFormat="1" ht="16.350000000000001" customHeight="1">
      <c r="A5" s="1467">
        <f t="shared" si="0"/>
        <v>5</v>
      </c>
      <c r="B5" s="3391" t="str">
        <f>IF(AND(J5="",I5&gt;0),"Geburtstag der ausglpfl. Person aus 'Fallerfassung' übernommen","Geburtstag der ausgleichspflichtigen Person eingeben:")</f>
        <v>Geburtstag der ausglpfl. Person aus 'Fallerfassung' übernommen</v>
      </c>
      <c r="C5" s="3392"/>
      <c r="D5" s="3392"/>
      <c r="E5" s="3392"/>
      <c r="F5" s="3392"/>
      <c r="G5" s="3392"/>
      <c r="H5" s="3392"/>
      <c r="I5" s="1620" t="str">
        <f>IFERROR(IF(J5&gt;0,J5,CHOOSE(Y10,Dat_GebDat_M,Dat_GebDatF)),"")</f>
        <v/>
      </c>
      <c r="J5" s="3379"/>
      <c r="K5" s="3380"/>
      <c r="L5" s="3380"/>
      <c r="M5" s="3390"/>
      <c r="N5" s="968"/>
      <c r="O5" s="1648" t="s">
        <v>1679</v>
      </c>
      <c r="P5" s="1645"/>
      <c r="Q5" s="1399" t="str">
        <f>IFERROR(IF(P5&gt;0,P5,CHOOSE(Y11,Dat_GebDat_M,Dat_GebDat_F,"")),"")</f>
        <v/>
      </c>
      <c r="R5" s="1467">
        <f t="shared" si="1"/>
        <v>5</v>
      </c>
      <c r="X5" s="1605" t="str">
        <f>TEXT(Dat_GebDat_F,"TT.MM.JJJJ")&amp;IF(Dat_GebDat_F&lt;&gt;""," "&amp;weiblich&amp;"(w)","")</f>
        <v/>
      </c>
    </row>
    <row r="6" spans="1:36" s="128" customFormat="1" ht="16.350000000000001" customHeight="1">
      <c r="A6" s="1467">
        <f t="shared" si="0"/>
        <v>6</v>
      </c>
      <c r="B6" s="1907" t="s">
        <v>1863</v>
      </c>
      <c r="C6" s="1908"/>
      <c r="D6" s="1908"/>
      <c r="E6" s="1908"/>
      <c r="F6" s="3379"/>
      <c r="G6" s="3380"/>
      <c r="H6" s="3402">
        <f>IF(F6&gt;0,F6,IF(Dat_EzE&gt;0,Dat_EzE,""))</f>
        <v>46203</v>
      </c>
      <c r="I6" s="3403"/>
      <c r="J6" s="1909"/>
      <c r="K6" s="1910"/>
      <c r="L6" s="1911" t="s">
        <v>1699</v>
      </c>
      <c r="M6" s="1712" t="str">
        <f>V6</f>
        <v/>
      </c>
      <c r="N6" s="968"/>
      <c r="O6" s="3381" t="str">
        <f>IFERROR("Alter im EzE: "&amp;TEXT(IFERROR(IF(H6="","",ROUND(YEARFRAC(Q5,H6,0),2)),""),"0,00")&amp;" und im Abfindungszeitpunkt:","")</f>
        <v>Alter im EzE:  und im Abfindungszeitpunkt:</v>
      </c>
      <c r="P6" s="3382"/>
      <c r="Q6" s="1650" t="str">
        <f>IFERROR(IF(J14="","",ROUND(YEARFRAC(Q5,J14,0),2)),"")</f>
        <v/>
      </c>
      <c r="R6" s="1467">
        <f t="shared" si="1"/>
        <v>6</v>
      </c>
      <c r="U6" s="1747" t="s">
        <v>298</v>
      </c>
      <c r="V6" s="1748" t="str">
        <f>IFERROR(IF(H6="","",ROUND(YEARFRAC(I5,H6,0),2)),"")</f>
        <v/>
      </c>
      <c r="X6" s="1605" t="str">
        <f>TEXT(Dat_GebDat_M,"TT.MM.JJJJ")&amp;IF(Dat_GebDat_M&lt;&gt;""," "&amp;männlich&amp;"(m)","")</f>
        <v/>
      </c>
    </row>
    <row r="7" spans="1:36" s="128" customFormat="1" ht="22.35" customHeight="1" thickBot="1">
      <c r="A7" s="1467">
        <f t="shared" si="0"/>
        <v>7</v>
      </c>
      <c r="B7" s="3283" t="s">
        <v>1694</v>
      </c>
      <c r="C7" s="3284"/>
      <c r="D7" s="3284"/>
      <c r="E7" s="3284"/>
      <c r="F7" s="3284"/>
      <c r="G7" s="3284"/>
      <c r="H7" s="3285"/>
      <c r="I7" s="2190">
        <f ca="1">IF(J7&gt;0,J7,+'sVA § 20'!I36)</f>
        <v>0</v>
      </c>
      <c r="J7" s="3383"/>
      <c r="K7" s="3384"/>
      <c r="L7" s="3384"/>
      <c r="M7" s="3385"/>
      <c r="N7" s="968"/>
      <c r="O7" s="1651" t="s">
        <v>1660</v>
      </c>
      <c r="P7" s="1646"/>
      <c r="Q7" s="1652" t="str">
        <f ca="1">IFERROR(IF(P7=0,L32,P7),"")</f>
        <v/>
      </c>
      <c r="R7" s="1467">
        <f t="shared" si="1"/>
        <v>7</v>
      </c>
      <c r="X7" s="1605"/>
    </row>
    <row r="8" spans="1:36" s="128" customFormat="1" ht="20.100000000000001" customHeight="1">
      <c r="A8" s="1467">
        <f t="shared" si="0"/>
        <v>8</v>
      </c>
      <c r="B8" s="3373" t="s">
        <v>1686</v>
      </c>
      <c r="C8" s="3374"/>
      <c r="D8" s="3374"/>
      <c r="E8" s="3374"/>
      <c r="F8" s="3374"/>
      <c r="G8" s="3374"/>
      <c r="H8" s="3374"/>
      <c r="I8" s="3374"/>
      <c r="J8" s="3374"/>
      <c r="K8" s="3374"/>
      <c r="L8" s="3374"/>
      <c r="M8" s="3375"/>
      <c r="N8" s="968"/>
      <c r="O8" s="1648" t="s">
        <v>1719</v>
      </c>
      <c r="P8" s="1665"/>
      <c r="Q8" s="1653" t="str">
        <f ca="1">IFERROR(IF(P8&gt;0,P8,IF(L28&gt;0,L28,L26)),"")</f>
        <v/>
      </c>
      <c r="R8" s="1467">
        <f t="shared" si="1"/>
        <v>8</v>
      </c>
    </row>
    <row r="9" spans="1:36" s="128" customFormat="1" ht="16.350000000000001" customHeight="1">
      <c r="A9" s="1467">
        <f t="shared" si="0"/>
        <v>9</v>
      </c>
      <c r="B9" s="3323" t="s">
        <v>1690</v>
      </c>
      <c r="C9" s="3309"/>
      <c r="D9" s="3309"/>
      <c r="E9" s="3309"/>
      <c r="F9" s="3309"/>
      <c r="G9" s="3309"/>
      <c r="H9" s="3309"/>
      <c r="I9" s="1627" t="str">
        <f>IFERROR(ROUND(IFERROR(IF(J9="",AbF_ReEintritt,J9),""),2),"")</f>
        <v/>
      </c>
      <c r="J9" s="3393"/>
      <c r="K9" s="3394"/>
      <c r="L9" s="3394"/>
      <c r="M9" s="3395"/>
      <c r="N9" s="968"/>
      <c r="O9" s="1648" t="s">
        <v>1680</v>
      </c>
      <c r="P9" s="361"/>
      <c r="Q9" s="1654" t="str">
        <f>IFERROR(ROUND(IF(P9&gt;0,P9,V22),2),"")</f>
        <v/>
      </c>
      <c r="R9" s="1467">
        <f t="shared" si="1"/>
        <v>9</v>
      </c>
      <c r="U9" s="66"/>
      <c r="V9" s="66" t="s">
        <v>1673</v>
      </c>
      <c r="W9" s="66" t="s">
        <v>318</v>
      </c>
      <c r="X9" s="66"/>
      <c r="Y9" s="66"/>
      <c r="Z9" s="66" t="s">
        <v>1670</v>
      </c>
    </row>
    <row r="10" spans="1:36" s="128" customFormat="1" ht="16.350000000000001" customHeight="1">
      <c r="A10" s="1467">
        <f t="shared" si="0"/>
        <v>10</v>
      </c>
      <c r="B10" s="3323" t="s">
        <v>1691</v>
      </c>
      <c r="C10" s="3309"/>
      <c r="D10" s="3309"/>
      <c r="E10" s="3309"/>
      <c r="F10" s="3309"/>
      <c r="G10" s="3309"/>
      <c r="H10" s="3309"/>
      <c r="I10" s="3310"/>
      <c r="J10" s="3324"/>
      <c r="K10" s="3325"/>
      <c r="L10" s="3325"/>
      <c r="M10" s="3326"/>
      <c r="N10" s="968"/>
      <c r="O10" s="3314" t="s">
        <v>257</v>
      </c>
      <c r="P10" s="3315"/>
      <c r="Q10" s="1655" t="str">
        <f>IFERROR(IF(Q9&lt;Q6,0,Q9-Q6),"")</f>
        <v/>
      </c>
      <c r="R10" s="1467">
        <f t="shared" si="1"/>
        <v>10</v>
      </c>
      <c r="U10" s="66" t="s">
        <v>193</v>
      </c>
      <c r="V10" s="613" t="e">
        <f>VLOOKUP(J14,BilMoG10,16)/100</f>
        <v>#N/A</v>
      </c>
      <c r="W10" s="613" t="e">
        <f>VLOOKUP(F6,BilMoG10,16)/100</f>
        <v>#N/A</v>
      </c>
      <c r="X10" s="66" t="s">
        <v>1668</v>
      </c>
      <c r="Y10" s="66">
        <f>IF(J4="m",1,IF(J4="w",2,3))</f>
        <v>1</v>
      </c>
      <c r="Z10" s="66" t="s">
        <v>217</v>
      </c>
    </row>
    <row r="11" spans="1:36" s="128" customFormat="1" ht="16.350000000000001" customHeight="1">
      <c r="A11" s="1467">
        <f t="shared" si="0"/>
        <v>11</v>
      </c>
      <c r="B11" s="3323" t="s">
        <v>1692</v>
      </c>
      <c r="C11" s="3309"/>
      <c r="D11" s="3309"/>
      <c r="E11" s="3309"/>
      <c r="F11" s="3309"/>
      <c r="G11" s="3309"/>
      <c r="H11" s="3309"/>
      <c r="I11" s="3310"/>
      <c r="J11" s="3324"/>
      <c r="K11" s="3325"/>
      <c r="L11" s="3325"/>
      <c r="M11" s="3326"/>
      <c r="N11" s="968"/>
      <c r="O11" s="3314" t="s">
        <v>256</v>
      </c>
      <c r="P11" s="3315"/>
      <c r="Q11" s="1654" t="str">
        <f>IFERROR(ROUND(VLOOKUP(ROUND(IF(Q6&lt;Q9,Q9,Q6),0),CHOOSE(Y11,Lebenserwartung_M_V2,Lebenserwartung_F_V2,Lebenserwartung_N_V2),YEAR(Q5)+IF(MONTH(Q5)&gt;6,1,0)-1900+2),2),"")</f>
        <v/>
      </c>
      <c r="R11" s="1467">
        <f t="shared" si="1"/>
        <v>11</v>
      </c>
      <c r="U11" s="66" t="s">
        <v>192</v>
      </c>
      <c r="V11" s="613" t="e">
        <f>VLOOKUP(J14,BilmoGZins,16)/100</f>
        <v>#N/A</v>
      </c>
      <c r="W11" s="613" t="e">
        <f>VLOOKUP(F6,BilmoGZins,16)/100</f>
        <v>#N/A</v>
      </c>
      <c r="X11" s="66" t="s">
        <v>1669</v>
      </c>
      <c r="Y11" s="66">
        <f>IF(P4="m",1,IF(P4="w",2,3))</f>
        <v>3</v>
      </c>
      <c r="Z11" s="66" t="s">
        <v>263</v>
      </c>
    </row>
    <row r="12" spans="1:36" s="128" customFormat="1" ht="16.350000000000001" customHeight="1">
      <c r="A12" s="1467">
        <f t="shared" si="0"/>
        <v>12</v>
      </c>
      <c r="B12" s="3308" t="s">
        <v>258</v>
      </c>
      <c r="C12" s="3309"/>
      <c r="D12" s="3309"/>
      <c r="E12" s="3309"/>
      <c r="F12" s="3309"/>
      <c r="G12" s="3309"/>
      <c r="H12" s="3309"/>
      <c r="I12" s="3310"/>
      <c r="J12" s="3311"/>
      <c r="K12" s="3312"/>
      <c r="L12" s="3312"/>
      <c r="M12" s="3313"/>
      <c r="N12" s="968"/>
      <c r="O12" s="3314" t="s">
        <v>1658</v>
      </c>
      <c r="P12" s="3315"/>
      <c r="Q12" s="1656" t="str">
        <f ca="1">IFERROR(-FV(IF(Abf_VollDyn&gt;0,Abf_VollDyn,Abf_AwDyn),Q10,,Q7),"")</f>
        <v/>
      </c>
      <c r="R12" s="1467">
        <f t="shared" si="1"/>
        <v>12</v>
      </c>
      <c r="S12" s="1709"/>
      <c r="U12" s="66"/>
      <c r="V12" s="613"/>
      <c r="W12" s="66"/>
      <c r="X12" s="66"/>
      <c r="Y12" s="66"/>
      <c r="Z12" s="66" t="s">
        <v>384</v>
      </c>
    </row>
    <row r="13" spans="1:36" s="128" customFormat="1" ht="16.350000000000001" customHeight="1" thickBot="1">
      <c r="A13" s="1467">
        <f t="shared" si="0"/>
        <v>13</v>
      </c>
      <c r="B13" s="3316" t="s">
        <v>1693</v>
      </c>
      <c r="C13" s="3154"/>
      <c r="D13" s="3154"/>
      <c r="E13" s="3154"/>
      <c r="F13" s="3154"/>
      <c r="G13" s="3154"/>
      <c r="H13" s="3154"/>
      <c r="I13" s="3317"/>
      <c r="J13" s="3318"/>
      <c r="K13" s="3319"/>
      <c r="L13" s="3319"/>
      <c r="M13" s="3320"/>
      <c r="N13" s="968"/>
      <c r="O13" s="3321" t="str">
        <f ca="1">IFERROR("Barwert der Zielversorgung "&amp;IF(Q13&gt;Q8,TEXT(Q13/Q8-1,"0,00%")&amp;" &gt; ",IF(Q13&lt;Q8,TEXT(ABS(Q13/Q8-1),"0,00%")&amp;" &lt; ",""))&amp;"als Abfindungsbetrag","")</f>
        <v>Barwert der Zielversorgung als Abfindungsbetrag</v>
      </c>
      <c r="P13" s="3322"/>
      <c r="Q13" s="1657" t="str">
        <f ca="1">IFERROR(ROUND(AE39,0),"")</f>
        <v/>
      </c>
      <c r="R13" s="1467">
        <f t="shared" si="1"/>
        <v>13</v>
      </c>
      <c r="U13" s="66" t="s">
        <v>1672</v>
      </c>
      <c r="V13" s="1128" t="e">
        <f ca="1">+Q8/J30*M30</f>
        <v>#VALUE!</v>
      </c>
      <c r="W13" s="66"/>
      <c r="X13" s="66"/>
      <c r="Y13" s="66"/>
      <c r="Z13" s="66"/>
    </row>
    <row r="14" spans="1:36" s="128" customFormat="1" ht="29.25" customHeight="1" thickTop="1" thickBot="1">
      <c r="A14" s="1467">
        <f t="shared" si="0"/>
        <v>14</v>
      </c>
      <c r="B14" s="3376" t="str">
        <f>"Datum der Abfindungsberechnung eingeben: "&amp;"(Daten bis "&amp;TEXT(Enddatum,"TT.MM.JJJJ")&amp;" verfügbar)"</f>
        <v>Datum der Abfindungsberechnung eingeben: (Daten bis 31.07.2026 verfügbar)</v>
      </c>
      <c r="C14" s="3377"/>
      <c r="D14" s="3377"/>
      <c r="E14" s="3377"/>
      <c r="F14" s="3377"/>
      <c r="G14" s="3377"/>
      <c r="H14" s="3377"/>
      <c r="I14" s="3378"/>
      <c r="J14" s="3370"/>
      <c r="K14" s="3371"/>
      <c r="L14" s="3371"/>
      <c r="M14" s="3372"/>
      <c r="N14" s="968"/>
      <c r="O14" s="3368" t="str">
        <f>IFERROR("∑ der über "&amp;TEXT(V39,"0,00")&amp;" Jahre erwartbaren Renten der ausglber. Person in Zielversorgung:","")</f>
        <v/>
      </c>
      <c r="P14" s="3369"/>
      <c r="Q14" s="1716" t="str">
        <f ca="1">IFERROR(+AF39,"")</f>
        <v/>
      </c>
      <c r="R14" s="1467">
        <f t="shared" si="1"/>
        <v>14</v>
      </c>
      <c r="U14" s="66" t="s">
        <v>1705</v>
      </c>
      <c r="V14" s="613">
        <f>_xlfn.IFNA(_xlfn.IFNA(VLOOKUP(F6,BilMoG10,16)/100,VLOOKUP(F6,BilmoGZins,16)/100),6%)</f>
        <v>0.06</v>
      </c>
      <c r="W14" s="66"/>
      <c r="X14" s="66"/>
      <c r="Y14" s="66"/>
      <c r="Z14" s="66"/>
    </row>
    <row r="15" spans="1:36" s="128" customFormat="1" ht="32.1" customHeight="1" thickTop="1" thickBot="1">
      <c r="A15" s="1467">
        <f t="shared" si="0"/>
        <v>15</v>
      </c>
      <c r="B15" s="3303" t="str">
        <f>IFERROR("ReZins zum Abfindungszeitpunkt ("&amp;TEXT(J14,"TT.MM.JJJJ")&amp;") eingeben:"&amp;CHAR(10)&amp;"BilMoG-10: "&amp;TEXT(V10,"0,00%")&amp;" / BilMoG-7: "&amp;TEXT(V11,"0,00%")&amp;" / "&amp;AA15&amp;"10-Jahres-Inflation: "&amp;TEXT(Z21,"0,00%"),"Geben Sie den zur Berechnung gewünschten Rechnungszins ein:")</f>
        <v>Geben Sie den zur Berechnung gewünschten Rechnungszins ein:</v>
      </c>
      <c r="C15" s="3304"/>
      <c r="D15" s="3304"/>
      <c r="E15" s="3304"/>
      <c r="F15" s="3304"/>
      <c r="G15" s="3304"/>
      <c r="H15" s="3304"/>
      <c r="I15" s="3304"/>
      <c r="J15" s="3305"/>
      <c r="K15" s="3306"/>
      <c r="L15" s="3306"/>
      <c r="M15" s="3307"/>
      <c r="N15" s="966"/>
      <c r="O15" s="3300" t="s">
        <v>1778</v>
      </c>
      <c r="P15" s="3301"/>
      <c r="Q15" s="3302"/>
      <c r="R15" s="1467">
        <f t="shared" si="1"/>
        <v>15</v>
      </c>
      <c r="U15" s="128" t="s">
        <v>1850</v>
      </c>
      <c r="V15" s="1713" t="str">
        <f>IFERROR(IF(J14="","",ROUND(YEARFRAC(I5,J14,0),2)),"")</f>
        <v/>
      </c>
      <c r="AA15" s="128" t="s">
        <v>827</v>
      </c>
      <c r="AH15" s="1746" t="s">
        <v>1787</v>
      </c>
      <c r="AI15" s="966"/>
      <c r="AJ15" s="966"/>
    </row>
    <row r="16" spans="1:36" s="128" customFormat="1" ht="32.1" customHeight="1" thickTop="1">
      <c r="A16" s="1467">
        <f t="shared" si="0"/>
        <v>16</v>
      </c>
      <c r="B16" s="3464" t="str">
        <f>"ehezeitl. Ausgleichswert unter Beachtung der Dynamik errechnet "&amp;CHAR(10)&amp;" Alternative Eingabe:"</f>
        <v>ehezeitl. Ausgleichswert unter Beachtung der Dynamik errechnet 
 Alternative Eingabe:</v>
      </c>
      <c r="C16" s="3465"/>
      <c r="D16" s="3465"/>
      <c r="E16" s="3465"/>
      <c r="F16" s="3465"/>
      <c r="G16" s="3465"/>
      <c r="H16" s="3466"/>
      <c r="I16" s="1760"/>
      <c r="J16" s="3467" t="str">
        <f ca="1">IFERROR(IF(I16&gt;0,I16,AA22),"")</f>
        <v/>
      </c>
      <c r="K16" s="3468"/>
      <c r="L16" s="3468"/>
      <c r="M16" s="3469"/>
      <c r="N16" s="1639"/>
      <c r="O16" s="3493" t="s">
        <v>1773</v>
      </c>
      <c r="P16" s="3440"/>
      <c r="Q16" s="3494"/>
      <c r="R16" s="1467">
        <f t="shared" si="1"/>
        <v>16</v>
      </c>
      <c r="T16" s="796"/>
      <c r="U16" s="1636"/>
      <c r="V16" s="1636" t="s">
        <v>1704</v>
      </c>
      <c r="W16" s="1636" t="s">
        <v>1706</v>
      </c>
      <c r="X16" s="1636" t="s">
        <v>62</v>
      </c>
      <c r="Y16" s="1636" t="s">
        <v>21</v>
      </c>
      <c r="Z16" s="796"/>
      <c r="AA16" s="796"/>
      <c r="AB16" s="796"/>
      <c r="AC16" s="796"/>
      <c r="AD16" s="796"/>
      <c r="AE16" s="796"/>
      <c r="AH16" s="3439" t="s">
        <v>1785</v>
      </c>
      <c r="AI16" s="3439"/>
      <c r="AJ16" s="3439"/>
    </row>
    <row r="17" spans="1:36" s="128" customFormat="1" ht="16.350000000000001" customHeight="1">
      <c r="A17" s="1467">
        <f t="shared" si="0"/>
        <v>17</v>
      </c>
      <c r="B17" s="3470" t="s">
        <v>1678</v>
      </c>
      <c r="C17" s="3471"/>
      <c r="D17" s="3472"/>
      <c r="E17" s="3473" t="s">
        <v>1851</v>
      </c>
      <c r="F17" s="3472"/>
      <c r="G17" s="396"/>
      <c r="H17" s="1660" t="s">
        <v>1852</v>
      </c>
      <c r="I17" s="1121">
        <v>3.7499999999999999E-2</v>
      </c>
      <c r="J17" s="3454" t="str">
        <f ca="1">IF(AND(G17&gt;0,I17&gt;0),"entw. E oder %!",IFERROR(IF(I17&gt;0,-J16*I17,-G17),""))</f>
        <v/>
      </c>
      <c r="K17" s="3455"/>
      <c r="L17" s="3455"/>
      <c r="M17" s="3456"/>
      <c r="N17" s="968"/>
      <c r="O17" s="3493"/>
      <c r="P17" s="3440"/>
      <c r="Q17" s="3494"/>
      <c r="R17" s="1467">
        <f t="shared" si="1"/>
        <v>17</v>
      </c>
      <c r="T17" s="1605">
        <v>45260</v>
      </c>
      <c r="U17" s="66" t="s">
        <v>1703</v>
      </c>
      <c r="V17" s="1128" t="e">
        <f ca="1">-FV(V14,YEARFRAC(F6,T17,0),,L26)</f>
        <v>#VALUE!</v>
      </c>
      <c r="W17" s="1749" t="e">
        <f>VLOOKUP(F6,Umrechnungsfaktoren_BeitraginEP,2)</f>
        <v>#N/A</v>
      </c>
      <c r="X17" s="1750" t="e">
        <f ca="1">+V17*W17</f>
        <v>#VALUE!</v>
      </c>
      <c r="Y17" s="1128" t="e">
        <f ca="1">X17*M30</f>
        <v>#VALUE!</v>
      </c>
      <c r="AH17" s="3439"/>
      <c r="AI17" s="3439"/>
      <c r="AJ17" s="3439"/>
    </row>
    <row r="18" spans="1:36" s="128" customFormat="1" ht="16.350000000000001" customHeight="1">
      <c r="A18" s="1467">
        <f t="shared" si="0"/>
        <v>18</v>
      </c>
      <c r="B18" s="3389" t="str">
        <f>"./. Steuern pauschal in %: "&amp;TEXT(I18,"0,00%")</f>
        <v>./. Steuern pauschal in %: 0,00%</v>
      </c>
      <c r="C18" s="2480"/>
      <c r="D18" s="2480"/>
      <c r="E18" s="2480"/>
      <c r="F18" s="2480"/>
      <c r="G18" s="2480"/>
      <c r="H18" s="2480"/>
      <c r="I18" s="1121"/>
      <c r="J18" s="3454" t="str">
        <f ca="1">IFERROR(-J16*I18,"")</f>
        <v/>
      </c>
      <c r="K18" s="3455"/>
      <c r="L18" s="3455"/>
      <c r="M18" s="3456"/>
      <c r="N18" s="968"/>
      <c r="O18" s="3493"/>
      <c r="P18" s="3440"/>
      <c r="Q18" s="3494"/>
      <c r="R18" s="1467">
        <f t="shared" si="1"/>
        <v>18</v>
      </c>
      <c r="U18" s="66"/>
      <c r="V18" s="66"/>
      <c r="W18" s="66"/>
      <c r="X18" s="66"/>
      <c r="Y18" s="66"/>
      <c r="AA18" s="3447" t="s">
        <v>1647</v>
      </c>
      <c r="AB18" s="3447" t="s">
        <v>1788</v>
      </c>
      <c r="AH18" s="3439"/>
      <c r="AI18" s="3439"/>
      <c r="AJ18" s="3439"/>
    </row>
    <row r="19" spans="1:36" s="128" customFormat="1" ht="16.350000000000001" customHeight="1" thickBot="1">
      <c r="A19" s="1467">
        <f t="shared" si="0"/>
        <v>19</v>
      </c>
      <c r="B19" s="3488" t="s">
        <v>1765</v>
      </c>
      <c r="C19" s="3489"/>
      <c r="D19" s="3489"/>
      <c r="E19" s="3489"/>
      <c r="F19" s="3489"/>
      <c r="G19" s="3489"/>
      <c r="H19" s="3490"/>
      <c r="I19" s="1715"/>
      <c r="J19" s="3443" t="str">
        <f ca="1">IFERROR(IF(I19&gt;0,I19,+J16+J18+J17),"")</f>
        <v/>
      </c>
      <c r="K19" s="3444"/>
      <c r="L19" s="3444"/>
      <c r="M19" s="3445"/>
      <c r="N19" s="968"/>
      <c r="O19" s="3493"/>
      <c r="P19" s="3440"/>
      <c r="Q19" s="3494"/>
      <c r="R19" s="1467">
        <f t="shared" si="1"/>
        <v>19</v>
      </c>
      <c r="U19" s="66"/>
      <c r="V19" s="66" t="s">
        <v>618</v>
      </c>
      <c r="W19" s="66" t="s">
        <v>1667</v>
      </c>
      <c r="X19" s="66" t="s">
        <v>1643</v>
      </c>
      <c r="Y19" s="66" t="s">
        <v>1644</v>
      </c>
      <c r="Z19" s="66" t="s">
        <v>1645</v>
      </c>
      <c r="AA19" s="3474"/>
      <c r="AB19" s="3474"/>
      <c r="AC19" s="66"/>
      <c r="AH19" s="3440" t="s">
        <v>1784</v>
      </c>
      <c r="AI19" s="3440"/>
      <c r="AJ19" s="3440"/>
    </row>
    <row r="20" spans="1:36" s="128" customFormat="1" ht="15.75" customHeight="1" thickTop="1">
      <c r="A20" s="1467">
        <f t="shared" si="0"/>
        <v>20</v>
      </c>
      <c r="B20" s="3482" t="s">
        <v>2035</v>
      </c>
      <c r="C20" s="3483"/>
      <c r="D20" s="3483"/>
      <c r="E20" s="3483"/>
      <c r="F20" s="3483"/>
      <c r="G20" s="3483"/>
      <c r="H20" s="3483"/>
      <c r="I20" s="3484"/>
      <c r="J20" s="3271" t="str">
        <f>"Barwertberechnung zum "&amp;TEXT(J14,"TT.MM.JJJJ")</f>
        <v>Barwertberechnung zum 00.01.1900</v>
      </c>
      <c r="K20" s="3272"/>
      <c r="L20" s="3272"/>
      <c r="M20" s="3273"/>
      <c r="N20" s="968"/>
      <c r="O20" s="3277" t="s">
        <v>1916</v>
      </c>
      <c r="P20" s="3278"/>
      <c r="Q20" s="3279"/>
      <c r="R20" s="1467">
        <f t="shared" si="1"/>
        <v>20</v>
      </c>
      <c r="U20" s="66"/>
      <c r="V20" s="66"/>
      <c r="W20" s="66"/>
      <c r="X20" s="66"/>
      <c r="Y20" s="66"/>
      <c r="Z20" s="66"/>
      <c r="AA20" s="66"/>
      <c r="AB20" s="66"/>
      <c r="AC20" s="66"/>
      <c r="AH20" s="3440"/>
      <c r="AI20" s="3440"/>
      <c r="AJ20" s="3440"/>
    </row>
    <row r="21" spans="1:36" s="128" customFormat="1" ht="15.75" customHeight="1">
      <c r="A21" s="1467">
        <f t="shared" si="0"/>
        <v>21</v>
      </c>
      <c r="B21" s="3485"/>
      <c r="C21" s="3486"/>
      <c r="D21" s="3486"/>
      <c r="E21" s="3486"/>
      <c r="F21" s="3486"/>
      <c r="G21" s="3486"/>
      <c r="H21" s="3486"/>
      <c r="I21" s="3487"/>
      <c r="J21" s="3274"/>
      <c r="K21" s="3275"/>
      <c r="L21" s="3275"/>
      <c r="M21" s="3276"/>
      <c r="N21" s="968"/>
      <c r="O21" s="3277"/>
      <c r="P21" s="3278"/>
      <c r="Q21" s="3279"/>
      <c r="R21" s="1467">
        <f t="shared" si="1"/>
        <v>21</v>
      </c>
      <c r="U21" s="66" t="s">
        <v>1657</v>
      </c>
      <c r="V21" s="1751" t="e">
        <f>IF(J9="",VLOOKUP(YEAR(I5),Renteneintrittstabelle,2)/12+65,J9)</f>
        <v>#VALUE!</v>
      </c>
      <c r="W21" s="66" t="e">
        <f>VLOOKUP(J14,VPI,2)</f>
        <v>#N/A</v>
      </c>
      <c r="X21" s="772">
        <f>DATE(YEAR(J14)-10,MONTH(J14),DAY(J14))</f>
        <v>690310</v>
      </c>
      <c r="Y21" s="66">
        <f>VLOOKUP(X21,VPI,2)</f>
        <v>0</v>
      </c>
      <c r="Z21" s="613" t="e">
        <f>_xlfn.RRI(10,Y21,W21)</f>
        <v>#N/A</v>
      </c>
      <c r="AA21" s="1752" t="e">
        <f>ROUND(IF(V15&lt;I9,0,ABS(I9-V15)),2)</f>
        <v>#VALUE!</v>
      </c>
      <c r="AB21" s="1752">
        <f>ROUND(IF(AND(V15&gt;M6,I9&gt;M6),V15-M6,0),2)</f>
        <v>0</v>
      </c>
      <c r="AC21" s="66"/>
      <c r="AH21" s="3440"/>
      <c r="AI21" s="3440"/>
      <c r="AJ21" s="3440"/>
    </row>
    <row r="22" spans="1:36" s="128" customFormat="1" ht="16.350000000000001" hidden="1" customHeight="1">
      <c r="A22" s="1467">
        <f t="shared" si="0"/>
        <v>22</v>
      </c>
      <c r="B22" s="1714" t="s">
        <v>1637</v>
      </c>
      <c r="C22" s="3315" t="s">
        <v>1707</v>
      </c>
      <c r="D22" s="3315"/>
      <c r="E22" s="1664" t="s">
        <v>1639</v>
      </c>
      <c r="F22" s="1622">
        <v>14</v>
      </c>
      <c r="G22" s="3315" t="s">
        <v>1638</v>
      </c>
      <c r="H22" s="3315"/>
      <c r="I22" s="361" t="s">
        <v>14</v>
      </c>
      <c r="J22" s="3452"/>
      <c r="K22" s="3453"/>
      <c r="L22" s="1834" t="s">
        <v>1653</v>
      </c>
      <c r="M22" s="1835" t="str">
        <f ca="1">IFERROR(+V26,"")</f>
        <v/>
      </c>
      <c r="N22" s="968"/>
      <c r="O22" s="3277"/>
      <c r="P22" s="3278"/>
      <c r="Q22" s="3279"/>
      <c r="R22" s="1467">
        <f t="shared" si="1"/>
        <v>22</v>
      </c>
      <c r="U22" s="1103" t="s">
        <v>1656</v>
      </c>
      <c r="V22" s="1753" t="e">
        <f>IF(P9&gt;0,P9,65+VLOOKUP(YEAR(Q5),Renteneintrittstabelle,2)/12)</f>
        <v>#VALUE!</v>
      </c>
      <c r="W22" s="1103"/>
      <c r="X22" s="1754"/>
      <c r="Y22" s="1103"/>
      <c r="Z22" s="1588"/>
      <c r="AA22" s="1103" t="e">
        <f ca="1">ROUND(AB22*(1+J13)^Abfindung_L_Zeit,2)</f>
        <v>#VALUE!</v>
      </c>
      <c r="AB22" s="1755">
        <f ca="1">ROUND(I7*(1+J12)^Abfindung_A_Zeit,2)</f>
        <v>0</v>
      </c>
      <c r="AC22" s="1103"/>
      <c r="AD22" s="139"/>
      <c r="AE22" s="139"/>
    </row>
    <row r="23" spans="1:36" s="128" customFormat="1" ht="16.350000000000001" hidden="1" customHeight="1">
      <c r="A23" s="1467">
        <f t="shared" si="0"/>
        <v>23</v>
      </c>
      <c r="B23" s="1714" t="s">
        <v>1659</v>
      </c>
      <c r="C23" s="3315" t="s">
        <v>1641</v>
      </c>
      <c r="D23" s="3315"/>
      <c r="E23" s="1664" t="s">
        <v>1639</v>
      </c>
      <c r="F23" s="1622">
        <v>21</v>
      </c>
      <c r="G23" s="3315" t="s">
        <v>1638</v>
      </c>
      <c r="H23" s="3315"/>
      <c r="I23" s="361" t="s">
        <v>15</v>
      </c>
      <c r="J23" s="3452"/>
      <c r="K23" s="3453"/>
      <c r="L23" s="1834" t="s">
        <v>1654</v>
      </c>
      <c r="M23" s="1835" t="str">
        <f ca="1">IFERROR(+V28,"")</f>
        <v/>
      </c>
      <c r="N23" s="1477"/>
      <c r="O23" s="3277"/>
      <c r="P23" s="3278"/>
      <c r="Q23" s="3279"/>
      <c r="R23" s="1467">
        <f t="shared" si="1"/>
        <v>23</v>
      </c>
      <c r="U23" s="66" t="s">
        <v>1666</v>
      </c>
      <c r="V23" s="1752" t="e">
        <f>65+VLOOKUP(YEAR(I5),Renteneintrittstabelle,2)/12</f>
        <v>#VALUE!</v>
      </c>
      <c r="W23" s="66"/>
      <c r="X23" s="66"/>
      <c r="Y23" s="66"/>
      <c r="Z23" s="66"/>
      <c r="AA23" s="66"/>
      <c r="AB23" s="66"/>
      <c r="AC23" s="66"/>
    </row>
    <row r="24" spans="1:36" s="128" customFormat="1" ht="16.350000000000001" hidden="1" customHeight="1">
      <c r="A24" s="1467">
        <f t="shared" si="0"/>
        <v>24</v>
      </c>
      <c r="B24" s="1714" t="s">
        <v>1637</v>
      </c>
      <c r="C24" s="3315" t="s">
        <v>1642</v>
      </c>
      <c r="D24" s="3315"/>
      <c r="E24" s="1664" t="s">
        <v>1639</v>
      </c>
      <c r="F24" s="1622">
        <v>29</v>
      </c>
      <c r="G24" s="3315" t="s">
        <v>1638</v>
      </c>
      <c r="H24" s="3315"/>
      <c r="I24" s="361" t="s">
        <v>1640</v>
      </c>
      <c r="J24" s="3452"/>
      <c r="K24" s="3453"/>
      <c r="L24" s="1834" t="s">
        <v>1655</v>
      </c>
      <c r="M24" s="1835" t="str">
        <f ca="1">IFERROR(+V29,"")</f>
        <v/>
      </c>
      <c r="N24" s="968"/>
      <c r="O24" s="3277"/>
      <c r="P24" s="3278"/>
      <c r="Q24" s="3279"/>
      <c r="R24" s="1467">
        <f t="shared" si="1"/>
        <v>24</v>
      </c>
      <c r="U24" s="3448" t="s">
        <v>1671</v>
      </c>
      <c r="V24" s="3449"/>
      <c r="X24" s="3475" t="s">
        <v>1716</v>
      </c>
      <c r="Y24" s="3475"/>
    </row>
    <row r="25" spans="1:36" s="128" customFormat="1" ht="21.75" customHeight="1" thickBot="1">
      <c r="A25" s="1467">
        <f t="shared" si="0"/>
        <v>25</v>
      </c>
      <c r="B25" s="3495" t="s">
        <v>1632</v>
      </c>
      <c r="C25" s="3496"/>
      <c r="D25" s="3496"/>
      <c r="E25" s="3496"/>
      <c r="F25" s="3496"/>
      <c r="G25" s="3496"/>
      <c r="H25" s="3496"/>
      <c r="I25" s="3496"/>
      <c r="J25" s="3433"/>
      <c r="K25" s="3434"/>
      <c r="L25" s="1836" t="s">
        <v>1649</v>
      </c>
      <c r="M25" s="1837">
        <f ca="1">IFERROR(ROUND(SUM(M22:M24),3),"")</f>
        <v>0</v>
      </c>
      <c r="N25" s="968"/>
      <c r="O25" s="3280"/>
      <c r="P25" s="3281"/>
      <c r="Q25" s="3282"/>
      <c r="R25" s="1467">
        <f t="shared" si="1"/>
        <v>25</v>
      </c>
      <c r="V25" s="128" t="s">
        <v>1674</v>
      </c>
      <c r="W25" s="139" t="s">
        <v>318</v>
      </c>
      <c r="X25" s="66" t="s">
        <v>171</v>
      </c>
      <c r="Y25" s="66" t="s">
        <v>1717</v>
      </c>
      <c r="Z25" s="139"/>
      <c r="AA25" s="139"/>
      <c r="AB25" s="139"/>
      <c r="AC25" s="139"/>
      <c r="AD25" s="139"/>
      <c r="AE25" s="139"/>
    </row>
    <row r="26" spans="1:36" s="128" customFormat="1" ht="26.1" customHeight="1" thickTop="1" thickBot="1">
      <c r="A26" s="1467">
        <f t="shared" si="0"/>
        <v>26</v>
      </c>
      <c r="B26" s="3479" t="str">
        <f ca="1">"Abfindungsbetrag (BW):"&amp;IF(J26&lt;&gt;"","(1) "&amp;TEXT(J19,"#.##0,00")&amp;" x 12 x "&amp;TEXT(J25,"0,000"),"")&amp;"   "&amp;IF(L26&gt;0,"(2) "&amp;TEXT(J19,"#.##0,00")&amp;" x 12 x "&amp;TEXT(M25,"0,000"),"")&amp;": "</f>
        <v xml:space="preserve">Abfindungsbetrag (BW):   (2)  x 12 x 0,000: </v>
      </c>
      <c r="C26" s="3480"/>
      <c r="D26" s="3480"/>
      <c r="E26" s="3480"/>
      <c r="F26" s="3480"/>
      <c r="G26" s="3480"/>
      <c r="H26" s="3480"/>
      <c r="I26" s="3481"/>
      <c r="J26" s="3450" t="str">
        <f ca="1">IFERROR(ROUND(+J25*J19*12,0),"")</f>
        <v/>
      </c>
      <c r="K26" s="3451"/>
      <c r="L26" s="3457" t="str">
        <f ca="1">IFERROR(ROUND(SUM(V26:V29)*J19*12,0),"")</f>
        <v/>
      </c>
      <c r="M26" s="3458"/>
      <c r="N26" s="1478"/>
      <c r="O26" s="3404" t="s">
        <v>1772</v>
      </c>
      <c r="P26" s="3405"/>
      <c r="Q26" s="3406"/>
      <c r="R26" s="1467">
        <f t="shared" si="1"/>
        <v>26</v>
      </c>
      <c r="U26" s="66" t="s">
        <v>1646</v>
      </c>
      <c r="V26" s="1756" t="e">
        <f ca="1">ROUND(Y36/(J19*12)*AD36,3)</f>
        <v>#VALUE!</v>
      </c>
      <c r="W26" s="139"/>
      <c r="X26" s="1103" t="str">
        <f ca="1">IF(J28&gt;0,J28,J26)</f>
        <v/>
      </c>
      <c r="Y26" s="1103" t="str">
        <f ca="1">IF(L28&gt;0,L28,L26)</f>
        <v/>
      </c>
      <c r="Z26" s="139"/>
      <c r="AA26" s="139"/>
      <c r="AB26" s="3446" t="e">
        <f ca="1">-PV(J15-2.6%,V37,L36*12)</f>
        <v>#VALUE!</v>
      </c>
      <c r="AC26" s="3447"/>
      <c r="AD26" s="139"/>
      <c r="AE26" s="139"/>
    </row>
    <row r="27" spans="1:36" s="128" customFormat="1" ht="16.350000000000001" customHeight="1" thickTop="1" thickBot="1">
      <c r="A27" s="1467">
        <f t="shared" si="0"/>
        <v>27</v>
      </c>
      <c r="B27" s="3290" t="str">
        <f ca="1">IFERROR("∑ erwartbarer Renten  in Quellversrg. über "&amp;TEXT(V36,"0,00")&amp;"Jahre:"&amp;U4&amp;" "&amp;TEXT(ROUND(V31,0),"#.##0")&amp;" oder pro Monat:"&amp;TEXT(S27/V36/12,"#.##0,00 €"),"")</f>
        <v/>
      </c>
      <c r="C27" s="3291"/>
      <c r="D27" s="3291"/>
      <c r="E27" s="3291"/>
      <c r="F27" s="3291"/>
      <c r="G27" s="3291"/>
      <c r="H27" s="3291"/>
      <c r="I27" s="3291"/>
      <c r="J27" s="3291"/>
      <c r="K27" s="3291"/>
      <c r="L27" s="3291"/>
      <c r="M27" s="3292"/>
      <c r="N27" s="1478"/>
      <c r="O27" s="3407"/>
      <c r="P27" s="3408"/>
      <c r="Q27" s="3409"/>
      <c r="R27" s="1467">
        <f t="shared" si="1"/>
        <v>27</v>
      </c>
      <c r="S27" s="3459" t="str">
        <f ca="1">IFERROR(ROUND(V31,0),"")</f>
        <v/>
      </c>
      <c r="T27" s="3460"/>
      <c r="U27" s="66"/>
      <c r="V27" s="1756"/>
      <c r="W27" s="139"/>
      <c r="X27" s="139"/>
      <c r="Y27" s="139"/>
      <c r="Z27" s="139"/>
      <c r="AA27" s="139"/>
      <c r="AB27" s="1757"/>
      <c r="AC27" s="139"/>
      <c r="AD27" s="139"/>
      <c r="AE27" s="139"/>
    </row>
    <row r="28" spans="1:36" s="128" customFormat="1" ht="21" customHeight="1" thickTop="1" thickBot="1">
      <c r="A28" s="1467">
        <f t="shared" si="0"/>
        <v>28</v>
      </c>
      <c r="B28" s="3435" t="s">
        <v>1767</v>
      </c>
      <c r="C28" s="3436"/>
      <c r="D28" s="3436"/>
      <c r="E28" s="3298"/>
      <c r="F28" s="3298"/>
      <c r="G28" s="3156" t="s">
        <v>1786</v>
      </c>
      <c r="H28" s="3156"/>
      <c r="I28" s="3299"/>
      <c r="J28" s="3461"/>
      <c r="K28" s="3462"/>
      <c r="L28" s="3462"/>
      <c r="M28" s="3463"/>
      <c r="N28" s="968"/>
      <c r="O28" s="3293" t="str">
        <f>"ehezeitl. Barwert der Versorgung im EzE bei Rechnungszins "&amp;TEXT(V14,"0,00%")&amp;":"</f>
        <v>ehezeitl. Barwert der Versorgung im EzE bei Rechnungszins 6,00%:</v>
      </c>
      <c r="P28" s="3294"/>
      <c r="Q28" s="1838" t="str">
        <f ca="1">IFERROR(AE43,"")</f>
        <v/>
      </c>
      <c r="R28" s="1467">
        <f t="shared" si="1"/>
        <v>28</v>
      </c>
      <c r="U28" s="66" t="s">
        <v>280</v>
      </c>
      <c r="V28" s="1756" t="e">
        <f ca="1">ROUND(V26*Z36,3)</f>
        <v>#VALUE!</v>
      </c>
      <c r="X28" s="128" t="s">
        <v>1712</v>
      </c>
    </row>
    <row r="29" spans="1:36" s="128" customFormat="1" ht="16.350000000000001" customHeight="1">
      <c r="A29" s="1467">
        <f t="shared" si="0"/>
        <v>29</v>
      </c>
      <c r="B29" s="1623" t="s">
        <v>1711</v>
      </c>
      <c r="C29" s="1643">
        <v>2.5999999999999999E-2</v>
      </c>
      <c r="D29" s="3478" t="s">
        <v>1681</v>
      </c>
      <c r="E29" s="3478"/>
      <c r="F29" s="3478"/>
      <c r="G29" s="1643">
        <v>2.5999999999999999E-2</v>
      </c>
      <c r="H29" s="3478" t="s">
        <v>1685</v>
      </c>
      <c r="I29" s="3478"/>
      <c r="J29" s="3437"/>
      <c r="K29" s="3437"/>
      <c r="L29" s="3437"/>
      <c r="M29" s="3438"/>
      <c r="N29" s="968"/>
      <c r="O29" s="3293" t="str">
        <f>"mit "&amp;TEXT(V14,"0,00%")&amp;" aufgezinster ehezeitlicher Barwert zum "&amp;TEXT(J14,"TT.MM.JJJ")&amp;": "</f>
        <v xml:space="preserve">mit 6,00% aufgezinster ehezeitlicher Barwert zum 00.01.1900: </v>
      </c>
      <c r="P29" s="3294"/>
      <c r="Q29" s="1838" t="str">
        <f ca="1">IFERROR(ROUND(+AI43/AH43,0),"")</f>
        <v/>
      </c>
      <c r="R29" s="1467">
        <f t="shared" si="1"/>
        <v>29</v>
      </c>
      <c r="U29" s="1416" t="s">
        <v>279</v>
      </c>
      <c r="V29" s="1758" t="e">
        <f ca="1">ROUND(V26*AA36,3)</f>
        <v>#VALUE!</v>
      </c>
      <c r="X29" s="1709"/>
      <c r="AC29" s="128">
        <f>20.36*12*500</f>
        <v>122160</v>
      </c>
    </row>
    <row r="30" spans="1:36" s="128" customFormat="1" ht="16.350000000000001" customHeight="1">
      <c r="A30" s="1467">
        <f t="shared" si="0"/>
        <v>30</v>
      </c>
      <c r="B30" s="1633" t="s">
        <v>1682</v>
      </c>
      <c r="C30" s="1624">
        <v>1</v>
      </c>
      <c r="D30" s="3491" t="s">
        <v>1684</v>
      </c>
      <c r="E30" s="3491"/>
      <c r="F30" s="3491"/>
      <c r="G30" s="1625">
        <v>0.55000000000000004</v>
      </c>
      <c r="H30" s="2979" t="s">
        <v>1683</v>
      </c>
      <c r="I30" s="2979"/>
      <c r="J30" s="3492" t="str">
        <f>IFERROR(VLOOKUP(J14,UmrechnungEP_Kap,2),"")</f>
        <v/>
      </c>
      <c r="K30" s="3492"/>
      <c r="L30" s="1634" t="s">
        <v>1708</v>
      </c>
      <c r="M30" s="1635" t="str">
        <f>IFERROR(VLOOKUP(J14,aktRW,2),"")</f>
        <v/>
      </c>
      <c r="N30" s="968"/>
      <c r="O30" s="3293" t="s">
        <v>1768</v>
      </c>
      <c r="P30" s="3294"/>
      <c r="Q30" s="1839" t="str">
        <f>IFERROR(AH43,"")</f>
        <v/>
      </c>
      <c r="R30" s="1467">
        <f t="shared" si="1"/>
        <v>30</v>
      </c>
      <c r="U30" s="66"/>
      <c r="V30" s="66" t="s">
        <v>1713</v>
      </c>
      <c r="W30" s="66"/>
      <c r="X30" s="66" t="s">
        <v>1714</v>
      </c>
      <c r="Y30" s="66"/>
      <c r="Z30" s="128" t="s">
        <v>1715</v>
      </c>
      <c r="AA30" s="747" t="b">
        <v>0</v>
      </c>
    </row>
    <row r="31" spans="1:36" s="128" customFormat="1" ht="16.350000000000001" customHeight="1">
      <c r="A31" s="1467">
        <f t="shared" si="0"/>
        <v>31</v>
      </c>
      <c r="B31" s="3338" t="str">
        <f ca="1">"Versorgungserwerb in DRVin Entgeltpunkten(EP): "&amp;IF(X26&lt;&gt;"","(1) "&amp;TEXT(X26,"#.##0,00 €"),"")&amp;IF(AND(X26&gt;0,Y26&gt;0)," bzw. ","")&amp;IF(Y26&lt;&gt;0,"(2) "&amp;TEXT(Y26,"#.00,00"),"")&amp;" / "&amp;TEXT(J30,"#.##0,00 €")</f>
        <v xml:space="preserve">Versorgungserwerb in DRVin Entgeltpunkten(EP):  bzw. (2)  / </v>
      </c>
      <c r="C31" s="2480"/>
      <c r="D31" s="2480"/>
      <c r="E31" s="2480"/>
      <c r="F31" s="2480"/>
      <c r="G31" s="2480"/>
      <c r="H31" s="2480"/>
      <c r="I31" s="2480"/>
      <c r="J31" s="3286" t="str">
        <f ca="1">IFERROR(ROUND(IF(J28&gt;0,J28,J26)/J30,4),"")</f>
        <v/>
      </c>
      <c r="K31" s="3287"/>
      <c r="L31" s="3288" t="str">
        <f ca="1">IFERROR(ROUND(IF(L28&gt;0,L28,L26)/J30,4),"")</f>
        <v/>
      </c>
      <c r="M31" s="3289"/>
      <c r="N31" s="968"/>
      <c r="O31" s="3441" t="s">
        <v>1770</v>
      </c>
      <c r="P31" s="1840" t="s">
        <v>1771</v>
      </c>
      <c r="Q31" s="1841" t="s">
        <v>1769</v>
      </c>
      <c r="R31" s="1467">
        <f t="shared" si="1"/>
        <v>31</v>
      </c>
      <c r="U31" s="66" t="s">
        <v>1697</v>
      </c>
      <c r="V31" s="1128" t="e">
        <f ca="1">IF(J13=0,J16*V36*(1+J12)^W36*12,(((1+J13)^V36-1)/J13)*J16*(1+J12)^W36*12)/IF(Abf_HRIR_Ja,(1+Z36+AA36),1)</f>
        <v>#VALUE!</v>
      </c>
      <c r="W31" s="1647" t="e">
        <f ca="1">+V32/V31-1</f>
        <v>#VALUE!</v>
      </c>
      <c r="X31" s="1128" t="e">
        <f ca="1">+V31</f>
        <v>#VALUE!</v>
      </c>
      <c r="Y31" s="1647" t="e">
        <f ca="1">+X32/X31-1</f>
        <v>#VALUE!</v>
      </c>
    </row>
    <row r="32" spans="1:36" s="128" customFormat="1" ht="16.350000000000001" customHeight="1">
      <c r="A32" s="1467">
        <f t="shared" si="0"/>
        <v>32</v>
      </c>
      <c r="B32" s="3422" t="str">
        <f ca="1">IF(ZVAusglBerAlternativ=2,"Geben Sie den in der ZV erwartbaren Versorgungserwerb zum "&amp;TEXT(J14,"TT.MM.JJJJ")&amp;" ein:","Rentenerwerb im Berechnungszeitpunkt: "&amp;IF(J31&lt;&gt;"","(1) "&amp;TEXT(J31,"0,0000")&amp;"EP x "&amp;TEXT(M30,"0,00 €"),"")&amp;IF(L31&gt;0," // (2) "&amp;TEXT(L31,"0,0000")&amp;"EP x "&amp;TEXT(M30,"0,00 €"),""))</f>
        <v xml:space="preserve">Rentenerwerb im Berechnungszeitpunkt:  // (2) EP x </v>
      </c>
      <c r="C32" s="3423"/>
      <c r="D32" s="3423"/>
      <c r="E32" s="3423"/>
      <c r="F32" s="3423"/>
      <c r="G32" s="3423"/>
      <c r="H32" s="3424"/>
      <c r="I32" s="1621"/>
      <c r="J32" s="3420" t="str">
        <f ca="1">IFERROR(ROUND(IF(I32&gt;0,I32,+M30*J31),2),"")</f>
        <v/>
      </c>
      <c r="K32" s="3421"/>
      <c r="L32" s="3410" t="str">
        <f ca="1">IFERROR(ROUND(IF(I32&gt;0,I32,IF(L28&gt;0,L28/J30*M30,M30*L31)),2),"")</f>
        <v/>
      </c>
      <c r="M32" s="3411"/>
      <c r="N32" s="968"/>
      <c r="O32" s="3442"/>
      <c r="P32" s="1842"/>
      <c r="Q32" s="1843" t="str">
        <f ca="1">IFERROR(IF(P32&gt;0,P32,AI43),"")</f>
        <v/>
      </c>
      <c r="R32" s="1467">
        <f t="shared" si="1"/>
        <v>32</v>
      </c>
      <c r="U32" s="66" t="s">
        <v>1709</v>
      </c>
      <c r="V32" s="1128" t="e">
        <f ca="1">(((1+IF(Abf_VollDyn&gt;0,Abf_VollDyn,G29))^V37-1)/IF(Abf_VollDyn&gt;0,Abf_VollDyn,G29)*L36*(1+IF(Abf_VollDyn&gt;0,Abf_VollDyn,Abf_AwDyn))^W37*12)/IF(Abf_HRIR_Ja,(1+Z37+AA37),1)</f>
        <v>#VALUE!</v>
      </c>
      <c r="W32" s="1647"/>
      <c r="X32" s="1128" t="e">
        <f ca="1">(((1+IF(Abf_VollDyn&gt;0,Abf_VollDyn,G29))^V37-1)/IF(Abf_VollDyn&gt;0,Abf_VollDyn,G29))*J36*(1+IF(Abf_VollDyn&gt;0,Abf_VollDyn,Abf_AwDyn))^W37*12</f>
        <v>#VALUE!</v>
      </c>
      <c r="Y32" s="1647"/>
    </row>
    <row r="33" spans="1:38" s="128" customFormat="1" ht="16.350000000000001" customHeight="1">
      <c r="A33" s="1467">
        <f t="shared" si="0"/>
        <v>33</v>
      </c>
      <c r="B33" s="3338" t="s">
        <v>1718</v>
      </c>
      <c r="C33" s="2480"/>
      <c r="D33" s="2480"/>
      <c r="E33" s="2480"/>
      <c r="F33" s="2480"/>
      <c r="G33" s="2480"/>
      <c r="H33" s="2480"/>
      <c r="I33" s="1626"/>
      <c r="J33" s="3429" t="str">
        <f>IFERROR(ROUND(IF(I33&gt;0,I33,V23),2),"")</f>
        <v/>
      </c>
      <c r="K33" s="3430"/>
      <c r="L33" s="3418" t="str">
        <f>+J33</f>
        <v/>
      </c>
      <c r="M33" s="3419"/>
      <c r="N33" s="968"/>
      <c r="O33" s="3293" t="str">
        <f ca="1">"Versorgungserwerb aus Abfindung: "&amp;TEXT(Q32,"#.##0,00")&amp;" / "&amp;TEXT(J30,"#.##0,0000")&amp;":"</f>
        <v>Versorgungserwerb aus Abfindung:  / :</v>
      </c>
      <c r="P33" s="3294"/>
      <c r="Q33" s="1844" t="str">
        <f ca="1">IFERROR(AJ43,"")</f>
        <v/>
      </c>
      <c r="R33" s="1467">
        <f t="shared" si="1"/>
        <v>33</v>
      </c>
      <c r="U33" s="128" t="s">
        <v>1696</v>
      </c>
      <c r="V33" s="747">
        <v>1</v>
      </c>
      <c r="W33" s="1474"/>
      <c r="Z33" s="1605"/>
    </row>
    <row r="34" spans="1:38" s="128" customFormat="1" ht="16.350000000000001" customHeight="1">
      <c r="A34" s="1467">
        <f t="shared" si="0"/>
        <v>34</v>
      </c>
      <c r="B34" s="3338" t="str">
        <f>"./. Kranken- und Pflegeversicherung in %: "&amp;TEXT(I34,"0,00%")</f>
        <v>./. Kranken- und Pflegeversicherung in %: 0,00%</v>
      </c>
      <c r="C34" s="2480"/>
      <c r="D34" s="2480"/>
      <c r="E34" s="2480"/>
      <c r="F34" s="2480"/>
      <c r="G34" s="2480"/>
      <c r="H34" s="2480"/>
      <c r="I34" s="426"/>
      <c r="J34" s="3420" t="str">
        <f ca="1">IFERROR(-I34*J32,"")</f>
        <v/>
      </c>
      <c r="K34" s="3421"/>
      <c r="L34" s="3410" t="str">
        <f ca="1">IFERROR(-I34*L32,"")</f>
        <v/>
      </c>
      <c r="M34" s="3411"/>
      <c r="N34" s="968"/>
      <c r="O34" s="3293" t="str">
        <f ca="1">"Rentenerwerb aus Abfindung in Zielversorgung: "&amp;TEXT(Q33,"0,0000")&amp;" x "&amp;TEXT(M30,"0,00")&amp;":"</f>
        <v>Rentenerwerb aus Abfindung in Zielversorgung:  x :</v>
      </c>
      <c r="P34" s="3294"/>
      <c r="Q34" s="1845" t="str">
        <f ca="1">IFERROR(AK43,"")</f>
        <v/>
      </c>
      <c r="R34" s="1467">
        <f t="shared" si="1"/>
        <v>34</v>
      </c>
    </row>
    <row r="35" spans="1:38" s="128" customFormat="1" ht="16.350000000000001" customHeight="1">
      <c r="A35" s="1467">
        <f t="shared" si="0"/>
        <v>35</v>
      </c>
      <c r="B35" s="3338" t="str">
        <f>"./. Steuern pauschal in %: "&amp;TEXT(I35,"0,00%")</f>
        <v>./. Steuern pauschal in %: 0,00%</v>
      </c>
      <c r="C35" s="2480"/>
      <c r="D35" s="2480"/>
      <c r="E35" s="2480"/>
      <c r="F35" s="2480"/>
      <c r="G35" s="2480"/>
      <c r="H35" s="2480"/>
      <c r="I35" s="1121"/>
      <c r="J35" s="3420" t="str">
        <f ca="1">IFERROR(-I35*J32,"")</f>
        <v/>
      </c>
      <c r="K35" s="3421"/>
      <c r="L35" s="3410" t="str">
        <f ca="1">IFERROR(-I35*L32,"")</f>
        <v/>
      </c>
      <c r="M35" s="3411"/>
      <c r="N35" s="968"/>
      <c r="O35" s="3425" t="str">
        <f>"Barwert des Rentenerwerbs in Zielversorgung bei ReZins "&amp;TEXT(J15,"0,00%")&amp;":"</f>
        <v>Barwert des Rentenerwerbs in Zielversorgung bei ReZins 0,00%:</v>
      </c>
      <c r="P35" s="3426"/>
      <c r="Q35" s="1846" t="str">
        <f ca="1">IFERROR(L41*Q34/L32,"")</f>
        <v/>
      </c>
      <c r="R35" s="1467">
        <f t="shared" si="1"/>
        <v>35</v>
      </c>
      <c r="U35" s="66"/>
      <c r="V35" s="1103" t="s">
        <v>256</v>
      </c>
      <c r="W35" s="1103" t="s">
        <v>1633</v>
      </c>
      <c r="X35" s="1103" t="s">
        <v>1463</v>
      </c>
      <c r="Y35" s="1103" t="s">
        <v>1754</v>
      </c>
      <c r="Z35" s="1103" t="s">
        <v>280</v>
      </c>
      <c r="AA35" s="1103" t="s">
        <v>279</v>
      </c>
      <c r="AB35" s="1103" t="s">
        <v>1634</v>
      </c>
      <c r="AC35" s="1103" t="s">
        <v>1635</v>
      </c>
      <c r="AD35" s="1103" t="s">
        <v>1361</v>
      </c>
      <c r="AE35" s="1103" t="s">
        <v>1636</v>
      </c>
    </row>
    <row r="36" spans="1:38" s="128" customFormat="1" ht="16.350000000000001" customHeight="1" thickBot="1">
      <c r="A36" s="1467">
        <f t="shared" si="0"/>
        <v>36</v>
      </c>
      <c r="B36" s="3476" t="s">
        <v>1631</v>
      </c>
      <c r="C36" s="3477"/>
      <c r="D36" s="3477"/>
      <c r="E36" s="3477"/>
      <c r="F36" s="3477"/>
      <c r="G36" s="3477"/>
      <c r="H36" s="3477"/>
      <c r="I36" s="3477"/>
      <c r="J36" s="3420" t="str">
        <f ca="1">IFERROR(ROUND(+J35+J34+J32,2),"")</f>
        <v/>
      </c>
      <c r="K36" s="3421"/>
      <c r="L36" s="3410" t="str">
        <f ca="1">IFERROR(ROUND(L35+L34+L32,2),"")</f>
        <v/>
      </c>
      <c r="M36" s="3411"/>
      <c r="N36" s="968"/>
      <c r="O36" s="3427" t="str">
        <f>IF(P32&gt;0,"","Zur Erreichung der Barwertgleiche mit der Quellversorgung zu zahlende Abfindung:")</f>
        <v>Zur Erreichung der Barwertgleiche mit der Quellversorgung zu zahlende Abfindung:</v>
      </c>
      <c r="P36" s="3428"/>
      <c r="Q36" s="1847" t="str">
        <f ca="1">IFERROR(IF(P32&gt;0,"",Q32*L26/Q35),"")</f>
        <v/>
      </c>
      <c r="R36" s="1467">
        <f t="shared" si="1"/>
        <v>36</v>
      </c>
      <c r="U36" s="66" t="s">
        <v>1675</v>
      </c>
      <c r="V36" s="1752" t="e">
        <f>ROUND(VLOOKUP(ROUND(IF(V15&gt;V21,V15,V21),0),CHOOSE(Y10,Lebenserwartung_M_V2,Lebenserwartung_F_V2,Lebenserwartung_N_V2),YEAR(I5)+IF(MONTH(I5)&gt;6,1,0)-1900+2),2)</f>
        <v>#VALUE!</v>
      </c>
      <c r="W36" s="1752" t="e">
        <f>ROUND(IF(V21&gt;V15,V21-V15,0),2)</f>
        <v>#VALUE!</v>
      </c>
      <c r="X36" s="1752" t="e">
        <f ca="1">-PV(J15-J13,V36,J19*(1+J12)^W36*12)</f>
        <v>#VALUE!</v>
      </c>
      <c r="Y36" s="1752" t="e">
        <f ca="1">-PV(J15,W36,,X36)</f>
        <v>#VALUE!</v>
      </c>
      <c r="Z36" s="613" t="e">
        <f>ROUND(VLOOKUP(V15,CHOOSE(68-IF(V21&lt;60,60,IF(V21&gt;67,67,V21)),HRIR67,HRIR66,HRIR,HRIR64,HRIR63,HRIR62,HRIR61,HRIR60),CHOOSE(Y10,7,16,25)),4)*J10</f>
        <v>#VALUE!</v>
      </c>
      <c r="AA36" s="1659" t="e">
        <f>ROUND(VLOOKUP(V15,CHOOSE(68-IF(V21&lt;60,60,IF(V21&gt;67,67,V21)),HRIR67,HRIR66,HRIR,HRIR64,HRIR63,HRIR62,HRIR61,HRIR60),CHOOSE(Y10,8,17,26)),4)*J11</f>
        <v>#VALUE!</v>
      </c>
      <c r="AB36" s="1752">
        <f>IFERROR(VLOOKUP(ROUND(V15,0),CHOOSE(Y10,G_Kohorte_M,G_Kohorte_F,G_Kohorte_N),YEAR(I5)+IF(MONTH(I5)&gt;6,1,0)-1900+2),0)</f>
        <v>0</v>
      </c>
      <c r="AC36" s="1752">
        <f>IFERROR(VLOOKUP(ROUND(V21,0),CHOOSE(Y10,G_Kohorte_M,G_Kohorte_F,G_Kohorte_N),YEAR(I5)+IF(MONTH(I5)&gt;6,1,0)-1900+2),0)</f>
        <v>0</v>
      </c>
      <c r="AD36" s="1658" t="e">
        <f>ROUND(IF(+AC36/AB36&gt;1,1,+AC36/AB36),3)</f>
        <v>#DIV/0!</v>
      </c>
      <c r="AE36" s="1752" t="e">
        <f ca="1">ROUND(+Y36*(1+AA36+Z36)*AD36,0)</f>
        <v>#VALUE!</v>
      </c>
    </row>
    <row r="37" spans="1:38" s="128" customFormat="1" ht="16.350000000000001" customHeight="1" thickTop="1">
      <c r="A37" s="1467">
        <f t="shared" si="0"/>
        <v>37</v>
      </c>
      <c r="B37" s="3338" t="s">
        <v>1651</v>
      </c>
      <c r="C37" s="2480"/>
      <c r="D37" s="2480"/>
      <c r="E37" s="2480"/>
      <c r="F37" s="2480"/>
      <c r="G37" s="2480"/>
      <c r="H37" s="2480"/>
      <c r="I37" s="2480"/>
      <c r="J37" s="3336"/>
      <c r="K37" s="3337"/>
      <c r="L37" s="3412" t="str">
        <f ca="1">IFERROR(IF(ABS(V46)&gt;10%,"Abweichung d. Ertrags in der DRV &gt;10%. Anpassung des AusglW möglich (BvL 5/18)",IF(AND(ABS(V46)&gt;5%,ABS(V46)&lt;=10%),"Abweichung d. Rentenertrags in DRV kritisch!","")),"")</f>
        <v/>
      </c>
      <c r="M37" s="3413"/>
      <c r="N37" s="968"/>
      <c r="O37" s="3431" t="str">
        <f>IFERROR(Summenzeichen&amp;" der erwartbaren  Rentenzahlungen über "&amp;TEXT(V37,"0,00")&amp;" Jahre: ","")</f>
        <v/>
      </c>
      <c r="P37" s="3432"/>
      <c r="Q37" s="1848" t="str">
        <f ca="1">IFERROR(ROUND((((1+IF(Abf_VollDyn&gt;0,Abf_VollDyn,G29))^V37-1)/IF(Abf_VollDyn&gt;0,Abf_VollDyn,G29))*Q34*(1+IF(Abf_VollDyn&gt;0,Abf_VollDyn,Abf_AwDyn))^W37*12/IF(Abf_HRIR_Ja,(1+Z37+AA37),1),0),"")</f>
        <v/>
      </c>
      <c r="R37" s="1467">
        <f t="shared" si="1"/>
        <v>37</v>
      </c>
      <c r="U37" s="66" t="s">
        <v>1665</v>
      </c>
      <c r="V37" s="1752" t="e">
        <f>VLOOKUP(IF(J33&gt;V15,J33,V15),CHOOSE(Y10,Lebenserwartung_M_V2,Lebenserwartung_F_V2,Lebenserwartung_N_V2),YEAR(I5)+IF(MONTH(I5)&gt;6,1,0)-1900+2)</f>
        <v>#VALUE!</v>
      </c>
      <c r="W37" s="1752">
        <f>ROUND(IF(J33&gt;V15,J33-V15,0),2)</f>
        <v>0</v>
      </c>
      <c r="X37" s="1752" t="e">
        <f ca="1">+-PV(J15-IF(J29&gt;0,J29,G29),V37,L36*(1+IF(J29&gt;0,J29,C29))^W37*12)</f>
        <v>#VALUE!</v>
      </c>
      <c r="Y37" s="1752" t="e">
        <f ca="1">-PV(J15,W37,,X37)</f>
        <v>#VALUE!</v>
      </c>
      <c r="Z37" s="613" t="e">
        <f>ROUND(VLOOKUP(V15,CHOOSE(IF(68-L33&lt;1,1,68-IF(L33&lt;60,60,L33)),HRIR67,HRIR66,HRIR,HRIR64,HRIR63,HRIR62,HRIR61,HRIR60),CHOOSE(Y10,7,16,25))*C30,4)</f>
        <v>#VALUE!</v>
      </c>
      <c r="AA37" s="1659">
        <f>IFERROR(ROUND(VLOOKUP(V15,CHOOSE(IF(68-V21&lt;1,1,68-L33),HRIR67,HRIR66,HRIR,HRIR64,HRIR63,HRIR62,HRIR61,HRIR60),CHOOSE(Y10,8,17,26)),4)*G30,0)</f>
        <v>0</v>
      </c>
      <c r="AB37" s="1752">
        <f>+AB36</f>
        <v>0</v>
      </c>
      <c r="AC37" s="1752">
        <f>IFERROR(VLOOKUP(ROUND(V23,0),CHOOSE(Y10,G_Kohorte_M,G_Kohorte_F,G_Kohorte_N),YEAR(I5)+IF(MONTH(I5)&gt;6,1,0)-1900+2),0)</f>
        <v>0</v>
      </c>
      <c r="AD37" s="1756" t="e">
        <f>ROUND(IF(+AC37/AB37&gt;1,1,+AC37/AB37),3)</f>
        <v>#DIV/0!</v>
      </c>
      <c r="AE37" s="1752" t="e">
        <f ca="1">ROUND(Y37*(1+AA37+Z37)*AD37,0)</f>
        <v>#VALUE!</v>
      </c>
      <c r="AF37" s="1710"/>
      <c r="AH37" s="128" t="e">
        <f>20383*1.06^AF43</f>
        <v>#VALUE!</v>
      </c>
    </row>
    <row r="38" spans="1:38" s="128" customFormat="1" ht="16.350000000000001" customHeight="1" thickBot="1">
      <c r="A38" s="1467">
        <f t="shared" si="0"/>
        <v>38</v>
      </c>
      <c r="B38" s="3338" t="s">
        <v>1650</v>
      </c>
      <c r="C38" s="2480"/>
      <c r="D38" s="2480"/>
      <c r="E38" s="2480"/>
      <c r="F38" s="2480"/>
      <c r="G38" s="2480"/>
      <c r="H38" s="2480"/>
      <c r="I38" s="2480"/>
      <c r="J38" s="3336"/>
      <c r="K38" s="3337"/>
      <c r="L38" s="3414"/>
      <c r="M38" s="3415"/>
      <c r="N38" s="968"/>
      <c r="O38" s="3360" t="s">
        <v>1779</v>
      </c>
      <c r="P38" s="3361"/>
      <c r="Q38" s="1849" t="str">
        <f ca="1">+L44</f>
        <v/>
      </c>
      <c r="R38" s="1467">
        <f t="shared" si="1"/>
        <v>38</v>
      </c>
      <c r="U38" s="1128" t="s">
        <v>1695</v>
      </c>
      <c r="V38" s="1752"/>
      <c r="W38" s="1752" t="e">
        <f ca="1">-FV(J15-IF(J29&gt;0,J29,Abf_AwDyn),W37,,-PMT(J15-IF(J29&gt;0,J29,G29),V37,L26)/12)/AD37/(1+Z37+AA37)</f>
        <v>#VALUE!</v>
      </c>
      <c r="X38" s="1752" t="e">
        <f ca="1">+-PV(J15-IF(Abf_VollDyn&gt;0,Abf_VollDyn,G29),V37,L36*(1+IF(Abf_VollDyn&gt;0,Abf_VollDyn,C29))^W37*12)</f>
        <v>#VALUE!</v>
      </c>
      <c r="Y38" s="1752" t="e">
        <f ca="1">-PV(J15,W37,,X38)</f>
        <v>#VALUE!</v>
      </c>
      <c r="Z38" s="613" t="e">
        <f>+Z37</f>
        <v>#VALUE!</v>
      </c>
      <c r="AA38" s="1659">
        <f>+AA37</f>
        <v>0</v>
      </c>
      <c r="AB38" s="1752"/>
      <c r="AC38" s="1752"/>
      <c r="AD38" s="1756" t="e">
        <f>+AD37</f>
        <v>#DIV/0!</v>
      </c>
      <c r="AE38" s="1752" t="e">
        <f ca="1">ROUND(+Y38*(1+AA38+Z38)*AD38,0)</f>
        <v>#VALUE!</v>
      </c>
      <c r="AH38" s="128" t="e">
        <f>+AH37*AH43</f>
        <v>#VALUE!</v>
      </c>
    </row>
    <row r="39" spans="1:38" s="128" customFormat="1" ht="16.350000000000001" customHeight="1" thickTop="1">
      <c r="A39" s="1467">
        <f t="shared" si="0"/>
        <v>39</v>
      </c>
      <c r="B39" s="3338" t="s">
        <v>1652</v>
      </c>
      <c r="C39" s="2480"/>
      <c r="D39" s="2480"/>
      <c r="E39" s="2480"/>
      <c r="F39" s="2480"/>
      <c r="G39" s="2480"/>
      <c r="H39" s="2480"/>
      <c r="I39" s="2480"/>
      <c r="J39" s="3336"/>
      <c r="K39" s="3337"/>
      <c r="L39" s="3416"/>
      <c r="M39" s="3417"/>
      <c r="N39" s="968"/>
      <c r="O39" s="966"/>
      <c r="P39" s="966"/>
      <c r="Q39" s="966"/>
      <c r="R39" s="1467">
        <f t="shared" si="1"/>
        <v>39</v>
      </c>
      <c r="U39" s="1128" t="s">
        <v>1664</v>
      </c>
      <c r="V39" s="1752" t="e">
        <f>ROUND(VLOOKUP(ROUND(IF(Q6&gt;V22,Q6,V22),0),CHOOSE(Y11,Lebenserwartung_M_V2,Lebenserwartung_F_V2,Lebenserwartung_N_V2),YEAR(Q5)+IF(MONTH(Q5)&gt;6,1,0)-1900+2),2)</f>
        <v>#VALUE!</v>
      </c>
      <c r="W39" s="1752" t="e">
        <f>ROUND(IF(V22&gt;Q6,V22-Q6,0),2)</f>
        <v>#VALUE!</v>
      </c>
      <c r="X39" s="1752" t="e">
        <f ca="1">-PV(J15-IF(Abf_VollDyn=0,G29,Abf_VollDyn),Q11,Q12*12,)</f>
        <v>#VALUE!</v>
      </c>
      <c r="Y39" s="1752" t="e">
        <f ca="1">-PV(J15,W39,,X39)</f>
        <v>#VALUE!</v>
      </c>
      <c r="Z39" s="613" t="e">
        <f>ROUND(VLOOKUP(Q6,CHOOSE(IF(68-V22&lt;1,1,IF(68-V22&gt;8,8,68-V22)),HRIR67,HRIR66,HRIR,HRIR64,HRIR63,HRIR62,HRIR61,HRIR60),CHOOSE(Y11,7,16,25))*C30,4)</f>
        <v>#VALUE!</v>
      </c>
      <c r="AA39" s="1659" t="e">
        <f>ROUND(VLOOKUP(Q6,CHOOSE(IF(68-V22&lt;1,1,IF(68-V22&gt;8,8,68-V22)),HRIR67,HRIR66,HRIR,HRIR64,HRIR63,HRIR62,HRIR61,HRIR60),CHOOSE(Y11,8,17,26))*G30,4)</f>
        <v>#VALUE!</v>
      </c>
      <c r="AB39" s="1752">
        <f>IFERROR(VLOOKUP(ROUND(Q6,0),CHOOSE(Y11,G_Kohorte_M,G_Kohorte_F,G_Kohorte_N),YEAR(Q5)+IF(MONTH(Q5)&gt;6,1,0)-1900+2),0)</f>
        <v>0</v>
      </c>
      <c r="AC39" s="1752">
        <f>IFERROR(VLOOKUP(ROUND(V22,0),CHOOSE(Y11,G_Kohorte_M,G_Kohorte_F,G_Kohorte_N),YEAR(Q5)+IF(MONTH(Q5)&gt;6,1,0)-1900+2),0)</f>
        <v>0</v>
      </c>
      <c r="AD39" s="1752" t="e">
        <f>ROUND(IF(+AC39/AB39&gt;1,1,+AC39/AB39),3)</f>
        <v>#DIV/0!</v>
      </c>
      <c r="AE39" s="1752" t="e">
        <f ca="1">ROUND(Y39*(1+AA39+Z39)*AD39,0)</f>
        <v>#VALUE!</v>
      </c>
      <c r="AF39" s="1709" t="e">
        <f ca="1">(((1+IF(Abf_VollDyn&gt;0,Abf_VollDyn,G29))^V39-1)/IF(Abf_VollDyn&gt;0,Abf_VollDyn,G29))*Q7*(1+IF(Abf_VollDyn&gt;0,Abf_VollDyn,Abf_AwDyn))^W39*12</f>
        <v>#VALUE!</v>
      </c>
    </row>
    <row r="40" spans="1:38" s="128" customFormat="1" ht="16.350000000000001" customHeight="1" thickBot="1">
      <c r="A40" s="1467">
        <f t="shared" si="0"/>
        <v>40</v>
      </c>
      <c r="B40" s="3339" t="str">
        <f>+B25&amp;" bei Rechnungszins "&amp;TEXT(J15,"0,00%")</f>
        <v>∑ Barwertfaktoren bei Rechnungszins 0,00%</v>
      </c>
      <c r="C40" s="3340"/>
      <c r="D40" s="3340"/>
      <c r="E40" s="3340"/>
      <c r="F40" s="3340"/>
      <c r="G40" s="3340"/>
      <c r="H40" s="3340"/>
      <c r="I40" s="3340"/>
      <c r="J40" s="3341">
        <f>ROUND(IF(+J39+J37+J38&gt;0,+J39+J37+J38,0),3)</f>
        <v>0</v>
      </c>
      <c r="K40" s="3342"/>
      <c r="L40" s="3328" t="str">
        <f ca="1">IFERROR(ROUND(L41/(L32*12),3),"")</f>
        <v/>
      </c>
      <c r="M40" s="3329"/>
      <c r="N40" s="1502"/>
      <c r="O40" s="966"/>
      <c r="P40" s="966"/>
      <c r="Q40" s="966"/>
      <c r="R40" s="1467">
        <f t="shared" si="1"/>
        <v>40</v>
      </c>
    </row>
    <row r="41" spans="1:38" s="128" customFormat="1" ht="36" customHeight="1" thickTop="1" thickBot="1">
      <c r="A41" s="1467">
        <f t="shared" si="0"/>
        <v>41</v>
      </c>
      <c r="B41" s="3330" t="str">
        <f ca="1">"Versorgungsertrag (Barwert): "&amp;IF(J40&gt;0,"(1) "&amp;TEXT(J36,"#.##0,00")&amp;" x 12 x "&amp;TEXT(J40,"0,000")&amp;" ("&amp;U47&amp;")"&amp;CHAR(10),"")&amp;IF(L41&lt;&gt;"","(2) "&amp;TEXT(L36,"#.##0,00")&amp;" x 12 x "&amp;TEXT(L40,"0,000")&amp;" ("&amp;V47&amp;")","")</f>
        <v xml:space="preserve">Versorgungsertrag (Barwert): </v>
      </c>
      <c r="C41" s="3331"/>
      <c r="D41" s="3331"/>
      <c r="E41" s="3331"/>
      <c r="F41" s="3331"/>
      <c r="G41" s="3331"/>
      <c r="H41" s="3331"/>
      <c r="I41" s="3331"/>
      <c r="J41" s="3332" t="str">
        <f ca="1">IFERROR(+J40*J36*12,"")</f>
        <v/>
      </c>
      <c r="K41" s="3333"/>
      <c r="L41" s="3334" t="str">
        <f ca="1">IFERROR(ROUND(IF(ZVAusglBerAlternativ=1,AE37,AE38),0),"")</f>
        <v/>
      </c>
      <c r="M41" s="3335"/>
      <c r="N41" s="1594"/>
      <c r="O41" s="966"/>
      <c r="P41" s="966"/>
      <c r="Q41" s="966"/>
      <c r="R41" s="1637">
        <f t="shared" si="1"/>
        <v>41</v>
      </c>
      <c r="U41" s="138"/>
      <c r="V41" s="138"/>
      <c r="W41" s="138" t="s">
        <v>1755</v>
      </c>
      <c r="X41" s="138" t="s">
        <v>1463</v>
      </c>
      <c r="Y41" s="138" t="s">
        <v>1756</v>
      </c>
      <c r="Z41" s="138" t="s">
        <v>280</v>
      </c>
      <c r="AA41" s="138" t="s">
        <v>279</v>
      </c>
      <c r="AB41" s="138" t="s">
        <v>1757</v>
      </c>
      <c r="AC41" s="138" t="s">
        <v>1759</v>
      </c>
      <c r="AD41" s="138" t="s">
        <v>1760</v>
      </c>
      <c r="AE41" s="138" t="s">
        <v>1756</v>
      </c>
      <c r="AF41" s="138" t="s">
        <v>1758</v>
      </c>
      <c r="AG41" s="138" t="s">
        <v>1762</v>
      </c>
      <c r="AH41" s="138" t="s">
        <v>1760</v>
      </c>
      <c r="AI41" s="138" t="s">
        <v>1761</v>
      </c>
      <c r="AJ41" s="139" t="s">
        <v>1763</v>
      </c>
      <c r="AK41" s="139" t="s">
        <v>1764</v>
      </c>
      <c r="AL41" s="139"/>
    </row>
    <row r="42" spans="1:38" s="128" customFormat="1" ht="25.5" customHeight="1" thickTop="1" thickBot="1">
      <c r="A42" s="1467">
        <f t="shared" si="0"/>
        <v>42</v>
      </c>
      <c r="B42" s="3346" t="str">
        <f ca="1">IF(AND(J28&gt;0,L28&gt;0),"",IF(AND(J41="",J26=""),"",IF(J41&lt;J26,"Aufstockung","Reduktion")&amp;" des Abfindungsbetrags (1) zur Erreichung von Barwertgleiche  erwägen (Zeile 28): "&amp;TEXT(J26,"#.##0")&amp;" x "&amp;TEXT(J26,"#.##0")&amp;" / "&amp;TEXT(J41,"#.##0")))&amp;IF(L28&gt;0,"",CHAR(10)&amp;"bzw. "&amp;IF(L41&lt;L26,"Aufstockung","Reduktion")&amp;" des Abfindungsbetrag (2) zur Erreichung von Barwertgleiche erwägen (Zeile 28): "&amp;TEXT(L26,"#.##0")&amp;" x "&amp;TEXT(L26,"#.##0")&amp;" / "&amp;TEXT(L41,"#.##0"))</f>
        <v xml:space="preserve">
bzw. Reduktion des Abfindungsbetrag (2) zur Erreichung von Barwertgleiche erwägen (Zeile 28):  x  / </v>
      </c>
      <c r="C42" s="3347"/>
      <c r="D42" s="3347"/>
      <c r="E42" s="3347"/>
      <c r="F42" s="3347"/>
      <c r="G42" s="3347"/>
      <c r="H42" s="3347"/>
      <c r="I42" s="3347"/>
      <c r="J42" s="3343" t="str">
        <f ca="1">IFERROR(IF(J28&gt;0,"",IF(X26&gt;0,+X26*X26/J41,"")),"Eingaben prüfen!")</f>
        <v>Eingaben prüfen!</v>
      </c>
      <c r="K42" s="3343"/>
      <c r="L42" s="3344" t="str">
        <f ca="1">IFERROR(IF(L28&gt;0,"",IF(Y26&gt;0,Y26*Y26/L41,"")),"Eingaben Prüfen")</f>
        <v>Eingaben Prüfen</v>
      </c>
      <c r="M42" s="3345"/>
      <c r="N42" s="1594"/>
      <c r="O42" s="966"/>
      <c r="P42" s="966"/>
      <c r="Q42" s="966"/>
      <c r="R42" s="1637">
        <f t="shared" si="1"/>
        <v>42</v>
      </c>
      <c r="U42" s="138"/>
      <c r="V42" s="138"/>
      <c r="W42" s="138"/>
      <c r="X42" s="138"/>
      <c r="Y42" s="138"/>
      <c r="Z42" s="138"/>
      <c r="AA42" s="138"/>
      <c r="AB42" s="138"/>
      <c r="AC42" s="138"/>
      <c r="AD42" s="138"/>
      <c r="AE42" s="138"/>
      <c r="AF42" s="138"/>
      <c r="AG42" s="138"/>
      <c r="AH42" s="138"/>
      <c r="AI42" s="138"/>
      <c r="AJ42" s="139"/>
      <c r="AK42" s="139"/>
      <c r="AL42" s="139"/>
    </row>
    <row r="43" spans="1:38" s="128" customFormat="1" ht="16.350000000000001" customHeight="1" thickTop="1">
      <c r="A43" s="1467">
        <f t="shared" si="0"/>
        <v>43</v>
      </c>
      <c r="B43" s="3353" t="str">
        <f>IFERROR("∑ der über "&amp;TEXT(V37,"0,00")&amp;" Jahre erwartbaren Rentenbezüge der ausglpfl. Person in Zielversorgung (siehe Z. 27): ","")</f>
        <v/>
      </c>
      <c r="C43" s="3354"/>
      <c r="D43" s="3354"/>
      <c r="E43" s="3354"/>
      <c r="F43" s="3354"/>
      <c r="G43" s="3354"/>
      <c r="H43" s="3354"/>
      <c r="I43" s="3354"/>
      <c r="J43" s="3355" t="str">
        <f ca="1">IFERROR(X32,"")</f>
        <v/>
      </c>
      <c r="K43" s="3355"/>
      <c r="L43" s="3356" t="str">
        <f ca="1">IFERROR(ROUND(V32,0),"")</f>
        <v/>
      </c>
      <c r="M43" s="3357"/>
      <c r="N43" s="968"/>
      <c r="O43" s="1717"/>
      <c r="P43" s="1717"/>
      <c r="Q43" s="1717"/>
      <c r="R43" s="1637">
        <f t="shared" si="1"/>
        <v>43</v>
      </c>
      <c r="U43" s="139" t="str">
        <f>"Aufzinsungsmethode: EzE ReZins: "&amp;TEXT(V14,"0,00%")</f>
        <v>Aufzinsungsmethode: EzE ReZins: 6,00%</v>
      </c>
      <c r="V43" s="1608" t="e">
        <f>ROUND(VLOOKUP(ROUND(IF(M6&gt;I9,M6,I9),0),CHOOSE(Y10,Lebenserwartung_M_V2,Lebenserwartung_F_V2,Lebenserwartung_N_V2),YEAR(I5)+IF(MONTH(I5)&gt;6,1,0)-1900+2),2)</f>
        <v>#VALUE!</v>
      </c>
      <c r="W43" s="128">
        <f>ROUND(IF(I9&gt;M6,I9-M6,0),2)</f>
        <v>0</v>
      </c>
      <c r="X43" s="1709" t="e">
        <f ca="1">-PV(V14-J13,V43,I7*12)</f>
        <v>#VALUE!</v>
      </c>
      <c r="Y43" s="1709" t="e">
        <f ca="1">-PV(V14-J12,W43,,X43)</f>
        <v>#VALUE!</v>
      </c>
      <c r="Z43" s="613" t="e">
        <f>ROUND(VLOOKUP(M6,CHOOSE(68-IF(V21&lt;60,60,IF(V21&gt;67,67,V21)),HRIR67,HRIR66,HRIR,HRIR64,HRIR63,HRIR62,HRIR61,HRIR60),CHOOSE(Y10,7,16,25)),4)*J10</f>
        <v>#VALUE!</v>
      </c>
      <c r="AA43" s="1381" t="e">
        <f>ROUND(VLOOKUP(M6,CHOOSE(68-IF(V21&lt;60,60,IF(V21&gt;67,67,V21)),HRIR67,HRIR66,HRIR,HRIR64,HRIR63,HRIR62,HRIR61,HRIR60),CHOOSE(Y10,8,17,26)),4)*J11</f>
        <v>#VALUE!</v>
      </c>
      <c r="AB43" s="1608">
        <f>IFERROR(VLOOKUP(ROUND(M6,0),CHOOSE(Y10,G_Kohorte_M,G_Kohorte_F,G_Kohorte_N),YEAR(I5)+IF(MONTH(I5)&gt;6,1,0)-1900+2),0)</f>
        <v>0</v>
      </c>
      <c r="AC43" s="1608">
        <f>+AC36</f>
        <v>0</v>
      </c>
      <c r="AD43" s="1658">
        <v>1</v>
      </c>
      <c r="AE43" s="1718" t="e">
        <f ca="1">ROUND(+Y43*(1+AA43+Z43)*AD43,0)</f>
        <v>#VALUE!</v>
      </c>
      <c r="AF43" s="1608" t="e">
        <f>IF(V15-M6&lt;0,0,V15-M6)</f>
        <v>#VALUE!</v>
      </c>
      <c r="AG43" s="1608">
        <f>+AB36</f>
        <v>0</v>
      </c>
      <c r="AH43" s="1710" t="e">
        <f>ROUND(AG43/AB43,3)</f>
        <v>#DIV/0!</v>
      </c>
      <c r="AI43" s="1709" t="e">
        <f ca="1">IF(P32&gt;0,P32,AE43*(1+V14)^AF43*AH43)</f>
        <v>#VALUE!</v>
      </c>
      <c r="AJ43" s="1711" t="e">
        <f ca="1">+AI43/J30</f>
        <v>#VALUE!</v>
      </c>
      <c r="AK43" s="1709" t="e">
        <f ca="1">+AJ43*M30</f>
        <v>#VALUE!</v>
      </c>
      <c r="AL43" s="1709"/>
    </row>
    <row r="44" spans="1:38" s="128" customFormat="1" ht="16.350000000000001" customHeight="1" thickBot="1">
      <c r="A44" s="1467">
        <f t="shared" si="0"/>
        <v>44</v>
      </c>
      <c r="B44" s="3348" t="s">
        <v>1776</v>
      </c>
      <c r="C44" s="3349"/>
      <c r="D44" s="3349"/>
      <c r="E44" s="3349"/>
      <c r="F44" s="3349"/>
      <c r="G44" s="3349"/>
      <c r="H44" s="3349"/>
      <c r="I44" s="3349"/>
      <c r="J44" s="3350" t="str">
        <f ca="1">IFERROR(IF(J28&gt;0,"",J26*S27/J43),"")</f>
        <v/>
      </c>
      <c r="K44" s="3352"/>
      <c r="L44" s="3350" t="str">
        <f ca="1">IFERROR(IF(L28&gt;0,"",+L26*S27/L43),"")</f>
        <v/>
      </c>
      <c r="M44" s="3351"/>
      <c r="N44" s="968"/>
      <c r="O44" s="3359" t="s">
        <v>1777</v>
      </c>
      <c r="P44" s="3359"/>
      <c r="Q44" s="3359"/>
      <c r="R44" s="1637">
        <f t="shared" si="1"/>
        <v>44</v>
      </c>
      <c r="U44" s="139"/>
      <c r="V44" s="1608"/>
      <c r="X44" s="1709"/>
      <c r="Y44" s="1709"/>
      <c r="Z44" s="1381"/>
      <c r="AA44" s="1381"/>
      <c r="AB44" s="1608"/>
      <c r="AC44" s="1608"/>
      <c r="AD44" s="1721"/>
      <c r="AE44" s="1722"/>
      <c r="AF44" s="1608"/>
      <c r="AG44" s="1608"/>
      <c r="AH44" s="1710"/>
      <c r="AI44" s="1709"/>
      <c r="AJ44" s="1711"/>
      <c r="AK44" s="1709"/>
      <c r="AL44" s="1709"/>
    </row>
    <row r="45" spans="1:38" s="128" customFormat="1" ht="15.75" thickTop="1">
      <c r="A45" s="1637"/>
      <c r="B45" s="3358" t="s">
        <v>1662</v>
      </c>
      <c r="C45" s="3358"/>
      <c r="D45" s="3358"/>
      <c r="E45" s="3358"/>
      <c r="F45" s="3358"/>
      <c r="G45" s="3358"/>
      <c r="H45" s="3358"/>
      <c r="I45" s="3358"/>
      <c r="J45" s="3358"/>
      <c r="K45" s="3358"/>
      <c r="L45" s="3358"/>
      <c r="M45" s="3358"/>
      <c r="N45" s="3358"/>
      <c r="O45" s="3358"/>
      <c r="P45" s="3358"/>
      <c r="Q45" s="3358"/>
      <c r="R45" s="1637"/>
      <c r="AD45" s="128" t="e">
        <f>ROUND(IF(+AC43/AB43&gt;1,1,+AC43/AB43),3)</f>
        <v>#DIV/0!</v>
      </c>
    </row>
    <row r="46" spans="1:38" ht="15">
      <c r="A46" s="1637"/>
      <c r="B46" s="3327" t="s">
        <v>1663</v>
      </c>
      <c r="C46" s="3327"/>
      <c r="D46" s="3327"/>
      <c r="E46" s="3327"/>
      <c r="F46" s="3327"/>
      <c r="G46" s="3327"/>
      <c r="H46" s="3327"/>
      <c r="I46" s="3327"/>
      <c r="J46" s="3327"/>
      <c r="K46" s="3327"/>
      <c r="L46" s="3327"/>
      <c r="M46" s="3327"/>
      <c r="N46" s="1640"/>
      <c r="O46" s="1641" t="s">
        <v>1661</v>
      </c>
      <c r="P46" s="1640"/>
      <c r="Q46" s="1640"/>
      <c r="R46" s="968"/>
      <c r="T46" s="71">
        <v>525</v>
      </c>
      <c r="U46" s="554" t="str">
        <f ca="1">IFERROR(ROUND(J41/J26-1,2),"")</f>
        <v/>
      </c>
      <c r="V46" s="1609" t="str">
        <f ca="1">IFERROR(ABS(ROUND(+L41/L26-1,2)),"")</f>
        <v/>
      </c>
    </row>
    <row r="47" spans="1:38">
      <c r="A47" s="1637"/>
      <c r="B47" s="1595"/>
      <c r="C47" s="1595"/>
      <c r="D47" s="1595"/>
      <c r="E47" s="1595"/>
      <c r="F47" s="1595"/>
      <c r="G47" s="1595"/>
      <c r="H47" s="1595"/>
      <c r="I47" s="1595"/>
      <c r="J47" s="1595"/>
      <c r="K47" s="1595"/>
      <c r="L47" s="1595"/>
      <c r="M47" s="1595"/>
      <c r="N47" s="1595"/>
      <c r="O47" s="1595"/>
      <c r="P47" s="1595"/>
      <c r="Q47" s="1595"/>
      <c r="R47" s="968"/>
      <c r="U47" s="1608" t="str">
        <f ca="1">+IF(J41&lt;J26,"-","+")&amp;TEXT(U46,"0%")</f>
        <v>+</v>
      </c>
      <c r="V47" s="1608" t="str">
        <f ca="1">+IF(L41&lt;L26,"-","+")&amp;TEXT(V46,"0%")</f>
        <v>+</v>
      </c>
    </row>
  </sheetData>
  <sheetProtection formatColumns="0" selectLockedCells="1" autoFilter="0"/>
  <mergeCells count="135">
    <mergeCell ref="AA18:AA19"/>
    <mergeCell ref="AB18:AB19"/>
    <mergeCell ref="X24:Y24"/>
    <mergeCell ref="B36:I36"/>
    <mergeCell ref="J36:K36"/>
    <mergeCell ref="D29:F29"/>
    <mergeCell ref="H29:I29"/>
    <mergeCell ref="O30:P30"/>
    <mergeCell ref="C22:D22"/>
    <mergeCell ref="G22:H22"/>
    <mergeCell ref="C23:D23"/>
    <mergeCell ref="G23:H23"/>
    <mergeCell ref="B26:I26"/>
    <mergeCell ref="C24:D24"/>
    <mergeCell ref="G24:H24"/>
    <mergeCell ref="B20:I21"/>
    <mergeCell ref="B19:H19"/>
    <mergeCell ref="B18:H18"/>
    <mergeCell ref="B33:H33"/>
    <mergeCell ref="D30:F30"/>
    <mergeCell ref="H30:I30"/>
    <mergeCell ref="J30:K30"/>
    <mergeCell ref="O16:Q19"/>
    <mergeCell ref="B25:I25"/>
    <mergeCell ref="J25:K25"/>
    <mergeCell ref="B28:D28"/>
    <mergeCell ref="J29:M29"/>
    <mergeCell ref="B31:I31"/>
    <mergeCell ref="AH16:AJ18"/>
    <mergeCell ref="AH19:AJ21"/>
    <mergeCell ref="O31:O32"/>
    <mergeCell ref="J19:M19"/>
    <mergeCell ref="AB26:AC26"/>
    <mergeCell ref="U24:V24"/>
    <mergeCell ref="J26:K26"/>
    <mergeCell ref="J22:K22"/>
    <mergeCell ref="J23:K23"/>
    <mergeCell ref="J24:K24"/>
    <mergeCell ref="J18:M18"/>
    <mergeCell ref="J17:M17"/>
    <mergeCell ref="L26:M26"/>
    <mergeCell ref="S27:T27"/>
    <mergeCell ref="J28:K28"/>
    <mergeCell ref="L28:M28"/>
    <mergeCell ref="B16:H16"/>
    <mergeCell ref="J16:M16"/>
    <mergeCell ref="B17:D17"/>
    <mergeCell ref="E17:F17"/>
    <mergeCell ref="O26:Q27"/>
    <mergeCell ref="L36:M36"/>
    <mergeCell ref="B37:I37"/>
    <mergeCell ref="J37:K37"/>
    <mergeCell ref="L37:M39"/>
    <mergeCell ref="B38:I38"/>
    <mergeCell ref="L33:M33"/>
    <mergeCell ref="B34:H34"/>
    <mergeCell ref="J34:K34"/>
    <mergeCell ref="B32:H32"/>
    <mergeCell ref="J32:K32"/>
    <mergeCell ref="L32:M32"/>
    <mergeCell ref="L34:M34"/>
    <mergeCell ref="B35:H35"/>
    <mergeCell ref="J35:K35"/>
    <mergeCell ref="L35:M35"/>
    <mergeCell ref="O33:P33"/>
    <mergeCell ref="O34:P34"/>
    <mergeCell ref="O35:P35"/>
    <mergeCell ref="O36:P36"/>
    <mergeCell ref="J33:K33"/>
    <mergeCell ref="O37:P37"/>
    <mergeCell ref="O2:Q3"/>
    <mergeCell ref="O14:P14"/>
    <mergeCell ref="J14:M14"/>
    <mergeCell ref="B8:M8"/>
    <mergeCell ref="B14:I14"/>
    <mergeCell ref="F6:G6"/>
    <mergeCell ref="O6:P6"/>
    <mergeCell ref="J7:M7"/>
    <mergeCell ref="J2:M2"/>
    <mergeCell ref="B4:I4"/>
    <mergeCell ref="J4:M4"/>
    <mergeCell ref="B5:H5"/>
    <mergeCell ref="J5:M5"/>
    <mergeCell ref="B9:H9"/>
    <mergeCell ref="J9:M9"/>
    <mergeCell ref="B2:I3"/>
    <mergeCell ref="H6:I6"/>
    <mergeCell ref="B11:I11"/>
    <mergeCell ref="J11:M11"/>
    <mergeCell ref="B46:M46"/>
    <mergeCell ref="L40:M40"/>
    <mergeCell ref="B41:I41"/>
    <mergeCell ref="J41:K41"/>
    <mergeCell ref="L41:M41"/>
    <mergeCell ref="J38:K38"/>
    <mergeCell ref="B39:I39"/>
    <mergeCell ref="J39:K39"/>
    <mergeCell ref="B40:I40"/>
    <mergeCell ref="J40:K40"/>
    <mergeCell ref="J42:K42"/>
    <mergeCell ref="L42:M42"/>
    <mergeCell ref="B42:I42"/>
    <mergeCell ref="B44:I44"/>
    <mergeCell ref="L44:M44"/>
    <mergeCell ref="J44:K44"/>
    <mergeCell ref="B43:I43"/>
    <mergeCell ref="J43:K43"/>
    <mergeCell ref="L43:M43"/>
    <mergeCell ref="B45:Q45"/>
    <mergeCell ref="O44:Q44"/>
    <mergeCell ref="O38:P38"/>
    <mergeCell ref="J20:M21"/>
    <mergeCell ref="O20:Q25"/>
    <mergeCell ref="B7:H7"/>
    <mergeCell ref="J31:K31"/>
    <mergeCell ref="L31:M31"/>
    <mergeCell ref="B27:M27"/>
    <mergeCell ref="O28:P28"/>
    <mergeCell ref="O29:P29"/>
    <mergeCell ref="J3:M3"/>
    <mergeCell ref="E28:F28"/>
    <mergeCell ref="G28:I28"/>
    <mergeCell ref="O15:Q15"/>
    <mergeCell ref="B15:I15"/>
    <mergeCell ref="J15:M15"/>
    <mergeCell ref="B12:I12"/>
    <mergeCell ref="J12:M12"/>
    <mergeCell ref="O12:P12"/>
    <mergeCell ref="B13:I13"/>
    <mergeCell ref="J13:M13"/>
    <mergeCell ref="O13:P13"/>
    <mergeCell ref="B10:I10"/>
    <mergeCell ref="J10:M10"/>
    <mergeCell ref="O10:P10"/>
    <mergeCell ref="O11:P11"/>
  </mergeCells>
  <conditionalFormatting sqref="C29">
    <cfRule type="expression" dxfId="198" priority="33">
      <formula>J29&gt;0</formula>
    </cfRule>
  </conditionalFormatting>
  <conditionalFormatting sqref="F6:G6">
    <cfRule type="expression" dxfId="197" priority="1">
      <formula>H6=""</formula>
    </cfRule>
  </conditionalFormatting>
  <conditionalFormatting sqref="G29">
    <cfRule type="expression" dxfId="196" priority="34">
      <formula>J29&gt;0</formula>
    </cfRule>
  </conditionalFormatting>
  <conditionalFormatting sqref="H30:M30 B31:M31">
    <cfRule type="expression" dxfId="195" priority="43">
      <formula>$V$33=2</formula>
    </cfRule>
  </conditionalFormatting>
  <conditionalFormatting sqref="I5">
    <cfRule type="expression" dxfId="194" priority="41">
      <formula>J4="m"</formula>
    </cfRule>
    <cfRule type="expression" dxfId="193" priority="40">
      <formula>J4="w"</formula>
    </cfRule>
    <cfRule type="expression" dxfId="192" priority="26">
      <formula>J4="d"</formula>
    </cfRule>
  </conditionalFormatting>
  <conditionalFormatting sqref="J5">
    <cfRule type="expression" dxfId="191" priority="39">
      <formula>I5=""</formula>
    </cfRule>
  </conditionalFormatting>
  <conditionalFormatting sqref="J7">
    <cfRule type="expression" dxfId="190" priority="36">
      <formula>J7=""</formula>
    </cfRule>
  </conditionalFormatting>
  <conditionalFormatting sqref="J14:J15">
    <cfRule type="expression" dxfId="189" priority="37">
      <formula>J14=""</formula>
    </cfRule>
  </conditionalFormatting>
  <conditionalFormatting sqref="J41:K41">
    <cfRule type="iconSet" priority="31">
      <iconSet iconSet="3Arrows">
        <cfvo type="percent" val="0"/>
        <cfvo type="formula" val="$J$26*0.9"/>
        <cfvo type="formula" val="$J$26*1.05"/>
      </iconSet>
    </cfRule>
  </conditionalFormatting>
  <conditionalFormatting sqref="J43:K43">
    <cfRule type="iconSet" priority="2381">
      <iconSet iconSet="3Arrows">
        <cfvo type="percent" val="0"/>
        <cfvo type="formula" val="$S$27*0.9"/>
        <cfvo type="formula" val="$S$27"/>
      </iconSet>
    </cfRule>
  </conditionalFormatting>
  <conditionalFormatting sqref="J4:M4">
    <cfRule type="expression" dxfId="188" priority="35">
      <formula>J4=""</formula>
    </cfRule>
    <cfRule type="expression" dxfId="187" priority="23">
      <formula>$J$4:$M$4="d"</formula>
    </cfRule>
    <cfRule type="expression" dxfId="186" priority="24">
      <formula>$J$4:$M$4="w"</formula>
    </cfRule>
    <cfRule type="expression" dxfId="185" priority="25">
      <formula>$J$4:$M$4="m"</formula>
    </cfRule>
  </conditionalFormatting>
  <conditionalFormatting sqref="J29:M29">
    <cfRule type="expression" dxfId="184" priority="42">
      <formula>AND(C29+G29&gt;0,J29=0)</formula>
    </cfRule>
    <cfRule type="expression" dxfId="183" priority="22">
      <formula>AND(ZVAusglBerAlternativ=1,J29="")</formula>
    </cfRule>
  </conditionalFormatting>
  <conditionalFormatting sqref="J41:M41">
    <cfRule type="expression" priority="27" stopIfTrue="1">
      <formula>J41=0</formula>
    </cfRule>
  </conditionalFormatting>
  <conditionalFormatting sqref="L42">
    <cfRule type="iconSet" priority="29">
      <iconSet iconSet="3Arrows">
        <cfvo type="percent" val="0"/>
        <cfvo type="formula" val="$L$26*0.9"/>
        <cfvo type="formula" val="$L$26"/>
      </iconSet>
    </cfRule>
  </conditionalFormatting>
  <conditionalFormatting sqref="L43:M43">
    <cfRule type="iconSet" priority="2379">
      <iconSet iconSet="3Arrows">
        <cfvo type="percent" val="0"/>
        <cfvo type="formula" val="$S$27*0.9"/>
        <cfvo type="formula" val="$S$27"/>
      </iconSet>
    </cfRule>
    <cfRule type="iconSet" priority="2380">
      <iconSet iconSet="3Arrows">
        <cfvo type="percent" val="0"/>
        <cfvo type="formula" val="$S$27*0.9"/>
        <cfvo type="formula" val="&quot;$J$27&quot;"/>
      </iconSet>
    </cfRule>
  </conditionalFormatting>
  <conditionalFormatting sqref="N9:N13">
    <cfRule type="iconSet" priority="21">
      <iconSet iconSet="3Symbols2">
        <cfvo type="percent" val="0"/>
        <cfvo type="percent" val="33"/>
        <cfvo type="percent" val="67"/>
      </iconSet>
    </cfRule>
  </conditionalFormatting>
  <conditionalFormatting sqref="P4">
    <cfRule type="expression" dxfId="182" priority="11">
      <formula>P4="w"</formula>
    </cfRule>
    <cfRule type="expression" dxfId="181" priority="10">
      <formula>P4="M"</formula>
    </cfRule>
    <cfRule type="expression" dxfId="180" priority="9">
      <formula>P4="d"</formula>
    </cfRule>
  </conditionalFormatting>
  <conditionalFormatting sqref="P7">
    <cfRule type="expression" dxfId="179" priority="15">
      <formula>P8&gt;0</formula>
    </cfRule>
    <cfRule type="expression" dxfId="178" priority="14">
      <formula>AND(P7&gt;0,P8&gt;0)</formula>
    </cfRule>
  </conditionalFormatting>
  <conditionalFormatting sqref="P8">
    <cfRule type="expression" dxfId="177" priority="17">
      <formula>P7&gt;0</formula>
    </cfRule>
    <cfRule type="expression" dxfId="176" priority="16">
      <formula>AND(P8&gt;0,P7&gt;0)</formula>
    </cfRule>
  </conditionalFormatting>
  <conditionalFormatting sqref="Q5">
    <cfRule type="expression" dxfId="175" priority="19">
      <formula>P4="m"</formula>
    </cfRule>
    <cfRule type="expression" dxfId="174" priority="18">
      <formula>P4="w"</formula>
    </cfRule>
    <cfRule type="expression" dxfId="173" priority="12">
      <formula>P4="d"</formula>
    </cfRule>
  </conditionalFormatting>
  <conditionalFormatting sqref="Q13">
    <cfRule type="iconSet" priority="20">
      <iconSet iconSet="3Arrows">
        <cfvo type="percent" val="0"/>
        <cfvo type="formula" val="$L$26*0.9"/>
        <cfvo type="formula" val="$L$26*1.1"/>
      </iconSet>
    </cfRule>
  </conditionalFormatting>
  <conditionalFormatting sqref="Q37">
    <cfRule type="iconSet" priority="2382">
      <iconSet iconSet="3Arrows">
        <cfvo type="percent" val="0"/>
        <cfvo type="formula" val="$S$27*0.9"/>
        <cfvo type="formula" val="$S$27*1.1"/>
      </iconSet>
    </cfRule>
  </conditionalFormatting>
  <dataValidations count="20">
    <dataValidation type="list" allowBlank="1" showInputMessage="1" showErrorMessage="1" sqref="J4 P4" xr:uid="{FF7D9E57-CFDF-4439-A8AB-928E8D5DD551}">
      <formula1>$Z$10:$Z$12</formula1>
    </dataValidation>
    <dataValidation type="decimal" allowBlank="1" showInputMessage="1" showErrorMessage="1" errorTitle="Eingabebegrenzung" error="Es sind nur Eingaben zwischen 0% und 50% erlaubt!" sqref="I17:I18" xr:uid="{8702C5AA-6410-4669-AC74-FC425D74416C}">
      <formula1>0</formula1>
      <formula2>0.5</formula2>
    </dataValidation>
    <dataValidation type="decimal" allowBlank="1" showInputMessage="1" showErrorMessage="1" errorTitle="Eingabebeschränkung" error="Es sind nur Eingaben zwischen 0 und 10.000 € erlaubt!" sqref="I16" xr:uid="{434905FA-A7FE-4072-A382-E85508D8C2B2}">
      <formula1>0</formula1>
      <formula2>10000</formula2>
    </dataValidation>
    <dataValidation type="decimal" allowBlank="1" showInputMessage="1" showErrorMessage="1" errorTitle="Eingabebeschränkung" error="Es sind nur Eingaben zwischen 0 und 100% zulässig!" sqref="J10:M11" xr:uid="{0BA000D3-DDBF-4F4E-8ED1-6F62F09F5BF8}">
      <formula1>0</formula1>
      <formula2>1</formula2>
    </dataValidation>
    <dataValidation type="decimal" allowBlank="1" showInputMessage="1" showErrorMessage="1" errorTitle="Eingabebeschränkung" error="Es sind nur Eingaben zwischen 0% und 5% zulässig!" sqref="J12:M13" xr:uid="{236AF5BC-B7E9-4377-AF8F-EC6D8197C283}">
      <formula1>0</formula1>
      <formula2>0.05</formula2>
    </dataValidation>
    <dataValidation type="decimal" allowBlank="1" showInputMessage="1" showErrorMessage="1" errorTitle="Eingabebeschränkung" error="Es sind nur Eingaben zwischen 0 und 30 zulässig!" sqref="J22:K22 J24:K24" xr:uid="{887C9E75-87DA-47AB-A1E1-822B42432AB9}">
      <formula1>0</formula1>
      <formula2>30</formula2>
    </dataValidation>
    <dataValidation type="decimal" operator="greaterThanOrEqual" allowBlank="1" showInputMessage="1" showErrorMessage="1" errorTitle="Eingabebeschränkung" error="Es sind nur positive Werte &gt;0 zulässig!" sqref="J28:M28" xr:uid="{F571B600-5C3E-4470-8157-DC6D12A91435}">
      <formula1>0</formula1>
    </dataValidation>
    <dataValidation type="decimal" allowBlank="1" showInputMessage="1" showErrorMessage="1" errorTitle="Eingabebeschränkung" error="Es sind nur Eingaben zwischen -2% und +5% zulässig" sqref="J29:M29" xr:uid="{774E780D-6BCF-4886-B1F8-3614CEC3B614}">
      <formula1>-0.02</formula1>
      <formula2>0.05</formula2>
    </dataValidation>
    <dataValidation type="decimal" operator="greaterThanOrEqual" allowBlank="1" showInputMessage="1" showErrorMessage="1" errorTitle="Eingabebeschränkung" error="Es sind nur positive Werte zulässig!" sqref="I32" xr:uid="{D67E9ED2-E455-4414-B547-43E3D80DFB53}">
      <formula1>0</formula1>
    </dataValidation>
    <dataValidation type="decimal" operator="greaterThan" allowBlank="1" showInputMessage="1" showErrorMessage="1" sqref="I33" xr:uid="{4B953C7A-4274-44EF-A463-CB6BBE5E6FF3}">
      <formula1>0</formula1>
    </dataValidation>
    <dataValidation type="decimal" allowBlank="1" showInputMessage="1" showErrorMessage="1" errorTitle="Eingabebeschränkung" error="Es sind nur Werte zwischen 0% und 50% erlaubt!" sqref="I35" xr:uid="{18E4F15C-B6F3-48F4-87C5-03ACDDE5E1D5}">
      <formula1>0</formula1>
      <formula2>0.5</formula2>
    </dataValidation>
    <dataValidation type="decimal" allowBlank="1" showInputMessage="1" showErrorMessage="1" errorTitle="Eongabebeschränkung" error="Es sind nur Werte zwischen 0 und 30 erlaubt!" sqref="J39:K39 J37:K37" xr:uid="{47CCCD48-23B9-4679-AE08-260E30149479}">
      <formula1>0</formula1>
      <formula2>30</formula2>
    </dataValidation>
    <dataValidation type="decimal" operator="greaterThanOrEqual" allowBlank="1" showInputMessage="1" showErrorMessage="1" errorTitle="Eingabebeschränkung" error="Es sind nur positive Werte erlaubt!" sqref="P7" xr:uid="{D06B392E-6294-4513-B1A8-1BB38215DE1F}">
      <formula1>0</formula1>
    </dataValidation>
    <dataValidation type="decimal" allowBlank="1" showInputMessage="1" showErrorMessage="1" errorTitle="Eingabebeschränkung" error="Es sind nur positive Werte zwischen 0 und 2 Millionen € erlaubt" sqref="P32" xr:uid="{184873A1-7656-4933-A62F-1136242F4ED0}">
      <formula1>0</formula1>
      <formula2>2000000</formula2>
    </dataValidation>
    <dataValidation type="decimal" allowBlank="1" showInputMessage="1" showErrorMessage="1" errorTitle="Eingabebeschränkung" error="Es sind nur Eingaben zwischen -30 und +30 zulässig!" sqref="J23:K23" xr:uid="{DB14D00A-9F90-471B-9F90-D7844ED158B4}">
      <formula1>-30</formula1>
      <formula2>30</formula2>
    </dataValidation>
    <dataValidation type="decimal" allowBlank="1" showInputMessage="1" showErrorMessage="1" errorTitle="Eongabebeschränkung" error="Es sind nur Werte zwischen -30 und +30 erlaubt!" sqref="J38:K38" xr:uid="{DE85E8D5-1EC6-4079-8D9C-C166CBD153A7}">
      <formula1>-30</formula1>
      <formula2>30</formula2>
    </dataValidation>
    <dataValidation type="decimal" allowBlank="1" showInputMessage="1" showErrorMessage="1" errorTitle="Eingabebeschränkung" error="Es sind nur Eingaben zwischen 0 und 2 Millinen erlaubt!" sqref="P8" xr:uid="{31997D1E-82C2-447C-884B-B44C0E90319B}">
      <formula1>0</formula1>
      <formula2>2000000</formula2>
    </dataValidation>
    <dataValidation type="decimal" allowBlank="1" showInputMessage="1" showErrorMessage="1" errorTitle="Eingabebeschränkung" error="Nur Eingaben zwischen 0 und 70 zulässig!" sqref="P9" xr:uid="{915C05BE-85AE-4D1D-AE6F-6822FBEB2AC7}">
      <formula1>0</formula1>
      <formula2>70</formula2>
    </dataValidation>
    <dataValidation type="decimal" allowBlank="1" showInputMessage="1" showErrorMessage="1" errorTitle="Eingabebeschränkung" error="Nur Eingaben zwischen 0 und 70 zulässig" sqref="J9:M9" xr:uid="{98D7079F-5B20-4D82-81F1-8B9C5F168617}">
      <formula1>0</formula1>
      <formula2>70</formula2>
    </dataValidation>
    <dataValidation type="date" allowBlank="1" showInputMessage="1" showErrorMessage="1" errorTitle="Eingabebeschränkung" error="Es sind nur Eingaben bis 31.12.2030 zuöässig!" sqref="J14" xr:uid="{9BBF7A75-6EB7-4CF7-BE18-47A7732A2A52}">
      <formula1>H6</formula1>
      <formula2>47848</formula2>
    </dataValidation>
  </dataValidations>
  <hyperlinks>
    <hyperlink ref="O46" r:id="rId1" xr:uid="{956AE4FC-B73B-49AE-8905-5EC16BA7CC90}"/>
    <hyperlink ref="O20:Q25" r:id="rId2" display="vgl auch Hauß, Abfindung von schuldrechtlich auszugleichenden Versorgungen, FamRB 2024, 302ff." xr:uid="{4DCDA512-8C47-43E7-9056-CCD260DFEE84}"/>
  </hyperlinks>
  <printOptions horizontalCentered="1"/>
  <pageMargins left="0.11811023622047245" right="0.11811023622047245" top="0.59055118110236227" bottom="0.59055118110236227" header="0.31496062992125984" footer="0.31496062992125984"/>
  <pageSetup paperSize="9" scale="75" orientation="portrait" r:id="rId3"/>
  <drawing r:id="rId4"/>
  <extLst>
    <ext xmlns:x14="http://schemas.microsoft.com/office/spreadsheetml/2009/9/main" uri="{78C0D931-6437-407d-A8EE-F0AAD7539E65}">
      <x14:conditionalFormattings>
        <x14:conditionalFormatting xmlns:xm="http://schemas.microsoft.com/office/excel/2006/main">
          <x14:cfRule type="iconSet" priority="30" id="{C5957187-E50C-4A44-BDAE-35C29A9A7CB8}">
            <x14:iconSet iconSet="3Arrows" custom="1">
              <x14:cfvo type="percent">
                <xm:f>0</xm:f>
              </x14:cfvo>
              <x14:cfvo type="formula">
                <xm:f>$J$26*0.9</xm:f>
              </x14:cfvo>
              <x14:cfvo type="formula">
                <xm:f>$J$26</xm:f>
              </x14:cfvo>
              <x14:cfIcon iconSet="3Arrows" iconId="0"/>
              <x14:cfIcon iconSet="3Arrows" iconId="1"/>
              <x14:cfIcon iconSet="3Arrows" iconId="2"/>
            </x14:iconSet>
          </x14:cfRule>
          <xm:sqref>J42</xm:sqref>
        </x14:conditionalFormatting>
        <x14:conditionalFormatting xmlns:xm="http://schemas.microsoft.com/office/excel/2006/main">
          <x14:cfRule type="iconSet" priority="32" id="{3660AC89-8B93-4283-A60A-7A165E30E730}">
            <x14:iconSet iconSet="3Arrows" custom="1">
              <x14:cfvo type="percent">
                <xm:f>0</xm:f>
              </x14:cfvo>
              <x14:cfvo type="formula">
                <xm:f>$L$26*0.9</xm:f>
              </x14:cfvo>
              <x14:cfvo type="formula">
                <xm:f>$L$26*1.1</xm:f>
              </x14:cfvo>
              <x14:cfIcon iconSet="3Arrows" iconId="0"/>
              <x14:cfIcon iconSet="3Arrows" iconId="1"/>
              <x14:cfIcon iconSet="3Arrows" iconId="2"/>
            </x14:iconSet>
          </x14:cfRule>
          <xm:sqref>L41:M41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AC18E-2E1F-425F-B9BB-32E2B615F6E0}">
  <sheetPr codeName="Tabelle36"/>
  <dimension ref="A1:P132"/>
  <sheetViews>
    <sheetView showRowColHeaders="0" zoomScale="115" zoomScaleNormal="115" workbookViewId="0">
      <selection activeCell="G19" sqref="G19:G20"/>
    </sheetView>
  </sheetViews>
  <sheetFormatPr baseColWidth="10" defaultColWidth="0" defaultRowHeight="14.25" customHeight="1" zeroHeight="1"/>
  <cols>
    <col min="1" max="1" width="5.625" customWidth="1"/>
    <col min="2" max="4" width="15.625" customWidth="1"/>
    <col min="5" max="5" width="28.125" customWidth="1"/>
    <col min="6" max="6" width="17.5" customWidth="1"/>
    <col min="7" max="7" width="21.625" customWidth="1"/>
    <col min="8" max="8" width="5.625" customWidth="1"/>
    <col min="9" max="10" width="14" hidden="1" customWidth="1"/>
    <col min="11" max="11" width="13.625" hidden="1" customWidth="1"/>
    <col min="12" max="12" width="11" hidden="1" customWidth="1"/>
    <col min="13" max="13" width="12.625" hidden="1" customWidth="1"/>
    <col min="14" max="14" width="11.5" hidden="1" customWidth="1"/>
    <col min="15" max="16" width="0" hidden="1" customWidth="1"/>
    <col min="17" max="16384" width="11" hidden="1"/>
  </cols>
  <sheetData>
    <row r="1" spans="1:16" ht="18.75" customHeight="1" thickBot="1">
      <c r="A1" s="964"/>
      <c r="B1" s="964"/>
      <c r="C1" s="964"/>
      <c r="D1" s="964"/>
      <c r="E1" s="964"/>
      <c r="F1" s="964"/>
      <c r="G1" s="964"/>
      <c r="H1" s="964"/>
    </row>
    <row r="2" spans="1:16" ht="21.75" customHeight="1">
      <c r="A2" s="964"/>
      <c r="B2" s="3508" t="s">
        <v>1721</v>
      </c>
      <c r="C2" s="3509"/>
      <c r="D2" s="3509"/>
      <c r="E2" s="3509"/>
      <c r="F2" s="3509"/>
      <c r="G2" s="3510"/>
      <c r="H2" s="964"/>
    </row>
    <row r="3" spans="1:16" ht="21.75" customHeight="1" thickBot="1">
      <c r="A3" s="964"/>
      <c r="B3" s="3511" t="str">
        <f>IF(D8=0,"für gesetzlich KV- und PV-Versicherte Personen","für privatversicherte Personen")</f>
        <v>für gesetzlich KV- und PV-Versicherte Personen</v>
      </c>
      <c r="C3" s="3512"/>
      <c r="D3" s="3512"/>
      <c r="E3" s="3512"/>
      <c r="F3" s="3512"/>
      <c r="G3" s="3513"/>
      <c r="H3" s="964"/>
    </row>
    <row r="4" spans="1:16" ht="17.100000000000001" customHeight="1">
      <c r="A4" s="964"/>
      <c r="B4" s="3514" t="s">
        <v>1722</v>
      </c>
      <c r="C4" s="3515"/>
      <c r="D4" s="1666">
        <f ca="1">Heute</f>
        <v>46239</v>
      </c>
      <c r="E4" s="1667" t="s">
        <v>1723</v>
      </c>
      <c r="F4" s="1668"/>
      <c r="G4" s="3516" t="s">
        <v>1724</v>
      </c>
      <c r="H4" s="964"/>
    </row>
    <row r="5" spans="1:16" s="71" customFormat="1" ht="17.100000000000001" customHeight="1">
      <c r="A5" s="968"/>
      <c r="B5" s="3517" t="s">
        <v>1733</v>
      </c>
      <c r="C5" s="3518"/>
      <c r="D5" s="1669"/>
      <c r="E5" s="1661" t="str">
        <f>" Pro Monat: "&amp;TEXT(F4,"#.##0,00")&amp;" / 120 ="</f>
        <v xml:space="preserve"> Pro Monat: 0,00 / 120 =</v>
      </c>
      <c r="F5" s="1662">
        <f>+F4/120</f>
        <v>0</v>
      </c>
      <c r="G5" s="3516"/>
      <c r="H5" s="968"/>
    </row>
    <row r="6" spans="1:16" s="71" customFormat="1" ht="17.100000000000001" customHeight="1">
      <c r="A6" s="968"/>
      <c r="B6" s="3422" t="s">
        <v>1734</v>
      </c>
      <c r="C6" s="3424"/>
      <c r="D6" s="1626"/>
      <c r="E6" s="1660" t="s">
        <v>1725</v>
      </c>
      <c r="F6" s="1663">
        <f ca="1">IFERROR(VLOOKUP(D4,KVundPV,2),"")</f>
        <v>5512.5</v>
      </c>
      <c r="G6" s="3516"/>
      <c r="H6" s="968"/>
      <c r="O6" s="71" t="s">
        <v>1726</v>
      </c>
      <c r="P6" s="71">
        <f>IF(D6="m",1,IF(D6="w",2,3))</f>
        <v>3</v>
      </c>
    </row>
    <row r="7" spans="1:16" s="71" customFormat="1" ht="17.100000000000001" customHeight="1">
      <c r="A7" s="968"/>
      <c r="B7" s="3338" t="str">
        <f>IF(D8&gt;0,"Beitragssatz deaktiviert","Sozialabgabensatz in %: ")</f>
        <v xml:space="preserve">Sozialabgabensatz in %: </v>
      </c>
      <c r="C7" s="2480"/>
      <c r="D7" s="1670">
        <v>0.185</v>
      </c>
      <c r="E7" s="1671" t="str">
        <f>IF(D8&gt;0,"sonst. monatl. Einkommen:","sozverspfl. mon. Gesamteink.:")</f>
        <v>sozverspfl. mon. Gesamteink.:</v>
      </c>
      <c r="F7" s="1672"/>
      <c r="G7" s="3516"/>
      <c r="H7" s="968"/>
      <c r="P7" s="71" t="s">
        <v>217</v>
      </c>
    </row>
    <row r="8" spans="1:16" s="71" customFormat="1" ht="17.100000000000001" customHeight="1">
      <c r="A8" s="968"/>
      <c r="B8" s="3504" t="s">
        <v>1735</v>
      </c>
      <c r="C8" s="3472"/>
      <c r="D8" s="316"/>
      <c r="E8" s="1673" t="s">
        <v>1727</v>
      </c>
      <c r="F8" s="1662">
        <f>+D8*12</f>
        <v>0</v>
      </c>
      <c r="G8" s="3519" t="str">
        <f>Summenzeichen&amp;" der sonstigen monatl. betrieblichen AV  "&amp;P12</f>
        <v>∑ der sonstigen monatl. betrieblichen AV  ↓</v>
      </c>
      <c r="H8" s="968"/>
    </row>
    <row r="9" spans="1:16" s="71" customFormat="1" ht="17.100000000000001" customHeight="1">
      <c r="A9" s="968"/>
      <c r="B9" s="3338" t="str">
        <f>IF(D8&gt;0,"","monatl. Freibetrag nach § 226 II SGB V ("&amp;TEXT(B14,"####")&amp;"):")</f>
        <v>monatl. Freibetrag nach § 226 II SGB V (2018):</v>
      </c>
      <c r="C9" s="2480"/>
      <c r="D9" s="2480"/>
      <c r="E9" s="2480"/>
      <c r="F9" s="1663">
        <f>IFERROR(IF(D8&gt;0,"",VLOOKUP(B14,MonatlicheBezugsgroesse,2)/20),"")</f>
        <v>152.25</v>
      </c>
      <c r="G9" s="3520"/>
      <c r="H9" s="968"/>
      <c r="P9" s="71" t="s">
        <v>263</v>
      </c>
    </row>
    <row r="10" spans="1:16" s="71" customFormat="1" ht="17.100000000000001" customHeight="1" thickBot="1">
      <c r="A10" s="968"/>
      <c r="B10" s="3338" t="str">
        <f>IF(D8&gt;0,"","Anteil des sozversrechtl. Freibetrags auf "&amp;TEXT(F5,"#.##0,00")&amp;": "&amp;TEXT(F9,"#.##0,00")&amp;" x "&amp;TEXT(F5,"#.##,00")&amp;" / "&amp;IF(G10&gt;0,"("&amp;TEXT(F5,"#.##,00")&amp;" + "&amp;TEXT(G10,"#.##0,00")&amp;")",TEXT(F5,"#.##0,00")))</f>
        <v>Anteil des sozversrechtl. Freibetrags auf 0,00: 152,25 x ,00 / 0,00</v>
      </c>
      <c r="C10" s="2480"/>
      <c r="D10" s="2480"/>
      <c r="E10" s="2480"/>
      <c r="F10" s="1662" t="str">
        <f>IFERROR(F9*F5/(F5+G10),"")</f>
        <v/>
      </c>
      <c r="G10" s="1674"/>
      <c r="H10" s="968"/>
      <c r="P10" s="71" t="s">
        <v>384</v>
      </c>
    </row>
    <row r="11" spans="1:16" s="71" customFormat="1" ht="17.100000000000001" customHeight="1">
      <c r="A11" s="968"/>
      <c r="B11" s="3338" t="str">
        <f ca="1">IF(D8&gt;0,"","zu verbeitragen: ("&amp;TEXT(F5,"#.##0,00")&amp;" - "&amp;TEXT(F10,"#.##0,00")&amp;")"&amp;IF(F7&gt;F6," x "&amp;TEXT(F6,"#.##0,00")&amp;" /  "&amp;TEXT(F7,"#.##0,00"),""))</f>
        <v>zu verbeitragen: (0,00 - )</v>
      </c>
      <c r="C11" s="2480"/>
      <c r="D11" s="2480"/>
      <c r="E11" s="2480"/>
      <c r="F11" s="1675">
        <f>IF(D8&gt;0,"",IF(F9&gt;F5,0,IFERROR(+(F5-F10)*IF(F6&lt;F7,F6/F7,1),"")))</f>
        <v>0</v>
      </c>
      <c r="G11" s="1676" t="str">
        <f>"Abzinsungszins: "&amp;P12</f>
        <v>Abzinsungszins: ↓</v>
      </c>
      <c r="H11" s="968"/>
    </row>
    <row r="12" spans="1:16" s="71" customFormat="1" ht="17.100000000000001" customHeight="1">
      <c r="A12" s="968"/>
      <c r="B12" s="3338" t="str">
        <f>"anteilige jährl. Sozialabgab.: "&amp;IF(D8=0,TEXT(F11,"#.##0,00")&amp;" x 12 x "&amp;TEXT(D7,"0,00%"),TEXT(F8,"#.##0,00")&amp;" x "&amp;TEXT(F5,"#.##0,00")&amp;" /( "&amp;TEXT(F7,"#.##0,00")&amp;" + "&amp;TEXT(F5,"#.##0,00"))&amp;") = "</f>
        <v xml:space="preserve">anteilige jährl. Sozialabgab.: 0,00 x 12 x 18,50%) = </v>
      </c>
      <c r="C12" s="2480"/>
      <c r="D12" s="2480"/>
      <c r="E12" s="2480"/>
      <c r="F12" s="1677">
        <f>IFERROR(IF(D8&gt;0,IF(F8*F5/(F7+F5)&gt;F5*12,F5*12,F8*F5/(F7+F5)),F11*D7*12),"Einkommen?")</f>
        <v>0</v>
      </c>
      <c r="G12" s="1678"/>
      <c r="H12" s="968"/>
      <c r="P12" s="1679" t="s">
        <v>879</v>
      </c>
    </row>
    <row r="13" spans="1:16" s="139" customFormat="1" ht="48.75" customHeight="1">
      <c r="A13" s="1680"/>
      <c r="B13" s="1681" t="s">
        <v>59</v>
      </c>
      <c r="C13" s="1627" t="s">
        <v>7</v>
      </c>
      <c r="D13" s="1627" t="s">
        <v>1728</v>
      </c>
      <c r="E13" s="1627" t="str">
        <f>"Versterbensrisiko VVR:"&amp;CHAR(10)&amp;"Überlebende im Alter ... / "&amp;TEXT(D14,"#.##0")</f>
        <v xml:space="preserve">Versterbensrisiko VVR:
Überlebende im Alter ... / </v>
      </c>
      <c r="F13" s="1627" t="str">
        <f>"SozBeitrag unter Berücksichtigung des VVR"&amp;IF(D6="m",männlich,IF(D6="w",weiblich,IF(D6="d",divers,"")))</f>
        <v>SozBeitrag unter Berücksichtigung des VVR</v>
      </c>
      <c r="G13" s="1682" t="s">
        <v>1729</v>
      </c>
      <c r="H13" s="1680"/>
      <c r="I13" s="1683"/>
    </row>
    <row r="14" spans="1:16" ht="17.100000000000001" customHeight="1">
      <c r="A14" s="964"/>
      <c r="B14" s="1684">
        <v>2018</v>
      </c>
      <c r="C14" s="179">
        <f>IF(B14="","",+B14-$D$5)</f>
        <v>2018</v>
      </c>
      <c r="D14" s="1685" t="str">
        <f t="shared" ref="D14:D23" si="0">IFERROR(VLOOKUP(C14,CHOOSE(sVA_Geschlecht,G_Kohorte_M,G_Kohorte_F,G_Kohorte_N),D$5-1900+2),"")</f>
        <v/>
      </c>
      <c r="E14" s="1686" t="str">
        <f>IFERROR(D14/D$14,"")</f>
        <v/>
      </c>
      <c r="F14" s="1687" t="str">
        <f t="shared" ref="F14:F23" si="1">IFERROR(+F$12*E14,"")</f>
        <v/>
      </c>
      <c r="G14" s="1688">
        <f>IFERROR(+F12,"")</f>
        <v>0</v>
      </c>
      <c r="H14" s="964"/>
    </row>
    <row r="15" spans="1:16" ht="17.100000000000001" customHeight="1">
      <c r="A15" s="964"/>
      <c r="B15" s="1689">
        <f>IF(B$14="","",+B14+1)</f>
        <v>2019</v>
      </c>
      <c r="C15" s="1690">
        <f>IFERROR(+B15-$D$5,"")</f>
        <v>2019</v>
      </c>
      <c r="D15" s="1691" t="str">
        <f t="shared" si="0"/>
        <v/>
      </c>
      <c r="E15" s="1686" t="str">
        <f t="shared" ref="E15:E23" si="2">IFERROR(D15/D$14,"")</f>
        <v/>
      </c>
      <c r="F15" s="1687" t="str">
        <f t="shared" si="1"/>
        <v/>
      </c>
      <c r="G15" s="1688" t="str">
        <f>IFERROR(-PV(G$12,B15-B$14,,F15),"")</f>
        <v/>
      </c>
      <c r="H15" s="964"/>
    </row>
    <row r="16" spans="1:16" ht="17.100000000000001" customHeight="1">
      <c r="A16" s="964"/>
      <c r="B16" s="1689">
        <f t="shared" ref="B16:B23" si="3">IF(B$14="","",+B15+1)</f>
        <v>2020</v>
      </c>
      <c r="C16" s="1690">
        <f t="shared" ref="C16:C23" si="4">IFERROR(+B16-$D$5,"")</f>
        <v>2020</v>
      </c>
      <c r="D16" s="1691" t="str">
        <f t="shared" si="0"/>
        <v/>
      </c>
      <c r="E16" s="1686" t="str">
        <f t="shared" si="2"/>
        <v/>
      </c>
      <c r="F16" s="1687" t="str">
        <f t="shared" si="1"/>
        <v/>
      </c>
      <c r="G16" s="1688" t="str">
        <f t="shared" ref="G16:G23" si="5">IFERROR(-PV(G$12,B16-B$14,,F16),"")</f>
        <v/>
      </c>
      <c r="H16" s="964"/>
      <c r="J16" s="148"/>
      <c r="K16" s="148"/>
    </row>
    <row r="17" spans="1:16" ht="17.100000000000001" customHeight="1">
      <c r="A17" s="964"/>
      <c r="B17" s="1689">
        <f t="shared" si="3"/>
        <v>2021</v>
      </c>
      <c r="C17" s="1690">
        <f t="shared" si="4"/>
        <v>2021</v>
      </c>
      <c r="D17" s="1691" t="str">
        <f t="shared" si="0"/>
        <v/>
      </c>
      <c r="E17" s="1686" t="str">
        <f t="shared" si="2"/>
        <v/>
      </c>
      <c r="F17" s="1687" t="str">
        <f t="shared" si="1"/>
        <v/>
      </c>
      <c r="G17" s="1688" t="str">
        <f t="shared" si="5"/>
        <v/>
      </c>
      <c r="H17" s="964"/>
    </row>
    <row r="18" spans="1:16" ht="17.100000000000001" customHeight="1">
      <c r="A18" s="964"/>
      <c r="B18" s="1689">
        <f t="shared" si="3"/>
        <v>2022</v>
      </c>
      <c r="C18" s="1690">
        <f t="shared" si="4"/>
        <v>2022</v>
      </c>
      <c r="D18" s="1691" t="str">
        <f t="shared" si="0"/>
        <v/>
      </c>
      <c r="E18" s="1686" t="str">
        <f t="shared" si="2"/>
        <v/>
      </c>
      <c r="F18" s="1687" t="str">
        <f t="shared" si="1"/>
        <v/>
      </c>
      <c r="G18" s="1688" t="str">
        <f t="shared" si="5"/>
        <v/>
      </c>
      <c r="H18" s="964"/>
    </row>
    <row r="19" spans="1:16" ht="17.100000000000001" customHeight="1">
      <c r="A19" s="964"/>
      <c r="B19" s="1689">
        <f t="shared" si="3"/>
        <v>2023</v>
      </c>
      <c r="C19" s="1690">
        <f t="shared" si="4"/>
        <v>2023</v>
      </c>
      <c r="D19" s="1691" t="str">
        <f t="shared" si="0"/>
        <v/>
      </c>
      <c r="E19" s="1686" t="str">
        <f t="shared" si="2"/>
        <v/>
      </c>
      <c r="F19" s="1687" t="str">
        <f t="shared" si="1"/>
        <v/>
      </c>
      <c r="G19" s="1688" t="str">
        <f t="shared" si="5"/>
        <v/>
      </c>
      <c r="H19" s="964"/>
    </row>
    <row r="20" spans="1:16" ht="17.100000000000001" customHeight="1">
      <c r="A20" s="964"/>
      <c r="B20" s="1689">
        <f t="shared" si="3"/>
        <v>2024</v>
      </c>
      <c r="C20" s="1690">
        <f t="shared" si="4"/>
        <v>2024</v>
      </c>
      <c r="D20" s="1691" t="str">
        <f t="shared" si="0"/>
        <v/>
      </c>
      <c r="E20" s="1686" t="str">
        <f t="shared" si="2"/>
        <v/>
      </c>
      <c r="F20" s="1687" t="str">
        <f t="shared" si="1"/>
        <v/>
      </c>
      <c r="G20" s="1688" t="str">
        <f t="shared" si="5"/>
        <v/>
      </c>
      <c r="H20" s="964"/>
    </row>
    <row r="21" spans="1:16" ht="17.100000000000001" customHeight="1">
      <c r="A21" s="964"/>
      <c r="B21" s="1689">
        <f t="shared" si="3"/>
        <v>2025</v>
      </c>
      <c r="C21" s="1690">
        <f t="shared" si="4"/>
        <v>2025</v>
      </c>
      <c r="D21" s="1691" t="str">
        <f t="shared" si="0"/>
        <v/>
      </c>
      <c r="E21" s="1686" t="str">
        <f t="shared" si="2"/>
        <v/>
      </c>
      <c r="F21" s="1687" t="str">
        <f t="shared" si="1"/>
        <v/>
      </c>
      <c r="G21" s="1688" t="str">
        <f t="shared" si="5"/>
        <v/>
      </c>
      <c r="H21" s="964"/>
    </row>
    <row r="22" spans="1:16" ht="17.100000000000001" customHeight="1">
      <c r="A22" s="964"/>
      <c r="B22" s="1689">
        <f t="shared" si="3"/>
        <v>2026</v>
      </c>
      <c r="C22" s="1690">
        <f t="shared" si="4"/>
        <v>2026</v>
      </c>
      <c r="D22" s="1691" t="str">
        <f t="shared" si="0"/>
        <v/>
      </c>
      <c r="E22" s="1686" t="str">
        <f t="shared" si="2"/>
        <v/>
      </c>
      <c r="F22" s="1687" t="str">
        <f t="shared" si="1"/>
        <v/>
      </c>
      <c r="G22" s="1688" t="str">
        <f t="shared" si="5"/>
        <v/>
      </c>
      <c r="H22" s="964"/>
    </row>
    <row r="23" spans="1:16" ht="17.100000000000001" customHeight="1">
      <c r="A23" s="964"/>
      <c r="B23" s="1689">
        <f t="shared" si="3"/>
        <v>2027</v>
      </c>
      <c r="C23" s="1690">
        <f t="shared" si="4"/>
        <v>2027</v>
      </c>
      <c r="D23" s="1691" t="str">
        <f t="shared" si="0"/>
        <v/>
      </c>
      <c r="E23" s="1686" t="str">
        <f t="shared" si="2"/>
        <v/>
      </c>
      <c r="F23" s="1687" t="str">
        <f t="shared" si="1"/>
        <v/>
      </c>
      <c r="G23" s="1688" t="str">
        <f t="shared" si="5"/>
        <v/>
      </c>
      <c r="H23" s="964"/>
    </row>
    <row r="24" spans="1:16" ht="36" customHeight="1">
      <c r="A24" s="964"/>
      <c r="B24" s="3498" t="s">
        <v>1730</v>
      </c>
      <c r="C24" s="3499"/>
      <c r="D24" s="3499"/>
      <c r="E24" s="3499"/>
      <c r="F24" s="3500"/>
      <c r="G24" s="1692">
        <f>SUM(G14:G23)</f>
        <v>0</v>
      </c>
      <c r="H24" s="964"/>
    </row>
    <row r="25" spans="1:16" ht="17.100000000000001" customHeight="1">
      <c r="A25" s="964"/>
      <c r="B25" s="3501" t="str">
        <f>"Barwert nach Tabelle 9a zu § 13 BewG: "&amp;TEXT(F12,"#.##0,00")&amp;" x 7,745 ="</f>
        <v>Barwert nach Tabelle 9a zu § 13 BewG: 0,00 x 7,745 =</v>
      </c>
      <c r="C25" s="3502"/>
      <c r="D25" s="3502"/>
      <c r="E25" s="3502"/>
      <c r="F25" s="3503"/>
      <c r="G25" s="1692">
        <f>IFERROR(F12*7.745,"")</f>
        <v>0</v>
      </c>
      <c r="H25" s="964"/>
      <c r="O25" t="s">
        <v>1731</v>
      </c>
      <c r="P25" s="15">
        <v>1</v>
      </c>
    </row>
    <row r="26" spans="1:16" ht="17.100000000000001" customHeight="1">
      <c r="A26" s="964"/>
      <c r="B26" s="3422" t="str">
        <f>IFERROR("Ehezeitanteil in % der Kapitalzahlung i.H.v. "&amp;TEXT(F4,"#.##0,00")&amp;" - "&amp;TEXT(CHOOSE(O_BewG,G24,G25),"#.##0,00")&amp;" =  "&amp;TEXT(F4-CHOOSE(O_BewG,G24,G25),"#.##0,00")&amp;": ","")</f>
        <v xml:space="preserve">Ehezeitanteil in % der Kapitalzahlung i.H.v. 0,00 - 0,00 =  0,00: </v>
      </c>
      <c r="C26" s="3423"/>
      <c r="D26" s="3423"/>
      <c r="E26" s="3423"/>
      <c r="F26" s="3424"/>
      <c r="G26" s="88">
        <v>1</v>
      </c>
      <c r="H26" s="964"/>
    </row>
    <row r="27" spans="1:16" ht="17.100000000000001" customHeight="1">
      <c r="A27" s="964"/>
      <c r="B27" s="3504" t="str">
        <f>IFERROR("Ehezeitanteil der Kapitalzahlung: "&amp;TEXT(F4-CHOOSE(O_BewG,G24,G25),"#.##0,00")&amp;" x "&amp;TEXT(G26,"0,00%")&amp;": ","")</f>
        <v xml:space="preserve">Ehezeitanteil der Kapitalzahlung: 0,00 x 100,00%: </v>
      </c>
      <c r="C27" s="3471"/>
      <c r="D27" s="3471"/>
      <c r="E27" s="3471"/>
      <c r="F27" s="3472"/>
      <c r="G27" s="1693">
        <f>IFERROR(+G26*(F4-CHOOSE(O_BewG,G24,G25)),"")</f>
        <v>0</v>
      </c>
      <c r="H27" s="964"/>
    </row>
    <row r="28" spans="1:16" ht="23.25" customHeight="1" thickBot="1">
      <c r="A28" s="964"/>
      <c r="B28" s="3505" t="str">
        <f>"schuldrechtlich auszugleichender Anteil: "&amp;TEXT(G27,"#.##0,00")&amp;" / 2 = "</f>
        <v xml:space="preserve">schuldrechtlich auszugleichender Anteil: 0,00 / 2 = </v>
      </c>
      <c r="C28" s="3506"/>
      <c r="D28" s="3506"/>
      <c r="E28" s="3506"/>
      <c r="F28" s="3507"/>
      <c r="G28" s="1694">
        <f>IFERROR(G27/2,"")</f>
        <v>0</v>
      </c>
      <c r="H28" s="964"/>
    </row>
    <row r="29" spans="1:16" ht="19.5" customHeight="1">
      <c r="A29" s="3497" t="s">
        <v>1736</v>
      </c>
      <c r="B29" s="3497"/>
      <c r="C29" s="3497"/>
      <c r="D29" s="3497"/>
      <c r="E29" s="3497"/>
      <c r="F29" s="3497"/>
      <c r="G29" s="3497"/>
      <c r="H29" s="3497"/>
    </row>
    <row r="129" spans="2:3" hidden="1"/>
    <row r="132" spans="2:3" hidden="1">
      <c r="B132" s="1394" t="s">
        <v>1732</v>
      </c>
      <c r="C132" s="1395">
        <v>18.600000000000001</v>
      </c>
    </row>
  </sheetData>
  <sheetProtection algorithmName="SHA-512" hashValue="euhtxugmv398ZqA9ie3EJtCeO9II48D5czKRjNlFrUftQ2fx4YSjEKytBsfy9oyKGomnm54XrOjv5KJxKfiOHw==" saltValue="foH99XXj068VkgLkwjBjgA==" spinCount="100000" sheet="1" objects="1" scenarios="1" formatColumns="0" autoFilter="0"/>
  <mergeCells count="19">
    <mergeCell ref="B12:E12"/>
    <mergeCell ref="B2:G2"/>
    <mergeCell ref="B3:G3"/>
    <mergeCell ref="B4:C4"/>
    <mergeCell ref="G4:G7"/>
    <mergeCell ref="B5:C5"/>
    <mergeCell ref="B6:C6"/>
    <mergeCell ref="B7:C7"/>
    <mergeCell ref="B8:C8"/>
    <mergeCell ref="G8:G9"/>
    <mergeCell ref="B9:E9"/>
    <mergeCell ref="B10:E10"/>
    <mergeCell ref="B11:E11"/>
    <mergeCell ref="A29:H29"/>
    <mergeCell ref="B24:F24"/>
    <mergeCell ref="B25:F25"/>
    <mergeCell ref="B26:F26"/>
    <mergeCell ref="B27:F27"/>
    <mergeCell ref="B28:F28"/>
  </mergeCells>
  <conditionalFormatting sqref="B14">
    <cfRule type="expression" dxfId="172" priority="13">
      <formula>B14=""</formula>
    </cfRule>
  </conditionalFormatting>
  <conditionalFormatting sqref="B24 G24">
    <cfRule type="expression" dxfId="171" priority="19">
      <formula>O_BewG=1</formula>
    </cfRule>
  </conditionalFormatting>
  <conditionalFormatting sqref="B25 G25">
    <cfRule type="expression" dxfId="170" priority="18">
      <formula>O_BewG=2</formula>
    </cfRule>
  </conditionalFormatting>
  <conditionalFormatting sqref="D4:D6">
    <cfRule type="expression" dxfId="169" priority="4">
      <formula>D4=""</formula>
    </cfRule>
  </conditionalFormatting>
  <conditionalFormatting sqref="D6">
    <cfRule type="expression" dxfId="168" priority="1">
      <formula>D6="d"</formula>
    </cfRule>
    <cfRule type="expression" dxfId="167" priority="2">
      <formula>D6="w"</formula>
    </cfRule>
    <cfRule type="expression" dxfId="166" priority="3">
      <formula>D6="m"</formula>
    </cfRule>
  </conditionalFormatting>
  <conditionalFormatting sqref="D7">
    <cfRule type="expression" dxfId="165" priority="12">
      <formula>D8&gt;0</formula>
    </cfRule>
    <cfRule type="expression" dxfId="164" priority="21">
      <formula>D7=""</formula>
    </cfRule>
  </conditionalFormatting>
  <conditionalFormatting sqref="D8">
    <cfRule type="expression" dxfId="163" priority="11">
      <formula>AND(D8="",D7="")</formula>
    </cfRule>
  </conditionalFormatting>
  <conditionalFormatting sqref="E8">
    <cfRule type="expression" dxfId="162" priority="16">
      <formula>D8=""</formula>
    </cfRule>
  </conditionalFormatting>
  <conditionalFormatting sqref="F4">
    <cfRule type="expression" dxfId="161" priority="7">
      <formula>F4=""</formula>
    </cfRule>
  </conditionalFormatting>
  <conditionalFormatting sqref="F7">
    <cfRule type="expression" dxfId="160" priority="14">
      <formula>AND(D8&gt;0,F7=0)</formula>
    </cfRule>
  </conditionalFormatting>
  <conditionalFormatting sqref="F8">
    <cfRule type="expression" dxfId="159" priority="15">
      <formula>D8=""</formula>
    </cfRule>
  </conditionalFormatting>
  <conditionalFormatting sqref="F12">
    <cfRule type="expression" dxfId="158" priority="10">
      <formula>F12="Einkommen?"</formula>
    </cfRule>
  </conditionalFormatting>
  <conditionalFormatting sqref="G8">
    <cfRule type="expression" dxfId="157" priority="22">
      <formula>D12&gt;0</formula>
    </cfRule>
    <cfRule type="expression" dxfId="156" priority="23">
      <formula>D8&gt;0</formula>
    </cfRule>
  </conditionalFormatting>
  <conditionalFormatting sqref="G10 G4">
    <cfRule type="expression" dxfId="155" priority="9">
      <formula>D8&gt;0</formula>
    </cfRule>
  </conditionalFormatting>
  <conditionalFormatting sqref="G10">
    <cfRule type="expression" dxfId="154" priority="8">
      <formula>D8=""</formula>
    </cfRule>
  </conditionalFormatting>
  <conditionalFormatting sqref="G12">
    <cfRule type="expression" dxfId="153" priority="17">
      <formula>G12=""</formula>
    </cfRule>
  </conditionalFormatting>
  <conditionalFormatting sqref="G26">
    <cfRule type="expression" dxfId="152" priority="20">
      <formula>G26=""</formula>
    </cfRule>
  </conditionalFormatting>
  <dataValidations count="7">
    <dataValidation type="decimal" allowBlank="1" showInputMessage="1" showErrorMessage="1" sqref="F4" xr:uid="{FFF37F0B-9B5F-44C7-8216-61492184E248}">
      <formula1>0</formula1>
      <formula2>200000</formula2>
    </dataValidation>
    <dataValidation type="decimal" allowBlank="1" showInputMessage="1" showErrorMessage="1" sqref="G10" xr:uid="{2B793054-B7A1-40A3-8CE1-3A48A3C11731}">
      <formula1>0</formula1>
      <formula2>100000</formula2>
    </dataValidation>
    <dataValidation type="list" allowBlank="1" showInputMessage="1" showErrorMessage="1" sqref="D6" xr:uid="{0D83D2D1-B9A9-454E-B3BA-0E576134DF5A}">
      <formula1>$P$7:$P$10</formula1>
    </dataValidation>
    <dataValidation type="decimal" allowBlank="1" showInputMessage="1" showErrorMessage="1" errorTitle="Eingabebeschränkung" error="Es sind nur Eingaben zwischen 0% und 10% zulässig." sqref="G12" xr:uid="{33C22AEA-CA5F-4020-8B01-63AB2BFE25AE}">
      <formula1>0</formula1>
      <formula2>0.1</formula2>
    </dataValidation>
    <dataValidation type="decimal" allowBlank="1" showInputMessage="1" showErrorMessage="1" errorTitle="Eingabebeschränkung" error="Es sind nur Eingaben zwischen 0% und 100% möglich." sqref="G26" xr:uid="{57619EF0-905F-4182-A7C8-7782D04E3A91}">
      <formula1>0</formula1>
      <formula2>1</formula2>
    </dataValidation>
    <dataValidation type="decimal" allowBlank="1" showInputMessage="1" showErrorMessage="1" errorTitle="Eingabebeschränkung" error="Es sind nur Eingaben zwischen 0% und 20% möglich." sqref="D7" xr:uid="{21985E8C-D7C2-4511-955E-7DFE540FC93E}">
      <formula1>0</formula1>
      <formula2>0.2</formula2>
    </dataValidation>
    <dataValidation type="whole" allowBlank="1" showInputMessage="1" showErrorMessage="1" errorTitle="Eingabebeschränkung" error="Es sind nur Eingaben zwischen 1920 und 2023 möglich." sqref="D5" xr:uid="{38CEDDE6-3676-45EE-9CF3-2247EB0EE8C8}">
      <formula1>1920</formula1>
      <formula2>2023</formula2>
    </dataValidation>
  </dataValidations>
  <hyperlinks>
    <hyperlink ref="A29:H29" r:id="rId1" display="Der Autor übernimmt keine Haftung für die gefundenen Ergebnisse. Korrekturvorschläge, Lob &amp; Tadel an RA Jörn Hauß, Hauss@anwaelte-du.de" xr:uid="{FF9D501F-3275-4C19-B268-8C0B431064B8}"/>
  </hyperlinks>
  <pageMargins left="0.7" right="0.7" top="0.78740157499999996" bottom="0.78740157499999996"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19329" r:id="rId4" name="Option Button 1">
              <controlPr defaultSize="0" autoFill="0" autoLine="0" autoPict="0">
                <anchor moveWithCells="1">
                  <from>
                    <xdr:col>1</xdr:col>
                    <xdr:colOff>180975</xdr:colOff>
                    <xdr:row>23</xdr:row>
                    <xdr:rowOff>257175</xdr:rowOff>
                  </from>
                  <to>
                    <xdr:col>2</xdr:col>
                    <xdr:colOff>333375</xdr:colOff>
                    <xdr:row>23</xdr:row>
                    <xdr:rowOff>409575</xdr:rowOff>
                  </to>
                </anchor>
              </controlPr>
            </control>
          </mc:Choice>
        </mc:AlternateContent>
        <mc:AlternateContent xmlns:mc="http://schemas.openxmlformats.org/markup-compatibility/2006">
          <mc:Choice Requires="x14">
            <control shapeId="2019330" r:id="rId5" name="Option Button 2">
              <controlPr defaultSize="0" autoFill="0" autoLine="0" autoPict="0">
                <anchor moveWithCells="1">
                  <from>
                    <xdr:col>1</xdr:col>
                    <xdr:colOff>180975</xdr:colOff>
                    <xdr:row>23</xdr:row>
                    <xdr:rowOff>419100</xdr:rowOff>
                  </from>
                  <to>
                    <xdr:col>2</xdr:col>
                    <xdr:colOff>371475</xdr:colOff>
                    <xdr:row>25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1"/>
  <dimension ref="A1:BH372"/>
  <sheetViews>
    <sheetView topLeftCell="A6" zoomScaleNormal="100" workbookViewId="0">
      <pane ySplit="2655" topLeftCell="A211" activePane="bottomLeft"/>
      <selection activeCell="A4" sqref="A4:V4"/>
      <selection pane="bottomLeft" activeCell="A221" sqref="A221:XFD221"/>
    </sheetView>
  </sheetViews>
  <sheetFormatPr baseColWidth="10" defaultColWidth="11" defaultRowHeight="14.25"/>
  <cols>
    <col min="1" max="1" width="11.625" style="93" customWidth="1"/>
    <col min="2" max="15" width="5" style="71" customWidth="1"/>
    <col min="16" max="16" width="5" style="2278" customWidth="1"/>
    <col min="17" max="51" width="5" style="71" customWidth="1"/>
  </cols>
  <sheetData>
    <row r="1" spans="1:53" ht="15">
      <c r="Q1" s="94"/>
    </row>
    <row r="2" spans="1:53" ht="15">
      <c r="Q2" s="94"/>
    </row>
    <row r="3" spans="1:53" ht="15">
      <c r="A3" s="95">
        <f>MAX(A9:A300)</f>
        <v>46234</v>
      </c>
      <c r="Q3" s="94"/>
    </row>
    <row r="4" spans="1:53" ht="15" customHeight="1">
      <c r="A4" s="2411" t="s">
        <v>157</v>
      </c>
      <c r="B4" s="2411"/>
      <c r="C4" s="2411"/>
      <c r="D4" s="2411"/>
      <c r="E4" s="2411"/>
      <c r="F4" s="2411"/>
      <c r="G4" s="2411"/>
      <c r="H4" s="2411"/>
      <c r="I4" s="2411"/>
      <c r="J4" s="2411"/>
      <c r="K4" s="2411"/>
      <c r="L4" s="2411"/>
      <c r="M4" s="2411"/>
      <c r="N4" s="2411"/>
      <c r="O4" s="2411"/>
      <c r="P4" s="2411"/>
      <c r="Q4" s="2411"/>
      <c r="R4" s="2411"/>
      <c r="S4" s="2411"/>
      <c r="T4" s="2411"/>
      <c r="U4" s="2411"/>
      <c r="V4" s="2411"/>
    </row>
    <row r="5" spans="1:53" ht="15.75">
      <c r="A5" s="97"/>
      <c r="B5" s="96"/>
      <c r="C5" s="96"/>
      <c r="D5" s="96"/>
      <c r="E5" s="96"/>
      <c r="F5" s="96"/>
      <c r="G5" s="98"/>
      <c r="H5" s="98"/>
      <c r="I5" s="98"/>
      <c r="J5" s="98"/>
      <c r="K5" s="98"/>
      <c r="P5" s="2279"/>
    </row>
    <row r="6" spans="1:53" ht="15" customHeight="1">
      <c r="A6" s="99">
        <f>MAX(A9:B372)</f>
        <v>46234</v>
      </c>
      <c r="B6" s="100" t="s">
        <v>30</v>
      </c>
      <c r="C6" s="100"/>
      <c r="D6" s="100"/>
      <c r="E6" s="100"/>
      <c r="F6" s="100"/>
      <c r="G6" s="100"/>
      <c r="H6" s="100"/>
      <c r="I6" s="100"/>
      <c r="J6" s="100"/>
      <c r="K6" s="100"/>
      <c r="L6" s="100" t="s">
        <v>30</v>
      </c>
      <c r="P6" s="2279">
        <f>COUNTIF(P9:P140,0)</f>
        <v>0</v>
      </c>
      <c r="V6" s="100" t="s">
        <v>30</v>
      </c>
      <c r="Z6" s="94"/>
      <c r="AF6" s="100" t="s">
        <v>30</v>
      </c>
      <c r="AJ6" s="94"/>
      <c r="AP6" s="100" t="s">
        <v>30</v>
      </c>
      <c r="AT6" s="94"/>
    </row>
    <row r="7" spans="1:53" s="71" customFormat="1">
      <c r="A7" s="101"/>
      <c r="B7" s="102" t="s">
        <v>31</v>
      </c>
      <c r="C7" s="102"/>
      <c r="D7" s="102"/>
      <c r="E7" s="102"/>
      <c r="F7" s="102"/>
      <c r="G7" s="102"/>
      <c r="H7" s="102"/>
      <c r="I7" s="102"/>
      <c r="J7" s="102"/>
      <c r="K7" s="102"/>
      <c r="L7" s="102" t="s">
        <v>32</v>
      </c>
      <c r="M7" s="102"/>
      <c r="N7" s="102"/>
      <c r="O7" s="102"/>
      <c r="P7" s="2280"/>
      <c r="Q7" s="102"/>
      <c r="R7" s="102"/>
      <c r="S7" s="102"/>
      <c r="T7" s="102"/>
      <c r="U7" s="102"/>
      <c r="V7" s="102" t="s">
        <v>32</v>
      </c>
      <c r="W7" s="102"/>
      <c r="X7" s="102"/>
      <c r="Y7" s="102"/>
      <c r="Z7" s="102"/>
      <c r="AA7" s="102"/>
      <c r="AB7" s="102"/>
      <c r="AC7" s="102"/>
      <c r="AD7" s="102"/>
      <c r="AE7" s="102"/>
      <c r="AF7" s="102" t="s">
        <v>32</v>
      </c>
      <c r="AG7" s="102"/>
      <c r="AH7" s="102"/>
      <c r="AI7" s="102"/>
      <c r="AJ7" s="102"/>
      <c r="AK7" s="102"/>
      <c r="AL7" s="102"/>
      <c r="AM7" s="102"/>
      <c r="AN7" s="102"/>
      <c r="AO7" s="102"/>
      <c r="AP7" s="102" t="s">
        <v>32</v>
      </c>
      <c r="AQ7" s="102"/>
      <c r="AR7" s="102"/>
      <c r="AS7" s="102"/>
      <c r="AT7" s="102"/>
      <c r="AU7" s="102"/>
      <c r="AV7" s="102"/>
      <c r="AW7" s="102"/>
      <c r="AX7" s="102"/>
      <c r="AY7" s="102"/>
    </row>
    <row r="8" spans="1:53">
      <c r="A8"/>
      <c r="B8" s="102">
        <v>1</v>
      </c>
      <c r="C8" s="102">
        <v>2</v>
      </c>
      <c r="D8" s="102">
        <v>3</v>
      </c>
      <c r="E8" s="102">
        <v>4</v>
      </c>
      <c r="F8" s="102">
        <v>5</v>
      </c>
      <c r="G8" s="102">
        <v>6</v>
      </c>
      <c r="H8" s="102">
        <v>7</v>
      </c>
      <c r="I8" s="102">
        <v>8</v>
      </c>
      <c r="J8" s="102">
        <v>9</v>
      </c>
      <c r="K8" s="102">
        <v>10</v>
      </c>
      <c r="L8" s="102">
        <v>11</v>
      </c>
      <c r="M8" s="102">
        <v>12</v>
      </c>
      <c r="N8" s="102">
        <v>13</v>
      </c>
      <c r="O8" s="102">
        <v>14</v>
      </c>
      <c r="P8" s="2280">
        <v>15</v>
      </c>
      <c r="Q8" s="102">
        <v>16</v>
      </c>
      <c r="R8" s="102">
        <v>17</v>
      </c>
      <c r="S8" s="102">
        <v>18</v>
      </c>
      <c r="T8" s="102">
        <v>19</v>
      </c>
      <c r="U8" s="102">
        <v>20</v>
      </c>
      <c r="V8" s="102">
        <v>21</v>
      </c>
      <c r="W8" s="102">
        <v>22</v>
      </c>
      <c r="X8" s="102">
        <v>23</v>
      </c>
      <c r="Y8" s="102">
        <v>24</v>
      </c>
      <c r="Z8" s="102">
        <v>25</v>
      </c>
      <c r="AA8" s="102">
        <v>26</v>
      </c>
      <c r="AB8" s="102">
        <v>27</v>
      </c>
      <c r="AC8" s="102">
        <v>28</v>
      </c>
      <c r="AD8" s="102">
        <v>29</v>
      </c>
      <c r="AE8" s="102">
        <v>30</v>
      </c>
      <c r="AF8" s="102">
        <v>31</v>
      </c>
      <c r="AG8" s="102">
        <v>32</v>
      </c>
      <c r="AH8" s="102">
        <v>33</v>
      </c>
      <c r="AI8" s="102">
        <v>34</v>
      </c>
      <c r="AJ8" s="102">
        <v>35</v>
      </c>
      <c r="AK8" s="102">
        <v>36</v>
      </c>
      <c r="AL8" s="102">
        <v>37</v>
      </c>
      <c r="AM8" s="102">
        <v>38</v>
      </c>
      <c r="AN8" s="102">
        <v>39</v>
      </c>
      <c r="AO8" s="102">
        <v>40</v>
      </c>
      <c r="AP8" s="102">
        <v>41</v>
      </c>
      <c r="AQ8" s="102">
        <v>42</v>
      </c>
      <c r="AR8" s="102">
        <v>43</v>
      </c>
      <c r="AS8" s="102">
        <v>44</v>
      </c>
      <c r="AT8" s="102">
        <v>45</v>
      </c>
      <c r="AU8" s="102">
        <v>46</v>
      </c>
      <c r="AV8" s="102">
        <v>47</v>
      </c>
      <c r="AW8" s="102">
        <v>48</v>
      </c>
      <c r="AX8" s="102">
        <v>49</v>
      </c>
      <c r="AY8" s="102">
        <v>50</v>
      </c>
    </row>
    <row r="9" spans="1:53" s="104" customFormat="1" ht="12.75">
      <c r="A9" s="103">
        <v>39813</v>
      </c>
      <c r="B9" s="348">
        <v>3.93</v>
      </c>
      <c r="C9" s="348">
        <v>4.07</v>
      </c>
      <c r="D9" s="348">
        <v>4.2300000000000004</v>
      </c>
      <c r="E9" s="348">
        <v>4.38</v>
      </c>
      <c r="F9" s="348">
        <v>4.5</v>
      </c>
      <c r="G9" s="348">
        <v>4.62</v>
      </c>
      <c r="H9" s="348">
        <v>4.72</v>
      </c>
      <c r="I9" s="348">
        <v>4.82</v>
      </c>
      <c r="J9" s="348">
        <v>4.91</v>
      </c>
      <c r="K9" s="348">
        <v>4.9800000000000004</v>
      </c>
      <c r="L9" s="348">
        <v>5.05</v>
      </c>
      <c r="M9" s="348">
        <v>5.1100000000000003</v>
      </c>
      <c r="N9" s="348">
        <v>5.16</v>
      </c>
      <c r="O9" s="348">
        <v>5.21</v>
      </c>
      <c r="P9" s="2281">
        <v>5.25</v>
      </c>
      <c r="Q9" s="348">
        <v>5.28</v>
      </c>
      <c r="R9" s="348">
        <v>5.31</v>
      </c>
      <c r="S9" s="348">
        <v>5.34</v>
      </c>
      <c r="T9" s="348">
        <v>5.36</v>
      </c>
      <c r="U9" s="348">
        <v>5.38</v>
      </c>
      <c r="V9" s="348">
        <v>5.39</v>
      </c>
      <c r="W9" s="348">
        <v>5.39</v>
      </c>
      <c r="X9" s="348">
        <v>5.4</v>
      </c>
      <c r="Y9" s="348">
        <v>5.4</v>
      </c>
      <c r="Z9" s="348">
        <v>5.41</v>
      </c>
      <c r="AA9" s="348">
        <v>5.4</v>
      </c>
      <c r="AB9" s="348">
        <v>5.4</v>
      </c>
      <c r="AC9" s="348">
        <v>5.39</v>
      </c>
      <c r="AD9" s="348">
        <v>5.39</v>
      </c>
      <c r="AE9" s="348">
        <v>5.38</v>
      </c>
      <c r="AF9" s="348">
        <v>5.37</v>
      </c>
      <c r="AG9" s="348">
        <v>5.37</v>
      </c>
      <c r="AH9" s="348">
        <v>5.36</v>
      </c>
      <c r="AI9" s="348">
        <v>5.35</v>
      </c>
      <c r="AJ9" s="348">
        <v>5.34</v>
      </c>
      <c r="AK9" s="348">
        <v>5.33</v>
      </c>
      <c r="AL9" s="348">
        <v>5.33</v>
      </c>
      <c r="AM9" s="348">
        <v>5.32</v>
      </c>
      <c r="AN9" s="348">
        <v>5.32</v>
      </c>
      <c r="AO9" s="348">
        <v>5.31</v>
      </c>
      <c r="AP9" s="348">
        <v>5.3</v>
      </c>
      <c r="AQ9" s="348">
        <v>5.29</v>
      </c>
      <c r="AR9" s="348">
        <v>5.28</v>
      </c>
      <c r="AS9" s="348">
        <v>5.27</v>
      </c>
      <c r="AT9" s="348">
        <v>5.26</v>
      </c>
      <c r="AU9" s="348">
        <v>5.26</v>
      </c>
      <c r="AV9" s="348">
        <v>5.25</v>
      </c>
      <c r="AW9" s="348">
        <v>5.24</v>
      </c>
      <c r="AX9" s="348">
        <v>5.23</v>
      </c>
      <c r="AY9" s="348">
        <v>5.23</v>
      </c>
      <c r="AZ9" s="149">
        <v>2.75E-2</v>
      </c>
      <c r="BA9" s="104">
        <f>+AZ9*100</f>
        <v>2.75</v>
      </c>
    </row>
    <row r="10" spans="1:53" s="106" customFormat="1" ht="12.75">
      <c r="A10" s="105">
        <v>39844</v>
      </c>
      <c r="B10" s="348">
        <v>3.94</v>
      </c>
      <c r="C10" s="348">
        <v>4.08</v>
      </c>
      <c r="D10" s="348">
        <v>4.24</v>
      </c>
      <c r="E10" s="348">
        <v>4.4000000000000004</v>
      </c>
      <c r="F10" s="348">
        <v>4.51</v>
      </c>
      <c r="G10" s="348">
        <v>4.62</v>
      </c>
      <c r="H10" s="348">
        <v>4.7300000000000004</v>
      </c>
      <c r="I10" s="348">
        <v>4.83</v>
      </c>
      <c r="J10" s="348">
        <v>4.91</v>
      </c>
      <c r="K10" s="348">
        <v>4.99</v>
      </c>
      <c r="L10" s="348">
        <v>5.0599999999999996</v>
      </c>
      <c r="M10" s="348">
        <v>5.12</v>
      </c>
      <c r="N10" s="348">
        <v>5.17</v>
      </c>
      <c r="O10" s="348">
        <v>5.22</v>
      </c>
      <c r="P10" s="2281">
        <v>5.26</v>
      </c>
      <c r="Q10" s="348">
        <v>5.29</v>
      </c>
      <c r="R10" s="348">
        <v>5.32</v>
      </c>
      <c r="S10" s="348">
        <v>5.35</v>
      </c>
      <c r="T10" s="348">
        <v>5.37</v>
      </c>
      <c r="U10" s="348">
        <v>5.39</v>
      </c>
      <c r="V10" s="348">
        <v>5.4</v>
      </c>
      <c r="W10" s="348">
        <v>5.4</v>
      </c>
      <c r="X10" s="348">
        <v>5.41</v>
      </c>
      <c r="Y10" s="348">
        <v>5.41</v>
      </c>
      <c r="Z10" s="348">
        <v>5.42</v>
      </c>
      <c r="AA10" s="348">
        <v>5.41</v>
      </c>
      <c r="AB10" s="348">
        <v>5.4</v>
      </c>
      <c r="AC10" s="348">
        <v>5.4</v>
      </c>
      <c r="AD10" s="348">
        <v>5.39</v>
      </c>
      <c r="AE10" s="348">
        <v>5.39</v>
      </c>
      <c r="AF10" s="348">
        <v>5.38</v>
      </c>
      <c r="AG10" s="348">
        <v>5.37</v>
      </c>
      <c r="AH10" s="348">
        <v>5.36</v>
      </c>
      <c r="AI10" s="348">
        <v>5.35</v>
      </c>
      <c r="AJ10" s="348">
        <v>5.35</v>
      </c>
      <c r="AK10" s="348">
        <v>5.34</v>
      </c>
      <c r="AL10" s="348">
        <v>5.33</v>
      </c>
      <c r="AM10" s="348">
        <v>5.32</v>
      </c>
      <c r="AN10" s="348">
        <v>5.32</v>
      </c>
      <c r="AO10" s="348">
        <v>5.31</v>
      </c>
      <c r="AP10" s="348">
        <v>5.3</v>
      </c>
      <c r="AQ10" s="348">
        <v>5.29</v>
      </c>
      <c r="AR10" s="348">
        <v>5.28</v>
      </c>
      <c r="AS10" s="348">
        <v>5.27</v>
      </c>
      <c r="AT10" s="348">
        <v>5.27</v>
      </c>
      <c r="AU10" s="348">
        <v>5.26</v>
      </c>
      <c r="AV10" s="348">
        <v>5.25</v>
      </c>
      <c r="AW10" s="348">
        <v>5.24</v>
      </c>
      <c r="AX10" s="348">
        <v>5.24</v>
      </c>
      <c r="AY10" s="348">
        <v>5.23</v>
      </c>
      <c r="AZ10" s="149">
        <v>2.75E-2</v>
      </c>
      <c r="BA10" s="104">
        <f t="shared" ref="BA10:BA73" si="0">+AZ10*100</f>
        <v>2.75</v>
      </c>
    </row>
    <row r="11" spans="1:53" s="106" customFormat="1" ht="12.75">
      <c r="A11" s="105">
        <v>39872</v>
      </c>
      <c r="B11" s="348">
        <v>3.94</v>
      </c>
      <c r="C11" s="348">
        <v>4.08</v>
      </c>
      <c r="D11" s="348">
        <v>4.24</v>
      </c>
      <c r="E11" s="348">
        <v>4.41</v>
      </c>
      <c r="F11" s="348">
        <v>4.51</v>
      </c>
      <c r="G11" s="348">
        <v>4.63</v>
      </c>
      <c r="H11" s="348">
        <v>4.74</v>
      </c>
      <c r="I11" s="348">
        <v>4.83</v>
      </c>
      <c r="J11" s="348">
        <v>4.92</v>
      </c>
      <c r="K11" s="348">
        <v>5</v>
      </c>
      <c r="L11" s="348">
        <v>5.07</v>
      </c>
      <c r="M11" s="348">
        <v>5.13</v>
      </c>
      <c r="N11" s="348">
        <v>5.18</v>
      </c>
      <c r="O11" s="348">
        <v>5.23</v>
      </c>
      <c r="P11" s="2281">
        <v>5.27</v>
      </c>
      <c r="Q11" s="348">
        <v>5.3</v>
      </c>
      <c r="R11" s="348">
        <v>5.33</v>
      </c>
      <c r="S11" s="348">
        <v>5.36</v>
      </c>
      <c r="T11" s="348">
        <v>5.38</v>
      </c>
      <c r="U11" s="348">
        <v>5.4</v>
      </c>
      <c r="V11" s="348">
        <v>5.4</v>
      </c>
      <c r="W11" s="348">
        <v>5.41</v>
      </c>
      <c r="X11" s="348">
        <v>5.41</v>
      </c>
      <c r="Y11" s="348">
        <v>5.42</v>
      </c>
      <c r="Z11" s="348">
        <v>5.42</v>
      </c>
      <c r="AA11" s="348">
        <v>5.42</v>
      </c>
      <c r="AB11" s="348">
        <v>5.41</v>
      </c>
      <c r="AC11" s="348">
        <v>5.4</v>
      </c>
      <c r="AD11" s="348">
        <v>5.4</v>
      </c>
      <c r="AE11" s="348">
        <v>5.39</v>
      </c>
      <c r="AF11" s="348">
        <v>5.38</v>
      </c>
      <c r="AG11" s="348">
        <v>5.37</v>
      </c>
      <c r="AH11" s="348">
        <v>5.36</v>
      </c>
      <c r="AI11" s="348">
        <v>5.35</v>
      </c>
      <c r="AJ11" s="348">
        <v>5.35</v>
      </c>
      <c r="AK11" s="348">
        <v>5.34</v>
      </c>
      <c r="AL11" s="348">
        <v>5.33</v>
      </c>
      <c r="AM11" s="348">
        <v>5.32</v>
      </c>
      <c r="AN11" s="348">
        <v>5.32</v>
      </c>
      <c r="AO11" s="348">
        <v>5.31</v>
      </c>
      <c r="AP11" s="348">
        <v>5.3</v>
      </c>
      <c r="AQ11" s="348">
        <v>5.29</v>
      </c>
      <c r="AR11" s="348">
        <v>5.28</v>
      </c>
      <c r="AS11" s="348">
        <v>5.27</v>
      </c>
      <c r="AT11" s="348">
        <v>5.26</v>
      </c>
      <c r="AU11" s="348">
        <v>5.26</v>
      </c>
      <c r="AV11" s="348">
        <v>5.25</v>
      </c>
      <c r="AW11" s="348">
        <v>5.24</v>
      </c>
      <c r="AX11" s="348">
        <v>5.23</v>
      </c>
      <c r="AY11" s="348">
        <v>5.23</v>
      </c>
      <c r="AZ11" s="149">
        <v>2.75E-2</v>
      </c>
      <c r="BA11" s="104">
        <f t="shared" si="0"/>
        <v>2.75</v>
      </c>
    </row>
    <row r="12" spans="1:53" s="106" customFormat="1" ht="12.75">
      <c r="A12" s="105">
        <v>39903</v>
      </c>
      <c r="B12" s="348">
        <v>3.95</v>
      </c>
      <c r="C12" s="348">
        <v>4.08</v>
      </c>
      <c r="D12" s="348">
        <v>4.24</v>
      </c>
      <c r="E12" s="348">
        <v>4.41</v>
      </c>
      <c r="F12" s="348">
        <v>4.51</v>
      </c>
      <c r="G12" s="348">
        <v>4.63</v>
      </c>
      <c r="H12" s="348">
        <v>4.74</v>
      </c>
      <c r="I12" s="348">
        <v>4.84</v>
      </c>
      <c r="J12" s="348">
        <v>4.93</v>
      </c>
      <c r="K12" s="348">
        <v>5.01</v>
      </c>
      <c r="L12" s="348">
        <v>5.08</v>
      </c>
      <c r="M12" s="348">
        <v>5.13</v>
      </c>
      <c r="N12" s="348">
        <v>5.19</v>
      </c>
      <c r="O12" s="348">
        <v>5.24</v>
      </c>
      <c r="P12" s="2281">
        <v>5.28</v>
      </c>
      <c r="Q12" s="348">
        <v>5.31</v>
      </c>
      <c r="R12" s="348">
        <v>5.34</v>
      </c>
      <c r="S12" s="348">
        <v>5.37</v>
      </c>
      <c r="T12" s="348">
        <v>5.39</v>
      </c>
      <c r="U12" s="348">
        <v>5.41</v>
      </c>
      <c r="V12" s="348">
        <v>5.41</v>
      </c>
      <c r="W12" s="348">
        <v>5.42</v>
      </c>
      <c r="X12" s="348">
        <v>5.42</v>
      </c>
      <c r="Y12" s="348">
        <v>5.43</v>
      </c>
      <c r="Z12" s="348">
        <v>5.43</v>
      </c>
      <c r="AA12" s="348">
        <v>5.42</v>
      </c>
      <c r="AB12" s="348">
        <v>5.42</v>
      </c>
      <c r="AC12" s="348">
        <v>5.41</v>
      </c>
      <c r="AD12" s="348">
        <v>5.4</v>
      </c>
      <c r="AE12" s="348">
        <v>5.4</v>
      </c>
      <c r="AF12" s="348">
        <v>5.39</v>
      </c>
      <c r="AG12" s="348">
        <v>5.38</v>
      </c>
      <c r="AH12" s="348">
        <v>5.37</v>
      </c>
      <c r="AI12" s="348">
        <v>5.36</v>
      </c>
      <c r="AJ12" s="348">
        <v>5.35</v>
      </c>
      <c r="AK12" s="348">
        <v>5.34</v>
      </c>
      <c r="AL12" s="348">
        <v>5.34</v>
      </c>
      <c r="AM12" s="348">
        <v>5.33</v>
      </c>
      <c r="AN12" s="348">
        <v>5.32</v>
      </c>
      <c r="AO12" s="348">
        <v>5.32</v>
      </c>
      <c r="AP12" s="348">
        <v>5.31</v>
      </c>
      <c r="AQ12" s="348">
        <v>5.3</v>
      </c>
      <c r="AR12" s="348">
        <v>5.29</v>
      </c>
      <c r="AS12" s="348">
        <v>5.28</v>
      </c>
      <c r="AT12" s="348">
        <v>5.27</v>
      </c>
      <c r="AU12" s="348">
        <v>5.26</v>
      </c>
      <c r="AV12" s="348">
        <v>5.25</v>
      </c>
      <c r="AW12" s="348">
        <v>5.25</v>
      </c>
      <c r="AX12" s="348">
        <v>5.24</v>
      </c>
      <c r="AY12" s="348">
        <v>5.23</v>
      </c>
      <c r="AZ12" s="149">
        <v>2.75E-2</v>
      </c>
      <c r="BA12" s="104">
        <f t="shared" si="0"/>
        <v>2.75</v>
      </c>
    </row>
    <row r="13" spans="1:53" s="106" customFormat="1" ht="12.75">
      <c r="A13" s="105">
        <v>39933</v>
      </c>
      <c r="B13" s="348">
        <v>3.95</v>
      </c>
      <c r="C13" s="348">
        <v>4.08</v>
      </c>
      <c r="D13" s="348">
        <v>4.24</v>
      </c>
      <c r="E13" s="348">
        <v>4.41</v>
      </c>
      <c r="F13" s="348">
        <v>4.51</v>
      </c>
      <c r="G13" s="348">
        <v>4.63</v>
      </c>
      <c r="H13" s="348">
        <v>4.74</v>
      </c>
      <c r="I13" s="348">
        <v>4.84</v>
      </c>
      <c r="J13" s="348">
        <v>4.93</v>
      </c>
      <c r="K13" s="348">
        <v>5.01</v>
      </c>
      <c r="L13" s="348">
        <v>5.08</v>
      </c>
      <c r="M13" s="348">
        <v>5.14</v>
      </c>
      <c r="N13" s="348">
        <v>5.2</v>
      </c>
      <c r="O13" s="348">
        <v>5.24</v>
      </c>
      <c r="P13" s="2281">
        <v>5.29</v>
      </c>
      <c r="Q13" s="348">
        <v>5.32</v>
      </c>
      <c r="R13" s="348">
        <v>5.35</v>
      </c>
      <c r="S13" s="348">
        <v>5.37</v>
      </c>
      <c r="T13" s="348">
        <v>5.39</v>
      </c>
      <c r="U13" s="348">
        <v>5.41</v>
      </c>
      <c r="V13" s="348">
        <v>5.42</v>
      </c>
      <c r="W13" s="348">
        <v>5.42</v>
      </c>
      <c r="X13" s="348">
        <v>5.43</v>
      </c>
      <c r="Y13" s="348">
        <v>5.43</v>
      </c>
      <c r="Z13" s="348">
        <v>5.43</v>
      </c>
      <c r="AA13" s="348">
        <v>5.43</v>
      </c>
      <c r="AB13" s="348">
        <v>5.42</v>
      </c>
      <c r="AC13" s="348">
        <v>5.41</v>
      </c>
      <c r="AD13" s="348">
        <v>5.41</v>
      </c>
      <c r="AE13" s="348">
        <v>5.4</v>
      </c>
      <c r="AF13" s="348">
        <v>5.39</v>
      </c>
      <c r="AG13" s="348">
        <v>5.38</v>
      </c>
      <c r="AH13" s="348">
        <v>5.37</v>
      </c>
      <c r="AI13" s="348">
        <v>5.36</v>
      </c>
      <c r="AJ13" s="348">
        <v>5.35</v>
      </c>
      <c r="AK13" s="348">
        <v>5.35</v>
      </c>
      <c r="AL13" s="348">
        <v>5.34</v>
      </c>
      <c r="AM13" s="348">
        <v>5.33</v>
      </c>
      <c r="AN13" s="348">
        <v>5.32</v>
      </c>
      <c r="AO13" s="348">
        <v>5.32</v>
      </c>
      <c r="AP13" s="348">
        <v>5.31</v>
      </c>
      <c r="AQ13" s="348">
        <v>5.3</v>
      </c>
      <c r="AR13" s="348">
        <v>5.29</v>
      </c>
      <c r="AS13" s="348">
        <v>5.28</v>
      </c>
      <c r="AT13" s="348">
        <v>5.27</v>
      </c>
      <c r="AU13" s="348">
        <v>5.26</v>
      </c>
      <c r="AV13" s="348">
        <v>5.26</v>
      </c>
      <c r="AW13" s="348">
        <v>5.25</v>
      </c>
      <c r="AX13" s="348">
        <v>5.24</v>
      </c>
      <c r="AY13" s="348">
        <v>5.23</v>
      </c>
      <c r="AZ13" s="149">
        <v>2.75E-2</v>
      </c>
      <c r="BA13" s="104">
        <f t="shared" si="0"/>
        <v>2.75</v>
      </c>
    </row>
    <row r="14" spans="1:53" s="106" customFormat="1" ht="12.75">
      <c r="A14" s="105">
        <v>39964</v>
      </c>
      <c r="B14" s="348">
        <v>3.93</v>
      </c>
      <c r="C14" s="348">
        <v>4.07</v>
      </c>
      <c r="D14" s="348">
        <v>4.2300000000000004</v>
      </c>
      <c r="E14" s="348">
        <v>4.4000000000000004</v>
      </c>
      <c r="F14" s="348">
        <v>4.51</v>
      </c>
      <c r="G14" s="348">
        <v>4.63</v>
      </c>
      <c r="H14" s="348">
        <v>4.74</v>
      </c>
      <c r="I14" s="348">
        <v>4.84</v>
      </c>
      <c r="J14" s="348">
        <v>4.93</v>
      </c>
      <c r="K14" s="348">
        <v>5.01</v>
      </c>
      <c r="L14" s="348">
        <v>5.08</v>
      </c>
      <c r="M14" s="348">
        <v>5.14</v>
      </c>
      <c r="N14" s="348">
        <v>5.2</v>
      </c>
      <c r="O14" s="348">
        <v>5.25</v>
      </c>
      <c r="P14" s="2281">
        <v>5.29</v>
      </c>
      <c r="Q14" s="348">
        <v>5.32</v>
      </c>
      <c r="R14" s="348">
        <v>5.35</v>
      </c>
      <c r="S14" s="348">
        <v>5.37</v>
      </c>
      <c r="T14" s="348">
        <v>5.4</v>
      </c>
      <c r="U14" s="348">
        <v>5.42</v>
      </c>
      <c r="V14" s="348">
        <v>5.42</v>
      </c>
      <c r="W14" s="348">
        <v>5.42</v>
      </c>
      <c r="X14" s="348">
        <v>5.43</v>
      </c>
      <c r="Y14" s="348">
        <v>5.43</v>
      </c>
      <c r="Z14" s="348">
        <v>5.43</v>
      </c>
      <c r="AA14" s="348">
        <v>5.43</v>
      </c>
      <c r="AB14" s="348">
        <v>5.42</v>
      </c>
      <c r="AC14" s="348">
        <v>5.41</v>
      </c>
      <c r="AD14" s="348">
        <v>5.41</v>
      </c>
      <c r="AE14" s="348">
        <v>5.4</v>
      </c>
      <c r="AF14" s="348">
        <v>5.39</v>
      </c>
      <c r="AG14" s="348">
        <v>5.38</v>
      </c>
      <c r="AH14" s="348">
        <v>5.37</v>
      </c>
      <c r="AI14" s="348">
        <v>5.36</v>
      </c>
      <c r="AJ14" s="348">
        <v>5.35</v>
      </c>
      <c r="AK14" s="348">
        <v>5.34</v>
      </c>
      <c r="AL14" s="348">
        <v>5.34</v>
      </c>
      <c r="AM14" s="348">
        <v>5.33</v>
      </c>
      <c r="AN14" s="348">
        <v>5.32</v>
      </c>
      <c r="AO14" s="348">
        <v>5.31</v>
      </c>
      <c r="AP14" s="348">
        <v>5.3</v>
      </c>
      <c r="AQ14" s="348">
        <v>5.29</v>
      </c>
      <c r="AR14" s="348">
        <v>5.29</v>
      </c>
      <c r="AS14" s="348">
        <v>5.28</v>
      </c>
      <c r="AT14" s="348">
        <v>5.27</v>
      </c>
      <c r="AU14" s="348">
        <v>5.26</v>
      </c>
      <c r="AV14" s="348">
        <v>5.25</v>
      </c>
      <c r="AW14" s="348">
        <v>5.24</v>
      </c>
      <c r="AX14" s="348">
        <v>5.24</v>
      </c>
      <c r="AY14" s="348">
        <v>5.23</v>
      </c>
      <c r="AZ14" s="149">
        <v>2.75E-2</v>
      </c>
      <c r="BA14" s="104">
        <f t="shared" si="0"/>
        <v>2.75</v>
      </c>
    </row>
    <row r="15" spans="1:53" s="106" customFormat="1" ht="12.75">
      <c r="A15" s="105">
        <v>39994</v>
      </c>
      <c r="B15" s="348">
        <v>3.92</v>
      </c>
      <c r="C15" s="348">
        <v>4.05</v>
      </c>
      <c r="D15" s="348">
        <v>4.22</v>
      </c>
      <c r="E15" s="348">
        <v>4.3899999999999997</v>
      </c>
      <c r="F15" s="348">
        <v>4.5</v>
      </c>
      <c r="G15" s="348">
        <v>4.62</v>
      </c>
      <c r="H15" s="348">
        <v>4.7300000000000004</v>
      </c>
      <c r="I15" s="348">
        <v>4.83</v>
      </c>
      <c r="J15" s="348">
        <v>4.92</v>
      </c>
      <c r="K15" s="348">
        <v>5</v>
      </c>
      <c r="L15" s="348">
        <v>5.08</v>
      </c>
      <c r="M15" s="348">
        <v>5.14</v>
      </c>
      <c r="N15" s="348">
        <v>5.19</v>
      </c>
      <c r="O15" s="348">
        <v>5.24</v>
      </c>
      <c r="P15" s="2281">
        <v>5.29</v>
      </c>
      <c r="Q15" s="348">
        <v>5.32</v>
      </c>
      <c r="R15" s="348">
        <v>5.35</v>
      </c>
      <c r="S15" s="348">
        <v>5.37</v>
      </c>
      <c r="T15" s="348">
        <v>5.4</v>
      </c>
      <c r="U15" s="348">
        <v>5.42</v>
      </c>
      <c r="V15" s="348">
        <v>5.42</v>
      </c>
      <c r="W15" s="348">
        <v>5.42</v>
      </c>
      <c r="X15" s="348">
        <v>5.43</v>
      </c>
      <c r="Y15" s="348">
        <v>5.43</v>
      </c>
      <c r="Z15" s="348">
        <v>5.43</v>
      </c>
      <c r="AA15" s="348">
        <v>5.43</v>
      </c>
      <c r="AB15" s="348">
        <v>5.42</v>
      </c>
      <c r="AC15" s="348">
        <v>5.41</v>
      </c>
      <c r="AD15" s="348">
        <v>5.4</v>
      </c>
      <c r="AE15" s="348">
        <v>5.4</v>
      </c>
      <c r="AF15" s="348">
        <v>5.39</v>
      </c>
      <c r="AG15" s="348">
        <v>5.38</v>
      </c>
      <c r="AH15" s="348">
        <v>5.37</v>
      </c>
      <c r="AI15" s="348">
        <v>5.36</v>
      </c>
      <c r="AJ15" s="348">
        <v>5.35</v>
      </c>
      <c r="AK15" s="348">
        <v>5.34</v>
      </c>
      <c r="AL15" s="348">
        <v>5.33</v>
      </c>
      <c r="AM15" s="348">
        <v>5.33</v>
      </c>
      <c r="AN15" s="348">
        <v>5.32</v>
      </c>
      <c r="AO15" s="348">
        <v>5.31</v>
      </c>
      <c r="AP15" s="348">
        <v>5.3</v>
      </c>
      <c r="AQ15" s="348">
        <v>5.29</v>
      </c>
      <c r="AR15" s="348">
        <v>5.28</v>
      </c>
      <c r="AS15" s="348">
        <v>5.27</v>
      </c>
      <c r="AT15" s="348">
        <v>5.27</v>
      </c>
      <c r="AU15" s="348">
        <v>5.26</v>
      </c>
      <c r="AV15" s="348">
        <v>5.25</v>
      </c>
      <c r="AW15" s="348">
        <v>5.24</v>
      </c>
      <c r="AX15" s="348">
        <v>5.23</v>
      </c>
      <c r="AY15" s="348">
        <v>5.23</v>
      </c>
      <c r="AZ15" s="149">
        <v>2.75E-2</v>
      </c>
      <c r="BA15" s="104">
        <f t="shared" si="0"/>
        <v>2.75</v>
      </c>
    </row>
    <row r="16" spans="1:53" s="106" customFormat="1" ht="12.75">
      <c r="A16" s="105">
        <v>40025</v>
      </c>
      <c r="B16" s="348">
        <v>3.9</v>
      </c>
      <c r="C16" s="348">
        <v>4.04</v>
      </c>
      <c r="D16" s="348">
        <v>4.2</v>
      </c>
      <c r="E16" s="348">
        <v>4.38</v>
      </c>
      <c r="F16" s="348">
        <v>4.49</v>
      </c>
      <c r="G16" s="348">
        <v>4.6100000000000003</v>
      </c>
      <c r="H16" s="348">
        <v>4.72</v>
      </c>
      <c r="I16" s="348">
        <v>4.82</v>
      </c>
      <c r="J16" s="348">
        <v>4.91</v>
      </c>
      <c r="K16" s="348">
        <v>4.99</v>
      </c>
      <c r="L16" s="348">
        <v>5.07</v>
      </c>
      <c r="M16" s="348">
        <v>5.13</v>
      </c>
      <c r="N16" s="348">
        <v>5.19</v>
      </c>
      <c r="O16" s="348">
        <v>5.24</v>
      </c>
      <c r="P16" s="2281">
        <v>5.28</v>
      </c>
      <c r="Q16" s="348">
        <v>5.31</v>
      </c>
      <c r="R16" s="348">
        <v>5.34</v>
      </c>
      <c r="S16" s="348">
        <v>5.37</v>
      </c>
      <c r="T16" s="348">
        <v>5.39</v>
      </c>
      <c r="U16" s="348">
        <v>5.41</v>
      </c>
      <c r="V16" s="348">
        <v>5.41</v>
      </c>
      <c r="W16" s="348">
        <v>5.42</v>
      </c>
      <c r="X16" s="348">
        <v>5.42</v>
      </c>
      <c r="Y16" s="348">
        <v>5.42</v>
      </c>
      <c r="Z16" s="348">
        <v>5.43</v>
      </c>
      <c r="AA16" s="348">
        <v>5.42</v>
      </c>
      <c r="AB16" s="348">
        <v>5.41</v>
      </c>
      <c r="AC16" s="348">
        <v>5.4</v>
      </c>
      <c r="AD16" s="348">
        <v>5.4</v>
      </c>
      <c r="AE16" s="348">
        <v>5.39</v>
      </c>
      <c r="AF16" s="348">
        <v>5.38</v>
      </c>
      <c r="AG16" s="348">
        <v>5.37</v>
      </c>
      <c r="AH16" s="348">
        <v>5.36</v>
      </c>
      <c r="AI16" s="348">
        <v>5.35</v>
      </c>
      <c r="AJ16" s="348">
        <v>5.34</v>
      </c>
      <c r="AK16" s="348">
        <v>5.33</v>
      </c>
      <c r="AL16" s="348">
        <v>5.32</v>
      </c>
      <c r="AM16" s="348">
        <v>5.32</v>
      </c>
      <c r="AN16" s="348">
        <v>5.31</v>
      </c>
      <c r="AO16" s="348">
        <v>5.3</v>
      </c>
      <c r="AP16" s="348">
        <v>5.29</v>
      </c>
      <c r="AQ16" s="348">
        <v>5.28</v>
      </c>
      <c r="AR16" s="348">
        <v>5.27</v>
      </c>
      <c r="AS16" s="348">
        <v>5.26</v>
      </c>
      <c r="AT16" s="348">
        <v>5.26</v>
      </c>
      <c r="AU16" s="348">
        <v>5.25</v>
      </c>
      <c r="AV16" s="348">
        <v>5.24</v>
      </c>
      <c r="AW16" s="348">
        <v>5.23</v>
      </c>
      <c r="AX16" s="348">
        <v>5.22</v>
      </c>
      <c r="AY16" s="348">
        <v>5.22</v>
      </c>
      <c r="AZ16" s="149">
        <v>2.75E-2</v>
      </c>
      <c r="BA16" s="104">
        <f t="shared" si="0"/>
        <v>2.75</v>
      </c>
    </row>
    <row r="17" spans="1:53" s="106" customFormat="1" ht="12.75">
      <c r="A17" s="105">
        <v>40056</v>
      </c>
      <c r="B17" s="348">
        <v>3.88</v>
      </c>
      <c r="C17" s="348">
        <v>4.0199999999999996</v>
      </c>
      <c r="D17" s="348">
        <v>4.1900000000000004</v>
      </c>
      <c r="E17" s="348">
        <v>4.3499999999999996</v>
      </c>
      <c r="F17" s="348">
        <v>4.4800000000000004</v>
      </c>
      <c r="G17" s="348">
        <v>4.5999999999999996</v>
      </c>
      <c r="H17" s="348">
        <v>4.72</v>
      </c>
      <c r="I17" s="348">
        <v>4.82</v>
      </c>
      <c r="J17" s="348">
        <v>4.91</v>
      </c>
      <c r="K17" s="348">
        <v>4.99</v>
      </c>
      <c r="L17" s="348">
        <v>5.0599999999999996</v>
      </c>
      <c r="M17" s="348">
        <v>5.12</v>
      </c>
      <c r="N17" s="348">
        <v>5.18</v>
      </c>
      <c r="O17" s="348">
        <v>5.23</v>
      </c>
      <c r="P17" s="2281">
        <v>5.28</v>
      </c>
      <c r="Q17" s="348">
        <v>5.31</v>
      </c>
      <c r="R17" s="348">
        <v>5.34</v>
      </c>
      <c r="S17" s="348">
        <v>5.36</v>
      </c>
      <c r="T17" s="348">
        <v>5.39</v>
      </c>
      <c r="U17" s="348">
        <v>5.41</v>
      </c>
      <c r="V17" s="348">
        <v>5.41</v>
      </c>
      <c r="W17" s="348">
        <v>5.41</v>
      </c>
      <c r="X17" s="348">
        <v>5.42</v>
      </c>
      <c r="Y17" s="348">
        <v>5.42</v>
      </c>
      <c r="Z17" s="348">
        <v>5.42</v>
      </c>
      <c r="AA17" s="348">
        <v>5.41</v>
      </c>
      <c r="AB17" s="348">
        <v>5.41</v>
      </c>
      <c r="AC17" s="348">
        <v>5.4</v>
      </c>
      <c r="AD17" s="348">
        <v>5.39</v>
      </c>
      <c r="AE17" s="348">
        <v>5.39</v>
      </c>
      <c r="AF17" s="348">
        <v>5.38</v>
      </c>
      <c r="AG17" s="348">
        <v>5.36</v>
      </c>
      <c r="AH17" s="348">
        <v>5.35</v>
      </c>
      <c r="AI17" s="348">
        <v>5.34</v>
      </c>
      <c r="AJ17" s="348">
        <v>5.34</v>
      </c>
      <c r="AK17" s="348">
        <v>5.33</v>
      </c>
      <c r="AL17" s="348">
        <v>5.32</v>
      </c>
      <c r="AM17" s="348">
        <v>5.31</v>
      </c>
      <c r="AN17" s="348">
        <v>5.3</v>
      </c>
      <c r="AO17" s="348">
        <v>5.3</v>
      </c>
      <c r="AP17" s="348">
        <v>5.29</v>
      </c>
      <c r="AQ17" s="348">
        <v>5.28</v>
      </c>
      <c r="AR17" s="348">
        <v>5.27</v>
      </c>
      <c r="AS17" s="348">
        <v>5.26</v>
      </c>
      <c r="AT17" s="348">
        <v>5.25</v>
      </c>
      <c r="AU17" s="348">
        <v>5.24</v>
      </c>
      <c r="AV17" s="348">
        <v>5.23</v>
      </c>
      <c r="AW17" s="348">
        <v>5.23</v>
      </c>
      <c r="AX17" s="348">
        <v>5.22</v>
      </c>
      <c r="AY17" s="348">
        <v>5.21</v>
      </c>
      <c r="AZ17" s="149">
        <v>2.75E-2</v>
      </c>
      <c r="BA17" s="104">
        <f t="shared" si="0"/>
        <v>2.75</v>
      </c>
    </row>
    <row r="18" spans="1:53" s="106" customFormat="1" ht="12.75">
      <c r="A18" s="105">
        <v>40086</v>
      </c>
      <c r="B18" s="348">
        <v>3.87</v>
      </c>
      <c r="C18" s="348">
        <v>4.01</v>
      </c>
      <c r="D18" s="348">
        <v>4.18</v>
      </c>
      <c r="E18" s="348">
        <v>4.34</v>
      </c>
      <c r="F18" s="348">
        <v>4.47</v>
      </c>
      <c r="G18" s="348">
        <v>4.5999999999999996</v>
      </c>
      <c r="H18" s="348">
        <v>4.71</v>
      </c>
      <c r="I18" s="348">
        <v>4.8099999999999996</v>
      </c>
      <c r="J18" s="348">
        <v>4.9000000000000004</v>
      </c>
      <c r="K18" s="348">
        <v>4.9800000000000004</v>
      </c>
      <c r="L18" s="348">
        <v>5.0599999999999996</v>
      </c>
      <c r="M18" s="348">
        <v>5.12</v>
      </c>
      <c r="N18" s="348">
        <v>5.18</v>
      </c>
      <c r="O18" s="348">
        <v>5.23</v>
      </c>
      <c r="P18" s="2281">
        <v>5.27</v>
      </c>
      <c r="Q18" s="348">
        <v>5.3</v>
      </c>
      <c r="R18" s="348">
        <v>5.33</v>
      </c>
      <c r="S18" s="348">
        <v>5.36</v>
      </c>
      <c r="T18" s="348">
        <v>5.38</v>
      </c>
      <c r="U18" s="348">
        <v>5.4</v>
      </c>
      <c r="V18" s="348">
        <v>5.41</v>
      </c>
      <c r="W18" s="348">
        <v>5.41</v>
      </c>
      <c r="X18" s="348">
        <v>5.41</v>
      </c>
      <c r="Y18" s="348">
        <v>5.41</v>
      </c>
      <c r="Z18" s="348">
        <v>5.42</v>
      </c>
      <c r="AA18" s="348">
        <v>5.41</v>
      </c>
      <c r="AB18" s="348">
        <v>5.4</v>
      </c>
      <c r="AC18" s="348">
        <v>5.39</v>
      </c>
      <c r="AD18" s="348">
        <v>5.39</v>
      </c>
      <c r="AE18" s="348">
        <v>5.38</v>
      </c>
      <c r="AF18" s="348">
        <v>5.37</v>
      </c>
      <c r="AG18" s="348">
        <v>5.36</v>
      </c>
      <c r="AH18" s="348">
        <v>5.35</v>
      </c>
      <c r="AI18" s="348">
        <v>5.34</v>
      </c>
      <c r="AJ18" s="348">
        <v>5.33</v>
      </c>
      <c r="AK18" s="348">
        <v>5.32</v>
      </c>
      <c r="AL18" s="348">
        <v>5.31</v>
      </c>
      <c r="AM18" s="348">
        <v>5.3</v>
      </c>
      <c r="AN18" s="348">
        <v>5.3</v>
      </c>
      <c r="AO18" s="348">
        <v>5.29</v>
      </c>
      <c r="AP18" s="348">
        <v>5.28</v>
      </c>
      <c r="AQ18" s="348">
        <v>5.27</v>
      </c>
      <c r="AR18" s="348">
        <v>5.26</v>
      </c>
      <c r="AS18" s="348">
        <v>5.25</v>
      </c>
      <c r="AT18" s="348">
        <v>5.24</v>
      </c>
      <c r="AU18" s="348">
        <v>5.23</v>
      </c>
      <c r="AV18" s="348">
        <v>5.23</v>
      </c>
      <c r="AW18" s="348">
        <v>5.22</v>
      </c>
      <c r="AX18" s="348">
        <v>5.21</v>
      </c>
      <c r="AY18" s="348">
        <v>5.2</v>
      </c>
      <c r="AZ18" s="149">
        <v>2.75E-2</v>
      </c>
      <c r="BA18" s="104">
        <f t="shared" si="0"/>
        <v>2.75</v>
      </c>
    </row>
    <row r="19" spans="1:53" s="106" customFormat="1" ht="12.75">
      <c r="A19" s="105">
        <v>40117</v>
      </c>
      <c r="B19" s="348">
        <v>3.85</v>
      </c>
      <c r="C19" s="348">
        <v>4</v>
      </c>
      <c r="D19" s="348">
        <v>4.17</v>
      </c>
      <c r="E19" s="348">
        <v>4.33</v>
      </c>
      <c r="F19" s="348">
        <v>4.46</v>
      </c>
      <c r="G19" s="348">
        <v>4.58</v>
      </c>
      <c r="H19" s="348">
        <v>4.7</v>
      </c>
      <c r="I19" s="348">
        <v>4.8</v>
      </c>
      <c r="J19" s="348">
        <v>4.8899999999999997</v>
      </c>
      <c r="K19" s="348">
        <v>4.97</v>
      </c>
      <c r="L19" s="348">
        <v>5.04</v>
      </c>
      <c r="M19" s="348">
        <v>5.1100000000000003</v>
      </c>
      <c r="N19" s="348">
        <v>5.17</v>
      </c>
      <c r="O19" s="348">
        <v>5.22</v>
      </c>
      <c r="P19" s="2281">
        <v>5.26</v>
      </c>
      <c r="Q19" s="348">
        <v>5.29</v>
      </c>
      <c r="R19" s="348">
        <v>5.32</v>
      </c>
      <c r="S19" s="348">
        <v>5.35</v>
      </c>
      <c r="T19" s="348">
        <v>5.37</v>
      </c>
      <c r="U19" s="348">
        <v>5.39</v>
      </c>
      <c r="V19" s="348">
        <v>5.39</v>
      </c>
      <c r="W19" s="348">
        <v>5.4</v>
      </c>
      <c r="X19" s="348">
        <v>5.4</v>
      </c>
      <c r="Y19" s="348">
        <v>5.4</v>
      </c>
      <c r="Z19" s="348">
        <v>5.4</v>
      </c>
      <c r="AA19" s="348">
        <v>5.4</v>
      </c>
      <c r="AB19" s="348">
        <v>5.39</v>
      </c>
      <c r="AC19" s="348">
        <v>5.38</v>
      </c>
      <c r="AD19" s="348">
        <v>5.37</v>
      </c>
      <c r="AE19" s="348">
        <v>5.37</v>
      </c>
      <c r="AF19" s="348">
        <v>5.36</v>
      </c>
      <c r="AG19" s="348">
        <v>5.34</v>
      </c>
      <c r="AH19" s="348">
        <v>5.33</v>
      </c>
      <c r="AI19" s="348">
        <v>5.32</v>
      </c>
      <c r="AJ19" s="348">
        <v>5.31</v>
      </c>
      <c r="AK19" s="348">
        <v>5.31</v>
      </c>
      <c r="AL19" s="348">
        <v>5.3</v>
      </c>
      <c r="AM19" s="348">
        <v>5.29</v>
      </c>
      <c r="AN19" s="348">
        <v>5.28</v>
      </c>
      <c r="AO19" s="348">
        <v>5.27</v>
      </c>
      <c r="AP19" s="348">
        <v>5.26</v>
      </c>
      <c r="AQ19" s="348">
        <v>5.25</v>
      </c>
      <c r="AR19" s="348">
        <v>5.25</v>
      </c>
      <c r="AS19" s="348">
        <v>5.24</v>
      </c>
      <c r="AT19" s="348">
        <v>5.23</v>
      </c>
      <c r="AU19" s="348">
        <v>5.22</v>
      </c>
      <c r="AV19" s="348">
        <v>5.21</v>
      </c>
      <c r="AW19" s="348">
        <v>5.2</v>
      </c>
      <c r="AX19" s="348">
        <v>5.2</v>
      </c>
      <c r="AY19" s="348">
        <v>5.19</v>
      </c>
      <c r="AZ19" s="149">
        <v>2.75E-2</v>
      </c>
      <c r="BA19" s="104">
        <f t="shared" si="0"/>
        <v>2.75</v>
      </c>
    </row>
    <row r="20" spans="1:53" s="106" customFormat="1" ht="12.75">
      <c r="A20" s="105">
        <v>40147</v>
      </c>
      <c r="B20" s="348">
        <v>3.83</v>
      </c>
      <c r="C20" s="348">
        <v>3.98</v>
      </c>
      <c r="D20" s="348">
        <v>4.16</v>
      </c>
      <c r="E20" s="348">
        <v>4.3099999999999996</v>
      </c>
      <c r="F20" s="348">
        <v>4.45</v>
      </c>
      <c r="G20" s="348">
        <v>4.57</v>
      </c>
      <c r="H20" s="348">
        <v>4.6900000000000004</v>
      </c>
      <c r="I20" s="348">
        <v>4.79</v>
      </c>
      <c r="J20" s="348">
        <v>4.88</v>
      </c>
      <c r="K20" s="348">
        <v>4.96</v>
      </c>
      <c r="L20" s="348">
        <v>5.03</v>
      </c>
      <c r="M20" s="348">
        <v>5.0999999999999996</v>
      </c>
      <c r="N20" s="348">
        <v>5.16</v>
      </c>
      <c r="O20" s="348">
        <v>5.21</v>
      </c>
      <c r="P20" s="2281">
        <v>5.25</v>
      </c>
      <c r="Q20" s="348">
        <v>5.28</v>
      </c>
      <c r="R20" s="348">
        <v>5.31</v>
      </c>
      <c r="S20" s="348">
        <v>5.34</v>
      </c>
      <c r="T20" s="348">
        <v>5.36</v>
      </c>
      <c r="U20" s="348">
        <v>5.38</v>
      </c>
      <c r="V20" s="348">
        <v>5.38</v>
      </c>
      <c r="W20" s="348">
        <v>5.39</v>
      </c>
      <c r="X20" s="348">
        <v>5.39</v>
      </c>
      <c r="Y20" s="348">
        <v>5.39</v>
      </c>
      <c r="Z20" s="348">
        <v>5.39</v>
      </c>
      <c r="AA20" s="348">
        <v>5.38</v>
      </c>
      <c r="AB20" s="348">
        <v>5.38</v>
      </c>
      <c r="AC20" s="348">
        <v>5.37</v>
      </c>
      <c r="AD20" s="348">
        <v>5.36</v>
      </c>
      <c r="AE20" s="348">
        <v>5.36</v>
      </c>
      <c r="AF20" s="348">
        <v>5.34</v>
      </c>
      <c r="AG20" s="348">
        <v>5.33</v>
      </c>
      <c r="AH20" s="348">
        <v>5.32</v>
      </c>
      <c r="AI20" s="348">
        <v>5.31</v>
      </c>
      <c r="AJ20" s="348">
        <v>5.3</v>
      </c>
      <c r="AK20" s="348">
        <v>5.29</v>
      </c>
      <c r="AL20" s="348">
        <v>5.28</v>
      </c>
      <c r="AM20" s="348">
        <v>5.28</v>
      </c>
      <c r="AN20" s="348">
        <v>5.27</v>
      </c>
      <c r="AO20" s="348">
        <v>5.26</v>
      </c>
      <c r="AP20" s="348">
        <v>5.25</v>
      </c>
      <c r="AQ20" s="348">
        <v>5.24</v>
      </c>
      <c r="AR20" s="348">
        <v>5.23</v>
      </c>
      <c r="AS20" s="348">
        <v>5.22</v>
      </c>
      <c r="AT20" s="348">
        <v>5.21</v>
      </c>
      <c r="AU20" s="348">
        <v>5.21</v>
      </c>
      <c r="AV20" s="348">
        <v>5.2</v>
      </c>
      <c r="AW20" s="348">
        <v>5.19</v>
      </c>
      <c r="AX20" s="348">
        <v>5.18</v>
      </c>
      <c r="AY20" s="348">
        <v>5.18</v>
      </c>
      <c r="AZ20" s="149">
        <v>2.75E-2</v>
      </c>
      <c r="BA20" s="104">
        <f t="shared" si="0"/>
        <v>2.75</v>
      </c>
    </row>
    <row r="21" spans="1:53" s="106" customFormat="1" ht="12.75">
      <c r="A21" s="105">
        <v>40178</v>
      </c>
      <c r="B21" s="348">
        <v>3.82</v>
      </c>
      <c r="C21" s="348">
        <v>3.97</v>
      </c>
      <c r="D21" s="348">
        <v>4.1500000000000004</v>
      </c>
      <c r="E21" s="348">
        <v>4.3099999999999996</v>
      </c>
      <c r="F21" s="348">
        <v>4.4400000000000004</v>
      </c>
      <c r="G21" s="348">
        <v>4.57</v>
      </c>
      <c r="H21" s="348">
        <v>4.68</v>
      </c>
      <c r="I21" s="348">
        <v>4.78</v>
      </c>
      <c r="J21" s="348">
        <v>4.87</v>
      </c>
      <c r="K21" s="348">
        <v>4.95</v>
      </c>
      <c r="L21" s="348">
        <v>5.03</v>
      </c>
      <c r="M21" s="348">
        <v>5.09</v>
      </c>
      <c r="N21" s="348">
        <v>5.15</v>
      </c>
      <c r="O21" s="348">
        <v>5.2</v>
      </c>
      <c r="P21" s="2281">
        <v>5.25</v>
      </c>
      <c r="Q21" s="348">
        <v>5.28</v>
      </c>
      <c r="R21" s="348">
        <v>5.31</v>
      </c>
      <c r="S21" s="348">
        <v>5.33</v>
      </c>
      <c r="T21" s="348">
        <v>5.36</v>
      </c>
      <c r="U21" s="348">
        <v>5.38</v>
      </c>
      <c r="V21" s="348">
        <v>5.38</v>
      </c>
      <c r="W21" s="348">
        <v>5.38</v>
      </c>
      <c r="X21" s="348">
        <v>5.38</v>
      </c>
      <c r="Y21" s="348">
        <v>5.38</v>
      </c>
      <c r="Z21" s="348">
        <v>5.39</v>
      </c>
      <c r="AA21" s="348">
        <v>5.38</v>
      </c>
      <c r="AB21" s="348">
        <v>5.37</v>
      </c>
      <c r="AC21" s="348">
        <v>5.36</v>
      </c>
      <c r="AD21" s="348">
        <v>5.35</v>
      </c>
      <c r="AE21" s="348">
        <v>5.35</v>
      </c>
      <c r="AF21" s="348">
        <v>5.33</v>
      </c>
      <c r="AG21" s="348">
        <v>5.32</v>
      </c>
      <c r="AH21" s="348">
        <v>5.31</v>
      </c>
      <c r="AI21" s="348">
        <v>5.3</v>
      </c>
      <c r="AJ21" s="348">
        <v>5.29</v>
      </c>
      <c r="AK21" s="348">
        <v>5.28</v>
      </c>
      <c r="AL21" s="348">
        <v>5.27</v>
      </c>
      <c r="AM21" s="348">
        <v>5.27</v>
      </c>
      <c r="AN21" s="348">
        <v>5.26</v>
      </c>
      <c r="AO21" s="348">
        <v>5.25</v>
      </c>
      <c r="AP21" s="348">
        <v>5.24</v>
      </c>
      <c r="AQ21" s="348">
        <v>5.23</v>
      </c>
      <c r="AR21" s="348">
        <v>5.22</v>
      </c>
      <c r="AS21" s="348">
        <v>5.21</v>
      </c>
      <c r="AT21" s="348">
        <v>5.2</v>
      </c>
      <c r="AU21" s="348">
        <v>5.2</v>
      </c>
      <c r="AV21" s="348">
        <v>5.19</v>
      </c>
      <c r="AW21" s="348">
        <v>5.18</v>
      </c>
      <c r="AX21" s="348">
        <v>5.17</v>
      </c>
      <c r="AY21" s="348">
        <v>5.17</v>
      </c>
      <c r="AZ21" s="149">
        <v>2.75E-2</v>
      </c>
      <c r="BA21" s="104">
        <f t="shared" si="0"/>
        <v>2.75</v>
      </c>
    </row>
    <row r="22" spans="1:53" s="106" customFormat="1" ht="12.75">
      <c r="A22" s="105">
        <v>40209</v>
      </c>
      <c r="B22" s="348">
        <v>3.81</v>
      </c>
      <c r="C22" s="348">
        <v>3.96</v>
      </c>
      <c r="D22" s="348">
        <v>4.1399999999999997</v>
      </c>
      <c r="E22" s="348">
        <v>4.3</v>
      </c>
      <c r="F22" s="348">
        <v>4.4400000000000004</v>
      </c>
      <c r="G22" s="348">
        <v>4.5599999999999996</v>
      </c>
      <c r="H22" s="348">
        <v>4.67</v>
      </c>
      <c r="I22" s="348">
        <v>4.78</v>
      </c>
      <c r="J22" s="348">
        <v>4.87</v>
      </c>
      <c r="K22" s="348">
        <v>4.95</v>
      </c>
      <c r="L22" s="348">
        <v>5.0199999999999996</v>
      </c>
      <c r="M22" s="348">
        <v>5.09</v>
      </c>
      <c r="N22" s="348">
        <v>5.15</v>
      </c>
      <c r="O22" s="348">
        <v>5.2</v>
      </c>
      <c r="P22" s="2281">
        <v>5.24</v>
      </c>
      <c r="Q22" s="348">
        <v>5.27</v>
      </c>
      <c r="R22" s="348">
        <v>5.3</v>
      </c>
      <c r="S22" s="348">
        <v>5.33</v>
      </c>
      <c r="T22" s="348">
        <v>5.35</v>
      </c>
      <c r="U22" s="348">
        <v>5.37</v>
      </c>
      <c r="V22" s="348">
        <v>5.37</v>
      </c>
      <c r="W22" s="348">
        <v>5.37</v>
      </c>
      <c r="X22" s="348">
        <v>5.38</v>
      </c>
      <c r="Y22" s="348">
        <v>5.38</v>
      </c>
      <c r="Z22" s="348">
        <v>5.38</v>
      </c>
      <c r="AA22" s="348">
        <v>5.37</v>
      </c>
      <c r="AB22" s="348">
        <v>5.36</v>
      </c>
      <c r="AC22" s="348">
        <v>5.35</v>
      </c>
      <c r="AD22" s="348">
        <v>5.35</v>
      </c>
      <c r="AE22" s="348">
        <v>5.34</v>
      </c>
      <c r="AF22" s="348">
        <v>5.33</v>
      </c>
      <c r="AG22" s="348">
        <v>5.31</v>
      </c>
      <c r="AH22" s="348">
        <v>5.3</v>
      </c>
      <c r="AI22" s="348">
        <v>5.29</v>
      </c>
      <c r="AJ22" s="348">
        <v>5.28</v>
      </c>
      <c r="AK22" s="348">
        <v>5.27</v>
      </c>
      <c r="AL22" s="348">
        <v>5.27</v>
      </c>
      <c r="AM22" s="348">
        <v>5.26</v>
      </c>
      <c r="AN22" s="348">
        <v>5.25</v>
      </c>
      <c r="AO22" s="348">
        <v>5.24</v>
      </c>
      <c r="AP22" s="348">
        <v>5.23</v>
      </c>
      <c r="AQ22" s="348">
        <v>5.22</v>
      </c>
      <c r="AR22" s="348">
        <v>5.21</v>
      </c>
      <c r="AS22" s="348">
        <v>5.2</v>
      </c>
      <c r="AT22" s="348">
        <v>5.2</v>
      </c>
      <c r="AU22" s="348">
        <v>5.19</v>
      </c>
      <c r="AV22" s="348">
        <v>5.18</v>
      </c>
      <c r="AW22" s="348">
        <v>5.17</v>
      </c>
      <c r="AX22" s="348">
        <v>5.17</v>
      </c>
      <c r="AY22" s="348">
        <v>5.16</v>
      </c>
      <c r="AZ22" s="149">
        <v>2.75E-2</v>
      </c>
      <c r="BA22" s="104">
        <f t="shared" si="0"/>
        <v>2.75</v>
      </c>
    </row>
    <row r="23" spans="1:53" s="106" customFormat="1" ht="12.75">
      <c r="A23" s="105">
        <v>40237</v>
      </c>
      <c r="B23" s="348">
        <v>3.8</v>
      </c>
      <c r="C23" s="348">
        <v>3.96</v>
      </c>
      <c r="D23" s="348">
        <v>4.1399999999999997</v>
      </c>
      <c r="E23" s="348">
        <v>4.29</v>
      </c>
      <c r="F23" s="348">
        <v>4.43</v>
      </c>
      <c r="G23" s="348">
        <v>4.5599999999999996</v>
      </c>
      <c r="H23" s="348">
        <v>4.67</v>
      </c>
      <c r="I23" s="348">
        <v>4.7699999999999996</v>
      </c>
      <c r="J23" s="348">
        <v>4.8600000000000003</v>
      </c>
      <c r="K23" s="348">
        <v>4.9400000000000004</v>
      </c>
      <c r="L23" s="348">
        <v>5.0199999999999996</v>
      </c>
      <c r="M23" s="348">
        <v>5.08</v>
      </c>
      <c r="N23" s="348">
        <v>5.14</v>
      </c>
      <c r="O23" s="348">
        <v>5.19</v>
      </c>
      <c r="P23" s="2281">
        <v>5.24</v>
      </c>
      <c r="Q23" s="348">
        <v>5.27</v>
      </c>
      <c r="R23" s="348">
        <v>5.3</v>
      </c>
      <c r="S23" s="348">
        <v>5.32</v>
      </c>
      <c r="T23" s="348">
        <v>5.34</v>
      </c>
      <c r="U23" s="348">
        <v>5.36</v>
      </c>
      <c r="V23" s="348">
        <v>5.36</v>
      </c>
      <c r="W23" s="348">
        <v>5.37</v>
      </c>
      <c r="X23" s="348">
        <v>5.37</v>
      </c>
      <c r="Y23" s="348">
        <v>5.37</v>
      </c>
      <c r="Z23" s="348">
        <v>5.37</v>
      </c>
      <c r="AA23" s="348">
        <v>5.36</v>
      </c>
      <c r="AB23" s="348">
        <v>5.35</v>
      </c>
      <c r="AC23" s="348">
        <v>5.34</v>
      </c>
      <c r="AD23" s="348">
        <v>5.33</v>
      </c>
      <c r="AE23" s="348">
        <v>5.33</v>
      </c>
      <c r="AF23" s="348">
        <v>5.31</v>
      </c>
      <c r="AG23" s="348">
        <v>5.3</v>
      </c>
      <c r="AH23" s="348">
        <v>5.29</v>
      </c>
      <c r="AI23" s="348">
        <v>5.28</v>
      </c>
      <c r="AJ23" s="348">
        <v>5.27</v>
      </c>
      <c r="AK23" s="348">
        <v>5.26</v>
      </c>
      <c r="AL23" s="348">
        <v>5.25</v>
      </c>
      <c r="AM23" s="348">
        <v>5.24</v>
      </c>
      <c r="AN23" s="348">
        <v>5.24</v>
      </c>
      <c r="AO23" s="348">
        <v>5.23</v>
      </c>
      <c r="AP23" s="348">
        <v>5.22</v>
      </c>
      <c r="AQ23" s="348">
        <v>5.21</v>
      </c>
      <c r="AR23" s="348">
        <v>5.2</v>
      </c>
      <c r="AS23" s="348">
        <v>5.19</v>
      </c>
      <c r="AT23" s="348">
        <v>5.18</v>
      </c>
      <c r="AU23" s="348">
        <v>5.18</v>
      </c>
      <c r="AV23" s="348">
        <v>5.17</v>
      </c>
      <c r="AW23" s="348">
        <v>5.16</v>
      </c>
      <c r="AX23" s="348">
        <v>5.15</v>
      </c>
      <c r="AY23" s="348">
        <v>5.15</v>
      </c>
      <c r="AZ23" s="149">
        <v>2.75E-2</v>
      </c>
      <c r="BA23" s="104">
        <f t="shared" si="0"/>
        <v>2.75</v>
      </c>
    </row>
    <row r="24" spans="1:53" s="106" customFormat="1" ht="12.75">
      <c r="A24" s="105">
        <v>40268</v>
      </c>
      <c r="B24" s="348">
        <v>3.78</v>
      </c>
      <c r="C24" s="348">
        <v>3.95</v>
      </c>
      <c r="D24" s="348">
        <v>4.13</v>
      </c>
      <c r="E24" s="348">
        <v>4.29</v>
      </c>
      <c r="F24" s="348">
        <v>4.42</v>
      </c>
      <c r="G24" s="348">
        <v>4.55</v>
      </c>
      <c r="H24" s="348">
        <v>4.66</v>
      </c>
      <c r="I24" s="348">
        <v>4.76</v>
      </c>
      <c r="J24" s="348">
        <v>4.8499999999999996</v>
      </c>
      <c r="K24" s="348">
        <v>4.9400000000000004</v>
      </c>
      <c r="L24" s="348">
        <v>5.01</v>
      </c>
      <c r="M24" s="348">
        <v>5.07</v>
      </c>
      <c r="N24" s="348">
        <v>5.13</v>
      </c>
      <c r="O24" s="348">
        <v>5.18</v>
      </c>
      <c r="P24" s="2281">
        <v>5.23</v>
      </c>
      <c r="Q24" s="348">
        <v>5.26</v>
      </c>
      <c r="R24" s="348">
        <v>5.29</v>
      </c>
      <c r="S24" s="348">
        <v>5.31</v>
      </c>
      <c r="T24" s="348">
        <v>5.33</v>
      </c>
      <c r="U24" s="348">
        <v>5.35</v>
      </c>
      <c r="V24" s="348">
        <v>5.36</v>
      </c>
      <c r="W24" s="348">
        <v>5.36</v>
      </c>
      <c r="X24" s="348">
        <v>5.36</v>
      </c>
      <c r="Y24" s="348">
        <v>5.36</v>
      </c>
      <c r="Z24" s="348">
        <v>5.36</v>
      </c>
      <c r="AA24" s="348">
        <v>5.35</v>
      </c>
      <c r="AB24" s="348">
        <v>5.34</v>
      </c>
      <c r="AC24" s="348">
        <v>5.33</v>
      </c>
      <c r="AD24" s="348">
        <v>5.32</v>
      </c>
      <c r="AE24" s="348">
        <v>5.32</v>
      </c>
      <c r="AF24" s="348">
        <v>5.3</v>
      </c>
      <c r="AG24" s="348">
        <v>5.29</v>
      </c>
      <c r="AH24" s="348">
        <v>5.28</v>
      </c>
      <c r="AI24" s="348">
        <v>5.27</v>
      </c>
      <c r="AJ24" s="348">
        <v>5.26</v>
      </c>
      <c r="AK24" s="348">
        <v>5.25</v>
      </c>
      <c r="AL24" s="348">
        <v>5.24</v>
      </c>
      <c r="AM24" s="348">
        <v>5.23</v>
      </c>
      <c r="AN24" s="348">
        <v>5.22</v>
      </c>
      <c r="AO24" s="348">
        <v>5.22</v>
      </c>
      <c r="AP24" s="348">
        <v>5.21</v>
      </c>
      <c r="AQ24" s="348">
        <v>5.2</v>
      </c>
      <c r="AR24" s="348">
        <v>5.19</v>
      </c>
      <c r="AS24" s="348">
        <v>5.18</v>
      </c>
      <c r="AT24" s="348">
        <v>5.17</v>
      </c>
      <c r="AU24" s="348">
        <v>5.16</v>
      </c>
      <c r="AV24" s="348">
        <v>5.16</v>
      </c>
      <c r="AW24" s="348">
        <v>5.15</v>
      </c>
      <c r="AX24" s="348">
        <v>5.14</v>
      </c>
      <c r="AY24" s="348">
        <v>5.13</v>
      </c>
      <c r="AZ24" s="149">
        <v>2.75E-2</v>
      </c>
      <c r="BA24" s="104">
        <f t="shared" si="0"/>
        <v>2.75</v>
      </c>
    </row>
    <row r="25" spans="1:53" s="106" customFormat="1" ht="12.75">
      <c r="A25" s="105">
        <v>40298</v>
      </c>
      <c r="B25" s="348">
        <v>3.77</v>
      </c>
      <c r="C25" s="348">
        <v>3.94</v>
      </c>
      <c r="D25" s="348">
        <v>4.12</v>
      </c>
      <c r="E25" s="348">
        <v>4.28</v>
      </c>
      <c r="F25" s="348">
        <v>4.42</v>
      </c>
      <c r="G25" s="348">
        <v>4.54</v>
      </c>
      <c r="H25" s="348">
        <v>4.6500000000000004</v>
      </c>
      <c r="I25" s="348">
        <v>4.76</v>
      </c>
      <c r="J25" s="348">
        <v>4.8499999999999996</v>
      </c>
      <c r="K25" s="348">
        <v>4.93</v>
      </c>
      <c r="L25" s="348">
        <v>5</v>
      </c>
      <c r="M25" s="348">
        <v>5.07</v>
      </c>
      <c r="N25" s="348">
        <v>5.13</v>
      </c>
      <c r="O25" s="348">
        <v>5.18</v>
      </c>
      <c r="P25" s="2281">
        <v>5.22</v>
      </c>
      <c r="Q25" s="348">
        <v>5.25</v>
      </c>
      <c r="R25" s="348">
        <v>5.28</v>
      </c>
      <c r="S25" s="348">
        <v>5.3</v>
      </c>
      <c r="T25" s="348">
        <v>5.33</v>
      </c>
      <c r="U25" s="348">
        <v>5.34</v>
      </c>
      <c r="V25" s="348">
        <v>5.35</v>
      </c>
      <c r="W25" s="348">
        <v>5.35</v>
      </c>
      <c r="X25" s="348">
        <v>5.35</v>
      </c>
      <c r="Y25" s="348">
        <v>5.35</v>
      </c>
      <c r="Z25" s="348">
        <v>5.35</v>
      </c>
      <c r="AA25" s="348">
        <v>5.34</v>
      </c>
      <c r="AB25" s="348">
        <v>5.33</v>
      </c>
      <c r="AC25" s="348">
        <v>5.32</v>
      </c>
      <c r="AD25" s="348">
        <v>5.31</v>
      </c>
      <c r="AE25" s="348">
        <v>5.3</v>
      </c>
      <c r="AF25" s="348">
        <v>5.29</v>
      </c>
      <c r="AG25" s="348">
        <v>5.28</v>
      </c>
      <c r="AH25" s="348">
        <v>5.27</v>
      </c>
      <c r="AI25" s="348">
        <v>5.25</v>
      </c>
      <c r="AJ25" s="348">
        <v>5.24</v>
      </c>
      <c r="AK25" s="348">
        <v>5.23</v>
      </c>
      <c r="AL25" s="348">
        <v>5.23</v>
      </c>
      <c r="AM25" s="348">
        <v>5.22</v>
      </c>
      <c r="AN25" s="348">
        <v>5.21</v>
      </c>
      <c r="AO25" s="348">
        <v>5.2</v>
      </c>
      <c r="AP25" s="348">
        <v>5.19</v>
      </c>
      <c r="AQ25" s="348">
        <v>5.18</v>
      </c>
      <c r="AR25" s="348">
        <v>5.17</v>
      </c>
      <c r="AS25" s="348">
        <v>5.16</v>
      </c>
      <c r="AT25" s="348">
        <v>5.16</v>
      </c>
      <c r="AU25" s="348">
        <v>5.15</v>
      </c>
      <c r="AV25" s="348">
        <v>5.14</v>
      </c>
      <c r="AW25" s="348">
        <v>5.13</v>
      </c>
      <c r="AX25" s="348">
        <v>5.13</v>
      </c>
      <c r="AY25" s="348">
        <v>5.12</v>
      </c>
      <c r="AZ25" s="149">
        <v>2.75E-2</v>
      </c>
      <c r="BA25" s="104">
        <f t="shared" si="0"/>
        <v>2.75</v>
      </c>
    </row>
    <row r="26" spans="1:53" s="106" customFormat="1" ht="12.75">
      <c r="A26" s="105">
        <v>40329</v>
      </c>
      <c r="B26" s="348">
        <v>3.77</v>
      </c>
      <c r="C26" s="348">
        <v>3.94</v>
      </c>
      <c r="D26" s="348">
        <v>4.12</v>
      </c>
      <c r="E26" s="348">
        <v>4.28</v>
      </c>
      <c r="F26" s="348">
        <v>4.41</v>
      </c>
      <c r="G26" s="348">
        <v>4.54</v>
      </c>
      <c r="H26" s="348">
        <v>4.6500000000000004</v>
      </c>
      <c r="I26" s="348">
        <v>4.75</v>
      </c>
      <c r="J26" s="348">
        <v>4.84</v>
      </c>
      <c r="K26" s="348">
        <v>4.92</v>
      </c>
      <c r="L26" s="348">
        <v>5</v>
      </c>
      <c r="M26" s="348">
        <v>5.0599999999999996</v>
      </c>
      <c r="N26" s="348">
        <v>5.12</v>
      </c>
      <c r="O26" s="348">
        <v>5.17</v>
      </c>
      <c r="P26" s="2281">
        <v>5.22</v>
      </c>
      <c r="Q26" s="348">
        <v>5.25</v>
      </c>
      <c r="R26" s="348">
        <v>5.27</v>
      </c>
      <c r="S26" s="348">
        <v>5.3</v>
      </c>
      <c r="T26" s="348">
        <v>5.32</v>
      </c>
      <c r="U26" s="348">
        <v>5.34</v>
      </c>
      <c r="V26" s="348">
        <v>5.34</v>
      </c>
      <c r="W26" s="348">
        <v>5.34</v>
      </c>
      <c r="X26" s="348">
        <v>5.34</v>
      </c>
      <c r="Y26" s="348">
        <v>5.34</v>
      </c>
      <c r="Z26" s="348">
        <v>5.34</v>
      </c>
      <c r="AA26" s="348">
        <v>5.33</v>
      </c>
      <c r="AB26" s="348">
        <v>5.32</v>
      </c>
      <c r="AC26" s="348">
        <v>5.31</v>
      </c>
      <c r="AD26" s="348">
        <v>5.3</v>
      </c>
      <c r="AE26" s="348">
        <v>5.29</v>
      </c>
      <c r="AF26" s="348">
        <v>5.28</v>
      </c>
      <c r="AG26" s="348">
        <v>5.26</v>
      </c>
      <c r="AH26" s="348">
        <v>5.25</v>
      </c>
      <c r="AI26" s="348">
        <v>5.24</v>
      </c>
      <c r="AJ26" s="348">
        <v>5.23</v>
      </c>
      <c r="AK26" s="348">
        <v>5.22</v>
      </c>
      <c r="AL26" s="348">
        <v>5.21</v>
      </c>
      <c r="AM26" s="348">
        <v>5.2</v>
      </c>
      <c r="AN26" s="348">
        <v>5.19</v>
      </c>
      <c r="AO26" s="348">
        <v>5.19</v>
      </c>
      <c r="AP26" s="348">
        <v>5.18</v>
      </c>
      <c r="AQ26" s="348">
        <v>5.17</v>
      </c>
      <c r="AR26" s="348">
        <v>5.16</v>
      </c>
      <c r="AS26" s="348">
        <v>5.15</v>
      </c>
      <c r="AT26" s="348">
        <v>5.14</v>
      </c>
      <c r="AU26" s="348">
        <v>5.13</v>
      </c>
      <c r="AV26" s="348">
        <v>5.13</v>
      </c>
      <c r="AW26" s="348">
        <v>5.12</v>
      </c>
      <c r="AX26" s="348">
        <v>5.1100000000000003</v>
      </c>
      <c r="AY26" s="348">
        <v>5.1100000000000003</v>
      </c>
      <c r="AZ26" s="149">
        <v>2.75E-2</v>
      </c>
      <c r="BA26" s="104">
        <f t="shared" si="0"/>
        <v>2.75</v>
      </c>
    </row>
    <row r="27" spans="1:53" s="106" customFormat="1" ht="12.75">
      <c r="A27" s="105">
        <v>40359</v>
      </c>
      <c r="B27" s="348">
        <v>3.77</v>
      </c>
      <c r="C27" s="348">
        <v>3.93</v>
      </c>
      <c r="D27" s="348">
        <v>4.1100000000000003</v>
      </c>
      <c r="E27" s="348">
        <v>4.2699999999999996</v>
      </c>
      <c r="F27" s="348">
        <v>4.41</v>
      </c>
      <c r="G27" s="348">
        <v>4.54</v>
      </c>
      <c r="H27" s="348">
        <v>4.6500000000000004</v>
      </c>
      <c r="I27" s="348">
        <v>4.75</v>
      </c>
      <c r="J27" s="348">
        <v>4.84</v>
      </c>
      <c r="K27" s="348">
        <v>4.92</v>
      </c>
      <c r="L27" s="348">
        <v>5</v>
      </c>
      <c r="M27" s="348">
        <v>5.0599999999999996</v>
      </c>
      <c r="N27" s="348">
        <v>5.12</v>
      </c>
      <c r="O27" s="348">
        <v>5.17</v>
      </c>
      <c r="P27" s="2281">
        <v>5.21</v>
      </c>
      <c r="Q27" s="348">
        <v>5.24</v>
      </c>
      <c r="R27" s="348">
        <v>5.27</v>
      </c>
      <c r="S27" s="348">
        <v>5.29</v>
      </c>
      <c r="T27" s="348">
        <v>5.31</v>
      </c>
      <c r="U27" s="348">
        <v>5.33</v>
      </c>
      <c r="V27" s="348">
        <v>5.33</v>
      </c>
      <c r="W27" s="348">
        <v>5.33</v>
      </c>
      <c r="X27" s="348">
        <v>5.33</v>
      </c>
      <c r="Y27" s="348">
        <v>5.33</v>
      </c>
      <c r="Z27" s="348">
        <v>5.33</v>
      </c>
      <c r="AA27" s="348">
        <v>5.32</v>
      </c>
      <c r="AB27" s="348">
        <v>5.31</v>
      </c>
      <c r="AC27" s="348">
        <v>5.3</v>
      </c>
      <c r="AD27" s="348">
        <v>5.29</v>
      </c>
      <c r="AE27" s="348">
        <v>5.28</v>
      </c>
      <c r="AF27" s="348">
        <v>5.26</v>
      </c>
      <c r="AG27" s="348">
        <v>5.25</v>
      </c>
      <c r="AH27" s="348">
        <v>5.24</v>
      </c>
      <c r="AI27" s="348">
        <v>5.23</v>
      </c>
      <c r="AJ27" s="348">
        <v>5.22</v>
      </c>
      <c r="AK27" s="348">
        <v>5.21</v>
      </c>
      <c r="AL27" s="348">
        <v>5.2</v>
      </c>
      <c r="AM27" s="348">
        <v>5.19</v>
      </c>
      <c r="AN27" s="348">
        <v>5.18</v>
      </c>
      <c r="AO27" s="348">
        <v>5.17</v>
      </c>
      <c r="AP27" s="348">
        <v>5.16</v>
      </c>
      <c r="AQ27" s="348">
        <v>5.15</v>
      </c>
      <c r="AR27" s="348">
        <v>5.14</v>
      </c>
      <c r="AS27" s="348">
        <v>5.13</v>
      </c>
      <c r="AT27" s="348">
        <v>5.13</v>
      </c>
      <c r="AU27" s="348">
        <v>5.12</v>
      </c>
      <c r="AV27" s="348">
        <v>5.1100000000000003</v>
      </c>
      <c r="AW27" s="348">
        <v>5.0999999999999996</v>
      </c>
      <c r="AX27" s="348">
        <v>5.0999999999999996</v>
      </c>
      <c r="AY27" s="348">
        <v>5.09</v>
      </c>
      <c r="AZ27" s="149">
        <v>2.75E-2</v>
      </c>
      <c r="BA27" s="104">
        <f t="shared" si="0"/>
        <v>2.75</v>
      </c>
    </row>
    <row r="28" spans="1:53" s="106" customFormat="1" ht="12.75">
      <c r="A28" s="105">
        <v>40390</v>
      </c>
      <c r="B28" s="348">
        <v>3.77</v>
      </c>
      <c r="C28" s="348">
        <v>3.93</v>
      </c>
      <c r="D28" s="348">
        <v>4.1100000000000003</v>
      </c>
      <c r="E28" s="348">
        <v>4.26</v>
      </c>
      <c r="F28" s="348">
        <v>4.4000000000000004</v>
      </c>
      <c r="G28" s="348">
        <v>4.53</v>
      </c>
      <c r="H28" s="348">
        <v>4.6399999999999997</v>
      </c>
      <c r="I28" s="348">
        <v>4.74</v>
      </c>
      <c r="J28" s="348">
        <v>4.83</v>
      </c>
      <c r="K28" s="348">
        <v>4.91</v>
      </c>
      <c r="L28" s="348">
        <v>4.99</v>
      </c>
      <c r="M28" s="348">
        <v>5.05</v>
      </c>
      <c r="N28" s="348">
        <v>5.1100000000000003</v>
      </c>
      <c r="O28" s="348">
        <v>5.16</v>
      </c>
      <c r="P28" s="2281">
        <v>5.2</v>
      </c>
      <c r="Q28" s="348">
        <v>5.23</v>
      </c>
      <c r="R28" s="348">
        <v>5.26</v>
      </c>
      <c r="S28" s="348">
        <v>5.28</v>
      </c>
      <c r="T28" s="348">
        <v>5.3</v>
      </c>
      <c r="U28" s="348">
        <v>5.32</v>
      </c>
      <c r="V28" s="348">
        <v>5.32</v>
      </c>
      <c r="W28" s="348">
        <v>5.32</v>
      </c>
      <c r="X28" s="348">
        <v>5.32</v>
      </c>
      <c r="Y28" s="348">
        <v>5.32</v>
      </c>
      <c r="Z28" s="348">
        <v>5.31</v>
      </c>
      <c r="AA28" s="348">
        <v>5.3</v>
      </c>
      <c r="AB28" s="348">
        <v>5.29</v>
      </c>
      <c r="AC28" s="348">
        <v>5.28</v>
      </c>
      <c r="AD28" s="348">
        <v>5.27</v>
      </c>
      <c r="AE28" s="348">
        <v>5.26</v>
      </c>
      <c r="AF28" s="348">
        <v>5.25</v>
      </c>
      <c r="AG28" s="348">
        <v>5.23</v>
      </c>
      <c r="AH28" s="348">
        <v>5.22</v>
      </c>
      <c r="AI28" s="348">
        <v>5.21</v>
      </c>
      <c r="AJ28" s="348">
        <v>5.2</v>
      </c>
      <c r="AK28" s="348">
        <v>5.19</v>
      </c>
      <c r="AL28" s="348">
        <v>5.18</v>
      </c>
      <c r="AM28" s="348">
        <v>5.17</v>
      </c>
      <c r="AN28" s="348">
        <v>5.16</v>
      </c>
      <c r="AO28" s="348">
        <v>5.15</v>
      </c>
      <c r="AP28" s="348">
        <v>5.14</v>
      </c>
      <c r="AQ28" s="348">
        <v>5.13</v>
      </c>
      <c r="AR28" s="348">
        <v>5.12</v>
      </c>
      <c r="AS28" s="348">
        <v>5.12</v>
      </c>
      <c r="AT28" s="348">
        <v>5.1100000000000003</v>
      </c>
      <c r="AU28" s="348">
        <v>5.0999999999999996</v>
      </c>
      <c r="AV28" s="348">
        <v>5.09</v>
      </c>
      <c r="AW28" s="348">
        <v>5.09</v>
      </c>
      <c r="AX28" s="348">
        <v>5.08</v>
      </c>
      <c r="AY28" s="348">
        <v>5.07</v>
      </c>
      <c r="AZ28" s="149">
        <v>2.75E-2</v>
      </c>
      <c r="BA28" s="104">
        <f t="shared" si="0"/>
        <v>2.75</v>
      </c>
    </row>
    <row r="29" spans="1:53">
      <c r="A29" s="105">
        <v>40421</v>
      </c>
      <c r="B29" s="348">
        <v>3.76</v>
      </c>
      <c r="C29" s="348">
        <v>3.92</v>
      </c>
      <c r="D29" s="348">
        <v>4.0999999999999996</v>
      </c>
      <c r="E29" s="348">
        <v>4.25</v>
      </c>
      <c r="F29" s="348">
        <v>4.3899999999999997</v>
      </c>
      <c r="G29" s="348">
        <v>4.51</v>
      </c>
      <c r="H29" s="348">
        <v>4.62</v>
      </c>
      <c r="I29" s="348">
        <v>4.7300000000000004</v>
      </c>
      <c r="J29" s="348">
        <v>4.82</v>
      </c>
      <c r="K29" s="348">
        <v>4.9000000000000004</v>
      </c>
      <c r="L29" s="348">
        <v>4.97</v>
      </c>
      <c r="M29" s="348">
        <v>5.03</v>
      </c>
      <c r="N29" s="348">
        <v>5.09</v>
      </c>
      <c r="O29" s="348">
        <v>5.14</v>
      </c>
      <c r="P29" s="2281">
        <v>5.19</v>
      </c>
      <c r="Q29" s="348">
        <v>5.22</v>
      </c>
      <c r="R29" s="348">
        <v>5.24</v>
      </c>
      <c r="S29" s="348">
        <v>5.26</v>
      </c>
      <c r="T29" s="348">
        <v>5.28</v>
      </c>
      <c r="U29" s="348">
        <v>5.3</v>
      </c>
      <c r="V29" s="348">
        <v>5.3</v>
      </c>
      <c r="W29" s="348">
        <v>5.3</v>
      </c>
      <c r="X29" s="348">
        <v>5.3</v>
      </c>
      <c r="Y29" s="348">
        <v>5.3</v>
      </c>
      <c r="Z29" s="348">
        <v>5.29</v>
      </c>
      <c r="AA29" s="348">
        <v>5.28</v>
      </c>
      <c r="AB29" s="348">
        <v>5.27</v>
      </c>
      <c r="AC29" s="348">
        <v>5.26</v>
      </c>
      <c r="AD29" s="348">
        <v>5.25</v>
      </c>
      <c r="AE29" s="348">
        <v>5.24</v>
      </c>
      <c r="AF29" s="348">
        <v>5.23</v>
      </c>
      <c r="AG29" s="348">
        <v>5.21</v>
      </c>
      <c r="AH29" s="348">
        <v>5.2</v>
      </c>
      <c r="AI29" s="348">
        <v>5.19</v>
      </c>
      <c r="AJ29" s="348">
        <v>5.18</v>
      </c>
      <c r="AK29" s="348">
        <v>5.17</v>
      </c>
      <c r="AL29" s="348">
        <v>5.16</v>
      </c>
      <c r="AM29" s="348">
        <v>5.15</v>
      </c>
      <c r="AN29" s="348">
        <v>5.14</v>
      </c>
      <c r="AO29" s="348">
        <v>5.13</v>
      </c>
      <c r="AP29" s="348">
        <v>5.12</v>
      </c>
      <c r="AQ29" s="348">
        <v>5.1100000000000003</v>
      </c>
      <c r="AR29" s="348">
        <v>5.0999999999999996</v>
      </c>
      <c r="AS29" s="348">
        <v>5.09</v>
      </c>
      <c r="AT29" s="348">
        <v>5.08</v>
      </c>
      <c r="AU29" s="348">
        <v>5.08</v>
      </c>
      <c r="AV29" s="348">
        <v>5.07</v>
      </c>
      <c r="AW29" s="348">
        <v>5.0599999999999996</v>
      </c>
      <c r="AX29" s="348">
        <v>5.05</v>
      </c>
      <c r="AY29" s="348">
        <v>5.05</v>
      </c>
      <c r="AZ29" s="149">
        <v>2.75E-2</v>
      </c>
      <c r="BA29" s="104">
        <f t="shared" si="0"/>
        <v>2.75</v>
      </c>
    </row>
    <row r="30" spans="1:53">
      <c r="A30" s="105">
        <v>40451</v>
      </c>
      <c r="B30" s="348">
        <v>3.76</v>
      </c>
      <c r="C30" s="348">
        <v>3.91</v>
      </c>
      <c r="D30" s="348">
        <v>4.09</v>
      </c>
      <c r="E30" s="348">
        <v>4.24</v>
      </c>
      <c r="F30" s="348">
        <v>4.38</v>
      </c>
      <c r="G30" s="348">
        <v>4.5</v>
      </c>
      <c r="H30" s="348">
        <v>4.6100000000000003</v>
      </c>
      <c r="I30" s="348">
        <v>4.72</v>
      </c>
      <c r="J30" s="348">
        <v>4.8099999999999996</v>
      </c>
      <c r="K30" s="348">
        <v>4.8899999999999997</v>
      </c>
      <c r="L30" s="348">
        <v>4.96</v>
      </c>
      <c r="M30" s="348">
        <v>5.0199999999999996</v>
      </c>
      <c r="N30" s="348">
        <v>5.08</v>
      </c>
      <c r="O30" s="348">
        <v>5.13</v>
      </c>
      <c r="P30" s="2281">
        <v>5.17</v>
      </c>
      <c r="Q30" s="348">
        <v>5.2</v>
      </c>
      <c r="R30" s="348">
        <v>5.23</v>
      </c>
      <c r="S30" s="348">
        <v>5.25</v>
      </c>
      <c r="T30" s="348">
        <v>5.27</v>
      </c>
      <c r="U30" s="348">
        <v>5.29</v>
      </c>
      <c r="V30" s="348">
        <v>5.28</v>
      </c>
      <c r="W30" s="348">
        <v>5.28</v>
      </c>
      <c r="X30" s="348">
        <v>5.28</v>
      </c>
      <c r="Y30" s="348">
        <v>5.28</v>
      </c>
      <c r="Z30" s="348">
        <v>5.28</v>
      </c>
      <c r="AA30" s="348">
        <v>5.26</v>
      </c>
      <c r="AB30" s="348">
        <v>5.25</v>
      </c>
      <c r="AC30" s="348">
        <v>5.24</v>
      </c>
      <c r="AD30" s="348">
        <v>5.23</v>
      </c>
      <c r="AE30" s="348">
        <v>5.22</v>
      </c>
      <c r="AF30" s="348">
        <v>5.2</v>
      </c>
      <c r="AG30" s="348">
        <v>5.19</v>
      </c>
      <c r="AH30" s="348">
        <v>5.18</v>
      </c>
      <c r="AI30" s="348">
        <v>5.17</v>
      </c>
      <c r="AJ30" s="348">
        <v>5.15</v>
      </c>
      <c r="AK30" s="348">
        <v>5.14</v>
      </c>
      <c r="AL30" s="348">
        <v>5.13</v>
      </c>
      <c r="AM30" s="348">
        <v>5.12</v>
      </c>
      <c r="AN30" s="348">
        <v>5.1100000000000003</v>
      </c>
      <c r="AO30" s="348">
        <v>5.0999999999999996</v>
      </c>
      <c r="AP30" s="348">
        <v>5.09</v>
      </c>
      <c r="AQ30" s="348">
        <v>5.08</v>
      </c>
      <c r="AR30" s="348">
        <v>5.08</v>
      </c>
      <c r="AS30" s="348">
        <v>5.07</v>
      </c>
      <c r="AT30" s="348">
        <v>5.0599999999999996</v>
      </c>
      <c r="AU30" s="348">
        <v>5.05</v>
      </c>
      <c r="AV30" s="348">
        <v>5.04</v>
      </c>
      <c r="AW30" s="348">
        <v>5.04</v>
      </c>
      <c r="AX30" s="348">
        <v>5.03</v>
      </c>
      <c r="AY30" s="348">
        <v>5.0199999999999996</v>
      </c>
      <c r="AZ30" s="149">
        <v>2.75E-2</v>
      </c>
      <c r="BA30" s="104">
        <f t="shared" si="0"/>
        <v>2.75</v>
      </c>
    </row>
    <row r="31" spans="1:53">
      <c r="A31" s="105">
        <v>40482</v>
      </c>
      <c r="B31" s="348">
        <v>3.75</v>
      </c>
      <c r="C31" s="348">
        <v>3.91</v>
      </c>
      <c r="D31" s="348">
        <v>4.08</v>
      </c>
      <c r="E31" s="348">
        <v>4.2300000000000004</v>
      </c>
      <c r="F31" s="348">
        <v>4.37</v>
      </c>
      <c r="G31" s="348">
        <v>4.49</v>
      </c>
      <c r="H31" s="348">
        <v>4.5999999999999996</v>
      </c>
      <c r="I31" s="348">
        <v>4.7</v>
      </c>
      <c r="J31" s="348">
        <v>4.79</v>
      </c>
      <c r="K31" s="348">
        <v>4.87</v>
      </c>
      <c r="L31" s="348">
        <v>4.95</v>
      </c>
      <c r="M31" s="348">
        <v>5.01</v>
      </c>
      <c r="N31" s="348">
        <v>5.07</v>
      </c>
      <c r="O31" s="348">
        <v>5.12</v>
      </c>
      <c r="P31" s="2281">
        <v>5.16</v>
      </c>
      <c r="Q31" s="348">
        <v>5.19</v>
      </c>
      <c r="R31" s="348">
        <v>5.21</v>
      </c>
      <c r="S31" s="348">
        <v>5.23</v>
      </c>
      <c r="T31" s="348">
        <v>5.25</v>
      </c>
      <c r="U31" s="348">
        <v>5.27</v>
      </c>
      <c r="V31" s="348">
        <v>5.27</v>
      </c>
      <c r="W31" s="348">
        <v>5.27</v>
      </c>
      <c r="X31" s="348">
        <v>5.26</v>
      </c>
      <c r="Y31" s="348">
        <v>5.26</v>
      </c>
      <c r="Z31" s="348">
        <v>5.26</v>
      </c>
      <c r="AA31" s="348">
        <v>5.24</v>
      </c>
      <c r="AB31" s="348">
        <v>5.23</v>
      </c>
      <c r="AC31" s="348">
        <v>5.22</v>
      </c>
      <c r="AD31" s="348">
        <v>5.21</v>
      </c>
      <c r="AE31" s="348">
        <v>5.2</v>
      </c>
      <c r="AF31" s="348">
        <v>5.18</v>
      </c>
      <c r="AG31" s="348">
        <v>5.17</v>
      </c>
      <c r="AH31" s="348">
        <v>5.16</v>
      </c>
      <c r="AI31" s="348">
        <v>5.14</v>
      </c>
      <c r="AJ31" s="348">
        <v>5.13</v>
      </c>
      <c r="AK31" s="348">
        <v>5.12</v>
      </c>
      <c r="AL31" s="348">
        <v>5.1100000000000003</v>
      </c>
      <c r="AM31" s="348">
        <v>5.0999999999999996</v>
      </c>
      <c r="AN31" s="348">
        <v>5.09</v>
      </c>
      <c r="AO31" s="348">
        <v>5.08</v>
      </c>
      <c r="AP31" s="348">
        <v>5.07</v>
      </c>
      <c r="AQ31" s="348">
        <v>5.0599999999999996</v>
      </c>
      <c r="AR31" s="348">
        <v>5.05</v>
      </c>
      <c r="AS31" s="348">
        <v>5.04</v>
      </c>
      <c r="AT31" s="348">
        <v>5.04</v>
      </c>
      <c r="AU31" s="348">
        <v>5.03</v>
      </c>
      <c r="AV31" s="348">
        <v>5.0199999999999996</v>
      </c>
      <c r="AW31" s="348">
        <v>5.01</v>
      </c>
      <c r="AX31" s="348">
        <v>5.01</v>
      </c>
      <c r="AY31" s="348">
        <v>5</v>
      </c>
      <c r="AZ31" s="149">
        <v>2.75E-2</v>
      </c>
      <c r="BA31" s="104">
        <f t="shared" si="0"/>
        <v>2.75</v>
      </c>
    </row>
    <row r="32" spans="1:53">
      <c r="A32" s="105">
        <v>40512</v>
      </c>
      <c r="B32" s="348">
        <v>3.75</v>
      </c>
      <c r="C32" s="348">
        <v>3.9</v>
      </c>
      <c r="D32" s="348">
        <v>4.07</v>
      </c>
      <c r="E32" s="348">
        <v>4.22</v>
      </c>
      <c r="F32" s="348">
        <v>4.3600000000000003</v>
      </c>
      <c r="G32" s="348">
        <v>4.4800000000000004</v>
      </c>
      <c r="H32" s="348">
        <v>4.5999999999999996</v>
      </c>
      <c r="I32" s="348">
        <v>4.7</v>
      </c>
      <c r="J32" s="348">
        <v>4.79</v>
      </c>
      <c r="K32" s="348">
        <v>4.87</v>
      </c>
      <c r="L32" s="348">
        <v>4.9400000000000004</v>
      </c>
      <c r="M32" s="348">
        <v>5</v>
      </c>
      <c r="N32" s="348">
        <v>5.0599999999999996</v>
      </c>
      <c r="O32" s="348">
        <v>5.1100000000000003</v>
      </c>
      <c r="P32" s="2281">
        <v>5.15</v>
      </c>
      <c r="Q32" s="348">
        <v>5.18</v>
      </c>
      <c r="R32" s="348">
        <v>5.21</v>
      </c>
      <c r="S32" s="348">
        <v>5.23</v>
      </c>
      <c r="T32" s="348">
        <v>5.25</v>
      </c>
      <c r="U32" s="348">
        <v>5.26</v>
      </c>
      <c r="V32" s="348">
        <v>5.26</v>
      </c>
      <c r="W32" s="348">
        <v>5.25</v>
      </c>
      <c r="X32" s="348">
        <v>5.25</v>
      </c>
      <c r="Y32" s="348">
        <v>5.25</v>
      </c>
      <c r="Z32" s="348">
        <v>5.25</v>
      </c>
      <c r="AA32" s="348">
        <v>5.23</v>
      </c>
      <c r="AB32" s="348">
        <v>5.22</v>
      </c>
      <c r="AC32" s="348">
        <v>5.21</v>
      </c>
      <c r="AD32" s="348">
        <v>5.19</v>
      </c>
      <c r="AE32" s="348">
        <v>5.18</v>
      </c>
      <c r="AF32" s="348">
        <v>5.17</v>
      </c>
      <c r="AG32" s="348">
        <v>5.15</v>
      </c>
      <c r="AH32" s="348">
        <v>5.14</v>
      </c>
      <c r="AI32" s="348">
        <v>5.13</v>
      </c>
      <c r="AJ32" s="348">
        <v>5.1100000000000003</v>
      </c>
      <c r="AK32" s="348">
        <v>5.0999999999999996</v>
      </c>
      <c r="AL32" s="348">
        <v>5.09</v>
      </c>
      <c r="AM32" s="348">
        <v>5.08</v>
      </c>
      <c r="AN32" s="348">
        <v>5.07</v>
      </c>
      <c r="AO32" s="348">
        <v>5.0599999999999996</v>
      </c>
      <c r="AP32" s="348">
        <v>5.05</v>
      </c>
      <c r="AQ32" s="348">
        <v>5.04</v>
      </c>
      <c r="AR32" s="348">
        <v>5.03</v>
      </c>
      <c r="AS32" s="348">
        <v>5.03</v>
      </c>
      <c r="AT32" s="348">
        <v>5.0199999999999996</v>
      </c>
      <c r="AU32" s="348">
        <v>5.01</v>
      </c>
      <c r="AV32" s="348">
        <v>5</v>
      </c>
      <c r="AW32" s="348">
        <v>4.99</v>
      </c>
      <c r="AX32" s="348">
        <v>4.99</v>
      </c>
      <c r="AY32" s="348">
        <v>4.9800000000000004</v>
      </c>
      <c r="AZ32" s="149">
        <v>2.75E-2</v>
      </c>
      <c r="BA32" s="104">
        <f t="shared" si="0"/>
        <v>2.75</v>
      </c>
    </row>
    <row r="33" spans="1:53">
      <c r="A33" s="105">
        <v>40543</v>
      </c>
      <c r="B33" s="348">
        <v>3.75</v>
      </c>
      <c r="C33" s="348">
        <v>3.9</v>
      </c>
      <c r="D33" s="348">
        <v>4.07</v>
      </c>
      <c r="E33" s="348">
        <v>4.22</v>
      </c>
      <c r="F33" s="348">
        <v>4.3600000000000003</v>
      </c>
      <c r="G33" s="348">
        <v>4.4800000000000004</v>
      </c>
      <c r="H33" s="348">
        <v>4.59</v>
      </c>
      <c r="I33" s="348">
        <v>4.6900000000000004</v>
      </c>
      <c r="J33" s="348">
        <v>4.78</v>
      </c>
      <c r="K33" s="348">
        <v>4.8600000000000003</v>
      </c>
      <c r="L33" s="348">
        <v>4.9400000000000004</v>
      </c>
      <c r="M33" s="348">
        <v>5</v>
      </c>
      <c r="N33" s="348">
        <v>5.0599999999999996</v>
      </c>
      <c r="O33" s="348">
        <v>5.1100000000000003</v>
      </c>
      <c r="P33" s="2281">
        <v>5.15</v>
      </c>
      <c r="Q33" s="348">
        <v>5.18</v>
      </c>
      <c r="R33" s="348">
        <v>5.2</v>
      </c>
      <c r="S33" s="348">
        <v>5.22</v>
      </c>
      <c r="T33" s="348">
        <v>5.24</v>
      </c>
      <c r="U33" s="348">
        <v>5.26</v>
      </c>
      <c r="V33" s="348">
        <v>5.25</v>
      </c>
      <c r="W33" s="348">
        <v>5.25</v>
      </c>
      <c r="X33" s="348">
        <v>5.24</v>
      </c>
      <c r="Y33" s="348">
        <v>5.24</v>
      </c>
      <c r="Z33" s="348">
        <v>5.24</v>
      </c>
      <c r="AA33" s="348">
        <v>5.22</v>
      </c>
      <c r="AB33" s="348">
        <v>5.21</v>
      </c>
      <c r="AC33" s="348">
        <v>5.2</v>
      </c>
      <c r="AD33" s="348">
        <v>5.18</v>
      </c>
      <c r="AE33" s="348">
        <v>5.17</v>
      </c>
      <c r="AF33" s="348">
        <v>5.16</v>
      </c>
      <c r="AG33" s="348">
        <v>5.14</v>
      </c>
      <c r="AH33" s="348">
        <v>5.13</v>
      </c>
      <c r="AI33" s="348">
        <v>5.1100000000000003</v>
      </c>
      <c r="AJ33" s="348">
        <v>5.0999999999999996</v>
      </c>
      <c r="AK33" s="348">
        <v>5.09</v>
      </c>
      <c r="AL33" s="348">
        <v>5.08</v>
      </c>
      <c r="AM33" s="348">
        <v>5.07</v>
      </c>
      <c r="AN33" s="348">
        <v>5.0599999999999996</v>
      </c>
      <c r="AO33" s="348">
        <v>5.05</v>
      </c>
      <c r="AP33" s="348">
        <v>5.04</v>
      </c>
      <c r="AQ33" s="348">
        <v>5.03</v>
      </c>
      <c r="AR33" s="348">
        <v>5.0199999999999996</v>
      </c>
      <c r="AS33" s="348">
        <v>5.01</v>
      </c>
      <c r="AT33" s="348">
        <v>5</v>
      </c>
      <c r="AU33" s="348">
        <v>5</v>
      </c>
      <c r="AV33" s="348">
        <v>4.99</v>
      </c>
      <c r="AW33" s="348">
        <v>4.9800000000000004</v>
      </c>
      <c r="AX33" s="348">
        <v>4.97</v>
      </c>
      <c r="AY33" s="348">
        <v>4.97</v>
      </c>
      <c r="AZ33" s="149">
        <v>2.75E-2</v>
      </c>
      <c r="BA33" s="104">
        <f t="shared" si="0"/>
        <v>2.75</v>
      </c>
    </row>
    <row r="34" spans="1:53" s="106" customFormat="1" ht="12.75">
      <c r="A34" s="107">
        <v>40574</v>
      </c>
      <c r="B34" s="348">
        <v>3.75</v>
      </c>
      <c r="C34" s="348">
        <v>3.9</v>
      </c>
      <c r="D34" s="348">
        <v>4.07</v>
      </c>
      <c r="E34" s="348">
        <v>4.22</v>
      </c>
      <c r="F34" s="348">
        <v>4.3499999999999996</v>
      </c>
      <c r="G34" s="348">
        <v>4.4800000000000004</v>
      </c>
      <c r="H34" s="348">
        <v>4.59</v>
      </c>
      <c r="I34" s="348">
        <v>4.6900000000000004</v>
      </c>
      <c r="J34" s="348">
        <v>4.78</v>
      </c>
      <c r="K34" s="348">
        <v>4.8600000000000003</v>
      </c>
      <c r="L34" s="348">
        <v>4.9400000000000004</v>
      </c>
      <c r="M34" s="348">
        <v>5</v>
      </c>
      <c r="N34" s="348">
        <v>5.0599999999999996</v>
      </c>
      <c r="O34" s="348">
        <v>5.1100000000000003</v>
      </c>
      <c r="P34" s="2281">
        <v>5.15</v>
      </c>
      <c r="Q34" s="348">
        <v>5.17</v>
      </c>
      <c r="R34" s="348">
        <v>5.2</v>
      </c>
      <c r="S34" s="348">
        <v>5.22</v>
      </c>
      <c r="T34" s="348">
        <v>5.24</v>
      </c>
      <c r="U34" s="348">
        <v>5.25</v>
      </c>
      <c r="V34" s="348">
        <v>5.25</v>
      </c>
      <c r="W34" s="348">
        <v>5.24</v>
      </c>
      <c r="X34" s="348">
        <v>5.24</v>
      </c>
      <c r="Y34" s="348">
        <v>5.23</v>
      </c>
      <c r="Z34" s="348">
        <v>5.23</v>
      </c>
      <c r="AA34" s="348">
        <v>5.21</v>
      </c>
      <c r="AB34" s="348">
        <v>5.2</v>
      </c>
      <c r="AC34" s="348">
        <v>5.19</v>
      </c>
      <c r="AD34" s="348">
        <v>5.17</v>
      </c>
      <c r="AE34" s="348">
        <v>5.16</v>
      </c>
      <c r="AF34" s="348">
        <v>5.15</v>
      </c>
      <c r="AG34" s="348">
        <v>5.13</v>
      </c>
      <c r="AH34" s="348">
        <v>5.12</v>
      </c>
      <c r="AI34" s="348">
        <v>5.0999999999999996</v>
      </c>
      <c r="AJ34" s="348">
        <v>5.09</v>
      </c>
      <c r="AK34" s="348">
        <v>5.08</v>
      </c>
      <c r="AL34" s="348">
        <v>5.07</v>
      </c>
      <c r="AM34" s="348">
        <v>5.0599999999999996</v>
      </c>
      <c r="AN34" s="348">
        <v>5.05</v>
      </c>
      <c r="AO34" s="348">
        <v>5.04</v>
      </c>
      <c r="AP34" s="348">
        <v>5.03</v>
      </c>
      <c r="AQ34" s="348">
        <v>5.0199999999999996</v>
      </c>
      <c r="AR34" s="348">
        <v>5.01</v>
      </c>
      <c r="AS34" s="348">
        <v>5</v>
      </c>
      <c r="AT34" s="348">
        <v>4.99</v>
      </c>
      <c r="AU34" s="348">
        <v>4.9800000000000004</v>
      </c>
      <c r="AV34" s="348">
        <v>4.97</v>
      </c>
      <c r="AW34" s="348">
        <v>4.97</v>
      </c>
      <c r="AX34" s="348">
        <v>4.96</v>
      </c>
      <c r="AY34" s="348">
        <v>4.95</v>
      </c>
      <c r="AZ34" s="149">
        <v>2.75E-2</v>
      </c>
      <c r="BA34" s="104">
        <f t="shared" si="0"/>
        <v>2.75</v>
      </c>
    </row>
    <row r="35" spans="1:53" s="106" customFormat="1" ht="12.75">
      <c r="A35" s="107">
        <v>40602</v>
      </c>
      <c r="B35" s="348">
        <v>3.75</v>
      </c>
      <c r="C35" s="348">
        <v>3.9</v>
      </c>
      <c r="D35" s="348">
        <v>4.07</v>
      </c>
      <c r="E35" s="348">
        <v>4.22</v>
      </c>
      <c r="F35" s="348">
        <v>4.3600000000000003</v>
      </c>
      <c r="G35" s="348">
        <v>4.4800000000000004</v>
      </c>
      <c r="H35" s="348">
        <v>4.59</v>
      </c>
      <c r="I35" s="348">
        <v>4.6900000000000004</v>
      </c>
      <c r="J35" s="348">
        <v>4.78</v>
      </c>
      <c r="K35" s="348">
        <v>4.8600000000000003</v>
      </c>
      <c r="L35" s="348">
        <v>4.93</v>
      </c>
      <c r="M35" s="348">
        <v>5</v>
      </c>
      <c r="N35" s="348">
        <v>5.05</v>
      </c>
      <c r="O35" s="348">
        <v>5.0999999999999996</v>
      </c>
      <c r="P35" s="2281">
        <v>5.14</v>
      </c>
      <c r="Q35" s="348">
        <v>5.17</v>
      </c>
      <c r="R35" s="348">
        <v>5.19</v>
      </c>
      <c r="S35" s="348">
        <v>5.21</v>
      </c>
      <c r="T35" s="348">
        <v>5.23</v>
      </c>
      <c r="U35" s="348">
        <v>5.25</v>
      </c>
      <c r="V35" s="348">
        <v>5.24</v>
      </c>
      <c r="W35" s="348">
        <v>5.23</v>
      </c>
      <c r="X35" s="348">
        <v>5.23</v>
      </c>
      <c r="Y35" s="348">
        <v>5.23</v>
      </c>
      <c r="Z35" s="348">
        <v>5.22</v>
      </c>
      <c r="AA35" s="348">
        <v>5.2</v>
      </c>
      <c r="AB35" s="348">
        <v>5.19</v>
      </c>
      <c r="AC35" s="348">
        <v>5.18</v>
      </c>
      <c r="AD35" s="348">
        <v>5.16</v>
      </c>
      <c r="AE35" s="348">
        <v>5.15</v>
      </c>
      <c r="AF35" s="348">
        <v>5.13</v>
      </c>
      <c r="AG35" s="348">
        <v>5.12</v>
      </c>
      <c r="AH35" s="348">
        <v>5.0999999999999996</v>
      </c>
      <c r="AI35" s="348">
        <v>5.09</v>
      </c>
      <c r="AJ35" s="348">
        <v>5.08</v>
      </c>
      <c r="AK35" s="348">
        <v>5.0599999999999996</v>
      </c>
      <c r="AL35" s="348">
        <v>5.05</v>
      </c>
      <c r="AM35" s="348">
        <v>5.04</v>
      </c>
      <c r="AN35" s="348">
        <v>5.03</v>
      </c>
      <c r="AO35" s="348">
        <v>5.0199999999999996</v>
      </c>
      <c r="AP35" s="348">
        <v>5.01</v>
      </c>
      <c r="AQ35" s="348">
        <v>5</v>
      </c>
      <c r="AR35" s="348">
        <v>4.99</v>
      </c>
      <c r="AS35" s="348">
        <v>4.9800000000000004</v>
      </c>
      <c r="AT35" s="348">
        <v>4.9800000000000004</v>
      </c>
      <c r="AU35" s="348">
        <v>4.97</v>
      </c>
      <c r="AV35" s="348">
        <v>4.96</v>
      </c>
      <c r="AW35" s="348">
        <v>4.95</v>
      </c>
      <c r="AX35" s="348">
        <v>4.9400000000000004</v>
      </c>
      <c r="AY35" s="348">
        <v>4.9400000000000004</v>
      </c>
      <c r="AZ35" s="149">
        <v>2.75E-2</v>
      </c>
      <c r="BA35" s="104">
        <f t="shared" si="0"/>
        <v>2.75</v>
      </c>
    </row>
    <row r="36" spans="1:53" s="106" customFormat="1" ht="12.75">
      <c r="A36" s="107">
        <v>40633</v>
      </c>
      <c r="B36" s="348">
        <v>3.76</v>
      </c>
      <c r="C36" s="348">
        <v>3.91</v>
      </c>
      <c r="D36" s="348">
        <v>4.08</v>
      </c>
      <c r="E36" s="348">
        <v>4.2300000000000004</v>
      </c>
      <c r="F36" s="348">
        <v>4.3600000000000003</v>
      </c>
      <c r="G36" s="348">
        <v>4.4800000000000004</v>
      </c>
      <c r="H36" s="348">
        <v>4.59</v>
      </c>
      <c r="I36" s="348">
        <v>4.6900000000000004</v>
      </c>
      <c r="J36" s="348">
        <v>4.78</v>
      </c>
      <c r="K36" s="348">
        <v>4.8600000000000003</v>
      </c>
      <c r="L36" s="348">
        <v>4.93</v>
      </c>
      <c r="M36" s="348">
        <v>5</v>
      </c>
      <c r="N36" s="348">
        <v>5.05</v>
      </c>
      <c r="O36" s="348">
        <v>5.0999999999999996</v>
      </c>
      <c r="P36" s="2281">
        <v>5.14</v>
      </c>
      <c r="Q36" s="348">
        <v>5.17</v>
      </c>
      <c r="R36" s="348">
        <v>5.19</v>
      </c>
      <c r="S36" s="348">
        <v>5.21</v>
      </c>
      <c r="T36" s="348">
        <v>5.23</v>
      </c>
      <c r="U36" s="348">
        <v>5.24</v>
      </c>
      <c r="V36" s="348">
        <v>5.24</v>
      </c>
      <c r="W36" s="348">
        <v>5.23</v>
      </c>
      <c r="X36" s="348">
        <v>5.22</v>
      </c>
      <c r="Y36" s="348">
        <v>5.22</v>
      </c>
      <c r="Z36" s="348">
        <v>5.21</v>
      </c>
      <c r="AA36" s="348">
        <v>5.2</v>
      </c>
      <c r="AB36" s="348">
        <v>5.18</v>
      </c>
      <c r="AC36" s="348">
        <v>5.17</v>
      </c>
      <c r="AD36" s="348">
        <v>5.15</v>
      </c>
      <c r="AE36" s="348">
        <v>5.14</v>
      </c>
      <c r="AF36" s="348">
        <v>5.13</v>
      </c>
      <c r="AG36" s="348">
        <v>5.1100000000000003</v>
      </c>
      <c r="AH36" s="348">
        <v>5.09</v>
      </c>
      <c r="AI36" s="348">
        <v>5.08</v>
      </c>
      <c r="AJ36" s="348">
        <v>5.07</v>
      </c>
      <c r="AK36" s="348">
        <v>5.05</v>
      </c>
      <c r="AL36" s="348">
        <v>5.04</v>
      </c>
      <c r="AM36" s="348">
        <v>5.03</v>
      </c>
      <c r="AN36" s="348">
        <v>5.0199999999999996</v>
      </c>
      <c r="AO36" s="348">
        <v>5.01</v>
      </c>
      <c r="AP36" s="348">
        <v>5</v>
      </c>
      <c r="AQ36" s="348">
        <v>4.99</v>
      </c>
      <c r="AR36" s="348">
        <v>4.9800000000000004</v>
      </c>
      <c r="AS36" s="348">
        <v>4.97</v>
      </c>
      <c r="AT36" s="348">
        <v>4.96</v>
      </c>
      <c r="AU36" s="348">
        <v>4.96</v>
      </c>
      <c r="AV36" s="348">
        <v>4.95</v>
      </c>
      <c r="AW36" s="348">
        <v>4.9400000000000004</v>
      </c>
      <c r="AX36" s="348">
        <v>4.93</v>
      </c>
      <c r="AY36" s="348">
        <v>4.93</v>
      </c>
      <c r="AZ36" s="149">
        <v>2.75E-2</v>
      </c>
      <c r="BA36" s="104">
        <f t="shared" si="0"/>
        <v>2.75</v>
      </c>
    </row>
    <row r="37" spans="1:53" s="106" customFormat="1" ht="12.75">
      <c r="A37" s="107">
        <v>40663</v>
      </c>
      <c r="B37" s="348">
        <v>3.76</v>
      </c>
      <c r="C37" s="348">
        <v>3.91</v>
      </c>
      <c r="D37" s="348">
        <v>4.08</v>
      </c>
      <c r="E37" s="348">
        <v>4.2300000000000004</v>
      </c>
      <c r="F37" s="348">
        <v>4.3600000000000003</v>
      </c>
      <c r="G37" s="348">
        <v>4.4800000000000004</v>
      </c>
      <c r="H37" s="348">
        <v>4.59</v>
      </c>
      <c r="I37" s="348">
        <v>4.6900000000000004</v>
      </c>
      <c r="J37" s="348">
        <v>4.78</v>
      </c>
      <c r="K37" s="348">
        <v>4.8600000000000003</v>
      </c>
      <c r="L37" s="348">
        <v>4.93</v>
      </c>
      <c r="M37" s="348">
        <v>4.99</v>
      </c>
      <c r="N37" s="348">
        <v>5.05</v>
      </c>
      <c r="O37" s="348">
        <v>5.0999999999999996</v>
      </c>
      <c r="P37" s="2281">
        <v>5.14</v>
      </c>
      <c r="Q37" s="348">
        <v>5.16</v>
      </c>
      <c r="R37" s="348">
        <v>5.18</v>
      </c>
      <c r="S37" s="348">
        <v>5.2</v>
      </c>
      <c r="T37" s="348">
        <v>5.22</v>
      </c>
      <c r="U37" s="348">
        <v>5.24</v>
      </c>
      <c r="V37" s="348">
        <v>5.23</v>
      </c>
      <c r="W37" s="348">
        <v>5.22</v>
      </c>
      <c r="X37" s="348">
        <v>5.22</v>
      </c>
      <c r="Y37" s="348">
        <v>5.21</v>
      </c>
      <c r="Z37" s="348">
        <v>5.21</v>
      </c>
      <c r="AA37" s="348">
        <v>5.19</v>
      </c>
      <c r="AB37" s="348">
        <v>5.17</v>
      </c>
      <c r="AC37" s="348">
        <v>5.16</v>
      </c>
      <c r="AD37" s="348">
        <v>5.14</v>
      </c>
      <c r="AE37" s="348">
        <v>5.13</v>
      </c>
      <c r="AF37" s="348">
        <v>5.1100000000000003</v>
      </c>
      <c r="AG37" s="348">
        <v>5.0999999999999996</v>
      </c>
      <c r="AH37" s="348">
        <v>5.08</v>
      </c>
      <c r="AI37" s="348">
        <v>5.07</v>
      </c>
      <c r="AJ37" s="348">
        <v>5.05</v>
      </c>
      <c r="AK37" s="348">
        <v>5.04</v>
      </c>
      <c r="AL37" s="348">
        <v>5.03</v>
      </c>
      <c r="AM37" s="348">
        <v>5.0199999999999996</v>
      </c>
      <c r="AN37" s="348">
        <v>5.01</v>
      </c>
      <c r="AO37" s="348">
        <v>5</v>
      </c>
      <c r="AP37" s="348">
        <v>4.99</v>
      </c>
      <c r="AQ37" s="348">
        <v>4.9800000000000004</v>
      </c>
      <c r="AR37" s="348">
        <v>4.97</v>
      </c>
      <c r="AS37" s="348">
        <v>4.96</v>
      </c>
      <c r="AT37" s="348">
        <v>4.95</v>
      </c>
      <c r="AU37" s="348">
        <v>4.9400000000000004</v>
      </c>
      <c r="AV37" s="348">
        <v>4.93</v>
      </c>
      <c r="AW37" s="348">
        <v>4.93</v>
      </c>
      <c r="AX37" s="348">
        <v>4.92</v>
      </c>
      <c r="AY37" s="348">
        <v>4.91</v>
      </c>
      <c r="AZ37" s="149">
        <v>2.75E-2</v>
      </c>
      <c r="BA37" s="104">
        <f t="shared" si="0"/>
        <v>2.75</v>
      </c>
    </row>
    <row r="38" spans="1:53" s="106" customFormat="1" ht="12.75">
      <c r="A38" s="107">
        <v>40694</v>
      </c>
      <c r="B38" s="348">
        <v>3.76</v>
      </c>
      <c r="C38" s="348">
        <v>3.91</v>
      </c>
      <c r="D38" s="348">
        <v>4.08</v>
      </c>
      <c r="E38" s="348">
        <v>4.2300000000000004</v>
      </c>
      <c r="F38" s="348">
        <v>4.3600000000000003</v>
      </c>
      <c r="G38" s="348">
        <v>4.4800000000000004</v>
      </c>
      <c r="H38" s="348">
        <v>4.59</v>
      </c>
      <c r="I38" s="348">
        <v>4.6900000000000004</v>
      </c>
      <c r="J38" s="348">
        <v>4.7699999999999996</v>
      </c>
      <c r="K38" s="348">
        <v>4.8499999999999996</v>
      </c>
      <c r="L38" s="348">
        <v>4.93</v>
      </c>
      <c r="M38" s="348">
        <v>4.99</v>
      </c>
      <c r="N38" s="348">
        <v>5.04</v>
      </c>
      <c r="O38" s="348">
        <v>5.09</v>
      </c>
      <c r="P38" s="2281">
        <v>5.13</v>
      </c>
      <c r="Q38" s="348">
        <v>5.16</v>
      </c>
      <c r="R38" s="348">
        <v>5.18</v>
      </c>
      <c r="S38" s="348">
        <v>5.2</v>
      </c>
      <c r="T38" s="348">
        <v>5.21</v>
      </c>
      <c r="U38" s="348">
        <v>5.23</v>
      </c>
      <c r="V38" s="348">
        <v>5.22</v>
      </c>
      <c r="W38" s="348">
        <v>5.21</v>
      </c>
      <c r="X38" s="348">
        <v>5.21</v>
      </c>
      <c r="Y38" s="348">
        <v>5.2</v>
      </c>
      <c r="Z38" s="348">
        <v>5.2</v>
      </c>
      <c r="AA38" s="348">
        <v>5.18</v>
      </c>
      <c r="AB38" s="348">
        <v>5.16</v>
      </c>
      <c r="AC38" s="348">
        <v>5.15</v>
      </c>
      <c r="AD38" s="348">
        <v>5.13</v>
      </c>
      <c r="AE38" s="348">
        <v>5.12</v>
      </c>
      <c r="AF38" s="348">
        <v>5.0999999999999996</v>
      </c>
      <c r="AG38" s="348">
        <v>5.09</v>
      </c>
      <c r="AH38" s="348">
        <v>5.07</v>
      </c>
      <c r="AI38" s="348">
        <v>5.0599999999999996</v>
      </c>
      <c r="AJ38" s="348">
        <v>5.04</v>
      </c>
      <c r="AK38" s="348">
        <v>5.03</v>
      </c>
      <c r="AL38" s="348">
        <v>5.0199999999999996</v>
      </c>
      <c r="AM38" s="348">
        <v>5</v>
      </c>
      <c r="AN38" s="348">
        <v>4.99</v>
      </c>
      <c r="AO38" s="348">
        <v>4.9800000000000004</v>
      </c>
      <c r="AP38" s="348">
        <v>4.97</v>
      </c>
      <c r="AQ38" s="348">
        <v>4.96</v>
      </c>
      <c r="AR38" s="348">
        <v>4.95</v>
      </c>
      <c r="AS38" s="348">
        <v>4.9400000000000004</v>
      </c>
      <c r="AT38" s="348">
        <v>4.9400000000000004</v>
      </c>
      <c r="AU38" s="348">
        <v>4.93</v>
      </c>
      <c r="AV38" s="348">
        <v>4.92</v>
      </c>
      <c r="AW38" s="348">
        <v>4.91</v>
      </c>
      <c r="AX38" s="348">
        <v>4.9000000000000004</v>
      </c>
      <c r="AY38" s="348">
        <v>4.9000000000000004</v>
      </c>
      <c r="AZ38" s="149">
        <v>2.75E-2</v>
      </c>
      <c r="BA38" s="104">
        <f t="shared" si="0"/>
        <v>2.75</v>
      </c>
    </row>
    <row r="39" spans="1:53" s="106" customFormat="1" ht="12.75">
      <c r="A39" s="107">
        <v>40724</v>
      </c>
      <c r="B39" s="348">
        <v>3.77</v>
      </c>
      <c r="C39" s="348">
        <v>3.91</v>
      </c>
      <c r="D39" s="348">
        <v>4.08</v>
      </c>
      <c r="E39" s="348">
        <v>4.2300000000000004</v>
      </c>
      <c r="F39" s="348">
        <v>4.3600000000000003</v>
      </c>
      <c r="G39" s="348">
        <v>4.4800000000000004</v>
      </c>
      <c r="H39" s="348">
        <v>4.59</v>
      </c>
      <c r="I39" s="348">
        <v>4.68</v>
      </c>
      <c r="J39" s="348">
        <v>4.7699999999999996</v>
      </c>
      <c r="K39" s="348">
        <v>4.8499999999999996</v>
      </c>
      <c r="L39" s="348">
        <v>4.92</v>
      </c>
      <c r="M39" s="348">
        <v>4.99</v>
      </c>
      <c r="N39" s="348">
        <v>5.04</v>
      </c>
      <c r="O39" s="348">
        <v>5.09</v>
      </c>
      <c r="P39" s="2281">
        <v>5.13</v>
      </c>
      <c r="Q39" s="348">
        <v>5.16</v>
      </c>
      <c r="R39" s="348">
        <v>5.18</v>
      </c>
      <c r="S39" s="348">
        <v>5.2</v>
      </c>
      <c r="T39" s="348">
        <v>5.21</v>
      </c>
      <c r="U39" s="348">
        <v>5.23</v>
      </c>
      <c r="V39" s="348">
        <v>5.22</v>
      </c>
      <c r="W39" s="348">
        <v>5.21</v>
      </c>
      <c r="X39" s="348">
        <v>5.2</v>
      </c>
      <c r="Y39" s="348">
        <v>5.2</v>
      </c>
      <c r="Z39" s="348">
        <v>5.19</v>
      </c>
      <c r="AA39" s="348">
        <v>5.18</v>
      </c>
      <c r="AB39" s="348">
        <v>5.16</v>
      </c>
      <c r="AC39" s="348">
        <v>5.14</v>
      </c>
      <c r="AD39" s="348">
        <v>5.13</v>
      </c>
      <c r="AE39" s="348">
        <v>5.12</v>
      </c>
      <c r="AF39" s="348">
        <v>5.0999999999999996</v>
      </c>
      <c r="AG39" s="348">
        <v>5.08</v>
      </c>
      <c r="AH39" s="348">
        <v>5.07</v>
      </c>
      <c r="AI39" s="348">
        <v>5.05</v>
      </c>
      <c r="AJ39" s="348">
        <v>5.04</v>
      </c>
      <c r="AK39" s="348">
        <v>5.0199999999999996</v>
      </c>
      <c r="AL39" s="348">
        <v>5.01</v>
      </c>
      <c r="AM39" s="348">
        <v>5</v>
      </c>
      <c r="AN39" s="348">
        <v>4.99</v>
      </c>
      <c r="AO39" s="348">
        <v>4.9800000000000004</v>
      </c>
      <c r="AP39" s="348">
        <v>4.97</v>
      </c>
      <c r="AQ39" s="348">
        <v>4.96</v>
      </c>
      <c r="AR39" s="348">
        <v>4.95</v>
      </c>
      <c r="AS39" s="348">
        <v>4.9400000000000004</v>
      </c>
      <c r="AT39" s="348">
        <v>4.93</v>
      </c>
      <c r="AU39" s="348">
        <v>4.92</v>
      </c>
      <c r="AV39" s="348">
        <v>4.91</v>
      </c>
      <c r="AW39" s="348">
        <v>4.91</v>
      </c>
      <c r="AX39" s="348">
        <v>4.9000000000000004</v>
      </c>
      <c r="AY39" s="348">
        <v>4.8899999999999997</v>
      </c>
      <c r="AZ39" s="149">
        <v>2.75E-2</v>
      </c>
      <c r="BA39" s="104">
        <f t="shared" si="0"/>
        <v>2.75</v>
      </c>
    </row>
    <row r="40" spans="1:53" s="108" customFormat="1" ht="12.75">
      <c r="A40" s="107">
        <v>40755</v>
      </c>
      <c r="B40" s="348">
        <v>3.77</v>
      </c>
      <c r="C40" s="348">
        <v>3.91</v>
      </c>
      <c r="D40" s="348">
        <v>4.08</v>
      </c>
      <c r="E40" s="348">
        <v>4.22</v>
      </c>
      <c r="F40" s="348">
        <v>4.3499999999999996</v>
      </c>
      <c r="G40" s="348">
        <v>4.47</v>
      </c>
      <c r="H40" s="348">
        <v>4.58</v>
      </c>
      <c r="I40" s="348">
        <v>4.68</v>
      </c>
      <c r="J40" s="348">
        <v>4.7699999999999996</v>
      </c>
      <c r="K40" s="348">
        <v>4.8499999999999996</v>
      </c>
      <c r="L40" s="348">
        <v>4.92</v>
      </c>
      <c r="M40" s="348">
        <v>4.9800000000000004</v>
      </c>
      <c r="N40" s="348">
        <v>5.04</v>
      </c>
      <c r="O40" s="348">
        <v>5.09</v>
      </c>
      <c r="P40" s="2281">
        <v>5.13</v>
      </c>
      <c r="Q40" s="348">
        <v>5.15</v>
      </c>
      <c r="R40" s="348">
        <v>5.17</v>
      </c>
      <c r="S40" s="348">
        <v>5.19</v>
      </c>
      <c r="T40" s="348">
        <v>5.21</v>
      </c>
      <c r="U40" s="348">
        <v>5.22</v>
      </c>
      <c r="V40" s="348">
        <v>5.21</v>
      </c>
      <c r="W40" s="348">
        <v>5.2</v>
      </c>
      <c r="X40" s="348">
        <v>5.2</v>
      </c>
      <c r="Y40" s="348">
        <v>5.19</v>
      </c>
      <c r="Z40" s="348">
        <v>5.18</v>
      </c>
      <c r="AA40" s="348">
        <v>5.17</v>
      </c>
      <c r="AB40" s="348">
        <v>5.15</v>
      </c>
      <c r="AC40" s="348">
        <v>5.13</v>
      </c>
      <c r="AD40" s="348">
        <v>5.12</v>
      </c>
      <c r="AE40" s="348">
        <v>5.1100000000000003</v>
      </c>
      <c r="AF40" s="348">
        <v>5.09</v>
      </c>
      <c r="AG40" s="348">
        <v>5.07</v>
      </c>
      <c r="AH40" s="348">
        <v>5.05</v>
      </c>
      <c r="AI40" s="348">
        <v>5.04</v>
      </c>
      <c r="AJ40" s="348">
        <v>5.03</v>
      </c>
      <c r="AK40" s="348">
        <v>5.01</v>
      </c>
      <c r="AL40" s="348">
        <v>5</v>
      </c>
      <c r="AM40" s="348">
        <v>4.99</v>
      </c>
      <c r="AN40" s="348">
        <v>4.9800000000000004</v>
      </c>
      <c r="AO40" s="348">
        <v>4.97</v>
      </c>
      <c r="AP40" s="348">
        <v>4.96</v>
      </c>
      <c r="AQ40" s="348">
        <v>4.95</v>
      </c>
      <c r="AR40" s="348">
        <v>4.9400000000000004</v>
      </c>
      <c r="AS40" s="348">
        <v>4.93</v>
      </c>
      <c r="AT40" s="348">
        <v>4.92</v>
      </c>
      <c r="AU40" s="348">
        <v>4.91</v>
      </c>
      <c r="AV40" s="348">
        <v>4.9000000000000004</v>
      </c>
      <c r="AW40" s="348">
        <v>4.9000000000000004</v>
      </c>
      <c r="AX40" s="348">
        <v>4.8899999999999997</v>
      </c>
      <c r="AY40" s="348">
        <v>4.88</v>
      </c>
      <c r="AZ40" s="149">
        <v>2.75E-2</v>
      </c>
      <c r="BA40" s="104">
        <f t="shared" si="0"/>
        <v>2.75</v>
      </c>
    </row>
    <row r="41" spans="1:53" s="106" customFormat="1" ht="12.75">
      <c r="A41" s="107">
        <v>40786</v>
      </c>
      <c r="B41" s="348">
        <v>3.78</v>
      </c>
      <c r="C41" s="348">
        <v>3.92</v>
      </c>
      <c r="D41" s="348">
        <v>4.08</v>
      </c>
      <c r="E41" s="348">
        <v>4.22</v>
      </c>
      <c r="F41" s="348">
        <v>4.3600000000000003</v>
      </c>
      <c r="G41" s="348">
        <v>4.4800000000000004</v>
      </c>
      <c r="H41" s="348">
        <v>4.59</v>
      </c>
      <c r="I41" s="348">
        <v>4.68</v>
      </c>
      <c r="J41" s="348">
        <v>4.7699999999999996</v>
      </c>
      <c r="K41" s="348">
        <v>4.8499999999999996</v>
      </c>
      <c r="L41" s="348">
        <v>4.92</v>
      </c>
      <c r="M41" s="348">
        <v>4.9800000000000004</v>
      </c>
      <c r="N41" s="348">
        <v>5.04</v>
      </c>
      <c r="O41" s="348">
        <v>5.09</v>
      </c>
      <c r="P41" s="2281">
        <v>5.13</v>
      </c>
      <c r="Q41" s="348">
        <v>5.15</v>
      </c>
      <c r="R41" s="348">
        <v>5.17</v>
      </c>
      <c r="S41" s="348">
        <v>5.19</v>
      </c>
      <c r="T41" s="348">
        <v>5.21</v>
      </c>
      <c r="U41" s="348">
        <v>5.22</v>
      </c>
      <c r="V41" s="348">
        <v>5.21</v>
      </c>
      <c r="W41" s="348">
        <v>5.2</v>
      </c>
      <c r="X41" s="348">
        <v>5.2</v>
      </c>
      <c r="Y41" s="348">
        <v>5.19</v>
      </c>
      <c r="Z41" s="348">
        <v>5.18</v>
      </c>
      <c r="AA41" s="348">
        <v>5.16</v>
      </c>
      <c r="AB41" s="348">
        <v>5.15</v>
      </c>
      <c r="AC41" s="348">
        <v>5.13</v>
      </c>
      <c r="AD41" s="348">
        <v>5.12</v>
      </c>
      <c r="AE41" s="348">
        <v>5.0999999999999996</v>
      </c>
      <c r="AF41" s="348">
        <v>5.08</v>
      </c>
      <c r="AG41" s="348">
        <v>5.07</v>
      </c>
      <c r="AH41" s="348">
        <v>5.05</v>
      </c>
      <c r="AI41" s="348">
        <v>5.04</v>
      </c>
      <c r="AJ41" s="348">
        <v>5.0199999999999996</v>
      </c>
      <c r="AK41" s="348">
        <v>5.01</v>
      </c>
      <c r="AL41" s="348">
        <v>5</v>
      </c>
      <c r="AM41" s="348">
        <v>4.9800000000000004</v>
      </c>
      <c r="AN41" s="348">
        <v>4.97</v>
      </c>
      <c r="AO41" s="348">
        <v>4.96</v>
      </c>
      <c r="AP41" s="348">
        <v>4.95</v>
      </c>
      <c r="AQ41" s="348">
        <v>4.9400000000000004</v>
      </c>
      <c r="AR41" s="348">
        <v>4.93</v>
      </c>
      <c r="AS41" s="348">
        <v>4.92</v>
      </c>
      <c r="AT41" s="348">
        <v>4.92</v>
      </c>
      <c r="AU41" s="348">
        <v>4.91</v>
      </c>
      <c r="AV41" s="348">
        <v>4.9000000000000004</v>
      </c>
      <c r="AW41" s="348">
        <v>4.8899999999999997</v>
      </c>
      <c r="AX41" s="348">
        <v>4.88</v>
      </c>
      <c r="AY41" s="348">
        <v>4.88</v>
      </c>
      <c r="AZ41" s="149">
        <v>2.75E-2</v>
      </c>
      <c r="BA41" s="104">
        <f t="shared" si="0"/>
        <v>2.75</v>
      </c>
    </row>
    <row r="42" spans="1:53" s="106" customFormat="1" ht="12.75">
      <c r="A42" s="107">
        <v>40816</v>
      </c>
      <c r="B42" s="348">
        <v>3.79</v>
      </c>
      <c r="C42" s="348">
        <v>3.93</v>
      </c>
      <c r="D42" s="348">
        <v>4.08</v>
      </c>
      <c r="E42" s="348">
        <v>4.2300000000000004</v>
      </c>
      <c r="F42" s="348">
        <v>4.3600000000000003</v>
      </c>
      <c r="G42" s="348">
        <v>4.4800000000000004</v>
      </c>
      <c r="H42" s="348">
        <v>4.59</v>
      </c>
      <c r="I42" s="348">
        <v>4.6900000000000004</v>
      </c>
      <c r="J42" s="348">
        <v>4.7699999999999996</v>
      </c>
      <c r="K42" s="348">
        <v>4.8499999999999996</v>
      </c>
      <c r="L42" s="348">
        <v>4.92</v>
      </c>
      <c r="M42" s="348">
        <v>4.99</v>
      </c>
      <c r="N42" s="348">
        <v>5.04</v>
      </c>
      <c r="O42" s="348">
        <v>5.09</v>
      </c>
      <c r="P42" s="2281">
        <v>5.13</v>
      </c>
      <c r="Q42" s="348">
        <v>5.15</v>
      </c>
      <c r="R42" s="348">
        <v>5.17</v>
      </c>
      <c r="S42" s="348">
        <v>5.19</v>
      </c>
      <c r="T42" s="348">
        <v>5.21</v>
      </c>
      <c r="U42" s="348">
        <v>5.22</v>
      </c>
      <c r="V42" s="348">
        <v>5.21</v>
      </c>
      <c r="W42" s="348">
        <v>5.2</v>
      </c>
      <c r="X42" s="348">
        <v>5.19</v>
      </c>
      <c r="Y42" s="348">
        <v>5.19</v>
      </c>
      <c r="Z42" s="348">
        <v>5.18</v>
      </c>
      <c r="AA42" s="348">
        <v>5.16</v>
      </c>
      <c r="AB42" s="348">
        <v>5.14</v>
      </c>
      <c r="AC42" s="348">
        <v>5.13</v>
      </c>
      <c r="AD42" s="348">
        <v>5.1100000000000003</v>
      </c>
      <c r="AE42" s="348">
        <v>5.0999999999999996</v>
      </c>
      <c r="AF42" s="348">
        <v>5.08</v>
      </c>
      <c r="AG42" s="348">
        <v>5.0599999999999996</v>
      </c>
      <c r="AH42" s="348">
        <v>5.05</v>
      </c>
      <c r="AI42" s="348">
        <v>5.03</v>
      </c>
      <c r="AJ42" s="348">
        <v>5.0199999999999996</v>
      </c>
      <c r="AK42" s="348">
        <v>5</v>
      </c>
      <c r="AL42" s="348">
        <v>4.99</v>
      </c>
      <c r="AM42" s="348">
        <v>4.9800000000000004</v>
      </c>
      <c r="AN42" s="348">
        <v>4.97</v>
      </c>
      <c r="AO42" s="348">
        <v>4.96</v>
      </c>
      <c r="AP42" s="348">
        <v>4.95</v>
      </c>
      <c r="AQ42" s="348">
        <v>4.9400000000000004</v>
      </c>
      <c r="AR42" s="348">
        <v>4.93</v>
      </c>
      <c r="AS42" s="348">
        <v>4.92</v>
      </c>
      <c r="AT42" s="348">
        <v>4.91</v>
      </c>
      <c r="AU42" s="348">
        <v>4.9000000000000004</v>
      </c>
      <c r="AV42" s="348">
        <v>4.8899999999999997</v>
      </c>
      <c r="AW42" s="348">
        <v>4.8899999999999997</v>
      </c>
      <c r="AX42" s="348">
        <v>4.88</v>
      </c>
      <c r="AY42" s="348">
        <v>4.87</v>
      </c>
      <c r="AZ42" s="149">
        <v>2.75E-2</v>
      </c>
      <c r="BA42" s="104">
        <f t="shared" si="0"/>
        <v>2.75</v>
      </c>
    </row>
    <row r="43" spans="1:53" s="106" customFormat="1" ht="12.75">
      <c r="A43" s="107">
        <v>40847</v>
      </c>
      <c r="B43" s="348">
        <v>3.8</v>
      </c>
      <c r="C43" s="348">
        <v>3.93</v>
      </c>
      <c r="D43" s="348">
        <v>4.09</v>
      </c>
      <c r="E43" s="348">
        <v>4.2300000000000004</v>
      </c>
      <c r="F43" s="348">
        <v>4.3600000000000003</v>
      </c>
      <c r="G43" s="348">
        <v>4.4800000000000004</v>
      </c>
      <c r="H43" s="348">
        <v>4.59</v>
      </c>
      <c r="I43" s="348">
        <v>4.68</v>
      </c>
      <c r="J43" s="348">
        <v>4.7699999999999996</v>
      </c>
      <c r="K43" s="348">
        <v>4.8499999999999996</v>
      </c>
      <c r="L43" s="348">
        <v>4.92</v>
      </c>
      <c r="M43" s="348">
        <v>4.9800000000000004</v>
      </c>
      <c r="N43" s="348">
        <v>5.04</v>
      </c>
      <c r="O43" s="348">
        <v>5.09</v>
      </c>
      <c r="P43" s="2281">
        <v>5.13</v>
      </c>
      <c r="Q43" s="348">
        <v>5.15</v>
      </c>
      <c r="R43" s="348">
        <v>5.17</v>
      </c>
      <c r="S43" s="348">
        <v>5.19</v>
      </c>
      <c r="T43" s="348">
        <v>5.2</v>
      </c>
      <c r="U43" s="348">
        <v>5.22</v>
      </c>
      <c r="V43" s="348">
        <v>5.21</v>
      </c>
      <c r="W43" s="348">
        <v>5.2</v>
      </c>
      <c r="X43" s="348">
        <v>5.19</v>
      </c>
      <c r="Y43" s="348">
        <v>5.18</v>
      </c>
      <c r="Z43" s="348">
        <v>5.17</v>
      </c>
      <c r="AA43" s="348">
        <v>5.15</v>
      </c>
      <c r="AB43" s="348">
        <v>5.14</v>
      </c>
      <c r="AC43" s="348">
        <v>5.12</v>
      </c>
      <c r="AD43" s="348">
        <v>5.0999999999999996</v>
      </c>
      <c r="AE43" s="348">
        <v>5.09</v>
      </c>
      <c r="AF43" s="348">
        <v>5.07</v>
      </c>
      <c r="AG43" s="348">
        <v>5.05</v>
      </c>
      <c r="AH43" s="348">
        <v>5.04</v>
      </c>
      <c r="AI43" s="348">
        <v>5.0199999999999996</v>
      </c>
      <c r="AJ43" s="348">
        <v>5.01</v>
      </c>
      <c r="AK43" s="348">
        <v>4.99</v>
      </c>
      <c r="AL43" s="348">
        <v>4.9800000000000004</v>
      </c>
      <c r="AM43" s="348">
        <v>4.97</v>
      </c>
      <c r="AN43" s="348">
        <v>4.96</v>
      </c>
      <c r="AO43" s="348">
        <v>4.95</v>
      </c>
      <c r="AP43" s="348">
        <v>4.9400000000000004</v>
      </c>
      <c r="AQ43" s="348">
        <v>4.93</v>
      </c>
      <c r="AR43" s="348">
        <v>4.92</v>
      </c>
      <c r="AS43" s="348">
        <v>4.91</v>
      </c>
      <c r="AT43" s="348">
        <v>4.9000000000000004</v>
      </c>
      <c r="AU43" s="348">
        <v>4.8899999999999997</v>
      </c>
      <c r="AV43" s="348">
        <v>4.8899999999999997</v>
      </c>
      <c r="AW43" s="348">
        <v>4.88</v>
      </c>
      <c r="AX43" s="348">
        <v>4.87</v>
      </c>
      <c r="AY43" s="348">
        <v>4.87</v>
      </c>
      <c r="AZ43" s="149">
        <v>2.75E-2</v>
      </c>
      <c r="BA43" s="104">
        <f t="shared" si="0"/>
        <v>2.75</v>
      </c>
    </row>
    <row r="44" spans="1:53" s="106" customFormat="1" ht="12.75">
      <c r="A44" s="107">
        <v>40877</v>
      </c>
      <c r="B44" s="348">
        <v>3.81</v>
      </c>
      <c r="C44" s="348">
        <v>3.94</v>
      </c>
      <c r="D44" s="348">
        <v>4.09</v>
      </c>
      <c r="E44" s="348">
        <v>4.24</v>
      </c>
      <c r="F44" s="348">
        <v>4.37</v>
      </c>
      <c r="G44" s="348">
        <v>4.49</v>
      </c>
      <c r="H44" s="348">
        <v>4.5999999999999996</v>
      </c>
      <c r="I44" s="348">
        <v>4.6900000000000004</v>
      </c>
      <c r="J44" s="348">
        <v>4.78</v>
      </c>
      <c r="K44" s="348">
        <v>4.8600000000000003</v>
      </c>
      <c r="L44" s="348">
        <v>4.93</v>
      </c>
      <c r="M44" s="348">
        <v>4.99</v>
      </c>
      <c r="N44" s="348">
        <v>5.05</v>
      </c>
      <c r="O44" s="348">
        <v>5.09</v>
      </c>
      <c r="P44" s="2281">
        <v>5.14</v>
      </c>
      <c r="Q44" s="348">
        <v>5.16</v>
      </c>
      <c r="R44" s="348">
        <v>5.17</v>
      </c>
      <c r="S44" s="348">
        <v>5.19</v>
      </c>
      <c r="T44" s="348">
        <v>5.21</v>
      </c>
      <c r="U44" s="348">
        <v>5.22</v>
      </c>
      <c r="V44" s="348">
        <v>5.21</v>
      </c>
      <c r="W44" s="348">
        <v>5.2</v>
      </c>
      <c r="X44" s="348">
        <v>5.19</v>
      </c>
      <c r="Y44" s="348">
        <v>5.18</v>
      </c>
      <c r="Z44" s="348">
        <v>5.17</v>
      </c>
      <c r="AA44" s="348">
        <v>5.15</v>
      </c>
      <c r="AB44" s="348">
        <v>5.13</v>
      </c>
      <c r="AC44" s="348">
        <v>5.12</v>
      </c>
      <c r="AD44" s="348">
        <v>5.0999999999999996</v>
      </c>
      <c r="AE44" s="348">
        <v>5.09</v>
      </c>
      <c r="AF44" s="348">
        <v>5.07</v>
      </c>
      <c r="AG44" s="348">
        <v>5.05</v>
      </c>
      <c r="AH44" s="348">
        <v>5.03</v>
      </c>
      <c r="AI44" s="348">
        <v>5.0199999999999996</v>
      </c>
      <c r="AJ44" s="348">
        <v>5.01</v>
      </c>
      <c r="AK44" s="348">
        <v>4.99</v>
      </c>
      <c r="AL44" s="348">
        <v>4.9800000000000004</v>
      </c>
      <c r="AM44" s="348">
        <v>4.97</v>
      </c>
      <c r="AN44" s="348">
        <v>4.96</v>
      </c>
      <c r="AO44" s="348">
        <v>4.9400000000000004</v>
      </c>
      <c r="AP44" s="348">
        <v>4.93</v>
      </c>
      <c r="AQ44" s="348">
        <v>4.93</v>
      </c>
      <c r="AR44" s="348">
        <v>4.92</v>
      </c>
      <c r="AS44" s="348">
        <v>4.91</v>
      </c>
      <c r="AT44" s="348">
        <v>4.9000000000000004</v>
      </c>
      <c r="AU44" s="348">
        <v>4.8899999999999997</v>
      </c>
      <c r="AV44" s="348">
        <v>4.88</v>
      </c>
      <c r="AW44" s="348">
        <v>4.88</v>
      </c>
      <c r="AX44" s="348">
        <v>4.87</v>
      </c>
      <c r="AY44" s="348">
        <v>4.8600000000000003</v>
      </c>
      <c r="AZ44" s="149">
        <v>2.75E-2</v>
      </c>
      <c r="BA44" s="104">
        <f t="shared" si="0"/>
        <v>2.75</v>
      </c>
    </row>
    <row r="45" spans="1:53" s="106" customFormat="1" ht="12.75">
      <c r="A45" s="107">
        <v>40908</v>
      </c>
      <c r="B45" s="348">
        <v>3.82</v>
      </c>
      <c r="C45" s="348">
        <v>3.94</v>
      </c>
      <c r="D45" s="348">
        <v>4.09</v>
      </c>
      <c r="E45" s="348">
        <v>4.24</v>
      </c>
      <c r="F45" s="348">
        <v>4.37</v>
      </c>
      <c r="G45" s="348">
        <v>4.49</v>
      </c>
      <c r="H45" s="348">
        <v>4.5999999999999996</v>
      </c>
      <c r="I45" s="348">
        <v>4.6900000000000004</v>
      </c>
      <c r="J45" s="348">
        <v>4.78</v>
      </c>
      <c r="K45" s="348">
        <v>4.8600000000000003</v>
      </c>
      <c r="L45" s="348">
        <v>4.93</v>
      </c>
      <c r="M45" s="348">
        <v>4.99</v>
      </c>
      <c r="N45" s="348">
        <v>5.05</v>
      </c>
      <c r="O45" s="348">
        <v>5.0999999999999996</v>
      </c>
      <c r="P45" s="2281">
        <v>5.14</v>
      </c>
      <c r="Q45" s="348">
        <v>5.16</v>
      </c>
      <c r="R45" s="348">
        <v>5.17</v>
      </c>
      <c r="S45" s="348">
        <v>5.19</v>
      </c>
      <c r="T45" s="348">
        <v>5.2</v>
      </c>
      <c r="U45" s="348">
        <v>5.22</v>
      </c>
      <c r="V45" s="348">
        <v>5.2</v>
      </c>
      <c r="W45" s="348">
        <v>5.19</v>
      </c>
      <c r="X45" s="348">
        <v>5.18</v>
      </c>
      <c r="Y45" s="348">
        <v>5.18</v>
      </c>
      <c r="Z45" s="348">
        <v>5.17</v>
      </c>
      <c r="AA45" s="348">
        <v>5.15</v>
      </c>
      <c r="AB45" s="348">
        <v>5.13</v>
      </c>
      <c r="AC45" s="348">
        <v>5.1100000000000003</v>
      </c>
      <c r="AD45" s="348">
        <v>5.0999999999999996</v>
      </c>
      <c r="AE45" s="348">
        <v>5.08</v>
      </c>
      <c r="AF45" s="348">
        <v>5.0599999999999996</v>
      </c>
      <c r="AG45" s="348">
        <v>5.04</v>
      </c>
      <c r="AH45" s="348">
        <v>5.03</v>
      </c>
      <c r="AI45" s="348">
        <v>5.01</v>
      </c>
      <c r="AJ45" s="348">
        <v>5</v>
      </c>
      <c r="AK45" s="348">
        <v>4.99</v>
      </c>
      <c r="AL45" s="348">
        <v>4.97</v>
      </c>
      <c r="AM45" s="348">
        <v>4.96</v>
      </c>
      <c r="AN45" s="348">
        <v>4.95</v>
      </c>
      <c r="AO45" s="348">
        <v>4.9400000000000004</v>
      </c>
      <c r="AP45" s="348">
        <v>4.93</v>
      </c>
      <c r="AQ45" s="348">
        <v>4.92</v>
      </c>
      <c r="AR45" s="348">
        <v>4.91</v>
      </c>
      <c r="AS45" s="348">
        <v>4.9000000000000004</v>
      </c>
      <c r="AT45" s="348">
        <v>4.8899999999999997</v>
      </c>
      <c r="AU45" s="348">
        <v>4.8899999999999997</v>
      </c>
      <c r="AV45" s="348">
        <v>4.88</v>
      </c>
      <c r="AW45" s="348">
        <v>4.87</v>
      </c>
      <c r="AX45" s="348">
        <v>4.8600000000000003</v>
      </c>
      <c r="AY45" s="348">
        <v>4.8600000000000003</v>
      </c>
      <c r="AZ45" s="149">
        <v>2.75E-2</v>
      </c>
      <c r="BA45" s="104">
        <f t="shared" si="0"/>
        <v>2.75</v>
      </c>
    </row>
    <row r="46" spans="1:53" s="106" customFormat="1" ht="12.75">
      <c r="A46" s="107">
        <v>40939</v>
      </c>
      <c r="B46" s="348">
        <v>3.82</v>
      </c>
      <c r="C46" s="348">
        <v>3.94</v>
      </c>
      <c r="D46" s="348">
        <v>4.09</v>
      </c>
      <c r="E46" s="348">
        <v>4.2300000000000004</v>
      </c>
      <c r="F46" s="348">
        <v>4.3600000000000003</v>
      </c>
      <c r="G46" s="348">
        <v>4.4800000000000004</v>
      </c>
      <c r="H46" s="348">
        <v>4.59</v>
      </c>
      <c r="I46" s="348">
        <v>4.6900000000000004</v>
      </c>
      <c r="J46" s="348">
        <v>4.78</v>
      </c>
      <c r="K46" s="348">
        <v>4.8499999999999996</v>
      </c>
      <c r="L46" s="348">
        <v>4.93</v>
      </c>
      <c r="M46" s="348">
        <v>4.99</v>
      </c>
      <c r="N46" s="348">
        <v>5.05</v>
      </c>
      <c r="O46" s="348">
        <v>5.09</v>
      </c>
      <c r="P46" s="2281">
        <v>5.13</v>
      </c>
      <c r="Q46" s="348">
        <v>5.15</v>
      </c>
      <c r="R46" s="348">
        <v>5.17</v>
      </c>
      <c r="S46" s="348">
        <v>5.19</v>
      </c>
      <c r="T46" s="348">
        <v>5.2</v>
      </c>
      <c r="U46" s="348">
        <v>5.21</v>
      </c>
      <c r="V46" s="348">
        <v>5.2</v>
      </c>
      <c r="W46" s="348">
        <v>5.19</v>
      </c>
      <c r="X46" s="348">
        <v>5.18</v>
      </c>
      <c r="Y46" s="348">
        <v>5.17</v>
      </c>
      <c r="Z46" s="348">
        <v>5.16</v>
      </c>
      <c r="AA46" s="348">
        <v>5.14</v>
      </c>
      <c r="AB46" s="348">
        <v>5.12</v>
      </c>
      <c r="AC46" s="348">
        <v>5.1100000000000003</v>
      </c>
      <c r="AD46" s="348">
        <v>5.09</v>
      </c>
      <c r="AE46" s="348">
        <v>5.07</v>
      </c>
      <c r="AF46" s="348">
        <v>5.05</v>
      </c>
      <c r="AG46" s="348">
        <v>5.04</v>
      </c>
      <c r="AH46" s="348">
        <v>5.0199999999999996</v>
      </c>
      <c r="AI46" s="348">
        <v>5.01</v>
      </c>
      <c r="AJ46" s="348">
        <v>4.99</v>
      </c>
      <c r="AK46" s="348">
        <v>4.9800000000000004</v>
      </c>
      <c r="AL46" s="348">
        <v>4.97</v>
      </c>
      <c r="AM46" s="348">
        <v>4.95</v>
      </c>
      <c r="AN46" s="348">
        <v>4.9400000000000004</v>
      </c>
      <c r="AO46" s="348">
        <v>4.93</v>
      </c>
      <c r="AP46" s="348">
        <v>4.92</v>
      </c>
      <c r="AQ46" s="348">
        <v>4.91</v>
      </c>
      <c r="AR46" s="348">
        <v>4.9000000000000004</v>
      </c>
      <c r="AS46" s="348">
        <v>4.8899999999999997</v>
      </c>
      <c r="AT46" s="348">
        <v>4.8899999999999997</v>
      </c>
      <c r="AU46" s="348">
        <v>4.88</v>
      </c>
      <c r="AV46" s="348">
        <v>4.87</v>
      </c>
      <c r="AW46" s="348">
        <v>4.8600000000000003</v>
      </c>
      <c r="AX46" s="348">
        <v>4.8600000000000003</v>
      </c>
      <c r="AY46" s="348">
        <v>4.8499999999999996</v>
      </c>
      <c r="AZ46" s="149">
        <v>1.7500000000000002E-2</v>
      </c>
      <c r="BA46" s="104">
        <f t="shared" si="0"/>
        <v>1.7500000000000002</v>
      </c>
    </row>
    <row r="47" spans="1:53" s="106" customFormat="1" ht="12.75">
      <c r="A47" s="107">
        <v>40968</v>
      </c>
      <c r="B47" s="348">
        <v>3.82</v>
      </c>
      <c r="C47" s="348">
        <v>3.93</v>
      </c>
      <c r="D47" s="348">
        <v>4.08</v>
      </c>
      <c r="E47" s="348">
        <v>4.22</v>
      </c>
      <c r="F47" s="348">
        <v>4.3600000000000003</v>
      </c>
      <c r="G47" s="348">
        <v>4.4800000000000004</v>
      </c>
      <c r="H47" s="348">
        <v>4.59</v>
      </c>
      <c r="I47" s="348">
        <v>4.68</v>
      </c>
      <c r="J47" s="348">
        <v>4.7699999999999996</v>
      </c>
      <c r="K47" s="348">
        <v>4.8499999999999996</v>
      </c>
      <c r="L47" s="348">
        <v>4.92</v>
      </c>
      <c r="M47" s="348">
        <v>4.99</v>
      </c>
      <c r="N47" s="348">
        <v>5.04</v>
      </c>
      <c r="O47" s="348">
        <v>5.09</v>
      </c>
      <c r="P47" s="2281">
        <v>5.13</v>
      </c>
      <c r="Q47" s="348">
        <v>5.15</v>
      </c>
      <c r="R47" s="348">
        <v>5.17</v>
      </c>
      <c r="S47" s="348">
        <v>5.18</v>
      </c>
      <c r="T47" s="348">
        <v>5.19</v>
      </c>
      <c r="U47" s="348">
        <v>5.21</v>
      </c>
      <c r="V47" s="348">
        <v>5.19</v>
      </c>
      <c r="W47" s="348">
        <v>5.18</v>
      </c>
      <c r="X47" s="348">
        <v>5.17</v>
      </c>
      <c r="Y47" s="348">
        <v>5.16</v>
      </c>
      <c r="Z47" s="348">
        <v>5.15</v>
      </c>
      <c r="AA47" s="348">
        <v>5.13</v>
      </c>
      <c r="AB47" s="348">
        <v>5.1100000000000003</v>
      </c>
      <c r="AC47" s="348">
        <v>5.0999999999999996</v>
      </c>
      <c r="AD47" s="348">
        <v>5.08</v>
      </c>
      <c r="AE47" s="348">
        <v>5.0599999999999996</v>
      </c>
      <c r="AF47" s="348">
        <v>5.04</v>
      </c>
      <c r="AG47" s="348">
        <v>5.03</v>
      </c>
      <c r="AH47" s="348">
        <v>5.01</v>
      </c>
      <c r="AI47" s="348">
        <v>5</v>
      </c>
      <c r="AJ47" s="348">
        <v>4.9800000000000004</v>
      </c>
      <c r="AK47" s="348">
        <v>4.97</v>
      </c>
      <c r="AL47" s="348">
        <v>4.95</v>
      </c>
      <c r="AM47" s="348">
        <v>4.9400000000000004</v>
      </c>
      <c r="AN47" s="348">
        <v>4.93</v>
      </c>
      <c r="AO47" s="348">
        <v>4.92</v>
      </c>
      <c r="AP47" s="348">
        <v>4.91</v>
      </c>
      <c r="AQ47" s="348">
        <v>4.9000000000000004</v>
      </c>
      <c r="AR47" s="348">
        <v>4.8899999999999997</v>
      </c>
      <c r="AS47" s="348">
        <v>4.88</v>
      </c>
      <c r="AT47" s="348">
        <v>4.87</v>
      </c>
      <c r="AU47" s="348">
        <v>4.87</v>
      </c>
      <c r="AV47" s="348">
        <v>4.8600000000000003</v>
      </c>
      <c r="AW47" s="348">
        <v>4.8499999999999996</v>
      </c>
      <c r="AX47" s="348">
        <v>4.84</v>
      </c>
      <c r="AY47" s="348">
        <v>4.84</v>
      </c>
      <c r="AZ47" s="149">
        <v>1.7500000000000002E-2</v>
      </c>
      <c r="BA47" s="104">
        <f t="shared" si="0"/>
        <v>1.7500000000000002</v>
      </c>
    </row>
    <row r="48" spans="1:53" s="106" customFormat="1" ht="12.75">
      <c r="A48" s="107">
        <v>40999</v>
      </c>
      <c r="B48" s="348">
        <v>3.81</v>
      </c>
      <c r="C48" s="348">
        <v>3.92</v>
      </c>
      <c r="D48" s="348">
        <v>4.07</v>
      </c>
      <c r="E48" s="348">
        <v>4.21</v>
      </c>
      <c r="F48" s="348">
        <v>4.3499999999999996</v>
      </c>
      <c r="G48" s="348">
        <v>4.47</v>
      </c>
      <c r="H48" s="348">
        <v>4.58</v>
      </c>
      <c r="I48" s="348">
        <v>4.68</v>
      </c>
      <c r="J48" s="348">
        <v>4.76</v>
      </c>
      <c r="K48" s="348">
        <v>4.84</v>
      </c>
      <c r="L48" s="348">
        <v>4.92</v>
      </c>
      <c r="M48" s="348">
        <v>4.9800000000000004</v>
      </c>
      <c r="N48" s="348">
        <v>5.03</v>
      </c>
      <c r="O48" s="348">
        <v>5.08</v>
      </c>
      <c r="P48" s="2281">
        <v>5.12</v>
      </c>
      <c r="Q48" s="348">
        <v>5.14</v>
      </c>
      <c r="R48" s="348">
        <v>5.16</v>
      </c>
      <c r="S48" s="348">
        <v>5.17</v>
      </c>
      <c r="T48" s="348">
        <v>5.18</v>
      </c>
      <c r="U48" s="348">
        <v>5.2</v>
      </c>
      <c r="V48" s="348">
        <v>5.18</v>
      </c>
      <c r="W48" s="348">
        <v>5.17</v>
      </c>
      <c r="X48" s="348">
        <v>5.16</v>
      </c>
      <c r="Y48" s="348">
        <v>5.15</v>
      </c>
      <c r="Z48" s="348">
        <v>5.14</v>
      </c>
      <c r="AA48" s="348">
        <v>5.12</v>
      </c>
      <c r="AB48" s="348">
        <v>5.0999999999999996</v>
      </c>
      <c r="AC48" s="348">
        <v>5.08</v>
      </c>
      <c r="AD48" s="348">
        <v>5.07</v>
      </c>
      <c r="AE48" s="348">
        <v>5.05</v>
      </c>
      <c r="AF48" s="348">
        <v>5.03</v>
      </c>
      <c r="AG48" s="348">
        <v>5.01</v>
      </c>
      <c r="AH48" s="348">
        <v>5</v>
      </c>
      <c r="AI48" s="348">
        <v>4.9800000000000004</v>
      </c>
      <c r="AJ48" s="348">
        <v>4.97</v>
      </c>
      <c r="AK48" s="348">
        <v>4.95</v>
      </c>
      <c r="AL48" s="348">
        <v>4.9400000000000004</v>
      </c>
      <c r="AM48" s="348">
        <v>4.93</v>
      </c>
      <c r="AN48" s="348">
        <v>4.92</v>
      </c>
      <c r="AO48" s="348">
        <v>4.91</v>
      </c>
      <c r="AP48" s="348">
        <v>4.9000000000000004</v>
      </c>
      <c r="AQ48" s="348">
        <v>4.8899999999999997</v>
      </c>
      <c r="AR48" s="348">
        <v>4.88</v>
      </c>
      <c r="AS48" s="348">
        <v>4.87</v>
      </c>
      <c r="AT48" s="348">
        <v>4.8600000000000003</v>
      </c>
      <c r="AU48" s="348">
        <v>4.8499999999999996</v>
      </c>
      <c r="AV48" s="348">
        <v>4.8499999999999996</v>
      </c>
      <c r="AW48" s="348">
        <v>4.84</v>
      </c>
      <c r="AX48" s="348">
        <v>4.83</v>
      </c>
      <c r="AY48" s="348">
        <v>4.83</v>
      </c>
      <c r="AZ48" s="149">
        <v>1.7500000000000002E-2</v>
      </c>
      <c r="BA48" s="104">
        <f t="shared" si="0"/>
        <v>1.7500000000000002</v>
      </c>
    </row>
    <row r="49" spans="1:53" s="106" customFormat="1" ht="12.75">
      <c r="A49" s="107">
        <v>41029</v>
      </c>
      <c r="B49" s="348">
        <v>3.81</v>
      </c>
      <c r="C49" s="348">
        <v>3.91</v>
      </c>
      <c r="D49" s="348">
        <v>4.0599999999999996</v>
      </c>
      <c r="E49" s="348">
        <v>4.21</v>
      </c>
      <c r="F49" s="348">
        <v>4.34</v>
      </c>
      <c r="G49" s="348">
        <v>4.46</v>
      </c>
      <c r="H49" s="348">
        <v>4.57</v>
      </c>
      <c r="I49" s="348">
        <v>4.67</v>
      </c>
      <c r="J49" s="348">
        <v>4.76</v>
      </c>
      <c r="K49" s="348">
        <v>4.83</v>
      </c>
      <c r="L49" s="348">
        <v>4.91</v>
      </c>
      <c r="M49" s="348">
        <v>4.97</v>
      </c>
      <c r="N49" s="348">
        <v>5.03</v>
      </c>
      <c r="O49" s="348">
        <v>5.08</v>
      </c>
      <c r="P49" s="2281">
        <v>5.12</v>
      </c>
      <c r="Q49" s="348">
        <v>5.13</v>
      </c>
      <c r="R49" s="348">
        <v>5.15</v>
      </c>
      <c r="S49" s="348">
        <v>5.16</v>
      </c>
      <c r="T49" s="348">
        <v>5.18</v>
      </c>
      <c r="U49" s="348">
        <v>5.19</v>
      </c>
      <c r="V49" s="348">
        <v>5.18</v>
      </c>
      <c r="W49" s="348">
        <v>5.16</v>
      </c>
      <c r="X49" s="348">
        <v>5.15</v>
      </c>
      <c r="Y49" s="348">
        <v>5.14</v>
      </c>
      <c r="Z49" s="348">
        <v>5.13</v>
      </c>
      <c r="AA49" s="348">
        <v>5.1100000000000003</v>
      </c>
      <c r="AB49" s="348">
        <v>5.09</v>
      </c>
      <c r="AC49" s="348">
        <v>5.07</v>
      </c>
      <c r="AD49" s="348">
        <v>5.0599999999999996</v>
      </c>
      <c r="AE49" s="348">
        <v>5.04</v>
      </c>
      <c r="AF49" s="348">
        <v>5.0199999999999996</v>
      </c>
      <c r="AG49" s="348">
        <v>5</v>
      </c>
      <c r="AH49" s="348">
        <v>4.99</v>
      </c>
      <c r="AI49" s="348">
        <v>4.97</v>
      </c>
      <c r="AJ49" s="348">
        <v>4.96</v>
      </c>
      <c r="AK49" s="348">
        <v>4.9400000000000004</v>
      </c>
      <c r="AL49" s="348">
        <v>4.93</v>
      </c>
      <c r="AM49" s="348">
        <v>4.92</v>
      </c>
      <c r="AN49" s="348">
        <v>4.91</v>
      </c>
      <c r="AO49" s="348">
        <v>4.8899999999999997</v>
      </c>
      <c r="AP49" s="348">
        <v>4.88</v>
      </c>
      <c r="AQ49" s="348">
        <v>4.88</v>
      </c>
      <c r="AR49" s="348">
        <v>4.87</v>
      </c>
      <c r="AS49" s="348">
        <v>4.8600000000000003</v>
      </c>
      <c r="AT49" s="348">
        <v>4.8499999999999996</v>
      </c>
      <c r="AU49" s="348">
        <v>4.84</v>
      </c>
      <c r="AV49" s="348">
        <v>4.84</v>
      </c>
      <c r="AW49" s="348">
        <v>4.83</v>
      </c>
      <c r="AX49" s="348">
        <v>4.82</v>
      </c>
      <c r="AY49" s="348">
        <v>4.8099999999999996</v>
      </c>
      <c r="AZ49" s="149">
        <v>1.7500000000000002E-2</v>
      </c>
      <c r="BA49" s="104">
        <f t="shared" si="0"/>
        <v>1.7500000000000002</v>
      </c>
    </row>
    <row r="50" spans="1:53" s="106" customFormat="1" ht="12.75">
      <c r="A50" s="107">
        <v>41060</v>
      </c>
      <c r="B50" s="348">
        <v>3.8</v>
      </c>
      <c r="C50" s="348">
        <v>3.9</v>
      </c>
      <c r="D50" s="348">
        <v>4.05</v>
      </c>
      <c r="E50" s="348">
        <v>4.1900000000000004</v>
      </c>
      <c r="F50" s="348">
        <v>4.33</v>
      </c>
      <c r="G50" s="348">
        <v>4.45</v>
      </c>
      <c r="H50" s="348">
        <v>4.5599999999999996</v>
      </c>
      <c r="I50" s="348">
        <v>4.66</v>
      </c>
      <c r="J50" s="348">
        <v>4.74</v>
      </c>
      <c r="K50" s="348">
        <v>4.82</v>
      </c>
      <c r="L50" s="348">
        <v>4.9000000000000004</v>
      </c>
      <c r="M50" s="348">
        <v>4.96</v>
      </c>
      <c r="N50" s="348">
        <v>5.01</v>
      </c>
      <c r="O50" s="348">
        <v>5.0599999999999996</v>
      </c>
      <c r="P50" s="2281">
        <v>5.0999999999999996</v>
      </c>
      <c r="Q50" s="348">
        <v>5.12</v>
      </c>
      <c r="R50" s="348">
        <v>5.14</v>
      </c>
      <c r="S50" s="348">
        <v>5.15</v>
      </c>
      <c r="T50" s="348">
        <v>5.16</v>
      </c>
      <c r="U50" s="348">
        <v>5.17</v>
      </c>
      <c r="V50" s="348">
        <v>5.16</v>
      </c>
      <c r="W50" s="348">
        <v>5.15</v>
      </c>
      <c r="X50" s="348">
        <v>5.14</v>
      </c>
      <c r="Y50" s="348">
        <v>5.13</v>
      </c>
      <c r="Z50" s="348">
        <v>5.12</v>
      </c>
      <c r="AA50" s="348">
        <v>5.09</v>
      </c>
      <c r="AB50" s="348">
        <v>5.07</v>
      </c>
      <c r="AC50" s="348">
        <v>5.05</v>
      </c>
      <c r="AD50" s="348">
        <v>5.04</v>
      </c>
      <c r="AE50" s="348">
        <v>5.0199999999999996</v>
      </c>
      <c r="AF50" s="348">
        <v>5</v>
      </c>
      <c r="AG50" s="348">
        <v>4.9800000000000004</v>
      </c>
      <c r="AH50" s="348">
        <v>4.97</v>
      </c>
      <c r="AI50" s="348">
        <v>4.95</v>
      </c>
      <c r="AJ50" s="348">
        <v>4.9400000000000004</v>
      </c>
      <c r="AK50" s="348">
        <v>4.92</v>
      </c>
      <c r="AL50" s="348">
        <v>4.91</v>
      </c>
      <c r="AM50" s="348">
        <v>4.9000000000000004</v>
      </c>
      <c r="AN50" s="348">
        <v>4.8899999999999997</v>
      </c>
      <c r="AO50" s="348">
        <v>4.88</v>
      </c>
      <c r="AP50" s="348">
        <v>4.87</v>
      </c>
      <c r="AQ50" s="348">
        <v>4.8600000000000003</v>
      </c>
      <c r="AR50" s="348">
        <v>4.8499999999999996</v>
      </c>
      <c r="AS50" s="348">
        <v>4.84</v>
      </c>
      <c r="AT50" s="348">
        <v>4.83</v>
      </c>
      <c r="AU50" s="348">
        <v>4.82</v>
      </c>
      <c r="AV50" s="348">
        <v>4.82</v>
      </c>
      <c r="AW50" s="348">
        <v>4.8099999999999996</v>
      </c>
      <c r="AX50" s="348">
        <v>4.8</v>
      </c>
      <c r="AY50" s="348">
        <v>4.8</v>
      </c>
      <c r="AZ50" s="149">
        <v>1.7500000000000002E-2</v>
      </c>
      <c r="BA50" s="104">
        <f t="shared" si="0"/>
        <v>1.7500000000000002</v>
      </c>
    </row>
    <row r="51" spans="1:53">
      <c r="A51" s="107">
        <v>41090</v>
      </c>
      <c r="B51" s="348">
        <v>3.79</v>
      </c>
      <c r="C51" s="348">
        <v>3.9</v>
      </c>
      <c r="D51" s="348">
        <v>4.04</v>
      </c>
      <c r="E51" s="348">
        <v>4.1900000000000004</v>
      </c>
      <c r="F51" s="348">
        <v>4.32</v>
      </c>
      <c r="G51" s="348">
        <v>4.4400000000000004</v>
      </c>
      <c r="H51" s="348">
        <v>4.55</v>
      </c>
      <c r="I51" s="348">
        <v>4.6500000000000004</v>
      </c>
      <c r="J51" s="348">
        <v>4.74</v>
      </c>
      <c r="K51" s="348">
        <v>4.82</v>
      </c>
      <c r="L51" s="348">
        <v>4.8899999999999997</v>
      </c>
      <c r="M51" s="348">
        <v>4.95</v>
      </c>
      <c r="N51" s="348">
        <v>5.01</v>
      </c>
      <c r="O51" s="348">
        <v>5.0599999999999996</v>
      </c>
      <c r="P51" s="2281">
        <v>5.0999999999999996</v>
      </c>
      <c r="Q51" s="348">
        <v>5.1100000000000003</v>
      </c>
      <c r="R51" s="348">
        <v>5.13</v>
      </c>
      <c r="S51" s="348">
        <v>5.14</v>
      </c>
      <c r="T51" s="348">
        <v>5.15</v>
      </c>
      <c r="U51" s="348">
        <v>5.16</v>
      </c>
      <c r="V51" s="348">
        <v>5.15</v>
      </c>
      <c r="W51" s="348">
        <v>5.14</v>
      </c>
      <c r="X51" s="348">
        <v>5.13</v>
      </c>
      <c r="Y51" s="348">
        <v>5.12</v>
      </c>
      <c r="Z51" s="348">
        <v>5.1100000000000003</v>
      </c>
      <c r="AA51" s="348">
        <v>5.08</v>
      </c>
      <c r="AB51" s="348">
        <v>5.0599999999999996</v>
      </c>
      <c r="AC51" s="348">
        <v>5.04</v>
      </c>
      <c r="AD51" s="348">
        <v>5.03</v>
      </c>
      <c r="AE51" s="348">
        <v>5.01</v>
      </c>
      <c r="AF51" s="348">
        <v>4.99</v>
      </c>
      <c r="AG51" s="348">
        <v>4.97</v>
      </c>
      <c r="AH51" s="348">
        <v>4.96</v>
      </c>
      <c r="AI51" s="348">
        <v>4.9400000000000004</v>
      </c>
      <c r="AJ51" s="348">
        <v>4.93</v>
      </c>
      <c r="AK51" s="348">
        <v>4.91</v>
      </c>
      <c r="AL51" s="348">
        <v>4.9000000000000004</v>
      </c>
      <c r="AM51" s="348">
        <v>4.8899999999999997</v>
      </c>
      <c r="AN51" s="348">
        <v>4.88</v>
      </c>
      <c r="AO51" s="348">
        <v>4.87</v>
      </c>
      <c r="AP51" s="348">
        <v>4.8600000000000003</v>
      </c>
      <c r="AQ51" s="348">
        <v>4.8499999999999996</v>
      </c>
      <c r="AR51" s="348">
        <v>4.84</v>
      </c>
      <c r="AS51" s="348">
        <v>4.83</v>
      </c>
      <c r="AT51" s="348">
        <v>4.82</v>
      </c>
      <c r="AU51" s="348">
        <v>4.82</v>
      </c>
      <c r="AV51" s="348">
        <v>4.8099999999999996</v>
      </c>
      <c r="AW51" s="348">
        <v>4.8</v>
      </c>
      <c r="AX51" s="348">
        <v>4.79</v>
      </c>
      <c r="AY51" s="348">
        <v>4.79</v>
      </c>
      <c r="AZ51" s="149">
        <v>1.7500000000000002E-2</v>
      </c>
      <c r="BA51" s="104">
        <f t="shared" si="0"/>
        <v>1.7500000000000002</v>
      </c>
    </row>
    <row r="52" spans="1:53">
      <c r="A52" s="107">
        <v>41121</v>
      </c>
      <c r="B52" s="348">
        <v>3.78</v>
      </c>
      <c r="C52" s="348">
        <v>3.88</v>
      </c>
      <c r="D52" s="348">
        <v>4.03</v>
      </c>
      <c r="E52" s="348">
        <v>4.17</v>
      </c>
      <c r="F52" s="348">
        <v>4.3099999999999996</v>
      </c>
      <c r="G52" s="348">
        <v>4.43</v>
      </c>
      <c r="H52" s="348">
        <v>4.54</v>
      </c>
      <c r="I52" s="348">
        <v>4.6399999999999997</v>
      </c>
      <c r="J52" s="348">
        <v>4.7300000000000004</v>
      </c>
      <c r="K52" s="348">
        <v>4.8099999999999996</v>
      </c>
      <c r="L52" s="348">
        <v>4.88</v>
      </c>
      <c r="M52" s="348">
        <v>4.9400000000000004</v>
      </c>
      <c r="N52" s="348">
        <v>5</v>
      </c>
      <c r="O52" s="348">
        <v>5.05</v>
      </c>
      <c r="P52" s="2281">
        <v>5.09</v>
      </c>
      <c r="Q52" s="348">
        <v>5.0999999999999996</v>
      </c>
      <c r="R52" s="348">
        <v>5.12</v>
      </c>
      <c r="S52" s="348">
        <v>5.13</v>
      </c>
      <c r="T52" s="348">
        <v>5.14</v>
      </c>
      <c r="U52" s="348">
        <v>5.15</v>
      </c>
      <c r="V52" s="348">
        <v>5.14</v>
      </c>
      <c r="W52" s="348">
        <v>5.13</v>
      </c>
      <c r="X52" s="348">
        <v>5.1100000000000003</v>
      </c>
      <c r="Y52" s="348">
        <v>5.0999999999999996</v>
      </c>
      <c r="Z52" s="348">
        <v>5.09</v>
      </c>
      <c r="AA52" s="348">
        <v>5.07</v>
      </c>
      <c r="AB52" s="348">
        <v>5.05</v>
      </c>
      <c r="AC52" s="348">
        <v>5.03</v>
      </c>
      <c r="AD52" s="348">
        <v>5.01</v>
      </c>
      <c r="AE52" s="348">
        <v>5</v>
      </c>
      <c r="AF52" s="348">
        <v>4.9800000000000004</v>
      </c>
      <c r="AG52" s="348">
        <v>4.96</v>
      </c>
      <c r="AH52" s="348">
        <v>4.95</v>
      </c>
      <c r="AI52" s="348">
        <v>4.93</v>
      </c>
      <c r="AJ52" s="348">
        <v>4.92</v>
      </c>
      <c r="AK52" s="348">
        <v>4.9000000000000004</v>
      </c>
      <c r="AL52" s="348">
        <v>4.8899999999999997</v>
      </c>
      <c r="AM52" s="348">
        <v>4.88</v>
      </c>
      <c r="AN52" s="348">
        <v>4.87</v>
      </c>
      <c r="AO52" s="348">
        <v>4.8499999999999996</v>
      </c>
      <c r="AP52" s="348">
        <v>4.84</v>
      </c>
      <c r="AQ52" s="348">
        <v>4.84</v>
      </c>
      <c r="AR52" s="348">
        <v>4.83</v>
      </c>
      <c r="AS52" s="348">
        <v>4.82</v>
      </c>
      <c r="AT52" s="348">
        <v>4.8099999999999996</v>
      </c>
      <c r="AU52" s="348">
        <v>4.8</v>
      </c>
      <c r="AV52" s="348">
        <v>4.8</v>
      </c>
      <c r="AW52" s="348">
        <v>4.79</v>
      </c>
      <c r="AX52" s="348">
        <v>4.78</v>
      </c>
      <c r="AY52" s="348">
        <v>4.78</v>
      </c>
      <c r="AZ52" s="149">
        <v>1.7500000000000002E-2</v>
      </c>
      <c r="BA52" s="104">
        <f t="shared" si="0"/>
        <v>1.7500000000000002</v>
      </c>
    </row>
    <row r="53" spans="1:53">
      <c r="A53" s="107">
        <v>41152</v>
      </c>
      <c r="B53" s="348">
        <v>3.77</v>
      </c>
      <c r="C53" s="348">
        <v>3.87</v>
      </c>
      <c r="D53" s="348">
        <v>4.01</v>
      </c>
      <c r="E53" s="348">
        <v>4.16</v>
      </c>
      <c r="F53" s="348">
        <v>4.3</v>
      </c>
      <c r="G53" s="348">
        <v>4.42</v>
      </c>
      <c r="H53" s="348">
        <v>4.53</v>
      </c>
      <c r="I53" s="348">
        <v>4.63</v>
      </c>
      <c r="J53" s="348">
        <v>4.72</v>
      </c>
      <c r="K53" s="348">
        <v>4.79</v>
      </c>
      <c r="L53" s="348">
        <v>4.87</v>
      </c>
      <c r="M53" s="348">
        <v>4.93</v>
      </c>
      <c r="N53" s="348">
        <v>4.99</v>
      </c>
      <c r="O53" s="348">
        <v>5.04</v>
      </c>
      <c r="P53" s="2281">
        <v>5.08</v>
      </c>
      <c r="Q53" s="348">
        <v>5.09</v>
      </c>
      <c r="R53" s="348">
        <v>5.1100000000000003</v>
      </c>
      <c r="S53" s="348">
        <v>5.12</v>
      </c>
      <c r="T53" s="348">
        <v>5.13</v>
      </c>
      <c r="U53" s="348">
        <v>5.14</v>
      </c>
      <c r="V53" s="348">
        <v>5.13</v>
      </c>
      <c r="W53" s="348">
        <v>5.1100000000000003</v>
      </c>
      <c r="X53" s="348">
        <v>5.0999999999999996</v>
      </c>
      <c r="Y53" s="348">
        <v>5.09</v>
      </c>
      <c r="Z53" s="348">
        <v>5.08</v>
      </c>
      <c r="AA53" s="348">
        <v>5.0599999999999996</v>
      </c>
      <c r="AB53" s="348">
        <v>5.04</v>
      </c>
      <c r="AC53" s="348">
        <v>5.0199999999999996</v>
      </c>
      <c r="AD53" s="348">
        <v>5</v>
      </c>
      <c r="AE53" s="348">
        <v>4.99</v>
      </c>
      <c r="AF53" s="348">
        <v>4.97</v>
      </c>
      <c r="AG53" s="348">
        <v>4.95</v>
      </c>
      <c r="AH53" s="348">
        <v>4.93</v>
      </c>
      <c r="AI53" s="348">
        <v>4.92</v>
      </c>
      <c r="AJ53" s="348">
        <v>4.9000000000000004</v>
      </c>
      <c r="AK53" s="348">
        <v>4.8899999999999997</v>
      </c>
      <c r="AL53" s="348">
        <v>4.88</v>
      </c>
      <c r="AM53" s="348">
        <v>4.87</v>
      </c>
      <c r="AN53" s="348">
        <v>4.8499999999999996</v>
      </c>
      <c r="AO53" s="348">
        <v>4.84</v>
      </c>
      <c r="AP53" s="348">
        <v>4.83</v>
      </c>
      <c r="AQ53" s="348">
        <v>4.83</v>
      </c>
      <c r="AR53" s="348">
        <v>4.82</v>
      </c>
      <c r="AS53" s="348">
        <v>4.8099999999999996</v>
      </c>
      <c r="AT53" s="348">
        <v>4.8</v>
      </c>
      <c r="AU53" s="348">
        <v>4.79</v>
      </c>
      <c r="AV53" s="348">
        <v>4.79</v>
      </c>
      <c r="AW53" s="348">
        <v>4.78</v>
      </c>
      <c r="AX53" s="348">
        <v>4.7699999999999996</v>
      </c>
      <c r="AY53" s="348">
        <v>4.7699999999999996</v>
      </c>
      <c r="AZ53" s="149">
        <v>1.7500000000000002E-2</v>
      </c>
      <c r="BA53" s="104">
        <f t="shared" si="0"/>
        <v>1.7500000000000002</v>
      </c>
    </row>
    <row r="54" spans="1:53">
      <c r="A54" s="107">
        <v>41182</v>
      </c>
      <c r="B54" s="348">
        <v>3.75</v>
      </c>
      <c r="C54" s="348">
        <v>3.85</v>
      </c>
      <c r="D54" s="348">
        <v>4</v>
      </c>
      <c r="E54" s="348">
        <v>4.1399999999999997</v>
      </c>
      <c r="F54" s="348">
        <v>4.28</v>
      </c>
      <c r="G54" s="348">
        <v>4.41</v>
      </c>
      <c r="H54" s="348">
        <v>4.5199999999999996</v>
      </c>
      <c r="I54" s="348">
        <v>4.62</v>
      </c>
      <c r="J54" s="348">
        <v>4.71</v>
      </c>
      <c r="K54" s="348">
        <v>4.79</v>
      </c>
      <c r="L54" s="348">
        <v>4.8600000000000003</v>
      </c>
      <c r="M54" s="348">
        <v>4.92</v>
      </c>
      <c r="N54" s="348">
        <v>4.9800000000000004</v>
      </c>
      <c r="O54" s="348">
        <v>5.03</v>
      </c>
      <c r="P54" s="2281">
        <v>5.07</v>
      </c>
      <c r="Q54" s="348">
        <v>5.09</v>
      </c>
      <c r="R54" s="348">
        <v>5.0999999999999996</v>
      </c>
      <c r="S54" s="348">
        <v>5.1100000000000003</v>
      </c>
      <c r="T54" s="348">
        <v>5.12</v>
      </c>
      <c r="U54" s="348">
        <v>5.13</v>
      </c>
      <c r="V54" s="348">
        <v>5.12</v>
      </c>
      <c r="W54" s="348">
        <v>5.1100000000000003</v>
      </c>
      <c r="X54" s="348">
        <v>5.09</v>
      </c>
      <c r="Y54" s="348">
        <v>5.08</v>
      </c>
      <c r="Z54" s="348">
        <v>5.07</v>
      </c>
      <c r="AA54" s="348">
        <v>5.05</v>
      </c>
      <c r="AB54" s="348">
        <v>5.03</v>
      </c>
      <c r="AC54" s="348">
        <v>5.01</v>
      </c>
      <c r="AD54" s="348">
        <v>4.99</v>
      </c>
      <c r="AE54" s="348">
        <v>4.9800000000000004</v>
      </c>
      <c r="AF54" s="348">
        <v>4.96</v>
      </c>
      <c r="AG54" s="348">
        <v>4.9400000000000004</v>
      </c>
      <c r="AH54" s="348">
        <v>4.93</v>
      </c>
      <c r="AI54" s="348">
        <v>4.91</v>
      </c>
      <c r="AJ54" s="348">
        <v>4.9000000000000004</v>
      </c>
      <c r="AK54" s="348">
        <v>4.88</v>
      </c>
      <c r="AL54" s="348">
        <v>4.87</v>
      </c>
      <c r="AM54" s="348">
        <v>4.8600000000000003</v>
      </c>
      <c r="AN54" s="348">
        <v>4.8499999999999996</v>
      </c>
      <c r="AO54" s="348">
        <v>4.84</v>
      </c>
      <c r="AP54" s="348">
        <v>4.83</v>
      </c>
      <c r="AQ54" s="348">
        <v>4.82</v>
      </c>
      <c r="AR54" s="348">
        <v>4.8099999999999996</v>
      </c>
      <c r="AS54" s="348">
        <v>4.8</v>
      </c>
      <c r="AT54" s="348">
        <v>4.8</v>
      </c>
      <c r="AU54" s="348">
        <v>4.79</v>
      </c>
      <c r="AV54" s="348">
        <v>4.78</v>
      </c>
      <c r="AW54" s="348">
        <v>4.78</v>
      </c>
      <c r="AX54" s="348">
        <v>4.7699999999999996</v>
      </c>
      <c r="AY54" s="348">
        <v>4.76</v>
      </c>
      <c r="AZ54" s="149">
        <v>1.7500000000000002E-2</v>
      </c>
      <c r="BA54" s="104">
        <f t="shared" si="0"/>
        <v>1.7500000000000002</v>
      </c>
    </row>
    <row r="55" spans="1:53">
      <c r="A55" s="107">
        <v>41213</v>
      </c>
      <c r="B55" s="348">
        <v>3.74</v>
      </c>
      <c r="C55" s="348">
        <v>3.83</v>
      </c>
      <c r="D55" s="348">
        <v>3.98</v>
      </c>
      <c r="E55" s="348">
        <v>4.12</v>
      </c>
      <c r="F55" s="348">
        <v>4.26</v>
      </c>
      <c r="G55" s="348">
        <v>4.3899999999999997</v>
      </c>
      <c r="H55" s="348">
        <v>4.5</v>
      </c>
      <c r="I55" s="348">
        <v>4.5999999999999996</v>
      </c>
      <c r="J55" s="348">
        <v>4.6900000000000004</v>
      </c>
      <c r="K55" s="348">
        <v>4.7699999999999996</v>
      </c>
      <c r="L55" s="348">
        <v>4.8499999999999996</v>
      </c>
      <c r="M55" s="348">
        <v>4.91</v>
      </c>
      <c r="N55" s="348">
        <v>4.97</v>
      </c>
      <c r="O55" s="348">
        <v>5.0199999999999996</v>
      </c>
      <c r="P55" s="2281">
        <v>5.0599999999999996</v>
      </c>
      <c r="Q55" s="348">
        <v>5.07</v>
      </c>
      <c r="R55" s="348">
        <v>5.09</v>
      </c>
      <c r="S55" s="348">
        <v>5.0999999999999996</v>
      </c>
      <c r="T55" s="348">
        <v>5.1100000000000003</v>
      </c>
      <c r="U55" s="348">
        <v>5.12</v>
      </c>
      <c r="V55" s="348">
        <v>5.1100000000000003</v>
      </c>
      <c r="W55" s="348">
        <v>5.09</v>
      </c>
      <c r="X55" s="348">
        <v>5.08</v>
      </c>
      <c r="Y55" s="348">
        <v>5.07</v>
      </c>
      <c r="Z55" s="348">
        <v>5.0599999999999996</v>
      </c>
      <c r="AA55" s="348">
        <v>5.04</v>
      </c>
      <c r="AB55" s="348">
        <v>5.0199999999999996</v>
      </c>
      <c r="AC55" s="348">
        <v>5</v>
      </c>
      <c r="AD55" s="348">
        <v>4.9800000000000004</v>
      </c>
      <c r="AE55" s="348">
        <v>4.97</v>
      </c>
      <c r="AF55" s="348">
        <v>4.95</v>
      </c>
      <c r="AG55" s="348">
        <v>4.93</v>
      </c>
      <c r="AH55" s="348">
        <v>4.91</v>
      </c>
      <c r="AI55" s="348">
        <v>4.9000000000000004</v>
      </c>
      <c r="AJ55" s="348">
        <v>4.8899999999999997</v>
      </c>
      <c r="AK55" s="348">
        <v>4.87</v>
      </c>
      <c r="AL55" s="348">
        <v>4.8600000000000003</v>
      </c>
      <c r="AM55" s="348">
        <v>4.8499999999999996</v>
      </c>
      <c r="AN55" s="348">
        <v>4.84</v>
      </c>
      <c r="AO55" s="348">
        <v>4.83</v>
      </c>
      <c r="AP55" s="348">
        <v>4.82</v>
      </c>
      <c r="AQ55" s="348">
        <v>4.8099999999999996</v>
      </c>
      <c r="AR55" s="348">
        <v>4.8</v>
      </c>
      <c r="AS55" s="348">
        <v>4.79</v>
      </c>
      <c r="AT55" s="348">
        <v>4.79</v>
      </c>
      <c r="AU55" s="348">
        <v>4.78</v>
      </c>
      <c r="AV55" s="348">
        <v>4.7699999999999996</v>
      </c>
      <c r="AW55" s="348">
        <v>4.7699999999999996</v>
      </c>
      <c r="AX55" s="348">
        <v>4.76</v>
      </c>
      <c r="AY55" s="348">
        <v>4.75</v>
      </c>
      <c r="AZ55" s="149">
        <v>1.7500000000000002E-2</v>
      </c>
      <c r="BA55" s="104">
        <f t="shared" si="0"/>
        <v>1.7500000000000002</v>
      </c>
    </row>
    <row r="56" spans="1:53">
      <c r="A56" s="107">
        <v>41243</v>
      </c>
      <c r="B56" s="348">
        <v>3.71</v>
      </c>
      <c r="C56" s="348">
        <v>3.81</v>
      </c>
      <c r="D56" s="348">
        <v>3.95</v>
      </c>
      <c r="E56" s="348">
        <v>4.0999999999999996</v>
      </c>
      <c r="F56" s="348">
        <v>4.24</v>
      </c>
      <c r="G56" s="348">
        <v>4.37</v>
      </c>
      <c r="H56" s="348">
        <v>4.49</v>
      </c>
      <c r="I56" s="348">
        <v>4.59</v>
      </c>
      <c r="J56" s="348">
        <v>4.68</v>
      </c>
      <c r="K56" s="348">
        <v>4.76</v>
      </c>
      <c r="L56" s="348">
        <v>4.84</v>
      </c>
      <c r="M56" s="348">
        <v>4.9000000000000004</v>
      </c>
      <c r="N56" s="348">
        <v>4.96</v>
      </c>
      <c r="O56" s="348">
        <v>5</v>
      </c>
      <c r="P56" s="2281">
        <v>5.05</v>
      </c>
      <c r="Q56" s="348">
        <v>5.0599999999999996</v>
      </c>
      <c r="R56" s="348">
        <v>5.08</v>
      </c>
      <c r="S56" s="348">
        <v>5.09</v>
      </c>
      <c r="T56" s="348">
        <v>5.0999999999999996</v>
      </c>
      <c r="U56" s="348">
        <v>5.1100000000000003</v>
      </c>
      <c r="V56" s="348">
        <v>5.0999999999999996</v>
      </c>
      <c r="W56" s="348">
        <v>5.08</v>
      </c>
      <c r="X56" s="348">
        <v>5.07</v>
      </c>
      <c r="Y56" s="348">
        <v>5.0599999999999996</v>
      </c>
      <c r="Z56" s="348">
        <v>5.05</v>
      </c>
      <c r="AA56" s="348">
        <v>5.03</v>
      </c>
      <c r="AB56" s="348">
        <v>5.01</v>
      </c>
      <c r="AC56" s="348">
        <v>4.99</v>
      </c>
      <c r="AD56" s="348">
        <v>4.97</v>
      </c>
      <c r="AE56" s="348">
        <v>4.95</v>
      </c>
      <c r="AF56" s="348">
        <v>4.9400000000000004</v>
      </c>
      <c r="AG56" s="348">
        <v>4.92</v>
      </c>
      <c r="AH56" s="348">
        <v>4.9000000000000004</v>
      </c>
      <c r="AI56" s="348">
        <v>4.8899999999999997</v>
      </c>
      <c r="AJ56" s="348">
        <v>4.87</v>
      </c>
      <c r="AK56" s="348">
        <v>4.8600000000000003</v>
      </c>
      <c r="AL56" s="348">
        <v>4.8499999999999996</v>
      </c>
      <c r="AM56" s="348">
        <v>4.84</v>
      </c>
      <c r="AN56" s="348">
        <v>4.83</v>
      </c>
      <c r="AO56" s="348">
        <v>4.8099999999999996</v>
      </c>
      <c r="AP56" s="348">
        <v>4.8099999999999996</v>
      </c>
      <c r="AQ56" s="348">
        <v>4.8</v>
      </c>
      <c r="AR56" s="348">
        <v>4.79</v>
      </c>
      <c r="AS56" s="348">
        <v>4.78</v>
      </c>
      <c r="AT56" s="348">
        <v>4.78</v>
      </c>
      <c r="AU56" s="348">
        <v>4.7699999999999996</v>
      </c>
      <c r="AV56" s="348">
        <v>4.76</v>
      </c>
      <c r="AW56" s="348">
        <v>4.76</v>
      </c>
      <c r="AX56" s="348">
        <v>4.75</v>
      </c>
      <c r="AY56" s="348">
        <v>4.75</v>
      </c>
      <c r="AZ56" s="149">
        <v>1.7500000000000002E-2</v>
      </c>
      <c r="BA56" s="104">
        <f t="shared" si="0"/>
        <v>1.7500000000000002</v>
      </c>
    </row>
    <row r="57" spans="1:53">
      <c r="A57" s="107">
        <v>41274</v>
      </c>
      <c r="B57" s="348">
        <v>3.69</v>
      </c>
      <c r="C57" s="348">
        <v>3.79</v>
      </c>
      <c r="D57" s="348">
        <v>3.93</v>
      </c>
      <c r="E57" s="348">
        <v>4.08</v>
      </c>
      <c r="F57" s="348">
        <v>4.22</v>
      </c>
      <c r="G57" s="348">
        <v>4.3499999999999996</v>
      </c>
      <c r="H57" s="348">
        <v>4.47</v>
      </c>
      <c r="I57" s="348">
        <v>4.57</v>
      </c>
      <c r="J57" s="348">
        <v>4.66</v>
      </c>
      <c r="K57" s="348">
        <v>4.74</v>
      </c>
      <c r="L57" s="348">
        <v>4.82</v>
      </c>
      <c r="M57" s="348">
        <v>4.8899999999999997</v>
      </c>
      <c r="N57" s="348">
        <v>4.9400000000000004</v>
      </c>
      <c r="O57" s="348">
        <v>4.99</v>
      </c>
      <c r="P57" s="2281">
        <v>5.04</v>
      </c>
      <c r="Q57" s="348">
        <v>5.05</v>
      </c>
      <c r="R57" s="348">
        <v>5.07</v>
      </c>
      <c r="S57" s="348">
        <v>5.08</v>
      </c>
      <c r="T57" s="348">
        <v>5.09</v>
      </c>
      <c r="U57" s="348">
        <v>5.0999999999999996</v>
      </c>
      <c r="V57" s="348">
        <v>5.09</v>
      </c>
      <c r="W57" s="348">
        <v>5.07</v>
      </c>
      <c r="X57" s="348">
        <v>5.0599999999999996</v>
      </c>
      <c r="Y57" s="348">
        <v>5.05</v>
      </c>
      <c r="Z57" s="348">
        <v>5.04</v>
      </c>
      <c r="AA57" s="348">
        <v>5.0199999999999996</v>
      </c>
      <c r="AB57" s="348">
        <v>5</v>
      </c>
      <c r="AC57" s="348">
        <v>4.9800000000000004</v>
      </c>
      <c r="AD57" s="348">
        <v>4.96</v>
      </c>
      <c r="AE57" s="348">
        <v>4.9400000000000004</v>
      </c>
      <c r="AF57" s="348">
        <v>4.93</v>
      </c>
      <c r="AG57" s="348">
        <v>4.91</v>
      </c>
      <c r="AH57" s="348">
        <v>4.8899999999999997</v>
      </c>
      <c r="AI57" s="348">
        <v>4.88</v>
      </c>
      <c r="AJ57" s="348">
        <v>4.87</v>
      </c>
      <c r="AK57" s="348">
        <v>4.8499999999999996</v>
      </c>
      <c r="AL57" s="348">
        <v>4.84</v>
      </c>
      <c r="AM57" s="348">
        <v>4.83</v>
      </c>
      <c r="AN57" s="348">
        <v>4.82</v>
      </c>
      <c r="AO57" s="348">
        <v>4.8099999999999996</v>
      </c>
      <c r="AP57" s="348">
        <v>4.8</v>
      </c>
      <c r="AQ57" s="348">
        <v>4.79</v>
      </c>
      <c r="AR57" s="348">
        <v>4.78</v>
      </c>
      <c r="AS57" s="348">
        <v>4.78</v>
      </c>
      <c r="AT57" s="348">
        <v>4.7699999999999996</v>
      </c>
      <c r="AU57" s="348">
        <v>4.76</v>
      </c>
      <c r="AV57" s="348">
        <v>4.76</v>
      </c>
      <c r="AW57" s="348">
        <v>4.75</v>
      </c>
      <c r="AX57" s="348">
        <v>4.74</v>
      </c>
      <c r="AY57" s="348">
        <v>4.74</v>
      </c>
      <c r="AZ57" s="149">
        <v>1.7500000000000002E-2</v>
      </c>
      <c r="BA57" s="104">
        <f t="shared" si="0"/>
        <v>1.7500000000000002</v>
      </c>
    </row>
    <row r="58" spans="1:53">
      <c r="A58" s="107">
        <v>41305</v>
      </c>
      <c r="B58" s="348">
        <v>3.67</v>
      </c>
      <c r="C58" s="348">
        <v>3.77</v>
      </c>
      <c r="D58" s="348">
        <v>3.91</v>
      </c>
      <c r="E58" s="348">
        <v>4.0599999999999996</v>
      </c>
      <c r="F58" s="348">
        <v>4.2</v>
      </c>
      <c r="G58" s="348">
        <v>4.33</v>
      </c>
      <c r="H58" s="348">
        <v>4.45</v>
      </c>
      <c r="I58" s="348">
        <v>4.5599999999999996</v>
      </c>
      <c r="J58" s="348">
        <v>4.6500000000000004</v>
      </c>
      <c r="K58" s="348">
        <v>4.7300000000000004</v>
      </c>
      <c r="L58" s="348">
        <v>4.8099999999999996</v>
      </c>
      <c r="M58" s="348">
        <v>4.88</v>
      </c>
      <c r="N58" s="348">
        <v>4.93</v>
      </c>
      <c r="O58" s="348">
        <v>4.9800000000000004</v>
      </c>
      <c r="P58" s="2281">
        <v>5.03</v>
      </c>
      <c r="Q58" s="348">
        <v>5.04</v>
      </c>
      <c r="R58" s="348">
        <v>5.0599999999999996</v>
      </c>
      <c r="S58" s="348">
        <v>5.07</v>
      </c>
      <c r="T58" s="348">
        <v>5.08</v>
      </c>
      <c r="U58" s="348">
        <v>5.09</v>
      </c>
      <c r="V58" s="348">
        <v>5.08</v>
      </c>
      <c r="W58" s="348">
        <v>5.0599999999999996</v>
      </c>
      <c r="X58" s="348">
        <v>5.05</v>
      </c>
      <c r="Y58" s="348">
        <v>5.04</v>
      </c>
      <c r="Z58" s="348">
        <v>5.03</v>
      </c>
      <c r="AA58" s="348">
        <v>5.01</v>
      </c>
      <c r="AB58" s="348">
        <v>4.99</v>
      </c>
      <c r="AC58" s="348">
        <v>4.97</v>
      </c>
      <c r="AD58" s="348">
        <v>4.95</v>
      </c>
      <c r="AE58" s="348">
        <v>4.93</v>
      </c>
      <c r="AF58" s="348">
        <v>4.92</v>
      </c>
      <c r="AG58" s="348">
        <v>4.9000000000000004</v>
      </c>
      <c r="AH58" s="348">
        <v>4.88</v>
      </c>
      <c r="AI58" s="348">
        <v>4.87</v>
      </c>
      <c r="AJ58" s="348">
        <v>4.8600000000000003</v>
      </c>
      <c r="AK58" s="348">
        <v>4.84</v>
      </c>
      <c r="AL58" s="348">
        <v>4.83</v>
      </c>
      <c r="AM58" s="348">
        <v>4.82</v>
      </c>
      <c r="AN58" s="348">
        <v>4.8099999999999996</v>
      </c>
      <c r="AO58" s="348">
        <v>4.8</v>
      </c>
      <c r="AP58" s="348">
        <v>4.79</v>
      </c>
      <c r="AQ58" s="348">
        <v>4.78</v>
      </c>
      <c r="AR58" s="348">
        <v>4.7699999999999996</v>
      </c>
      <c r="AS58" s="348">
        <v>4.7699999999999996</v>
      </c>
      <c r="AT58" s="348">
        <v>4.76</v>
      </c>
      <c r="AU58" s="348">
        <v>4.75</v>
      </c>
      <c r="AV58" s="348">
        <v>4.75</v>
      </c>
      <c r="AW58" s="348">
        <v>4.74</v>
      </c>
      <c r="AX58" s="348">
        <v>4.74</v>
      </c>
      <c r="AY58" s="348">
        <v>4.7300000000000004</v>
      </c>
      <c r="AZ58" s="149">
        <v>1.7500000000000002E-2</v>
      </c>
      <c r="BA58" s="104">
        <f t="shared" si="0"/>
        <v>1.7500000000000002</v>
      </c>
    </row>
    <row r="59" spans="1:53">
      <c r="A59" s="107">
        <v>41333</v>
      </c>
      <c r="B59" s="348">
        <v>3.65</v>
      </c>
      <c r="C59" s="348">
        <v>3.74</v>
      </c>
      <c r="D59" s="348">
        <v>3.89</v>
      </c>
      <c r="E59" s="348">
        <v>4.04</v>
      </c>
      <c r="F59" s="348">
        <v>4.18</v>
      </c>
      <c r="G59" s="348">
        <v>4.32</v>
      </c>
      <c r="H59" s="348">
        <v>4.43</v>
      </c>
      <c r="I59" s="348">
        <v>4.54</v>
      </c>
      <c r="J59" s="348">
        <v>4.63</v>
      </c>
      <c r="K59" s="348">
        <v>4.72</v>
      </c>
      <c r="L59" s="348">
        <v>4.8</v>
      </c>
      <c r="M59" s="348">
        <v>4.8600000000000003</v>
      </c>
      <c r="N59" s="348">
        <v>4.92</v>
      </c>
      <c r="O59" s="348">
        <v>4.97</v>
      </c>
      <c r="P59" s="2281">
        <v>5.0199999999999996</v>
      </c>
      <c r="Q59" s="348">
        <v>5.03</v>
      </c>
      <c r="R59" s="348">
        <v>5.05</v>
      </c>
      <c r="S59" s="348">
        <v>5.0599999999999996</v>
      </c>
      <c r="T59" s="348">
        <v>5.07</v>
      </c>
      <c r="U59" s="348">
        <v>5.08</v>
      </c>
      <c r="V59" s="348">
        <v>5.07</v>
      </c>
      <c r="W59" s="348">
        <v>5.05</v>
      </c>
      <c r="X59" s="348">
        <v>5.04</v>
      </c>
      <c r="Y59" s="348">
        <v>5.03</v>
      </c>
      <c r="Z59" s="348">
        <v>5.0199999999999996</v>
      </c>
      <c r="AA59" s="348">
        <v>5</v>
      </c>
      <c r="AB59" s="348">
        <v>4.9800000000000004</v>
      </c>
      <c r="AC59" s="348">
        <v>4.96</v>
      </c>
      <c r="AD59" s="348">
        <v>4.9400000000000004</v>
      </c>
      <c r="AE59" s="348">
        <v>4.92</v>
      </c>
      <c r="AF59" s="348">
        <v>4.91</v>
      </c>
      <c r="AG59" s="348">
        <v>4.8899999999999997</v>
      </c>
      <c r="AH59" s="348">
        <v>4.87</v>
      </c>
      <c r="AI59" s="348">
        <v>4.8600000000000003</v>
      </c>
      <c r="AJ59" s="348">
        <v>4.8499999999999996</v>
      </c>
      <c r="AK59" s="348">
        <v>4.83</v>
      </c>
      <c r="AL59" s="348">
        <v>4.82</v>
      </c>
      <c r="AM59" s="348">
        <v>4.8099999999999996</v>
      </c>
      <c r="AN59" s="348">
        <v>4.8</v>
      </c>
      <c r="AO59" s="348">
        <v>4.79</v>
      </c>
      <c r="AP59" s="348">
        <v>4.78</v>
      </c>
      <c r="AQ59" s="348">
        <v>4.7699999999999996</v>
      </c>
      <c r="AR59" s="348">
        <v>4.7699999999999996</v>
      </c>
      <c r="AS59" s="348">
        <v>4.76</v>
      </c>
      <c r="AT59" s="348">
        <v>4.75</v>
      </c>
      <c r="AU59" s="348">
        <v>4.75</v>
      </c>
      <c r="AV59" s="348">
        <v>4.74</v>
      </c>
      <c r="AW59" s="348">
        <v>4.74</v>
      </c>
      <c r="AX59" s="348">
        <v>4.7300000000000004</v>
      </c>
      <c r="AY59" s="348">
        <v>4.7300000000000004</v>
      </c>
      <c r="AZ59" s="149">
        <v>1.7500000000000002E-2</v>
      </c>
      <c r="BA59" s="104">
        <f t="shared" si="0"/>
        <v>1.7500000000000002</v>
      </c>
    </row>
    <row r="60" spans="1:53">
      <c r="A60" s="107">
        <v>41364</v>
      </c>
      <c r="B60" s="348">
        <v>3.62</v>
      </c>
      <c r="C60" s="348">
        <v>3.71</v>
      </c>
      <c r="D60" s="348">
        <v>3.86</v>
      </c>
      <c r="E60" s="348">
        <v>4.01</v>
      </c>
      <c r="F60" s="348">
        <v>4.16</v>
      </c>
      <c r="G60" s="348">
        <v>4.29</v>
      </c>
      <c r="H60" s="348">
        <v>4.41</v>
      </c>
      <c r="I60" s="348">
        <v>4.5199999999999996</v>
      </c>
      <c r="J60" s="348">
        <v>4.6100000000000003</v>
      </c>
      <c r="K60" s="348">
        <v>4.7</v>
      </c>
      <c r="L60" s="348">
        <v>4.78</v>
      </c>
      <c r="M60" s="348">
        <v>4.8499999999999996</v>
      </c>
      <c r="N60" s="348">
        <v>4.91</v>
      </c>
      <c r="O60" s="348">
        <v>4.96</v>
      </c>
      <c r="P60" s="2281">
        <v>5</v>
      </c>
      <c r="Q60" s="348">
        <v>5.0199999999999996</v>
      </c>
      <c r="R60" s="348">
        <v>5.03</v>
      </c>
      <c r="S60" s="348">
        <v>5.04</v>
      </c>
      <c r="T60" s="348">
        <v>5.0599999999999996</v>
      </c>
      <c r="U60" s="348">
        <v>5.07</v>
      </c>
      <c r="V60" s="348">
        <v>5.05</v>
      </c>
      <c r="W60" s="348">
        <v>5.04</v>
      </c>
      <c r="X60" s="348">
        <v>5.03</v>
      </c>
      <c r="Y60" s="348">
        <v>5.01</v>
      </c>
      <c r="Z60" s="348">
        <v>5</v>
      </c>
      <c r="AA60" s="348">
        <v>4.9800000000000004</v>
      </c>
      <c r="AB60" s="348">
        <v>4.96</v>
      </c>
      <c r="AC60" s="348">
        <v>4.9400000000000004</v>
      </c>
      <c r="AD60" s="348">
        <v>4.92</v>
      </c>
      <c r="AE60" s="348">
        <v>4.91</v>
      </c>
      <c r="AF60" s="348">
        <v>4.8899999999999997</v>
      </c>
      <c r="AG60" s="348">
        <v>4.88</v>
      </c>
      <c r="AH60" s="348">
        <v>4.8600000000000003</v>
      </c>
      <c r="AI60" s="348">
        <v>4.8499999999999996</v>
      </c>
      <c r="AJ60" s="348">
        <v>4.83</v>
      </c>
      <c r="AK60" s="348">
        <v>4.82</v>
      </c>
      <c r="AL60" s="348">
        <v>4.8099999999999996</v>
      </c>
      <c r="AM60" s="348">
        <v>4.8</v>
      </c>
      <c r="AN60" s="348">
        <v>4.79</v>
      </c>
      <c r="AO60" s="348">
        <v>4.78</v>
      </c>
      <c r="AP60" s="348">
        <v>4.7699999999999996</v>
      </c>
      <c r="AQ60" s="348">
        <v>4.76</v>
      </c>
      <c r="AR60" s="348">
        <v>4.75</v>
      </c>
      <c r="AS60" s="348">
        <v>4.75</v>
      </c>
      <c r="AT60" s="348">
        <v>4.74</v>
      </c>
      <c r="AU60" s="348">
        <v>4.7300000000000004</v>
      </c>
      <c r="AV60" s="348">
        <v>4.7300000000000004</v>
      </c>
      <c r="AW60" s="348">
        <v>4.72</v>
      </c>
      <c r="AX60" s="348">
        <v>4.72</v>
      </c>
      <c r="AY60" s="348">
        <v>4.71</v>
      </c>
      <c r="AZ60" s="149">
        <v>1.7500000000000002E-2</v>
      </c>
      <c r="BA60" s="104">
        <f t="shared" si="0"/>
        <v>1.7500000000000002</v>
      </c>
    </row>
    <row r="61" spans="1:53">
      <c r="A61" s="107">
        <v>41394</v>
      </c>
      <c r="B61" s="348">
        <v>3.59</v>
      </c>
      <c r="C61" s="348">
        <v>3.68</v>
      </c>
      <c r="D61" s="348">
        <v>3.83</v>
      </c>
      <c r="E61" s="348">
        <v>3.98</v>
      </c>
      <c r="F61" s="348">
        <v>4.13</v>
      </c>
      <c r="G61" s="348">
        <v>4.26</v>
      </c>
      <c r="H61" s="348">
        <v>4.38</v>
      </c>
      <c r="I61" s="348">
        <v>4.49</v>
      </c>
      <c r="J61" s="348">
        <v>4.59</v>
      </c>
      <c r="K61" s="348">
        <v>4.67</v>
      </c>
      <c r="L61" s="348">
        <v>4.76</v>
      </c>
      <c r="M61" s="348">
        <v>4.82</v>
      </c>
      <c r="N61" s="348">
        <v>4.88</v>
      </c>
      <c r="O61" s="348">
        <v>4.93</v>
      </c>
      <c r="P61" s="2281">
        <v>4.9800000000000004</v>
      </c>
      <c r="Q61" s="348">
        <v>5</v>
      </c>
      <c r="R61" s="348">
        <v>5.01</v>
      </c>
      <c r="S61" s="348">
        <v>5.0199999999999996</v>
      </c>
      <c r="T61" s="348">
        <v>5.04</v>
      </c>
      <c r="U61" s="348">
        <v>5.05</v>
      </c>
      <c r="V61" s="348">
        <v>5.03</v>
      </c>
      <c r="W61" s="348">
        <v>5.0199999999999996</v>
      </c>
      <c r="X61" s="348">
        <v>5.01</v>
      </c>
      <c r="Y61" s="348">
        <v>4.99</v>
      </c>
      <c r="Z61" s="348">
        <v>4.9800000000000004</v>
      </c>
      <c r="AA61" s="348">
        <v>4.96</v>
      </c>
      <c r="AB61" s="348">
        <v>4.9400000000000004</v>
      </c>
      <c r="AC61" s="348">
        <v>4.92</v>
      </c>
      <c r="AD61" s="348">
        <v>4.91</v>
      </c>
      <c r="AE61" s="348">
        <v>4.8899999999999997</v>
      </c>
      <c r="AF61" s="348">
        <v>4.87</v>
      </c>
      <c r="AG61" s="348">
        <v>4.8600000000000003</v>
      </c>
      <c r="AH61" s="348">
        <v>4.84</v>
      </c>
      <c r="AI61" s="348">
        <v>4.83</v>
      </c>
      <c r="AJ61" s="348">
        <v>4.8099999999999996</v>
      </c>
      <c r="AK61" s="348">
        <v>4.8</v>
      </c>
      <c r="AL61" s="348">
        <v>4.79</v>
      </c>
      <c r="AM61" s="348">
        <v>4.78</v>
      </c>
      <c r="AN61" s="348">
        <v>4.7699999999999996</v>
      </c>
      <c r="AO61" s="348">
        <v>4.76</v>
      </c>
      <c r="AP61" s="348">
        <v>4.75</v>
      </c>
      <c r="AQ61" s="348">
        <v>4.74</v>
      </c>
      <c r="AR61" s="348">
        <v>4.74</v>
      </c>
      <c r="AS61" s="348">
        <v>4.7300000000000004</v>
      </c>
      <c r="AT61" s="348">
        <v>4.72</v>
      </c>
      <c r="AU61" s="348">
        <v>4.72</v>
      </c>
      <c r="AV61" s="348">
        <v>4.71</v>
      </c>
      <c r="AW61" s="348">
        <v>4.71</v>
      </c>
      <c r="AX61" s="348">
        <v>4.7</v>
      </c>
      <c r="AY61" s="348">
        <v>4.7</v>
      </c>
      <c r="AZ61" s="149">
        <v>1.7500000000000002E-2</v>
      </c>
      <c r="BA61" s="104">
        <f t="shared" si="0"/>
        <v>1.7500000000000002</v>
      </c>
    </row>
    <row r="62" spans="1:53">
      <c r="A62" s="107">
        <v>41425</v>
      </c>
      <c r="B62" s="348">
        <v>3.56</v>
      </c>
      <c r="C62" s="348">
        <v>3.65</v>
      </c>
      <c r="D62" s="348">
        <v>3.8</v>
      </c>
      <c r="E62" s="348">
        <v>3.95</v>
      </c>
      <c r="F62" s="348">
        <v>4.0999999999999996</v>
      </c>
      <c r="G62" s="348">
        <v>4.2300000000000004</v>
      </c>
      <c r="H62" s="348">
        <v>4.3600000000000003</v>
      </c>
      <c r="I62" s="348">
        <v>4.47</v>
      </c>
      <c r="J62" s="348">
        <v>4.5599999999999996</v>
      </c>
      <c r="K62" s="348">
        <v>4.6500000000000004</v>
      </c>
      <c r="L62" s="348">
        <v>4.7300000000000004</v>
      </c>
      <c r="M62" s="348">
        <v>4.8</v>
      </c>
      <c r="N62" s="348">
        <v>4.8600000000000003</v>
      </c>
      <c r="O62" s="348">
        <v>4.92</v>
      </c>
      <c r="P62" s="2281">
        <v>4.96</v>
      </c>
      <c r="Q62" s="348">
        <v>4.9800000000000004</v>
      </c>
      <c r="R62" s="348">
        <v>4.99</v>
      </c>
      <c r="S62" s="348">
        <v>5.01</v>
      </c>
      <c r="T62" s="348">
        <v>5.0199999999999996</v>
      </c>
      <c r="U62" s="348">
        <v>5.03</v>
      </c>
      <c r="V62" s="348">
        <v>5.01</v>
      </c>
      <c r="W62" s="348">
        <v>5</v>
      </c>
      <c r="X62" s="348">
        <v>4.99</v>
      </c>
      <c r="Y62" s="348">
        <v>4.9800000000000004</v>
      </c>
      <c r="Z62" s="348">
        <v>4.97</v>
      </c>
      <c r="AA62" s="348">
        <v>4.9400000000000004</v>
      </c>
      <c r="AB62" s="348">
        <v>4.92</v>
      </c>
      <c r="AC62" s="348">
        <v>4.9000000000000004</v>
      </c>
      <c r="AD62" s="348">
        <v>4.8899999999999997</v>
      </c>
      <c r="AE62" s="348">
        <v>4.87</v>
      </c>
      <c r="AF62" s="348">
        <v>4.8499999999999996</v>
      </c>
      <c r="AG62" s="348">
        <v>4.84</v>
      </c>
      <c r="AH62" s="348">
        <v>4.82</v>
      </c>
      <c r="AI62" s="348">
        <v>4.8099999999999996</v>
      </c>
      <c r="AJ62" s="348">
        <v>4.8</v>
      </c>
      <c r="AK62" s="348">
        <v>4.78</v>
      </c>
      <c r="AL62" s="348">
        <v>4.7699999999999996</v>
      </c>
      <c r="AM62" s="348">
        <v>4.76</v>
      </c>
      <c r="AN62" s="348">
        <v>4.75</v>
      </c>
      <c r="AO62" s="348">
        <v>4.74</v>
      </c>
      <c r="AP62" s="348">
        <v>4.7300000000000004</v>
      </c>
      <c r="AQ62" s="348">
        <v>4.7300000000000004</v>
      </c>
      <c r="AR62" s="348">
        <v>4.72</v>
      </c>
      <c r="AS62" s="348">
        <v>4.71</v>
      </c>
      <c r="AT62" s="348">
        <v>4.71</v>
      </c>
      <c r="AU62" s="348">
        <v>4.7</v>
      </c>
      <c r="AV62" s="348">
        <v>4.7</v>
      </c>
      <c r="AW62" s="348">
        <v>4.6900000000000004</v>
      </c>
      <c r="AX62" s="348">
        <v>4.6900000000000004</v>
      </c>
      <c r="AY62" s="348">
        <v>4.68</v>
      </c>
      <c r="AZ62" s="149">
        <v>1.7500000000000002E-2</v>
      </c>
      <c r="BA62" s="104">
        <f t="shared" si="0"/>
        <v>1.7500000000000002</v>
      </c>
    </row>
    <row r="63" spans="1:53">
      <c r="A63" s="107">
        <v>41455</v>
      </c>
      <c r="B63" s="348">
        <v>3.53</v>
      </c>
      <c r="C63" s="348">
        <v>3.62</v>
      </c>
      <c r="D63" s="348">
        <v>3.77</v>
      </c>
      <c r="E63" s="348">
        <v>3.92</v>
      </c>
      <c r="F63" s="348">
        <v>4.07</v>
      </c>
      <c r="G63" s="348">
        <v>4.21</v>
      </c>
      <c r="H63" s="348">
        <v>4.33</v>
      </c>
      <c r="I63" s="348">
        <v>4.45</v>
      </c>
      <c r="J63" s="348">
        <v>4.54</v>
      </c>
      <c r="K63" s="348">
        <v>4.63</v>
      </c>
      <c r="L63" s="348">
        <v>4.72</v>
      </c>
      <c r="M63" s="348">
        <v>4.79</v>
      </c>
      <c r="N63" s="348">
        <v>4.8499999999999996</v>
      </c>
      <c r="O63" s="348">
        <v>4.9000000000000004</v>
      </c>
      <c r="P63" s="2281">
        <v>4.9400000000000004</v>
      </c>
      <c r="Q63" s="348">
        <v>4.96</v>
      </c>
      <c r="R63" s="348">
        <v>4.9800000000000004</v>
      </c>
      <c r="S63" s="348">
        <v>4.99</v>
      </c>
      <c r="T63" s="348">
        <v>5</v>
      </c>
      <c r="U63" s="348">
        <v>5.01</v>
      </c>
      <c r="V63" s="348">
        <v>5</v>
      </c>
      <c r="W63" s="348">
        <v>4.9800000000000004</v>
      </c>
      <c r="X63" s="348">
        <v>4.97</v>
      </c>
      <c r="Y63" s="348">
        <v>4.96</v>
      </c>
      <c r="Z63" s="348">
        <v>4.95</v>
      </c>
      <c r="AA63" s="348">
        <v>4.93</v>
      </c>
      <c r="AB63" s="348">
        <v>4.91</v>
      </c>
      <c r="AC63" s="348">
        <v>4.8899999999999997</v>
      </c>
      <c r="AD63" s="348">
        <v>4.87</v>
      </c>
      <c r="AE63" s="348">
        <v>4.8499999999999996</v>
      </c>
      <c r="AF63" s="348">
        <v>4.84</v>
      </c>
      <c r="AG63" s="348">
        <v>4.82</v>
      </c>
      <c r="AH63" s="348">
        <v>4.8099999999999996</v>
      </c>
      <c r="AI63" s="348">
        <v>4.79</v>
      </c>
      <c r="AJ63" s="348">
        <v>4.78</v>
      </c>
      <c r="AK63" s="348">
        <v>4.7699999999999996</v>
      </c>
      <c r="AL63" s="348">
        <v>4.76</v>
      </c>
      <c r="AM63" s="348">
        <v>4.74</v>
      </c>
      <c r="AN63" s="348">
        <v>4.7300000000000004</v>
      </c>
      <c r="AO63" s="348">
        <v>4.72</v>
      </c>
      <c r="AP63" s="348">
        <v>4.72</v>
      </c>
      <c r="AQ63" s="348">
        <v>4.71</v>
      </c>
      <c r="AR63" s="348">
        <v>4.7</v>
      </c>
      <c r="AS63" s="348">
        <v>4.7</v>
      </c>
      <c r="AT63" s="348">
        <v>4.6900000000000004</v>
      </c>
      <c r="AU63" s="348">
        <v>4.6900000000000004</v>
      </c>
      <c r="AV63" s="348">
        <v>4.68</v>
      </c>
      <c r="AW63" s="348">
        <v>4.68</v>
      </c>
      <c r="AX63" s="348">
        <v>4.67</v>
      </c>
      <c r="AY63" s="348">
        <v>4.67</v>
      </c>
      <c r="AZ63" s="149">
        <v>1.7500000000000002E-2</v>
      </c>
      <c r="BA63" s="104">
        <f t="shared" si="0"/>
        <v>1.7500000000000002</v>
      </c>
    </row>
    <row r="64" spans="1:53">
      <c r="A64" s="107">
        <v>41486</v>
      </c>
      <c r="B64" s="348">
        <v>3.5</v>
      </c>
      <c r="C64" s="348">
        <v>3.59</v>
      </c>
      <c r="D64" s="348">
        <v>3.74</v>
      </c>
      <c r="E64" s="348">
        <v>3.89</v>
      </c>
      <c r="F64" s="348">
        <v>4.05</v>
      </c>
      <c r="G64" s="348">
        <v>4.1900000000000004</v>
      </c>
      <c r="H64" s="348">
        <v>4.3099999999999996</v>
      </c>
      <c r="I64" s="348">
        <v>4.42</v>
      </c>
      <c r="J64" s="348">
        <v>4.5199999999999996</v>
      </c>
      <c r="K64" s="348">
        <v>4.6100000000000003</v>
      </c>
      <c r="L64" s="348">
        <v>4.7</v>
      </c>
      <c r="M64" s="348">
        <v>4.7699999999999996</v>
      </c>
      <c r="N64" s="348">
        <v>4.83</v>
      </c>
      <c r="O64" s="348">
        <v>4.88</v>
      </c>
      <c r="P64" s="2281">
        <v>4.93</v>
      </c>
      <c r="Q64" s="348">
        <v>4.9400000000000004</v>
      </c>
      <c r="R64" s="348">
        <v>4.96</v>
      </c>
      <c r="S64" s="348">
        <v>4.97</v>
      </c>
      <c r="T64" s="348">
        <v>4.99</v>
      </c>
      <c r="U64" s="348">
        <v>5</v>
      </c>
      <c r="V64" s="348">
        <v>4.9800000000000004</v>
      </c>
      <c r="W64" s="348">
        <v>4.97</v>
      </c>
      <c r="X64" s="348">
        <v>4.96</v>
      </c>
      <c r="Y64" s="348">
        <v>4.9400000000000004</v>
      </c>
      <c r="Z64" s="348">
        <v>4.93</v>
      </c>
      <c r="AA64" s="348">
        <v>4.91</v>
      </c>
      <c r="AB64" s="348">
        <v>4.8899999999999997</v>
      </c>
      <c r="AC64" s="348">
        <v>4.87</v>
      </c>
      <c r="AD64" s="348">
        <v>4.8499999999999996</v>
      </c>
      <c r="AE64" s="348">
        <v>4.84</v>
      </c>
      <c r="AF64" s="348">
        <v>4.82</v>
      </c>
      <c r="AG64" s="348">
        <v>4.8099999999999996</v>
      </c>
      <c r="AH64" s="348">
        <v>4.79</v>
      </c>
      <c r="AI64" s="348">
        <v>4.78</v>
      </c>
      <c r="AJ64" s="348">
        <v>4.76</v>
      </c>
      <c r="AK64" s="348">
        <v>4.75</v>
      </c>
      <c r="AL64" s="348">
        <v>4.74</v>
      </c>
      <c r="AM64" s="348">
        <v>4.7300000000000004</v>
      </c>
      <c r="AN64" s="348">
        <v>4.72</v>
      </c>
      <c r="AO64" s="348">
        <v>4.71</v>
      </c>
      <c r="AP64" s="348">
        <v>4.7</v>
      </c>
      <c r="AQ64" s="348">
        <v>4.7</v>
      </c>
      <c r="AR64" s="348">
        <v>4.6900000000000004</v>
      </c>
      <c r="AS64" s="348">
        <v>4.68</v>
      </c>
      <c r="AT64" s="348">
        <v>4.68</v>
      </c>
      <c r="AU64" s="348">
        <v>4.67</v>
      </c>
      <c r="AV64" s="348">
        <v>4.67</v>
      </c>
      <c r="AW64" s="348">
        <v>4.66</v>
      </c>
      <c r="AX64" s="348">
        <v>4.66</v>
      </c>
      <c r="AY64" s="348">
        <v>4.6500000000000004</v>
      </c>
      <c r="AZ64" s="149">
        <v>1.7500000000000002E-2</v>
      </c>
      <c r="BA64" s="104">
        <f t="shared" si="0"/>
        <v>1.7500000000000002</v>
      </c>
    </row>
    <row r="65" spans="1:60">
      <c r="A65" s="107">
        <v>41517</v>
      </c>
      <c r="B65" s="348">
        <v>3.47</v>
      </c>
      <c r="C65" s="348">
        <v>3.56</v>
      </c>
      <c r="D65" s="348">
        <v>3.71</v>
      </c>
      <c r="E65" s="348">
        <v>3.87</v>
      </c>
      <c r="F65" s="348">
        <v>4.0199999999999996</v>
      </c>
      <c r="G65" s="348">
        <v>4.17</v>
      </c>
      <c r="H65" s="348">
        <v>4.29</v>
      </c>
      <c r="I65" s="348">
        <v>4.41</v>
      </c>
      <c r="J65" s="348">
        <v>4.51</v>
      </c>
      <c r="K65" s="348">
        <v>4.5999999999999996</v>
      </c>
      <c r="L65" s="348">
        <v>4.68</v>
      </c>
      <c r="M65" s="348">
        <v>4.76</v>
      </c>
      <c r="N65" s="348">
        <v>4.82</v>
      </c>
      <c r="O65" s="348">
        <v>4.87</v>
      </c>
      <c r="P65" s="2281">
        <v>4.92</v>
      </c>
      <c r="Q65" s="348">
        <v>4.93</v>
      </c>
      <c r="R65" s="348">
        <v>4.95</v>
      </c>
      <c r="S65" s="348">
        <v>4.96</v>
      </c>
      <c r="T65" s="348">
        <v>4.97</v>
      </c>
      <c r="U65" s="348">
        <v>4.99</v>
      </c>
      <c r="V65" s="348">
        <v>4.97</v>
      </c>
      <c r="W65" s="348">
        <v>4.96</v>
      </c>
      <c r="X65" s="348">
        <v>4.9400000000000004</v>
      </c>
      <c r="Y65" s="348">
        <v>4.93</v>
      </c>
      <c r="Z65" s="348">
        <v>4.92</v>
      </c>
      <c r="AA65" s="348">
        <v>4.9000000000000004</v>
      </c>
      <c r="AB65" s="348">
        <v>4.88</v>
      </c>
      <c r="AC65" s="348">
        <v>4.8600000000000003</v>
      </c>
      <c r="AD65" s="348">
        <v>4.84</v>
      </c>
      <c r="AE65" s="348">
        <v>4.83</v>
      </c>
      <c r="AF65" s="348">
        <v>4.8099999999999996</v>
      </c>
      <c r="AG65" s="348">
        <v>4.79</v>
      </c>
      <c r="AH65" s="348">
        <v>4.78</v>
      </c>
      <c r="AI65" s="348">
        <v>4.7699999999999996</v>
      </c>
      <c r="AJ65" s="348">
        <v>4.75</v>
      </c>
      <c r="AK65" s="348">
        <v>4.74</v>
      </c>
      <c r="AL65" s="348">
        <v>4.7300000000000004</v>
      </c>
      <c r="AM65" s="348">
        <v>4.72</v>
      </c>
      <c r="AN65" s="348">
        <v>4.71</v>
      </c>
      <c r="AO65" s="348">
        <v>4.7</v>
      </c>
      <c r="AP65" s="348">
        <v>4.6900000000000004</v>
      </c>
      <c r="AQ65" s="348">
        <v>4.68</v>
      </c>
      <c r="AR65" s="348">
        <v>4.68</v>
      </c>
      <c r="AS65" s="348">
        <v>4.67</v>
      </c>
      <c r="AT65" s="348">
        <v>4.67</v>
      </c>
      <c r="AU65" s="348">
        <v>4.66</v>
      </c>
      <c r="AV65" s="348">
        <v>4.66</v>
      </c>
      <c r="AW65" s="348">
        <v>4.6500000000000004</v>
      </c>
      <c r="AX65" s="348">
        <v>4.6500000000000004</v>
      </c>
      <c r="AY65" s="348">
        <v>4.6399999999999997</v>
      </c>
      <c r="AZ65" s="149">
        <v>1.7500000000000002E-2</v>
      </c>
      <c r="BA65" s="104">
        <f t="shared" si="0"/>
        <v>1.7500000000000002</v>
      </c>
    </row>
    <row r="66" spans="1:60">
      <c r="A66" s="107">
        <v>41547</v>
      </c>
      <c r="B66" s="348">
        <v>3.44</v>
      </c>
      <c r="C66" s="348">
        <v>3.53</v>
      </c>
      <c r="D66" s="348">
        <v>3.68</v>
      </c>
      <c r="E66" s="348">
        <v>3.84</v>
      </c>
      <c r="F66" s="348">
        <v>4</v>
      </c>
      <c r="G66" s="348">
        <v>4.1500000000000004</v>
      </c>
      <c r="H66" s="348">
        <v>4.28</v>
      </c>
      <c r="I66" s="348">
        <v>4.3899999999999997</v>
      </c>
      <c r="J66" s="348">
        <v>4.49</v>
      </c>
      <c r="K66" s="348">
        <v>4.58</v>
      </c>
      <c r="L66" s="348">
        <v>4.67</v>
      </c>
      <c r="M66" s="348">
        <v>4.74</v>
      </c>
      <c r="N66" s="348">
        <v>4.8099999999999996</v>
      </c>
      <c r="O66" s="348">
        <v>4.8600000000000003</v>
      </c>
      <c r="P66" s="2281">
        <v>4.91</v>
      </c>
      <c r="Q66" s="348">
        <v>4.92</v>
      </c>
      <c r="R66" s="348">
        <v>4.9400000000000004</v>
      </c>
      <c r="S66" s="348">
        <v>4.95</v>
      </c>
      <c r="T66" s="348">
        <v>4.97</v>
      </c>
      <c r="U66" s="348">
        <v>4.9800000000000004</v>
      </c>
      <c r="V66" s="348">
        <v>4.96</v>
      </c>
      <c r="W66" s="348">
        <v>4.95</v>
      </c>
      <c r="X66" s="348">
        <v>4.93</v>
      </c>
      <c r="Y66" s="348">
        <v>4.92</v>
      </c>
      <c r="Z66" s="348">
        <v>4.91</v>
      </c>
      <c r="AA66" s="348">
        <v>4.8899999999999997</v>
      </c>
      <c r="AB66" s="348">
        <v>4.87</v>
      </c>
      <c r="AC66" s="348">
        <v>4.8499999999999996</v>
      </c>
      <c r="AD66" s="348">
        <v>4.83</v>
      </c>
      <c r="AE66" s="348">
        <v>4.82</v>
      </c>
      <c r="AF66" s="348">
        <v>4.8</v>
      </c>
      <c r="AG66" s="348">
        <v>4.78</v>
      </c>
      <c r="AH66" s="348">
        <v>4.7699999999999996</v>
      </c>
      <c r="AI66" s="348">
        <v>4.76</v>
      </c>
      <c r="AJ66" s="348">
        <v>4.74</v>
      </c>
      <c r="AK66" s="348">
        <v>4.7300000000000004</v>
      </c>
      <c r="AL66" s="348">
        <v>4.72</v>
      </c>
      <c r="AM66" s="348">
        <v>4.71</v>
      </c>
      <c r="AN66" s="348">
        <v>4.7</v>
      </c>
      <c r="AO66" s="348">
        <v>4.6900000000000004</v>
      </c>
      <c r="AP66" s="348">
        <v>4.68</v>
      </c>
      <c r="AQ66" s="348">
        <v>4.68</v>
      </c>
      <c r="AR66" s="348">
        <v>4.67</v>
      </c>
      <c r="AS66" s="348">
        <v>4.67</v>
      </c>
      <c r="AT66" s="348">
        <v>4.66</v>
      </c>
      <c r="AU66" s="348">
        <v>4.66</v>
      </c>
      <c r="AV66" s="348">
        <v>4.6500000000000004</v>
      </c>
      <c r="AW66" s="348">
        <v>4.6500000000000004</v>
      </c>
      <c r="AX66" s="348">
        <v>4.6399999999999997</v>
      </c>
      <c r="AY66" s="348">
        <v>4.6399999999999997</v>
      </c>
      <c r="AZ66" s="149">
        <v>1.7500000000000002E-2</v>
      </c>
      <c r="BA66" s="104">
        <f t="shared" si="0"/>
        <v>1.7500000000000002</v>
      </c>
      <c r="BE66" s="2395" t="s">
        <v>192</v>
      </c>
      <c r="BF66" s="2395"/>
      <c r="BG66" s="2395" t="s">
        <v>193</v>
      </c>
      <c r="BH66" s="2395"/>
    </row>
    <row r="67" spans="1:60">
      <c r="A67" s="107">
        <v>41578</v>
      </c>
      <c r="B67" s="348">
        <v>3.41</v>
      </c>
      <c r="C67" s="348">
        <v>3.5</v>
      </c>
      <c r="D67" s="348">
        <v>3.65</v>
      </c>
      <c r="E67" s="348">
        <v>3.82</v>
      </c>
      <c r="F67" s="348">
        <v>3.98</v>
      </c>
      <c r="G67" s="348">
        <v>4.12</v>
      </c>
      <c r="H67" s="348">
        <v>4.26</v>
      </c>
      <c r="I67" s="348">
        <v>4.37</v>
      </c>
      <c r="J67" s="348">
        <v>4.4800000000000004</v>
      </c>
      <c r="K67" s="348">
        <v>4.57</v>
      </c>
      <c r="L67" s="348">
        <v>4.66</v>
      </c>
      <c r="M67" s="348">
        <v>4.7300000000000004</v>
      </c>
      <c r="N67" s="348">
        <v>4.79</v>
      </c>
      <c r="O67" s="348">
        <v>4.8499999999999996</v>
      </c>
      <c r="P67" s="2281">
        <v>4.9000000000000004</v>
      </c>
      <c r="Q67" s="348">
        <v>4.91</v>
      </c>
      <c r="R67" s="348">
        <v>4.93</v>
      </c>
      <c r="S67" s="348">
        <v>4.9400000000000004</v>
      </c>
      <c r="T67" s="348">
        <v>4.96</v>
      </c>
      <c r="U67" s="348">
        <v>4.97</v>
      </c>
      <c r="V67" s="348">
        <v>4.95</v>
      </c>
      <c r="W67" s="348">
        <v>4.9400000000000004</v>
      </c>
      <c r="X67" s="348">
        <v>4.93</v>
      </c>
      <c r="Y67" s="348">
        <v>4.91</v>
      </c>
      <c r="Z67" s="348">
        <v>4.9000000000000004</v>
      </c>
      <c r="AA67" s="348">
        <v>4.88</v>
      </c>
      <c r="AB67" s="348">
        <v>4.8600000000000003</v>
      </c>
      <c r="AC67" s="348">
        <v>4.84</v>
      </c>
      <c r="AD67" s="348">
        <v>4.83</v>
      </c>
      <c r="AE67" s="348">
        <v>4.8099999999999996</v>
      </c>
      <c r="AF67" s="348">
        <v>4.79</v>
      </c>
      <c r="AG67" s="348">
        <v>4.78</v>
      </c>
      <c r="AH67" s="348">
        <v>4.76</v>
      </c>
      <c r="AI67" s="348">
        <v>4.75</v>
      </c>
      <c r="AJ67" s="348">
        <v>4.74</v>
      </c>
      <c r="AK67" s="348">
        <v>4.72</v>
      </c>
      <c r="AL67" s="348">
        <v>4.71</v>
      </c>
      <c r="AM67" s="348">
        <v>4.7</v>
      </c>
      <c r="AN67" s="348">
        <v>4.6900000000000004</v>
      </c>
      <c r="AO67" s="348">
        <v>4.68</v>
      </c>
      <c r="AP67" s="348">
        <v>4.68</v>
      </c>
      <c r="AQ67" s="348">
        <v>4.67</v>
      </c>
      <c r="AR67" s="348">
        <v>4.66</v>
      </c>
      <c r="AS67" s="348">
        <v>4.66</v>
      </c>
      <c r="AT67" s="348">
        <v>4.6500000000000004</v>
      </c>
      <c r="AU67" s="348">
        <v>4.6500000000000004</v>
      </c>
      <c r="AV67" s="348">
        <v>4.6500000000000004</v>
      </c>
      <c r="AW67" s="348">
        <v>4.6399999999999997</v>
      </c>
      <c r="AX67" s="348">
        <v>4.6399999999999997</v>
      </c>
      <c r="AY67" s="348">
        <v>4.63</v>
      </c>
      <c r="AZ67" s="149">
        <v>1.7500000000000002E-2</v>
      </c>
      <c r="BA67" s="104">
        <f t="shared" si="0"/>
        <v>1.7500000000000002</v>
      </c>
      <c r="BD67" t="s">
        <v>838</v>
      </c>
      <c r="BE67" s="4" t="s">
        <v>839</v>
      </c>
      <c r="BF67" s="4" t="s">
        <v>126</v>
      </c>
      <c r="BG67" s="4" t="s">
        <v>839</v>
      </c>
      <c r="BH67" s="4" t="s">
        <v>126</v>
      </c>
    </row>
    <row r="68" spans="1:60">
      <c r="A68" s="107">
        <v>41608</v>
      </c>
      <c r="B68" s="348">
        <v>3.37</v>
      </c>
      <c r="C68" s="348">
        <v>3.47</v>
      </c>
      <c r="D68" s="348">
        <v>3.62</v>
      </c>
      <c r="E68" s="348">
        <v>3.79</v>
      </c>
      <c r="F68" s="348">
        <v>3.95</v>
      </c>
      <c r="G68" s="348">
        <v>4.0999999999999996</v>
      </c>
      <c r="H68" s="348">
        <v>4.24</v>
      </c>
      <c r="I68" s="348">
        <v>4.3600000000000003</v>
      </c>
      <c r="J68" s="348">
        <v>4.46</v>
      </c>
      <c r="K68" s="348">
        <v>4.5599999999999996</v>
      </c>
      <c r="L68" s="348">
        <v>4.6500000000000004</v>
      </c>
      <c r="M68" s="348">
        <v>4.72</v>
      </c>
      <c r="N68" s="348">
        <v>4.79</v>
      </c>
      <c r="O68" s="348">
        <v>4.84</v>
      </c>
      <c r="P68" s="2281">
        <v>4.8899999999999997</v>
      </c>
      <c r="Q68" s="348">
        <v>4.91</v>
      </c>
      <c r="R68" s="348">
        <v>4.92</v>
      </c>
      <c r="S68" s="348">
        <v>4.9400000000000004</v>
      </c>
      <c r="T68" s="348">
        <v>4.95</v>
      </c>
      <c r="U68" s="348">
        <v>4.96</v>
      </c>
      <c r="V68" s="348">
        <v>4.95</v>
      </c>
      <c r="W68" s="348">
        <v>4.93</v>
      </c>
      <c r="X68" s="348">
        <v>4.92</v>
      </c>
      <c r="Y68" s="348">
        <v>4.91</v>
      </c>
      <c r="Z68" s="348">
        <v>4.9000000000000004</v>
      </c>
      <c r="AA68" s="348">
        <v>4.88</v>
      </c>
      <c r="AB68" s="348">
        <v>4.8499999999999996</v>
      </c>
      <c r="AC68" s="348">
        <v>4.84</v>
      </c>
      <c r="AD68" s="348">
        <v>4.82</v>
      </c>
      <c r="AE68" s="348">
        <v>4.8</v>
      </c>
      <c r="AF68" s="348">
        <v>4.79</v>
      </c>
      <c r="AG68" s="348">
        <v>4.7699999999999996</v>
      </c>
      <c r="AH68" s="348">
        <v>4.76</v>
      </c>
      <c r="AI68" s="348">
        <v>4.74</v>
      </c>
      <c r="AJ68" s="348">
        <v>4.7300000000000004</v>
      </c>
      <c r="AK68" s="348">
        <v>4.72</v>
      </c>
      <c r="AL68" s="348">
        <v>4.71</v>
      </c>
      <c r="AM68" s="348">
        <v>4.7</v>
      </c>
      <c r="AN68" s="348">
        <v>4.6900000000000004</v>
      </c>
      <c r="AO68" s="348">
        <v>4.68</v>
      </c>
      <c r="AP68" s="348">
        <v>4.67</v>
      </c>
      <c r="AQ68" s="348">
        <v>4.66</v>
      </c>
      <c r="AR68" s="348">
        <v>4.66</v>
      </c>
      <c r="AS68" s="348">
        <v>4.6500000000000004</v>
      </c>
      <c r="AT68" s="348">
        <v>4.6500000000000004</v>
      </c>
      <c r="AU68" s="348">
        <v>4.6399999999999997</v>
      </c>
      <c r="AV68" s="348">
        <v>4.6399999999999997</v>
      </c>
      <c r="AW68" s="348">
        <v>4.6399999999999997</v>
      </c>
      <c r="AX68" s="348">
        <v>4.63</v>
      </c>
      <c r="AY68" s="348">
        <v>4.63</v>
      </c>
      <c r="AZ68" s="149">
        <v>1.7500000000000002E-2</v>
      </c>
      <c r="BA68" s="104">
        <f t="shared" si="0"/>
        <v>1.7500000000000002</v>
      </c>
      <c r="BD68" s="677">
        <v>42005</v>
      </c>
      <c r="BE68">
        <v>20818</v>
      </c>
      <c r="BF68">
        <v>12675</v>
      </c>
      <c r="BG68">
        <v>16565</v>
      </c>
      <c r="BH68">
        <v>7890</v>
      </c>
    </row>
    <row r="69" spans="1:60">
      <c r="A69" s="107">
        <v>41639</v>
      </c>
      <c r="B69" s="348">
        <v>3.34</v>
      </c>
      <c r="C69" s="348">
        <v>3.43</v>
      </c>
      <c r="D69" s="348">
        <v>3.59</v>
      </c>
      <c r="E69" s="348">
        <v>3.76</v>
      </c>
      <c r="F69" s="348">
        <v>3.93</v>
      </c>
      <c r="G69" s="348">
        <v>4.08</v>
      </c>
      <c r="H69" s="348">
        <v>4.22</v>
      </c>
      <c r="I69" s="348">
        <v>4.34</v>
      </c>
      <c r="J69" s="348">
        <v>4.45</v>
      </c>
      <c r="K69" s="348">
        <v>4.54</v>
      </c>
      <c r="L69" s="348">
        <v>4.63</v>
      </c>
      <c r="M69" s="348">
        <v>4.71</v>
      </c>
      <c r="N69" s="348">
        <v>4.7699999999999996</v>
      </c>
      <c r="O69" s="348">
        <v>4.83</v>
      </c>
      <c r="P69" s="2281">
        <v>4.88</v>
      </c>
      <c r="Q69" s="348">
        <v>4.9000000000000004</v>
      </c>
      <c r="R69" s="348">
        <v>4.91</v>
      </c>
      <c r="S69" s="348">
        <v>4.93</v>
      </c>
      <c r="T69" s="348">
        <v>4.9400000000000004</v>
      </c>
      <c r="U69" s="348">
        <v>4.95</v>
      </c>
      <c r="V69" s="348">
        <v>4.9400000000000004</v>
      </c>
      <c r="W69" s="348">
        <v>4.92</v>
      </c>
      <c r="X69" s="348">
        <v>4.91</v>
      </c>
      <c r="Y69" s="348">
        <v>4.9000000000000004</v>
      </c>
      <c r="Z69" s="348">
        <v>4.8899999999999997</v>
      </c>
      <c r="AA69" s="348">
        <v>4.87</v>
      </c>
      <c r="AB69" s="348">
        <v>4.8499999999999996</v>
      </c>
      <c r="AC69" s="348">
        <v>4.83</v>
      </c>
      <c r="AD69" s="348">
        <v>4.8099999999999996</v>
      </c>
      <c r="AE69" s="348">
        <v>4.79</v>
      </c>
      <c r="AF69" s="348">
        <v>4.78</v>
      </c>
      <c r="AG69" s="348">
        <v>4.76</v>
      </c>
      <c r="AH69" s="348">
        <v>4.75</v>
      </c>
      <c r="AI69" s="348">
        <v>4.74</v>
      </c>
      <c r="AJ69" s="348">
        <v>4.72</v>
      </c>
      <c r="AK69" s="348">
        <v>4.71</v>
      </c>
      <c r="AL69" s="348">
        <v>4.7</v>
      </c>
      <c r="AM69" s="348">
        <v>4.6900000000000004</v>
      </c>
      <c r="AN69" s="348">
        <v>4.68</v>
      </c>
      <c r="AO69" s="348">
        <v>4.67</v>
      </c>
      <c r="AP69" s="348">
        <v>4.66</v>
      </c>
      <c r="AQ69" s="348">
        <v>4.66</v>
      </c>
      <c r="AR69" s="348">
        <v>4.6500000000000004</v>
      </c>
      <c r="AS69" s="348">
        <v>4.6500000000000004</v>
      </c>
      <c r="AT69" s="348">
        <v>4.6399999999999997</v>
      </c>
      <c r="AU69" s="348">
        <v>4.6399999999999997</v>
      </c>
      <c r="AV69" s="348">
        <v>4.63</v>
      </c>
      <c r="AW69" s="348">
        <v>4.63</v>
      </c>
      <c r="AX69" s="348">
        <v>4.63</v>
      </c>
      <c r="AY69" s="348">
        <v>4.62</v>
      </c>
      <c r="AZ69" s="149">
        <v>1.7500000000000002E-2</v>
      </c>
      <c r="BA69" s="104">
        <f t="shared" si="0"/>
        <v>1.7500000000000002</v>
      </c>
      <c r="BD69" s="677">
        <v>42370</v>
      </c>
      <c r="BE69">
        <v>24437</v>
      </c>
      <c r="BF69">
        <v>17416</v>
      </c>
      <c r="BG69">
        <v>22082</v>
      </c>
      <c r="BH69">
        <v>14118</v>
      </c>
    </row>
    <row r="70" spans="1:60">
      <c r="A70" s="107">
        <v>41670</v>
      </c>
      <c r="B70" s="348">
        <v>3.3</v>
      </c>
      <c r="C70" s="348">
        <v>3.4</v>
      </c>
      <c r="D70" s="348">
        <v>3.56</v>
      </c>
      <c r="E70" s="348">
        <v>3.73</v>
      </c>
      <c r="F70" s="348">
        <v>3.9</v>
      </c>
      <c r="G70" s="348">
        <v>4.05</v>
      </c>
      <c r="H70" s="348">
        <v>4.1900000000000004</v>
      </c>
      <c r="I70" s="348">
        <v>4.32</v>
      </c>
      <c r="J70" s="348">
        <v>4.42</v>
      </c>
      <c r="K70" s="348">
        <v>4.5199999999999996</v>
      </c>
      <c r="L70" s="348">
        <v>4.62</v>
      </c>
      <c r="M70" s="348">
        <v>4.6900000000000004</v>
      </c>
      <c r="N70" s="348">
        <v>4.76</v>
      </c>
      <c r="O70" s="348">
        <v>4.8099999999999996</v>
      </c>
      <c r="P70" s="2281">
        <v>4.8600000000000003</v>
      </c>
      <c r="Q70" s="348">
        <v>4.88</v>
      </c>
      <c r="R70" s="348">
        <v>4.9000000000000004</v>
      </c>
      <c r="S70" s="348">
        <v>4.91</v>
      </c>
      <c r="T70" s="348">
        <v>4.93</v>
      </c>
      <c r="U70" s="348">
        <v>4.9400000000000004</v>
      </c>
      <c r="V70" s="348">
        <v>4.92</v>
      </c>
      <c r="W70" s="348">
        <v>4.91</v>
      </c>
      <c r="X70" s="348">
        <v>4.9000000000000004</v>
      </c>
      <c r="Y70" s="348">
        <v>4.8899999999999997</v>
      </c>
      <c r="Z70" s="348">
        <v>4.88</v>
      </c>
      <c r="AA70" s="348">
        <v>4.8499999999999996</v>
      </c>
      <c r="AB70" s="348">
        <v>4.83</v>
      </c>
      <c r="AC70" s="348">
        <v>4.82</v>
      </c>
      <c r="AD70" s="348">
        <v>4.8</v>
      </c>
      <c r="AE70" s="348">
        <v>4.78</v>
      </c>
      <c r="AF70" s="348">
        <v>4.7699999999999996</v>
      </c>
      <c r="AG70" s="348">
        <v>4.75</v>
      </c>
      <c r="AH70" s="348">
        <v>4.74</v>
      </c>
      <c r="AI70" s="348">
        <v>4.72</v>
      </c>
      <c r="AJ70" s="348">
        <v>4.71</v>
      </c>
      <c r="AK70" s="348">
        <v>4.7</v>
      </c>
      <c r="AL70" s="348">
        <v>4.6900000000000004</v>
      </c>
      <c r="AM70" s="348">
        <v>4.68</v>
      </c>
      <c r="AN70" s="348">
        <v>4.67</v>
      </c>
      <c r="AO70" s="348">
        <v>4.66</v>
      </c>
      <c r="AP70" s="348">
        <v>4.6500000000000004</v>
      </c>
      <c r="AQ70" s="348">
        <v>4.6500000000000004</v>
      </c>
      <c r="AR70" s="348">
        <v>4.6399999999999997</v>
      </c>
      <c r="AS70" s="348">
        <v>4.6399999999999997</v>
      </c>
      <c r="AT70" s="348">
        <v>4.63</v>
      </c>
      <c r="AU70" s="348">
        <v>4.63</v>
      </c>
      <c r="AV70" s="348">
        <v>4.62</v>
      </c>
      <c r="AW70" s="348">
        <v>4.62</v>
      </c>
      <c r="AX70" s="348">
        <v>4.62</v>
      </c>
      <c r="AY70" s="348">
        <v>4.6100000000000003</v>
      </c>
      <c r="AZ70" s="149">
        <v>1.7500000000000002E-2</v>
      </c>
      <c r="BA70" s="104">
        <f t="shared" si="0"/>
        <v>1.7500000000000002</v>
      </c>
      <c r="BD70" s="677">
        <v>42736</v>
      </c>
      <c r="BE70">
        <v>28828</v>
      </c>
      <c r="BF70">
        <v>25010</v>
      </c>
      <c r="BG70">
        <v>23880</v>
      </c>
      <c r="BH70">
        <v>16935</v>
      </c>
    </row>
    <row r="71" spans="1:60">
      <c r="A71" s="107">
        <v>41698</v>
      </c>
      <c r="B71" s="348">
        <v>3.27</v>
      </c>
      <c r="C71" s="348">
        <v>3.36</v>
      </c>
      <c r="D71" s="348">
        <v>3.52</v>
      </c>
      <c r="E71" s="348">
        <v>3.7</v>
      </c>
      <c r="F71" s="348">
        <v>3.87</v>
      </c>
      <c r="G71" s="348">
        <v>4.03</v>
      </c>
      <c r="H71" s="348">
        <v>4.17</v>
      </c>
      <c r="I71" s="348">
        <v>4.29</v>
      </c>
      <c r="J71" s="348">
        <v>4.4000000000000004</v>
      </c>
      <c r="K71" s="348">
        <v>4.5</v>
      </c>
      <c r="L71" s="348">
        <v>4.5999999999999996</v>
      </c>
      <c r="M71" s="348">
        <v>4.68</v>
      </c>
      <c r="N71" s="348">
        <v>4.74</v>
      </c>
      <c r="O71" s="348">
        <v>4.8</v>
      </c>
      <c r="P71" s="2281">
        <v>4.8499999999999996</v>
      </c>
      <c r="Q71" s="348">
        <v>4.87</v>
      </c>
      <c r="R71" s="348">
        <v>4.8899999999999997</v>
      </c>
      <c r="S71" s="348">
        <v>4.9000000000000004</v>
      </c>
      <c r="T71" s="348">
        <v>4.91</v>
      </c>
      <c r="U71" s="348">
        <v>4.93</v>
      </c>
      <c r="V71" s="348">
        <v>4.91</v>
      </c>
      <c r="W71" s="348">
        <v>4.9000000000000004</v>
      </c>
      <c r="X71" s="348">
        <v>4.8899999999999997</v>
      </c>
      <c r="Y71" s="348">
        <v>4.87</v>
      </c>
      <c r="Z71" s="348">
        <v>4.8600000000000003</v>
      </c>
      <c r="AA71" s="348">
        <v>4.84</v>
      </c>
      <c r="AB71" s="348">
        <v>4.82</v>
      </c>
      <c r="AC71" s="348">
        <v>4.8</v>
      </c>
      <c r="AD71" s="348">
        <v>4.79</v>
      </c>
      <c r="AE71" s="348">
        <v>4.7699999999999996</v>
      </c>
      <c r="AF71" s="348">
        <v>4.75</v>
      </c>
      <c r="AG71" s="348">
        <v>4.74</v>
      </c>
      <c r="AH71" s="348">
        <v>4.72</v>
      </c>
      <c r="AI71" s="348">
        <v>4.71</v>
      </c>
      <c r="AJ71" s="348">
        <v>4.7</v>
      </c>
      <c r="AK71" s="348">
        <v>4.6900000000000004</v>
      </c>
      <c r="AL71" s="348">
        <v>4.68</v>
      </c>
      <c r="AM71" s="348">
        <v>4.67</v>
      </c>
      <c r="AN71" s="348">
        <v>4.66</v>
      </c>
      <c r="AO71" s="348">
        <v>4.6500000000000004</v>
      </c>
      <c r="AP71" s="348">
        <v>4.6399999999999997</v>
      </c>
      <c r="AQ71" s="348">
        <v>4.6399999999999997</v>
      </c>
      <c r="AR71" s="348">
        <v>4.63</v>
      </c>
      <c r="AS71" s="348">
        <v>4.63</v>
      </c>
      <c r="AT71" s="348">
        <v>4.62</v>
      </c>
      <c r="AU71" s="348">
        <v>4.62</v>
      </c>
      <c r="AV71" s="348">
        <v>4.6100000000000003</v>
      </c>
      <c r="AW71" s="348">
        <v>4.6100000000000003</v>
      </c>
      <c r="AX71" s="348">
        <v>4.6100000000000003</v>
      </c>
      <c r="AY71" s="348">
        <v>4.5999999999999996</v>
      </c>
      <c r="AZ71" s="149">
        <v>1.7500000000000002E-2</v>
      </c>
      <c r="BA71" s="104">
        <f t="shared" si="0"/>
        <v>1.7500000000000002</v>
      </c>
      <c r="BD71" s="677">
        <v>43101</v>
      </c>
      <c r="BE71">
        <v>32379</v>
      </c>
      <c r="BF71">
        <v>31940</v>
      </c>
      <c r="BG71">
        <v>26044</v>
      </c>
      <c r="BH71">
        <v>20355</v>
      </c>
    </row>
    <row r="72" spans="1:60">
      <c r="A72" s="107">
        <v>41729</v>
      </c>
      <c r="B72" s="348">
        <v>3.23</v>
      </c>
      <c r="C72" s="348">
        <v>3.33</v>
      </c>
      <c r="D72" s="348">
        <v>3.49</v>
      </c>
      <c r="E72" s="348">
        <v>3.67</v>
      </c>
      <c r="F72" s="348">
        <v>3.84</v>
      </c>
      <c r="G72" s="348">
        <v>4</v>
      </c>
      <c r="H72" s="348">
        <v>4.1399999999999997</v>
      </c>
      <c r="I72" s="348">
        <v>4.2699999999999996</v>
      </c>
      <c r="J72" s="348">
        <v>4.38</v>
      </c>
      <c r="K72" s="348">
        <v>4.4800000000000004</v>
      </c>
      <c r="L72" s="348">
        <v>4.58</v>
      </c>
      <c r="M72" s="348">
        <v>4.66</v>
      </c>
      <c r="N72" s="348">
        <v>4.72</v>
      </c>
      <c r="O72" s="348">
        <v>4.78</v>
      </c>
      <c r="P72" s="2281">
        <v>4.83</v>
      </c>
      <c r="Q72" s="348">
        <v>4.8499999999999996</v>
      </c>
      <c r="R72" s="348">
        <v>4.87</v>
      </c>
      <c r="S72" s="348">
        <v>4.88</v>
      </c>
      <c r="T72" s="348">
        <v>4.9000000000000004</v>
      </c>
      <c r="U72" s="348">
        <v>4.91</v>
      </c>
      <c r="V72" s="348">
        <v>4.9000000000000004</v>
      </c>
      <c r="W72" s="348">
        <v>4.88</v>
      </c>
      <c r="X72" s="348">
        <v>4.87</v>
      </c>
      <c r="Y72" s="348">
        <v>4.8600000000000003</v>
      </c>
      <c r="Z72" s="348">
        <v>4.8499999999999996</v>
      </c>
      <c r="AA72" s="348">
        <v>4.83</v>
      </c>
      <c r="AB72" s="348">
        <v>4.8099999999999996</v>
      </c>
      <c r="AC72" s="348">
        <v>4.79</v>
      </c>
      <c r="AD72" s="348">
        <v>4.7699999999999996</v>
      </c>
      <c r="AE72" s="348">
        <v>4.75</v>
      </c>
      <c r="AF72" s="348">
        <v>4.74</v>
      </c>
      <c r="AG72" s="348">
        <v>4.72</v>
      </c>
      <c r="AH72" s="348">
        <v>4.71</v>
      </c>
      <c r="AI72" s="348">
        <v>4.7</v>
      </c>
      <c r="AJ72" s="348">
        <v>4.68</v>
      </c>
      <c r="AK72" s="348">
        <v>4.67</v>
      </c>
      <c r="AL72" s="348">
        <v>4.66</v>
      </c>
      <c r="AM72" s="348">
        <v>4.6500000000000004</v>
      </c>
      <c r="AN72" s="348">
        <v>4.6399999999999997</v>
      </c>
      <c r="AO72" s="348">
        <v>4.63</v>
      </c>
      <c r="AP72" s="348">
        <v>4.63</v>
      </c>
      <c r="AQ72" s="348">
        <v>4.62</v>
      </c>
      <c r="AR72" s="348">
        <v>4.62</v>
      </c>
      <c r="AS72" s="348">
        <v>4.6100000000000003</v>
      </c>
      <c r="AT72" s="348">
        <v>4.6100000000000003</v>
      </c>
      <c r="AU72" s="348">
        <v>4.5999999999999996</v>
      </c>
      <c r="AV72" s="348">
        <v>4.5999999999999996</v>
      </c>
      <c r="AW72" s="348">
        <v>4.5999999999999996</v>
      </c>
      <c r="AX72" s="348">
        <v>4.59</v>
      </c>
      <c r="AY72" s="348">
        <v>4.59</v>
      </c>
      <c r="AZ72" s="149">
        <v>1.7500000000000002E-2</v>
      </c>
      <c r="BA72" s="104">
        <f t="shared" si="0"/>
        <v>1.7500000000000002</v>
      </c>
      <c r="BD72" s="677">
        <v>43466</v>
      </c>
      <c r="BE72">
        <v>36794</v>
      </c>
      <c r="BF72">
        <v>41832</v>
      </c>
      <c r="BG72">
        <v>29431</v>
      </c>
      <c r="BH72">
        <v>26362</v>
      </c>
    </row>
    <row r="73" spans="1:60">
      <c r="A73" s="107">
        <v>41759</v>
      </c>
      <c r="B73" s="348">
        <v>3.19</v>
      </c>
      <c r="C73" s="348">
        <v>3.29</v>
      </c>
      <c r="D73" s="348">
        <v>3.45</v>
      </c>
      <c r="E73" s="348">
        <v>3.63</v>
      </c>
      <c r="F73" s="348">
        <v>3.81</v>
      </c>
      <c r="G73" s="348">
        <v>3.97</v>
      </c>
      <c r="H73" s="348">
        <v>4.1100000000000003</v>
      </c>
      <c r="I73" s="348">
        <v>4.24</v>
      </c>
      <c r="J73" s="348">
        <v>4.3600000000000003</v>
      </c>
      <c r="K73" s="348">
        <v>4.46</v>
      </c>
      <c r="L73" s="348">
        <v>4.55</v>
      </c>
      <c r="M73" s="348">
        <v>4.63</v>
      </c>
      <c r="N73" s="348">
        <v>4.7</v>
      </c>
      <c r="O73" s="348">
        <v>4.76</v>
      </c>
      <c r="P73" s="2281">
        <v>4.8099999999999996</v>
      </c>
      <c r="Q73" s="348">
        <v>4.83</v>
      </c>
      <c r="R73" s="348">
        <v>4.8499999999999996</v>
      </c>
      <c r="S73" s="348">
        <v>4.87</v>
      </c>
      <c r="T73" s="348">
        <v>4.88</v>
      </c>
      <c r="U73" s="348">
        <v>4.8899999999999997</v>
      </c>
      <c r="V73" s="348">
        <v>4.88</v>
      </c>
      <c r="W73" s="348">
        <v>4.8600000000000003</v>
      </c>
      <c r="X73" s="348">
        <v>4.8499999999999996</v>
      </c>
      <c r="Y73" s="348">
        <v>4.84</v>
      </c>
      <c r="Z73" s="348">
        <v>4.83</v>
      </c>
      <c r="AA73" s="348">
        <v>4.8099999999999996</v>
      </c>
      <c r="AB73" s="348">
        <v>4.79</v>
      </c>
      <c r="AC73" s="348">
        <v>4.7699999999999996</v>
      </c>
      <c r="AD73" s="348">
        <v>4.75</v>
      </c>
      <c r="AE73" s="348">
        <v>4.74</v>
      </c>
      <c r="AF73" s="348">
        <v>4.72</v>
      </c>
      <c r="AG73" s="348">
        <v>4.71</v>
      </c>
      <c r="AH73" s="348">
        <v>4.6900000000000004</v>
      </c>
      <c r="AI73" s="348">
        <v>4.68</v>
      </c>
      <c r="AJ73" s="348">
        <v>4.67</v>
      </c>
      <c r="AK73" s="348">
        <v>4.66</v>
      </c>
      <c r="AL73" s="348">
        <v>4.6500000000000004</v>
      </c>
      <c r="AM73" s="348">
        <v>4.6399999999999997</v>
      </c>
      <c r="AN73" s="348">
        <v>4.63</v>
      </c>
      <c r="AO73" s="348">
        <v>4.62</v>
      </c>
      <c r="AP73" s="348">
        <v>4.6100000000000003</v>
      </c>
      <c r="AQ73" s="348">
        <v>4.6100000000000003</v>
      </c>
      <c r="AR73" s="348">
        <v>4.5999999999999996</v>
      </c>
      <c r="AS73" s="348">
        <v>4.5999999999999996</v>
      </c>
      <c r="AT73" s="348">
        <v>4.59</v>
      </c>
      <c r="AU73" s="348">
        <v>4.59</v>
      </c>
      <c r="AV73" s="348">
        <v>4.58</v>
      </c>
      <c r="AW73" s="348">
        <v>4.58</v>
      </c>
      <c r="AX73" s="348">
        <v>4.58</v>
      </c>
      <c r="AY73" s="348">
        <v>4.57</v>
      </c>
      <c r="AZ73" s="149">
        <v>1.7500000000000002E-2</v>
      </c>
      <c r="BA73" s="104">
        <f t="shared" si="0"/>
        <v>1.7500000000000002</v>
      </c>
      <c r="BD73" s="677">
        <v>43831</v>
      </c>
      <c r="BE73">
        <v>40505</v>
      </c>
      <c r="BF73">
        <v>50549</v>
      </c>
      <c r="BG73">
        <v>33563</v>
      </c>
      <c r="BH73">
        <v>34274</v>
      </c>
    </row>
    <row r="74" spans="1:60">
      <c r="A74" s="107">
        <v>41790</v>
      </c>
      <c r="B74" s="348">
        <v>3.15</v>
      </c>
      <c r="C74" s="348">
        <v>3.24</v>
      </c>
      <c r="D74" s="348">
        <v>3.41</v>
      </c>
      <c r="E74" s="348">
        <v>3.59</v>
      </c>
      <c r="F74" s="348">
        <v>3.77</v>
      </c>
      <c r="G74" s="348">
        <v>3.93</v>
      </c>
      <c r="H74" s="348">
        <v>4.08</v>
      </c>
      <c r="I74" s="348">
        <v>4.21</v>
      </c>
      <c r="J74" s="348">
        <v>4.33</v>
      </c>
      <c r="K74" s="348">
        <v>4.43</v>
      </c>
      <c r="L74" s="348">
        <v>4.53</v>
      </c>
      <c r="M74" s="348">
        <v>4.6100000000000003</v>
      </c>
      <c r="N74" s="348">
        <v>4.68</v>
      </c>
      <c r="O74" s="348">
        <v>4.74</v>
      </c>
      <c r="P74" s="2281">
        <v>4.79</v>
      </c>
      <c r="Q74" s="348">
        <v>4.8099999999999996</v>
      </c>
      <c r="R74" s="348">
        <v>4.83</v>
      </c>
      <c r="S74" s="348">
        <v>4.84</v>
      </c>
      <c r="T74" s="348">
        <v>4.8600000000000003</v>
      </c>
      <c r="U74" s="348">
        <v>4.87</v>
      </c>
      <c r="V74" s="348">
        <v>4.8600000000000003</v>
      </c>
      <c r="W74" s="348">
        <v>4.84</v>
      </c>
      <c r="X74" s="348">
        <v>4.83</v>
      </c>
      <c r="Y74" s="348">
        <v>4.82</v>
      </c>
      <c r="Z74" s="348">
        <v>4.8099999999999996</v>
      </c>
      <c r="AA74" s="348">
        <v>4.79</v>
      </c>
      <c r="AB74" s="348">
        <v>4.7699999999999996</v>
      </c>
      <c r="AC74" s="348">
        <v>4.75</v>
      </c>
      <c r="AD74" s="348">
        <v>4.7300000000000004</v>
      </c>
      <c r="AE74" s="348">
        <v>4.72</v>
      </c>
      <c r="AF74" s="348">
        <v>4.7</v>
      </c>
      <c r="AG74" s="348">
        <v>4.6900000000000004</v>
      </c>
      <c r="AH74" s="348">
        <v>4.67</v>
      </c>
      <c r="AI74" s="348">
        <v>4.66</v>
      </c>
      <c r="AJ74" s="348">
        <v>4.6500000000000004</v>
      </c>
      <c r="AK74" s="348">
        <v>4.6399999999999997</v>
      </c>
      <c r="AL74" s="348">
        <v>4.63</v>
      </c>
      <c r="AM74" s="348">
        <v>4.62</v>
      </c>
      <c r="AN74" s="348">
        <v>4.6100000000000003</v>
      </c>
      <c r="AO74" s="348">
        <v>4.5999999999999996</v>
      </c>
      <c r="AP74" s="348">
        <v>4.59</v>
      </c>
      <c r="AQ74" s="348">
        <v>4.59</v>
      </c>
      <c r="AR74" s="348">
        <v>4.58</v>
      </c>
      <c r="AS74" s="348">
        <v>4.58</v>
      </c>
      <c r="AT74" s="348">
        <v>4.57</v>
      </c>
      <c r="AU74" s="348">
        <v>4.57</v>
      </c>
      <c r="AV74" s="348">
        <v>4.57</v>
      </c>
      <c r="AW74" s="348">
        <v>4.5599999999999996</v>
      </c>
      <c r="AX74" s="348">
        <v>4.5599999999999996</v>
      </c>
      <c r="AY74" s="348">
        <v>4.5599999999999996</v>
      </c>
      <c r="AZ74" s="149">
        <v>1.7500000000000002E-2</v>
      </c>
      <c r="BA74" s="104">
        <f t="shared" ref="BA74:BA81" si="1">+AZ74*100</f>
        <v>1.7500000000000002</v>
      </c>
      <c r="BD74" s="677">
        <v>44197</v>
      </c>
      <c r="BE74">
        <v>44887</v>
      </c>
      <c r="BF74">
        <v>63138</v>
      </c>
      <c r="BG74">
        <v>37493</v>
      </c>
      <c r="BH74">
        <v>43534</v>
      </c>
    </row>
    <row r="75" spans="1:60">
      <c r="A75" s="107">
        <v>41820</v>
      </c>
      <c r="B75" s="348">
        <v>3.1</v>
      </c>
      <c r="C75" s="348">
        <v>3.2</v>
      </c>
      <c r="D75" s="348">
        <v>3.37</v>
      </c>
      <c r="E75" s="348">
        <v>3.55</v>
      </c>
      <c r="F75" s="348">
        <v>3.73</v>
      </c>
      <c r="G75" s="348">
        <v>3.89</v>
      </c>
      <c r="H75" s="348">
        <v>4.04</v>
      </c>
      <c r="I75" s="348">
        <v>4.17</v>
      </c>
      <c r="J75" s="348">
        <v>4.29</v>
      </c>
      <c r="K75" s="348">
        <v>4.4000000000000004</v>
      </c>
      <c r="L75" s="348">
        <v>4.5</v>
      </c>
      <c r="M75" s="348">
        <v>4.58</v>
      </c>
      <c r="N75" s="348">
        <v>4.6500000000000004</v>
      </c>
      <c r="O75" s="348">
        <v>4.71</v>
      </c>
      <c r="P75" s="2281">
        <v>4.76</v>
      </c>
      <c r="Q75" s="348">
        <v>4.78</v>
      </c>
      <c r="R75" s="348">
        <v>4.8</v>
      </c>
      <c r="S75" s="348">
        <v>4.82</v>
      </c>
      <c r="T75" s="348">
        <v>4.83</v>
      </c>
      <c r="U75" s="348">
        <v>4.84</v>
      </c>
      <c r="V75" s="348">
        <v>4.83</v>
      </c>
      <c r="W75" s="348">
        <v>4.82</v>
      </c>
      <c r="X75" s="348">
        <v>4.8099999999999996</v>
      </c>
      <c r="Y75" s="348">
        <v>4.8</v>
      </c>
      <c r="Z75" s="348">
        <v>4.79</v>
      </c>
      <c r="AA75" s="348">
        <v>4.76</v>
      </c>
      <c r="AB75" s="348">
        <v>4.74</v>
      </c>
      <c r="AC75" s="348">
        <v>4.7300000000000004</v>
      </c>
      <c r="AD75" s="348">
        <v>4.71</v>
      </c>
      <c r="AE75" s="348">
        <v>4.6900000000000004</v>
      </c>
      <c r="AF75" s="348">
        <v>4.68</v>
      </c>
      <c r="AG75" s="348">
        <v>4.66</v>
      </c>
      <c r="AH75" s="348">
        <v>4.6500000000000004</v>
      </c>
      <c r="AI75" s="348">
        <v>4.6399999999999997</v>
      </c>
      <c r="AJ75" s="348">
        <v>4.62</v>
      </c>
      <c r="AK75" s="348">
        <v>4.6100000000000003</v>
      </c>
      <c r="AL75" s="348">
        <v>4.5999999999999996</v>
      </c>
      <c r="AM75" s="348">
        <v>4.59</v>
      </c>
      <c r="AN75" s="348">
        <v>4.58</v>
      </c>
      <c r="AO75" s="348">
        <v>4.57</v>
      </c>
      <c r="AP75" s="348">
        <v>4.57</v>
      </c>
      <c r="AQ75" s="348">
        <v>4.5599999999999996</v>
      </c>
      <c r="AR75" s="348">
        <v>4.5599999999999996</v>
      </c>
      <c r="AS75" s="348">
        <v>4.5599999999999996</v>
      </c>
      <c r="AT75" s="348">
        <v>4.55</v>
      </c>
      <c r="AU75" s="348">
        <v>4.55</v>
      </c>
      <c r="AV75" s="348">
        <v>4.54</v>
      </c>
      <c r="AW75" s="348">
        <v>4.54</v>
      </c>
      <c r="AX75" s="348">
        <v>4.54</v>
      </c>
      <c r="AY75" s="348">
        <v>4.53</v>
      </c>
      <c r="AZ75" s="149">
        <v>1.7500000000000002E-2</v>
      </c>
      <c r="BA75" s="104">
        <f t="shared" si="1"/>
        <v>1.7500000000000002</v>
      </c>
      <c r="BD75" s="677">
        <v>44562</v>
      </c>
      <c r="BE75">
        <v>48262</v>
      </c>
      <c r="BF75">
        <v>78353</v>
      </c>
      <c r="BG75">
        <v>42159</v>
      </c>
      <c r="BH75">
        <v>59272</v>
      </c>
    </row>
    <row r="76" spans="1:60">
      <c r="A76" s="107">
        <v>41851</v>
      </c>
      <c r="B76" s="348">
        <v>3.06</v>
      </c>
      <c r="C76" s="348">
        <v>3.15</v>
      </c>
      <c r="D76" s="348">
        <v>3.32</v>
      </c>
      <c r="E76" s="348">
        <v>3.51</v>
      </c>
      <c r="F76" s="348">
        <v>3.69</v>
      </c>
      <c r="G76" s="348">
        <v>3.85</v>
      </c>
      <c r="H76" s="348">
        <v>4</v>
      </c>
      <c r="I76" s="348">
        <v>4.1399999999999997</v>
      </c>
      <c r="J76" s="348">
        <v>4.26</v>
      </c>
      <c r="K76" s="348">
        <v>4.3600000000000003</v>
      </c>
      <c r="L76" s="348">
        <v>4.46</v>
      </c>
      <c r="M76" s="348">
        <v>4.55</v>
      </c>
      <c r="N76" s="348">
        <v>4.62</v>
      </c>
      <c r="O76" s="348">
        <v>4.68</v>
      </c>
      <c r="P76" s="2281">
        <v>4.7300000000000004</v>
      </c>
      <c r="Q76" s="348">
        <v>4.75</v>
      </c>
      <c r="R76" s="348">
        <v>4.7699999999999996</v>
      </c>
      <c r="S76" s="348">
        <v>4.79</v>
      </c>
      <c r="T76" s="348">
        <v>4.8</v>
      </c>
      <c r="U76" s="348">
        <v>4.82</v>
      </c>
      <c r="V76" s="348">
        <v>4.8</v>
      </c>
      <c r="W76" s="348">
        <v>4.79</v>
      </c>
      <c r="X76" s="348">
        <v>4.78</v>
      </c>
      <c r="Y76" s="348">
        <v>4.7699999999999996</v>
      </c>
      <c r="Z76" s="348">
        <v>4.76</v>
      </c>
      <c r="AA76" s="348">
        <v>4.74</v>
      </c>
      <c r="AB76" s="348">
        <v>4.72</v>
      </c>
      <c r="AC76" s="348">
        <v>4.7</v>
      </c>
      <c r="AD76" s="348">
        <v>4.68</v>
      </c>
      <c r="AE76" s="348">
        <v>4.67</v>
      </c>
      <c r="AF76" s="348">
        <v>4.6500000000000004</v>
      </c>
      <c r="AG76" s="348">
        <v>4.6399999999999997</v>
      </c>
      <c r="AH76" s="348">
        <v>4.62</v>
      </c>
      <c r="AI76" s="348">
        <v>4.6100000000000003</v>
      </c>
      <c r="AJ76" s="348">
        <v>4.5999999999999996</v>
      </c>
      <c r="AK76" s="348">
        <v>4.59</v>
      </c>
      <c r="AL76" s="348">
        <v>4.58</v>
      </c>
      <c r="AM76" s="348">
        <v>4.57</v>
      </c>
      <c r="AN76" s="348">
        <v>4.5599999999999996</v>
      </c>
      <c r="AO76" s="348">
        <v>4.55</v>
      </c>
      <c r="AP76" s="348">
        <v>4.54</v>
      </c>
      <c r="AQ76" s="348">
        <v>4.54</v>
      </c>
      <c r="AR76" s="348">
        <v>4.54</v>
      </c>
      <c r="AS76" s="348">
        <v>4.53</v>
      </c>
      <c r="AT76" s="348">
        <v>4.53</v>
      </c>
      <c r="AU76" s="348">
        <v>4.5199999999999996</v>
      </c>
      <c r="AV76" s="348">
        <v>4.5199999999999996</v>
      </c>
      <c r="AW76" s="348">
        <v>4.5199999999999996</v>
      </c>
      <c r="AX76" s="348">
        <v>4.51</v>
      </c>
      <c r="AY76" s="348">
        <v>4.51</v>
      </c>
      <c r="AZ76" s="149">
        <v>1.7500000000000002E-2</v>
      </c>
      <c r="BA76" s="104">
        <f t="shared" si="1"/>
        <v>1.7500000000000002</v>
      </c>
    </row>
    <row r="77" spans="1:60">
      <c r="A77" s="107">
        <v>41882</v>
      </c>
      <c r="B77" s="348">
        <v>3.01</v>
      </c>
      <c r="C77" s="348">
        <v>3.11</v>
      </c>
      <c r="D77" s="348">
        <v>3.28</v>
      </c>
      <c r="E77" s="348">
        <v>3.46</v>
      </c>
      <c r="F77" s="348">
        <v>3.64</v>
      </c>
      <c r="G77" s="348">
        <v>3.81</v>
      </c>
      <c r="H77" s="348">
        <v>3.96</v>
      </c>
      <c r="I77" s="348">
        <v>4.0999999999999996</v>
      </c>
      <c r="J77" s="348">
        <v>4.22</v>
      </c>
      <c r="K77" s="348">
        <v>4.32</v>
      </c>
      <c r="L77" s="348">
        <v>4.42</v>
      </c>
      <c r="M77" s="348">
        <v>4.51</v>
      </c>
      <c r="N77" s="348">
        <v>4.58</v>
      </c>
      <c r="O77" s="348">
        <v>4.6399999999999997</v>
      </c>
      <c r="P77" s="2281">
        <v>4.7</v>
      </c>
      <c r="Q77" s="348">
        <v>4.72</v>
      </c>
      <c r="R77" s="348">
        <v>4.74</v>
      </c>
      <c r="S77" s="348">
        <v>4.75</v>
      </c>
      <c r="T77" s="348">
        <v>4.7699999999999996</v>
      </c>
      <c r="U77" s="348">
        <v>4.78</v>
      </c>
      <c r="V77" s="348">
        <v>4.7699999999999996</v>
      </c>
      <c r="W77" s="348">
        <v>4.76</v>
      </c>
      <c r="X77" s="348">
        <v>4.75</v>
      </c>
      <c r="Y77" s="348">
        <v>4.74</v>
      </c>
      <c r="Z77" s="348">
        <v>4.7300000000000004</v>
      </c>
      <c r="AA77" s="348">
        <v>4.7</v>
      </c>
      <c r="AB77" s="348">
        <v>4.6900000000000004</v>
      </c>
      <c r="AC77" s="348">
        <v>4.67</v>
      </c>
      <c r="AD77" s="348">
        <v>4.6500000000000004</v>
      </c>
      <c r="AE77" s="348">
        <v>4.63</v>
      </c>
      <c r="AF77" s="348">
        <v>4.62</v>
      </c>
      <c r="AG77" s="348">
        <v>4.6100000000000003</v>
      </c>
      <c r="AH77" s="348">
        <v>4.59</v>
      </c>
      <c r="AI77" s="348">
        <v>4.58</v>
      </c>
      <c r="AJ77" s="348">
        <v>4.57</v>
      </c>
      <c r="AK77" s="348">
        <v>4.5599999999999996</v>
      </c>
      <c r="AL77" s="348">
        <v>4.55</v>
      </c>
      <c r="AM77" s="348">
        <v>4.54</v>
      </c>
      <c r="AN77" s="348">
        <v>4.53</v>
      </c>
      <c r="AO77" s="348">
        <v>4.5199999999999996</v>
      </c>
      <c r="AP77" s="348">
        <v>4.51</v>
      </c>
      <c r="AQ77" s="348">
        <v>4.51</v>
      </c>
      <c r="AR77" s="348">
        <v>4.51</v>
      </c>
      <c r="AS77" s="348">
        <v>4.5</v>
      </c>
      <c r="AT77" s="348">
        <v>4.5</v>
      </c>
      <c r="AU77" s="348">
        <v>4.49</v>
      </c>
      <c r="AV77" s="348">
        <v>4.49</v>
      </c>
      <c r="AW77" s="348">
        <v>4.49</v>
      </c>
      <c r="AX77" s="348">
        <v>4.49</v>
      </c>
      <c r="AY77" s="348">
        <v>4.4800000000000004</v>
      </c>
      <c r="AZ77" s="149">
        <v>1.7500000000000002E-2</v>
      </c>
      <c r="BA77" s="104">
        <f t="shared" si="1"/>
        <v>1.7500000000000002</v>
      </c>
    </row>
    <row r="78" spans="1:60">
      <c r="A78" s="107">
        <v>41912</v>
      </c>
      <c r="B78" s="348">
        <v>2.96</v>
      </c>
      <c r="C78" s="348">
        <v>3.06</v>
      </c>
      <c r="D78" s="348">
        <v>3.23</v>
      </c>
      <c r="E78" s="348">
        <v>3.41</v>
      </c>
      <c r="F78" s="348">
        <v>3.59</v>
      </c>
      <c r="G78" s="348">
        <v>3.77</v>
      </c>
      <c r="H78" s="348">
        <v>3.92</v>
      </c>
      <c r="I78" s="348">
        <v>4.05</v>
      </c>
      <c r="J78" s="348">
        <v>4.17</v>
      </c>
      <c r="K78" s="348">
        <v>4.28</v>
      </c>
      <c r="L78" s="348">
        <v>4.3899999999999997</v>
      </c>
      <c r="M78" s="348">
        <v>4.47</v>
      </c>
      <c r="N78" s="348">
        <v>4.54</v>
      </c>
      <c r="O78" s="348">
        <v>4.6100000000000003</v>
      </c>
      <c r="P78" s="2281">
        <v>4.66</v>
      </c>
      <c r="Q78" s="348">
        <v>4.68</v>
      </c>
      <c r="R78" s="348">
        <v>4.7</v>
      </c>
      <c r="S78" s="348">
        <v>4.72</v>
      </c>
      <c r="T78" s="348">
        <v>4.7300000000000004</v>
      </c>
      <c r="U78" s="348">
        <v>4.75</v>
      </c>
      <c r="V78" s="348">
        <v>4.7300000000000004</v>
      </c>
      <c r="W78" s="348">
        <v>4.72</v>
      </c>
      <c r="X78" s="348">
        <v>4.71</v>
      </c>
      <c r="Y78" s="348">
        <v>4.7</v>
      </c>
      <c r="Z78" s="348">
        <v>4.6900000000000004</v>
      </c>
      <c r="AA78" s="348">
        <v>4.67</v>
      </c>
      <c r="AB78" s="348">
        <v>4.6500000000000004</v>
      </c>
      <c r="AC78" s="348">
        <v>4.63</v>
      </c>
      <c r="AD78" s="348">
        <v>4.62</v>
      </c>
      <c r="AE78" s="348">
        <v>4.5999999999999996</v>
      </c>
      <c r="AF78" s="348">
        <v>4.59</v>
      </c>
      <c r="AG78" s="348">
        <v>4.57</v>
      </c>
      <c r="AH78" s="348">
        <v>4.5599999999999996</v>
      </c>
      <c r="AI78" s="348">
        <v>4.55</v>
      </c>
      <c r="AJ78" s="348">
        <v>4.54</v>
      </c>
      <c r="AK78" s="348">
        <v>4.53</v>
      </c>
      <c r="AL78" s="348">
        <v>4.5199999999999996</v>
      </c>
      <c r="AM78" s="348">
        <v>4.51</v>
      </c>
      <c r="AN78" s="348">
        <v>4.5</v>
      </c>
      <c r="AO78" s="348">
        <v>4.49</v>
      </c>
      <c r="AP78" s="348">
        <v>4.4800000000000004</v>
      </c>
      <c r="AQ78" s="348">
        <v>4.4800000000000004</v>
      </c>
      <c r="AR78" s="348">
        <v>4.4800000000000004</v>
      </c>
      <c r="AS78" s="348">
        <v>4.47</v>
      </c>
      <c r="AT78" s="348">
        <v>4.47</v>
      </c>
      <c r="AU78" s="348">
        <v>4.47</v>
      </c>
      <c r="AV78" s="348">
        <v>4.46</v>
      </c>
      <c r="AW78" s="348">
        <v>4.46</v>
      </c>
      <c r="AX78" s="348">
        <v>4.46</v>
      </c>
      <c r="AY78" s="348">
        <v>4.45</v>
      </c>
      <c r="AZ78" s="149">
        <v>1.7500000000000002E-2</v>
      </c>
      <c r="BA78" s="104">
        <f t="shared" si="1"/>
        <v>1.7500000000000002</v>
      </c>
    </row>
    <row r="79" spans="1:60">
      <c r="A79" s="107">
        <v>41943</v>
      </c>
      <c r="B79" s="348">
        <v>2.91</v>
      </c>
      <c r="C79" s="348">
        <v>3.01</v>
      </c>
      <c r="D79" s="348">
        <v>3.18</v>
      </c>
      <c r="E79" s="348">
        <v>3.37</v>
      </c>
      <c r="F79" s="348">
        <v>3.55</v>
      </c>
      <c r="G79" s="348">
        <v>3.72</v>
      </c>
      <c r="H79" s="348">
        <v>3.87</v>
      </c>
      <c r="I79" s="348">
        <v>4.01</v>
      </c>
      <c r="J79" s="348">
        <v>4.13</v>
      </c>
      <c r="K79" s="348">
        <v>4.24</v>
      </c>
      <c r="L79" s="348">
        <v>4.3499999999999996</v>
      </c>
      <c r="M79" s="348">
        <v>4.43</v>
      </c>
      <c r="N79" s="348">
        <v>4.51</v>
      </c>
      <c r="O79" s="348">
        <v>4.57</v>
      </c>
      <c r="P79" s="2281">
        <v>4.62</v>
      </c>
      <c r="Q79" s="348">
        <v>4.6500000000000004</v>
      </c>
      <c r="R79" s="348">
        <v>4.67</v>
      </c>
      <c r="S79" s="348">
        <v>4.68</v>
      </c>
      <c r="T79" s="348">
        <v>4.7</v>
      </c>
      <c r="U79" s="348">
        <v>4.71</v>
      </c>
      <c r="V79" s="348">
        <v>4.7</v>
      </c>
      <c r="W79" s="348">
        <v>4.6900000000000004</v>
      </c>
      <c r="X79" s="348">
        <v>4.68</v>
      </c>
      <c r="Y79" s="348">
        <v>4.67</v>
      </c>
      <c r="Z79" s="348">
        <v>4.66</v>
      </c>
      <c r="AA79" s="348">
        <v>4.6399999999999997</v>
      </c>
      <c r="AB79" s="348">
        <v>4.62</v>
      </c>
      <c r="AC79" s="348">
        <v>4.5999999999999996</v>
      </c>
      <c r="AD79" s="348">
        <v>4.59</v>
      </c>
      <c r="AE79" s="348">
        <v>4.57</v>
      </c>
      <c r="AF79" s="348">
        <v>4.5599999999999996</v>
      </c>
      <c r="AG79" s="348">
        <v>4.54</v>
      </c>
      <c r="AH79" s="348">
        <v>4.53</v>
      </c>
      <c r="AI79" s="348">
        <v>4.5199999999999996</v>
      </c>
      <c r="AJ79" s="348">
        <v>4.51</v>
      </c>
      <c r="AK79" s="348">
        <v>4.49</v>
      </c>
      <c r="AL79" s="348">
        <v>4.4800000000000004</v>
      </c>
      <c r="AM79" s="348">
        <v>4.4800000000000004</v>
      </c>
      <c r="AN79" s="348">
        <v>4.47</v>
      </c>
      <c r="AO79" s="348">
        <v>4.46</v>
      </c>
      <c r="AP79" s="348">
        <v>4.45</v>
      </c>
      <c r="AQ79" s="348">
        <v>4.45</v>
      </c>
      <c r="AR79" s="348">
        <v>4.45</v>
      </c>
      <c r="AS79" s="348">
        <v>4.4400000000000004</v>
      </c>
      <c r="AT79" s="348">
        <v>4.4400000000000004</v>
      </c>
      <c r="AU79" s="348">
        <v>4.4400000000000004</v>
      </c>
      <c r="AV79" s="348">
        <v>4.43</v>
      </c>
      <c r="AW79" s="348">
        <v>4.43</v>
      </c>
      <c r="AX79" s="348">
        <v>4.43</v>
      </c>
      <c r="AY79" s="348">
        <v>4.42</v>
      </c>
      <c r="AZ79" s="149">
        <v>1.7500000000000002E-2</v>
      </c>
      <c r="BA79" s="104">
        <f t="shared" si="1"/>
        <v>1.7500000000000002</v>
      </c>
    </row>
    <row r="80" spans="1:60">
      <c r="A80" s="107">
        <v>41973</v>
      </c>
      <c r="B80" s="348">
        <v>2.85</v>
      </c>
      <c r="C80" s="348">
        <v>2.96</v>
      </c>
      <c r="D80" s="348">
        <v>3.13</v>
      </c>
      <c r="E80" s="348">
        <v>3.32</v>
      </c>
      <c r="F80" s="348">
        <v>3.5</v>
      </c>
      <c r="G80" s="348">
        <v>3.67</v>
      </c>
      <c r="H80" s="348">
        <v>3.83</v>
      </c>
      <c r="I80" s="348">
        <v>3.96</v>
      </c>
      <c r="J80" s="348">
        <v>4.09</v>
      </c>
      <c r="K80" s="348">
        <v>4.2</v>
      </c>
      <c r="L80" s="348">
        <v>4.3</v>
      </c>
      <c r="M80" s="348">
        <v>4.3899999999999997</v>
      </c>
      <c r="N80" s="348">
        <v>4.46</v>
      </c>
      <c r="O80" s="348">
        <v>4.5199999999999996</v>
      </c>
      <c r="P80" s="2281">
        <v>4.58</v>
      </c>
      <c r="Q80" s="348">
        <v>4.5999999999999996</v>
      </c>
      <c r="R80" s="348">
        <v>4.62</v>
      </c>
      <c r="S80" s="348">
        <v>4.6399999999999997</v>
      </c>
      <c r="T80" s="348">
        <v>4.66</v>
      </c>
      <c r="U80" s="348">
        <v>4.67</v>
      </c>
      <c r="V80" s="348">
        <v>4.66</v>
      </c>
      <c r="W80" s="348">
        <v>4.6500000000000004</v>
      </c>
      <c r="X80" s="348">
        <v>4.6399999999999997</v>
      </c>
      <c r="Y80" s="348">
        <v>4.63</v>
      </c>
      <c r="Z80" s="348">
        <v>4.62</v>
      </c>
      <c r="AA80" s="348">
        <v>4.5999999999999996</v>
      </c>
      <c r="AB80" s="348">
        <v>4.58</v>
      </c>
      <c r="AC80" s="348">
        <v>4.5599999999999996</v>
      </c>
      <c r="AD80" s="348">
        <v>4.55</v>
      </c>
      <c r="AE80" s="348">
        <v>4.53</v>
      </c>
      <c r="AF80" s="348">
        <v>4.5199999999999996</v>
      </c>
      <c r="AG80" s="348">
        <v>4.5</v>
      </c>
      <c r="AH80" s="348">
        <v>4.49</v>
      </c>
      <c r="AI80" s="348">
        <v>4.4800000000000004</v>
      </c>
      <c r="AJ80" s="348">
        <v>4.47</v>
      </c>
      <c r="AK80" s="348">
        <v>4.46</v>
      </c>
      <c r="AL80" s="348">
        <v>4.45</v>
      </c>
      <c r="AM80" s="348">
        <v>4.4400000000000004</v>
      </c>
      <c r="AN80" s="348">
        <v>4.43</v>
      </c>
      <c r="AO80" s="348">
        <v>4.42</v>
      </c>
      <c r="AP80" s="348">
        <v>4.42</v>
      </c>
      <c r="AQ80" s="348">
        <v>4.41</v>
      </c>
      <c r="AR80" s="348">
        <v>4.41</v>
      </c>
      <c r="AS80" s="348">
        <v>4.4000000000000004</v>
      </c>
      <c r="AT80" s="348">
        <v>4.4000000000000004</v>
      </c>
      <c r="AU80" s="348">
        <v>4.4000000000000004</v>
      </c>
      <c r="AV80" s="348">
        <v>4.4000000000000004</v>
      </c>
      <c r="AW80" s="348">
        <v>4.3899999999999997</v>
      </c>
      <c r="AX80" s="348">
        <v>4.3899999999999997</v>
      </c>
      <c r="AY80" s="348">
        <v>4.3899999999999997</v>
      </c>
      <c r="AZ80" s="149">
        <v>1.7500000000000002E-2</v>
      </c>
      <c r="BA80" s="104">
        <f t="shared" si="1"/>
        <v>1.7500000000000002</v>
      </c>
      <c r="BD80" s="2395" t="s">
        <v>192</v>
      </c>
      <c r="BE80" s="2395"/>
      <c r="BF80" s="2395" t="s">
        <v>193</v>
      </c>
      <c r="BG80" s="2395"/>
    </row>
    <row r="81" spans="1:60">
      <c r="A81" s="107">
        <v>42004</v>
      </c>
      <c r="B81" s="348">
        <v>2.8</v>
      </c>
      <c r="C81" s="348">
        <v>2.9</v>
      </c>
      <c r="D81" s="348">
        <v>3.07</v>
      </c>
      <c r="E81" s="348">
        <v>3.26</v>
      </c>
      <c r="F81" s="348">
        <v>3.45</v>
      </c>
      <c r="G81" s="348">
        <v>3.62</v>
      </c>
      <c r="H81" s="348">
        <v>3.78</v>
      </c>
      <c r="I81" s="348">
        <v>3.91</v>
      </c>
      <c r="J81" s="348">
        <v>4.04</v>
      </c>
      <c r="K81" s="348">
        <v>4.1500000000000004</v>
      </c>
      <c r="L81" s="348">
        <v>4.25</v>
      </c>
      <c r="M81" s="348">
        <v>4.34</v>
      </c>
      <c r="N81" s="348">
        <v>4.41</v>
      </c>
      <c r="O81" s="348">
        <v>4.4800000000000004</v>
      </c>
      <c r="P81" s="2281">
        <v>4.53</v>
      </c>
      <c r="Q81" s="348">
        <v>4.5599999999999996</v>
      </c>
      <c r="R81" s="348">
        <v>4.58</v>
      </c>
      <c r="S81" s="348">
        <v>4.5999999999999996</v>
      </c>
      <c r="T81" s="348">
        <v>4.6100000000000003</v>
      </c>
      <c r="U81" s="348">
        <v>4.63</v>
      </c>
      <c r="V81" s="348">
        <v>4.6100000000000003</v>
      </c>
      <c r="W81" s="348">
        <v>4.5999999999999996</v>
      </c>
      <c r="X81" s="348">
        <v>4.59</v>
      </c>
      <c r="Y81" s="348">
        <v>4.58</v>
      </c>
      <c r="Z81" s="348">
        <v>4.58</v>
      </c>
      <c r="AA81" s="348">
        <v>4.5599999999999996</v>
      </c>
      <c r="AB81" s="348">
        <v>4.54</v>
      </c>
      <c r="AC81" s="348">
        <v>4.5199999999999996</v>
      </c>
      <c r="AD81" s="348">
        <v>4.5</v>
      </c>
      <c r="AE81" s="348">
        <v>4.49</v>
      </c>
      <c r="AF81" s="348">
        <v>4.47</v>
      </c>
      <c r="AG81" s="348">
        <v>4.46</v>
      </c>
      <c r="AH81" s="348">
        <v>4.45</v>
      </c>
      <c r="AI81" s="348">
        <v>4.4400000000000004</v>
      </c>
      <c r="AJ81" s="348">
        <v>4.43</v>
      </c>
      <c r="AK81" s="348">
        <v>4.42</v>
      </c>
      <c r="AL81" s="348">
        <v>4.41</v>
      </c>
      <c r="AM81" s="348">
        <v>4.4000000000000004</v>
      </c>
      <c r="AN81" s="348">
        <v>4.3899999999999997</v>
      </c>
      <c r="AO81" s="348">
        <v>4.38</v>
      </c>
      <c r="AP81" s="348">
        <v>4.38</v>
      </c>
      <c r="AQ81" s="348">
        <v>4.37</v>
      </c>
      <c r="AR81" s="348">
        <v>4.37</v>
      </c>
      <c r="AS81" s="348">
        <v>4.37</v>
      </c>
      <c r="AT81" s="348">
        <v>4.3600000000000003</v>
      </c>
      <c r="AU81" s="348">
        <v>4.3600000000000003</v>
      </c>
      <c r="AV81" s="348">
        <v>4.3600000000000003</v>
      </c>
      <c r="AW81" s="348">
        <v>4.3499999999999996</v>
      </c>
      <c r="AX81" s="348">
        <v>4.3499999999999996</v>
      </c>
      <c r="AY81" s="348">
        <v>4.3499999999999996</v>
      </c>
      <c r="AZ81" s="149">
        <v>1.7500000000000002E-2</v>
      </c>
      <c r="BA81" s="104">
        <f t="shared" si="1"/>
        <v>1.7500000000000002</v>
      </c>
      <c r="BD81" s="4" t="s">
        <v>839</v>
      </c>
      <c r="BE81" s="4" t="s">
        <v>126</v>
      </c>
      <c r="BF81" s="4" t="s">
        <v>839</v>
      </c>
      <c r="BG81" s="4" t="s">
        <v>126</v>
      </c>
    </row>
    <row r="82" spans="1:60">
      <c r="A82" s="107">
        <v>42035</v>
      </c>
      <c r="B82" s="348">
        <v>2.74</v>
      </c>
      <c r="C82" s="348">
        <v>2.85</v>
      </c>
      <c r="D82" s="348">
        <v>3.02</v>
      </c>
      <c r="E82" s="348">
        <v>3.21</v>
      </c>
      <c r="F82" s="348">
        <v>3.4</v>
      </c>
      <c r="G82" s="348">
        <v>3.57</v>
      </c>
      <c r="H82" s="348">
        <v>3.72</v>
      </c>
      <c r="I82" s="348">
        <v>3.86</v>
      </c>
      <c r="J82" s="348">
        <v>3.99</v>
      </c>
      <c r="K82" s="348">
        <v>4.0999999999999996</v>
      </c>
      <c r="L82" s="348">
        <v>4.2</v>
      </c>
      <c r="M82" s="348">
        <v>4.29</v>
      </c>
      <c r="N82" s="348">
        <v>4.3600000000000003</v>
      </c>
      <c r="O82" s="348">
        <v>4.43</v>
      </c>
      <c r="P82" s="2281">
        <v>4.4800000000000004</v>
      </c>
      <c r="Q82" s="348">
        <v>4.5</v>
      </c>
      <c r="R82" s="348">
        <v>4.53</v>
      </c>
      <c r="S82" s="348">
        <v>4.54</v>
      </c>
      <c r="T82" s="348">
        <v>4.5599999999999996</v>
      </c>
      <c r="U82" s="348">
        <v>4.58</v>
      </c>
      <c r="V82" s="348">
        <v>4.5599999999999996</v>
      </c>
      <c r="W82" s="348">
        <v>4.55</v>
      </c>
      <c r="X82" s="348">
        <v>4.54</v>
      </c>
      <c r="Y82" s="348">
        <v>4.53</v>
      </c>
      <c r="Z82" s="348">
        <v>4.5199999999999996</v>
      </c>
      <c r="AA82" s="348">
        <v>4.5</v>
      </c>
      <c r="AB82" s="348">
        <v>4.49</v>
      </c>
      <c r="AC82" s="348">
        <v>4.47</v>
      </c>
      <c r="AD82" s="348">
        <v>4.45</v>
      </c>
      <c r="AE82" s="348">
        <v>4.4400000000000004</v>
      </c>
      <c r="AF82" s="348">
        <v>4.42</v>
      </c>
      <c r="AG82" s="348">
        <v>4.41</v>
      </c>
      <c r="AH82" s="348">
        <v>4.4000000000000004</v>
      </c>
      <c r="AI82" s="348">
        <v>4.3899999999999997</v>
      </c>
      <c r="AJ82" s="348">
        <v>4.38</v>
      </c>
      <c r="AK82" s="348">
        <v>4.37</v>
      </c>
      <c r="AL82" s="348">
        <v>4.3600000000000003</v>
      </c>
      <c r="AM82" s="348">
        <v>4.3499999999999996</v>
      </c>
      <c r="AN82" s="348">
        <v>4.34</v>
      </c>
      <c r="AO82" s="348">
        <v>4.33</v>
      </c>
      <c r="AP82" s="348">
        <v>4.33</v>
      </c>
      <c r="AQ82" s="348">
        <v>4.32</v>
      </c>
      <c r="AR82" s="348">
        <v>4.32</v>
      </c>
      <c r="AS82" s="348">
        <v>4.32</v>
      </c>
      <c r="AT82" s="348">
        <v>4.3099999999999996</v>
      </c>
      <c r="AU82" s="348">
        <v>4.3099999999999996</v>
      </c>
      <c r="AV82" s="348">
        <v>4.3099999999999996</v>
      </c>
      <c r="AW82" s="348">
        <v>4.3099999999999996</v>
      </c>
      <c r="AX82" s="348">
        <v>4.3</v>
      </c>
      <c r="AY82" s="348">
        <v>4.3</v>
      </c>
      <c r="AZ82" s="149">
        <v>1.2500000000000001E-2</v>
      </c>
      <c r="BA82" s="104">
        <f t="shared" ref="BA82:BA137" si="2">+AZ82*100</f>
        <v>1.25</v>
      </c>
      <c r="BC82" s="676">
        <v>4.51</v>
      </c>
      <c r="BD82" s="679">
        <v>20818</v>
      </c>
      <c r="BE82" s="679">
        <v>12675</v>
      </c>
      <c r="BF82" s="679">
        <v>16565</v>
      </c>
      <c r="BG82" s="679">
        <v>7890</v>
      </c>
    </row>
    <row r="83" spans="1:60">
      <c r="A83" s="107">
        <v>42063</v>
      </c>
      <c r="B83" s="348">
        <v>2.68</v>
      </c>
      <c r="C83" s="348">
        <v>2.8</v>
      </c>
      <c r="D83" s="348">
        <v>2.97</v>
      </c>
      <c r="E83" s="348">
        <v>3.16</v>
      </c>
      <c r="F83" s="348">
        <v>3.34</v>
      </c>
      <c r="G83" s="348">
        <v>3.52</v>
      </c>
      <c r="H83" s="348">
        <v>3.67</v>
      </c>
      <c r="I83" s="348">
        <v>3.81</v>
      </c>
      <c r="J83" s="348">
        <v>3.93</v>
      </c>
      <c r="K83" s="348">
        <v>4.04</v>
      </c>
      <c r="L83" s="348">
        <v>4.1500000000000004</v>
      </c>
      <c r="M83" s="348">
        <v>4.24</v>
      </c>
      <c r="N83" s="348">
        <v>4.3099999999999996</v>
      </c>
      <c r="O83" s="348">
        <v>4.37</v>
      </c>
      <c r="P83" s="2281">
        <v>4.43</v>
      </c>
      <c r="Q83" s="348">
        <v>4.45</v>
      </c>
      <c r="R83" s="348">
        <v>4.47</v>
      </c>
      <c r="S83" s="348">
        <v>4.49</v>
      </c>
      <c r="T83" s="348">
        <v>4.51</v>
      </c>
      <c r="U83" s="348">
        <v>4.5199999999999996</v>
      </c>
      <c r="V83" s="348">
        <v>4.51</v>
      </c>
      <c r="W83" s="348">
        <v>4.5</v>
      </c>
      <c r="X83" s="348">
        <v>4.49</v>
      </c>
      <c r="Y83" s="348">
        <v>4.4800000000000004</v>
      </c>
      <c r="Z83" s="348">
        <v>4.47</v>
      </c>
      <c r="AA83" s="348">
        <v>4.45</v>
      </c>
      <c r="AB83" s="348">
        <v>4.43</v>
      </c>
      <c r="AC83" s="348">
        <v>4.42</v>
      </c>
      <c r="AD83" s="348">
        <v>4.4000000000000004</v>
      </c>
      <c r="AE83" s="348">
        <v>4.3899999999999997</v>
      </c>
      <c r="AF83" s="348">
        <v>4.37</v>
      </c>
      <c r="AG83" s="348">
        <v>4.3600000000000003</v>
      </c>
      <c r="AH83" s="348">
        <v>4.3499999999999996</v>
      </c>
      <c r="AI83" s="348">
        <v>4.34</v>
      </c>
      <c r="AJ83" s="348">
        <v>4.33</v>
      </c>
      <c r="AK83" s="348">
        <v>4.32</v>
      </c>
      <c r="AL83" s="348">
        <v>4.3099999999999996</v>
      </c>
      <c r="AM83" s="348">
        <v>4.3</v>
      </c>
      <c r="AN83" s="348">
        <v>4.29</v>
      </c>
      <c r="AO83" s="348">
        <v>4.28</v>
      </c>
      <c r="AP83" s="348">
        <v>4.28</v>
      </c>
      <c r="AQ83" s="348">
        <v>4.28</v>
      </c>
      <c r="AR83" s="348">
        <v>4.2699999999999996</v>
      </c>
      <c r="AS83" s="348">
        <v>4.2699999999999996</v>
      </c>
      <c r="AT83" s="348">
        <v>4.2699999999999996</v>
      </c>
      <c r="AU83" s="348">
        <v>4.26</v>
      </c>
      <c r="AV83" s="348">
        <v>4.26</v>
      </c>
      <c r="AW83" s="348">
        <v>4.26</v>
      </c>
      <c r="AX83" s="348">
        <v>4.26</v>
      </c>
      <c r="AY83" s="348">
        <v>4.25</v>
      </c>
      <c r="AZ83" s="149">
        <v>1.2500000000000001E-2</v>
      </c>
      <c r="BA83" s="104">
        <f t="shared" si="2"/>
        <v>1.25</v>
      </c>
      <c r="BC83" s="436">
        <v>4.4800000000000004</v>
      </c>
      <c r="BD83" s="678">
        <f>BD$82+(BD$94-BD$82)/12*$BH83</f>
        <v>21119.583333333332</v>
      </c>
      <c r="BE83" s="678">
        <f t="shared" ref="BE83:BG93" si="3">BE$82+(BE$94-BE$82)/12*$BH83</f>
        <v>13070.083333333334</v>
      </c>
      <c r="BF83" s="678">
        <f t="shared" si="3"/>
        <v>17024.75</v>
      </c>
      <c r="BG83" s="678">
        <f t="shared" si="3"/>
        <v>8409</v>
      </c>
      <c r="BH83" s="678">
        <v>1</v>
      </c>
    </row>
    <row r="84" spans="1:60">
      <c r="A84" s="107">
        <v>42094</v>
      </c>
      <c r="B84" s="348">
        <v>2.62</v>
      </c>
      <c r="C84" s="348">
        <v>2.73</v>
      </c>
      <c r="D84" s="348">
        <v>2.91</v>
      </c>
      <c r="E84" s="348">
        <v>3.1</v>
      </c>
      <c r="F84" s="348">
        <v>3.28</v>
      </c>
      <c r="G84" s="348">
        <v>3.46</v>
      </c>
      <c r="H84" s="348">
        <v>3.61</v>
      </c>
      <c r="I84" s="348">
        <v>3.75</v>
      </c>
      <c r="J84" s="348">
        <v>3.87</v>
      </c>
      <c r="K84" s="348">
        <v>3.99</v>
      </c>
      <c r="L84" s="348">
        <v>4.09</v>
      </c>
      <c r="M84" s="348">
        <v>4.18</v>
      </c>
      <c r="N84" s="348">
        <v>4.25</v>
      </c>
      <c r="O84" s="348">
        <v>4.3099999999999996</v>
      </c>
      <c r="P84" s="2281">
        <v>4.37</v>
      </c>
      <c r="Q84" s="348">
        <v>4.3899999999999997</v>
      </c>
      <c r="R84" s="348">
        <v>4.41</v>
      </c>
      <c r="S84" s="348">
        <v>4.43</v>
      </c>
      <c r="T84" s="348">
        <v>4.45</v>
      </c>
      <c r="U84" s="348">
        <v>4.46</v>
      </c>
      <c r="V84" s="348">
        <v>4.45</v>
      </c>
      <c r="W84" s="348">
        <v>4.4400000000000004</v>
      </c>
      <c r="X84" s="348">
        <v>4.43</v>
      </c>
      <c r="Y84" s="348">
        <v>4.42</v>
      </c>
      <c r="Z84" s="348">
        <v>4.41</v>
      </c>
      <c r="AA84" s="348">
        <v>4.3899999999999997</v>
      </c>
      <c r="AB84" s="348">
        <v>4.37</v>
      </c>
      <c r="AC84" s="348">
        <v>4.3600000000000003</v>
      </c>
      <c r="AD84" s="348">
        <v>4.34</v>
      </c>
      <c r="AE84" s="348">
        <v>4.33</v>
      </c>
      <c r="AF84" s="348">
        <v>4.3099999999999996</v>
      </c>
      <c r="AG84" s="348">
        <v>4.3</v>
      </c>
      <c r="AH84" s="348">
        <v>4.29</v>
      </c>
      <c r="AI84" s="348">
        <v>4.28</v>
      </c>
      <c r="AJ84" s="348">
        <v>4.2699999999999996</v>
      </c>
      <c r="AK84" s="348">
        <v>4.26</v>
      </c>
      <c r="AL84" s="348">
        <v>4.25</v>
      </c>
      <c r="AM84" s="348">
        <v>4.24</v>
      </c>
      <c r="AN84" s="348">
        <v>4.2300000000000004</v>
      </c>
      <c r="AO84" s="348">
        <v>4.2300000000000004</v>
      </c>
      <c r="AP84" s="348">
        <v>4.22</v>
      </c>
      <c r="AQ84" s="348">
        <v>4.22</v>
      </c>
      <c r="AR84" s="348">
        <v>4.22</v>
      </c>
      <c r="AS84" s="348">
        <v>4.21</v>
      </c>
      <c r="AT84" s="348">
        <v>4.21</v>
      </c>
      <c r="AU84" s="348">
        <v>4.21</v>
      </c>
      <c r="AV84" s="348">
        <v>4.2</v>
      </c>
      <c r="AW84" s="348">
        <v>4.2</v>
      </c>
      <c r="AX84" s="348">
        <v>4.2</v>
      </c>
      <c r="AY84" s="348">
        <v>4.2</v>
      </c>
      <c r="AZ84" s="149">
        <v>1.2500000000000001E-2</v>
      </c>
      <c r="BA84" s="104">
        <f t="shared" si="2"/>
        <v>1.25</v>
      </c>
      <c r="BC84" s="436">
        <v>4.46</v>
      </c>
      <c r="BD84" s="678">
        <f t="shared" ref="BD84:BD93" si="4">BD$82+(BD$94-BD$82)/12*$BH84</f>
        <v>21421.166666666668</v>
      </c>
      <c r="BE84" s="678">
        <f t="shared" si="3"/>
        <v>13465.166666666666</v>
      </c>
      <c r="BF84" s="678">
        <f t="shared" si="3"/>
        <v>17484.5</v>
      </c>
      <c r="BG84" s="678">
        <f t="shared" si="3"/>
        <v>8928</v>
      </c>
      <c r="BH84" s="678">
        <v>2</v>
      </c>
    </row>
    <row r="85" spans="1:60">
      <c r="A85" s="107">
        <v>42124</v>
      </c>
      <c r="B85" s="348">
        <v>2.5499999999999998</v>
      </c>
      <c r="C85" s="348">
        <v>2.67</v>
      </c>
      <c r="D85" s="348">
        <v>2.85</v>
      </c>
      <c r="E85" s="348">
        <v>3.04</v>
      </c>
      <c r="F85" s="348">
        <v>3.23</v>
      </c>
      <c r="G85" s="348">
        <v>3.4</v>
      </c>
      <c r="H85" s="348">
        <v>3.56</v>
      </c>
      <c r="I85" s="348">
        <v>3.69</v>
      </c>
      <c r="J85" s="348">
        <v>3.82</v>
      </c>
      <c r="K85" s="348">
        <v>3.93</v>
      </c>
      <c r="L85" s="348">
        <v>4.03</v>
      </c>
      <c r="M85" s="348">
        <v>4.12</v>
      </c>
      <c r="N85" s="348">
        <v>4.1900000000000004</v>
      </c>
      <c r="O85" s="348">
        <v>4.26</v>
      </c>
      <c r="P85" s="2281">
        <v>4.3099999999999996</v>
      </c>
      <c r="Q85" s="348">
        <v>4.34</v>
      </c>
      <c r="R85" s="348">
        <v>4.3600000000000003</v>
      </c>
      <c r="S85" s="348">
        <v>4.37</v>
      </c>
      <c r="T85" s="348">
        <v>4.3899999999999997</v>
      </c>
      <c r="U85" s="348">
        <v>4.41</v>
      </c>
      <c r="V85" s="348">
        <v>4.3899999999999997</v>
      </c>
      <c r="W85" s="348">
        <v>4.38</v>
      </c>
      <c r="X85" s="348">
        <v>4.37</v>
      </c>
      <c r="Y85" s="348">
        <v>4.37</v>
      </c>
      <c r="Z85" s="348">
        <v>4.3600000000000003</v>
      </c>
      <c r="AA85" s="348">
        <v>4.34</v>
      </c>
      <c r="AB85" s="348">
        <v>4.32</v>
      </c>
      <c r="AC85" s="348">
        <v>4.3</v>
      </c>
      <c r="AD85" s="348">
        <v>4.29</v>
      </c>
      <c r="AE85" s="348">
        <v>4.2699999999999996</v>
      </c>
      <c r="AF85" s="348">
        <v>4.26</v>
      </c>
      <c r="AG85" s="348">
        <v>4.25</v>
      </c>
      <c r="AH85" s="348">
        <v>4.24</v>
      </c>
      <c r="AI85" s="348">
        <v>4.2300000000000004</v>
      </c>
      <c r="AJ85" s="348">
        <v>4.22</v>
      </c>
      <c r="AK85" s="348">
        <v>4.21</v>
      </c>
      <c r="AL85" s="348">
        <v>4.2</v>
      </c>
      <c r="AM85" s="348">
        <v>4.1900000000000004</v>
      </c>
      <c r="AN85" s="348">
        <v>4.18</v>
      </c>
      <c r="AO85" s="348">
        <v>4.17</v>
      </c>
      <c r="AP85" s="348">
        <v>4.17</v>
      </c>
      <c r="AQ85" s="348">
        <v>4.17</v>
      </c>
      <c r="AR85" s="348">
        <v>4.16</v>
      </c>
      <c r="AS85" s="348">
        <v>4.16</v>
      </c>
      <c r="AT85" s="348">
        <v>4.16</v>
      </c>
      <c r="AU85" s="348">
        <v>4.1500000000000004</v>
      </c>
      <c r="AV85" s="348">
        <v>4.1500000000000004</v>
      </c>
      <c r="AW85" s="348">
        <v>4.1500000000000004</v>
      </c>
      <c r="AX85" s="348">
        <v>4.1500000000000004</v>
      </c>
      <c r="AY85" s="348">
        <v>4.1500000000000004</v>
      </c>
      <c r="AZ85" s="149">
        <v>1.2500000000000001E-2</v>
      </c>
      <c r="BA85" s="104">
        <f t="shared" si="2"/>
        <v>1.25</v>
      </c>
      <c r="BC85" s="436">
        <v>4.43</v>
      </c>
      <c r="BD85" s="678">
        <f t="shared" si="4"/>
        <v>21722.75</v>
      </c>
      <c r="BE85" s="678">
        <f t="shared" si="3"/>
        <v>13860.25</v>
      </c>
      <c r="BF85" s="678">
        <f t="shared" si="3"/>
        <v>17944.25</v>
      </c>
      <c r="BG85" s="678">
        <f t="shared" si="3"/>
        <v>9447</v>
      </c>
      <c r="BH85" s="678">
        <v>3</v>
      </c>
    </row>
    <row r="86" spans="1:60">
      <c r="A86" s="107">
        <v>42155</v>
      </c>
      <c r="B86" s="348">
        <v>2.4900000000000002</v>
      </c>
      <c r="C86" s="348">
        <v>2.61</v>
      </c>
      <c r="D86" s="348">
        <v>2.79</v>
      </c>
      <c r="E86" s="348">
        <v>2.98</v>
      </c>
      <c r="F86" s="348">
        <v>3.17</v>
      </c>
      <c r="G86" s="348">
        <v>3.34</v>
      </c>
      <c r="H86" s="348">
        <v>3.5</v>
      </c>
      <c r="I86" s="348">
        <v>3.64</v>
      </c>
      <c r="J86" s="348">
        <v>3.76</v>
      </c>
      <c r="K86" s="348">
        <v>3.88</v>
      </c>
      <c r="L86" s="348">
        <v>3.98</v>
      </c>
      <c r="M86" s="348">
        <v>4.07</v>
      </c>
      <c r="N86" s="348">
        <v>4.1399999999999997</v>
      </c>
      <c r="O86" s="348">
        <v>4.2</v>
      </c>
      <c r="P86" s="2281">
        <v>4.26</v>
      </c>
      <c r="Q86" s="348">
        <v>4.28</v>
      </c>
      <c r="R86" s="348">
        <v>4.3</v>
      </c>
      <c r="S86" s="348">
        <v>4.32</v>
      </c>
      <c r="T86" s="348">
        <v>4.34</v>
      </c>
      <c r="U86" s="348">
        <v>4.3600000000000003</v>
      </c>
      <c r="V86" s="348">
        <v>4.34</v>
      </c>
      <c r="W86" s="348">
        <v>4.33</v>
      </c>
      <c r="X86" s="348">
        <v>4.32</v>
      </c>
      <c r="Y86" s="348">
        <v>4.32</v>
      </c>
      <c r="Z86" s="348">
        <v>4.3099999999999996</v>
      </c>
      <c r="AA86" s="348">
        <v>4.29</v>
      </c>
      <c r="AB86" s="348">
        <v>4.2699999999999996</v>
      </c>
      <c r="AC86" s="348">
        <v>4.25</v>
      </c>
      <c r="AD86" s="348">
        <v>4.24</v>
      </c>
      <c r="AE86" s="348">
        <v>4.22</v>
      </c>
      <c r="AF86" s="348">
        <v>4.21</v>
      </c>
      <c r="AG86" s="348">
        <v>4.2</v>
      </c>
      <c r="AH86" s="348">
        <v>4.1900000000000004</v>
      </c>
      <c r="AI86" s="348">
        <v>4.18</v>
      </c>
      <c r="AJ86" s="348">
        <v>4.17</v>
      </c>
      <c r="AK86" s="348">
        <v>4.16</v>
      </c>
      <c r="AL86" s="348">
        <v>4.1500000000000004</v>
      </c>
      <c r="AM86" s="348">
        <v>4.1399999999999997</v>
      </c>
      <c r="AN86" s="348">
        <v>4.13</v>
      </c>
      <c r="AO86" s="348">
        <v>4.13</v>
      </c>
      <c r="AP86" s="348">
        <v>4.12</v>
      </c>
      <c r="AQ86" s="348">
        <v>4.12</v>
      </c>
      <c r="AR86" s="348">
        <v>4.12</v>
      </c>
      <c r="AS86" s="348">
        <v>4.1100000000000003</v>
      </c>
      <c r="AT86" s="348">
        <v>4.1100000000000003</v>
      </c>
      <c r="AU86" s="348">
        <v>4.1100000000000003</v>
      </c>
      <c r="AV86" s="348">
        <v>4.0999999999999996</v>
      </c>
      <c r="AW86" s="348">
        <v>4.0999999999999996</v>
      </c>
      <c r="AX86" s="348">
        <v>4.0999999999999996</v>
      </c>
      <c r="AY86" s="348">
        <v>4.0999999999999996</v>
      </c>
      <c r="AZ86" s="149">
        <v>1.2500000000000001E-2</v>
      </c>
      <c r="BA86" s="104">
        <f t="shared" si="2"/>
        <v>1.25</v>
      </c>
      <c r="BC86" s="436">
        <v>4.41</v>
      </c>
      <c r="BD86" s="678">
        <f t="shared" si="4"/>
        <v>22024.333333333332</v>
      </c>
      <c r="BE86" s="678">
        <f t="shared" si="3"/>
        <v>14255.333333333334</v>
      </c>
      <c r="BF86" s="678">
        <f t="shared" si="3"/>
        <v>18404</v>
      </c>
      <c r="BG86" s="678">
        <f t="shared" si="3"/>
        <v>9966</v>
      </c>
      <c r="BH86" s="678">
        <v>4</v>
      </c>
    </row>
    <row r="87" spans="1:60">
      <c r="A87" s="107">
        <v>42185</v>
      </c>
      <c r="B87" s="348">
        <v>2.42</v>
      </c>
      <c r="C87" s="348">
        <v>2.54</v>
      </c>
      <c r="D87" s="348">
        <v>2.72</v>
      </c>
      <c r="E87" s="348">
        <v>2.92</v>
      </c>
      <c r="F87" s="348">
        <v>3.11</v>
      </c>
      <c r="G87" s="348">
        <v>3.29</v>
      </c>
      <c r="H87" s="348">
        <v>3.45</v>
      </c>
      <c r="I87" s="348">
        <v>3.59</v>
      </c>
      <c r="J87" s="348">
        <v>3.71</v>
      </c>
      <c r="K87" s="348">
        <v>3.83</v>
      </c>
      <c r="L87" s="348">
        <v>3.93</v>
      </c>
      <c r="M87" s="348">
        <v>4.0199999999999996</v>
      </c>
      <c r="N87" s="348">
        <v>4.09</v>
      </c>
      <c r="O87" s="348">
        <v>4.16</v>
      </c>
      <c r="P87" s="2281">
        <v>4.21</v>
      </c>
      <c r="Q87" s="348">
        <v>4.24</v>
      </c>
      <c r="R87" s="348">
        <v>4.26</v>
      </c>
      <c r="S87" s="348">
        <v>4.28</v>
      </c>
      <c r="T87" s="348">
        <v>4.3</v>
      </c>
      <c r="U87" s="348">
        <v>4.3099999999999996</v>
      </c>
      <c r="V87" s="348">
        <v>4.3</v>
      </c>
      <c r="W87" s="348">
        <v>4.29</v>
      </c>
      <c r="X87" s="348">
        <v>4.28</v>
      </c>
      <c r="Y87" s="348">
        <v>4.2699999999999996</v>
      </c>
      <c r="Z87" s="348">
        <v>4.2699999999999996</v>
      </c>
      <c r="AA87" s="348">
        <v>4.25</v>
      </c>
      <c r="AB87" s="348">
        <v>4.2300000000000004</v>
      </c>
      <c r="AC87" s="348">
        <v>4.21</v>
      </c>
      <c r="AD87" s="348">
        <v>4.2</v>
      </c>
      <c r="AE87" s="348">
        <v>4.18</v>
      </c>
      <c r="AF87" s="348">
        <v>4.17</v>
      </c>
      <c r="AG87" s="348">
        <v>4.16</v>
      </c>
      <c r="AH87" s="348">
        <v>4.1500000000000004</v>
      </c>
      <c r="AI87" s="348">
        <v>4.1399999999999997</v>
      </c>
      <c r="AJ87" s="348">
        <v>4.13</v>
      </c>
      <c r="AK87" s="348">
        <v>4.12</v>
      </c>
      <c r="AL87" s="348">
        <v>4.1100000000000003</v>
      </c>
      <c r="AM87" s="348">
        <v>4.0999999999999996</v>
      </c>
      <c r="AN87" s="348">
        <v>4.09</v>
      </c>
      <c r="AO87" s="348">
        <v>4.09</v>
      </c>
      <c r="AP87" s="348">
        <v>4.08</v>
      </c>
      <c r="AQ87" s="348">
        <v>4.08</v>
      </c>
      <c r="AR87" s="348">
        <v>4.08</v>
      </c>
      <c r="AS87" s="348">
        <v>4.08</v>
      </c>
      <c r="AT87" s="348">
        <v>4.07</v>
      </c>
      <c r="AU87" s="348">
        <v>4.07</v>
      </c>
      <c r="AV87" s="348">
        <v>4.07</v>
      </c>
      <c r="AW87" s="348">
        <v>4.07</v>
      </c>
      <c r="AX87" s="348">
        <v>4.0599999999999996</v>
      </c>
      <c r="AY87" s="348">
        <v>4.0599999999999996</v>
      </c>
      <c r="AZ87" s="149">
        <v>1.2500000000000001E-2</v>
      </c>
      <c r="BA87" s="104">
        <f t="shared" si="2"/>
        <v>1.25</v>
      </c>
      <c r="BC87" s="436">
        <v>4.3899999999999997</v>
      </c>
      <c r="BD87" s="678">
        <f t="shared" si="4"/>
        <v>22325.916666666668</v>
      </c>
      <c r="BE87" s="678">
        <f t="shared" si="3"/>
        <v>14650.416666666666</v>
      </c>
      <c r="BF87" s="678">
        <f t="shared" si="3"/>
        <v>18863.75</v>
      </c>
      <c r="BG87" s="678">
        <f t="shared" si="3"/>
        <v>10485</v>
      </c>
      <c r="BH87" s="678">
        <v>5</v>
      </c>
    </row>
    <row r="88" spans="1:60">
      <c r="A88" s="107">
        <v>42216</v>
      </c>
      <c r="B88" s="348">
        <v>2.35</v>
      </c>
      <c r="C88" s="348">
        <v>2.48</v>
      </c>
      <c r="D88" s="348">
        <v>2.66</v>
      </c>
      <c r="E88" s="348">
        <v>2.86</v>
      </c>
      <c r="F88" s="348">
        <v>3.05</v>
      </c>
      <c r="G88" s="348">
        <v>3.23</v>
      </c>
      <c r="H88" s="348">
        <v>3.39</v>
      </c>
      <c r="I88" s="348">
        <v>3.54</v>
      </c>
      <c r="J88" s="348">
        <v>3.66</v>
      </c>
      <c r="K88" s="348">
        <v>3.78</v>
      </c>
      <c r="L88" s="348">
        <v>3.88</v>
      </c>
      <c r="M88" s="348">
        <v>3.97</v>
      </c>
      <c r="N88" s="348">
        <v>4.05</v>
      </c>
      <c r="O88" s="348">
        <v>4.1100000000000003</v>
      </c>
      <c r="P88" s="2281">
        <v>4.17</v>
      </c>
      <c r="Q88" s="348">
        <v>4.1900000000000004</v>
      </c>
      <c r="R88" s="348">
        <v>4.21</v>
      </c>
      <c r="S88" s="348">
        <v>4.2300000000000004</v>
      </c>
      <c r="T88" s="348">
        <v>4.25</v>
      </c>
      <c r="U88" s="348">
        <v>4.2699999999999996</v>
      </c>
      <c r="V88" s="348">
        <v>4.26</v>
      </c>
      <c r="W88" s="348">
        <v>4.25</v>
      </c>
      <c r="X88" s="348">
        <v>4.24</v>
      </c>
      <c r="Y88" s="348">
        <v>4.2300000000000004</v>
      </c>
      <c r="Z88" s="348">
        <v>4.22</v>
      </c>
      <c r="AA88" s="348">
        <v>4.2</v>
      </c>
      <c r="AB88" s="348">
        <v>4.18</v>
      </c>
      <c r="AC88" s="348">
        <v>4.17</v>
      </c>
      <c r="AD88" s="348">
        <v>4.1500000000000004</v>
      </c>
      <c r="AE88" s="348">
        <v>4.1399999999999997</v>
      </c>
      <c r="AF88" s="348">
        <v>4.13</v>
      </c>
      <c r="AG88" s="348">
        <v>4.12</v>
      </c>
      <c r="AH88" s="348">
        <v>4.1100000000000003</v>
      </c>
      <c r="AI88" s="348">
        <v>4.0999999999999996</v>
      </c>
      <c r="AJ88" s="348">
        <v>4.09</v>
      </c>
      <c r="AK88" s="348">
        <v>4.08</v>
      </c>
      <c r="AL88" s="348">
        <v>4.07</v>
      </c>
      <c r="AM88" s="348">
        <v>4.0599999999999996</v>
      </c>
      <c r="AN88" s="348">
        <v>4.05</v>
      </c>
      <c r="AO88" s="348">
        <v>4.05</v>
      </c>
      <c r="AP88" s="348">
        <v>4.04</v>
      </c>
      <c r="AQ88" s="348">
        <v>4.04</v>
      </c>
      <c r="AR88" s="348">
        <v>4.04</v>
      </c>
      <c r="AS88" s="348">
        <v>4.03</v>
      </c>
      <c r="AT88" s="348">
        <v>4.03</v>
      </c>
      <c r="AU88" s="348">
        <v>4.03</v>
      </c>
      <c r="AV88" s="348">
        <v>4.03</v>
      </c>
      <c r="AW88" s="348">
        <v>4.03</v>
      </c>
      <c r="AX88" s="348">
        <v>4.0199999999999996</v>
      </c>
      <c r="AY88" s="348">
        <v>4.0199999999999996</v>
      </c>
      <c r="AZ88" s="149">
        <v>1.2500000000000001E-2</v>
      </c>
      <c r="BA88" s="104">
        <f t="shared" si="2"/>
        <v>1.25</v>
      </c>
      <c r="BC88" s="436">
        <v>4.38</v>
      </c>
      <c r="BD88" s="678">
        <f t="shared" si="4"/>
        <v>22627.5</v>
      </c>
      <c r="BE88" s="678">
        <f t="shared" si="3"/>
        <v>15045.5</v>
      </c>
      <c r="BF88" s="678">
        <f t="shared" si="3"/>
        <v>19323.5</v>
      </c>
      <c r="BG88" s="678">
        <f t="shared" si="3"/>
        <v>11004</v>
      </c>
      <c r="BH88" s="678">
        <v>6</v>
      </c>
    </row>
    <row r="89" spans="1:60">
      <c r="A89" s="107">
        <v>42247</v>
      </c>
      <c r="B89" s="348">
        <v>2.29</v>
      </c>
      <c r="C89" s="348">
        <v>2.42</v>
      </c>
      <c r="D89" s="348">
        <v>2.6</v>
      </c>
      <c r="E89" s="348">
        <v>2.8</v>
      </c>
      <c r="F89" s="348">
        <v>3</v>
      </c>
      <c r="G89" s="348">
        <v>3.18</v>
      </c>
      <c r="H89" s="348">
        <v>3.34</v>
      </c>
      <c r="I89" s="348">
        <v>3.49</v>
      </c>
      <c r="J89" s="348">
        <v>3.61</v>
      </c>
      <c r="K89" s="348">
        <v>3.73</v>
      </c>
      <c r="L89" s="348">
        <v>3.84</v>
      </c>
      <c r="M89" s="348">
        <v>3.92</v>
      </c>
      <c r="N89" s="348">
        <v>4</v>
      </c>
      <c r="O89" s="348">
        <v>4.07</v>
      </c>
      <c r="P89" s="2281">
        <v>4.12</v>
      </c>
      <c r="Q89" s="348">
        <v>4.1500000000000004</v>
      </c>
      <c r="R89" s="348">
        <v>4.17</v>
      </c>
      <c r="S89" s="348">
        <v>4.1900000000000004</v>
      </c>
      <c r="T89" s="348">
        <v>4.21</v>
      </c>
      <c r="U89" s="348">
        <v>4.22</v>
      </c>
      <c r="V89" s="348">
        <v>4.21</v>
      </c>
      <c r="W89" s="348">
        <v>4.2</v>
      </c>
      <c r="X89" s="348">
        <v>4.1900000000000004</v>
      </c>
      <c r="Y89" s="348">
        <v>4.1900000000000004</v>
      </c>
      <c r="Z89" s="348">
        <v>4.18</v>
      </c>
      <c r="AA89" s="348">
        <v>4.16</v>
      </c>
      <c r="AB89" s="348">
        <v>4.1399999999999997</v>
      </c>
      <c r="AC89" s="348">
        <v>4.13</v>
      </c>
      <c r="AD89" s="348">
        <v>4.1100000000000003</v>
      </c>
      <c r="AE89" s="348">
        <v>4.0999999999999996</v>
      </c>
      <c r="AF89" s="348">
        <v>4.09</v>
      </c>
      <c r="AG89" s="348">
        <v>4.08</v>
      </c>
      <c r="AH89" s="348">
        <v>4.07</v>
      </c>
      <c r="AI89" s="348">
        <v>4.0599999999999996</v>
      </c>
      <c r="AJ89" s="348">
        <v>4.05</v>
      </c>
      <c r="AK89" s="348">
        <v>4.04</v>
      </c>
      <c r="AL89" s="348">
        <v>4.03</v>
      </c>
      <c r="AM89" s="348">
        <v>4.0199999999999996</v>
      </c>
      <c r="AN89" s="348">
        <v>4.01</v>
      </c>
      <c r="AO89" s="348">
        <v>4.01</v>
      </c>
      <c r="AP89" s="348">
        <v>4</v>
      </c>
      <c r="AQ89" s="348">
        <v>4</v>
      </c>
      <c r="AR89" s="348">
        <v>4</v>
      </c>
      <c r="AS89" s="348">
        <v>4</v>
      </c>
      <c r="AT89" s="348">
        <v>3.99</v>
      </c>
      <c r="AU89" s="348">
        <v>3.99</v>
      </c>
      <c r="AV89" s="348">
        <v>3.99</v>
      </c>
      <c r="AW89" s="348">
        <v>3.99</v>
      </c>
      <c r="AX89" s="348">
        <v>3.99</v>
      </c>
      <c r="AY89" s="348">
        <v>3.98</v>
      </c>
      <c r="AZ89" s="149">
        <v>1.2500000000000001E-2</v>
      </c>
      <c r="BA89" s="104">
        <f t="shared" si="2"/>
        <v>1.25</v>
      </c>
      <c r="BC89" s="436">
        <v>4.3600000000000003</v>
      </c>
      <c r="BD89" s="678">
        <f t="shared" si="4"/>
        <v>22929.083333333332</v>
      </c>
      <c r="BE89" s="678">
        <f t="shared" si="3"/>
        <v>15440.583333333332</v>
      </c>
      <c r="BF89" s="678">
        <f t="shared" si="3"/>
        <v>19783.25</v>
      </c>
      <c r="BG89" s="678">
        <f t="shared" si="3"/>
        <v>11523</v>
      </c>
      <c r="BH89" s="678">
        <v>7</v>
      </c>
    </row>
    <row r="90" spans="1:60">
      <c r="A90" s="107">
        <v>42277</v>
      </c>
      <c r="B90" s="348">
        <v>2.21</v>
      </c>
      <c r="C90" s="348">
        <v>2.35</v>
      </c>
      <c r="D90" s="348">
        <v>2.5299999999999998</v>
      </c>
      <c r="E90" s="348">
        <v>2.73</v>
      </c>
      <c r="F90" s="348">
        <v>2.93</v>
      </c>
      <c r="G90" s="348">
        <v>3.11</v>
      </c>
      <c r="H90" s="348">
        <v>3.28</v>
      </c>
      <c r="I90" s="348">
        <v>3.42</v>
      </c>
      <c r="J90" s="348">
        <v>3.55</v>
      </c>
      <c r="K90" s="348">
        <v>3.67</v>
      </c>
      <c r="L90" s="348">
        <v>3.78</v>
      </c>
      <c r="M90" s="348">
        <v>3.87</v>
      </c>
      <c r="N90" s="348">
        <v>3.94</v>
      </c>
      <c r="O90" s="348">
        <v>4.01</v>
      </c>
      <c r="P90" s="2281">
        <v>4.07</v>
      </c>
      <c r="Q90" s="348">
        <v>4.09</v>
      </c>
      <c r="R90" s="348">
        <v>4.1100000000000003</v>
      </c>
      <c r="S90" s="348">
        <v>4.1399999999999997</v>
      </c>
      <c r="T90" s="348">
        <v>4.1500000000000004</v>
      </c>
      <c r="U90" s="348">
        <v>4.17</v>
      </c>
      <c r="V90" s="348">
        <v>4.16</v>
      </c>
      <c r="W90" s="348">
        <v>4.1500000000000004</v>
      </c>
      <c r="X90" s="348">
        <v>4.1399999999999997</v>
      </c>
      <c r="Y90" s="348">
        <v>4.1399999999999997</v>
      </c>
      <c r="Z90" s="348">
        <v>4.13</v>
      </c>
      <c r="AA90" s="348">
        <v>4.1100000000000003</v>
      </c>
      <c r="AB90" s="348">
        <v>4.09</v>
      </c>
      <c r="AC90" s="348">
        <v>4.08</v>
      </c>
      <c r="AD90" s="348">
        <v>4.0599999999999996</v>
      </c>
      <c r="AE90" s="348">
        <v>4.05</v>
      </c>
      <c r="AF90" s="348">
        <v>4.04</v>
      </c>
      <c r="AG90" s="348">
        <v>4.03</v>
      </c>
      <c r="AH90" s="348">
        <v>4.0199999999999996</v>
      </c>
      <c r="AI90" s="348">
        <v>4.01</v>
      </c>
      <c r="AJ90" s="348">
        <v>4</v>
      </c>
      <c r="AK90" s="348">
        <v>3.99</v>
      </c>
      <c r="AL90" s="348">
        <v>3.98</v>
      </c>
      <c r="AM90" s="348">
        <v>3.97</v>
      </c>
      <c r="AN90" s="348">
        <v>3.97</v>
      </c>
      <c r="AO90" s="348">
        <v>3.96</v>
      </c>
      <c r="AP90" s="348">
        <v>3.96</v>
      </c>
      <c r="AQ90" s="348">
        <v>3.95</v>
      </c>
      <c r="AR90" s="348">
        <v>3.95</v>
      </c>
      <c r="AS90" s="348">
        <v>3.95</v>
      </c>
      <c r="AT90" s="348">
        <v>3.95</v>
      </c>
      <c r="AU90" s="348">
        <v>3.94</v>
      </c>
      <c r="AV90" s="348">
        <v>3.94</v>
      </c>
      <c r="AW90" s="348">
        <v>3.94</v>
      </c>
      <c r="AX90" s="348">
        <v>3.94</v>
      </c>
      <c r="AY90" s="348">
        <v>3.94</v>
      </c>
      <c r="AZ90" s="149">
        <v>1.2500000000000001E-2</v>
      </c>
      <c r="BA90" s="104">
        <f t="shared" si="2"/>
        <v>1.25</v>
      </c>
      <c r="BC90" s="436">
        <v>4.3499999999999996</v>
      </c>
      <c r="BD90" s="678">
        <f t="shared" si="4"/>
        <v>23230.666666666668</v>
      </c>
      <c r="BE90" s="678">
        <f t="shared" si="3"/>
        <v>15835.666666666666</v>
      </c>
      <c r="BF90" s="678">
        <f t="shared" si="3"/>
        <v>20243</v>
      </c>
      <c r="BG90" s="678">
        <f t="shared" si="3"/>
        <v>12042</v>
      </c>
      <c r="BH90" s="678">
        <v>8</v>
      </c>
    </row>
    <row r="91" spans="1:60">
      <c r="A91" s="107">
        <v>42308</v>
      </c>
      <c r="B91" s="348">
        <v>2.14</v>
      </c>
      <c r="C91" s="348">
        <v>2.2799999999999998</v>
      </c>
      <c r="D91" s="348">
        <v>2.46</v>
      </c>
      <c r="E91" s="348">
        <v>2.67</v>
      </c>
      <c r="F91" s="348">
        <v>2.86</v>
      </c>
      <c r="G91" s="348">
        <v>3.05</v>
      </c>
      <c r="H91" s="348">
        <v>3.21</v>
      </c>
      <c r="I91" s="348">
        <v>3.36</v>
      </c>
      <c r="J91" s="348">
        <v>3.49</v>
      </c>
      <c r="K91" s="348">
        <v>3.6</v>
      </c>
      <c r="L91" s="348">
        <v>3.71</v>
      </c>
      <c r="M91" s="348">
        <v>3.8</v>
      </c>
      <c r="N91" s="348">
        <v>3.88</v>
      </c>
      <c r="O91" s="348">
        <v>3.94</v>
      </c>
      <c r="P91" s="2281">
        <v>4</v>
      </c>
      <c r="Q91" s="348">
        <v>4.03</v>
      </c>
      <c r="R91" s="348">
        <v>4.05</v>
      </c>
      <c r="S91" s="348">
        <v>4.07</v>
      </c>
      <c r="T91" s="348">
        <v>4.09</v>
      </c>
      <c r="U91" s="348">
        <v>4.1100000000000003</v>
      </c>
      <c r="V91" s="348">
        <v>4.0999999999999996</v>
      </c>
      <c r="W91" s="348">
        <v>4.09</v>
      </c>
      <c r="X91" s="348">
        <v>4.09</v>
      </c>
      <c r="Y91" s="348">
        <v>4.08</v>
      </c>
      <c r="Z91" s="348">
        <v>4.07</v>
      </c>
      <c r="AA91" s="348">
        <v>4.05</v>
      </c>
      <c r="AB91" s="348">
        <v>4.04</v>
      </c>
      <c r="AC91" s="348">
        <v>4.0199999999999996</v>
      </c>
      <c r="AD91" s="348">
        <v>4.01</v>
      </c>
      <c r="AE91" s="348">
        <v>4</v>
      </c>
      <c r="AF91" s="348">
        <v>3.98</v>
      </c>
      <c r="AG91" s="348">
        <v>3.97</v>
      </c>
      <c r="AH91" s="348">
        <v>3.96</v>
      </c>
      <c r="AI91" s="348">
        <v>3.95</v>
      </c>
      <c r="AJ91" s="348">
        <v>3.95</v>
      </c>
      <c r="AK91" s="348">
        <v>3.94</v>
      </c>
      <c r="AL91" s="348">
        <v>3.93</v>
      </c>
      <c r="AM91" s="348">
        <v>3.92</v>
      </c>
      <c r="AN91" s="348">
        <v>3.91</v>
      </c>
      <c r="AO91" s="348">
        <v>3.91</v>
      </c>
      <c r="AP91" s="348">
        <v>3.9</v>
      </c>
      <c r="AQ91" s="348">
        <v>3.9</v>
      </c>
      <c r="AR91" s="348">
        <v>3.9</v>
      </c>
      <c r="AS91" s="348">
        <v>3.9</v>
      </c>
      <c r="AT91" s="348">
        <v>3.9</v>
      </c>
      <c r="AU91" s="348">
        <v>3.89</v>
      </c>
      <c r="AV91" s="348">
        <v>3.89</v>
      </c>
      <c r="AW91" s="348">
        <v>3.89</v>
      </c>
      <c r="AX91" s="348">
        <v>3.89</v>
      </c>
      <c r="AY91" s="348">
        <v>3.89</v>
      </c>
      <c r="AZ91" s="149">
        <v>1.2500000000000001E-2</v>
      </c>
      <c r="BA91" s="104">
        <f t="shared" si="2"/>
        <v>1.25</v>
      </c>
      <c r="BC91" s="436">
        <v>4.33</v>
      </c>
      <c r="BD91" s="678">
        <f t="shared" si="4"/>
        <v>23532.25</v>
      </c>
      <c r="BE91" s="678">
        <f t="shared" si="3"/>
        <v>16230.75</v>
      </c>
      <c r="BF91" s="678">
        <f t="shared" si="3"/>
        <v>20702.75</v>
      </c>
      <c r="BG91" s="678">
        <f t="shared" si="3"/>
        <v>12561</v>
      </c>
      <c r="BH91" s="678">
        <v>9</v>
      </c>
    </row>
    <row r="92" spans="1:60">
      <c r="A92" s="107">
        <v>42338</v>
      </c>
      <c r="B92" s="348">
        <v>2.08</v>
      </c>
      <c r="C92" s="348">
        <v>2.2200000000000002</v>
      </c>
      <c r="D92" s="348">
        <v>2.4</v>
      </c>
      <c r="E92" s="348">
        <v>2.6</v>
      </c>
      <c r="F92" s="348">
        <v>2.8</v>
      </c>
      <c r="G92" s="348">
        <v>2.98</v>
      </c>
      <c r="H92" s="348">
        <v>3.14</v>
      </c>
      <c r="I92" s="348">
        <v>3.29</v>
      </c>
      <c r="J92" s="348">
        <v>3.42</v>
      </c>
      <c r="K92" s="348">
        <v>3.54</v>
      </c>
      <c r="L92" s="348">
        <v>3.65</v>
      </c>
      <c r="M92" s="348">
        <v>3.74</v>
      </c>
      <c r="N92" s="348">
        <v>3.82</v>
      </c>
      <c r="O92" s="348">
        <v>3.88</v>
      </c>
      <c r="P92" s="2281">
        <v>3.94</v>
      </c>
      <c r="Q92" s="348">
        <v>3.97</v>
      </c>
      <c r="R92" s="348">
        <v>4</v>
      </c>
      <c r="S92" s="348">
        <v>4.0199999999999996</v>
      </c>
      <c r="T92" s="348">
        <v>4.04</v>
      </c>
      <c r="U92" s="348">
        <v>4.05</v>
      </c>
      <c r="V92" s="348">
        <v>4.05</v>
      </c>
      <c r="W92" s="348">
        <v>4.04</v>
      </c>
      <c r="X92" s="348">
        <v>4.03</v>
      </c>
      <c r="Y92" s="348">
        <v>4.03</v>
      </c>
      <c r="Z92" s="348">
        <v>4.0199999999999996</v>
      </c>
      <c r="AA92" s="348">
        <v>4</v>
      </c>
      <c r="AB92" s="348">
        <v>3.99</v>
      </c>
      <c r="AC92" s="348">
        <v>3.97</v>
      </c>
      <c r="AD92" s="348">
        <v>3.96</v>
      </c>
      <c r="AE92" s="348">
        <v>3.95</v>
      </c>
      <c r="AF92" s="348">
        <v>3.94</v>
      </c>
      <c r="AG92" s="348">
        <v>3.93</v>
      </c>
      <c r="AH92" s="348">
        <v>3.92</v>
      </c>
      <c r="AI92" s="348">
        <v>3.91</v>
      </c>
      <c r="AJ92" s="348">
        <v>3.9</v>
      </c>
      <c r="AK92" s="348">
        <v>3.89</v>
      </c>
      <c r="AL92" s="348">
        <v>3.88</v>
      </c>
      <c r="AM92" s="348">
        <v>3.88</v>
      </c>
      <c r="AN92" s="348">
        <v>3.87</v>
      </c>
      <c r="AO92" s="348">
        <v>3.86</v>
      </c>
      <c r="AP92" s="348">
        <v>3.86</v>
      </c>
      <c r="AQ92" s="348">
        <v>3.86</v>
      </c>
      <c r="AR92" s="348">
        <v>3.86</v>
      </c>
      <c r="AS92" s="348">
        <v>3.85</v>
      </c>
      <c r="AT92" s="348">
        <v>3.85</v>
      </c>
      <c r="AU92" s="348">
        <v>3.85</v>
      </c>
      <c r="AV92" s="348">
        <v>3.85</v>
      </c>
      <c r="AW92" s="348">
        <v>3.85</v>
      </c>
      <c r="AX92" s="348">
        <v>3.84</v>
      </c>
      <c r="AY92" s="348">
        <v>3.84</v>
      </c>
      <c r="AZ92" s="149">
        <v>1.2500000000000001E-2</v>
      </c>
      <c r="BA92" s="104">
        <f t="shared" si="2"/>
        <v>1.25</v>
      </c>
      <c r="BC92" s="436">
        <v>4.32</v>
      </c>
      <c r="BD92" s="678">
        <f t="shared" si="4"/>
        <v>23833.833333333332</v>
      </c>
      <c r="BE92" s="678">
        <f t="shared" si="3"/>
        <v>16625.833333333332</v>
      </c>
      <c r="BF92" s="678">
        <f t="shared" si="3"/>
        <v>21162.5</v>
      </c>
      <c r="BG92" s="678">
        <f t="shared" si="3"/>
        <v>13080</v>
      </c>
      <c r="BH92" s="678">
        <v>10</v>
      </c>
    </row>
    <row r="93" spans="1:60">
      <c r="A93" s="107">
        <v>42369</v>
      </c>
      <c r="B93" s="348">
        <v>2.02</v>
      </c>
      <c r="C93" s="348">
        <v>2.16</v>
      </c>
      <c r="D93" s="348">
        <v>2.34</v>
      </c>
      <c r="E93" s="348">
        <v>2.54</v>
      </c>
      <c r="F93" s="348">
        <v>2.74</v>
      </c>
      <c r="G93" s="348">
        <v>2.92</v>
      </c>
      <c r="H93" s="348">
        <v>3.09</v>
      </c>
      <c r="I93" s="348">
        <v>3.23</v>
      </c>
      <c r="J93" s="348">
        <v>3.36</v>
      </c>
      <c r="K93" s="348">
        <v>3.48</v>
      </c>
      <c r="L93" s="348">
        <v>3.59</v>
      </c>
      <c r="M93" s="348">
        <v>3.68</v>
      </c>
      <c r="N93" s="348">
        <v>3.76</v>
      </c>
      <c r="O93" s="348">
        <v>3.83</v>
      </c>
      <c r="P93" s="2281">
        <v>3.89</v>
      </c>
      <c r="Q93" s="348">
        <v>3.92</v>
      </c>
      <c r="R93" s="348">
        <v>3.94</v>
      </c>
      <c r="S93" s="348">
        <v>3.96</v>
      </c>
      <c r="T93" s="348">
        <v>3.98</v>
      </c>
      <c r="U93" s="348">
        <v>4</v>
      </c>
      <c r="V93" s="348">
        <v>4</v>
      </c>
      <c r="W93" s="348">
        <v>3.99</v>
      </c>
      <c r="X93" s="348">
        <v>3.98</v>
      </c>
      <c r="Y93" s="348">
        <v>3.98</v>
      </c>
      <c r="Z93" s="348">
        <v>3.97</v>
      </c>
      <c r="AA93" s="348">
        <v>3.96</v>
      </c>
      <c r="AB93" s="348">
        <v>3.94</v>
      </c>
      <c r="AC93" s="348">
        <v>3.93</v>
      </c>
      <c r="AD93" s="348">
        <v>3.91</v>
      </c>
      <c r="AE93" s="348">
        <v>3.9</v>
      </c>
      <c r="AF93" s="348">
        <v>3.89</v>
      </c>
      <c r="AG93" s="348">
        <v>3.88</v>
      </c>
      <c r="AH93" s="348">
        <v>3.87</v>
      </c>
      <c r="AI93" s="348">
        <v>3.86</v>
      </c>
      <c r="AJ93" s="348">
        <v>3.86</v>
      </c>
      <c r="AK93" s="348">
        <v>3.85</v>
      </c>
      <c r="AL93" s="348">
        <v>3.84</v>
      </c>
      <c r="AM93" s="348">
        <v>3.83</v>
      </c>
      <c r="AN93" s="348">
        <v>3.83</v>
      </c>
      <c r="AO93" s="348">
        <v>3.82</v>
      </c>
      <c r="AP93" s="348">
        <v>3.82</v>
      </c>
      <c r="AQ93" s="348">
        <v>3.82</v>
      </c>
      <c r="AR93" s="348">
        <v>3.81</v>
      </c>
      <c r="AS93" s="348">
        <v>3.81</v>
      </c>
      <c r="AT93" s="348">
        <v>3.81</v>
      </c>
      <c r="AU93" s="348">
        <v>3.81</v>
      </c>
      <c r="AV93" s="348">
        <v>3.81</v>
      </c>
      <c r="AW93" s="348">
        <v>3.8</v>
      </c>
      <c r="AX93" s="348">
        <v>3.8</v>
      </c>
      <c r="AY93" s="348">
        <v>3.8</v>
      </c>
      <c r="AZ93" s="149">
        <v>1.2500000000000001E-2</v>
      </c>
      <c r="BA93" s="104">
        <f t="shared" si="2"/>
        <v>1.25</v>
      </c>
      <c r="BC93" s="436">
        <v>4.3099999999999996</v>
      </c>
      <c r="BD93" s="678">
        <f t="shared" si="4"/>
        <v>24135.416666666668</v>
      </c>
      <c r="BE93" s="678">
        <f t="shared" si="3"/>
        <v>17020.916666666664</v>
      </c>
      <c r="BF93" s="678">
        <f t="shared" si="3"/>
        <v>21622.25</v>
      </c>
      <c r="BG93" s="678">
        <f t="shared" si="3"/>
        <v>13599</v>
      </c>
      <c r="BH93" s="678">
        <v>11</v>
      </c>
    </row>
    <row r="94" spans="1:60">
      <c r="A94" s="107">
        <v>42400</v>
      </c>
      <c r="B94" s="348">
        <v>1.97</v>
      </c>
      <c r="C94" s="348">
        <v>2.11</v>
      </c>
      <c r="D94" s="348">
        <v>2.29</v>
      </c>
      <c r="E94" s="348">
        <v>2.48</v>
      </c>
      <c r="F94" s="348">
        <v>2.68</v>
      </c>
      <c r="G94" s="348">
        <v>2.86</v>
      </c>
      <c r="H94" s="348">
        <v>3.03</v>
      </c>
      <c r="I94" s="348">
        <v>3.17</v>
      </c>
      <c r="J94" s="348">
        <v>3.3</v>
      </c>
      <c r="K94" s="348">
        <v>3.42</v>
      </c>
      <c r="L94" s="348">
        <v>3.53</v>
      </c>
      <c r="M94" s="348">
        <v>3.62</v>
      </c>
      <c r="N94" s="348">
        <v>3.7</v>
      </c>
      <c r="O94" s="348">
        <v>3.77</v>
      </c>
      <c r="P94" s="2281">
        <v>3.83</v>
      </c>
      <c r="Q94" s="348">
        <v>3.86</v>
      </c>
      <c r="R94" s="348">
        <v>3.88</v>
      </c>
      <c r="S94" s="348">
        <v>3.91</v>
      </c>
      <c r="T94" s="348">
        <v>3.93</v>
      </c>
      <c r="U94" s="348">
        <v>3.95</v>
      </c>
      <c r="V94" s="348">
        <v>3.94</v>
      </c>
      <c r="W94" s="348">
        <v>3.93</v>
      </c>
      <c r="X94" s="348">
        <v>3.93</v>
      </c>
      <c r="Y94" s="348">
        <v>3.92</v>
      </c>
      <c r="Z94" s="348">
        <v>3.92</v>
      </c>
      <c r="AA94" s="348">
        <v>3.9</v>
      </c>
      <c r="AB94" s="348">
        <v>3.89</v>
      </c>
      <c r="AC94" s="348">
        <v>3.88</v>
      </c>
      <c r="AD94" s="348">
        <v>3.86</v>
      </c>
      <c r="AE94" s="348">
        <v>3.85</v>
      </c>
      <c r="AF94" s="348">
        <v>3.84</v>
      </c>
      <c r="AG94" s="348">
        <v>3.83</v>
      </c>
      <c r="AH94" s="348">
        <v>3.82</v>
      </c>
      <c r="AI94" s="348">
        <v>3.81</v>
      </c>
      <c r="AJ94" s="348">
        <v>3.81</v>
      </c>
      <c r="AK94" s="348">
        <v>3.8</v>
      </c>
      <c r="AL94" s="348">
        <v>3.79</v>
      </c>
      <c r="AM94" s="348">
        <v>3.79</v>
      </c>
      <c r="AN94" s="348">
        <v>3.78</v>
      </c>
      <c r="AO94" s="348">
        <v>3.77</v>
      </c>
      <c r="AP94" s="348">
        <v>3.77</v>
      </c>
      <c r="AQ94" s="348">
        <v>3.77</v>
      </c>
      <c r="AR94" s="348">
        <v>3.77</v>
      </c>
      <c r="AS94" s="348">
        <v>3.77</v>
      </c>
      <c r="AT94" s="348">
        <v>3.76</v>
      </c>
      <c r="AU94" s="348">
        <v>3.76</v>
      </c>
      <c r="AV94" s="348">
        <v>3.76</v>
      </c>
      <c r="AW94" s="348">
        <v>3.76</v>
      </c>
      <c r="AX94" s="348">
        <v>3.76</v>
      </c>
      <c r="AY94" s="348">
        <v>3.76</v>
      </c>
      <c r="AZ94" s="149">
        <v>1.2500000000000001E-2</v>
      </c>
      <c r="BA94" s="104">
        <f t="shared" si="2"/>
        <v>1.25</v>
      </c>
      <c r="BC94" s="436">
        <v>4.29</v>
      </c>
      <c r="BD94" s="679">
        <v>24437</v>
      </c>
      <c r="BE94" s="679">
        <v>17416</v>
      </c>
      <c r="BF94" s="679">
        <v>22082</v>
      </c>
      <c r="BG94" s="679">
        <v>14118</v>
      </c>
    </row>
    <row r="95" spans="1:60">
      <c r="A95" s="107">
        <v>42429</v>
      </c>
      <c r="B95" s="348">
        <v>1.92</v>
      </c>
      <c r="C95" s="348">
        <v>2.0499999999999998</v>
      </c>
      <c r="D95" s="348">
        <v>2.23</v>
      </c>
      <c r="E95" s="348">
        <v>2.4300000000000002</v>
      </c>
      <c r="F95" s="348">
        <v>2.62</v>
      </c>
      <c r="G95" s="348">
        <v>2.8</v>
      </c>
      <c r="H95" s="348">
        <v>2.96</v>
      </c>
      <c r="I95" s="348">
        <v>3.11</v>
      </c>
      <c r="J95" s="348">
        <v>3.24</v>
      </c>
      <c r="K95" s="348">
        <v>3.36</v>
      </c>
      <c r="L95" s="348">
        <v>3.47</v>
      </c>
      <c r="M95" s="348">
        <v>3.56</v>
      </c>
      <c r="N95" s="348">
        <v>3.64</v>
      </c>
      <c r="O95" s="348">
        <v>3.71</v>
      </c>
      <c r="P95" s="2281">
        <v>3.76</v>
      </c>
      <c r="Q95" s="348">
        <v>3.79</v>
      </c>
      <c r="R95" s="348">
        <v>3.82</v>
      </c>
      <c r="S95" s="348">
        <v>3.84</v>
      </c>
      <c r="T95" s="348">
        <v>3.87</v>
      </c>
      <c r="U95" s="348">
        <v>3.88</v>
      </c>
      <c r="V95" s="348">
        <v>3.88</v>
      </c>
      <c r="W95" s="348">
        <v>3.87</v>
      </c>
      <c r="X95" s="348">
        <v>3.87</v>
      </c>
      <c r="Y95" s="348">
        <v>3.87</v>
      </c>
      <c r="Z95" s="348">
        <v>3.86</v>
      </c>
      <c r="AA95" s="348">
        <v>3.85</v>
      </c>
      <c r="AB95" s="348">
        <v>3.83</v>
      </c>
      <c r="AC95" s="348">
        <v>3.82</v>
      </c>
      <c r="AD95" s="348">
        <v>3.81</v>
      </c>
      <c r="AE95" s="348">
        <v>3.8</v>
      </c>
      <c r="AF95" s="348">
        <v>3.79</v>
      </c>
      <c r="AG95" s="348">
        <v>3.78</v>
      </c>
      <c r="AH95" s="348">
        <v>3.77</v>
      </c>
      <c r="AI95" s="348">
        <v>3.76</v>
      </c>
      <c r="AJ95" s="348">
        <v>3.76</v>
      </c>
      <c r="AK95" s="348">
        <v>3.75</v>
      </c>
      <c r="AL95" s="348">
        <v>3.74</v>
      </c>
      <c r="AM95" s="348">
        <v>3.74</v>
      </c>
      <c r="AN95" s="348">
        <v>3.73</v>
      </c>
      <c r="AO95" s="348">
        <v>3.73</v>
      </c>
      <c r="AP95" s="348">
        <v>3.72</v>
      </c>
      <c r="AQ95" s="348">
        <v>3.72</v>
      </c>
      <c r="AR95" s="348">
        <v>3.72</v>
      </c>
      <c r="AS95" s="348">
        <v>3.72</v>
      </c>
      <c r="AT95" s="348">
        <v>3.72</v>
      </c>
      <c r="AU95" s="348">
        <v>3.71</v>
      </c>
      <c r="AV95" s="348">
        <v>3.71</v>
      </c>
      <c r="AW95" s="348">
        <v>3.71</v>
      </c>
      <c r="AX95" s="348">
        <v>3.71</v>
      </c>
      <c r="AY95" s="348">
        <v>3.71</v>
      </c>
      <c r="AZ95" s="149">
        <v>1.2500000000000001E-2</v>
      </c>
      <c r="BA95" s="104">
        <f t="shared" si="2"/>
        <v>1.25</v>
      </c>
      <c r="BC95" s="436">
        <v>4.2699999999999996</v>
      </c>
      <c r="BD95" s="678">
        <f>BD$94+(BD$106-BD$94)/12*$BH95</f>
        <v>24802.916666666668</v>
      </c>
      <c r="BE95" s="678">
        <f>BE$94+(BE$106-BE$94)/12*$BH95</f>
        <v>18048.833333333332</v>
      </c>
      <c r="BF95" s="678">
        <f>BF$94+(BF$106-BF$94)/12*$BH95</f>
        <v>22231.833333333332</v>
      </c>
      <c r="BG95" s="678">
        <f>BG$94+(BG$106-BG$94)/12*$BH95</f>
        <v>14352.75</v>
      </c>
      <c r="BH95" s="678">
        <v>1</v>
      </c>
    </row>
    <row r="96" spans="1:60">
      <c r="A96" s="107">
        <v>42460</v>
      </c>
      <c r="B96" s="348">
        <v>1.87</v>
      </c>
      <c r="C96" s="348">
        <v>2</v>
      </c>
      <c r="D96" s="348">
        <v>2.17</v>
      </c>
      <c r="E96" s="348">
        <v>2.37</v>
      </c>
      <c r="F96" s="348">
        <v>2.56</v>
      </c>
      <c r="G96" s="348">
        <v>2.74</v>
      </c>
      <c r="H96" s="348">
        <v>2.9</v>
      </c>
      <c r="I96" s="348">
        <v>3.05</v>
      </c>
      <c r="J96" s="348">
        <v>3.18</v>
      </c>
      <c r="K96" s="348">
        <v>3.29</v>
      </c>
      <c r="L96" s="348">
        <v>3.4</v>
      </c>
      <c r="M96" s="348">
        <v>3.49</v>
      </c>
      <c r="N96" s="348">
        <v>3.57</v>
      </c>
      <c r="O96" s="348">
        <v>3.64</v>
      </c>
      <c r="P96" s="2281">
        <v>3.7</v>
      </c>
      <c r="Q96" s="348">
        <v>3.73</v>
      </c>
      <c r="R96" s="348">
        <v>3.75</v>
      </c>
      <c r="S96" s="348">
        <v>3.78</v>
      </c>
      <c r="T96" s="348">
        <v>3.8</v>
      </c>
      <c r="U96" s="348">
        <v>3.82</v>
      </c>
      <c r="V96" s="348">
        <v>3.81</v>
      </c>
      <c r="W96" s="348">
        <v>3.81</v>
      </c>
      <c r="X96" s="348">
        <v>3.81</v>
      </c>
      <c r="Y96" s="348">
        <v>3.8</v>
      </c>
      <c r="Z96" s="348">
        <v>3.8</v>
      </c>
      <c r="AA96" s="348">
        <v>3.78</v>
      </c>
      <c r="AB96" s="348">
        <v>3.77</v>
      </c>
      <c r="AC96" s="348">
        <v>3.76</v>
      </c>
      <c r="AD96" s="348">
        <v>3.75</v>
      </c>
      <c r="AE96" s="348">
        <v>3.74</v>
      </c>
      <c r="AF96" s="348">
        <v>3.73</v>
      </c>
      <c r="AG96" s="348">
        <v>3.72</v>
      </c>
      <c r="AH96" s="348">
        <v>3.71</v>
      </c>
      <c r="AI96" s="348">
        <v>3.7</v>
      </c>
      <c r="AJ96" s="348">
        <v>3.7</v>
      </c>
      <c r="AK96" s="348">
        <v>3.69</v>
      </c>
      <c r="AL96" s="348">
        <v>3.68</v>
      </c>
      <c r="AM96" s="348">
        <v>3.68</v>
      </c>
      <c r="AN96" s="348">
        <v>3.67</v>
      </c>
      <c r="AO96" s="348">
        <v>3.67</v>
      </c>
      <c r="AP96" s="348">
        <v>3.66</v>
      </c>
      <c r="AQ96" s="348">
        <v>3.66</v>
      </c>
      <c r="AR96" s="348">
        <v>3.66</v>
      </c>
      <c r="AS96" s="348">
        <v>3.66</v>
      </c>
      <c r="AT96" s="348">
        <v>3.66</v>
      </c>
      <c r="AU96" s="348">
        <v>3.66</v>
      </c>
      <c r="AV96" s="348">
        <v>3.65</v>
      </c>
      <c r="AW96" s="348">
        <v>3.65</v>
      </c>
      <c r="AX96" s="348">
        <v>3.65</v>
      </c>
      <c r="AY96" s="348">
        <v>3.65</v>
      </c>
      <c r="AZ96" s="149">
        <v>1.2500000000000001E-2</v>
      </c>
      <c r="BA96" s="104">
        <f t="shared" si="2"/>
        <v>1.25</v>
      </c>
      <c r="BC96" s="436">
        <v>4.24</v>
      </c>
      <c r="BD96" s="678">
        <f t="shared" ref="BD96:BG105" si="5">BD$94+(BD$106-BD$94)/12*$BH96</f>
        <v>25168.833333333332</v>
      </c>
      <c r="BE96" s="678">
        <f t="shared" si="5"/>
        <v>18681.666666666668</v>
      </c>
      <c r="BF96" s="678">
        <f t="shared" si="5"/>
        <v>22381.666666666668</v>
      </c>
      <c r="BG96" s="678">
        <f t="shared" si="5"/>
        <v>14587.5</v>
      </c>
      <c r="BH96" s="678">
        <v>2</v>
      </c>
    </row>
    <row r="97" spans="1:60">
      <c r="A97" s="107">
        <v>42490</v>
      </c>
      <c r="B97" s="348">
        <v>1.82</v>
      </c>
      <c r="C97" s="348">
        <v>1.95</v>
      </c>
      <c r="D97" s="348">
        <v>2.12</v>
      </c>
      <c r="E97" s="348">
        <v>2.31</v>
      </c>
      <c r="F97" s="348">
        <v>2.5</v>
      </c>
      <c r="G97" s="348">
        <v>2.68</v>
      </c>
      <c r="H97" s="348">
        <v>2.84</v>
      </c>
      <c r="I97" s="348">
        <v>2.99</v>
      </c>
      <c r="J97" s="348">
        <v>3.12</v>
      </c>
      <c r="K97" s="348">
        <v>3.24</v>
      </c>
      <c r="L97" s="348">
        <v>3.34</v>
      </c>
      <c r="M97" s="348">
        <v>3.44</v>
      </c>
      <c r="N97" s="348">
        <v>3.51</v>
      </c>
      <c r="O97" s="348">
        <v>3.58</v>
      </c>
      <c r="P97" s="2281">
        <v>3.64</v>
      </c>
      <c r="Q97" s="348">
        <v>3.67</v>
      </c>
      <c r="R97" s="348">
        <v>3.7</v>
      </c>
      <c r="S97" s="348">
        <v>3.72</v>
      </c>
      <c r="T97" s="348">
        <v>3.74</v>
      </c>
      <c r="U97" s="348">
        <v>3.76</v>
      </c>
      <c r="V97" s="348">
        <v>3.76</v>
      </c>
      <c r="W97" s="348">
        <v>3.75</v>
      </c>
      <c r="X97" s="348">
        <v>3.75</v>
      </c>
      <c r="Y97" s="348">
        <v>3.75</v>
      </c>
      <c r="Z97" s="348">
        <v>3.74</v>
      </c>
      <c r="AA97" s="348">
        <v>3.73</v>
      </c>
      <c r="AB97" s="348">
        <v>3.72</v>
      </c>
      <c r="AC97" s="348">
        <v>3.7</v>
      </c>
      <c r="AD97" s="348">
        <v>3.69</v>
      </c>
      <c r="AE97" s="348">
        <v>3.68</v>
      </c>
      <c r="AF97" s="348">
        <v>3.67</v>
      </c>
      <c r="AG97" s="348">
        <v>3.66</v>
      </c>
      <c r="AH97" s="348">
        <v>3.66</v>
      </c>
      <c r="AI97" s="348">
        <v>3.65</v>
      </c>
      <c r="AJ97" s="348">
        <v>3.64</v>
      </c>
      <c r="AK97" s="348">
        <v>3.64</v>
      </c>
      <c r="AL97" s="348">
        <v>3.63</v>
      </c>
      <c r="AM97" s="348">
        <v>3.63</v>
      </c>
      <c r="AN97" s="348">
        <v>3.62</v>
      </c>
      <c r="AO97" s="348">
        <v>3.61</v>
      </c>
      <c r="AP97" s="348">
        <v>3.61</v>
      </c>
      <c r="AQ97" s="348">
        <v>3.61</v>
      </c>
      <c r="AR97" s="348">
        <v>3.61</v>
      </c>
      <c r="AS97" s="348">
        <v>3.61</v>
      </c>
      <c r="AT97" s="348">
        <v>3.61</v>
      </c>
      <c r="AU97" s="348">
        <v>3.6</v>
      </c>
      <c r="AV97" s="348">
        <v>3.6</v>
      </c>
      <c r="AW97" s="348">
        <v>3.6</v>
      </c>
      <c r="AX97" s="348">
        <v>3.6</v>
      </c>
      <c r="AY97" s="348">
        <v>3.6</v>
      </c>
      <c r="AZ97" s="149">
        <v>1.2500000000000001E-2</v>
      </c>
      <c r="BA97" s="104">
        <f t="shared" si="2"/>
        <v>1.25</v>
      </c>
      <c r="BC97" s="436">
        <v>4.22</v>
      </c>
      <c r="BD97" s="678">
        <f t="shared" si="5"/>
        <v>25534.75</v>
      </c>
      <c r="BE97" s="678">
        <f t="shared" si="5"/>
        <v>19314.5</v>
      </c>
      <c r="BF97" s="678">
        <f t="shared" si="5"/>
        <v>22531.5</v>
      </c>
      <c r="BG97" s="678">
        <f t="shared" si="5"/>
        <v>14822.25</v>
      </c>
      <c r="BH97" s="678">
        <v>3</v>
      </c>
    </row>
    <row r="98" spans="1:60">
      <c r="A98" s="107">
        <v>42521</v>
      </c>
      <c r="B98" s="348">
        <v>1.78</v>
      </c>
      <c r="C98" s="348">
        <v>1.91</v>
      </c>
      <c r="D98" s="348">
        <v>2.0699999999999998</v>
      </c>
      <c r="E98" s="348">
        <v>2.2599999999999998</v>
      </c>
      <c r="F98" s="348">
        <v>2.4500000000000002</v>
      </c>
      <c r="G98" s="348">
        <v>2.63</v>
      </c>
      <c r="H98" s="348">
        <v>2.78</v>
      </c>
      <c r="I98" s="348">
        <v>2.93</v>
      </c>
      <c r="J98" s="348">
        <v>3.06</v>
      </c>
      <c r="K98" s="348">
        <v>3.18</v>
      </c>
      <c r="L98" s="348">
        <v>3.29</v>
      </c>
      <c r="M98" s="348">
        <v>3.38</v>
      </c>
      <c r="N98" s="348">
        <v>3.46</v>
      </c>
      <c r="O98" s="348">
        <v>3.52</v>
      </c>
      <c r="P98" s="2281">
        <v>3.58</v>
      </c>
      <c r="Q98" s="348">
        <v>3.61</v>
      </c>
      <c r="R98" s="348">
        <v>3.64</v>
      </c>
      <c r="S98" s="348">
        <v>3.66</v>
      </c>
      <c r="T98" s="348">
        <v>3.68</v>
      </c>
      <c r="U98" s="348">
        <v>3.7</v>
      </c>
      <c r="V98" s="348">
        <v>3.7</v>
      </c>
      <c r="W98" s="348">
        <v>3.7</v>
      </c>
      <c r="X98" s="348">
        <v>3.69</v>
      </c>
      <c r="Y98" s="348">
        <v>3.69</v>
      </c>
      <c r="Z98" s="348">
        <v>3.69</v>
      </c>
      <c r="AA98" s="348">
        <v>3.67</v>
      </c>
      <c r="AB98" s="348">
        <v>3.66</v>
      </c>
      <c r="AC98" s="348">
        <v>3.65</v>
      </c>
      <c r="AD98" s="348">
        <v>3.64</v>
      </c>
      <c r="AE98" s="348">
        <v>3.63</v>
      </c>
      <c r="AF98" s="348">
        <v>3.62</v>
      </c>
      <c r="AG98" s="348">
        <v>3.61</v>
      </c>
      <c r="AH98" s="348">
        <v>3.61</v>
      </c>
      <c r="AI98" s="348">
        <v>3.6</v>
      </c>
      <c r="AJ98" s="348">
        <v>3.59</v>
      </c>
      <c r="AK98" s="348">
        <v>3.59</v>
      </c>
      <c r="AL98" s="348">
        <v>3.58</v>
      </c>
      <c r="AM98" s="348">
        <v>3.58</v>
      </c>
      <c r="AN98" s="348">
        <v>3.57</v>
      </c>
      <c r="AO98" s="348">
        <v>3.57</v>
      </c>
      <c r="AP98" s="348">
        <v>3.56</v>
      </c>
      <c r="AQ98" s="348">
        <v>3.56</v>
      </c>
      <c r="AR98" s="348">
        <v>3.56</v>
      </c>
      <c r="AS98" s="348">
        <v>3.56</v>
      </c>
      <c r="AT98" s="348">
        <v>3.56</v>
      </c>
      <c r="AU98" s="348">
        <v>3.56</v>
      </c>
      <c r="AV98" s="348">
        <v>3.55</v>
      </c>
      <c r="AW98" s="348">
        <v>3.55</v>
      </c>
      <c r="AX98" s="348">
        <v>3.55</v>
      </c>
      <c r="AY98" s="348">
        <v>3.55</v>
      </c>
      <c r="AZ98" s="149">
        <v>1.2500000000000001E-2</v>
      </c>
      <c r="BA98" s="104">
        <f t="shared" si="2"/>
        <v>1.25</v>
      </c>
      <c r="BC98" s="436">
        <v>4.2</v>
      </c>
      <c r="BD98" s="678">
        <f t="shared" si="5"/>
        <v>25900.666666666668</v>
      </c>
      <c r="BE98" s="678">
        <f t="shared" si="5"/>
        <v>19947.333333333332</v>
      </c>
      <c r="BF98" s="678">
        <f t="shared" si="5"/>
        <v>22681.333333333332</v>
      </c>
      <c r="BG98" s="678">
        <f t="shared" si="5"/>
        <v>15057</v>
      </c>
      <c r="BH98" s="678">
        <v>4</v>
      </c>
    </row>
    <row r="99" spans="1:60">
      <c r="A99" s="107">
        <v>42551</v>
      </c>
      <c r="B99" s="348">
        <v>1.75</v>
      </c>
      <c r="C99" s="348">
        <v>1.87</v>
      </c>
      <c r="D99" s="348">
        <v>2.0299999999999998</v>
      </c>
      <c r="E99" s="348">
        <v>2.21</v>
      </c>
      <c r="F99" s="348">
        <v>2.39</v>
      </c>
      <c r="G99" s="348">
        <v>2.57</v>
      </c>
      <c r="H99" s="348">
        <v>2.73</v>
      </c>
      <c r="I99" s="348">
        <v>2.88</v>
      </c>
      <c r="J99" s="348">
        <v>3.01</v>
      </c>
      <c r="K99" s="348">
        <v>3.12</v>
      </c>
      <c r="L99" s="348">
        <v>3.23</v>
      </c>
      <c r="M99" s="348">
        <v>3.32</v>
      </c>
      <c r="N99" s="348">
        <v>3.4</v>
      </c>
      <c r="O99" s="348">
        <v>3.47</v>
      </c>
      <c r="P99" s="2281">
        <v>3.52</v>
      </c>
      <c r="Q99" s="348">
        <v>3.56</v>
      </c>
      <c r="R99" s="348">
        <v>3.58</v>
      </c>
      <c r="S99" s="348">
        <v>3.61</v>
      </c>
      <c r="T99" s="348">
        <v>3.63</v>
      </c>
      <c r="U99" s="348">
        <v>3.65</v>
      </c>
      <c r="V99" s="348">
        <v>3.64</v>
      </c>
      <c r="W99" s="348">
        <v>3.64</v>
      </c>
      <c r="X99" s="348">
        <v>3.64</v>
      </c>
      <c r="Y99" s="348">
        <v>3.63</v>
      </c>
      <c r="Z99" s="348">
        <v>3.63</v>
      </c>
      <c r="AA99" s="348">
        <v>3.62</v>
      </c>
      <c r="AB99" s="348">
        <v>3.61</v>
      </c>
      <c r="AC99" s="348">
        <v>3.6</v>
      </c>
      <c r="AD99" s="348">
        <v>3.58</v>
      </c>
      <c r="AE99" s="348">
        <v>3.57</v>
      </c>
      <c r="AF99" s="348">
        <v>3.57</v>
      </c>
      <c r="AG99" s="348">
        <v>3.56</v>
      </c>
      <c r="AH99" s="348">
        <v>3.55</v>
      </c>
      <c r="AI99" s="348">
        <v>3.55</v>
      </c>
      <c r="AJ99" s="348">
        <v>3.54</v>
      </c>
      <c r="AK99" s="348">
        <v>3.54</v>
      </c>
      <c r="AL99" s="348">
        <v>3.53</v>
      </c>
      <c r="AM99" s="348">
        <v>3.52</v>
      </c>
      <c r="AN99" s="348">
        <v>3.52</v>
      </c>
      <c r="AO99" s="348">
        <v>3.52</v>
      </c>
      <c r="AP99" s="348">
        <v>3.51</v>
      </c>
      <c r="AQ99" s="348">
        <v>3.51</v>
      </c>
      <c r="AR99" s="348">
        <v>3.51</v>
      </c>
      <c r="AS99" s="348">
        <v>3.51</v>
      </c>
      <c r="AT99" s="348">
        <v>3.51</v>
      </c>
      <c r="AU99" s="348">
        <v>3.51</v>
      </c>
      <c r="AV99" s="348">
        <v>3.5</v>
      </c>
      <c r="AW99" s="348">
        <v>3.5</v>
      </c>
      <c r="AX99" s="348">
        <v>3.5</v>
      </c>
      <c r="AY99" s="348">
        <v>3.5</v>
      </c>
      <c r="AZ99" s="149">
        <v>1.2500000000000001E-2</v>
      </c>
      <c r="BA99" s="104">
        <f t="shared" si="2"/>
        <v>1.25</v>
      </c>
      <c r="BC99" s="436">
        <v>4.17</v>
      </c>
      <c r="BD99" s="678">
        <f t="shared" si="5"/>
        <v>26266.583333333332</v>
      </c>
      <c r="BE99" s="678">
        <f t="shared" si="5"/>
        <v>20580.166666666668</v>
      </c>
      <c r="BF99" s="678">
        <f t="shared" si="5"/>
        <v>22831.166666666668</v>
      </c>
      <c r="BG99" s="678">
        <f t="shared" si="5"/>
        <v>15291.75</v>
      </c>
      <c r="BH99" s="678">
        <v>5</v>
      </c>
    </row>
    <row r="100" spans="1:60">
      <c r="A100" s="107">
        <v>42582</v>
      </c>
      <c r="B100" s="348">
        <v>1.72</v>
      </c>
      <c r="C100" s="348">
        <v>1.84</v>
      </c>
      <c r="D100" s="348">
        <v>1.99</v>
      </c>
      <c r="E100" s="348">
        <v>2.17</v>
      </c>
      <c r="F100" s="348">
        <v>2.35</v>
      </c>
      <c r="G100" s="348">
        <v>2.52</v>
      </c>
      <c r="H100" s="348">
        <v>2.68</v>
      </c>
      <c r="I100" s="348">
        <v>2.82</v>
      </c>
      <c r="J100" s="348">
        <v>2.95</v>
      </c>
      <c r="K100" s="348">
        <v>3.07</v>
      </c>
      <c r="L100" s="348">
        <v>3.18</v>
      </c>
      <c r="M100" s="348">
        <v>3.27</v>
      </c>
      <c r="N100" s="348">
        <v>3.35</v>
      </c>
      <c r="O100" s="348">
        <v>3.41</v>
      </c>
      <c r="P100" s="2281">
        <v>3.47</v>
      </c>
      <c r="Q100" s="348">
        <v>3.5</v>
      </c>
      <c r="R100" s="348">
        <v>3.53</v>
      </c>
      <c r="S100" s="348">
        <v>3.55</v>
      </c>
      <c r="T100" s="348">
        <v>3.57</v>
      </c>
      <c r="U100" s="348">
        <v>3.59</v>
      </c>
      <c r="V100" s="348">
        <v>3.59</v>
      </c>
      <c r="W100" s="348">
        <v>3.59</v>
      </c>
      <c r="X100" s="348">
        <v>3.58</v>
      </c>
      <c r="Y100" s="348">
        <v>3.58</v>
      </c>
      <c r="Z100" s="348">
        <v>3.58</v>
      </c>
      <c r="AA100" s="348">
        <v>3.57</v>
      </c>
      <c r="AB100" s="348">
        <v>3.55</v>
      </c>
      <c r="AC100" s="348">
        <v>3.54</v>
      </c>
      <c r="AD100" s="348">
        <v>3.53</v>
      </c>
      <c r="AE100" s="348">
        <v>3.52</v>
      </c>
      <c r="AF100" s="348">
        <v>3.52</v>
      </c>
      <c r="AG100" s="348">
        <v>3.51</v>
      </c>
      <c r="AH100" s="348">
        <v>3.5</v>
      </c>
      <c r="AI100" s="348">
        <v>3.5</v>
      </c>
      <c r="AJ100" s="348">
        <v>3.49</v>
      </c>
      <c r="AK100" s="348">
        <v>3.49</v>
      </c>
      <c r="AL100" s="348">
        <v>3.48</v>
      </c>
      <c r="AM100" s="348">
        <v>3.48</v>
      </c>
      <c r="AN100" s="348">
        <v>3.47</v>
      </c>
      <c r="AO100" s="348">
        <v>3.47</v>
      </c>
      <c r="AP100" s="348">
        <v>3.47</v>
      </c>
      <c r="AQ100" s="348">
        <v>3.46</v>
      </c>
      <c r="AR100" s="348">
        <v>3.46</v>
      </c>
      <c r="AS100" s="348">
        <v>3.46</v>
      </c>
      <c r="AT100" s="348">
        <v>3.46</v>
      </c>
      <c r="AU100" s="348">
        <v>3.46</v>
      </c>
      <c r="AV100" s="348">
        <v>3.46</v>
      </c>
      <c r="AW100" s="348">
        <v>3.46</v>
      </c>
      <c r="AX100" s="348">
        <v>3.46</v>
      </c>
      <c r="AY100" s="348">
        <v>3.45</v>
      </c>
      <c r="AZ100" s="149">
        <v>1.2500000000000001E-2</v>
      </c>
      <c r="BA100" s="104">
        <f t="shared" si="2"/>
        <v>1.25</v>
      </c>
      <c r="BC100" s="436">
        <v>4.1399999999999997</v>
      </c>
      <c r="BD100" s="678">
        <f t="shared" si="5"/>
        <v>26632.5</v>
      </c>
      <c r="BE100" s="678">
        <f t="shared" si="5"/>
        <v>21213</v>
      </c>
      <c r="BF100" s="678">
        <f t="shared" si="5"/>
        <v>22981</v>
      </c>
      <c r="BG100" s="678">
        <f t="shared" si="5"/>
        <v>15526.5</v>
      </c>
      <c r="BH100" s="678">
        <v>6</v>
      </c>
    </row>
    <row r="101" spans="1:60">
      <c r="A101" s="107">
        <v>42613</v>
      </c>
      <c r="B101" s="348">
        <v>1.69</v>
      </c>
      <c r="C101" s="348">
        <v>1.8</v>
      </c>
      <c r="D101" s="348">
        <v>1.95</v>
      </c>
      <c r="E101" s="348">
        <v>2.12</v>
      </c>
      <c r="F101" s="348">
        <v>2.2999999999999998</v>
      </c>
      <c r="G101" s="348">
        <v>2.4700000000000002</v>
      </c>
      <c r="H101" s="348">
        <v>2.63</v>
      </c>
      <c r="I101" s="348">
        <v>2.77</v>
      </c>
      <c r="J101" s="348">
        <v>2.9</v>
      </c>
      <c r="K101" s="348">
        <v>3.02</v>
      </c>
      <c r="L101" s="348">
        <v>3.13</v>
      </c>
      <c r="M101" s="348">
        <v>3.22</v>
      </c>
      <c r="N101" s="348">
        <v>3.3</v>
      </c>
      <c r="O101" s="348">
        <v>3.36</v>
      </c>
      <c r="P101" s="2281">
        <v>3.42</v>
      </c>
      <c r="Q101" s="348">
        <v>3.45</v>
      </c>
      <c r="R101" s="348">
        <v>3.48</v>
      </c>
      <c r="S101" s="348">
        <v>3.5</v>
      </c>
      <c r="T101" s="348">
        <v>3.52</v>
      </c>
      <c r="U101" s="348">
        <v>3.54</v>
      </c>
      <c r="V101" s="348">
        <v>3.54</v>
      </c>
      <c r="W101" s="348">
        <v>3.53</v>
      </c>
      <c r="X101" s="348">
        <v>3.53</v>
      </c>
      <c r="Y101" s="348">
        <v>3.53</v>
      </c>
      <c r="Z101" s="348">
        <v>3.53</v>
      </c>
      <c r="AA101" s="348">
        <v>3.52</v>
      </c>
      <c r="AB101" s="348">
        <v>3.5</v>
      </c>
      <c r="AC101" s="348">
        <v>3.49</v>
      </c>
      <c r="AD101" s="348">
        <v>3.48</v>
      </c>
      <c r="AE101" s="348">
        <v>3.47</v>
      </c>
      <c r="AF101" s="348">
        <v>3.47</v>
      </c>
      <c r="AG101" s="348">
        <v>3.46</v>
      </c>
      <c r="AH101" s="348">
        <v>3.45</v>
      </c>
      <c r="AI101" s="348">
        <v>3.45</v>
      </c>
      <c r="AJ101" s="348">
        <v>3.44</v>
      </c>
      <c r="AK101" s="348">
        <v>3.44</v>
      </c>
      <c r="AL101" s="348">
        <v>3.43</v>
      </c>
      <c r="AM101" s="348">
        <v>3.43</v>
      </c>
      <c r="AN101" s="348">
        <v>3.43</v>
      </c>
      <c r="AO101" s="348">
        <v>3.42</v>
      </c>
      <c r="AP101" s="348">
        <v>3.42</v>
      </c>
      <c r="AQ101" s="348">
        <v>3.42</v>
      </c>
      <c r="AR101" s="348">
        <v>3.42</v>
      </c>
      <c r="AS101" s="348">
        <v>3.42</v>
      </c>
      <c r="AT101" s="348">
        <v>3.41</v>
      </c>
      <c r="AU101" s="348">
        <v>3.41</v>
      </c>
      <c r="AV101" s="348">
        <v>3.41</v>
      </c>
      <c r="AW101" s="348">
        <v>3.41</v>
      </c>
      <c r="AX101" s="348">
        <v>3.41</v>
      </c>
      <c r="AY101" s="348">
        <v>3.41</v>
      </c>
      <c r="AZ101" s="149">
        <v>1.2500000000000001E-2</v>
      </c>
      <c r="BA101" s="104">
        <f t="shared" si="2"/>
        <v>1.25</v>
      </c>
      <c r="BC101" s="436">
        <v>4.1100000000000003</v>
      </c>
      <c r="BD101" s="678">
        <f t="shared" si="5"/>
        <v>26998.416666666668</v>
      </c>
      <c r="BE101" s="678">
        <f t="shared" si="5"/>
        <v>21845.833333333336</v>
      </c>
      <c r="BF101" s="678">
        <f t="shared" si="5"/>
        <v>23130.833333333332</v>
      </c>
      <c r="BG101" s="678">
        <f t="shared" si="5"/>
        <v>15761.25</v>
      </c>
      <c r="BH101" s="678">
        <v>7</v>
      </c>
    </row>
    <row r="102" spans="1:60">
      <c r="A102" s="107">
        <v>42643</v>
      </c>
      <c r="B102" s="348">
        <v>1.66</v>
      </c>
      <c r="C102" s="348">
        <v>1.77</v>
      </c>
      <c r="D102" s="348">
        <v>1.91</v>
      </c>
      <c r="E102" s="348">
        <v>2.08</v>
      </c>
      <c r="F102" s="348">
        <v>2.2599999999999998</v>
      </c>
      <c r="G102" s="348">
        <v>2.4300000000000002</v>
      </c>
      <c r="H102" s="348">
        <v>2.58</v>
      </c>
      <c r="I102" s="348">
        <v>2.73</v>
      </c>
      <c r="J102" s="348">
        <v>2.85</v>
      </c>
      <c r="K102" s="348">
        <v>2.97</v>
      </c>
      <c r="L102" s="348">
        <v>3.08</v>
      </c>
      <c r="M102" s="348">
        <v>3.17</v>
      </c>
      <c r="N102" s="348">
        <v>3.25</v>
      </c>
      <c r="O102" s="348">
        <v>3.31</v>
      </c>
      <c r="P102" s="2281">
        <v>3.37</v>
      </c>
      <c r="Q102" s="348">
        <v>3.4</v>
      </c>
      <c r="R102" s="348">
        <v>3.42</v>
      </c>
      <c r="S102" s="348">
        <v>3.45</v>
      </c>
      <c r="T102" s="348">
        <v>3.47</v>
      </c>
      <c r="U102" s="348">
        <v>3.49</v>
      </c>
      <c r="V102" s="348">
        <v>3.49</v>
      </c>
      <c r="W102" s="348">
        <v>3.48</v>
      </c>
      <c r="X102" s="348">
        <v>3.48</v>
      </c>
      <c r="Y102" s="348">
        <v>3.48</v>
      </c>
      <c r="Z102" s="348">
        <v>3.48</v>
      </c>
      <c r="AA102" s="348">
        <v>3.47</v>
      </c>
      <c r="AB102" s="348">
        <v>3.45</v>
      </c>
      <c r="AC102" s="348">
        <v>3.44</v>
      </c>
      <c r="AD102" s="348">
        <v>3.43</v>
      </c>
      <c r="AE102" s="348">
        <v>3.43</v>
      </c>
      <c r="AF102" s="348">
        <v>3.42</v>
      </c>
      <c r="AG102" s="348">
        <v>3.41</v>
      </c>
      <c r="AH102" s="348">
        <v>3.41</v>
      </c>
      <c r="AI102" s="348">
        <v>3.4</v>
      </c>
      <c r="AJ102" s="348">
        <v>3.4</v>
      </c>
      <c r="AK102" s="348">
        <v>3.39</v>
      </c>
      <c r="AL102" s="348">
        <v>3.39</v>
      </c>
      <c r="AM102" s="348">
        <v>3.38</v>
      </c>
      <c r="AN102" s="348">
        <v>3.38</v>
      </c>
      <c r="AO102" s="348">
        <v>3.38</v>
      </c>
      <c r="AP102" s="348">
        <v>3.37</v>
      </c>
      <c r="AQ102" s="348">
        <v>3.37</v>
      </c>
      <c r="AR102" s="348">
        <v>3.37</v>
      </c>
      <c r="AS102" s="348">
        <v>3.37</v>
      </c>
      <c r="AT102" s="348">
        <v>3.37</v>
      </c>
      <c r="AU102" s="348">
        <v>3.37</v>
      </c>
      <c r="AV102" s="348">
        <v>3.37</v>
      </c>
      <c r="AW102" s="348">
        <v>3.37</v>
      </c>
      <c r="AX102" s="348">
        <v>3.36</v>
      </c>
      <c r="AY102" s="348">
        <v>3.36</v>
      </c>
      <c r="AZ102" s="149">
        <v>1.2500000000000001E-2</v>
      </c>
      <c r="BA102" s="104">
        <f t="shared" si="2"/>
        <v>1.25</v>
      </c>
      <c r="BC102" s="436">
        <v>4.08</v>
      </c>
      <c r="BD102" s="678">
        <f t="shared" si="5"/>
        <v>27364.333333333332</v>
      </c>
      <c r="BE102" s="678">
        <f t="shared" si="5"/>
        <v>22478.666666666668</v>
      </c>
      <c r="BF102" s="678">
        <f t="shared" si="5"/>
        <v>23280.666666666668</v>
      </c>
      <c r="BG102" s="678">
        <f t="shared" si="5"/>
        <v>15996</v>
      </c>
      <c r="BH102" s="678">
        <v>8</v>
      </c>
    </row>
    <row r="103" spans="1:60" ht="12.75" customHeight="1">
      <c r="A103" s="107">
        <v>42674</v>
      </c>
      <c r="B103" s="348">
        <v>1.64</v>
      </c>
      <c r="C103" s="348">
        <v>1.74</v>
      </c>
      <c r="D103" s="348">
        <v>1.87</v>
      </c>
      <c r="E103" s="348">
        <v>2.04</v>
      </c>
      <c r="F103" s="348">
        <v>2.2200000000000002</v>
      </c>
      <c r="G103" s="348">
        <v>2.39</v>
      </c>
      <c r="H103" s="348">
        <v>2.54</v>
      </c>
      <c r="I103" s="348">
        <v>2.68</v>
      </c>
      <c r="J103" s="348">
        <v>2.81</v>
      </c>
      <c r="K103" s="348">
        <v>2.93</v>
      </c>
      <c r="L103" s="348">
        <v>3.03</v>
      </c>
      <c r="M103" s="348">
        <v>3.12</v>
      </c>
      <c r="N103" s="348">
        <v>3.2</v>
      </c>
      <c r="O103" s="348">
        <v>3.27</v>
      </c>
      <c r="P103" s="2281">
        <v>3.32</v>
      </c>
      <c r="Q103" s="348">
        <v>3.35</v>
      </c>
      <c r="R103" s="348">
        <v>3.38</v>
      </c>
      <c r="S103" s="348">
        <v>3.4</v>
      </c>
      <c r="T103" s="348">
        <v>3.42</v>
      </c>
      <c r="U103" s="348">
        <v>3.44</v>
      </c>
      <c r="V103" s="348">
        <v>3.44</v>
      </c>
      <c r="W103" s="348">
        <v>3.44</v>
      </c>
      <c r="X103" s="348">
        <v>3.44</v>
      </c>
      <c r="Y103" s="348">
        <v>3.43</v>
      </c>
      <c r="Z103" s="348">
        <v>3.43</v>
      </c>
      <c r="AA103" s="348">
        <v>3.42</v>
      </c>
      <c r="AB103" s="348">
        <v>3.41</v>
      </c>
      <c r="AC103" s="348">
        <v>3.4</v>
      </c>
      <c r="AD103" s="348">
        <v>3.39</v>
      </c>
      <c r="AE103" s="348">
        <v>3.38</v>
      </c>
      <c r="AF103" s="348">
        <v>3.38</v>
      </c>
      <c r="AG103" s="348">
        <v>3.37</v>
      </c>
      <c r="AH103" s="348">
        <v>3.37</v>
      </c>
      <c r="AI103" s="348">
        <v>3.36</v>
      </c>
      <c r="AJ103" s="348">
        <v>3.36</v>
      </c>
      <c r="AK103" s="348">
        <v>3.35</v>
      </c>
      <c r="AL103" s="348">
        <v>3.35</v>
      </c>
      <c r="AM103" s="348">
        <v>3.34</v>
      </c>
      <c r="AN103" s="348">
        <v>3.34</v>
      </c>
      <c r="AO103" s="348">
        <v>3.34</v>
      </c>
      <c r="AP103" s="348">
        <v>3.33</v>
      </c>
      <c r="AQ103" s="348">
        <v>3.33</v>
      </c>
      <c r="AR103" s="348">
        <v>3.33</v>
      </c>
      <c r="AS103" s="348">
        <v>3.33</v>
      </c>
      <c r="AT103" s="348">
        <v>3.33</v>
      </c>
      <c r="AU103" s="348">
        <v>3.33</v>
      </c>
      <c r="AV103" s="348">
        <v>3.33</v>
      </c>
      <c r="AW103" s="348">
        <v>3.33</v>
      </c>
      <c r="AX103" s="348">
        <v>3.32</v>
      </c>
      <c r="AY103" s="348">
        <v>3.32</v>
      </c>
      <c r="AZ103" s="149">
        <v>1.2500000000000001E-2</v>
      </c>
      <c r="BA103" s="104">
        <f t="shared" si="2"/>
        <v>1.25</v>
      </c>
      <c r="BC103" s="436">
        <v>4.0599999999999996</v>
      </c>
      <c r="BD103" s="678">
        <f t="shared" si="5"/>
        <v>27730.25</v>
      </c>
      <c r="BE103" s="678">
        <f t="shared" si="5"/>
        <v>23111.5</v>
      </c>
      <c r="BF103" s="678">
        <f t="shared" si="5"/>
        <v>23430.5</v>
      </c>
      <c r="BG103" s="678">
        <f t="shared" si="5"/>
        <v>16230.75</v>
      </c>
      <c r="BH103" s="678">
        <v>9</v>
      </c>
    </row>
    <row r="104" spans="1:60" ht="12.75" customHeight="1">
      <c r="A104" s="107">
        <v>42704</v>
      </c>
      <c r="B104" s="348">
        <v>1.61</v>
      </c>
      <c r="C104" s="348">
        <v>1.71</v>
      </c>
      <c r="D104" s="348">
        <v>1.84</v>
      </c>
      <c r="E104" s="348">
        <v>2.0099999999999998</v>
      </c>
      <c r="F104" s="348">
        <v>2.1800000000000002</v>
      </c>
      <c r="G104" s="348">
        <v>2.35</v>
      </c>
      <c r="H104" s="348">
        <v>2.5</v>
      </c>
      <c r="I104" s="348">
        <v>2.64</v>
      </c>
      <c r="J104" s="348">
        <v>2.77</v>
      </c>
      <c r="K104" s="348">
        <v>2.89</v>
      </c>
      <c r="L104" s="348">
        <v>2.99</v>
      </c>
      <c r="M104" s="348">
        <v>3.08</v>
      </c>
      <c r="N104" s="348">
        <v>3.16</v>
      </c>
      <c r="O104" s="348">
        <v>3.22</v>
      </c>
      <c r="P104" s="2281">
        <v>3.28</v>
      </c>
      <c r="Q104" s="348">
        <v>3.31</v>
      </c>
      <c r="R104" s="348">
        <v>3.34</v>
      </c>
      <c r="S104" s="348">
        <v>3.36</v>
      </c>
      <c r="T104" s="348">
        <v>3.38</v>
      </c>
      <c r="U104" s="348">
        <v>3.4</v>
      </c>
      <c r="V104" s="348">
        <v>3.4</v>
      </c>
      <c r="W104" s="348">
        <v>3.4</v>
      </c>
      <c r="X104" s="348">
        <v>3.4</v>
      </c>
      <c r="Y104" s="348">
        <v>3.39</v>
      </c>
      <c r="Z104" s="348">
        <v>3.39</v>
      </c>
      <c r="AA104" s="348">
        <v>3.38</v>
      </c>
      <c r="AB104" s="348">
        <v>3.37</v>
      </c>
      <c r="AC104" s="348">
        <v>3.36</v>
      </c>
      <c r="AD104" s="348">
        <v>3.35</v>
      </c>
      <c r="AE104" s="348">
        <v>3.34</v>
      </c>
      <c r="AF104" s="348">
        <v>3.34</v>
      </c>
      <c r="AG104" s="348">
        <v>3.33</v>
      </c>
      <c r="AH104" s="348">
        <v>3.33</v>
      </c>
      <c r="AI104" s="348">
        <v>3.32</v>
      </c>
      <c r="AJ104" s="348">
        <v>3.32</v>
      </c>
      <c r="AK104" s="348">
        <v>3.32</v>
      </c>
      <c r="AL104" s="348">
        <v>3.31</v>
      </c>
      <c r="AM104" s="348">
        <v>3.31</v>
      </c>
      <c r="AN104" s="348">
        <v>3.3</v>
      </c>
      <c r="AO104" s="348">
        <v>3.3</v>
      </c>
      <c r="AP104" s="348">
        <v>3.3</v>
      </c>
      <c r="AQ104" s="348">
        <v>3.3</v>
      </c>
      <c r="AR104" s="348">
        <v>3.3</v>
      </c>
      <c r="AS104" s="348">
        <v>3.3</v>
      </c>
      <c r="AT104" s="348">
        <v>3.29</v>
      </c>
      <c r="AU104" s="348">
        <v>3.29</v>
      </c>
      <c r="AV104" s="348">
        <v>3.29</v>
      </c>
      <c r="AW104" s="348">
        <v>3.29</v>
      </c>
      <c r="AX104" s="348">
        <v>3.29</v>
      </c>
      <c r="AY104" s="348">
        <v>3.29</v>
      </c>
      <c r="AZ104" s="149">
        <v>1.2500000000000001E-2</v>
      </c>
      <c r="BA104" s="104">
        <f t="shared" si="2"/>
        <v>1.25</v>
      </c>
      <c r="BC104" s="436">
        <v>4.03</v>
      </c>
      <c r="BD104" s="678">
        <f t="shared" si="5"/>
        <v>28096.166666666668</v>
      </c>
      <c r="BE104" s="678">
        <f t="shared" si="5"/>
        <v>23744.333333333336</v>
      </c>
      <c r="BF104" s="678">
        <f t="shared" si="5"/>
        <v>23580.333333333332</v>
      </c>
      <c r="BG104" s="678">
        <f t="shared" si="5"/>
        <v>16465.5</v>
      </c>
      <c r="BH104" s="678">
        <v>10</v>
      </c>
    </row>
    <row r="105" spans="1:60">
      <c r="A105" s="107">
        <v>42735</v>
      </c>
      <c r="B105" s="348">
        <v>1.59</v>
      </c>
      <c r="C105" s="348">
        <v>1.67</v>
      </c>
      <c r="D105" s="348">
        <v>1.81</v>
      </c>
      <c r="E105" s="348">
        <v>1.97</v>
      </c>
      <c r="F105" s="348">
        <v>2.14</v>
      </c>
      <c r="G105" s="348">
        <v>2.2999999999999998</v>
      </c>
      <c r="H105" s="348">
        <v>2.46</v>
      </c>
      <c r="I105" s="348">
        <v>2.6</v>
      </c>
      <c r="J105" s="348">
        <v>2.73</v>
      </c>
      <c r="K105" s="348">
        <v>2.84</v>
      </c>
      <c r="L105" s="348">
        <v>2.95</v>
      </c>
      <c r="M105" s="348">
        <v>3.04</v>
      </c>
      <c r="N105" s="348">
        <v>3.12</v>
      </c>
      <c r="O105" s="348">
        <v>3.18</v>
      </c>
      <c r="P105" s="2281">
        <v>3.24</v>
      </c>
      <c r="Q105" s="348">
        <v>3.27</v>
      </c>
      <c r="R105" s="348">
        <v>3.29</v>
      </c>
      <c r="S105" s="348">
        <v>3.32</v>
      </c>
      <c r="T105" s="348">
        <v>3.34</v>
      </c>
      <c r="U105" s="348">
        <v>3.36</v>
      </c>
      <c r="V105" s="348">
        <v>3.36</v>
      </c>
      <c r="W105" s="348">
        <v>3.36</v>
      </c>
      <c r="X105" s="348">
        <v>3.35</v>
      </c>
      <c r="Y105" s="348">
        <v>3.35</v>
      </c>
      <c r="Z105" s="348">
        <v>3.35</v>
      </c>
      <c r="AA105" s="348">
        <v>3.34</v>
      </c>
      <c r="AB105" s="348">
        <v>3.33</v>
      </c>
      <c r="AC105" s="348">
        <v>3.32</v>
      </c>
      <c r="AD105" s="348">
        <v>3.31</v>
      </c>
      <c r="AE105" s="348">
        <v>3.31</v>
      </c>
      <c r="AF105" s="348">
        <v>3.3</v>
      </c>
      <c r="AG105" s="348">
        <v>3.29</v>
      </c>
      <c r="AH105" s="348">
        <v>3.29</v>
      </c>
      <c r="AI105" s="348">
        <v>3.29</v>
      </c>
      <c r="AJ105" s="348">
        <v>3.28</v>
      </c>
      <c r="AK105" s="348">
        <v>3.28</v>
      </c>
      <c r="AL105" s="348">
        <v>3.27</v>
      </c>
      <c r="AM105" s="348">
        <v>3.27</v>
      </c>
      <c r="AN105" s="348">
        <v>3.27</v>
      </c>
      <c r="AO105" s="348">
        <v>3.26</v>
      </c>
      <c r="AP105" s="348">
        <v>3.26</v>
      </c>
      <c r="AQ105" s="348">
        <v>3.26</v>
      </c>
      <c r="AR105" s="348">
        <v>3.26</v>
      </c>
      <c r="AS105" s="348">
        <v>3.26</v>
      </c>
      <c r="AT105" s="348">
        <v>3.26</v>
      </c>
      <c r="AU105" s="348">
        <v>3.26</v>
      </c>
      <c r="AV105" s="348">
        <v>3.26</v>
      </c>
      <c r="AW105" s="348">
        <v>3.26</v>
      </c>
      <c r="AX105" s="348">
        <v>3.25</v>
      </c>
      <c r="AY105" s="348">
        <v>3.25</v>
      </c>
      <c r="AZ105" s="149">
        <v>1.2500000000000001E-2</v>
      </c>
      <c r="BA105" s="104">
        <f t="shared" si="2"/>
        <v>1.25</v>
      </c>
      <c r="BC105" s="436">
        <v>4.01</v>
      </c>
      <c r="BD105" s="678">
        <f t="shared" si="5"/>
        <v>28462.083333333332</v>
      </c>
      <c r="BE105" s="678">
        <f t="shared" si="5"/>
        <v>24377.166666666668</v>
      </c>
      <c r="BF105" s="678">
        <f t="shared" si="5"/>
        <v>23730.166666666668</v>
      </c>
      <c r="BG105" s="678">
        <f t="shared" si="5"/>
        <v>16700.25</v>
      </c>
      <c r="BH105" s="678">
        <v>11</v>
      </c>
    </row>
    <row r="106" spans="1:60">
      <c r="A106" s="107">
        <v>42766</v>
      </c>
      <c r="B106" s="348">
        <v>1.57</v>
      </c>
      <c r="C106" s="348">
        <v>1.65</v>
      </c>
      <c r="D106" s="348">
        <v>1.77</v>
      </c>
      <c r="E106" s="348">
        <v>1.93</v>
      </c>
      <c r="F106" s="348">
        <v>2.1</v>
      </c>
      <c r="G106" s="348">
        <v>2.27</v>
      </c>
      <c r="H106" s="348">
        <v>2.42</v>
      </c>
      <c r="I106" s="348">
        <v>2.56</v>
      </c>
      <c r="J106" s="348">
        <v>2.69</v>
      </c>
      <c r="K106" s="348">
        <v>2.8</v>
      </c>
      <c r="L106" s="348">
        <v>2.91</v>
      </c>
      <c r="M106" s="348">
        <v>3</v>
      </c>
      <c r="N106" s="348">
        <v>3.08</v>
      </c>
      <c r="O106" s="348">
        <v>3.14</v>
      </c>
      <c r="P106" s="2281">
        <v>3.2</v>
      </c>
      <c r="Q106" s="348">
        <v>3.23</v>
      </c>
      <c r="R106" s="348">
        <v>3.26</v>
      </c>
      <c r="S106" s="348">
        <v>3.28</v>
      </c>
      <c r="T106" s="348">
        <v>3.3</v>
      </c>
      <c r="U106" s="348">
        <v>3.32</v>
      </c>
      <c r="V106" s="348">
        <v>3.32</v>
      </c>
      <c r="W106" s="348">
        <v>3.32</v>
      </c>
      <c r="X106" s="348">
        <v>3.32</v>
      </c>
      <c r="Y106" s="348">
        <v>3.32</v>
      </c>
      <c r="Z106" s="348">
        <v>3.32</v>
      </c>
      <c r="AA106" s="348">
        <v>3.3</v>
      </c>
      <c r="AB106" s="348">
        <v>3.3</v>
      </c>
      <c r="AC106" s="348">
        <v>3.29</v>
      </c>
      <c r="AD106" s="348">
        <v>3.28</v>
      </c>
      <c r="AE106" s="348">
        <v>3.27</v>
      </c>
      <c r="AF106" s="348">
        <v>3.27</v>
      </c>
      <c r="AG106" s="348">
        <v>3.26</v>
      </c>
      <c r="AH106" s="348">
        <v>3.26</v>
      </c>
      <c r="AI106" s="348">
        <v>3.25</v>
      </c>
      <c r="AJ106" s="348">
        <v>3.25</v>
      </c>
      <c r="AK106" s="348">
        <v>3.24</v>
      </c>
      <c r="AL106" s="348">
        <v>3.24</v>
      </c>
      <c r="AM106" s="348">
        <v>3.24</v>
      </c>
      <c r="AN106" s="348">
        <v>3.24</v>
      </c>
      <c r="AO106" s="348">
        <v>3.23</v>
      </c>
      <c r="AP106" s="348">
        <v>3.23</v>
      </c>
      <c r="AQ106" s="348">
        <v>3.23</v>
      </c>
      <c r="AR106" s="348">
        <v>3.23</v>
      </c>
      <c r="AS106" s="348">
        <v>3.23</v>
      </c>
      <c r="AT106" s="348">
        <v>3.23</v>
      </c>
      <c r="AU106" s="348">
        <v>3.23</v>
      </c>
      <c r="AV106" s="348">
        <v>3.23</v>
      </c>
      <c r="AW106" s="348">
        <v>3.22</v>
      </c>
      <c r="AX106" s="348">
        <v>3.22</v>
      </c>
      <c r="AY106" s="348">
        <v>3.22</v>
      </c>
      <c r="AZ106" s="149">
        <v>1.2500000000000001E-2</v>
      </c>
      <c r="BA106" s="104">
        <f t="shared" si="2"/>
        <v>1.25</v>
      </c>
      <c r="BC106" s="436">
        <v>3.99</v>
      </c>
      <c r="BD106" s="679">
        <v>28828</v>
      </c>
      <c r="BE106" s="679">
        <v>25010</v>
      </c>
      <c r="BF106" s="679">
        <v>23880</v>
      </c>
      <c r="BG106" s="679">
        <v>16935</v>
      </c>
      <c r="BH106" s="25"/>
    </row>
    <row r="107" spans="1:60" ht="12.75" customHeight="1">
      <c r="A107" s="107">
        <v>42794</v>
      </c>
      <c r="B107" s="348">
        <v>1.54</v>
      </c>
      <c r="C107" s="348">
        <v>1.62</v>
      </c>
      <c r="D107" s="348">
        <v>1.74</v>
      </c>
      <c r="E107" s="348">
        <v>1.9</v>
      </c>
      <c r="F107" s="348">
        <v>2.06</v>
      </c>
      <c r="G107" s="348">
        <v>2.23</v>
      </c>
      <c r="H107" s="348">
        <v>2.38</v>
      </c>
      <c r="I107" s="348">
        <v>2.52</v>
      </c>
      <c r="J107" s="348">
        <v>2.65</v>
      </c>
      <c r="K107" s="348">
        <v>2.76</v>
      </c>
      <c r="L107" s="348">
        <v>2.87</v>
      </c>
      <c r="M107" s="348">
        <v>2.96</v>
      </c>
      <c r="N107" s="348">
        <v>3.03</v>
      </c>
      <c r="O107" s="348">
        <v>3.1</v>
      </c>
      <c r="P107" s="2281">
        <v>3.16</v>
      </c>
      <c r="Q107" s="348">
        <v>3.19</v>
      </c>
      <c r="R107" s="348">
        <v>3.21</v>
      </c>
      <c r="S107" s="348">
        <v>3.24</v>
      </c>
      <c r="T107" s="348">
        <v>3.26</v>
      </c>
      <c r="U107" s="348">
        <v>3.28</v>
      </c>
      <c r="V107" s="348">
        <v>3.28</v>
      </c>
      <c r="W107" s="348">
        <v>3.28</v>
      </c>
      <c r="X107" s="348">
        <v>3.28</v>
      </c>
      <c r="Y107" s="348">
        <v>3.28</v>
      </c>
      <c r="Z107" s="348">
        <v>3.28</v>
      </c>
      <c r="AA107" s="348">
        <v>3.27</v>
      </c>
      <c r="AB107" s="348">
        <v>3.26</v>
      </c>
      <c r="AC107" s="348">
        <v>3.25</v>
      </c>
      <c r="AD107" s="348">
        <v>3.24</v>
      </c>
      <c r="AE107" s="348">
        <v>3.23</v>
      </c>
      <c r="AF107" s="348">
        <v>3.23</v>
      </c>
      <c r="AG107" s="348">
        <v>3.22</v>
      </c>
      <c r="AH107" s="348">
        <v>3.22</v>
      </c>
      <c r="AI107" s="348">
        <v>3.22</v>
      </c>
      <c r="AJ107" s="348">
        <v>3.21</v>
      </c>
      <c r="AK107" s="348">
        <v>3.21</v>
      </c>
      <c r="AL107" s="348">
        <v>3.21</v>
      </c>
      <c r="AM107" s="348">
        <v>3.2</v>
      </c>
      <c r="AN107" s="348">
        <v>3.2</v>
      </c>
      <c r="AO107" s="348">
        <v>3.2</v>
      </c>
      <c r="AP107" s="348">
        <v>3.2</v>
      </c>
      <c r="AQ107" s="348">
        <v>3.2</v>
      </c>
      <c r="AR107" s="348">
        <v>3.19</v>
      </c>
      <c r="AS107" s="348">
        <v>3.19</v>
      </c>
      <c r="AT107" s="348">
        <v>3.19</v>
      </c>
      <c r="AU107" s="348">
        <v>3.19</v>
      </c>
      <c r="AV107" s="348">
        <v>3.19</v>
      </c>
      <c r="AW107" s="348">
        <v>3.19</v>
      </c>
      <c r="AX107" s="348">
        <v>3.19</v>
      </c>
      <c r="AY107" s="348">
        <v>3.19</v>
      </c>
      <c r="AZ107" s="59">
        <v>8.9999999999999993E-3</v>
      </c>
      <c r="BA107" s="104">
        <f t="shared" si="2"/>
        <v>0.89999999999999991</v>
      </c>
      <c r="BC107" s="436">
        <v>3.96</v>
      </c>
      <c r="BD107" s="678">
        <f>BD$106+(BD$118-BD$106)/12*$BH107</f>
        <v>29123.916666666668</v>
      </c>
      <c r="BE107" s="678">
        <f t="shared" ref="BE107:BG117" si="6">BE$106+(BE$118-BE$106)/12*$BH107</f>
        <v>25587.5</v>
      </c>
      <c r="BF107" s="678">
        <f t="shared" si="6"/>
        <v>24060.333333333332</v>
      </c>
      <c r="BG107" s="678">
        <f t="shared" si="6"/>
        <v>17220</v>
      </c>
      <c r="BH107" s="678">
        <v>1</v>
      </c>
    </row>
    <row r="108" spans="1:60" ht="12.75" customHeight="1">
      <c r="A108" s="107">
        <v>42825</v>
      </c>
      <c r="B108" s="348">
        <v>1.52</v>
      </c>
      <c r="C108" s="348">
        <v>1.59</v>
      </c>
      <c r="D108" s="348">
        <v>1.71</v>
      </c>
      <c r="E108" s="348">
        <v>1.87</v>
      </c>
      <c r="F108" s="348">
        <v>2.0299999999999998</v>
      </c>
      <c r="G108" s="348">
        <v>2.19</v>
      </c>
      <c r="H108" s="348">
        <v>2.34</v>
      </c>
      <c r="I108" s="348">
        <v>2.48</v>
      </c>
      <c r="J108" s="348">
        <v>2.61</v>
      </c>
      <c r="K108" s="348">
        <v>2.72</v>
      </c>
      <c r="L108" s="348">
        <v>2.83</v>
      </c>
      <c r="M108" s="348">
        <v>2.92</v>
      </c>
      <c r="N108" s="348">
        <v>2.99</v>
      </c>
      <c r="O108" s="348">
        <v>3.06</v>
      </c>
      <c r="P108" s="2281">
        <v>3.12</v>
      </c>
      <c r="Q108" s="348">
        <v>3.15</v>
      </c>
      <c r="R108" s="348">
        <v>3.17</v>
      </c>
      <c r="S108" s="348">
        <v>3.2</v>
      </c>
      <c r="T108" s="348">
        <v>3.22</v>
      </c>
      <c r="U108" s="348">
        <v>3.24</v>
      </c>
      <c r="V108" s="348">
        <v>3.24</v>
      </c>
      <c r="W108" s="348">
        <v>3.24</v>
      </c>
      <c r="X108" s="348">
        <v>3.24</v>
      </c>
      <c r="Y108" s="348">
        <v>3.24</v>
      </c>
      <c r="Z108" s="348">
        <v>3.24</v>
      </c>
      <c r="AA108" s="348">
        <v>3.23</v>
      </c>
      <c r="AB108" s="348">
        <v>3.22</v>
      </c>
      <c r="AC108" s="348">
        <v>3.21</v>
      </c>
      <c r="AD108" s="348">
        <v>3.2</v>
      </c>
      <c r="AE108" s="348">
        <v>3.2</v>
      </c>
      <c r="AF108" s="348">
        <v>3.19</v>
      </c>
      <c r="AG108" s="348">
        <v>3.19</v>
      </c>
      <c r="AH108" s="348">
        <v>3.19</v>
      </c>
      <c r="AI108" s="348">
        <v>3.18</v>
      </c>
      <c r="AJ108" s="348">
        <v>3.18</v>
      </c>
      <c r="AK108" s="348">
        <v>3.18</v>
      </c>
      <c r="AL108" s="348">
        <v>3.17</v>
      </c>
      <c r="AM108" s="348">
        <v>3.17</v>
      </c>
      <c r="AN108" s="348">
        <v>3.17</v>
      </c>
      <c r="AO108" s="348">
        <v>3.17</v>
      </c>
      <c r="AP108" s="348">
        <v>3.16</v>
      </c>
      <c r="AQ108" s="348">
        <v>3.16</v>
      </c>
      <c r="AR108" s="348">
        <v>3.16</v>
      </c>
      <c r="AS108" s="348">
        <v>3.16</v>
      </c>
      <c r="AT108" s="348">
        <v>3.16</v>
      </c>
      <c r="AU108" s="348">
        <v>3.16</v>
      </c>
      <c r="AV108" s="348">
        <v>3.16</v>
      </c>
      <c r="AW108" s="348">
        <v>3.16</v>
      </c>
      <c r="AX108" s="348">
        <v>3.16</v>
      </c>
      <c r="AY108" s="348">
        <v>3.16</v>
      </c>
      <c r="AZ108" s="59">
        <v>8.9999999999999993E-3</v>
      </c>
      <c r="BA108" s="104">
        <f t="shared" si="2"/>
        <v>0.89999999999999991</v>
      </c>
      <c r="BC108" s="436">
        <v>3.94</v>
      </c>
      <c r="BD108" s="678">
        <f t="shared" ref="BD108:BD117" si="7">BD$106+(BD$118-BD$106)/12*$BH108</f>
        <v>29419.833333333332</v>
      </c>
      <c r="BE108" s="678">
        <f t="shared" si="6"/>
        <v>26165</v>
      </c>
      <c r="BF108" s="678">
        <f t="shared" si="6"/>
        <v>24240.666666666668</v>
      </c>
      <c r="BG108" s="678">
        <f t="shared" si="6"/>
        <v>17505</v>
      </c>
      <c r="BH108" s="678">
        <v>2</v>
      </c>
    </row>
    <row r="109" spans="1:60">
      <c r="A109" s="107">
        <v>42855</v>
      </c>
      <c r="B109" s="348">
        <v>1.49</v>
      </c>
      <c r="C109" s="348">
        <v>1.56</v>
      </c>
      <c r="D109" s="348">
        <v>1.68</v>
      </c>
      <c r="E109" s="348">
        <v>1.83</v>
      </c>
      <c r="F109" s="348">
        <v>1.99</v>
      </c>
      <c r="G109" s="348">
        <v>2.16</v>
      </c>
      <c r="H109" s="348">
        <v>2.2999999999999998</v>
      </c>
      <c r="I109" s="348">
        <v>2.44</v>
      </c>
      <c r="J109" s="348">
        <v>2.57</v>
      </c>
      <c r="K109" s="348">
        <v>2.69</v>
      </c>
      <c r="L109" s="348">
        <v>2.79</v>
      </c>
      <c r="M109" s="348">
        <v>2.88</v>
      </c>
      <c r="N109" s="348">
        <v>2.96</v>
      </c>
      <c r="O109" s="348">
        <v>3.02</v>
      </c>
      <c r="P109" s="2281">
        <v>3.08</v>
      </c>
      <c r="Q109" s="348">
        <v>3.11</v>
      </c>
      <c r="R109" s="348">
        <v>3.14</v>
      </c>
      <c r="S109" s="348">
        <v>3.16</v>
      </c>
      <c r="T109" s="348">
        <v>3.18</v>
      </c>
      <c r="U109" s="348">
        <v>3.2</v>
      </c>
      <c r="V109" s="348">
        <v>3.2</v>
      </c>
      <c r="W109" s="348">
        <v>3.2</v>
      </c>
      <c r="X109" s="348">
        <v>3.2</v>
      </c>
      <c r="Y109" s="348">
        <v>3.2</v>
      </c>
      <c r="Z109" s="348">
        <v>3.2</v>
      </c>
      <c r="AA109" s="348">
        <v>3.19</v>
      </c>
      <c r="AB109" s="348">
        <v>3.18</v>
      </c>
      <c r="AC109" s="348">
        <v>3.18</v>
      </c>
      <c r="AD109" s="348">
        <v>3.17</v>
      </c>
      <c r="AE109" s="348">
        <v>3.16</v>
      </c>
      <c r="AF109" s="348">
        <v>3.16</v>
      </c>
      <c r="AG109" s="348">
        <v>3.16</v>
      </c>
      <c r="AH109" s="348">
        <v>3.15</v>
      </c>
      <c r="AI109" s="348">
        <v>3.15</v>
      </c>
      <c r="AJ109" s="348">
        <v>3.15</v>
      </c>
      <c r="AK109" s="348">
        <v>3.14</v>
      </c>
      <c r="AL109" s="348">
        <v>3.14</v>
      </c>
      <c r="AM109" s="348">
        <v>3.14</v>
      </c>
      <c r="AN109" s="348">
        <v>3.14</v>
      </c>
      <c r="AO109" s="348">
        <v>3.13</v>
      </c>
      <c r="AP109" s="348">
        <v>3.13</v>
      </c>
      <c r="AQ109" s="348">
        <v>3.13</v>
      </c>
      <c r="AR109" s="348">
        <v>3.13</v>
      </c>
      <c r="AS109" s="348">
        <v>3.13</v>
      </c>
      <c r="AT109" s="348">
        <v>3.13</v>
      </c>
      <c r="AU109" s="348">
        <v>3.13</v>
      </c>
      <c r="AV109" s="348">
        <v>3.13</v>
      </c>
      <c r="AW109" s="348">
        <v>3.13</v>
      </c>
      <c r="AX109" s="348">
        <v>3.13</v>
      </c>
      <c r="AY109" s="348">
        <v>3.13</v>
      </c>
      <c r="AZ109" s="59">
        <v>8.9999999999999993E-3</v>
      </c>
      <c r="BA109" s="104">
        <f t="shared" si="2"/>
        <v>0.89999999999999991</v>
      </c>
      <c r="BC109" s="436">
        <v>3.91</v>
      </c>
      <c r="BD109" s="678">
        <f t="shared" si="7"/>
        <v>29715.75</v>
      </c>
      <c r="BE109" s="678">
        <f t="shared" si="6"/>
        <v>26742.5</v>
      </c>
      <c r="BF109" s="678">
        <f t="shared" si="6"/>
        <v>24421</v>
      </c>
      <c r="BG109" s="678">
        <f t="shared" si="6"/>
        <v>17790</v>
      </c>
      <c r="BH109" s="678">
        <v>3</v>
      </c>
    </row>
    <row r="110" spans="1:60">
      <c r="A110" s="107">
        <v>42886</v>
      </c>
      <c r="B110" s="348">
        <v>1.47</v>
      </c>
      <c r="C110" s="348">
        <v>1.54</v>
      </c>
      <c r="D110" s="348">
        <v>1.65</v>
      </c>
      <c r="E110" s="348">
        <v>1.8</v>
      </c>
      <c r="F110" s="348">
        <v>1.96</v>
      </c>
      <c r="G110" s="348">
        <v>2.12</v>
      </c>
      <c r="H110" s="348">
        <v>2.27</v>
      </c>
      <c r="I110" s="348">
        <v>2.41</v>
      </c>
      <c r="J110" s="348">
        <v>2.5299999999999998</v>
      </c>
      <c r="K110" s="348">
        <v>2.65</v>
      </c>
      <c r="L110" s="348">
        <v>2.75</v>
      </c>
      <c r="M110" s="348">
        <v>2.84</v>
      </c>
      <c r="N110" s="348">
        <v>2.92</v>
      </c>
      <c r="O110" s="348">
        <v>2.98</v>
      </c>
      <c r="P110" s="2281">
        <v>3.04</v>
      </c>
      <c r="Q110" s="348">
        <v>3.07</v>
      </c>
      <c r="R110" s="348">
        <v>3.1</v>
      </c>
      <c r="S110" s="348">
        <v>3.12</v>
      </c>
      <c r="T110" s="348">
        <v>3.15</v>
      </c>
      <c r="U110" s="348">
        <v>3.17</v>
      </c>
      <c r="V110" s="348">
        <v>3.17</v>
      </c>
      <c r="W110" s="348">
        <v>3.17</v>
      </c>
      <c r="X110" s="348">
        <v>3.17</v>
      </c>
      <c r="Y110" s="348">
        <v>3.17</v>
      </c>
      <c r="Z110" s="348">
        <v>3.17</v>
      </c>
      <c r="AA110" s="348">
        <v>3.16</v>
      </c>
      <c r="AB110" s="348">
        <v>3.15</v>
      </c>
      <c r="AC110" s="348">
        <v>3.14</v>
      </c>
      <c r="AD110" s="348">
        <v>3.14</v>
      </c>
      <c r="AE110" s="348">
        <v>3.13</v>
      </c>
      <c r="AF110" s="348">
        <v>3.13</v>
      </c>
      <c r="AG110" s="348">
        <v>3.12</v>
      </c>
      <c r="AH110" s="348">
        <v>3.12</v>
      </c>
      <c r="AI110" s="348">
        <v>3.12</v>
      </c>
      <c r="AJ110" s="348">
        <v>3.12</v>
      </c>
      <c r="AK110" s="348">
        <v>3.11</v>
      </c>
      <c r="AL110" s="348">
        <v>3.11</v>
      </c>
      <c r="AM110" s="348">
        <v>3.11</v>
      </c>
      <c r="AN110" s="348">
        <v>3.11</v>
      </c>
      <c r="AO110" s="348">
        <v>3.1</v>
      </c>
      <c r="AP110" s="348">
        <v>3.1</v>
      </c>
      <c r="AQ110" s="348">
        <v>3.1</v>
      </c>
      <c r="AR110" s="348">
        <v>3.1</v>
      </c>
      <c r="AS110" s="348">
        <v>3.1</v>
      </c>
      <c r="AT110" s="348">
        <v>3.1</v>
      </c>
      <c r="AU110" s="348">
        <v>3.1</v>
      </c>
      <c r="AV110" s="348">
        <v>3.1</v>
      </c>
      <c r="AW110" s="348">
        <v>3.1</v>
      </c>
      <c r="AX110" s="348">
        <v>3.1</v>
      </c>
      <c r="AY110" s="348">
        <v>3.1</v>
      </c>
      <c r="AZ110" s="59">
        <v>8.9999999999999993E-3</v>
      </c>
      <c r="BA110" s="104">
        <f t="shared" si="2"/>
        <v>0.89999999999999991</v>
      </c>
      <c r="BC110" s="436">
        <v>3.88</v>
      </c>
      <c r="BD110" s="678">
        <f t="shared" si="7"/>
        <v>30011.666666666668</v>
      </c>
      <c r="BE110" s="678">
        <f t="shared" si="6"/>
        <v>27320</v>
      </c>
      <c r="BF110" s="678">
        <f t="shared" si="6"/>
        <v>24601.333333333332</v>
      </c>
      <c r="BG110" s="678">
        <f t="shared" si="6"/>
        <v>18075</v>
      </c>
      <c r="BH110" s="678">
        <v>4</v>
      </c>
    </row>
    <row r="111" spans="1:60" ht="12.75" customHeight="1">
      <c r="A111" s="107">
        <v>42916</v>
      </c>
      <c r="B111" s="348">
        <v>1.44</v>
      </c>
      <c r="C111" s="348">
        <v>1.51</v>
      </c>
      <c r="D111" s="348">
        <v>1.62</v>
      </c>
      <c r="E111" s="348">
        <v>1.77</v>
      </c>
      <c r="F111" s="348">
        <v>1.93</v>
      </c>
      <c r="G111" s="348">
        <v>2.09</v>
      </c>
      <c r="H111" s="348">
        <v>2.23</v>
      </c>
      <c r="I111" s="348">
        <v>2.37</v>
      </c>
      <c r="J111" s="348">
        <v>2.5</v>
      </c>
      <c r="K111" s="348">
        <v>2.61</v>
      </c>
      <c r="L111" s="348">
        <v>2.72</v>
      </c>
      <c r="M111" s="348">
        <v>2.81</v>
      </c>
      <c r="N111" s="348">
        <v>2.88</v>
      </c>
      <c r="O111" s="348">
        <v>2.95</v>
      </c>
      <c r="P111" s="2281">
        <v>3</v>
      </c>
      <c r="Q111" s="348">
        <v>3.04</v>
      </c>
      <c r="R111" s="348">
        <v>3.06</v>
      </c>
      <c r="S111" s="348">
        <v>3.09</v>
      </c>
      <c r="T111" s="348">
        <v>3.11</v>
      </c>
      <c r="U111" s="348">
        <v>3.13</v>
      </c>
      <c r="V111" s="348">
        <v>3.13</v>
      </c>
      <c r="W111" s="348">
        <v>3.13</v>
      </c>
      <c r="X111" s="348">
        <v>3.13</v>
      </c>
      <c r="Y111" s="348">
        <v>3.13</v>
      </c>
      <c r="Z111" s="348">
        <v>3.14</v>
      </c>
      <c r="AA111" s="348">
        <v>3.13</v>
      </c>
      <c r="AB111" s="348">
        <v>3.12</v>
      </c>
      <c r="AC111" s="348">
        <v>3.11</v>
      </c>
      <c r="AD111" s="348">
        <v>3.11</v>
      </c>
      <c r="AE111" s="348">
        <v>3.1</v>
      </c>
      <c r="AF111" s="348">
        <v>3.1</v>
      </c>
      <c r="AG111" s="348">
        <v>3.09</v>
      </c>
      <c r="AH111" s="348">
        <v>3.09</v>
      </c>
      <c r="AI111" s="348">
        <v>3.09</v>
      </c>
      <c r="AJ111" s="348">
        <v>3.09</v>
      </c>
      <c r="AK111" s="348">
        <v>3.08</v>
      </c>
      <c r="AL111" s="348">
        <v>3.08</v>
      </c>
      <c r="AM111" s="348">
        <v>3.08</v>
      </c>
      <c r="AN111" s="348">
        <v>3.08</v>
      </c>
      <c r="AO111" s="348">
        <v>3.08</v>
      </c>
      <c r="AP111" s="348">
        <v>3.08</v>
      </c>
      <c r="AQ111" s="348">
        <v>3.07</v>
      </c>
      <c r="AR111" s="348">
        <v>3.07</v>
      </c>
      <c r="AS111" s="348">
        <v>3.07</v>
      </c>
      <c r="AT111" s="348">
        <v>3.07</v>
      </c>
      <c r="AU111" s="348">
        <v>3.07</v>
      </c>
      <c r="AV111" s="348">
        <v>3.07</v>
      </c>
      <c r="AW111" s="348">
        <v>3.07</v>
      </c>
      <c r="AX111" s="348">
        <v>3.07</v>
      </c>
      <c r="AY111" s="348">
        <v>3.07</v>
      </c>
      <c r="AZ111" s="59">
        <v>8.9999999999999993E-3</v>
      </c>
      <c r="BA111" s="104">
        <f t="shared" si="2"/>
        <v>0.89999999999999991</v>
      </c>
      <c r="BC111" s="436">
        <v>3.86</v>
      </c>
      <c r="BD111" s="678">
        <f t="shared" si="7"/>
        <v>30307.583333333332</v>
      </c>
      <c r="BE111" s="678">
        <f t="shared" si="6"/>
        <v>27897.5</v>
      </c>
      <c r="BF111" s="678">
        <f t="shared" si="6"/>
        <v>24781.666666666668</v>
      </c>
      <c r="BG111" s="678">
        <f t="shared" si="6"/>
        <v>18360</v>
      </c>
      <c r="BH111" s="678">
        <v>5</v>
      </c>
    </row>
    <row r="112" spans="1:60" ht="12.75" customHeight="1">
      <c r="A112" s="107">
        <v>42947</v>
      </c>
      <c r="B112" s="348">
        <v>1.41</v>
      </c>
      <c r="C112" s="348">
        <v>1.48</v>
      </c>
      <c r="D112" s="348">
        <v>1.59</v>
      </c>
      <c r="E112" s="348">
        <v>1.74</v>
      </c>
      <c r="F112" s="348">
        <v>1.89</v>
      </c>
      <c r="G112" s="348">
        <v>2.0499999999999998</v>
      </c>
      <c r="H112" s="348">
        <v>2.2000000000000002</v>
      </c>
      <c r="I112" s="348">
        <v>2.34</v>
      </c>
      <c r="J112" s="348">
        <v>2.46</v>
      </c>
      <c r="K112" s="348">
        <v>2.58</v>
      </c>
      <c r="L112" s="348">
        <v>2.68</v>
      </c>
      <c r="M112" s="348">
        <v>2.77</v>
      </c>
      <c r="N112" s="348">
        <v>2.85</v>
      </c>
      <c r="O112" s="348">
        <v>2.91</v>
      </c>
      <c r="P112" s="2281">
        <v>2.97</v>
      </c>
      <c r="Q112" s="348">
        <v>3</v>
      </c>
      <c r="R112" s="348">
        <v>3.03</v>
      </c>
      <c r="S112" s="348">
        <v>3.05</v>
      </c>
      <c r="T112" s="348">
        <v>3.08</v>
      </c>
      <c r="U112" s="348">
        <v>3.1</v>
      </c>
      <c r="V112" s="348">
        <v>3.1</v>
      </c>
      <c r="W112" s="348">
        <v>3.1</v>
      </c>
      <c r="X112" s="348">
        <v>3.1</v>
      </c>
      <c r="Y112" s="348">
        <v>3.1</v>
      </c>
      <c r="Z112" s="348">
        <v>3.1</v>
      </c>
      <c r="AA112" s="348">
        <v>3.1</v>
      </c>
      <c r="AB112" s="348">
        <v>3.09</v>
      </c>
      <c r="AC112" s="348">
        <v>3.08</v>
      </c>
      <c r="AD112" s="348">
        <v>3.08</v>
      </c>
      <c r="AE112" s="348">
        <v>3.07</v>
      </c>
      <c r="AF112" s="348">
        <v>3.07</v>
      </c>
      <c r="AG112" s="348">
        <v>3.06</v>
      </c>
      <c r="AH112" s="348">
        <v>3.06</v>
      </c>
      <c r="AI112" s="348">
        <v>3.06</v>
      </c>
      <c r="AJ112" s="348">
        <v>3.06</v>
      </c>
      <c r="AK112" s="348">
        <v>3.06</v>
      </c>
      <c r="AL112" s="348">
        <v>3.05</v>
      </c>
      <c r="AM112" s="348">
        <v>3.05</v>
      </c>
      <c r="AN112" s="348">
        <v>3.05</v>
      </c>
      <c r="AO112" s="348">
        <v>3.05</v>
      </c>
      <c r="AP112" s="348">
        <v>3.05</v>
      </c>
      <c r="AQ112" s="348">
        <v>3.05</v>
      </c>
      <c r="AR112" s="348">
        <v>3.05</v>
      </c>
      <c r="AS112" s="348">
        <v>3.04</v>
      </c>
      <c r="AT112" s="348">
        <v>3.04</v>
      </c>
      <c r="AU112" s="348">
        <v>3.04</v>
      </c>
      <c r="AV112" s="348">
        <v>3.04</v>
      </c>
      <c r="AW112" s="348">
        <v>3.04</v>
      </c>
      <c r="AX112" s="348">
        <v>3.04</v>
      </c>
      <c r="AY112" s="348">
        <v>3.04</v>
      </c>
      <c r="AZ112" s="59">
        <v>8.9999999999999993E-3</v>
      </c>
      <c r="BA112" s="104">
        <f t="shared" si="2"/>
        <v>0.89999999999999991</v>
      </c>
      <c r="BC112" s="436">
        <v>3.83</v>
      </c>
      <c r="BD112" s="678">
        <f t="shared" si="7"/>
        <v>30603.5</v>
      </c>
      <c r="BE112" s="678">
        <f t="shared" si="6"/>
        <v>28475</v>
      </c>
      <c r="BF112" s="678">
        <f t="shared" si="6"/>
        <v>24962</v>
      </c>
      <c r="BG112" s="678">
        <f t="shared" si="6"/>
        <v>18645</v>
      </c>
      <c r="BH112" s="678">
        <v>6</v>
      </c>
    </row>
    <row r="113" spans="1:60">
      <c r="A113" s="107">
        <v>42978</v>
      </c>
      <c r="B113" s="348">
        <v>1.38</v>
      </c>
      <c r="C113" s="348">
        <v>1.45</v>
      </c>
      <c r="D113" s="348">
        <v>1.56</v>
      </c>
      <c r="E113" s="348">
        <v>1.71</v>
      </c>
      <c r="F113" s="348">
        <v>1.87</v>
      </c>
      <c r="G113" s="348">
        <v>2.02</v>
      </c>
      <c r="H113" s="348">
        <v>2.17</v>
      </c>
      <c r="I113" s="348">
        <v>2.31</v>
      </c>
      <c r="J113" s="348">
        <v>2.4300000000000002</v>
      </c>
      <c r="K113" s="348">
        <v>2.5499999999999998</v>
      </c>
      <c r="L113" s="348">
        <v>2.66</v>
      </c>
      <c r="M113" s="348">
        <v>2.74</v>
      </c>
      <c r="N113" s="348">
        <v>2.82</v>
      </c>
      <c r="O113" s="348">
        <v>2.89</v>
      </c>
      <c r="P113" s="2281">
        <v>2.94</v>
      </c>
      <c r="Q113" s="348">
        <v>2.97</v>
      </c>
      <c r="R113" s="348">
        <v>3</v>
      </c>
      <c r="S113" s="348">
        <v>3.03</v>
      </c>
      <c r="T113" s="348">
        <v>3.05</v>
      </c>
      <c r="U113" s="348">
        <v>3.07</v>
      </c>
      <c r="V113" s="348">
        <v>3.07</v>
      </c>
      <c r="W113" s="348">
        <v>3.07</v>
      </c>
      <c r="X113" s="348">
        <v>3.08</v>
      </c>
      <c r="Y113" s="348">
        <v>3.08</v>
      </c>
      <c r="Z113" s="348">
        <v>3.08</v>
      </c>
      <c r="AA113" s="348">
        <v>3.07</v>
      </c>
      <c r="AB113" s="348">
        <v>3.06</v>
      </c>
      <c r="AC113" s="348">
        <v>3.06</v>
      </c>
      <c r="AD113" s="348">
        <v>3.05</v>
      </c>
      <c r="AE113" s="348">
        <v>3.05</v>
      </c>
      <c r="AF113" s="348">
        <v>3.05</v>
      </c>
      <c r="AG113" s="348">
        <v>3.04</v>
      </c>
      <c r="AH113" s="348">
        <v>3.04</v>
      </c>
      <c r="AI113" s="348">
        <v>3.04</v>
      </c>
      <c r="AJ113" s="348">
        <v>3.04</v>
      </c>
      <c r="AK113" s="348">
        <v>3.03</v>
      </c>
      <c r="AL113" s="348">
        <v>3.03</v>
      </c>
      <c r="AM113" s="348">
        <v>3.03</v>
      </c>
      <c r="AN113" s="348">
        <v>3.03</v>
      </c>
      <c r="AO113" s="348">
        <v>3.03</v>
      </c>
      <c r="AP113" s="348">
        <v>3.03</v>
      </c>
      <c r="AQ113" s="348">
        <v>3.03</v>
      </c>
      <c r="AR113" s="348">
        <v>3.02</v>
      </c>
      <c r="AS113" s="348">
        <v>3.02</v>
      </c>
      <c r="AT113" s="348">
        <v>3.02</v>
      </c>
      <c r="AU113" s="348">
        <v>3.02</v>
      </c>
      <c r="AV113" s="348">
        <v>3.02</v>
      </c>
      <c r="AW113" s="348">
        <v>3.02</v>
      </c>
      <c r="AX113" s="348">
        <v>3.02</v>
      </c>
      <c r="AY113" s="348">
        <v>3.02</v>
      </c>
      <c r="AZ113" s="59">
        <v>8.9999999999999993E-3</v>
      </c>
      <c r="BA113" s="104">
        <f t="shared" si="2"/>
        <v>0.89999999999999991</v>
      </c>
      <c r="BC113" s="436">
        <v>3.8</v>
      </c>
      <c r="BD113" s="678">
        <f t="shared" si="7"/>
        <v>30899.416666666668</v>
      </c>
      <c r="BE113" s="678">
        <f t="shared" si="6"/>
        <v>29052.5</v>
      </c>
      <c r="BF113" s="678">
        <f t="shared" si="6"/>
        <v>25142.333333333332</v>
      </c>
      <c r="BG113" s="678">
        <f t="shared" si="6"/>
        <v>18930</v>
      </c>
      <c r="BH113" s="678">
        <v>7</v>
      </c>
    </row>
    <row r="114" spans="1:60">
      <c r="A114" s="107">
        <v>43008</v>
      </c>
      <c r="B114" s="348">
        <v>1.36</v>
      </c>
      <c r="C114" s="348">
        <v>1.42</v>
      </c>
      <c r="D114" s="348">
        <v>1.53</v>
      </c>
      <c r="E114" s="348">
        <v>1.68</v>
      </c>
      <c r="F114" s="348">
        <v>1.84</v>
      </c>
      <c r="G114" s="348">
        <v>1.99</v>
      </c>
      <c r="H114" s="348">
        <v>2.14</v>
      </c>
      <c r="I114" s="348">
        <v>2.2799999999999998</v>
      </c>
      <c r="J114" s="348">
        <v>2.4</v>
      </c>
      <c r="K114" s="348">
        <v>2.52</v>
      </c>
      <c r="L114" s="348">
        <v>2.63</v>
      </c>
      <c r="M114" s="348">
        <v>2.71</v>
      </c>
      <c r="N114" s="348">
        <v>2.79</v>
      </c>
      <c r="O114" s="348">
        <v>2.86</v>
      </c>
      <c r="P114" s="2281">
        <v>2.91</v>
      </c>
      <c r="Q114" s="348">
        <v>2.95</v>
      </c>
      <c r="R114" s="348">
        <v>2.97</v>
      </c>
      <c r="S114" s="348">
        <v>3</v>
      </c>
      <c r="T114" s="348">
        <v>3.02</v>
      </c>
      <c r="U114" s="348">
        <v>3.04</v>
      </c>
      <c r="V114" s="348">
        <v>3.05</v>
      </c>
      <c r="W114" s="348">
        <v>3.05</v>
      </c>
      <c r="X114" s="348">
        <v>3.05</v>
      </c>
      <c r="Y114" s="348">
        <v>3.05</v>
      </c>
      <c r="Z114" s="348">
        <v>3.05</v>
      </c>
      <c r="AA114" s="348">
        <v>3.05</v>
      </c>
      <c r="AB114" s="348">
        <v>3.04</v>
      </c>
      <c r="AC114" s="348">
        <v>3.03</v>
      </c>
      <c r="AD114" s="348">
        <v>3.03</v>
      </c>
      <c r="AE114" s="348">
        <v>3.02</v>
      </c>
      <c r="AF114" s="348">
        <v>3.02</v>
      </c>
      <c r="AG114" s="348">
        <v>3.02</v>
      </c>
      <c r="AH114" s="348">
        <v>3.02</v>
      </c>
      <c r="AI114" s="348">
        <v>3.02</v>
      </c>
      <c r="AJ114" s="348">
        <v>3.01</v>
      </c>
      <c r="AK114" s="348">
        <v>3.01</v>
      </c>
      <c r="AL114" s="348">
        <v>3.01</v>
      </c>
      <c r="AM114" s="348">
        <v>3.01</v>
      </c>
      <c r="AN114" s="348">
        <v>3.01</v>
      </c>
      <c r="AO114" s="348">
        <v>3.01</v>
      </c>
      <c r="AP114" s="348">
        <v>3.01</v>
      </c>
      <c r="AQ114" s="348">
        <v>3</v>
      </c>
      <c r="AR114" s="348">
        <v>3</v>
      </c>
      <c r="AS114" s="348">
        <v>3</v>
      </c>
      <c r="AT114" s="348">
        <v>3</v>
      </c>
      <c r="AU114" s="348">
        <v>3</v>
      </c>
      <c r="AV114" s="348">
        <v>3</v>
      </c>
      <c r="AW114" s="348">
        <v>3</v>
      </c>
      <c r="AX114" s="348">
        <v>3</v>
      </c>
      <c r="AY114" s="348">
        <v>3</v>
      </c>
      <c r="AZ114" s="59">
        <v>8.9999999999999993E-3</v>
      </c>
      <c r="BA114" s="104">
        <f t="shared" si="2"/>
        <v>0.89999999999999991</v>
      </c>
      <c r="BC114" s="436">
        <v>3.77</v>
      </c>
      <c r="BD114" s="678">
        <f t="shared" si="7"/>
        <v>31195.333333333332</v>
      </c>
      <c r="BE114" s="678">
        <f t="shared" si="6"/>
        <v>29630</v>
      </c>
      <c r="BF114" s="678">
        <f t="shared" si="6"/>
        <v>25322.666666666668</v>
      </c>
      <c r="BG114" s="678">
        <f t="shared" si="6"/>
        <v>19215</v>
      </c>
      <c r="BH114" s="678">
        <v>8</v>
      </c>
    </row>
    <row r="115" spans="1:60">
      <c r="A115" s="107">
        <v>43039</v>
      </c>
      <c r="B115" s="348">
        <v>1.33</v>
      </c>
      <c r="C115" s="348">
        <v>1.39</v>
      </c>
      <c r="D115" s="348">
        <v>1.5</v>
      </c>
      <c r="E115" s="348">
        <v>1.65</v>
      </c>
      <c r="F115" s="348">
        <v>1.8</v>
      </c>
      <c r="G115" s="348">
        <v>1.96</v>
      </c>
      <c r="H115" s="348">
        <v>2.11</v>
      </c>
      <c r="I115" s="348">
        <v>2.2400000000000002</v>
      </c>
      <c r="J115" s="348">
        <v>2.37</v>
      </c>
      <c r="K115" s="348">
        <v>2.4900000000000002</v>
      </c>
      <c r="L115" s="348">
        <v>2.59</v>
      </c>
      <c r="M115" s="348">
        <v>2.68</v>
      </c>
      <c r="N115" s="348">
        <v>2.76</v>
      </c>
      <c r="O115" s="348">
        <v>2.82</v>
      </c>
      <c r="P115" s="2281">
        <v>2.88</v>
      </c>
      <c r="Q115" s="348">
        <v>2.91</v>
      </c>
      <c r="R115" s="348">
        <v>2.94</v>
      </c>
      <c r="S115" s="348">
        <v>2.97</v>
      </c>
      <c r="T115" s="348">
        <v>2.99</v>
      </c>
      <c r="U115" s="348">
        <v>3.01</v>
      </c>
      <c r="V115" s="348">
        <v>3.02</v>
      </c>
      <c r="W115" s="348">
        <v>3.02</v>
      </c>
      <c r="X115" s="348">
        <v>3.02</v>
      </c>
      <c r="Y115" s="348">
        <v>3.02</v>
      </c>
      <c r="Z115" s="348">
        <v>3.02</v>
      </c>
      <c r="AA115" s="348">
        <v>3.02</v>
      </c>
      <c r="AB115" s="348">
        <v>3.01</v>
      </c>
      <c r="AC115" s="348">
        <v>3.01</v>
      </c>
      <c r="AD115" s="348">
        <v>3</v>
      </c>
      <c r="AE115" s="348">
        <v>3</v>
      </c>
      <c r="AF115" s="348">
        <v>3</v>
      </c>
      <c r="AG115" s="348">
        <v>3</v>
      </c>
      <c r="AH115" s="348">
        <v>2.99</v>
      </c>
      <c r="AI115" s="348">
        <v>2.99</v>
      </c>
      <c r="AJ115" s="348">
        <v>2.99</v>
      </c>
      <c r="AK115" s="348">
        <v>2.99</v>
      </c>
      <c r="AL115" s="348">
        <v>2.99</v>
      </c>
      <c r="AM115" s="348">
        <v>2.99</v>
      </c>
      <c r="AN115" s="348">
        <v>2.99</v>
      </c>
      <c r="AO115" s="348">
        <v>2.98</v>
      </c>
      <c r="AP115" s="348">
        <v>2.98</v>
      </c>
      <c r="AQ115" s="348">
        <v>2.98</v>
      </c>
      <c r="AR115" s="348">
        <v>2.98</v>
      </c>
      <c r="AS115" s="348">
        <v>2.98</v>
      </c>
      <c r="AT115" s="348">
        <v>2.98</v>
      </c>
      <c r="AU115" s="348">
        <v>2.98</v>
      </c>
      <c r="AV115" s="348">
        <v>2.98</v>
      </c>
      <c r="AW115" s="348">
        <v>2.98</v>
      </c>
      <c r="AX115" s="348">
        <v>2.98</v>
      </c>
      <c r="AY115" s="348">
        <v>2.98</v>
      </c>
      <c r="AZ115" s="59">
        <v>8.9999999999999993E-3</v>
      </c>
      <c r="BA115" s="104">
        <f t="shared" si="2"/>
        <v>0.89999999999999991</v>
      </c>
      <c r="BC115" s="436">
        <v>3.74</v>
      </c>
      <c r="BD115" s="678">
        <f t="shared" si="7"/>
        <v>31491.25</v>
      </c>
      <c r="BE115" s="678">
        <f t="shared" si="6"/>
        <v>30207.5</v>
      </c>
      <c r="BF115" s="678">
        <f t="shared" si="6"/>
        <v>25503</v>
      </c>
      <c r="BG115" s="678">
        <f t="shared" si="6"/>
        <v>19500</v>
      </c>
      <c r="BH115" s="678">
        <v>9</v>
      </c>
    </row>
    <row r="116" spans="1:60">
      <c r="A116" s="107">
        <v>43069</v>
      </c>
      <c r="B116" s="348">
        <v>1.29</v>
      </c>
      <c r="C116" s="348">
        <v>1.36</v>
      </c>
      <c r="D116" s="348">
        <v>1.47</v>
      </c>
      <c r="E116" s="348">
        <v>1.61</v>
      </c>
      <c r="F116" s="348">
        <v>1.76</v>
      </c>
      <c r="G116" s="348">
        <v>1.92</v>
      </c>
      <c r="H116" s="348">
        <v>2.0699999999999998</v>
      </c>
      <c r="I116" s="348">
        <v>2.2000000000000002</v>
      </c>
      <c r="J116" s="348">
        <v>2.33</v>
      </c>
      <c r="K116" s="348">
        <v>2.4500000000000002</v>
      </c>
      <c r="L116" s="348">
        <v>2.5499999999999998</v>
      </c>
      <c r="M116" s="348">
        <v>2.64</v>
      </c>
      <c r="N116" s="348">
        <v>2.72</v>
      </c>
      <c r="O116" s="348">
        <v>2.79</v>
      </c>
      <c r="P116" s="2281">
        <v>2.84</v>
      </c>
      <c r="Q116" s="348">
        <v>2.88</v>
      </c>
      <c r="R116" s="348">
        <v>2.91</v>
      </c>
      <c r="S116" s="348">
        <v>2.93</v>
      </c>
      <c r="T116" s="348">
        <v>2.95</v>
      </c>
      <c r="U116" s="348">
        <v>2.98</v>
      </c>
      <c r="V116" s="348">
        <v>2.98</v>
      </c>
      <c r="W116" s="348">
        <v>2.98</v>
      </c>
      <c r="X116" s="348">
        <v>2.99</v>
      </c>
      <c r="Y116" s="348">
        <v>2.99</v>
      </c>
      <c r="Z116" s="348">
        <v>2.99</v>
      </c>
      <c r="AA116" s="348">
        <v>2.99</v>
      </c>
      <c r="AB116" s="348">
        <v>2.98</v>
      </c>
      <c r="AC116" s="348">
        <v>2.98</v>
      </c>
      <c r="AD116" s="348">
        <v>2.97</v>
      </c>
      <c r="AE116" s="348">
        <v>2.97</v>
      </c>
      <c r="AF116" s="348">
        <v>2.97</v>
      </c>
      <c r="AG116" s="348">
        <v>2.97</v>
      </c>
      <c r="AH116" s="348">
        <v>2.96</v>
      </c>
      <c r="AI116" s="348">
        <v>2.96</v>
      </c>
      <c r="AJ116" s="348">
        <v>2.96</v>
      </c>
      <c r="AK116" s="348">
        <v>2.96</v>
      </c>
      <c r="AL116" s="348">
        <v>2.96</v>
      </c>
      <c r="AM116" s="348">
        <v>2.96</v>
      </c>
      <c r="AN116" s="348">
        <v>2.96</v>
      </c>
      <c r="AO116" s="348">
        <v>2.96</v>
      </c>
      <c r="AP116" s="348">
        <v>2.96</v>
      </c>
      <c r="AQ116" s="348">
        <v>2.95</v>
      </c>
      <c r="AR116" s="348">
        <v>2.95</v>
      </c>
      <c r="AS116" s="348">
        <v>2.95</v>
      </c>
      <c r="AT116" s="348">
        <v>2.95</v>
      </c>
      <c r="AU116" s="348">
        <v>2.95</v>
      </c>
      <c r="AV116" s="348">
        <v>2.95</v>
      </c>
      <c r="AW116" s="348">
        <v>2.95</v>
      </c>
      <c r="AX116" s="348">
        <v>2.95</v>
      </c>
      <c r="AY116" s="348">
        <v>2.95</v>
      </c>
      <c r="AZ116" s="59">
        <v>8.9999999999999993E-3</v>
      </c>
      <c r="BA116" s="104">
        <f t="shared" si="2"/>
        <v>0.89999999999999991</v>
      </c>
      <c r="BC116" s="436">
        <v>3.71</v>
      </c>
      <c r="BD116" s="678">
        <f t="shared" si="7"/>
        <v>31787.166666666668</v>
      </c>
      <c r="BE116" s="678">
        <f t="shared" si="6"/>
        <v>30785</v>
      </c>
      <c r="BF116" s="678">
        <f t="shared" si="6"/>
        <v>25683.333333333332</v>
      </c>
      <c r="BG116" s="678">
        <f t="shared" si="6"/>
        <v>19785</v>
      </c>
      <c r="BH116" s="678">
        <v>10</v>
      </c>
    </row>
    <row r="117" spans="1:60">
      <c r="A117" s="107">
        <v>43100</v>
      </c>
      <c r="B117" s="348">
        <v>1.26</v>
      </c>
      <c r="C117" s="348">
        <v>1.33</v>
      </c>
      <c r="D117" s="348">
        <v>1.43</v>
      </c>
      <c r="E117" s="348">
        <v>1.58</v>
      </c>
      <c r="F117" s="348">
        <v>1.73</v>
      </c>
      <c r="G117" s="348">
        <v>1.88</v>
      </c>
      <c r="H117" s="348">
        <v>2.02</v>
      </c>
      <c r="I117" s="348">
        <v>2.16</v>
      </c>
      <c r="J117" s="348">
        <v>2.29</v>
      </c>
      <c r="K117" s="348">
        <v>2.4</v>
      </c>
      <c r="L117" s="348">
        <v>2.5099999999999998</v>
      </c>
      <c r="M117" s="348">
        <v>2.6</v>
      </c>
      <c r="N117" s="348">
        <v>2.68</v>
      </c>
      <c r="O117" s="348">
        <v>2.74</v>
      </c>
      <c r="P117" s="2281">
        <v>2.8</v>
      </c>
      <c r="Q117" s="348">
        <v>2.83</v>
      </c>
      <c r="R117" s="348">
        <v>2.86</v>
      </c>
      <c r="S117" s="348">
        <v>2.89</v>
      </c>
      <c r="T117" s="348">
        <v>2.91</v>
      </c>
      <c r="U117" s="348">
        <v>2.94</v>
      </c>
      <c r="V117" s="348">
        <v>2.94</v>
      </c>
      <c r="W117" s="348">
        <v>2.94</v>
      </c>
      <c r="X117" s="348">
        <v>2.95</v>
      </c>
      <c r="Y117" s="348">
        <v>2.95</v>
      </c>
      <c r="Z117" s="348">
        <v>2.95</v>
      </c>
      <c r="AA117" s="348">
        <v>2.95</v>
      </c>
      <c r="AB117" s="348">
        <v>2.94</v>
      </c>
      <c r="AC117" s="348">
        <v>2.94</v>
      </c>
      <c r="AD117" s="348">
        <v>2.94</v>
      </c>
      <c r="AE117" s="348">
        <v>2.93</v>
      </c>
      <c r="AF117" s="348">
        <v>2.93</v>
      </c>
      <c r="AG117" s="348">
        <v>2.93</v>
      </c>
      <c r="AH117" s="348">
        <v>2.93</v>
      </c>
      <c r="AI117" s="348">
        <v>2.93</v>
      </c>
      <c r="AJ117" s="348">
        <v>2.93</v>
      </c>
      <c r="AK117" s="348">
        <v>2.93</v>
      </c>
      <c r="AL117" s="348">
        <v>2.93</v>
      </c>
      <c r="AM117" s="348">
        <v>2.93</v>
      </c>
      <c r="AN117" s="348">
        <v>2.93</v>
      </c>
      <c r="AO117" s="348">
        <v>2.92</v>
      </c>
      <c r="AP117" s="348">
        <v>2.92</v>
      </c>
      <c r="AQ117" s="348">
        <v>2.92</v>
      </c>
      <c r="AR117" s="348">
        <v>2.92</v>
      </c>
      <c r="AS117" s="348">
        <v>2.92</v>
      </c>
      <c r="AT117" s="348">
        <v>2.92</v>
      </c>
      <c r="AU117" s="348">
        <v>2.92</v>
      </c>
      <c r="AV117" s="348">
        <v>2.92</v>
      </c>
      <c r="AW117" s="348">
        <v>2.92</v>
      </c>
      <c r="AX117" s="348">
        <v>2.92</v>
      </c>
      <c r="AY117" s="348">
        <v>2.92</v>
      </c>
      <c r="AZ117" s="59">
        <v>8.9999999999999993E-3</v>
      </c>
      <c r="BA117" s="104">
        <f t="shared" si="2"/>
        <v>0.89999999999999991</v>
      </c>
      <c r="BC117" s="436">
        <v>3.68</v>
      </c>
      <c r="BD117" s="678">
        <f t="shared" si="7"/>
        <v>32083.083333333332</v>
      </c>
      <c r="BE117" s="678">
        <f t="shared" si="6"/>
        <v>31362.5</v>
      </c>
      <c r="BF117" s="678">
        <f t="shared" si="6"/>
        <v>25863.666666666668</v>
      </c>
      <c r="BG117" s="678">
        <f t="shared" si="6"/>
        <v>20070</v>
      </c>
      <c r="BH117" s="678">
        <v>11</v>
      </c>
    </row>
    <row r="118" spans="1:60" ht="12.75" customHeight="1">
      <c r="A118" s="107">
        <v>43131</v>
      </c>
      <c r="B118" s="348">
        <v>1.23</v>
      </c>
      <c r="C118" s="348">
        <v>1.29</v>
      </c>
      <c r="D118" s="348">
        <v>1.39</v>
      </c>
      <c r="E118" s="348">
        <v>1.54</v>
      </c>
      <c r="F118" s="348">
        <v>1.68</v>
      </c>
      <c r="G118" s="348">
        <v>1.84</v>
      </c>
      <c r="H118" s="348">
        <v>1.98</v>
      </c>
      <c r="I118" s="348">
        <v>2.12</v>
      </c>
      <c r="J118" s="348">
        <v>2.25</v>
      </c>
      <c r="K118" s="348">
        <v>2.36</v>
      </c>
      <c r="L118" s="348">
        <v>2.4700000000000002</v>
      </c>
      <c r="M118" s="348">
        <v>2.56</v>
      </c>
      <c r="N118" s="348">
        <v>2.63</v>
      </c>
      <c r="O118" s="348">
        <v>2.7</v>
      </c>
      <c r="P118" s="2281">
        <v>2.76</v>
      </c>
      <c r="Q118" s="348">
        <v>2.79</v>
      </c>
      <c r="R118" s="348">
        <v>2.82</v>
      </c>
      <c r="S118" s="348">
        <v>2.85</v>
      </c>
      <c r="T118" s="348">
        <v>2.87</v>
      </c>
      <c r="U118" s="348">
        <v>2.89</v>
      </c>
      <c r="V118" s="348">
        <v>2.9</v>
      </c>
      <c r="W118" s="348">
        <v>2.9</v>
      </c>
      <c r="X118" s="348">
        <v>2.91</v>
      </c>
      <c r="Y118" s="348">
        <v>2.91</v>
      </c>
      <c r="Z118" s="348">
        <v>2.91</v>
      </c>
      <c r="AA118" s="348">
        <v>2.91</v>
      </c>
      <c r="AB118" s="348">
        <v>2.91</v>
      </c>
      <c r="AC118" s="348">
        <v>2.9</v>
      </c>
      <c r="AD118" s="348">
        <v>2.9</v>
      </c>
      <c r="AE118" s="348">
        <v>2.9</v>
      </c>
      <c r="AF118" s="348">
        <v>2.89</v>
      </c>
      <c r="AG118" s="348">
        <v>2.89</v>
      </c>
      <c r="AH118" s="348">
        <v>2.89</v>
      </c>
      <c r="AI118" s="348">
        <v>2.89</v>
      </c>
      <c r="AJ118" s="348">
        <v>2.89</v>
      </c>
      <c r="AK118" s="348">
        <v>2.89</v>
      </c>
      <c r="AL118" s="348">
        <v>2.89</v>
      </c>
      <c r="AM118" s="348">
        <v>2.89</v>
      </c>
      <c r="AN118" s="348">
        <v>2.89</v>
      </c>
      <c r="AO118" s="348">
        <v>2.89</v>
      </c>
      <c r="AP118" s="348">
        <v>2.89</v>
      </c>
      <c r="AQ118" s="348">
        <v>2.89</v>
      </c>
      <c r="AR118" s="348">
        <v>2.89</v>
      </c>
      <c r="AS118" s="348">
        <v>2.89</v>
      </c>
      <c r="AT118" s="348">
        <v>2.89</v>
      </c>
      <c r="AU118" s="348">
        <v>2.88</v>
      </c>
      <c r="AV118" s="348">
        <v>2.88</v>
      </c>
      <c r="AW118" s="348">
        <v>2.88</v>
      </c>
      <c r="AX118" s="348">
        <v>2.88</v>
      </c>
      <c r="AY118" s="348">
        <v>2.88</v>
      </c>
      <c r="AZ118" s="59">
        <v>8.9999999999999993E-3</v>
      </c>
      <c r="BA118" s="104">
        <f t="shared" si="2"/>
        <v>0.89999999999999991</v>
      </c>
      <c r="BC118" s="436">
        <v>3.64</v>
      </c>
      <c r="BD118" s="679">
        <v>32379</v>
      </c>
      <c r="BE118" s="679">
        <v>31940</v>
      </c>
      <c r="BF118" s="679">
        <v>26044</v>
      </c>
      <c r="BG118" s="679">
        <v>20355</v>
      </c>
    </row>
    <row r="119" spans="1:60">
      <c r="A119" s="107">
        <v>43159</v>
      </c>
      <c r="B119" s="348">
        <v>1.19</v>
      </c>
      <c r="C119" s="348">
        <v>1.25</v>
      </c>
      <c r="D119" s="348">
        <v>1.35</v>
      </c>
      <c r="E119" s="348">
        <v>1.5</v>
      </c>
      <c r="F119" s="348">
        <v>1.64</v>
      </c>
      <c r="G119" s="348">
        <v>1.8</v>
      </c>
      <c r="H119" s="348">
        <v>1.94</v>
      </c>
      <c r="I119" s="348">
        <v>2.08</v>
      </c>
      <c r="J119" s="348">
        <v>2.21</v>
      </c>
      <c r="K119" s="348">
        <v>2.3199999999999998</v>
      </c>
      <c r="L119" s="348">
        <v>2.4300000000000002</v>
      </c>
      <c r="M119" s="348">
        <v>2.52</v>
      </c>
      <c r="N119" s="348">
        <v>2.59</v>
      </c>
      <c r="O119" s="348">
        <v>2.66</v>
      </c>
      <c r="P119" s="2281">
        <v>2.72</v>
      </c>
      <c r="Q119" s="348">
        <v>2.75</v>
      </c>
      <c r="R119" s="348">
        <v>2.78</v>
      </c>
      <c r="S119" s="348">
        <v>2.81</v>
      </c>
      <c r="T119" s="348">
        <v>2.83</v>
      </c>
      <c r="U119" s="348">
        <v>2.85</v>
      </c>
      <c r="V119" s="348">
        <v>2.86</v>
      </c>
      <c r="W119" s="348">
        <v>2.86</v>
      </c>
      <c r="X119" s="348">
        <v>2.87</v>
      </c>
      <c r="Y119" s="348">
        <v>2.87</v>
      </c>
      <c r="Z119" s="348">
        <v>2.88</v>
      </c>
      <c r="AA119" s="348">
        <v>2.87</v>
      </c>
      <c r="AB119" s="348">
        <v>2.87</v>
      </c>
      <c r="AC119" s="348">
        <v>2.87</v>
      </c>
      <c r="AD119" s="348">
        <v>2.86</v>
      </c>
      <c r="AE119" s="348">
        <v>2.86</v>
      </c>
      <c r="AF119" s="348">
        <v>2.86</v>
      </c>
      <c r="AG119" s="348">
        <v>2.86</v>
      </c>
      <c r="AH119" s="348">
        <v>2.86</v>
      </c>
      <c r="AI119" s="348">
        <v>2.86</v>
      </c>
      <c r="AJ119" s="348">
        <v>2.86</v>
      </c>
      <c r="AK119" s="348">
        <v>2.86</v>
      </c>
      <c r="AL119" s="348">
        <v>2.86</v>
      </c>
      <c r="AM119" s="348">
        <v>2.86</v>
      </c>
      <c r="AN119" s="348">
        <v>2.86</v>
      </c>
      <c r="AO119" s="348">
        <v>2.86</v>
      </c>
      <c r="AP119" s="348">
        <v>2.86</v>
      </c>
      <c r="AQ119" s="348">
        <v>2.86</v>
      </c>
      <c r="AR119" s="348">
        <v>2.85</v>
      </c>
      <c r="AS119" s="348">
        <v>2.85</v>
      </c>
      <c r="AT119" s="348">
        <v>2.85</v>
      </c>
      <c r="AU119" s="348">
        <v>2.85</v>
      </c>
      <c r="AV119" s="348">
        <v>2.85</v>
      </c>
      <c r="AW119" s="348">
        <v>2.85</v>
      </c>
      <c r="AX119" s="348">
        <v>2.85</v>
      </c>
      <c r="AY119" s="348">
        <v>2.85</v>
      </c>
      <c r="AZ119" s="59">
        <v>8.9999999999999993E-3</v>
      </c>
      <c r="BA119" s="104">
        <f t="shared" si="2"/>
        <v>0.89999999999999991</v>
      </c>
      <c r="BC119" s="436">
        <v>3.61</v>
      </c>
      <c r="BD119" s="678">
        <f>BD$118+(BD$130-BD$118)/12*$BH119</f>
        <v>32746.916666666668</v>
      </c>
      <c r="BE119" s="678">
        <f t="shared" ref="BE119:BG129" si="8">BE$118+(BE$130-BE$118)/12*$BH119</f>
        <v>32764.333333333332</v>
      </c>
      <c r="BF119" s="678">
        <f t="shared" si="8"/>
        <v>26326.25</v>
      </c>
      <c r="BG119" s="678">
        <f t="shared" si="8"/>
        <v>20855.583333333332</v>
      </c>
      <c r="BH119" s="678">
        <v>1</v>
      </c>
    </row>
    <row r="120" spans="1:60" ht="12.75" customHeight="1">
      <c r="A120" s="107">
        <v>43190</v>
      </c>
      <c r="B120" s="348">
        <v>1.1599999999999999</v>
      </c>
      <c r="C120" s="348">
        <v>1.21</v>
      </c>
      <c r="D120" s="348">
        <v>1.31</v>
      </c>
      <c r="E120" s="348">
        <v>1.45</v>
      </c>
      <c r="F120" s="348">
        <v>1.6</v>
      </c>
      <c r="G120" s="348">
        <v>1.76</v>
      </c>
      <c r="H120" s="348">
        <v>1.9</v>
      </c>
      <c r="I120" s="348">
        <v>2.04</v>
      </c>
      <c r="J120" s="348">
        <v>2.16</v>
      </c>
      <c r="K120" s="348">
        <v>2.2799999999999998</v>
      </c>
      <c r="L120" s="348">
        <v>2.39</v>
      </c>
      <c r="M120" s="348">
        <v>2.48</v>
      </c>
      <c r="N120" s="348">
        <v>2.5499999999999998</v>
      </c>
      <c r="O120" s="348">
        <v>2.62</v>
      </c>
      <c r="P120" s="2281">
        <v>2.68</v>
      </c>
      <c r="Q120" s="348">
        <v>2.71</v>
      </c>
      <c r="R120" s="348">
        <v>2.74</v>
      </c>
      <c r="S120" s="348">
        <v>2.77</v>
      </c>
      <c r="T120" s="348">
        <v>2.79</v>
      </c>
      <c r="U120" s="348">
        <v>2.81</v>
      </c>
      <c r="V120" s="348">
        <v>2.82</v>
      </c>
      <c r="W120" s="348">
        <v>2.82</v>
      </c>
      <c r="X120" s="348">
        <v>2.83</v>
      </c>
      <c r="Y120" s="348">
        <v>2.83</v>
      </c>
      <c r="Z120" s="348">
        <v>2.84</v>
      </c>
      <c r="AA120" s="348">
        <v>2.83</v>
      </c>
      <c r="AB120" s="348">
        <v>2.83</v>
      </c>
      <c r="AC120" s="348">
        <v>2.83</v>
      </c>
      <c r="AD120" s="348">
        <v>2.82</v>
      </c>
      <c r="AE120" s="348">
        <v>2.82</v>
      </c>
      <c r="AF120" s="348">
        <v>2.82</v>
      </c>
      <c r="AG120" s="348">
        <v>2.82</v>
      </c>
      <c r="AH120" s="348">
        <v>2.82</v>
      </c>
      <c r="AI120" s="348">
        <v>2.82</v>
      </c>
      <c r="AJ120" s="348">
        <v>2.82</v>
      </c>
      <c r="AK120" s="348">
        <v>2.82</v>
      </c>
      <c r="AL120" s="348">
        <v>2.82</v>
      </c>
      <c r="AM120" s="348">
        <v>2.82</v>
      </c>
      <c r="AN120" s="348">
        <v>2.82</v>
      </c>
      <c r="AO120" s="348">
        <v>2.82</v>
      </c>
      <c r="AP120" s="348">
        <v>2.82</v>
      </c>
      <c r="AQ120" s="348">
        <v>2.82</v>
      </c>
      <c r="AR120" s="348">
        <v>2.82</v>
      </c>
      <c r="AS120" s="348">
        <v>2.82</v>
      </c>
      <c r="AT120" s="348">
        <v>2.82</v>
      </c>
      <c r="AU120" s="348">
        <v>2.82</v>
      </c>
      <c r="AV120" s="348">
        <v>2.82</v>
      </c>
      <c r="AW120" s="348">
        <v>2.82</v>
      </c>
      <c r="AX120" s="348">
        <v>2.82</v>
      </c>
      <c r="AY120" s="348">
        <v>2.82</v>
      </c>
      <c r="AZ120" s="59">
        <v>8.9999999999999993E-3</v>
      </c>
      <c r="BA120" s="104">
        <f t="shared" si="2"/>
        <v>0.89999999999999991</v>
      </c>
      <c r="BC120" s="436">
        <v>3.57</v>
      </c>
      <c r="BD120" s="678">
        <f t="shared" ref="BD120:BD129" si="9">BD$118+(BD$130-BD$118)/12*$BH120</f>
        <v>33114.833333333336</v>
      </c>
      <c r="BE120" s="678">
        <f t="shared" si="8"/>
        <v>33588.666666666664</v>
      </c>
      <c r="BF120" s="678">
        <f t="shared" si="8"/>
        <v>26608.5</v>
      </c>
      <c r="BG120" s="678">
        <f t="shared" si="8"/>
        <v>21356.166666666668</v>
      </c>
      <c r="BH120" s="678">
        <v>2</v>
      </c>
    </row>
    <row r="121" spans="1:60">
      <c r="A121" s="107">
        <v>43220</v>
      </c>
      <c r="B121" s="348">
        <v>1.1200000000000001</v>
      </c>
      <c r="C121" s="348">
        <v>1.17</v>
      </c>
      <c r="D121" s="348">
        <v>1.27</v>
      </c>
      <c r="E121" s="348">
        <v>1.41</v>
      </c>
      <c r="F121" s="348">
        <v>1.56</v>
      </c>
      <c r="G121" s="348">
        <v>1.72</v>
      </c>
      <c r="H121" s="348">
        <v>1.86</v>
      </c>
      <c r="I121" s="348">
        <v>2</v>
      </c>
      <c r="J121" s="348">
        <v>2.12</v>
      </c>
      <c r="K121" s="348">
        <v>2.2400000000000002</v>
      </c>
      <c r="L121" s="348">
        <v>2.35</v>
      </c>
      <c r="M121" s="348">
        <v>2.44</v>
      </c>
      <c r="N121" s="348">
        <v>2.5099999999999998</v>
      </c>
      <c r="O121" s="348">
        <v>2.58</v>
      </c>
      <c r="P121" s="2281">
        <v>2.64</v>
      </c>
      <c r="Q121" s="348">
        <v>2.67</v>
      </c>
      <c r="R121" s="348">
        <v>2.7</v>
      </c>
      <c r="S121" s="348">
        <v>2.73</v>
      </c>
      <c r="T121" s="348">
        <v>2.75</v>
      </c>
      <c r="U121" s="348">
        <v>2.77</v>
      </c>
      <c r="V121" s="348">
        <v>2.78</v>
      </c>
      <c r="W121" s="348">
        <v>2.79</v>
      </c>
      <c r="X121" s="348">
        <v>2.79</v>
      </c>
      <c r="Y121" s="348">
        <v>2.8</v>
      </c>
      <c r="Z121" s="348">
        <v>2.8</v>
      </c>
      <c r="AA121" s="348">
        <v>2.8</v>
      </c>
      <c r="AB121" s="348">
        <v>2.79</v>
      </c>
      <c r="AC121" s="348">
        <v>2.79</v>
      </c>
      <c r="AD121" s="348">
        <v>2.79</v>
      </c>
      <c r="AE121" s="348">
        <v>2.79</v>
      </c>
      <c r="AF121" s="348">
        <v>2.79</v>
      </c>
      <c r="AG121" s="348">
        <v>2.79</v>
      </c>
      <c r="AH121" s="348">
        <v>2.79</v>
      </c>
      <c r="AI121" s="348">
        <v>2.79</v>
      </c>
      <c r="AJ121" s="348">
        <v>2.79</v>
      </c>
      <c r="AK121" s="348">
        <v>2.79</v>
      </c>
      <c r="AL121" s="348">
        <v>2.79</v>
      </c>
      <c r="AM121" s="348">
        <v>2.79</v>
      </c>
      <c r="AN121" s="348">
        <v>2.79</v>
      </c>
      <c r="AO121" s="348">
        <v>2.79</v>
      </c>
      <c r="AP121" s="348">
        <v>2.79</v>
      </c>
      <c r="AQ121" s="348">
        <v>2.79</v>
      </c>
      <c r="AR121" s="348">
        <v>2.79</v>
      </c>
      <c r="AS121" s="348">
        <v>2.79</v>
      </c>
      <c r="AT121" s="348">
        <v>2.79</v>
      </c>
      <c r="AU121" s="348">
        <v>2.79</v>
      </c>
      <c r="AV121" s="348">
        <v>2.78</v>
      </c>
      <c r="AW121" s="348">
        <v>2.78</v>
      </c>
      <c r="AX121" s="348">
        <v>2.78</v>
      </c>
      <c r="AY121" s="348">
        <v>2.78</v>
      </c>
      <c r="AZ121" s="59">
        <v>8.9999999999999993E-3</v>
      </c>
      <c r="BA121" s="104">
        <f t="shared" si="2"/>
        <v>0.89999999999999991</v>
      </c>
      <c r="BC121" s="436">
        <v>3.53</v>
      </c>
      <c r="BD121" s="678">
        <f t="shared" si="9"/>
        <v>33482.75</v>
      </c>
      <c r="BE121" s="678">
        <f t="shared" si="8"/>
        <v>34413</v>
      </c>
      <c r="BF121" s="678">
        <f t="shared" si="8"/>
        <v>26890.75</v>
      </c>
      <c r="BG121" s="678">
        <f t="shared" si="8"/>
        <v>21856.75</v>
      </c>
      <c r="BH121" s="678">
        <v>3</v>
      </c>
    </row>
    <row r="122" spans="1:60">
      <c r="A122" s="107">
        <v>43251</v>
      </c>
      <c r="B122" s="348">
        <v>1.0900000000000001</v>
      </c>
      <c r="C122" s="348">
        <v>1.1399999999999999</v>
      </c>
      <c r="D122" s="348">
        <v>1.24</v>
      </c>
      <c r="E122" s="348">
        <v>1.38</v>
      </c>
      <c r="F122" s="348">
        <v>1.52</v>
      </c>
      <c r="G122" s="348">
        <v>1.68</v>
      </c>
      <c r="H122" s="348">
        <v>1.82</v>
      </c>
      <c r="I122" s="348">
        <v>1.96</v>
      </c>
      <c r="J122" s="348">
        <v>2.08</v>
      </c>
      <c r="K122" s="348">
        <v>2.2000000000000002</v>
      </c>
      <c r="L122" s="348">
        <v>2.31</v>
      </c>
      <c r="M122" s="348">
        <v>2.4</v>
      </c>
      <c r="N122" s="348">
        <v>2.4700000000000002</v>
      </c>
      <c r="O122" s="348">
        <v>2.54</v>
      </c>
      <c r="P122" s="2281">
        <v>2.6</v>
      </c>
      <c r="Q122" s="348">
        <v>2.63</v>
      </c>
      <c r="R122" s="348">
        <v>2.66</v>
      </c>
      <c r="S122" s="348">
        <v>2.69</v>
      </c>
      <c r="T122" s="348">
        <v>2.71</v>
      </c>
      <c r="U122" s="348">
        <v>2.74</v>
      </c>
      <c r="V122" s="348">
        <v>2.74</v>
      </c>
      <c r="W122" s="348">
        <v>2.75</v>
      </c>
      <c r="X122" s="348">
        <v>2.75</v>
      </c>
      <c r="Y122" s="348">
        <v>2.76</v>
      </c>
      <c r="Z122" s="348">
        <v>2.76</v>
      </c>
      <c r="AA122" s="348">
        <v>2.76</v>
      </c>
      <c r="AB122" s="348">
        <v>2.76</v>
      </c>
      <c r="AC122" s="348">
        <v>2.76</v>
      </c>
      <c r="AD122" s="348">
        <v>2.75</v>
      </c>
      <c r="AE122" s="348">
        <v>2.75</v>
      </c>
      <c r="AF122" s="348">
        <v>2.75</v>
      </c>
      <c r="AG122" s="348">
        <v>2.75</v>
      </c>
      <c r="AH122" s="348">
        <v>2.75</v>
      </c>
      <c r="AI122" s="348">
        <v>2.75</v>
      </c>
      <c r="AJ122" s="348">
        <v>2.75</v>
      </c>
      <c r="AK122" s="348">
        <v>2.76</v>
      </c>
      <c r="AL122" s="348">
        <v>2.76</v>
      </c>
      <c r="AM122" s="348">
        <v>2.76</v>
      </c>
      <c r="AN122" s="348">
        <v>2.76</v>
      </c>
      <c r="AO122" s="348">
        <v>2.76</v>
      </c>
      <c r="AP122" s="348">
        <v>2.76</v>
      </c>
      <c r="AQ122" s="348">
        <v>2.76</v>
      </c>
      <c r="AR122" s="348">
        <v>2.75</v>
      </c>
      <c r="AS122" s="348">
        <v>2.75</v>
      </c>
      <c r="AT122" s="348">
        <v>2.75</v>
      </c>
      <c r="AU122" s="348">
        <v>2.75</v>
      </c>
      <c r="AV122" s="348">
        <v>2.75</v>
      </c>
      <c r="AW122" s="348">
        <v>2.75</v>
      </c>
      <c r="AX122" s="348">
        <v>2.75</v>
      </c>
      <c r="AY122" s="348">
        <v>2.75</v>
      </c>
      <c r="AZ122" s="59">
        <v>8.9999999999999993E-3</v>
      </c>
      <c r="BA122" s="104">
        <f t="shared" si="2"/>
        <v>0.89999999999999991</v>
      </c>
      <c r="BC122" s="436">
        <v>3.5</v>
      </c>
      <c r="BD122" s="678">
        <f t="shared" si="9"/>
        <v>33850.666666666664</v>
      </c>
      <c r="BE122" s="678">
        <f t="shared" si="8"/>
        <v>35237.333333333336</v>
      </c>
      <c r="BF122" s="678">
        <f t="shared" si="8"/>
        <v>27173</v>
      </c>
      <c r="BG122" s="678">
        <f t="shared" si="8"/>
        <v>22357.333333333332</v>
      </c>
      <c r="BH122" s="678">
        <v>4</v>
      </c>
    </row>
    <row r="123" spans="1:60">
      <c r="A123" s="107">
        <v>43281</v>
      </c>
      <c r="B123" s="348">
        <v>1.05</v>
      </c>
      <c r="C123" s="348">
        <v>1.1000000000000001</v>
      </c>
      <c r="D123" s="348">
        <v>1.2</v>
      </c>
      <c r="E123" s="348">
        <v>1.34</v>
      </c>
      <c r="F123" s="348">
        <v>1.48</v>
      </c>
      <c r="G123" s="348">
        <v>1.64</v>
      </c>
      <c r="H123" s="348">
        <v>1.78</v>
      </c>
      <c r="I123" s="348">
        <v>1.92</v>
      </c>
      <c r="J123" s="348">
        <v>2.04</v>
      </c>
      <c r="K123" s="348">
        <v>2.16</v>
      </c>
      <c r="L123" s="348">
        <v>2.27</v>
      </c>
      <c r="M123" s="348">
        <v>2.35</v>
      </c>
      <c r="N123" s="348">
        <v>2.4300000000000002</v>
      </c>
      <c r="O123" s="348">
        <v>2.5</v>
      </c>
      <c r="P123" s="2281">
        <v>2.56</v>
      </c>
      <c r="Q123" s="348">
        <v>2.59</v>
      </c>
      <c r="R123" s="348">
        <v>2.62</v>
      </c>
      <c r="S123" s="348">
        <v>2.65</v>
      </c>
      <c r="T123" s="348">
        <v>2.67</v>
      </c>
      <c r="U123" s="348">
        <v>2.7</v>
      </c>
      <c r="V123" s="348">
        <v>2.7</v>
      </c>
      <c r="W123" s="348">
        <v>2.71</v>
      </c>
      <c r="X123" s="348">
        <v>2.71</v>
      </c>
      <c r="Y123" s="348">
        <v>2.72</v>
      </c>
      <c r="Z123" s="348">
        <v>2.72</v>
      </c>
      <c r="AA123" s="348">
        <v>2.72</v>
      </c>
      <c r="AB123" s="348">
        <v>2.72</v>
      </c>
      <c r="AC123" s="348">
        <v>2.72</v>
      </c>
      <c r="AD123" s="348">
        <v>2.71</v>
      </c>
      <c r="AE123" s="348">
        <v>2.71</v>
      </c>
      <c r="AF123" s="348">
        <v>2.71</v>
      </c>
      <c r="AG123" s="348">
        <v>2.71</v>
      </c>
      <c r="AH123" s="348">
        <v>2.72</v>
      </c>
      <c r="AI123" s="348">
        <v>2.72</v>
      </c>
      <c r="AJ123" s="348">
        <v>2.72</v>
      </c>
      <c r="AK123" s="348">
        <v>2.72</v>
      </c>
      <c r="AL123" s="348">
        <v>2.72</v>
      </c>
      <c r="AM123" s="348">
        <v>2.72</v>
      </c>
      <c r="AN123" s="348">
        <v>2.72</v>
      </c>
      <c r="AO123" s="348">
        <v>2.72</v>
      </c>
      <c r="AP123" s="348">
        <v>2.72</v>
      </c>
      <c r="AQ123" s="348">
        <v>2.72</v>
      </c>
      <c r="AR123" s="348">
        <v>2.72</v>
      </c>
      <c r="AS123" s="348">
        <v>2.72</v>
      </c>
      <c r="AT123" s="348">
        <v>2.71</v>
      </c>
      <c r="AU123" s="348">
        <v>2.71</v>
      </c>
      <c r="AV123" s="348">
        <v>2.71</v>
      </c>
      <c r="AW123" s="348">
        <v>2.71</v>
      </c>
      <c r="AX123" s="348">
        <v>2.71</v>
      </c>
      <c r="AY123" s="348">
        <v>2.71</v>
      </c>
      <c r="AZ123" s="59">
        <v>8.9999999999999993E-3</v>
      </c>
      <c r="BA123" s="104">
        <f t="shared" si="2"/>
        <v>0.89999999999999991</v>
      </c>
      <c r="BC123" s="436">
        <v>3.46</v>
      </c>
      <c r="BD123" s="678">
        <f t="shared" si="9"/>
        <v>34218.583333333336</v>
      </c>
      <c r="BE123" s="678">
        <f t="shared" si="8"/>
        <v>36061.666666666664</v>
      </c>
      <c r="BF123" s="678">
        <f t="shared" si="8"/>
        <v>27455.25</v>
      </c>
      <c r="BG123" s="678">
        <f t="shared" si="8"/>
        <v>22857.916666666668</v>
      </c>
      <c r="BH123" s="678">
        <v>5</v>
      </c>
    </row>
    <row r="124" spans="1:60" ht="12.75" customHeight="1">
      <c r="A124" s="107">
        <v>43312</v>
      </c>
      <c r="B124" s="348">
        <v>1.02</v>
      </c>
      <c r="C124" s="348">
        <v>1.06</v>
      </c>
      <c r="D124" s="348">
        <v>1.1599999999999999</v>
      </c>
      <c r="E124" s="348">
        <v>1.3</v>
      </c>
      <c r="F124" s="348">
        <v>1.44</v>
      </c>
      <c r="G124" s="348">
        <v>1.6</v>
      </c>
      <c r="H124" s="348">
        <v>1.74</v>
      </c>
      <c r="I124" s="348">
        <v>1.88</v>
      </c>
      <c r="J124" s="348">
        <v>2</v>
      </c>
      <c r="K124" s="348">
        <v>2.12</v>
      </c>
      <c r="L124" s="348">
        <v>2.23</v>
      </c>
      <c r="M124" s="348">
        <v>2.3199999999999998</v>
      </c>
      <c r="N124" s="348">
        <v>2.39</v>
      </c>
      <c r="O124" s="348">
        <v>2.46</v>
      </c>
      <c r="P124" s="2281">
        <v>2.52</v>
      </c>
      <c r="Q124" s="348">
        <v>2.5499999999999998</v>
      </c>
      <c r="R124" s="348">
        <v>2.58</v>
      </c>
      <c r="S124" s="348">
        <v>2.61</v>
      </c>
      <c r="T124" s="348">
        <v>2.64</v>
      </c>
      <c r="U124" s="348">
        <v>2.66</v>
      </c>
      <c r="V124" s="348">
        <v>2.67</v>
      </c>
      <c r="W124" s="348">
        <v>2.67</v>
      </c>
      <c r="X124" s="348">
        <v>2.68</v>
      </c>
      <c r="Y124" s="348">
        <v>2.68</v>
      </c>
      <c r="Z124" s="348">
        <v>2.69</v>
      </c>
      <c r="AA124" s="348">
        <v>2.69</v>
      </c>
      <c r="AB124" s="348">
        <v>2.68</v>
      </c>
      <c r="AC124" s="348">
        <v>2.68</v>
      </c>
      <c r="AD124" s="348">
        <v>2.68</v>
      </c>
      <c r="AE124" s="348">
        <v>2.68</v>
      </c>
      <c r="AF124" s="348">
        <v>2.68</v>
      </c>
      <c r="AG124" s="348">
        <v>2.68</v>
      </c>
      <c r="AH124" s="348">
        <v>2.68</v>
      </c>
      <c r="AI124" s="348">
        <v>2.68</v>
      </c>
      <c r="AJ124" s="348">
        <v>2.68</v>
      </c>
      <c r="AK124" s="348">
        <v>2.68</v>
      </c>
      <c r="AL124" s="348">
        <v>2.68</v>
      </c>
      <c r="AM124" s="348">
        <v>2.68</v>
      </c>
      <c r="AN124" s="348">
        <v>2.69</v>
      </c>
      <c r="AO124" s="348">
        <v>2.69</v>
      </c>
      <c r="AP124" s="348">
        <v>2.68</v>
      </c>
      <c r="AQ124" s="348">
        <v>2.68</v>
      </c>
      <c r="AR124" s="348">
        <v>2.68</v>
      </c>
      <c r="AS124" s="348">
        <v>2.68</v>
      </c>
      <c r="AT124" s="348">
        <v>2.68</v>
      </c>
      <c r="AU124" s="348">
        <v>2.68</v>
      </c>
      <c r="AV124" s="348">
        <v>2.68</v>
      </c>
      <c r="AW124" s="348">
        <v>2.68</v>
      </c>
      <c r="AX124" s="348">
        <v>2.68</v>
      </c>
      <c r="AY124" s="348">
        <v>2.68</v>
      </c>
      <c r="AZ124" s="59">
        <v>8.9999999999999993E-3</v>
      </c>
      <c r="BA124" s="104">
        <f t="shared" si="2"/>
        <v>0.89999999999999991</v>
      </c>
      <c r="BC124" s="436">
        <v>3.42</v>
      </c>
      <c r="BD124" s="678">
        <f t="shared" si="9"/>
        <v>34586.5</v>
      </c>
      <c r="BE124" s="678">
        <f t="shared" si="8"/>
        <v>36886</v>
      </c>
      <c r="BF124" s="678">
        <f t="shared" si="8"/>
        <v>27737.5</v>
      </c>
      <c r="BG124" s="678">
        <f t="shared" si="8"/>
        <v>23358.5</v>
      </c>
      <c r="BH124" s="678">
        <v>6</v>
      </c>
    </row>
    <row r="125" spans="1:60">
      <c r="A125" s="107">
        <v>43343</v>
      </c>
      <c r="B125" s="348">
        <v>0.98</v>
      </c>
      <c r="C125" s="348">
        <v>1.02</v>
      </c>
      <c r="D125" s="348">
        <v>1.1200000000000001</v>
      </c>
      <c r="E125" s="348">
        <v>1.26</v>
      </c>
      <c r="F125" s="348">
        <v>1.4</v>
      </c>
      <c r="G125" s="348">
        <v>1.56</v>
      </c>
      <c r="H125" s="348">
        <v>1.7</v>
      </c>
      <c r="I125" s="348">
        <v>1.84</v>
      </c>
      <c r="J125" s="348">
        <v>1.96</v>
      </c>
      <c r="K125" s="348">
        <v>2.08</v>
      </c>
      <c r="L125" s="348">
        <v>2.19</v>
      </c>
      <c r="M125" s="348">
        <v>2.27</v>
      </c>
      <c r="N125" s="348">
        <v>2.35</v>
      </c>
      <c r="O125" s="348">
        <v>2.42</v>
      </c>
      <c r="P125" s="2281">
        <v>2.48</v>
      </c>
      <c r="Q125" s="348">
        <v>2.5099999999999998</v>
      </c>
      <c r="R125" s="348">
        <v>2.54</v>
      </c>
      <c r="S125" s="348">
        <v>2.57</v>
      </c>
      <c r="T125" s="348">
        <v>2.59</v>
      </c>
      <c r="U125" s="348">
        <v>2.62</v>
      </c>
      <c r="V125" s="348">
        <v>2.62</v>
      </c>
      <c r="W125" s="348">
        <v>2.63</v>
      </c>
      <c r="X125" s="348">
        <v>2.64</v>
      </c>
      <c r="Y125" s="348">
        <v>2.64</v>
      </c>
      <c r="Z125" s="348">
        <v>2.65</v>
      </c>
      <c r="AA125" s="348">
        <v>2.65</v>
      </c>
      <c r="AB125" s="348">
        <v>2.65</v>
      </c>
      <c r="AC125" s="348">
        <v>2.64</v>
      </c>
      <c r="AD125" s="348">
        <v>2.64</v>
      </c>
      <c r="AE125" s="348">
        <v>2.64</v>
      </c>
      <c r="AF125" s="348">
        <v>2.64</v>
      </c>
      <c r="AG125" s="348">
        <v>2.64</v>
      </c>
      <c r="AH125" s="348">
        <v>2.64</v>
      </c>
      <c r="AI125" s="348">
        <v>2.65</v>
      </c>
      <c r="AJ125" s="348">
        <v>2.65</v>
      </c>
      <c r="AK125" s="348">
        <v>2.65</v>
      </c>
      <c r="AL125" s="348">
        <v>2.65</v>
      </c>
      <c r="AM125" s="348">
        <v>2.65</v>
      </c>
      <c r="AN125" s="348">
        <v>2.65</v>
      </c>
      <c r="AO125" s="348">
        <v>2.65</v>
      </c>
      <c r="AP125" s="348">
        <v>2.65</v>
      </c>
      <c r="AQ125" s="348">
        <v>2.65</v>
      </c>
      <c r="AR125" s="348">
        <v>2.65</v>
      </c>
      <c r="AS125" s="348">
        <v>2.64</v>
      </c>
      <c r="AT125" s="348">
        <v>2.64</v>
      </c>
      <c r="AU125" s="348">
        <v>2.64</v>
      </c>
      <c r="AV125" s="348">
        <v>2.64</v>
      </c>
      <c r="AW125" s="348">
        <v>2.64</v>
      </c>
      <c r="AX125" s="348">
        <v>2.64</v>
      </c>
      <c r="AY125" s="348">
        <v>2.64</v>
      </c>
      <c r="AZ125" s="59">
        <v>8.9999999999999993E-3</v>
      </c>
      <c r="BA125" s="104">
        <f t="shared" si="2"/>
        <v>0.89999999999999991</v>
      </c>
      <c r="BC125" s="436">
        <v>3.39</v>
      </c>
      <c r="BD125" s="678">
        <f t="shared" si="9"/>
        <v>34954.416666666664</v>
      </c>
      <c r="BE125" s="678">
        <f t="shared" si="8"/>
        <v>37710.333333333336</v>
      </c>
      <c r="BF125" s="678">
        <f t="shared" si="8"/>
        <v>28019.75</v>
      </c>
      <c r="BG125" s="678">
        <f t="shared" si="8"/>
        <v>23859.083333333332</v>
      </c>
      <c r="BH125" s="678">
        <v>7</v>
      </c>
    </row>
    <row r="126" spans="1:60">
      <c r="A126" s="107">
        <v>43373</v>
      </c>
      <c r="B126" s="348">
        <v>0.93</v>
      </c>
      <c r="C126" s="348">
        <v>0.98</v>
      </c>
      <c r="D126" s="348">
        <v>1.08</v>
      </c>
      <c r="E126" s="348">
        <v>1.22</v>
      </c>
      <c r="F126" s="348">
        <v>1.36</v>
      </c>
      <c r="G126" s="348">
        <v>1.52</v>
      </c>
      <c r="H126" s="348">
        <v>1.66</v>
      </c>
      <c r="I126" s="348">
        <v>1.8</v>
      </c>
      <c r="J126" s="348">
        <v>1.92</v>
      </c>
      <c r="K126" s="348">
        <v>2.04</v>
      </c>
      <c r="L126" s="348">
        <v>2.15</v>
      </c>
      <c r="M126" s="348">
        <v>2.23</v>
      </c>
      <c r="N126" s="348">
        <v>2.31</v>
      </c>
      <c r="O126" s="348">
        <v>2.38</v>
      </c>
      <c r="P126" s="2281">
        <v>2.4300000000000002</v>
      </c>
      <c r="Q126" s="348">
        <v>2.4700000000000002</v>
      </c>
      <c r="R126" s="348">
        <v>2.5</v>
      </c>
      <c r="S126" s="348">
        <v>2.5299999999999998</v>
      </c>
      <c r="T126" s="348">
        <v>2.56</v>
      </c>
      <c r="U126" s="348">
        <v>2.58</v>
      </c>
      <c r="V126" s="348">
        <v>2.59</v>
      </c>
      <c r="W126" s="348">
        <v>2.59</v>
      </c>
      <c r="X126" s="348">
        <v>2.6</v>
      </c>
      <c r="Y126" s="348">
        <v>2.61</v>
      </c>
      <c r="Z126" s="348">
        <v>2.61</v>
      </c>
      <c r="AA126" s="348">
        <v>2.61</v>
      </c>
      <c r="AB126" s="348">
        <v>2.61</v>
      </c>
      <c r="AC126" s="348">
        <v>2.61</v>
      </c>
      <c r="AD126" s="348">
        <v>2.61</v>
      </c>
      <c r="AE126" s="348">
        <v>2.61</v>
      </c>
      <c r="AF126" s="348">
        <v>2.61</v>
      </c>
      <c r="AG126" s="348">
        <v>2.61</v>
      </c>
      <c r="AH126" s="348">
        <v>2.61</v>
      </c>
      <c r="AI126" s="348">
        <v>2.61</v>
      </c>
      <c r="AJ126" s="348">
        <v>2.61</v>
      </c>
      <c r="AK126" s="348">
        <v>2.61</v>
      </c>
      <c r="AL126" s="348">
        <v>2.61</v>
      </c>
      <c r="AM126" s="348">
        <v>2.61</v>
      </c>
      <c r="AN126" s="348">
        <v>2.61</v>
      </c>
      <c r="AO126" s="348">
        <v>2.61</v>
      </c>
      <c r="AP126" s="348">
        <v>2.61</v>
      </c>
      <c r="AQ126" s="348">
        <v>2.61</v>
      </c>
      <c r="AR126" s="348">
        <v>2.61</v>
      </c>
      <c r="AS126" s="348">
        <v>2.61</v>
      </c>
      <c r="AT126" s="348">
        <v>2.61</v>
      </c>
      <c r="AU126" s="348">
        <v>2.61</v>
      </c>
      <c r="AV126" s="348">
        <v>2.61</v>
      </c>
      <c r="AW126" s="348">
        <v>2.61</v>
      </c>
      <c r="AX126" s="348">
        <v>2.61</v>
      </c>
      <c r="AY126" s="348">
        <v>2.6</v>
      </c>
      <c r="AZ126" s="59">
        <v>8.9999999999999993E-3</v>
      </c>
      <c r="BA126" s="104">
        <f t="shared" si="2"/>
        <v>0.89999999999999991</v>
      </c>
      <c r="BC126" s="436">
        <v>3.34</v>
      </c>
      <c r="BD126" s="678">
        <f t="shared" si="9"/>
        <v>35322.333333333336</v>
      </c>
      <c r="BE126" s="678">
        <f t="shared" si="8"/>
        <v>38534.666666666664</v>
      </c>
      <c r="BF126" s="678">
        <f t="shared" si="8"/>
        <v>28302</v>
      </c>
      <c r="BG126" s="678">
        <f t="shared" si="8"/>
        <v>24359.666666666668</v>
      </c>
      <c r="BH126" s="678">
        <v>8</v>
      </c>
    </row>
    <row r="127" spans="1:60">
      <c r="A127" s="107">
        <v>43404</v>
      </c>
      <c r="B127" s="348">
        <v>0.89</v>
      </c>
      <c r="C127" s="348">
        <v>0.95</v>
      </c>
      <c r="D127" s="348">
        <v>1.05</v>
      </c>
      <c r="E127" s="348">
        <v>1.18</v>
      </c>
      <c r="F127" s="348">
        <v>1.33</v>
      </c>
      <c r="G127" s="348">
        <v>1.48</v>
      </c>
      <c r="H127" s="348">
        <v>1.62</v>
      </c>
      <c r="I127" s="348">
        <v>1.76</v>
      </c>
      <c r="J127" s="348">
        <v>1.88</v>
      </c>
      <c r="K127" s="348">
        <v>2</v>
      </c>
      <c r="L127" s="348">
        <v>2.11</v>
      </c>
      <c r="M127" s="348">
        <v>2.2000000000000002</v>
      </c>
      <c r="N127" s="348">
        <v>2.27</v>
      </c>
      <c r="O127" s="348">
        <v>2.34</v>
      </c>
      <c r="P127" s="2281">
        <v>2.4</v>
      </c>
      <c r="Q127" s="348">
        <v>2.4300000000000002</v>
      </c>
      <c r="R127" s="348">
        <v>2.4700000000000002</v>
      </c>
      <c r="S127" s="348">
        <v>2.5</v>
      </c>
      <c r="T127" s="348">
        <v>2.52</v>
      </c>
      <c r="U127" s="348">
        <v>2.54</v>
      </c>
      <c r="V127" s="348">
        <v>2.5499999999999998</v>
      </c>
      <c r="W127" s="348">
        <v>2.56</v>
      </c>
      <c r="X127" s="348">
        <v>2.57</v>
      </c>
      <c r="Y127" s="348">
        <v>2.57</v>
      </c>
      <c r="Z127" s="348">
        <v>2.58</v>
      </c>
      <c r="AA127" s="348">
        <v>2.58</v>
      </c>
      <c r="AB127" s="348">
        <v>2.58</v>
      </c>
      <c r="AC127" s="348">
        <v>2.58</v>
      </c>
      <c r="AD127" s="348">
        <v>2.57</v>
      </c>
      <c r="AE127" s="348">
        <v>2.57</v>
      </c>
      <c r="AF127" s="348">
        <v>2.58</v>
      </c>
      <c r="AG127" s="348">
        <v>2.58</v>
      </c>
      <c r="AH127" s="348">
        <v>2.58</v>
      </c>
      <c r="AI127" s="348">
        <v>2.58</v>
      </c>
      <c r="AJ127" s="348">
        <v>2.58</v>
      </c>
      <c r="AK127" s="348">
        <v>2.58</v>
      </c>
      <c r="AL127" s="348">
        <v>2.58</v>
      </c>
      <c r="AM127" s="348">
        <v>2.58</v>
      </c>
      <c r="AN127" s="348">
        <v>2.58</v>
      </c>
      <c r="AO127" s="348">
        <v>2.58</v>
      </c>
      <c r="AP127" s="348">
        <v>2.58</v>
      </c>
      <c r="AQ127" s="348">
        <v>2.58</v>
      </c>
      <c r="AR127" s="348">
        <v>2.58</v>
      </c>
      <c r="AS127" s="348">
        <v>2.58</v>
      </c>
      <c r="AT127" s="348">
        <v>2.58</v>
      </c>
      <c r="AU127" s="348">
        <v>2.57</v>
      </c>
      <c r="AV127" s="348">
        <v>2.57</v>
      </c>
      <c r="AW127" s="348">
        <v>2.57</v>
      </c>
      <c r="AX127" s="348">
        <v>2.57</v>
      </c>
      <c r="AY127" s="348">
        <v>2.57</v>
      </c>
      <c r="AZ127" s="59">
        <v>8.9999999999999993E-3</v>
      </c>
      <c r="BA127" s="104">
        <f t="shared" si="2"/>
        <v>0.89999999999999991</v>
      </c>
      <c r="BC127" s="436">
        <v>3.29</v>
      </c>
      <c r="BD127" s="678">
        <f t="shared" si="9"/>
        <v>35690.25</v>
      </c>
      <c r="BE127" s="678">
        <f t="shared" si="8"/>
        <v>39359</v>
      </c>
      <c r="BF127" s="678">
        <f t="shared" si="8"/>
        <v>28584.25</v>
      </c>
      <c r="BG127" s="678">
        <f t="shared" si="8"/>
        <v>24860.25</v>
      </c>
      <c r="BH127" s="678">
        <v>9</v>
      </c>
    </row>
    <row r="128" spans="1:60" ht="12.75" customHeight="1">
      <c r="A128" s="107">
        <v>43434</v>
      </c>
      <c r="B128" s="348">
        <v>0.85</v>
      </c>
      <c r="C128" s="348">
        <v>0.91</v>
      </c>
      <c r="D128" s="348">
        <v>1.01</v>
      </c>
      <c r="E128" s="348">
        <v>1.1399999999999999</v>
      </c>
      <c r="F128" s="348">
        <v>1.29</v>
      </c>
      <c r="G128" s="348">
        <v>1.44</v>
      </c>
      <c r="H128" s="348">
        <v>1.58</v>
      </c>
      <c r="I128" s="348">
        <v>1.72</v>
      </c>
      <c r="J128" s="348">
        <v>1.84</v>
      </c>
      <c r="K128" s="348">
        <v>1.96</v>
      </c>
      <c r="L128" s="348">
        <v>2.0699999999999998</v>
      </c>
      <c r="M128" s="348">
        <v>2.16</v>
      </c>
      <c r="N128" s="348">
        <v>2.23</v>
      </c>
      <c r="O128" s="348">
        <v>2.2999999999999998</v>
      </c>
      <c r="P128" s="2281">
        <v>2.36</v>
      </c>
      <c r="Q128" s="348">
        <v>2.39</v>
      </c>
      <c r="R128" s="348">
        <v>2.4300000000000002</v>
      </c>
      <c r="S128" s="348">
        <v>2.46</v>
      </c>
      <c r="T128" s="348">
        <v>2.48</v>
      </c>
      <c r="U128" s="348">
        <v>2.5099999999999998</v>
      </c>
      <c r="V128" s="348">
        <v>2.5099999999999998</v>
      </c>
      <c r="W128" s="348">
        <v>2.52</v>
      </c>
      <c r="X128" s="348">
        <v>2.5299999999999998</v>
      </c>
      <c r="Y128" s="348">
        <v>2.54</v>
      </c>
      <c r="Z128" s="348">
        <v>2.54</v>
      </c>
      <c r="AA128" s="348">
        <v>2.54</v>
      </c>
      <c r="AB128" s="348">
        <v>2.54</v>
      </c>
      <c r="AC128" s="348">
        <v>2.54</v>
      </c>
      <c r="AD128" s="348">
        <v>2.54</v>
      </c>
      <c r="AE128" s="348">
        <v>2.54</v>
      </c>
      <c r="AF128" s="348">
        <v>2.54</v>
      </c>
      <c r="AG128" s="348">
        <v>2.54</v>
      </c>
      <c r="AH128" s="348">
        <v>2.54</v>
      </c>
      <c r="AI128" s="348">
        <v>2.54</v>
      </c>
      <c r="AJ128" s="348">
        <v>2.54</v>
      </c>
      <c r="AK128" s="348">
        <v>2.54</v>
      </c>
      <c r="AL128" s="348">
        <v>2.54</v>
      </c>
      <c r="AM128" s="348">
        <v>2.5499999999999998</v>
      </c>
      <c r="AN128" s="348">
        <v>2.5499999999999998</v>
      </c>
      <c r="AO128" s="348">
        <v>2.5499999999999998</v>
      </c>
      <c r="AP128" s="348">
        <v>2.54</v>
      </c>
      <c r="AQ128" s="348">
        <v>2.54</v>
      </c>
      <c r="AR128" s="348">
        <v>2.54</v>
      </c>
      <c r="AS128" s="348">
        <v>2.54</v>
      </c>
      <c r="AT128" s="348">
        <v>2.54</v>
      </c>
      <c r="AU128" s="348">
        <v>2.54</v>
      </c>
      <c r="AV128" s="348">
        <v>2.54</v>
      </c>
      <c r="AW128" s="348">
        <v>2.54</v>
      </c>
      <c r="AX128" s="348">
        <v>2.54</v>
      </c>
      <c r="AY128" s="348">
        <v>2.54</v>
      </c>
      <c r="AZ128" s="59">
        <v>8.9999999999999993E-3</v>
      </c>
      <c r="BA128" s="104">
        <f t="shared" si="2"/>
        <v>0.89999999999999991</v>
      </c>
      <c r="BC128" s="436">
        <v>3.25</v>
      </c>
      <c r="BD128" s="678">
        <f t="shared" si="9"/>
        <v>36058.166666666664</v>
      </c>
      <c r="BE128" s="678">
        <f t="shared" si="8"/>
        <v>40183.333333333336</v>
      </c>
      <c r="BF128" s="678">
        <f t="shared" si="8"/>
        <v>28866.5</v>
      </c>
      <c r="BG128" s="678">
        <f t="shared" si="8"/>
        <v>25360.833333333332</v>
      </c>
      <c r="BH128" s="678">
        <v>10</v>
      </c>
    </row>
    <row r="129" spans="1:60" ht="12.75" customHeight="1">
      <c r="A129" s="107">
        <v>43465</v>
      </c>
      <c r="B129" s="348">
        <v>0.82</v>
      </c>
      <c r="C129" s="348">
        <v>0.88</v>
      </c>
      <c r="D129" s="348">
        <v>0.98</v>
      </c>
      <c r="E129" s="348">
        <v>1.1100000000000001</v>
      </c>
      <c r="F129" s="348">
        <v>1.25</v>
      </c>
      <c r="G129" s="348">
        <v>1.4</v>
      </c>
      <c r="H129" s="348">
        <v>1.55</v>
      </c>
      <c r="I129" s="348">
        <v>1.68</v>
      </c>
      <c r="J129" s="348">
        <v>1.81</v>
      </c>
      <c r="K129" s="348">
        <v>1.93</v>
      </c>
      <c r="L129" s="348">
        <v>2.0299999999999998</v>
      </c>
      <c r="M129" s="348">
        <v>2.12</v>
      </c>
      <c r="N129" s="348">
        <v>2.2000000000000002</v>
      </c>
      <c r="O129" s="348">
        <v>2.27</v>
      </c>
      <c r="P129" s="2281">
        <v>2.3199999999999998</v>
      </c>
      <c r="Q129" s="348">
        <v>2.36</v>
      </c>
      <c r="R129" s="348">
        <v>2.39</v>
      </c>
      <c r="S129" s="348">
        <v>2.42</v>
      </c>
      <c r="T129" s="348">
        <v>2.4500000000000002</v>
      </c>
      <c r="U129" s="348">
        <v>2.4700000000000002</v>
      </c>
      <c r="V129" s="348">
        <v>2.48</v>
      </c>
      <c r="W129" s="348">
        <v>2.4900000000000002</v>
      </c>
      <c r="X129" s="348">
        <v>2.5</v>
      </c>
      <c r="Y129" s="348">
        <v>2.5099999999999998</v>
      </c>
      <c r="Z129" s="348">
        <v>2.5099999999999998</v>
      </c>
      <c r="AA129" s="348">
        <v>2.5099999999999998</v>
      </c>
      <c r="AB129" s="348">
        <v>2.5099999999999998</v>
      </c>
      <c r="AC129" s="348">
        <v>2.5099999999999998</v>
      </c>
      <c r="AD129" s="348">
        <v>2.5099999999999998</v>
      </c>
      <c r="AE129" s="348">
        <v>2.5099999999999998</v>
      </c>
      <c r="AF129" s="348">
        <v>2.5099999999999998</v>
      </c>
      <c r="AG129" s="348">
        <v>2.5099999999999998</v>
      </c>
      <c r="AH129" s="348">
        <v>2.5099999999999998</v>
      </c>
      <c r="AI129" s="348">
        <v>2.5099999999999998</v>
      </c>
      <c r="AJ129" s="348">
        <v>2.5099999999999998</v>
      </c>
      <c r="AK129" s="348">
        <v>2.52</v>
      </c>
      <c r="AL129" s="348">
        <v>2.52</v>
      </c>
      <c r="AM129" s="348">
        <v>2.52</v>
      </c>
      <c r="AN129" s="348">
        <v>2.52</v>
      </c>
      <c r="AO129" s="348">
        <v>2.52</v>
      </c>
      <c r="AP129" s="348">
        <v>2.52</v>
      </c>
      <c r="AQ129" s="348">
        <v>2.5099999999999998</v>
      </c>
      <c r="AR129" s="348">
        <v>2.5099999999999998</v>
      </c>
      <c r="AS129" s="348">
        <v>2.5099999999999998</v>
      </c>
      <c r="AT129" s="348">
        <v>2.5099999999999998</v>
      </c>
      <c r="AU129" s="348">
        <v>2.5099999999999998</v>
      </c>
      <c r="AV129" s="348">
        <v>2.5099999999999998</v>
      </c>
      <c r="AW129" s="348">
        <v>2.5099999999999998</v>
      </c>
      <c r="AX129" s="348">
        <v>2.5099999999999998</v>
      </c>
      <c r="AY129" s="348">
        <v>2.5099999999999998</v>
      </c>
      <c r="AZ129" s="59">
        <v>8.9999999999999993E-3</v>
      </c>
      <c r="BA129" s="104">
        <f t="shared" si="2"/>
        <v>0.89999999999999991</v>
      </c>
      <c r="BC129" s="436">
        <v>3.21</v>
      </c>
      <c r="BD129" s="678">
        <f t="shared" si="9"/>
        <v>36426.083333333336</v>
      </c>
      <c r="BE129" s="678">
        <f t="shared" si="8"/>
        <v>41007.666666666672</v>
      </c>
      <c r="BF129" s="678">
        <f t="shared" si="8"/>
        <v>29148.75</v>
      </c>
      <c r="BG129" s="678">
        <f t="shared" si="8"/>
        <v>25861.416666666664</v>
      </c>
      <c r="BH129" s="678">
        <v>11</v>
      </c>
    </row>
    <row r="130" spans="1:60" ht="12.75" customHeight="1">
      <c r="A130" s="107">
        <v>43496</v>
      </c>
      <c r="B130" s="348">
        <v>0.79</v>
      </c>
      <c r="C130" s="348">
        <v>0.85</v>
      </c>
      <c r="D130" s="348">
        <v>0.95</v>
      </c>
      <c r="E130" s="348">
        <v>1.08</v>
      </c>
      <c r="F130" s="348">
        <v>1.22</v>
      </c>
      <c r="G130" s="348">
        <v>1.37</v>
      </c>
      <c r="H130" s="348">
        <v>1.51</v>
      </c>
      <c r="I130" s="348">
        <v>1.65</v>
      </c>
      <c r="J130" s="348">
        <v>1.78</v>
      </c>
      <c r="K130" s="348">
        <v>1.9</v>
      </c>
      <c r="L130" s="348">
        <v>2</v>
      </c>
      <c r="M130" s="348">
        <v>2.09</v>
      </c>
      <c r="N130" s="348">
        <v>2.17</v>
      </c>
      <c r="O130" s="348">
        <v>2.2400000000000002</v>
      </c>
      <c r="P130" s="2281">
        <v>2.29</v>
      </c>
      <c r="Q130" s="348">
        <v>2.33</v>
      </c>
      <c r="R130" s="348">
        <v>2.36</v>
      </c>
      <c r="S130" s="348">
        <v>2.39</v>
      </c>
      <c r="T130" s="348">
        <v>2.42</v>
      </c>
      <c r="U130" s="348">
        <v>2.44</v>
      </c>
      <c r="V130" s="348">
        <v>2.4500000000000002</v>
      </c>
      <c r="W130" s="348">
        <v>2.46</v>
      </c>
      <c r="X130" s="348">
        <v>2.4700000000000002</v>
      </c>
      <c r="Y130" s="348">
        <v>2.48</v>
      </c>
      <c r="Z130" s="348">
        <v>2.48</v>
      </c>
      <c r="AA130" s="348">
        <v>2.48</v>
      </c>
      <c r="AB130" s="348">
        <v>2.48</v>
      </c>
      <c r="AC130" s="348">
        <v>2.48</v>
      </c>
      <c r="AD130" s="348">
        <v>2.48</v>
      </c>
      <c r="AE130" s="348">
        <v>2.48</v>
      </c>
      <c r="AF130" s="348">
        <v>2.4900000000000002</v>
      </c>
      <c r="AG130" s="348">
        <v>2.4900000000000002</v>
      </c>
      <c r="AH130" s="348">
        <v>2.4900000000000002</v>
      </c>
      <c r="AI130" s="348">
        <v>2.4900000000000002</v>
      </c>
      <c r="AJ130" s="348">
        <v>2.4900000000000002</v>
      </c>
      <c r="AK130" s="348">
        <v>2.4900000000000002</v>
      </c>
      <c r="AL130" s="348">
        <v>2.4900000000000002</v>
      </c>
      <c r="AM130" s="348">
        <v>2.4900000000000002</v>
      </c>
      <c r="AN130" s="348">
        <v>2.4900000000000002</v>
      </c>
      <c r="AO130" s="348">
        <v>2.4900000000000002</v>
      </c>
      <c r="AP130" s="348">
        <v>2.4900000000000002</v>
      </c>
      <c r="AQ130" s="348">
        <v>2.4900000000000002</v>
      </c>
      <c r="AR130" s="348">
        <v>2.4900000000000002</v>
      </c>
      <c r="AS130" s="348">
        <v>2.4900000000000002</v>
      </c>
      <c r="AT130" s="348">
        <v>2.4900000000000002</v>
      </c>
      <c r="AU130" s="348">
        <v>2.48</v>
      </c>
      <c r="AV130" s="348">
        <v>2.48</v>
      </c>
      <c r="AW130" s="348">
        <v>2.48</v>
      </c>
      <c r="AX130" s="348">
        <v>2.48</v>
      </c>
      <c r="AY130" s="348">
        <v>2.48</v>
      </c>
      <c r="AZ130" s="59">
        <v>8.9999999999999993E-3</v>
      </c>
      <c r="BA130" s="104">
        <f t="shared" si="2"/>
        <v>0.89999999999999991</v>
      </c>
      <c r="BC130" s="436">
        <v>3.16</v>
      </c>
      <c r="BD130" s="679">
        <v>36794</v>
      </c>
      <c r="BE130" s="679">
        <v>41832</v>
      </c>
      <c r="BF130" s="679">
        <v>29431</v>
      </c>
      <c r="BG130" s="679">
        <v>26362</v>
      </c>
    </row>
    <row r="131" spans="1:60">
      <c r="A131" s="107">
        <v>43524</v>
      </c>
      <c r="B131" s="348">
        <v>0.76</v>
      </c>
      <c r="C131" s="348">
        <v>0.82</v>
      </c>
      <c r="D131" s="348">
        <v>0.92</v>
      </c>
      <c r="E131" s="348">
        <v>1.06</v>
      </c>
      <c r="F131" s="348">
        <v>1.2</v>
      </c>
      <c r="G131" s="348">
        <v>1.35</v>
      </c>
      <c r="H131" s="348">
        <v>1.49</v>
      </c>
      <c r="I131" s="348">
        <v>1.62</v>
      </c>
      <c r="J131" s="348">
        <v>1.75</v>
      </c>
      <c r="K131" s="348">
        <v>1.87</v>
      </c>
      <c r="L131" s="348">
        <v>1.97</v>
      </c>
      <c r="M131" s="348">
        <v>2.06</v>
      </c>
      <c r="N131" s="348">
        <v>2.14</v>
      </c>
      <c r="O131" s="348">
        <v>2.21</v>
      </c>
      <c r="P131" s="2281">
        <v>2.2599999999999998</v>
      </c>
      <c r="Q131" s="348">
        <v>2.2999999999999998</v>
      </c>
      <c r="R131" s="348">
        <v>2.34</v>
      </c>
      <c r="S131" s="348">
        <v>2.37</v>
      </c>
      <c r="T131" s="348">
        <v>2.39</v>
      </c>
      <c r="U131" s="348">
        <v>2.42</v>
      </c>
      <c r="V131" s="348">
        <v>2.4300000000000002</v>
      </c>
      <c r="W131" s="348">
        <v>2.44</v>
      </c>
      <c r="X131" s="348">
        <v>2.44</v>
      </c>
      <c r="Y131" s="348">
        <v>2.4500000000000002</v>
      </c>
      <c r="Z131" s="348">
        <v>2.46</v>
      </c>
      <c r="AA131" s="348">
        <v>2.46</v>
      </c>
      <c r="AB131" s="348">
        <v>2.46</v>
      </c>
      <c r="AC131" s="348">
        <v>2.46</v>
      </c>
      <c r="AD131" s="348">
        <v>2.46</v>
      </c>
      <c r="AE131" s="348">
        <v>2.46</v>
      </c>
      <c r="AF131" s="348">
        <v>2.46</v>
      </c>
      <c r="AG131" s="348">
        <v>2.46</v>
      </c>
      <c r="AH131" s="348">
        <v>2.46</v>
      </c>
      <c r="AI131" s="348">
        <v>2.46</v>
      </c>
      <c r="AJ131" s="348">
        <v>2.46</v>
      </c>
      <c r="AK131" s="348">
        <v>2.46</v>
      </c>
      <c r="AL131" s="348">
        <v>2.46</v>
      </c>
      <c r="AM131" s="348">
        <v>2.4700000000000002</v>
      </c>
      <c r="AN131" s="348">
        <v>2.4700000000000002</v>
      </c>
      <c r="AO131" s="348">
        <v>2.4700000000000002</v>
      </c>
      <c r="AP131" s="348">
        <v>2.4700000000000002</v>
      </c>
      <c r="AQ131" s="348">
        <v>2.46</v>
      </c>
      <c r="AR131" s="348">
        <v>2.46</v>
      </c>
      <c r="AS131" s="348">
        <v>2.46</v>
      </c>
      <c r="AT131" s="348">
        <v>2.46</v>
      </c>
      <c r="AU131" s="348">
        <v>2.46</v>
      </c>
      <c r="AV131" s="348">
        <v>2.46</v>
      </c>
      <c r="AW131" s="348">
        <v>2.46</v>
      </c>
      <c r="AX131" s="348">
        <v>2.46</v>
      </c>
      <c r="AY131" s="348">
        <v>2.46</v>
      </c>
      <c r="AZ131" s="59">
        <v>8.9999999999999993E-3</v>
      </c>
      <c r="BA131" s="104">
        <f t="shared" si="2"/>
        <v>0.89999999999999991</v>
      </c>
      <c r="BC131" s="436">
        <v>3.12</v>
      </c>
      <c r="BD131" s="678">
        <f>BD$130+(BD$142-BD$130)/12*$BH131</f>
        <v>37103.25</v>
      </c>
      <c r="BE131" s="678">
        <f t="shared" ref="BE131:BG141" si="10">BE$130+(BE$142-BE$130)/12*$BH131</f>
        <v>42558.416666666664</v>
      </c>
      <c r="BF131" s="678">
        <f t="shared" si="10"/>
        <v>29775.333333333332</v>
      </c>
      <c r="BG131" s="678">
        <f t="shared" si="10"/>
        <v>27021.333333333332</v>
      </c>
      <c r="BH131" s="678">
        <v>1</v>
      </c>
    </row>
    <row r="132" spans="1:60">
      <c r="A132" s="107">
        <v>43555</v>
      </c>
      <c r="B132" s="348">
        <v>0.74</v>
      </c>
      <c r="C132" s="348">
        <v>0.8</v>
      </c>
      <c r="D132" s="348">
        <v>0.9</v>
      </c>
      <c r="E132" s="348">
        <v>1.03</v>
      </c>
      <c r="F132" s="348">
        <v>1.17</v>
      </c>
      <c r="G132" s="348">
        <v>1.32</v>
      </c>
      <c r="H132" s="348">
        <v>1.46</v>
      </c>
      <c r="I132" s="348">
        <v>1.59</v>
      </c>
      <c r="J132" s="348">
        <v>1.72</v>
      </c>
      <c r="K132" s="348">
        <v>1.84</v>
      </c>
      <c r="L132" s="348">
        <v>1.94</v>
      </c>
      <c r="M132" s="348">
        <v>2.0299999999999998</v>
      </c>
      <c r="N132" s="348">
        <v>2.11</v>
      </c>
      <c r="O132" s="348">
        <v>2.17</v>
      </c>
      <c r="P132" s="2281">
        <v>2.23</v>
      </c>
      <c r="Q132" s="348">
        <v>2.27</v>
      </c>
      <c r="R132" s="348">
        <v>2.31</v>
      </c>
      <c r="S132" s="348">
        <v>2.34</v>
      </c>
      <c r="T132" s="348">
        <v>2.36</v>
      </c>
      <c r="U132" s="348">
        <v>2.39</v>
      </c>
      <c r="V132" s="348">
        <v>2.4</v>
      </c>
      <c r="W132" s="348">
        <v>2.41</v>
      </c>
      <c r="X132" s="348">
        <v>2.42</v>
      </c>
      <c r="Y132" s="348">
        <v>2.42</v>
      </c>
      <c r="Z132" s="348">
        <v>2.4300000000000002</v>
      </c>
      <c r="AA132" s="348">
        <v>2.4300000000000002</v>
      </c>
      <c r="AB132" s="348">
        <v>2.4300000000000002</v>
      </c>
      <c r="AC132" s="348">
        <v>2.4300000000000002</v>
      </c>
      <c r="AD132" s="348">
        <v>2.4300000000000002</v>
      </c>
      <c r="AE132" s="348">
        <v>2.4300000000000002</v>
      </c>
      <c r="AF132" s="348">
        <v>2.4300000000000002</v>
      </c>
      <c r="AG132" s="348">
        <v>2.44</v>
      </c>
      <c r="AH132" s="348">
        <v>2.44</v>
      </c>
      <c r="AI132" s="348">
        <v>2.44</v>
      </c>
      <c r="AJ132" s="348">
        <v>2.44</v>
      </c>
      <c r="AK132" s="348">
        <v>2.44</v>
      </c>
      <c r="AL132" s="348">
        <v>2.44</v>
      </c>
      <c r="AM132" s="348">
        <v>2.44</v>
      </c>
      <c r="AN132" s="348">
        <v>2.44</v>
      </c>
      <c r="AO132" s="348">
        <v>2.44</v>
      </c>
      <c r="AP132" s="348">
        <v>2.44</v>
      </c>
      <c r="AQ132" s="348">
        <v>2.44</v>
      </c>
      <c r="AR132" s="348">
        <v>2.44</v>
      </c>
      <c r="AS132" s="348">
        <v>2.44</v>
      </c>
      <c r="AT132" s="348">
        <v>2.4300000000000002</v>
      </c>
      <c r="AU132" s="348">
        <v>2.4300000000000002</v>
      </c>
      <c r="AV132" s="348">
        <v>2.4300000000000002</v>
      </c>
      <c r="AW132" s="348">
        <v>2.4300000000000002</v>
      </c>
      <c r="AX132" s="348">
        <v>2.4300000000000002</v>
      </c>
      <c r="AY132" s="348">
        <v>2.4300000000000002</v>
      </c>
      <c r="AZ132" s="59">
        <v>8.9999999999999993E-3</v>
      </c>
      <c r="BA132" s="104">
        <f t="shared" si="2"/>
        <v>0.89999999999999991</v>
      </c>
      <c r="BC132" s="436">
        <v>3.07</v>
      </c>
      <c r="BD132" s="678">
        <f t="shared" ref="BD132:BD141" si="11">BD$130+(BD$142-BD$130)/12*$BH132</f>
        <v>37412.5</v>
      </c>
      <c r="BE132" s="678">
        <f t="shared" si="10"/>
        <v>43284.833333333336</v>
      </c>
      <c r="BF132" s="678">
        <f t="shared" si="10"/>
        <v>30119.666666666668</v>
      </c>
      <c r="BG132" s="678">
        <f t="shared" si="10"/>
        <v>27680.666666666668</v>
      </c>
      <c r="BH132" s="678">
        <v>2</v>
      </c>
    </row>
    <row r="133" spans="1:60">
      <c r="A133" s="107">
        <v>43585</v>
      </c>
      <c r="B133" s="348">
        <v>0.71</v>
      </c>
      <c r="C133" s="348">
        <v>0.78</v>
      </c>
      <c r="D133" s="348">
        <v>0.87</v>
      </c>
      <c r="E133" s="348">
        <v>1</v>
      </c>
      <c r="F133" s="348">
        <v>1.1399999999999999</v>
      </c>
      <c r="G133" s="348">
        <v>1.29</v>
      </c>
      <c r="H133" s="348">
        <v>1.43</v>
      </c>
      <c r="I133" s="348">
        <v>1.56</v>
      </c>
      <c r="J133" s="348">
        <v>1.69</v>
      </c>
      <c r="K133" s="348">
        <v>1.8</v>
      </c>
      <c r="L133" s="348">
        <v>1.91</v>
      </c>
      <c r="M133" s="348">
        <v>2</v>
      </c>
      <c r="N133" s="348">
        <v>2.08</v>
      </c>
      <c r="O133" s="348">
        <v>2.14</v>
      </c>
      <c r="P133" s="2281">
        <v>2.2000000000000002</v>
      </c>
      <c r="Q133" s="348">
        <v>2.2400000000000002</v>
      </c>
      <c r="R133" s="348">
        <v>2.27</v>
      </c>
      <c r="S133" s="348">
        <v>2.31</v>
      </c>
      <c r="T133" s="348">
        <v>2.33</v>
      </c>
      <c r="U133" s="348">
        <v>2.36</v>
      </c>
      <c r="V133" s="348">
        <v>2.37</v>
      </c>
      <c r="W133" s="348">
        <v>2.38</v>
      </c>
      <c r="X133" s="348">
        <v>2.39</v>
      </c>
      <c r="Y133" s="348">
        <v>2.4</v>
      </c>
      <c r="Z133" s="348">
        <v>2.4</v>
      </c>
      <c r="AA133" s="348">
        <v>2.4</v>
      </c>
      <c r="AB133" s="348">
        <v>2.4</v>
      </c>
      <c r="AC133" s="348">
        <v>2.41</v>
      </c>
      <c r="AD133" s="348">
        <v>2.41</v>
      </c>
      <c r="AE133" s="348">
        <v>2.41</v>
      </c>
      <c r="AF133" s="348">
        <v>2.41</v>
      </c>
      <c r="AG133" s="348">
        <v>2.41</v>
      </c>
      <c r="AH133" s="348">
        <v>2.41</v>
      </c>
      <c r="AI133" s="348">
        <v>2.41</v>
      </c>
      <c r="AJ133" s="348">
        <v>2.41</v>
      </c>
      <c r="AK133" s="348">
        <v>2.41</v>
      </c>
      <c r="AL133" s="348">
        <v>2.41</v>
      </c>
      <c r="AM133" s="348">
        <v>2.41</v>
      </c>
      <c r="AN133" s="348">
        <v>2.41</v>
      </c>
      <c r="AO133" s="348">
        <v>2.41</v>
      </c>
      <c r="AP133" s="348">
        <v>2.41</v>
      </c>
      <c r="AQ133" s="348">
        <v>2.41</v>
      </c>
      <c r="AR133" s="348">
        <v>2.41</v>
      </c>
      <c r="AS133" s="348">
        <v>2.41</v>
      </c>
      <c r="AT133" s="348">
        <v>2.41</v>
      </c>
      <c r="AU133" s="348">
        <v>2.41</v>
      </c>
      <c r="AV133" s="348">
        <v>2.4</v>
      </c>
      <c r="AW133" s="348">
        <v>2.4</v>
      </c>
      <c r="AX133" s="348">
        <v>2.4</v>
      </c>
      <c r="AY133" s="348">
        <v>2.4</v>
      </c>
      <c r="AZ133" s="59">
        <v>8.9999999999999993E-3</v>
      </c>
      <c r="BA133" s="104">
        <f t="shared" si="2"/>
        <v>0.89999999999999991</v>
      </c>
      <c r="BC133" s="436">
        <v>3.03</v>
      </c>
      <c r="BD133" s="678">
        <f t="shared" si="11"/>
        <v>37721.75</v>
      </c>
      <c r="BE133" s="678">
        <f t="shared" si="10"/>
        <v>44011.25</v>
      </c>
      <c r="BF133" s="678">
        <f t="shared" si="10"/>
        <v>30464</v>
      </c>
      <c r="BG133" s="678">
        <f t="shared" si="10"/>
        <v>28340</v>
      </c>
      <c r="BH133" s="678">
        <v>3</v>
      </c>
    </row>
    <row r="134" spans="1:60">
      <c r="A134" s="107">
        <v>43616</v>
      </c>
      <c r="B134" s="348">
        <v>0.69</v>
      </c>
      <c r="C134" s="348">
        <v>0.75</v>
      </c>
      <c r="D134" s="348">
        <v>0.85</v>
      </c>
      <c r="E134" s="348">
        <v>0.98</v>
      </c>
      <c r="F134" s="348">
        <v>1.1200000000000001</v>
      </c>
      <c r="G134" s="348">
        <v>1.27</v>
      </c>
      <c r="H134" s="348">
        <v>1.4</v>
      </c>
      <c r="I134" s="348">
        <v>1.54</v>
      </c>
      <c r="J134" s="348">
        <v>1.66</v>
      </c>
      <c r="K134" s="348">
        <v>1.78</v>
      </c>
      <c r="L134" s="348">
        <v>1.89</v>
      </c>
      <c r="M134" s="348">
        <v>1.97</v>
      </c>
      <c r="N134" s="348">
        <v>2.0499999999999998</v>
      </c>
      <c r="O134" s="348">
        <v>2.12</v>
      </c>
      <c r="P134" s="2281">
        <v>2.1800000000000002</v>
      </c>
      <c r="Q134" s="348">
        <v>2.2200000000000002</v>
      </c>
      <c r="R134" s="348">
        <v>2.25</v>
      </c>
      <c r="S134" s="348">
        <v>2.2799999999999998</v>
      </c>
      <c r="T134" s="348">
        <v>2.31</v>
      </c>
      <c r="U134" s="348">
        <v>2.34</v>
      </c>
      <c r="V134" s="348">
        <v>2.35</v>
      </c>
      <c r="W134" s="348">
        <v>2.36</v>
      </c>
      <c r="X134" s="348">
        <v>2.37</v>
      </c>
      <c r="Y134" s="348">
        <v>2.38</v>
      </c>
      <c r="Z134" s="348">
        <v>2.38</v>
      </c>
      <c r="AA134" s="348">
        <v>2.38</v>
      </c>
      <c r="AB134" s="348">
        <v>2.39</v>
      </c>
      <c r="AC134" s="348">
        <v>2.39</v>
      </c>
      <c r="AD134" s="348">
        <v>2.39</v>
      </c>
      <c r="AE134" s="348">
        <v>2.39</v>
      </c>
      <c r="AF134" s="348">
        <v>2.39</v>
      </c>
      <c r="AG134" s="348">
        <v>2.39</v>
      </c>
      <c r="AH134" s="348">
        <v>2.39</v>
      </c>
      <c r="AI134" s="348">
        <v>2.39</v>
      </c>
      <c r="AJ134" s="348">
        <v>2.39</v>
      </c>
      <c r="AK134" s="348">
        <v>2.39</v>
      </c>
      <c r="AL134" s="348">
        <v>2.39</v>
      </c>
      <c r="AM134" s="348">
        <v>2.39</v>
      </c>
      <c r="AN134" s="348">
        <v>2.39</v>
      </c>
      <c r="AO134" s="348">
        <v>2.39</v>
      </c>
      <c r="AP134" s="348">
        <v>2.39</v>
      </c>
      <c r="AQ134" s="348">
        <v>2.39</v>
      </c>
      <c r="AR134" s="348">
        <v>2.39</v>
      </c>
      <c r="AS134" s="348">
        <v>2.39</v>
      </c>
      <c r="AT134" s="348">
        <v>2.39</v>
      </c>
      <c r="AU134" s="348">
        <v>2.39</v>
      </c>
      <c r="AV134" s="348">
        <v>2.38</v>
      </c>
      <c r="AW134" s="348">
        <v>2.38</v>
      </c>
      <c r="AX134" s="348">
        <v>2.38</v>
      </c>
      <c r="AY134" s="348">
        <v>2.38</v>
      </c>
      <c r="AZ134" s="59">
        <v>8.9999999999999993E-3</v>
      </c>
      <c r="BA134" s="104">
        <f t="shared" si="2"/>
        <v>0.89999999999999991</v>
      </c>
      <c r="BC134" s="436">
        <v>2.98</v>
      </c>
      <c r="BD134" s="678">
        <f t="shared" si="11"/>
        <v>38031</v>
      </c>
      <c r="BE134" s="678">
        <f t="shared" si="10"/>
        <v>44737.666666666664</v>
      </c>
      <c r="BF134" s="678">
        <f t="shared" si="10"/>
        <v>30808.333333333332</v>
      </c>
      <c r="BG134" s="678">
        <f t="shared" si="10"/>
        <v>28999.333333333332</v>
      </c>
      <c r="BH134" s="678">
        <v>4</v>
      </c>
    </row>
    <row r="135" spans="1:60" s="113" customFormat="1" ht="12.75" customHeight="1">
      <c r="A135" s="107">
        <v>43646</v>
      </c>
      <c r="B135" s="348">
        <v>0.67</v>
      </c>
      <c r="C135" s="348">
        <v>0.73</v>
      </c>
      <c r="D135" s="348">
        <v>0.83</v>
      </c>
      <c r="E135" s="348">
        <v>0.96</v>
      </c>
      <c r="F135" s="348">
        <v>1.0900000000000001</v>
      </c>
      <c r="G135" s="348">
        <v>1.24</v>
      </c>
      <c r="H135" s="348">
        <v>1.37</v>
      </c>
      <c r="I135" s="348">
        <v>1.51</v>
      </c>
      <c r="J135" s="348">
        <v>1.63</v>
      </c>
      <c r="K135" s="348">
        <v>1.75</v>
      </c>
      <c r="L135" s="348">
        <v>1.86</v>
      </c>
      <c r="M135" s="348">
        <v>1.94</v>
      </c>
      <c r="N135" s="348">
        <v>2.02</v>
      </c>
      <c r="O135" s="348">
        <v>2.09</v>
      </c>
      <c r="P135" s="2281">
        <v>2.15</v>
      </c>
      <c r="Q135" s="348">
        <v>2.19</v>
      </c>
      <c r="R135" s="348">
        <v>2.2200000000000002</v>
      </c>
      <c r="S135" s="348">
        <v>2.25</v>
      </c>
      <c r="T135" s="348">
        <v>2.2799999999999998</v>
      </c>
      <c r="U135" s="348">
        <v>2.31</v>
      </c>
      <c r="V135" s="348">
        <v>2.3199999999999998</v>
      </c>
      <c r="W135" s="348">
        <v>2.33</v>
      </c>
      <c r="X135" s="348">
        <v>2.34</v>
      </c>
      <c r="Y135" s="348">
        <v>2.35</v>
      </c>
      <c r="Z135" s="348">
        <v>2.35</v>
      </c>
      <c r="AA135" s="348">
        <v>2.36</v>
      </c>
      <c r="AB135" s="348">
        <v>2.36</v>
      </c>
      <c r="AC135" s="348">
        <v>2.36</v>
      </c>
      <c r="AD135" s="348">
        <v>2.36</v>
      </c>
      <c r="AE135" s="348">
        <v>2.36</v>
      </c>
      <c r="AF135" s="348">
        <v>2.36</v>
      </c>
      <c r="AG135" s="348">
        <v>2.36</v>
      </c>
      <c r="AH135" s="348">
        <v>2.36</v>
      </c>
      <c r="AI135" s="348">
        <v>2.36</v>
      </c>
      <c r="AJ135" s="348">
        <v>2.36</v>
      </c>
      <c r="AK135" s="348">
        <v>2.36</v>
      </c>
      <c r="AL135" s="348">
        <v>2.36</v>
      </c>
      <c r="AM135" s="348">
        <v>2.37</v>
      </c>
      <c r="AN135" s="348">
        <v>2.37</v>
      </c>
      <c r="AO135" s="348">
        <v>2.37</v>
      </c>
      <c r="AP135" s="348">
        <v>2.36</v>
      </c>
      <c r="AQ135" s="348">
        <v>2.36</v>
      </c>
      <c r="AR135" s="348">
        <v>2.36</v>
      </c>
      <c r="AS135" s="348">
        <v>2.36</v>
      </c>
      <c r="AT135" s="348">
        <v>2.36</v>
      </c>
      <c r="AU135" s="348">
        <v>2.36</v>
      </c>
      <c r="AV135" s="348">
        <v>2.36</v>
      </c>
      <c r="AW135" s="348">
        <v>2.35</v>
      </c>
      <c r="AX135" s="348">
        <v>2.35</v>
      </c>
      <c r="AY135" s="348">
        <v>2.35</v>
      </c>
      <c r="AZ135" s="59">
        <v>8.9999999999999993E-3</v>
      </c>
      <c r="BA135" s="104">
        <f t="shared" si="2"/>
        <v>0.89999999999999991</v>
      </c>
      <c r="BC135" s="436">
        <v>2.94</v>
      </c>
      <c r="BD135" s="678">
        <f t="shared" si="11"/>
        <v>38340.25</v>
      </c>
      <c r="BE135" s="678">
        <f t="shared" si="10"/>
        <v>45464.083333333336</v>
      </c>
      <c r="BF135" s="678">
        <f t="shared" si="10"/>
        <v>31152.666666666668</v>
      </c>
      <c r="BG135" s="678">
        <f t="shared" si="10"/>
        <v>29658.666666666668</v>
      </c>
      <c r="BH135" s="678">
        <v>5</v>
      </c>
    </row>
    <row r="136" spans="1:60" ht="12.75" customHeight="1">
      <c r="A136" s="107">
        <v>43677</v>
      </c>
      <c r="B136" s="348">
        <v>0.65</v>
      </c>
      <c r="C136" s="348">
        <v>0.71</v>
      </c>
      <c r="D136" s="348">
        <v>0.81</v>
      </c>
      <c r="E136" s="348">
        <v>0.93</v>
      </c>
      <c r="F136" s="348">
        <v>1.07</v>
      </c>
      <c r="G136" s="348">
        <v>1.21</v>
      </c>
      <c r="H136" s="348">
        <v>1.35</v>
      </c>
      <c r="I136" s="348">
        <v>1.48</v>
      </c>
      <c r="J136" s="348">
        <v>1.6</v>
      </c>
      <c r="K136" s="348">
        <v>1.72</v>
      </c>
      <c r="L136" s="348">
        <v>1.83</v>
      </c>
      <c r="M136" s="348">
        <v>1.91</v>
      </c>
      <c r="N136" s="348">
        <v>1.99</v>
      </c>
      <c r="O136" s="348">
        <v>2.06</v>
      </c>
      <c r="P136" s="2281">
        <v>2.12</v>
      </c>
      <c r="Q136" s="348">
        <v>2.16</v>
      </c>
      <c r="R136" s="348">
        <v>2.19</v>
      </c>
      <c r="S136" s="348">
        <v>2.23</v>
      </c>
      <c r="T136" s="348">
        <v>2.25</v>
      </c>
      <c r="U136" s="348">
        <v>2.2799999999999998</v>
      </c>
      <c r="V136" s="348">
        <v>2.29</v>
      </c>
      <c r="W136" s="348">
        <v>2.2999999999999998</v>
      </c>
      <c r="X136" s="348">
        <v>2.31</v>
      </c>
      <c r="Y136" s="348">
        <v>2.3199999999999998</v>
      </c>
      <c r="Z136" s="348">
        <v>2.33</v>
      </c>
      <c r="AA136" s="348">
        <v>2.33</v>
      </c>
      <c r="AB136" s="348">
        <v>2.33</v>
      </c>
      <c r="AC136" s="348">
        <v>2.33</v>
      </c>
      <c r="AD136" s="348">
        <v>2.33</v>
      </c>
      <c r="AE136" s="348">
        <v>2.33</v>
      </c>
      <c r="AF136" s="348">
        <v>2.33</v>
      </c>
      <c r="AG136" s="348">
        <v>2.33</v>
      </c>
      <c r="AH136" s="348">
        <v>2.33</v>
      </c>
      <c r="AI136" s="348">
        <v>2.34</v>
      </c>
      <c r="AJ136" s="348">
        <v>2.34</v>
      </c>
      <c r="AK136" s="348">
        <v>2.34</v>
      </c>
      <c r="AL136" s="348">
        <v>2.34</v>
      </c>
      <c r="AM136" s="348">
        <v>2.34</v>
      </c>
      <c r="AN136" s="348">
        <v>2.34</v>
      </c>
      <c r="AO136" s="348">
        <v>2.34</v>
      </c>
      <c r="AP136" s="348">
        <v>2.33</v>
      </c>
      <c r="AQ136" s="348">
        <v>2.33</v>
      </c>
      <c r="AR136" s="348">
        <v>2.33</v>
      </c>
      <c r="AS136" s="348">
        <v>2.33</v>
      </c>
      <c r="AT136" s="348">
        <v>2.33</v>
      </c>
      <c r="AU136" s="348">
        <v>2.33</v>
      </c>
      <c r="AV136" s="348">
        <v>2.3199999999999998</v>
      </c>
      <c r="AW136" s="348">
        <v>2.3199999999999998</v>
      </c>
      <c r="AX136" s="348">
        <v>2.3199999999999998</v>
      </c>
      <c r="AY136" s="348">
        <v>2.3199999999999998</v>
      </c>
      <c r="AZ136" s="59">
        <v>8.9999999999999993E-3</v>
      </c>
      <c r="BA136" s="104">
        <f t="shared" si="2"/>
        <v>0.89999999999999991</v>
      </c>
      <c r="BC136" s="436">
        <v>2.9</v>
      </c>
      <c r="BD136" s="678">
        <f t="shared" si="11"/>
        <v>38649.5</v>
      </c>
      <c r="BE136" s="678">
        <f t="shared" si="10"/>
        <v>46190.5</v>
      </c>
      <c r="BF136" s="678">
        <f t="shared" si="10"/>
        <v>31497</v>
      </c>
      <c r="BG136" s="678">
        <f t="shared" si="10"/>
        <v>30318</v>
      </c>
      <c r="BH136" s="678">
        <v>6</v>
      </c>
    </row>
    <row r="137" spans="1:60" ht="12.75" customHeight="1">
      <c r="A137" s="107">
        <v>43708</v>
      </c>
      <c r="B137" s="348">
        <v>0.63</v>
      </c>
      <c r="C137" s="348">
        <v>0.69</v>
      </c>
      <c r="D137" s="348">
        <v>0.79</v>
      </c>
      <c r="E137" s="348">
        <v>0.91</v>
      </c>
      <c r="F137" s="348">
        <v>1.04</v>
      </c>
      <c r="G137" s="348">
        <v>1.19</v>
      </c>
      <c r="H137" s="348">
        <v>1.32</v>
      </c>
      <c r="I137" s="348">
        <v>1.45</v>
      </c>
      <c r="J137" s="348">
        <v>1.57</v>
      </c>
      <c r="K137" s="348">
        <v>1.69</v>
      </c>
      <c r="L137" s="348">
        <v>1.8</v>
      </c>
      <c r="M137" s="348">
        <v>1.88</v>
      </c>
      <c r="N137" s="348">
        <v>1.96</v>
      </c>
      <c r="O137" s="348">
        <v>2.0299999999999998</v>
      </c>
      <c r="P137" s="2281">
        <v>2.08</v>
      </c>
      <c r="Q137" s="348">
        <v>2.13</v>
      </c>
      <c r="R137" s="348">
        <v>2.16</v>
      </c>
      <c r="S137" s="348">
        <v>2.19</v>
      </c>
      <c r="T137" s="348">
        <v>2.2200000000000002</v>
      </c>
      <c r="U137" s="348">
        <v>2.25</v>
      </c>
      <c r="V137" s="348">
        <v>2.2599999999999998</v>
      </c>
      <c r="W137" s="348">
        <v>2.27</v>
      </c>
      <c r="X137" s="348">
        <v>2.2799999999999998</v>
      </c>
      <c r="Y137" s="348">
        <v>2.29</v>
      </c>
      <c r="Z137" s="348">
        <v>2.2999999999999998</v>
      </c>
      <c r="AA137" s="348">
        <v>2.2999999999999998</v>
      </c>
      <c r="AB137" s="348">
        <v>2.2999999999999998</v>
      </c>
      <c r="AC137" s="348">
        <v>2.2999999999999998</v>
      </c>
      <c r="AD137" s="348">
        <v>2.2999999999999998</v>
      </c>
      <c r="AE137" s="348">
        <v>2.2999999999999998</v>
      </c>
      <c r="AF137" s="348">
        <v>2.2999999999999998</v>
      </c>
      <c r="AG137" s="348">
        <v>2.2999999999999998</v>
      </c>
      <c r="AH137" s="348">
        <v>2.2999999999999998</v>
      </c>
      <c r="AI137" s="348">
        <v>2.2999999999999998</v>
      </c>
      <c r="AJ137" s="348">
        <v>2.2999999999999998</v>
      </c>
      <c r="AK137" s="348">
        <v>2.2999999999999998</v>
      </c>
      <c r="AL137" s="348">
        <v>2.2999999999999998</v>
      </c>
      <c r="AM137" s="348">
        <v>2.2999999999999998</v>
      </c>
      <c r="AN137" s="348">
        <v>2.2999999999999998</v>
      </c>
      <c r="AO137" s="348">
        <v>2.2999999999999998</v>
      </c>
      <c r="AP137" s="348">
        <v>2.2999999999999998</v>
      </c>
      <c r="AQ137" s="348">
        <v>2.2999999999999998</v>
      </c>
      <c r="AR137" s="348">
        <v>2.2999999999999998</v>
      </c>
      <c r="AS137" s="348">
        <v>2.29</v>
      </c>
      <c r="AT137" s="348">
        <v>2.29</v>
      </c>
      <c r="AU137" s="348">
        <v>2.29</v>
      </c>
      <c r="AV137" s="348">
        <v>2.29</v>
      </c>
      <c r="AW137" s="348">
        <v>2.29</v>
      </c>
      <c r="AX137" s="348">
        <v>2.29</v>
      </c>
      <c r="AY137" s="348">
        <v>2.29</v>
      </c>
      <c r="AZ137" s="59">
        <v>8.9999999999999993E-3</v>
      </c>
      <c r="BA137" s="104">
        <f t="shared" si="2"/>
        <v>0.89999999999999991</v>
      </c>
      <c r="BC137" s="436">
        <v>2.86</v>
      </c>
      <c r="BD137" s="678">
        <f t="shared" si="11"/>
        <v>38958.75</v>
      </c>
      <c r="BE137" s="678">
        <f t="shared" si="10"/>
        <v>46916.916666666664</v>
      </c>
      <c r="BF137" s="678">
        <f t="shared" si="10"/>
        <v>31841.333333333332</v>
      </c>
      <c r="BG137" s="678">
        <f t="shared" si="10"/>
        <v>30977.333333333336</v>
      </c>
      <c r="BH137" s="678">
        <v>7</v>
      </c>
    </row>
    <row r="138" spans="1:60" ht="12.75" customHeight="1">
      <c r="A138" s="107">
        <v>43738</v>
      </c>
      <c r="B138" s="348">
        <v>0.62</v>
      </c>
      <c r="C138" s="348">
        <v>0.68</v>
      </c>
      <c r="D138" s="348">
        <v>0.77</v>
      </c>
      <c r="E138" s="348">
        <v>0.89</v>
      </c>
      <c r="F138" s="348">
        <v>1.02</v>
      </c>
      <c r="G138" s="348">
        <v>1.1599999999999999</v>
      </c>
      <c r="H138" s="348">
        <v>1.29</v>
      </c>
      <c r="I138" s="348">
        <v>1.42</v>
      </c>
      <c r="J138" s="348">
        <v>1.55</v>
      </c>
      <c r="K138" s="348">
        <v>1.66</v>
      </c>
      <c r="L138" s="348">
        <v>1.77</v>
      </c>
      <c r="M138" s="348">
        <v>1.85</v>
      </c>
      <c r="N138" s="348">
        <v>1.93</v>
      </c>
      <c r="O138" s="348">
        <v>2</v>
      </c>
      <c r="P138" s="2281">
        <v>2.0499999999999998</v>
      </c>
      <c r="Q138" s="348">
        <v>2.09</v>
      </c>
      <c r="R138" s="348">
        <v>2.13</v>
      </c>
      <c r="S138" s="348">
        <v>2.16</v>
      </c>
      <c r="T138" s="348">
        <v>2.19</v>
      </c>
      <c r="U138" s="348">
        <v>2.2200000000000002</v>
      </c>
      <c r="V138" s="348">
        <v>2.23</v>
      </c>
      <c r="W138" s="348">
        <v>2.2400000000000002</v>
      </c>
      <c r="X138" s="348">
        <v>2.25</v>
      </c>
      <c r="Y138" s="348">
        <v>2.2599999999999998</v>
      </c>
      <c r="Z138" s="348">
        <v>2.2599999999999998</v>
      </c>
      <c r="AA138" s="348">
        <v>2.27</v>
      </c>
      <c r="AB138" s="348">
        <v>2.27</v>
      </c>
      <c r="AC138" s="348">
        <v>2.27</v>
      </c>
      <c r="AD138" s="348">
        <v>2.27</v>
      </c>
      <c r="AE138" s="348">
        <v>2.27</v>
      </c>
      <c r="AF138" s="348">
        <v>2.27</v>
      </c>
      <c r="AG138" s="348">
        <v>2.27</v>
      </c>
      <c r="AH138" s="348">
        <v>2.27</v>
      </c>
      <c r="AI138" s="348">
        <v>2.27</v>
      </c>
      <c r="AJ138" s="348">
        <v>2.27</v>
      </c>
      <c r="AK138" s="348">
        <v>2.27</v>
      </c>
      <c r="AL138" s="348">
        <v>2.27</v>
      </c>
      <c r="AM138" s="348">
        <v>2.27</v>
      </c>
      <c r="AN138" s="348">
        <v>2.27</v>
      </c>
      <c r="AO138" s="348">
        <v>2.27</v>
      </c>
      <c r="AP138" s="348">
        <v>2.27</v>
      </c>
      <c r="AQ138" s="348">
        <v>2.2599999999999998</v>
      </c>
      <c r="AR138" s="348">
        <v>2.2599999999999998</v>
      </c>
      <c r="AS138" s="348">
        <v>2.2599999999999998</v>
      </c>
      <c r="AT138" s="348">
        <v>2.2599999999999998</v>
      </c>
      <c r="AU138" s="348">
        <v>2.2599999999999998</v>
      </c>
      <c r="AV138" s="348">
        <v>2.25</v>
      </c>
      <c r="AW138" s="348">
        <v>2.25</v>
      </c>
      <c r="AX138" s="348">
        <v>2.25</v>
      </c>
      <c r="AY138" s="348">
        <v>2.25</v>
      </c>
      <c r="AZ138" s="59">
        <v>8.9999999999999993E-3</v>
      </c>
      <c r="BA138" s="104">
        <f t="shared" ref="BA138:BA147" si="12">+AZ138*100</f>
        <v>0.89999999999999991</v>
      </c>
      <c r="BC138" s="436">
        <v>2.82</v>
      </c>
      <c r="BD138" s="678">
        <f t="shared" si="11"/>
        <v>39268</v>
      </c>
      <c r="BE138" s="678">
        <f t="shared" si="10"/>
        <v>47643.333333333336</v>
      </c>
      <c r="BF138" s="678">
        <f t="shared" si="10"/>
        <v>32185.666666666668</v>
      </c>
      <c r="BG138" s="678">
        <f t="shared" si="10"/>
        <v>31636.666666666668</v>
      </c>
      <c r="BH138" s="678">
        <v>8</v>
      </c>
    </row>
    <row r="139" spans="1:60" ht="12.75" customHeight="1">
      <c r="A139" s="107">
        <v>43769</v>
      </c>
      <c r="B139" s="348">
        <v>0.6</v>
      </c>
      <c r="C139" s="348">
        <v>0.66</v>
      </c>
      <c r="D139" s="348">
        <v>0.75</v>
      </c>
      <c r="E139" s="348">
        <v>0.87</v>
      </c>
      <c r="F139" s="348">
        <v>1</v>
      </c>
      <c r="G139" s="348">
        <v>1.1399999999999999</v>
      </c>
      <c r="H139" s="348">
        <v>1.27</v>
      </c>
      <c r="I139" s="348">
        <v>1.4</v>
      </c>
      <c r="J139" s="348">
        <v>1.52</v>
      </c>
      <c r="K139" s="348">
        <v>1.64</v>
      </c>
      <c r="L139" s="348">
        <v>1.74</v>
      </c>
      <c r="M139" s="348">
        <v>1.82</v>
      </c>
      <c r="N139" s="348">
        <v>1.9</v>
      </c>
      <c r="O139" s="348">
        <v>1.97</v>
      </c>
      <c r="P139" s="2281">
        <v>2.02</v>
      </c>
      <c r="Q139" s="348">
        <v>2.06</v>
      </c>
      <c r="R139" s="348">
        <v>2.1</v>
      </c>
      <c r="S139" s="348">
        <v>2.13</v>
      </c>
      <c r="T139" s="348">
        <v>2.16</v>
      </c>
      <c r="U139" s="348">
        <v>2.19</v>
      </c>
      <c r="V139" s="348">
        <v>2.2000000000000002</v>
      </c>
      <c r="W139" s="348">
        <v>2.21</v>
      </c>
      <c r="X139" s="348">
        <v>2.2200000000000002</v>
      </c>
      <c r="Y139" s="348">
        <v>2.23</v>
      </c>
      <c r="Z139" s="348">
        <v>2.23</v>
      </c>
      <c r="AA139" s="348">
        <v>2.2400000000000002</v>
      </c>
      <c r="AB139" s="348">
        <v>2.2400000000000002</v>
      </c>
      <c r="AC139" s="348">
        <v>2.2400000000000002</v>
      </c>
      <c r="AD139" s="348">
        <v>2.2400000000000002</v>
      </c>
      <c r="AE139" s="348">
        <v>2.2400000000000002</v>
      </c>
      <c r="AF139" s="348">
        <v>2.2400000000000002</v>
      </c>
      <c r="AG139" s="348">
        <v>2.2400000000000002</v>
      </c>
      <c r="AH139" s="348">
        <v>2.2400000000000002</v>
      </c>
      <c r="AI139" s="348">
        <v>2.2400000000000002</v>
      </c>
      <c r="AJ139" s="348">
        <v>2.2400000000000002</v>
      </c>
      <c r="AK139" s="348">
        <v>2.2400000000000002</v>
      </c>
      <c r="AL139" s="348">
        <v>2.2400000000000002</v>
      </c>
      <c r="AM139" s="348">
        <v>2.2400000000000002</v>
      </c>
      <c r="AN139" s="348">
        <v>2.2400000000000002</v>
      </c>
      <c r="AO139" s="348">
        <v>2.2400000000000002</v>
      </c>
      <c r="AP139" s="348">
        <v>2.2400000000000002</v>
      </c>
      <c r="AQ139" s="348">
        <v>2.23</v>
      </c>
      <c r="AR139" s="348">
        <v>2.23</v>
      </c>
      <c r="AS139" s="348">
        <v>2.23</v>
      </c>
      <c r="AT139" s="348">
        <v>2.23</v>
      </c>
      <c r="AU139" s="348">
        <v>2.2200000000000002</v>
      </c>
      <c r="AV139" s="348">
        <v>2.2200000000000002</v>
      </c>
      <c r="AW139" s="348">
        <v>2.2200000000000002</v>
      </c>
      <c r="AX139" s="348">
        <v>2.2200000000000002</v>
      </c>
      <c r="AY139" s="348">
        <v>2.2200000000000002</v>
      </c>
      <c r="AZ139" s="59">
        <v>8.9999999999999993E-3</v>
      </c>
      <c r="BA139" s="104">
        <f t="shared" si="12"/>
        <v>0.89999999999999991</v>
      </c>
      <c r="BC139" s="436">
        <v>2.79</v>
      </c>
      <c r="BD139" s="678">
        <f t="shared" si="11"/>
        <v>39577.25</v>
      </c>
      <c r="BE139" s="678">
        <f t="shared" si="10"/>
        <v>48369.75</v>
      </c>
      <c r="BF139" s="678">
        <f t="shared" si="10"/>
        <v>32530</v>
      </c>
      <c r="BG139" s="678">
        <f t="shared" si="10"/>
        <v>32296</v>
      </c>
      <c r="BH139" s="678">
        <v>9</v>
      </c>
    </row>
    <row r="140" spans="1:60" ht="12.75" customHeight="1">
      <c r="A140" s="107">
        <v>43799</v>
      </c>
      <c r="B140" s="348">
        <v>0.59</v>
      </c>
      <c r="C140" s="348">
        <v>0.65</v>
      </c>
      <c r="D140" s="348">
        <v>0.74</v>
      </c>
      <c r="E140" s="348">
        <v>0.86</v>
      </c>
      <c r="F140" s="348">
        <v>0.98</v>
      </c>
      <c r="G140" s="348">
        <v>1.1200000000000001</v>
      </c>
      <c r="H140" s="348">
        <v>1.25</v>
      </c>
      <c r="I140" s="348">
        <v>1.38</v>
      </c>
      <c r="J140" s="348">
        <v>1.5</v>
      </c>
      <c r="K140" s="348">
        <v>1.61</v>
      </c>
      <c r="L140" s="348">
        <v>1.71</v>
      </c>
      <c r="M140" s="348">
        <v>1.8</v>
      </c>
      <c r="N140" s="348">
        <v>1.87</v>
      </c>
      <c r="O140" s="348">
        <v>1.94</v>
      </c>
      <c r="P140" s="2281">
        <v>2</v>
      </c>
      <c r="Q140" s="348">
        <v>2.04</v>
      </c>
      <c r="R140" s="348">
        <v>2.0699999999999998</v>
      </c>
      <c r="S140" s="348">
        <v>2.1</v>
      </c>
      <c r="T140" s="348">
        <v>2.13</v>
      </c>
      <c r="U140" s="348">
        <v>2.16</v>
      </c>
      <c r="V140" s="348">
        <v>2.17</v>
      </c>
      <c r="W140" s="348">
        <v>2.1800000000000002</v>
      </c>
      <c r="X140" s="348">
        <v>2.19</v>
      </c>
      <c r="Y140" s="348">
        <v>2.2000000000000002</v>
      </c>
      <c r="Z140" s="348">
        <v>2.21</v>
      </c>
      <c r="AA140" s="348">
        <v>2.21</v>
      </c>
      <c r="AB140" s="348">
        <v>2.21</v>
      </c>
      <c r="AC140" s="348">
        <v>2.21</v>
      </c>
      <c r="AD140" s="348">
        <v>2.21</v>
      </c>
      <c r="AE140" s="348">
        <v>2.21</v>
      </c>
      <c r="AF140" s="348">
        <v>2.21</v>
      </c>
      <c r="AG140" s="348">
        <v>2.21</v>
      </c>
      <c r="AH140" s="348">
        <v>2.21</v>
      </c>
      <c r="AI140" s="348">
        <v>2.21</v>
      </c>
      <c r="AJ140" s="348">
        <v>2.21</v>
      </c>
      <c r="AK140" s="348">
        <v>2.21</v>
      </c>
      <c r="AL140" s="348">
        <v>2.21</v>
      </c>
      <c r="AM140" s="348">
        <v>2.21</v>
      </c>
      <c r="AN140" s="348">
        <v>2.21</v>
      </c>
      <c r="AO140" s="348">
        <v>2.21</v>
      </c>
      <c r="AP140" s="348">
        <v>2.21</v>
      </c>
      <c r="AQ140" s="348">
        <v>2.2000000000000002</v>
      </c>
      <c r="AR140" s="348">
        <v>2.2000000000000002</v>
      </c>
      <c r="AS140" s="348">
        <v>2.2000000000000002</v>
      </c>
      <c r="AT140" s="348">
        <v>2.19</v>
      </c>
      <c r="AU140" s="348">
        <v>2.19</v>
      </c>
      <c r="AV140" s="348">
        <v>2.19</v>
      </c>
      <c r="AW140" s="348">
        <v>2.19</v>
      </c>
      <c r="AX140" s="348">
        <v>2.19</v>
      </c>
      <c r="AY140" s="348">
        <v>2.1800000000000002</v>
      </c>
      <c r="AZ140" s="59">
        <v>8.9999999999999993E-3</v>
      </c>
      <c r="BA140" s="104">
        <f t="shared" si="12"/>
        <v>0.89999999999999991</v>
      </c>
      <c r="BC140" s="436">
        <v>2.75</v>
      </c>
      <c r="BD140" s="678">
        <f t="shared" si="11"/>
        <v>39886.5</v>
      </c>
      <c r="BE140" s="678">
        <f t="shared" si="10"/>
        <v>49096.166666666664</v>
      </c>
      <c r="BF140" s="678">
        <f t="shared" si="10"/>
        <v>32874.333333333336</v>
      </c>
      <c r="BG140" s="678">
        <f t="shared" si="10"/>
        <v>32955.333333333336</v>
      </c>
      <c r="BH140" s="678">
        <v>10</v>
      </c>
    </row>
    <row r="141" spans="1:60" s="113" customFormat="1" ht="12.75" customHeight="1">
      <c r="A141" s="107">
        <v>43830</v>
      </c>
      <c r="B141" s="348">
        <v>0.57999999999999996</v>
      </c>
      <c r="C141" s="348">
        <v>0.63</v>
      </c>
      <c r="D141" s="348">
        <v>0.72</v>
      </c>
      <c r="E141" s="348">
        <v>0.84</v>
      </c>
      <c r="F141" s="348">
        <v>0.97</v>
      </c>
      <c r="G141" s="348">
        <v>1.1000000000000001</v>
      </c>
      <c r="H141" s="348">
        <v>1.23</v>
      </c>
      <c r="I141" s="348">
        <v>1.36</v>
      </c>
      <c r="J141" s="348">
        <v>1.48</v>
      </c>
      <c r="K141" s="348">
        <v>1.59</v>
      </c>
      <c r="L141" s="348">
        <v>1.69</v>
      </c>
      <c r="M141" s="348">
        <v>1.77</v>
      </c>
      <c r="N141" s="348">
        <v>1.85</v>
      </c>
      <c r="O141" s="348">
        <v>1.91</v>
      </c>
      <c r="P141" s="2281">
        <v>1.97</v>
      </c>
      <c r="Q141" s="348">
        <v>2.0099999999999998</v>
      </c>
      <c r="R141" s="348">
        <v>2.0499999999999998</v>
      </c>
      <c r="S141" s="348">
        <v>2.08</v>
      </c>
      <c r="T141" s="348">
        <v>2.11</v>
      </c>
      <c r="U141" s="348">
        <v>2.13</v>
      </c>
      <c r="V141" s="348">
        <v>2.15</v>
      </c>
      <c r="W141" s="348">
        <v>2.16</v>
      </c>
      <c r="X141" s="348">
        <v>2.16</v>
      </c>
      <c r="Y141" s="348">
        <v>2.17</v>
      </c>
      <c r="Z141" s="348">
        <v>2.1800000000000002</v>
      </c>
      <c r="AA141" s="348">
        <v>2.1800000000000002</v>
      </c>
      <c r="AB141" s="348">
        <v>2.1800000000000002</v>
      </c>
      <c r="AC141" s="348">
        <v>2.19</v>
      </c>
      <c r="AD141" s="348">
        <v>2.19</v>
      </c>
      <c r="AE141" s="348">
        <v>2.19</v>
      </c>
      <c r="AF141" s="348">
        <v>2.19</v>
      </c>
      <c r="AG141" s="348">
        <v>2.19</v>
      </c>
      <c r="AH141" s="348">
        <v>2.19</v>
      </c>
      <c r="AI141" s="348">
        <v>2.1800000000000002</v>
      </c>
      <c r="AJ141" s="348">
        <v>2.1800000000000002</v>
      </c>
      <c r="AK141" s="348">
        <v>2.1800000000000002</v>
      </c>
      <c r="AL141" s="348">
        <v>2.1800000000000002</v>
      </c>
      <c r="AM141" s="348">
        <v>2.1800000000000002</v>
      </c>
      <c r="AN141" s="348">
        <v>2.1800000000000002</v>
      </c>
      <c r="AO141" s="348">
        <v>2.1800000000000002</v>
      </c>
      <c r="AP141" s="348">
        <v>2.1800000000000002</v>
      </c>
      <c r="AQ141" s="348">
        <v>2.17</v>
      </c>
      <c r="AR141" s="348">
        <v>2.17</v>
      </c>
      <c r="AS141" s="348">
        <v>2.17</v>
      </c>
      <c r="AT141" s="348">
        <v>2.17</v>
      </c>
      <c r="AU141" s="348">
        <v>2.16</v>
      </c>
      <c r="AV141" s="348">
        <v>2.16</v>
      </c>
      <c r="AW141" s="348">
        <v>2.16</v>
      </c>
      <c r="AX141" s="348">
        <v>2.16</v>
      </c>
      <c r="AY141" s="348">
        <v>2.15</v>
      </c>
      <c r="AZ141" s="59">
        <v>8.9999999999999993E-3</v>
      </c>
      <c r="BA141" s="104">
        <f t="shared" si="12"/>
        <v>0.89999999999999991</v>
      </c>
      <c r="BC141" s="436">
        <v>2.71</v>
      </c>
      <c r="BD141" s="678">
        <f t="shared" si="11"/>
        <v>40195.75</v>
      </c>
      <c r="BE141" s="678">
        <f t="shared" si="10"/>
        <v>49822.583333333336</v>
      </c>
      <c r="BF141" s="678">
        <f t="shared" si="10"/>
        <v>33218.666666666664</v>
      </c>
      <c r="BG141" s="678">
        <f t="shared" si="10"/>
        <v>33614.666666666664</v>
      </c>
      <c r="BH141" s="678">
        <v>11</v>
      </c>
    </row>
    <row r="142" spans="1:60">
      <c r="A142" s="107">
        <v>43861</v>
      </c>
      <c r="B142" s="348">
        <v>0.56000000000000005</v>
      </c>
      <c r="C142" s="348">
        <v>0.61</v>
      </c>
      <c r="D142" s="348">
        <v>0.7</v>
      </c>
      <c r="E142" s="348">
        <v>0.82</v>
      </c>
      <c r="F142" s="348">
        <v>0.95</v>
      </c>
      <c r="G142" s="348">
        <v>1.08</v>
      </c>
      <c r="H142" s="348">
        <v>1.2</v>
      </c>
      <c r="I142" s="348">
        <v>1.33</v>
      </c>
      <c r="J142" s="348">
        <v>1.45</v>
      </c>
      <c r="K142" s="348">
        <v>1.56</v>
      </c>
      <c r="L142" s="348">
        <v>1.66</v>
      </c>
      <c r="M142" s="348">
        <v>1.74</v>
      </c>
      <c r="N142" s="348">
        <v>1.82</v>
      </c>
      <c r="O142" s="348">
        <v>1.88</v>
      </c>
      <c r="P142" s="2281">
        <v>1.94</v>
      </c>
      <c r="Q142" s="348">
        <v>1.98</v>
      </c>
      <c r="R142" s="348">
        <v>2.02</v>
      </c>
      <c r="S142" s="348">
        <v>2.0499999999999998</v>
      </c>
      <c r="T142" s="348">
        <v>2.08</v>
      </c>
      <c r="U142" s="348">
        <v>2.1</v>
      </c>
      <c r="V142" s="348">
        <v>2.11</v>
      </c>
      <c r="W142" s="348">
        <v>2.12</v>
      </c>
      <c r="X142" s="348">
        <v>2.13</v>
      </c>
      <c r="Y142" s="348">
        <v>2.14</v>
      </c>
      <c r="Z142" s="348">
        <v>2.15</v>
      </c>
      <c r="AA142" s="348">
        <v>2.15</v>
      </c>
      <c r="AB142" s="348">
        <v>2.15</v>
      </c>
      <c r="AC142" s="348">
        <v>2.15</v>
      </c>
      <c r="AD142" s="348">
        <v>2.16</v>
      </c>
      <c r="AE142" s="348">
        <v>2.16</v>
      </c>
      <c r="AF142" s="348">
        <v>2.16</v>
      </c>
      <c r="AG142" s="348">
        <v>2.15</v>
      </c>
      <c r="AH142" s="348">
        <v>2.15</v>
      </c>
      <c r="AI142" s="348">
        <v>2.15</v>
      </c>
      <c r="AJ142" s="348">
        <v>2.15</v>
      </c>
      <c r="AK142" s="348">
        <v>2.15</v>
      </c>
      <c r="AL142" s="348">
        <v>2.15</v>
      </c>
      <c r="AM142" s="348">
        <v>2.15</v>
      </c>
      <c r="AN142" s="348">
        <v>2.15</v>
      </c>
      <c r="AO142" s="348">
        <v>2.15</v>
      </c>
      <c r="AP142" s="348">
        <v>2.14</v>
      </c>
      <c r="AQ142" s="348">
        <v>2.14</v>
      </c>
      <c r="AR142" s="348">
        <v>2.14</v>
      </c>
      <c r="AS142" s="348">
        <v>2.14</v>
      </c>
      <c r="AT142" s="348">
        <v>2.13</v>
      </c>
      <c r="AU142" s="348">
        <v>2.13</v>
      </c>
      <c r="AV142" s="348">
        <v>2.13</v>
      </c>
      <c r="AW142" s="348">
        <v>2.12</v>
      </c>
      <c r="AX142" s="348">
        <v>2.12</v>
      </c>
      <c r="AY142" s="348">
        <v>2.12</v>
      </c>
      <c r="AZ142" s="59">
        <v>8.9999999999999993E-3</v>
      </c>
      <c r="BA142" s="104">
        <f t="shared" si="12"/>
        <v>0.89999999999999991</v>
      </c>
      <c r="BC142" s="436">
        <v>2.68</v>
      </c>
      <c r="BD142" s="679">
        <v>40505</v>
      </c>
      <c r="BE142" s="679">
        <v>50549</v>
      </c>
      <c r="BF142" s="679">
        <v>33563</v>
      </c>
      <c r="BG142" s="679">
        <v>34274</v>
      </c>
      <c r="BH142" s="25"/>
    </row>
    <row r="143" spans="1:60">
      <c r="A143" s="107">
        <v>43890</v>
      </c>
      <c r="B143" s="348">
        <v>0.55000000000000004</v>
      </c>
      <c r="C143" s="348">
        <v>0.6</v>
      </c>
      <c r="D143" s="348">
        <v>0.69</v>
      </c>
      <c r="E143" s="348">
        <v>0.8</v>
      </c>
      <c r="F143" s="348">
        <v>0.93</v>
      </c>
      <c r="G143" s="348">
        <v>1.06</v>
      </c>
      <c r="H143" s="348">
        <v>1.18</v>
      </c>
      <c r="I143" s="348">
        <v>1.3</v>
      </c>
      <c r="J143" s="348">
        <v>1.42</v>
      </c>
      <c r="K143" s="348">
        <v>1.53</v>
      </c>
      <c r="L143" s="348">
        <v>1.63</v>
      </c>
      <c r="M143" s="348">
        <v>1.71</v>
      </c>
      <c r="N143" s="348">
        <v>1.79</v>
      </c>
      <c r="O143" s="348">
        <v>1.85</v>
      </c>
      <c r="P143" s="2281">
        <v>1.91</v>
      </c>
      <c r="Q143" s="348">
        <v>1.95</v>
      </c>
      <c r="R143" s="348">
        <v>1.98</v>
      </c>
      <c r="S143" s="348">
        <v>2.02</v>
      </c>
      <c r="T143" s="348">
        <v>2.04</v>
      </c>
      <c r="U143" s="348">
        <v>2.0699999999999998</v>
      </c>
      <c r="V143" s="348">
        <v>2.08</v>
      </c>
      <c r="W143" s="348">
        <v>2.09</v>
      </c>
      <c r="X143" s="348">
        <v>2.1</v>
      </c>
      <c r="Y143" s="348">
        <v>2.11</v>
      </c>
      <c r="Z143" s="348">
        <v>2.12</v>
      </c>
      <c r="AA143" s="348">
        <v>2.12</v>
      </c>
      <c r="AB143" s="348">
        <v>2.12</v>
      </c>
      <c r="AC143" s="348">
        <v>2.12</v>
      </c>
      <c r="AD143" s="348">
        <v>2.12</v>
      </c>
      <c r="AE143" s="348">
        <v>2.12</v>
      </c>
      <c r="AF143" s="348">
        <v>2.12</v>
      </c>
      <c r="AG143" s="348">
        <v>2.12</v>
      </c>
      <c r="AH143" s="348">
        <v>2.12</v>
      </c>
      <c r="AI143" s="348">
        <v>2.12</v>
      </c>
      <c r="AJ143" s="348">
        <v>2.12</v>
      </c>
      <c r="AK143" s="348">
        <v>2.12</v>
      </c>
      <c r="AL143" s="348">
        <v>2.12</v>
      </c>
      <c r="AM143" s="348">
        <v>2.12</v>
      </c>
      <c r="AN143" s="348">
        <v>2.11</v>
      </c>
      <c r="AO143" s="348">
        <v>2.11</v>
      </c>
      <c r="AP143" s="348">
        <v>2.11</v>
      </c>
      <c r="AQ143" s="348">
        <v>2.11</v>
      </c>
      <c r="AR143" s="348">
        <v>2.1</v>
      </c>
      <c r="AS143" s="348">
        <v>2.1</v>
      </c>
      <c r="AT143" s="348">
        <v>2.1</v>
      </c>
      <c r="AU143" s="348">
        <v>2.09</v>
      </c>
      <c r="AV143" s="348">
        <v>2.09</v>
      </c>
      <c r="AW143" s="348">
        <v>2.09</v>
      </c>
      <c r="AX143" s="348">
        <v>2.09</v>
      </c>
      <c r="AY143" s="348">
        <v>2.08</v>
      </c>
      <c r="AZ143" s="59">
        <v>8.9999999999999993E-3</v>
      </c>
      <c r="BA143" s="104">
        <f t="shared" si="12"/>
        <v>0.89999999999999991</v>
      </c>
      <c r="BC143" s="436">
        <v>2.64</v>
      </c>
      <c r="BD143" s="678">
        <f>BD$142+(BD$154-BD$142)/12*$BH143</f>
        <v>40870.166666666664</v>
      </c>
      <c r="BE143" s="678">
        <f t="shared" ref="BE143:BG153" si="13">BE$142+(BE$154-BE$142)/12*$BH143</f>
        <v>51598.083333333336</v>
      </c>
      <c r="BF143" s="678">
        <f t="shared" si="13"/>
        <v>33890.5</v>
      </c>
      <c r="BG143" s="678">
        <f t="shared" si="13"/>
        <v>35045.666666666664</v>
      </c>
      <c r="BH143" s="678">
        <v>1</v>
      </c>
    </row>
    <row r="144" spans="1:60">
      <c r="A144" s="107">
        <v>43921</v>
      </c>
      <c r="B144" s="348">
        <v>0.54</v>
      </c>
      <c r="C144" s="348">
        <v>0.6</v>
      </c>
      <c r="D144" s="348">
        <v>0.68</v>
      </c>
      <c r="E144" s="348">
        <v>0.8</v>
      </c>
      <c r="F144" s="348">
        <v>0.92</v>
      </c>
      <c r="G144" s="348">
        <v>1.05</v>
      </c>
      <c r="H144" s="348">
        <v>1.17</v>
      </c>
      <c r="I144" s="348">
        <v>1.29</v>
      </c>
      <c r="J144" s="348">
        <v>1.41</v>
      </c>
      <c r="K144" s="348">
        <v>1.52</v>
      </c>
      <c r="L144" s="348">
        <v>1.62</v>
      </c>
      <c r="M144" s="348">
        <v>1.7</v>
      </c>
      <c r="N144" s="348">
        <v>1.77</v>
      </c>
      <c r="O144" s="348">
        <v>1.84</v>
      </c>
      <c r="P144" s="2281">
        <v>1.89</v>
      </c>
      <c r="Q144" s="348">
        <v>1.93</v>
      </c>
      <c r="R144" s="348">
        <v>1.97</v>
      </c>
      <c r="S144" s="348">
        <v>2</v>
      </c>
      <c r="T144" s="348">
        <v>2.0299999999999998</v>
      </c>
      <c r="U144" s="348">
        <v>2.0499999999999998</v>
      </c>
      <c r="V144" s="348">
        <v>2.06</v>
      </c>
      <c r="W144" s="348">
        <v>2.0699999999999998</v>
      </c>
      <c r="X144" s="348">
        <v>2.08</v>
      </c>
      <c r="Y144" s="348">
        <v>2.09</v>
      </c>
      <c r="Z144" s="348">
        <v>2.1</v>
      </c>
      <c r="AA144" s="348">
        <v>2.1</v>
      </c>
      <c r="AB144" s="348">
        <v>2.1</v>
      </c>
      <c r="AC144" s="348">
        <v>2.1</v>
      </c>
      <c r="AD144" s="348">
        <v>2.1</v>
      </c>
      <c r="AE144" s="348">
        <v>2.1</v>
      </c>
      <c r="AF144" s="348">
        <v>2.1</v>
      </c>
      <c r="AG144" s="348">
        <v>2.1</v>
      </c>
      <c r="AH144" s="348">
        <v>2.1</v>
      </c>
      <c r="AI144" s="348">
        <v>2.1</v>
      </c>
      <c r="AJ144" s="348">
        <v>2.1</v>
      </c>
      <c r="AK144" s="348">
        <v>2.1</v>
      </c>
      <c r="AL144" s="348">
        <v>2.1</v>
      </c>
      <c r="AM144" s="348">
        <v>2.09</v>
      </c>
      <c r="AN144" s="348">
        <v>2.09</v>
      </c>
      <c r="AO144" s="348">
        <v>2.09</v>
      </c>
      <c r="AP144" s="348">
        <v>2.09</v>
      </c>
      <c r="AQ144" s="348">
        <v>2.08</v>
      </c>
      <c r="AR144" s="348">
        <v>2.08</v>
      </c>
      <c r="AS144" s="348">
        <v>2.08</v>
      </c>
      <c r="AT144" s="348">
        <v>2.0699999999999998</v>
      </c>
      <c r="AU144" s="348">
        <v>2.0699999999999998</v>
      </c>
      <c r="AV144" s="348">
        <v>2.0699999999999998</v>
      </c>
      <c r="AW144" s="348">
        <v>2.0699999999999998</v>
      </c>
      <c r="AX144" s="348">
        <v>2.06</v>
      </c>
      <c r="AY144" s="348">
        <v>2.06</v>
      </c>
      <c r="AZ144" s="59">
        <v>8.9999999999999993E-3</v>
      </c>
      <c r="BA144" s="104">
        <f t="shared" si="12"/>
        <v>0.89999999999999991</v>
      </c>
      <c r="BC144" s="436">
        <v>2.61</v>
      </c>
      <c r="BD144" s="678">
        <f t="shared" ref="BD144:BD153" si="14">BD$142+(BD$154-BD$142)/12*$BH144</f>
        <v>41235.333333333336</v>
      </c>
      <c r="BE144" s="678">
        <f t="shared" si="13"/>
        <v>52647.166666666664</v>
      </c>
      <c r="BF144" s="678">
        <f t="shared" si="13"/>
        <v>34218</v>
      </c>
      <c r="BG144" s="678">
        <f t="shared" si="13"/>
        <v>35817.333333333336</v>
      </c>
      <c r="BH144" s="678">
        <v>2</v>
      </c>
    </row>
    <row r="145" spans="1:60">
      <c r="A145" s="107">
        <v>43951</v>
      </c>
      <c r="B145" s="348">
        <v>0.54</v>
      </c>
      <c r="C145" s="348">
        <v>0.59</v>
      </c>
      <c r="D145" s="348">
        <v>0.67</v>
      </c>
      <c r="E145" s="348">
        <v>0.79</v>
      </c>
      <c r="F145" s="348">
        <v>0.91</v>
      </c>
      <c r="G145" s="348">
        <v>1.03</v>
      </c>
      <c r="H145" s="348">
        <v>1.1499999999999999</v>
      </c>
      <c r="I145" s="348">
        <v>1.28</v>
      </c>
      <c r="J145" s="348">
        <v>1.39</v>
      </c>
      <c r="K145" s="348">
        <v>1.5</v>
      </c>
      <c r="L145" s="348">
        <v>1.59</v>
      </c>
      <c r="M145" s="348">
        <v>1.68</v>
      </c>
      <c r="N145" s="348">
        <v>1.75</v>
      </c>
      <c r="O145" s="348">
        <v>1.81</v>
      </c>
      <c r="P145" s="2281">
        <v>1.87</v>
      </c>
      <c r="Q145" s="348">
        <v>1.91</v>
      </c>
      <c r="R145" s="348">
        <v>1.94</v>
      </c>
      <c r="S145" s="348">
        <v>1.97</v>
      </c>
      <c r="T145" s="348">
        <v>2</v>
      </c>
      <c r="U145" s="348">
        <v>2.0299999999999998</v>
      </c>
      <c r="V145" s="348">
        <v>2.04</v>
      </c>
      <c r="W145" s="348">
        <v>2.0499999999999998</v>
      </c>
      <c r="X145" s="348">
        <v>2.06</v>
      </c>
      <c r="Y145" s="348">
        <v>2.06</v>
      </c>
      <c r="Z145" s="348">
        <v>2.0699999999999998</v>
      </c>
      <c r="AA145" s="348">
        <v>2.0699999999999998</v>
      </c>
      <c r="AB145" s="348">
        <v>2.0699999999999998</v>
      </c>
      <c r="AC145" s="348">
        <v>2.0699999999999998</v>
      </c>
      <c r="AD145" s="348">
        <v>2.08</v>
      </c>
      <c r="AE145" s="348">
        <v>2.08</v>
      </c>
      <c r="AF145" s="348">
        <v>2.0699999999999998</v>
      </c>
      <c r="AG145" s="348">
        <v>2.0699999999999998</v>
      </c>
      <c r="AH145" s="348">
        <v>2.0699999999999998</v>
      </c>
      <c r="AI145" s="348">
        <v>2.0699999999999998</v>
      </c>
      <c r="AJ145" s="348">
        <v>2.0699999999999998</v>
      </c>
      <c r="AK145" s="348">
        <v>2.0699999999999998</v>
      </c>
      <c r="AL145" s="348">
        <v>2.0699999999999998</v>
      </c>
      <c r="AM145" s="348">
        <v>2.06</v>
      </c>
      <c r="AN145" s="348">
        <v>2.06</v>
      </c>
      <c r="AO145" s="348">
        <v>2.06</v>
      </c>
      <c r="AP145" s="348">
        <v>2.06</v>
      </c>
      <c r="AQ145" s="348">
        <v>2.0499999999999998</v>
      </c>
      <c r="AR145" s="348">
        <v>2.0499999999999998</v>
      </c>
      <c r="AS145" s="348">
        <v>2.0499999999999998</v>
      </c>
      <c r="AT145" s="348">
        <v>2.04</v>
      </c>
      <c r="AU145" s="348">
        <v>2.04</v>
      </c>
      <c r="AV145" s="348">
        <v>2.04</v>
      </c>
      <c r="AW145" s="348">
        <v>2.0299999999999998</v>
      </c>
      <c r="AX145" s="348">
        <v>2.0299999999999998</v>
      </c>
      <c r="AY145" s="348">
        <v>2.0299999999999998</v>
      </c>
      <c r="AZ145" s="59">
        <v>8.9999999999999993E-3</v>
      </c>
      <c r="BA145" s="104">
        <f t="shared" si="12"/>
        <v>0.89999999999999991</v>
      </c>
      <c r="BC145" s="436">
        <v>2.58</v>
      </c>
      <c r="BD145" s="678">
        <f t="shared" si="14"/>
        <v>41600.5</v>
      </c>
      <c r="BE145" s="678">
        <f t="shared" si="13"/>
        <v>53696.25</v>
      </c>
      <c r="BF145" s="678">
        <f t="shared" si="13"/>
        <v>34545.5</v>
      </c>
      <c r="BG145" s="678">
        <f t="shared" si="13"/>
        <v>36589</v>
      </c>
      <c r="BH145" s="678">
        <v>3</v>
      </c>
    </row>
    <row r="146" spans="1:60">
      <c r="A146" s="107">
        <v>43982</v>
      </c>
      <c r="B146" s="348">
        <v>0.53</v>
      </c>
      <c r="C146" s="348">
        <v>0.57999999999999996</v>
      </c>
      <c r="D146" s="348">
        <v>0.66</v>
      </c>
      <c r="E146" s="348">
        <v>0.77</v>
      </c>
      <c r="F146" s="348">
        <v>0.89</v>
      </c>
      <c r="G146" s="348">
        <v>1.02</v>
      </c>
      <c r="H146" s="348">
        <v>1.1399999999999999</v>
      </c>
      <c r="I146" s="348">
        <v>1.25</v>
      </c>
      <c r="J146" s="348">
        <v>1.37</v>
      </c>
      <c r="K146" s="348">
        <v>1.47</v>
      </c>
      <c r="L146" s="348">
        <v>1.57</v>
      </c>
      <c r="M146" s="348">
        <v>1.65</v>
      </c>
      <c r="N146" s="348">
        <v>1.72</v>
      </c>
      <c r="O146" s="348">
        <v>1.79</v>
      </c>
      <c r="P146" s="2281">
        <v>1.84</v>
      </c>
      <c r="Q146" s="348">
        <v>1.88</v>
      </c>
      <c r="R146" s="348">
        <v>1.91</v>
      </c>
      <c r="S146" s="348">
        <v>1.95</v>
      </c>
      <c r="T146" s="348">
        <v>1.97</v>
      </c>
      <c r="U146" s="348">
        <v>2</v>
      </c>
      <c r="V146" s="348">
        <v>2.0099999999999998</v>
      </c>
      <c r="W146" s="348">
        <v>2.02</v>
      </c>
      <c r="X146" s="348">
        <v>2.0299999999999998</v>
      </c>
      <c r="Y146" s="348">
        <v>2.04</v>
      </c>
      <c r="Z146" s="348">
        <v>2.04</v>
      </c>
      <c r="AA146" s="348">
        <v>2.04</v>
      </c>
      <c r="AB146" s="348">
        <v>2.04</v>
      </c>
      <c r="AC146" s="348">
        <v>2.0499999999999998</v>
      </c>
      <c r="AD146" s="348">
        <v>2.0499999999999998</v>
      </c>
      <c r="AE146" s="348">
        <v>2.0499999999999998</v>
      </c>
      <c r="AF146" s="348">
        <v>2.04</v>
      </c>
      <c r="AG146" s="348">
        <v>2.04</v>
      </c>
      <c r="AH146" s="348">
        <v>2.04</v>
      </c>
      <c r="AI146" s="348">
        <v>2.04</v>
      </c>
      <c r="AJ146" s="348">
        <v>2.04</v>
      </c>
      <c r="AK146" s="348">
        <v>2.04</v>
      </c>
      <c r="AL146" s="348">
        <v>2.04</v>
      </c>
      <c r="AM146" s="348">
        <v>2.0299999999999998</v>
      </c>
      <c r="AN146" s="348">
        <v>2.0299999999999998</v>
      </c>
      <c r="AO146" s="348">
        <v>2.0299999999999998</v>
      </c>
      <c r="AP146" s="348">
        <v>2.0299999999999998</v>
      </c>
      <c r="AQ146" s="348">
        <v>2.02</v>
      </c>
      <c r="AR146" s="348">
        <v>2.02</v>
      </c>
      <c r="AS146" s="348">
        <v>2.0099999999999998</v>
      </c>
      <c r="AT146" s="348">
        <v>2.0099999999999998</v>
      </c>
      <c r="AU146" s="348">
        <v>2.0099999999999998</v>
      </c>
      <c r="AV146" s="348">
        <v>2</v>
      </c>
      <c r="AW146" s="348">
        <v>2</v>
      </c>
      <c r="AX146" s="348">
        <v>2</v>
      </c>
      <c r="AY146" s="348">
        <v>1.99</v>
      </c>
      <c r="AZ146" s="59">
        <v>8.9999999999999993E-3</v>
      </c>
      <c r="BA146" s="104">
        <f t="shared" si="12"/>
        <v>0.89999999999999991</v>
      </c>
      <c r="BC146" s="436">
        <v>2.54</v>
      </c>
      <c r="BD146" s="678">
        <f t="shared" si="14"/>
        <v>41965.666666666664</v>
      </c>
      <c r="BE146" s="678">
        <f t="shared" si="13"/>
        <v>54745.333333333336</v>
      </c>
      <c r="BF146" s="678">
        <f t="shared" si="13"/>
        <v>34873</v>
      </c>
      <c r="BG146" s="678">
        <f t="shared" si="13"/>
        <v>37360.666666666664</v>
      </c>
      <c r="BH146" s="678">
        <v>4</v>
      </c>
    </row>
    <row r="147" spans="1:60">
      <c r="A147" s="107">
        <v>44012</v>
      </c>
      <c r="B147" s="348">
        <v>0.52</v>
      </c>
      <c r="C147" s="348">
        <v>0.56999999999999995</v>
      </c>
      <c r="D147" s="348">
        <v>0.65</v>
      </c>
      <c r="E147" s="348">
        <v>0.76</v>
      </c>
      <c r="F147" s="348">
        <v>0.87</v>
      </c>
      <c r="G147" s="348">
        <v>0.99</v>
      </c>
      <c r="H147" s="348">
        <v>1.1100000000000001</v>
      </c>
      <c r="I147" s="348">
        <v>1.23</v>
      </c>
      <c r="J147" s="348">
        <v>1.34</v>
      </c>
      <c r="K147" s="348">
        <v>1.45</v>
      </c>
      <c r="L147" s="348">
        <v>1.54</v>
      </c>
      <c r="M147" s="348">
        <v>1.62</v>
      </c>
      <c r="N147" s="348">
        <v>1.69</v>
      </c>
      <c r="O147" s="348">
        <v>1.76</v>
      </c>
      <c r="P147" s="2281">
        <v>1.81</v>
      </c>
      <c r="Q147" s="348">
        <v>1.85</v>
      </c>
      <c r="R147" s="348">
        <v>1.88</v>
      </c>
      <c r="S147" s="348">
        <v>1.91</v>
      </c>
      <c r="T147" s="348">
        <v>1.94</v>
      </c>
      <c r="U147" s="348">
        <v>1.97</v>
      </c>
      <c r="V147" s="348">
        <v>1.98</v>
      </c>
      <c r="W147" s="348">
        <v>1.99</v>
      </c>
      <c r="X147" s="348">
        <v>2</v>
      </c>
      <c r="Y147" s="348">
        <v>2</v>
      </c>
      <c r="Z147" s="348">
        <v>2.0099999999999998</v>
      </c>
      <c r="AA147" s="348">
        <v>2.0099999999999998</v>
      </c>
      <c r="AB147" s="348">
        <v>2.0099999999999998</v>
      </c>
      <c r="AC147" s="348">
        <v>2.0099999999999998</v>
      </c>
      <c r="AD147" s="348">
        <v>2.0099999999999998</v>
      </c>
      <c r="AE147" s="348">
        <v>2.0099999999999998</v>
      </c>
      <c r="AF147" s="348">
        <v>2.0099999999999998</v>
      </c>
      <c r="AG147" s="348">
        <v>2.0099999999999998</v>
      </c>
      <c r="AH147" s="348">
        <v>2.0099999999999998</v>
      </c>
      <c r="AI147" s="348">
        <v>2.0099999999999998</v>
      </c>
      <c r="AJ147" s="348">
        <v>2.0099999999999998</v>
      </c>
      <c r="AK147" s="348">
        <v>2</v>
      </c>
      <c r="AL147" s="348">
        <v>2</v>
      </c>
      <c r="AM147" s="348">
        <v>2</v>
      </c>
      <c r="AN147" s="348">
        <v>2</v>
      </c>
      <c r="AO147" s="348">
        <v>2</v>
      </c>
      <c r="AP147" s="348">
        <v>1.99</v>
      </c>
      <c r="AQ147" s="348">
        <v>1.99</v>
      </c>
      <c r="AR147" s="348">
        <v>1.98</v>
      </c>
      <c r="AS147" s="348">
        <v>1.98</v>
      </c>
      <c r="AT147" s="348">
        <v>1.98</v>
      </c>
      <c r="AU147" s="348">
        <v>1.97</v>
      </c>
      <c r="AV147" s="348">
        <v>1.97</v>
      </c>
      <c r="AW147" s="348">
        <v>1.97</v>
      </c>
      <c r="AX147" s="348">
        <v>1.96</v>
      </c>
      <c r="AY147" s="348">
        <v>1.96</v>
      </c>
      <c r="AZ147" s="59">
        <v>8.9999999999999993E-3</v>
      </c>
      <c r="BA147" s="104">
        <f t="shared" si="12"/>
        <v>0.89999999999999991</v>
      </c>
      <c r="BC147" s="436">
        <v>2.5099999999999998</v>
      </c>
      <c r="BD147" s="678">
        <f t="shared" si="14"/>
        <v>42330.833333333336</v>
      </c>
      <c r="BE147" s="678">
        <f t="shared" si="13"/>
        <v>55794.416666666664</v>
      </c>
      <c r="BF147" s="678">
        <f t="shared" si="13"/>
        <v>35200.5</v>
      </c>
      <c r="BG147" s="678">
        <f t="shared" si="13"/>
        <v>38132.333333333336</v>
      </c>
      <c r="BH147" s="678">
        <v>5</v>
      </c>
    </row>
    <row r="148" spans="1:60" s="113" customFormat="1" ht="12.75" customHeight="1">
      <c r="A148" s="107">
        <v>44043</v>
      </c>
      <c r="B148" s="348">
        <v>0.51</v>
      </c>
      <c r="C148" s="348">
        <v>0.55000000000000004</v>
      </c>
      <c r="D148" s="348">
        <v>0.63</v>
      </c>
      <c r="E148" s="348">
        <v>0.74</v>
      </c>
      <c r="F148" s="348">
        <v>0.85</v>
      </c>
      <c r="G148" s="348">
        <v>0.97</v>
      </c>
      <c r="H148" s="348">
        <v>1.0900000000000001</v>
      </c>
      <c r="I148" s="348">
        <v>1.2</v>
      </c>
      <c r="J148" s="348">
        <v>1.31</v>
      </c>
      <c r="K148" s="348">
        <v>1.42</v>
      </c>
      <c r="L148" s="348">
        <v>1.51</v>
      </c>
      <c r="M148" s="348">
        <v>1.59</v>
      </c>
      <c r="N148" s="348">
        <v>1.66</v>
      </c>
      <c r="O148" s="348">
        <v>1.72</v>
      </c>
      <c r="P148" s="2281">
        <v>1.78</v>
      </c>
      <c r="Q148" s="348">
        <v>1.82</v>
      </c>
      <c r="R148" s="348">
        <v>1.85</v>
      </c>
      <c r="S148" s="348">
        <v>1.88</v>
      </c>
      <c r="T148" s="348">
        <v>1.91</v>
      </c>
      <c r="U148" s="348">
        <v>1.93</v>
      </c>
      <c r="V148" s="348">
        <v>1.94</v>
      </c>
      <c r="W148" s="348">
        <v>1.95</v>
      </c>
      <c r="X148" s="348">
        <v>1.96</v>
      </c>
      <c r="Y148" s="348">
        <v>1.97</v>
      </c>
      <c r="Z148" s="348">
        <v>1.98</v>
      </c>
      <c r="AA148" s="348">
        <v>1.98</v>
      </c>
      <c r="AB148" s="348">
        <v>1.98</v>
      </c>
      <c r="AC148" s="348">
        <v>1.98</v>
      </c>
      <c r="AD148" s="348">
        <v>1.98</v>
      </c>
      <c r="AE148" s="348">
        <v>1.98</v>
      </c>
      <c r="AF148" s="348">
        <v>1.98</v>
      </c>
      <c r="AG148" s="348">
        <v>1.98</v>
      </c>
      <c r="AH148" s="348">
        <v>1.97</v>
      </c>
      <c r="AI148" s="348">
        <v>1.97</v>
      </c>
      <c r="AJ148" s="348">
        <v>1.97</v>
      </c>
      <c r="AK148" s="348">
        <v>1.97</v>
      </c>
      <c r="AL148" s="348">
        <v>1.97</v>
      </c>
      <c r="AM148" s="348">
        <v>1.97</v>
      </c>
      <c r="AN148" s="348">
        <v>1.96</v>
      </c>
      <c r="AO148" s="348">
        <v>1.96</v>
      </c>
      <c r="AP148" s="348">
        <v>1.96</v>
      </c>
      <c r="AQ148" s="348">
        <v>1.95</v>
      </c>
      <c r="AR148" s="348">
        <v>1.95</v>
      </c>
      <c r="AS148" s="348">
        <v>1.94</v>
      </c>
      <c r="AT148" s="348">
        <v>1.94</v>
      </c>
      <c r="AU148" s="348">
        <v>1.94</v>
      </c>
      <c r="AV148" s="348">
        <v>1.93</v>
      </c>
      <c r="AW148" s="348">
        <v>1.93</v>
      </c>
      <c r="AX148" s="348">
        <v>1.93</v>
      </c>
      <c r="AY148" s="348">
        <v>1.92</v>
      </c>
      <c r="BC148" s="436">
        <v>2.4700000000000002</v>
      </c>
      <c r="BD148" s="678">
        <f t="shared" si="14"/>
        <v>42696</v>
      </c>
      <c r="BE148" s="678">
        <f t="shared" si="13"/>
        <v>56843.5</v>
      </c>
      <c r="BF148" s="678">
        <f t="shared" si="13"/>
        <v>35528</v>
      </c>
      <c r="BG148" s="678">
        <f t="shared" si="13"/>
        <v>38904</v>
      </c>
      <c r="BH148" s="678">
        <v>6</v>
      </c>
    </row>
    <row r="149" spans="1:60">
      <c r="A149" s="107">
        <v>44074</v>
      </c>
      <c r="B149" s="348">
        <v>0.49</v>
      </c>
      <c r="C149" s="348">
        <v>0.54</v>
      </c>
      <c r="D149" s="348">
        <v>0.61</v>
      </c>
      <c r="E149" s="348">
        <v>0.72</v>
      </c>
      <c r="F149" s="348">
        <v>0.83</v>
      </c>
      <c r="G149" s="348">
        <v>0.95</v>
      </c>
      <c r="H149" s="348">
        <v>1.06</v>
      </c>
      <c r="I149" s="348">
        <v>1.17</v>
      </c>
      <c r="J149" s="348">
        <v>1.28</v>
      </c>
      <c r="K149" s="348">
        <v>1.39</v>
      </c>
      <c r="L149" s="348">
        <v>1.48</v>
      </c>
      <c r="M149" s="348">
        <v>1.56</v>
      </c>
      <c r="N149" s="348">
        <v>1.63</v>
      </c>
      <c r="O149" s="348">
        <v>1.69</v>
      </c>
      <c r="P149" s="2281">
        <v>1.74</v>
      </c>
      <c r="Q149" s="348">
        <v>1.78</v>
      </c>
      <c r="R149" s="348">
        <v>1.82</v>
      </c>
      <c r="S149" s="348">
        <v>1.85</v>
      </c>
      <c r="T149" s="348">
        <v>1.87</v>
      </c>
      <c r="U149" s="348">
        <v>1.9</v>
      </c>
      <c r="V149" s="348">
        <v>1.91</v>
      </c>
      <c r="W149" s="348">
        <v>1.92</v>
      </c>
      <c r="X149" s="348">
        <v>1.93</v>
      </c>
      <c r="Y149" s="348">
        <v>1.94</v>
      </c>
      <c r="Z149" s="348">
        <v>1.94</v>
      </c>
      <c r="AA149" s="348">
        <v>1.95</v>
      </c>
      <c r="AB149" s="348">
        <v>1.95</v>
      </c>
      <c r="AC149" s="348">
        <v>1.95</v>
      </c>
      <c r="AD149" s="348">
        <v>1.95</v>
      </c>
      <c r="AE149" s="348">
        <v>1.95</v>
      </c>
      <c r="AF149" s="348">
        <v>1.94</v>
      </c>
      <c r="AG149" s="348">
        <v>1.94</v>
      </c>
      <c r="AH149" s="348">
        <v>1.94</v>
      </c>
      <c r="AI149" s="348">
        <v>1.94</v>
      </c>
      <c r="AJ149" s="348">
        <v>1.94</v>
      </c>
      <c r="AK149" s="348">
        <v>1.94</v>
      </c>
      <c r="AL149" s="348">
        <v>1.93</v>
      </c>
      <c r="AM149" s="348">
        <v>1.93</v>
      </c>
      <c r="AN149" s="348">
        <v>1.93</v>
      </c>
      <c r="AO149" s="348">
        <v>1.93</v>
      </c>
      <c r="AP149" s="348">
        <v>1.92</v>
      </c>
      <c r="AQ149" s="348">
        <v>1.92</v>
      </c>
      <c r="AR149" s="348">
        <v>1.91</v>
      </c>
      <c r="AS149" s="348">
        <v>1.91</v>
      </c>
      <c r="AT149" s="348">
        <v>1.91</v>
      </c>
      <c r="AU149" s="348">
        <v>1.9</v>
      </c>
      <c r="AV149" s="348">
        <v>1.9</v>
      </c>
      <c r="AW149" s="348">
        <v>1.89</v>
      </c>
      <c r="AX149" s="348">
        <v>1.89</v>
      </c>
      <c r="AY149" s="348">
        <v>1.89</v>
      </c>
      <c r="BC149" s="436">
        <v>2.4500000000000002</v>
      </c>
      <c r="BD149" s="678">
        <f t="shared" si="14"/>
        <v>43061.166666666664</v>
      </c>
      <c r="BE149" s="678">
        <f t="shared" si="13"/>
        <v>57892.583333333336</v>
      </c>
      <c r="BF149" s="678">
        <f t="shared" si="13"/>
        <v>35855.5</v>
      </c>
      <c r="BG149" s="678">
        <f t="shared" si="13"/>
        <v>39675.666666666664</v>
      </c>
      <c r="BH149" s="678">
        <v>7</v>
      </c>
    </row>
    <row r="150" spans="1:60">
      <c r="A150" s="107">
        <v>44104</v>
      </c>
      <c r="B150" s="348">
        <v>0.48</v>
      </c>
      <c r="C150" s="348">
        <v>0.52</v>
      </c>
      <c r="D150" s="348">
        <v>0.6</v>
      </c>
      <c r="E150" s="348">
        <v>0.7</v>
      </c>
      <c r="F150" s="348">
        <v>0.8</v>
      </c>
      <c r="G150" s="348">
        <v>0.92</v>
      </c>
      <c r="H150" s="348">
        <v>1.03</v>
      </c>
      <c r="I150" s="348">
        <v>1.1499999999999999</v>
      </c>
      <c r="J150" s="348">
        <v>1.25</v>
      </c>
      <c r="K150" s="348">
        <v>1.36</v>
      </c>
      <c r="L150" s="348">
        <v>1.45</v>
      </c>
      <c r="M150" s="348">
        <v>1.53</v>
      </c>
      <c r="N150" s="348">
        <v>1.6</v>
      </c>
      <c r="O150" s="348">
        <v>1.66</v>
      </c>
      <c r="P150" s="2281">
        <v>1.71</v>
      </c>
      <c r="Q150" s="348">
        <v>1.75</v>
      </c>
      <c r="R150" s="348">
        <v>1.78</v>
      </c>
      <c r="S150" s="348">
        <v>1.81</v>
      </c>
      <c r="T150" s="348">
        <v>1.84</v>
      </c>
      <c r="U150" s="348">
        <v>1.86</v>
      </c>
      <c r="V150" s="348">
        <v>1.88</v>
      </c>
      <c r="W150" s="348">
        <v>1.89</v>
      </c>
      <c r="X150" s="348">
        <v>1.89</v>
      </c>
      <c r="Y150" s="348">
        <v>1.9</v>
      </c>
      <c r="Z150" s="348">
        <v>1.91</v>
      </c>
      <c r="AA150" s="348">
        <v>1.91</v>
      </c>
      <c r="AB150" s="348">
        <v>1.91</v>
      </c>
      <c r="AC150" s="348">
        <v>1.91</v>
      </c>
      <c r="AD150" s="348">
        <v>1.91</v>
      </c>
      <c r="AE150" s="348">
        <v>1.91</v>
      </c>
      <c r="AF150" s="348">
        <v>1.91</v>
      </c>
      <c r="AG150" s="348">
        <v>1.91</v>
      </c>
      <c r="AH150" s="348">
        <v>1.91</v>
      </c>
      <c r="AI150" s="348">
        <v>1.9</v>
      </c>
      <c r="AJ150" s="348">
        <v>1.9</v>
      </c>
      <c r="AK150" s="348">
        <v>1.9</v>
      </c>
      <c r="AL150" s="348">
        <v>1.9</v>
      </c>
      <c r="AM150" s="348">
        <v>1.9</v>
      </c>
      <c r="AN150" s="348">
        <v>1.9</v>
      </c>
      <c r="AO150" s="348">
        <v>1.89</v>
      </c>
      <c r="AP150" s="348">
        <v>1.89</v>
      </c>
      <c r="AQ150" s="348">
        <v>1.88</v>
      </c>
      <c r="AR150" s="348">
        <v>1.88</v>
      </c>
      <c r="AS150" s="348">
        <v>1.87</v>
      </c>
      <c r="AT150" s="348">
        <v>1.87</v>
      </c>
      <c r="AU150" s="348">
        <v>1.87</v>
      </c>
      <c r="AV150" s="348">
        <v>1.86</v>
      </c>
      <c r="AW150" s="348">
        <v>1.86</v>
      </c>
      <c r="AX150" s="348">
        <v>1.85</v>
      </c>
      <c r="AY150" s="348">
        <v>1.85</v>
      </c>
      <c r="BC150" s="436">
        <v>2.41</v>
      </c>
      <c r="BD150" s="678">
        <f t="shared" si="14"/>
        <v>43426.333333333336</v>
      </c>
      <c r="BE150" s="678">
        <f t="shared" si="13"/>
        <v>58941.666666666664</v>
      </c>
      <c r="BF150" s="678">
        <f t="shared" si="13"/>
        <v>36183</v>
      </c>
      <c r="BG150" s="678">
        <f t="shared" si="13"/>
        <v>40447.333333333336</v>
      </c>
      <c r="BH150" s="678">
        <v>8</v>
      </c>
    </row>
    <row r="151" spans="1:60">
      <c r="A151" s="107">
        <v>44135</v>
      </c>
      <c r="B151" s="348">
        <v>0.47</v>
      </c>
      <c r="C151" s="348">
        <v>0.51</v>
      </c>
      <c r="D151" s="348">
        <v>0.57999999999999996</v>
      </c>
      <c r="E151" s="348">
        <v>0.68</v>
      </c>
      <c r="F151" s="348">
        <v>0.78</v>
      </c>
      <c r="G151" s="348">
        <v>0.9</v>
      </c>
      <c r="H151" s="348">
        <v>1.01</v>
      </c>
      <c r="I151" s="348">
        <v>1.1200000000000001</v>
      </c>
      <c r="J151" s="348">
        <v>1.22</v>
      </c>
      <c r="K151" s="348">
        <v>1.33</v>
      </c>
      <c r="L151" s="348">
        <v>1.42</v>
      </c>
      <c r="M151" s="348">
        <v>1.49</v>
      </c>
      <c r="N151" s="348">
        <v>1.56</v>
      </c>
      <c r="O151" s="348">
        <v>1.62</v>
      </c>
      <c r="P151" s="2281">
        <v>1.68</v>
      </c>
      <c r="Q151" s="348">
        <v>1.71</v>
      </c>
      <c r="R151" s="348">
        <v>1.75</v>
      </c>
      <c r="S151" s="348">
        <v>1.78</v>
      </c>
      <c r="T151" s="348">
        <v>1.81</v>
      </c>
      <c r="U151" s="348">
        <v>1.83</v>
      </c>
      <c r="V151" s="348">
        <v>1.84</v>
      </c>
      <c r="W151" s="348">
        <v>1.85</v>
      </c>
      <c r="X151" s="348">
        <v>1.86</v>
      </c>
      <c r="Y151" s="348">
        <v>1.87</v>
      </c>
      <c r="Z151" s="348">
        <v>1.87</v>
      </c>
      <c r="AA151" s="348">
        <v>1.88</v>
      </c>
      <c r="AB151" s="348">
        <v>1.88</v>
      </c>
      <c r="AC151" s="348">
        <v>1.88</v>
      </c>
      <c r="AD151" s="348">
        <v>1.88</v>
      </c>
      <c r="AE151" s="348">
        <v>1.88</v>
      </c>
      <c r="AF151" s="348">
        <v>1.87</v>
      </c>
      <c r="AG151" s="348">
        <v>1.87</v>
      </c>
      <c r="AH151" s="348">
        <v>1.87</v>
      </c>
      <c r="AI151" s="348">
        <v>1.87</v>
      </c>
      <c r="AJ151" s="348">
        <v>1.87</v>
      </c>
      <c r="AK151" s="348">
        <v>1.86</v>
      </c>
      <c r="AL151" s="348">
        <v>1.86</v>
      </c>
      <c r="AM151" s="348">
        <v>1.86</v>
      </c>
      <c r="AN151" s="348">
        <v>1.86</v>
      </c>
      <c r="AO151" s="348">
        <v>1.86</v>
      </c>
      <c r="AP151" s="348">
        <v>1.85</v>
      </c>
      <c r="AQ151" s="348">
        <v>1.85</v>
      </c>
      <c r="AR151" s="348">
        <v>1.84</v>
      </c>
      <c r="AS151" s="348">
        <v>1.84</v>
      </c>
      <c r="AT151" s="348">
        <v>1.83</v>
      </c>
      <c r="AU151" s="348">
        <v>1.83</v>
      </c>
      <c r="AV151" s="348">
        <v>1.82</v>
      </c>
      <c r="AW151" s="348">
        <v>1.82</v>
      </c>
      <c r="AX151" s="348">
        <v>1.82</v>
      </c>
      <c r="AY151" s="348">
        <v>1.81</v>
      </c>
      <c r="BC151" s="436">
        <v>2.38</v>
      </c>
      <c r="BD151" s="678">
        <f t="shared" si="14"/>
        <v>43791.5</v>
      </c>
      <c r="BE151" s="678">
        <f t="shared" si="13"/>
        <v>59990.75</v>
      </c>
      <c r="BF151" s="678">
        <f t="shared" si="13"/>
        <v>36510.5</v>
      </c>
      <c r="BG151" s="678">
        <f t="shared" si="13"/>
        <v>41219</v>
      </c>
      <c r="BH151" s="678">
        <v>9</v>
      </c>
    </row>
    <row r="152" spans="1:60">
      <c r="A152" s="107">
        <v>44165</v>
      </c>
      <c r="B152" s="348">
        <v>0.45</v>
      </c>
      <c r="C152" s="348">
        <v>0.49</v>
      </c>
      <c r="D152" s="348">
        <v>0.56000000000000005</v>
      </c>
      <c r="E152" s="348">
        <v>0.66</v>
      </c>
      <c r="F152" s="348">
        <v>0.76</v>
      </c>
      <c r="G152" s="348">
        <v>0.87</v>
      </c>
      <c r="H152" s="348">
        <v>0.98</v>
      </c>
      <c r="I152" s="348">
        <v>1.0900000000000001</v>
      </c>
      <c r="J152" s="348">
        <v>1.19</v>
      </c>
      <c r="K152" s="348">
        <v>1.29</v>
      </c>
      <c r="L152" s="348">
        <v>1.38</v>
      </c>
      <c r="M152" s="348">
        <v>1.46</v>
      </c>
      <c r="N152" s="348">
        <v>1.53</v>
      </c>
      <c r="O152" s="348">
        <v>1.59</v>
      </c>
      <c r="P152" s="2281">
        <v>1.64</v>
      </c>
      <c r="Q152" s="348">
        <v>1.68</v>
      </c>
      <c r="R152" s="348">
        <v>1.71</v>
      </c>
      <c r="S152" s="348">
        <v>1.74</v>
      </c>
      <c r="T152" s="348">
        <v>1.77</v>
      </c>
      <c r="U152" s="348">
        <v>1.79</v>
      </c>
      <c r="V152" s="348">
        <v>1.8</v>
      </c>
      <c r="W152" s="348">
        <v>1.81</v>
      </c>
      <c r="X152" s="348">
        <v>1.82</v>
      </c>
      <c r="Y152" s="348">
        <v>1.83</v>
      </c>
      <c r="Z152" s="348">
        <v>1.84</v>
      </c>
      <c r="AA152" s="348">
        <v>1.84</v>
      </c>
      <c r="AB152" s="348">
        <v>1.84</v>
      </c>
      <c r="AC152" s="348">
        <v>1.84</v>
      </c>
      <c r="AD152" s="348">
        <v>1.84</v>
      </c>
      <c r="AE152" s="348">
        <v>1.84</v>
      </c>
      <c r="AF152" s="348">
        <v>1.84</v>
      </c>
      <c r="AG152" s="348">
        <v>1.83</v>
      </c>
      <c r="AH152" s="348">
        <v>1.83</v>
      </c>
      <c r="AI152" s="348">
        <v>1.83</v>
      </c>
      <c r="AJ152" s="348">
        <v>1.83</v>
      </c>
      <c r="AK152" s="348">
        <v>1.83</v>
      </c>
      <c r="AL152" s="348">
        <v>1.82</v>
      </c>
      <c r="AM152" s="348">
        <v>1.82</v>
      </c>
      <c r="AN152" s="348">
        <v>1.82</v>
      </c>
      <c r="AO152" s="348">
        <v>1.82</v>
      </c>
      <c r="AP152" s="348">
        <v>1.81</v>
      </c>
      <c r="AQ152" s="348">
        <v>1.81</v>
      </c>
      <c r="AR152" s="348">
        <v>1.8</v>
      </c>
      <c r="AS152" s="348">
        <v>1.8</v>
      </c>
      <c r="AT152" s="348">
        <v>1.79</v>
      </c>
      <c r="AU152" s="348">
        <v>1.79</v>
      </c>
      <c r="AV152" s="348">
        <v>1.79</v>
      </c>
      <c r="AW152" s="348">
        <v>1.78</v>
      </c>
      <c r="AX152" s="348">
        <v>1.78</v>
      </c>
      <c r="AY152" s="348">
        <v>1.77</v>
      </c>
      <c r="BC152" s="436">
        <v>2.34</v>
      </c>
      <c r="BD152" s="678">
        <f t="shared" si="14"/>
        <v>44156.666666666664</v>
      </c>
      <c r="BE152" s="678">
        <f t="shared" si="13"/>
        <v>61039.833333333328</v>
      </c>
      <c r="BF152" s="678">
        <f t="shared" si="13"/>
        <v>36838</v>
      </c>
      <c r="BG152" s="678">
        <f t="shared" si="13"/>
        <v>41990.666666666664</v>
      </c>
      <c r="BH152" s="678">
        <v>10</v>
      </c>
    </row>
    <row r="153" spans="1:60">
      <c r="A153" s="107">
        <v>44196</v>
      </c>
      <c r="B153" s="348">
        <v>0.44</v>
      </c>
      <c r="C153" s="348">
        <v>0.47</v>
      </c>
      <c r="D153" s="348">
        <v>0.54</v>
      </c>
      <c r="E153" s="348">
        <v>0.64</v>
      </c>
      <c r="F153" s="348">
        <v>0.74</v>
      </c>
      <c r="G153" s="348">
        <v>0.84</v>
      </c>
      <c r="H153" s="348">
        <v>0.95</v>
      </c>
      <c r="I153" s="348">
        <v>1.06</v>
      </c>
      <c r="J153" s="348">
        <v>1.1599999999999999</v>
      </c>
      <c r="K153" s="348">
        <v>1.26</v>
      </c>
      <c r="L153" s="348">
        <v>1.35</v>
      </c>
      <c r="M153" s="348">
        <v>1.42</v>
      </c>
      <c r="N153" s="348">
        <v>1.49</v>
      </c>
      <c r="O153" s="348">
        <v>1.55</v>
      </c>
      <c r="P153" s="2281">
        <v>1.6</v>
      </c>
      <c r="Q153" s="348">
        <v>1.64</v>
      </c>
      <c r="R153" s="348">
        <v>1.67</v>
      </c>
      <c r="S153" s="348">
        <v>1.7</v>
      </c>
      <c r="T153" s="348">
        <v>1.73</v>
      </c>
      <c r="U153" s="348">
        <v>1.75</v>
      </c>
      <c r="V153" s="348">
        <v>1.77</v>
      </c>
      <c r="W153" s="348">
        <v>1.77</v>
      </c>
      <c r="X153" s="348">
        <v>1.78</v>
      </c>
      <c r="Y153" s="348">
        <v>1.79</v>
      </c>
      <c r="Z153" s="348">
        <v>1.8</v>
      </c>
      <c r="AA153" s="348">
        <v>1.8</v>
      </c>
      <c r="AB153" s="348">
        <v>1.8</v>
      </c>
      <c r="AC153" s="348">
        <v>1.8</v>
      </c>
      <c r="AD153" s="348">
        <v>1.8</v>
      </c>
      <c r="AE153" s="348">
        <v>1.8</v>
      </c>
      <c r="AF153" s="348">
        <v>1.8</v>
      </c>
      <c r="AG153" s="348">
        <v>1.8</v>
      </c>
      <c r="AH153" s="348">
        <v>1.79</v>
      </c>
      <c r="AI153" s="348">
        <v>1.79</v>
      </c>
      <c r="AJ153" s="348">
        <v>1.79</v>
      </c>
      <c r="AK153" s="348">
        <v>1.79</v>
      </c>
      <c r="AL153" s="348">
        <v>1.79</v>
      </c>
      <c r="AM153" s="348">
        <v>1.78</v>
      </c>
      <c r="AN153" s="348">
        <v>1.78</v>
      </c>
      <c r="AO153" s="348">
        <v>1.78</v>
      </c>
      <c r="AP153" s="348">
        <v>1.77</v>
      </c>
      <c r="AQ153" s="348">
        <v>1.77</v>
      </c>
      <c r="AR153" s="348">
        <v>1.76</v>
      </c>
      <c r="AS153" s="348">
        <v>1.76</v>
      </c>
      <c r="AT153" s="348">
        <v>1.75</v>
      </c>
      <c r="AU153" s="348">
        <v>1.75</v>
      </c>
      <c r="AV153" s="348">
        <v>1.75</v>
      </c>
      <c r="AW153" s="348">
        <v>1.74</v>
      </c>
      <c r="AX153" s="348">
        <v>1.74</v>
      </c>
      <c r="AY153" s="348">
        <v>1.73</v>
      </c>
      <c r="BC153" s="436">
        <v>2.2999999999999998</v>
      </c>
      <c r="BD153" s="678">
        <f t="shared" si="14"/>
        <v>44521.833333333336</v>
      </c>
      <c r="BE153" s="678">
        <f t="shared" si="13"/>
        <v>62088.916666666664</v>
      </c>
      <c r="BF153" s="678">
        <f t="shared" si="13"/>
        <v>37165.5</v>
      </c>
      <c r="BG153" s="678">
        <f t="shared" si="13"/>
        <v>42762.333333333328</v>
      </c>
      <c r="BH153" s="678">
        <v>11</v>
      </c>
    </row>
    <row r="154" spans="1:60" s="113" customFormat="1" ht="12.75" customHeight="1">
      <c r="A154" s="107">
        <v>44227</v>
      </c>
      <c r="B154" s="348">
        <v>0.42</v>
      </c>
      <c r="C154" s="348">
        <v>0.46</v>
      </c>
      <c r="D154" s="348">
        <v>0.52</v>
      </c>
      <c r="E154" s="348">
        <v>0.62</v>
      </c>
      <c r="F154" s="348">
        <v>0.71</v>
      </c>
      <c r="G154" s="348">
        <v>0.82</v>
      </c>
      <c r="H154" s="348">
        <v>0.93</v>
      </c>
      <c r="I154" s="348">
        <v>1.03</v>
      </c>
      <c r="J154" s="348">
        <v>1.1299999999999999</v>
      </c>
      <c r="K154" s="348">
        <v>1.23</v>
      </c>
      <c r="L154" s="348">
        <v>1.32</v>
      </c>
      <c r="M154" s="348">
        <v>1.39</v>
      </c>
      <c r="N154" s="348">
        <v>1.46</v>
      </c>
      <c r="O154" s="348">
        <v>1.52</v>
      </c>
      <c r="P154" s="2281">
        <v>1.57</v>
      </c>
      <c r="Q154" s="348">
        <v>1.61</v>
      </c>
      <c r="R154" s="348">
        <v>1.64</v>
      </c>
      <c r="S154" s="348">
        <v>1.67</v>
      </c>
      <c r="T154" s="348">
        <v>1.7</v>
      </c>
      <c r="U154" s="348">
        <v>1.72</v>
      </c>
      <c r="V154" s="348">
        <v>1.73</v>
      </c>
      <c r="W154" s="348">
        <v>1.74</v>
      </c>
      <c r="X154" s="348">
        <v>1.75</v>
      </c>
      <c r="Y154" s="348">
        <v>1.76</v>
      </c>
      <c r="Z154" s="348">
        <v>1.77</v>
      </c>
      <c r="AA154" s="348">
        <v>1.77</v>
      </c>
      <c r="AB154" s="348">
        <v>1.77</v>
      </c>
      <c r="AC154" s="348">
        <v>1.77</v>
      </c>
      <c r="AD154" s="348">
        <v>1.77</v>
      </c>
      <c r="AE154" s="348">
        <v>1.77</v>
      </c>
      <c r="AF154" s="348">
        <v>1.77</v>
      </c>
      <c r="AG154" s="348">
        <v>1.76</v>
      </c>
      <c r="AH154" s="348">
        <v>1.76</v>
      </c>
      <c r="AI154" s="348">
        <v>1.76</v>
      </c>
      <c r="AJ154" s="348">
        <v>1.76</v>
      </c>
      <c r="AK154" s="348">
        <v>1.75</v>
      </c>
      <c r="AL154" s="348">
        <v>1.75</v>
      </c>
      <c r="AM154" s="348">
        <v>1.75</v>
      </c>
      <c r="AN154" s="348">
        <v>1.75</v>
      </c>
      <c r="AO154" s="348">
        <v>1.75</v>
      </c>
      <c r="AP154" s="348">
        <v>1.74</v>
      </c>
      <c r="AQ154" s="348">
        <v>1.74</v>
      </c>
      <c r="AR154" s="348">
        <v>1.73</v>
      </c>
      <c r="AS154" s="348">
        <v>1.72</v>
      </c>
      <c r="AT154" s="348">
        <v>1.72</v>
      </c>
      <c r="AU154" s="348">
        <v>1.72</v>
      </c>
      <c r="AV154" s="348">
        <v>1.71</v>
      </c>
      <c r="AW154" s="348">
        <v>1.71</v>
      </c>
      <c r="AX154" s="348">
        <v>1.7</v>
      </c>
      <c r="AY154" s="348">
        <v>1.7</v>
      </c>
      <c r="BC154" s="436">
        <v>2.2599999999999998</v>
      </c>
      <c r="BD154" s="679">
        <v>44887</v>
      </c>
      <c r="BE154" s="679">
        <v>63138</v>
      </c>
      <c r="BF154" s="679">
        <v>37493</v>
      </c>
      <c r="BG154" s="679">
        <v>43534</v>
      </c>
    </row>
    <row r="155" spans="1:60">
      <c r="A155" s="107">
        <v>44255</v>
      </c>
      <c r="B155" s="348">
        <v>0.41</v>
      </c>
      <c r="C155" s="348">
        <v>0.44</v>
      </c>
      <c r="D155" s="348">
        <v>0.51</v>
      </c>
      <c r="E155" s="348">
        <v>0.6</v>
      </c>
      <c r="F155" s="348">
        <v>0.69</v>
      </c>
      <c r="G155" s="348">
        <v>0.8</v>
      </c>
      <c r="H155" s="348">
        <v>0.9</v>
      </c>
      <c r="I155" s="348">
        <v>1.01</v>
      </c>
      <c r="J155" s="348">
        <v>1.1100000000000001</v>
      </c>
      <c r="K155" s="348">
        <v>1.21</v>
      </c>
      <c r="L155" s="348">
        <v>1.29</v>
      </c>
      <c r="M155" s="348">
        <v>1.37</v>
      </c>
      <c r="N155" s="348">
        <v>1.43</v>
      </c>
      <c r="O155" s="348">
        <v>1.49</v>
      </c>
      <c r="P155" s="2281">
        <v>1.54</v>
      </c>
      <c r="Q155" s="348">
        <v>1.58</v>
      </c>
      <c r="R155" s="348">
        <v>1.61</v>
      </c>
      <c r="S155" s="348">
        <v>1.64</v>
      </c>
      <c r="T155" s="348">
        <v>1.67</v>
      </c>
      <c r="U155" s="348">
        <v>1.69</v>
      </c>
      <c r="V155" s="348">
        <v>1.7</v>
      </c>
      <c r="W155" s="348">
        <v>1.71</v>
      </c>
      <c r="X155" s="348">
        <v>1.72</v>
      </c>
      <c r="Y155" s="348">
        <v>1.73</v>
      </c>
      <c r="Z155" s="348">
        <v>1.74</v>
      </c>
      <c r="AA155" s="348">
        <v>1.74</v>
      </c>
      <c r="AB155" s="348">
        <v>1.74</v>
      </c>
      <c r="AC155" s="348">
        <v>1.74</v>
      </c>
      <c r="AD155" s="348">
        <v>1.74</v>
      </c>
      <c r="AE155" s="348">
        <v>1.74</v>
      </c>
      <c r="AF155" s="348">
        <v>1.74</v>
      </c>
      <c r="AG155" s="348">
        <v>1.73</v>
      </c>
      <c r="AH155" s="348">
        <v>1.73</v>
      </c>
      <c r="AI155" s="348">
        <v>1.73</v>
      </c>
      <c r="AJ155" s="348">
        <v>1.73</v>
      </c>
      <c r="AK155" s="348">
        <v>1.72</v>
      </c>
      <c r="AL155" s="348">
        <v>1.72</v>
      </c>
      <c r="AM155" s="348">
        <v>1.72</v>
      </c>
      <c r="AN155" s="348">
        <v>1.72</v>
      </c>
      <c r="AO155" s="348">
        <v>1.72</v>
      </c>
      <c r="AP155" s="348">
        <v>1.71</v>
      </c>
      <c r="AQ155" s="348">
        <v>1.7</v>
      </c>
      <c r="AR155" s="348">
        <v>1.7</v>
      </c>
      <c r="AS155" s="348">
        <v>1.69</v>
      </c>
      <c r="AT155" s="348">
        <v>1.69</v>
      </c>
      <c r="AU155" s="348">
        <v>1.68</v>
      </c>
      <c r="AV155" s="348">
        <v>1.68</v>
      </c>
      <c r="AW155" s="348">
        <v>1.68</v>
      </c>
      <c r="AX155" s="348">
        <v>1.67</v>
      </c>
      <c r="AY155" s="348">
        <v>1.67</v>
      </c>
      <c r="BC155" s="436">
        <v>2.23</v>
      </c>
      <c r="BD155" s="678">
        <f>BD$154+(BD$166-BD$154)/12*$BH155</f>
        <v>45168.25</v>
      </c>
      <c r="BE155" s="678">
        <f t="shared" ref="BE155:BG165" si="15">BE$154+(BE$166-BE$154)/12*$BH155</f>
        <v>64405.916666666664</v>
      </c>
      <c r="BF155" s="678">
        <f t="shared" si="15"/>
        <v>37881.833333333336</v>
      </c>
      <c r="BG155" s="678">
        <f t="shared" si="15"/>
        <v>44845.5</v>
      </c>
      <c r="BH155" s="678">
        <v>1</v>
      </c>
    </row>
    <row r="156" spans="1:60">
      <c r="A156" s="107">
        <v>44286</v>
      </c>
      <c r="B156" s="348">
        <v>0.4</v>
      </c>
      <c r="C156" s="348">
        <v>0.43</v>
      </c>
      <c r="D156" s="348">
        <v>0.49</v>
      </c>
      <c r="E156" s="348">
        <v>0.57999999999999996</v>
      </c>
      <c r="F156" s="348">
        <v>0.68</v>
      </c>
      <c r="G156" s="348">
        <v>0.78</v>
      </c>
      <c r="H156" s="348">
        <v>0.88</v>
      </c>
      <c r="I156" s="348">
        <v>0.99</v>
      </c>
      <c r="J156" s="348">
        <v>1.08</v>
      </c>
      <c r="K156" s="348">
        <v>1.18</v>
      </c>
      <c r="L156" s="348">
        <v>1.27</v>
      </c>
      <c r="M156" s="348">
        <v>1.34</v>
      </c>
      <c r="N156" s="348">
        <v>1.41</v>
      </c>
      <c r="O156" s="348">
        <v>1.46</v>
      </c>
      <c r="P156" s="2281">
        <v>1.51</v>
      </c>
      <c r="Q156" s="348">
        <v>1.55</v>
      </c>
      <c r="R156" s="348">
        <v>1.58</v>
      </c>
      <c r="S156" s="348">
        <v>1.61</v>
      </c>
      <c r="T156" s="348">
        <v>1.64</v>
      </c>
      <c r="U156" s="348">
        <v>1.66</v>
      </c>
      <c r="V156" s="348">
        <v>1.67</v>
      </c>
      <c r="W156" s="348">
        <v>1.68</v>
      </c>
      <c r="X156" s="348">
        <v>1.69</v>
      </c>
      <c r="Y156" s="348">
        <v>1.7</v>
      </c>
      <c r="Z156" s="348">
        <v>1.71</v>
      </c>
      <c r="AA156" s="348">
        <v>1.71</v>
      </c>
      <c r="AB156" s="348">
        <v>1.71</v>
      </c>
      <c r="AC156" s="348">
        <v>1.71</v>
      </c>
      <c r="AD156" s="348">
        <v>1.71</v>
      </c>
      <c r="AE156" s="348">
        <v>1.71</v>
      </c>
      <c r="AF156" s="348">
        <v>1.71</v>
      </c>
      <c r="AG156" s="348">
        <v>1.7</v>
      </c>
      <c r="AH156" s="348">
        <v>1.7</v>
      </c>
      <c r="AI156" s="348">
        <v>1.7</v>
      </c>
      <c r="AJ156" s="348">
        <v>1.7</v>
      </c>
      <c r="AK156" s="348">
        <v>1.7</v>
      </c>
      <c r="AL156" s="348">
        <v>1.69</v>
      </c>
      <c r="AM156" s="348">
        <v>1.69</v>
      </c>
      <c r="AN156" s="348">
        <v>1.69</v>
      </c>
      <c r="AO156" s="348">
        <v>1.69</v>
      </c>
      <c r="AP156" s="348">
        <v>1.68</v>
      </c>
      <c r="AQ156" s="348">
        <v>1.68</v>
      </c>
      <c r="AR156" s="348">
        <v>1.67</v>
      </c>
      <c r="AS156" s="348">
        <v>1.67</v>
      </c>
      <c r="AT156" s="348">
        <v>1.66</v>
      </c>
      <c r="AU156" s="348">
        <v>1.66</v>
      </c>
      <c r="AV156" s="348">
        <v>1.65</v>
      </c>
      <c r="AW156" s="348">
        <v>1.65</v>
      </c>
      <c r="AX156" s="348">
        <v>1.64</v>
      </c>
      <c r="AY156" s="348">
        <v>1.64</v>
      </c>
      <c r="BC156" s="436">
        <v>2.19</v>
      </c>
      <c r="BD156" s="678">
        <f t="shared" ref="BD156:BD165" si="16">BD$154+(BD$166-BD$154)/12*$BH156</f>
        <v>45449.5</v>
      </c>
      <c r="BE156" s="678">
        <f t="shared" si="15"/>
        <v>65673.833333333328</v>
      </c>
      <c r="BF156" s="678">
        <f t="shared" si="15"/>
        <v>38270.666666666664</v>
      </c>
      <c r="BG156" s="678">
        <f t="shared" si="15"/>
        <v>46157</v>
      </c>
      <c r="BH156" s="678">
        <v>2</v>
      </c>
    </row>
    <row r="157" spans="1:60">
      <c r="A157" s="107">
        <v>44316</v>
      </c>
      <c r="B157" s="348">
        <v>0.38</v>
      </c>
      <c r="C157" s="348">
        <v>0.42</v>
      </c>
      <c r="D157" s="348">
        <v>0.48</v>
      </c>
      <c r="E157" s="348">
        <v>0.56999999999999995</v>
      </c>
      <c r="F157" s="348">
        <v>0.66</v>
      </c>
      <c r="G157" s="348">
        <v>0.76</v>
      </c>
      <c r="H157" s="348">
        <v>0.86</v>
      </c>
      <c r="I157" s="348">
        <v>0.97</v>
      </c>
      <c r="J157" s="348">
        <v>1.06</v>
      </c>
      <c r="K157" s="348">
        <v>1.1599999999999999</v>
      </c>
      <c r="L157" s="348">
        <v>1.25</v>
      </c>
      <c r="M157" s="348">
        <v>1.32</v>
      </c>
      <c r="N157" s="348">
        <v>1.38</v>
      </c>
      <c r="O157" s="348">
        <v>1.44</v>
      </c>
      <c r="P157" s="2281">
        <v>1.49</v>
      </c>
      <c r="Q157" s="348">
        <v>1.53</v>
      </c>
      <c r="R157" s="348">
        <v>1.56</v>
      </c>
      <c r="S157" s="348">
        <v>1.59</v>
      </c>
      <c r="T157" s="348">
        <v>1.62</v>
      </c>
      <c r="U157" s="348">
        <v>1.64</v>
      </c>
      <c r="V157" s="348">
        <v>1.65</v>
      </c>
      <c r="W157" s="348">
        <v>1.66</v>
      </c>
      <c r="X157" s="348">
        <v>1.67</v>
      </c>
      <c r="Y157" s="348">
        <v>1.68</v>
      </c>
      <c r="Z157" s="348">
        <v>1.68</v>
      </c>
      <c r="AA157" s="348">
        <v>1.68</v>
      </c>
      <c r="AB157" s="348">
        <v>1.68</v>
      </c>
      <c r="AC157" s="348">
        <v>1.68</v>
      </c>
      <c r="AD157" s="348">
        <v>1.68</v>
      </c>
      <c r="AE157" s="348">
        <v>1.69</v>
      </c>
      <c r="AF157" s="348">
        <v>1.68</v>
      </c>
      <c r="AG157" s="348">
        <v>1.68</v>
      </c>
      <c r="AH157" s="348">
        <v>1.68</v>
      </c>
      <c r="AI157" s="348">
        <v>1.67</v>
      </c>
      <c r="AJ157" s="348">
        <v>1.67</v>
      </c>
      <c r="AK157" s="348">
        <v>1.67</v>
      </c>
      <c r="AL157" s="348">
        <v>1.67</v>
      </c>
      <c r="AM157" s="348">
        <v>1.67</v>
      </c>
      <c r="AN157" s="348">
        <v>1.66</v>
      </c>
      <c r="AO157" s="348">
        <v>1.66</v>
      </c>
      <c r="AP157" s="348">
        <v>1.66</v>
      </c>
      <c r="AQ157" s="348">
        <v>1.65</v>
      </c>
      <c r="AR157" s="348">
        <v>1.64</v>
      </c>
      <c r="AS157" s="348">
        <v>1.64</v>
      </c>
      <c r="AT157" s="348">
        <v>1.63</v>
      </c>
      <c r="AU157" s="348">
        <v>1.63</v>
      </c>
      <c r="AV157" s="348">
        <v>1.62</v>
      </c>
      <c r="AW157" s="348">
        <v>1.62</v>
      </c>
      <c r="AX157" s="348">
        <v>1.62</v>
      </c>
      <c r="AY157" s="348">
        <v>1.61</v>
      </c>
      <c r="BC157" s="436">
        <v>2.16</v>
      </c>
      <c r="BD157" s="678">
        <f t="shared" si="16"/>
        <v>45730.75</v>
      </c>
      <c r="BE157" s="678">
        <f t="shared" si="15"/>
        <v>66941.75</v>
      </c>
      <c r="BF157" s="678">
        <f t="shared" si="15"/>
        <v>38659.5</v>
      </c>
      <c r="BG157" s="678">
        <f t="shared" si="15"/>
        <v>47468.5</v>
      </c>
      <c r="BH157" s="678">
        <v>3</v>
      </c>
    </row>
    <row r="158" spans="1:60">
      <c r="A158" s="107">
        <v>44347</v>
      </c>
      <c r="B158" s="348">
        <v>0.37</v>
      </c>
      <c r="C158" s="348">
        <v>0.4</v>
      </c>
      <c r="D158" s="348">
        <v>0.47</v>
      </c>
      <c r="E158" s="348">
        <v>0.55000000000000004</v>
      </c>
      <c r="F158" s="348">
        <v>0.65</v>
      </c>
      <c r="G158" s="348">
        <v>0.75</v>
      </c>
      <c r="H158" s="348">
        <v>0.85</v>
      </c>
      <c r="I158" s="348">
        <v>0.95</v>
      </c>
      <c r="J158" s="348">
        <v>1.05</v>
      </c>
      <c r="K158" s="348">
        <v>1.1399999999999999</v>
      </c>
      <c r="L158" s="348">
        <v>1.22</v>
      </c>
      <c r="M158" s="348">
        <v>1.3</v>
      </c>
      <c r="N158" s="348">
        <v>1.36</v>
      </c>
      <c r="O158" s="348">
        <v>1.42</v>
      </c>
      <c r="P158" s="2281">
        <v>1.47</v>
      </c>
      <c r="Q158" s="348">
        <v>1.5</v>
      </c>
      <c r="R158" s="348">
        <v>1.54</v>
      </c>
      <c r="S158" s="348">
        <v>1.57</v>
      </c>
      <c r="T158" s="348">
        <v>1.59</v>
      </c>
      <c r="U158" s="348">
        <v>1.62</v>
      </c>
      <c r="V158" s="348">
        <v>1.63</v>
      </c>
      <c r="W158" s="348">
        <v>1.64</v>
      </c>
      <c r="X158" s="348">
        <v>1.64</v>
      </c>
      <c r="Y158" s="348">
        <v>1.65</v>
      </c>
      <c r="Z158" s="348">
        <v>1.66</v>
      </c>
      <c r="AA158" s="348">
        <v>1.66</v>
      </c>
      <c r="AB158" s="348">
        <v>1.66</v>
      </c>
      <c r="AC158" s="348">
        <v>1.66</v>
      </c>
      <c r="AD158" s="348">
        <v>1.66</v>
      </c>
      <c r="AE158" s="348">
        <v>1.66</v>
      </c>
      <c r="AF158" s="348">
        <v>1.66</v>
      </c>
      <c r="AG158" s="348">
        <v>1.66</v>
      </c>
      <c r="AH158" s="348">
        <v>1.65</v>
      </c>
      <c r="AI158" s="348">
        <v>1.65</v>
      </c>
      <c r="AJ158" s="348">
        <v>1.65</v>
      </c>
      <c r="AK158" s="348">
        <v>1.65</v>
      </c>
      <c r="AL158" s="348">
        <v>1.64</v>
      </c>
      <c r="AM158" s="348">
        <v>1.64</v>
      </c>
      <c r="AN158" s="348">
        <v>1.64</v>
      </c>
      <c r="AO158" s="348">
        <v>1.64</v>
      </c>
      <c r="AP158" s="348">
        <v>1.63</v>
      </c>
      <c r="AQ158" s="348">
        <v>1.62</v>
      </c>
      <c r="AR158" s="348">
        <v>1.62</v>
      </c>
      <c r="AS158" s="348">
        <v>1.61</v>
      </c>
      <c r="AT158" s="348">
        <v>1.61</v>
      </c>
      <c r="AU158" s="348">
        <v>1.6</v>
      </c>
      <c r="AV158" s="348">
        <v>1.6</v>
      </c>
      <c r="AW158" s="348">
        <v>1.6</v>
      </c>
      <c r="AX158" s="348">
        <v>1.59</v>
      </c>
      <c r="AY158" s="348">
        <v>1.59</v>
      </c>
      <c r="BC158" s="436">
        <v>2.12</v>
      </c>
      <c r="BD158" s="678">
        <f t="shared" si="16"/>
        <v>46012</v>
      </c>
      <c r="BE158" s="678">
        <f t="shared" si="15"/>
        <v>68209.666666666672</v>
      </c>
      <c r="BF158" s="678">
        <f t="shared" si="15"/>
        <v>39048.333333333336</v>
      </c>
      <c r="BG158" s="678">
        <f t="shared" si="15"/>
        <v>48780</v>
      </c>
      <c r="BH158" s="678">
        <v>4</v>
      </c>
    </row>
    <row r="159" spans="1:60" s="113" customFormat="1" ht="12.75" customHeight="1">
      <c r="A159" s="107">
        <v>44377</v>
      </c>
      <c r="B159" s="348">
        <v>0.36</v>
      </c>
      <c r="C159" s="348">
        <v>0.39</v>
      </c>
      <c r="D159" s="348">
        <v>0.45</v>
      </c>
      <c r="E159" s="348">
        <v>0.54</v>
      </c>
      <c r="F159" s="348">
        <v>0.63</v>
      </c>
      <c r="G159" s="348">
        <v>0.73</v>
      </c>
      <c r="H159" s="348">
        <v>0.83</v>
      </c>
      <c r="I159" s="348">
        <v>0.93</v>
      </c>
      <c r="J159" s="348">
        <v>1.03</v>
      </c>
      <c r="K159" s="348">
        <v>1.1200000000000001</v>
      </c>
      <c r="L159" s="348">
        <v>1.2</v>
      </c>
      <c r="M159" s="348">
        <v>1.28</v>
      </c>
      <c r="N159" s="348">
        <v>1.34</v>
      </c>
      <c r="O159" s="348">
        <v>1.4</v>
      </c>
      <c r="P159" s="2281">
        <v>1.45</v>
      </c>
      <c r="Q159" s="348">
        <v>1.48</v>
      </c>
      <c r="R159" s="348">
        <v>1.51</v>
      </c>
      <c r="S159" s="348">
        <v>1.54</v>
      </c>
      <c r="T159" s="348">
        <v>1.57</v>
      </c>
      <c r="U159" s="348">
        <v>1.59</v>
      </c>
      <c r="V159" s="348">
        <v>1.6</v>
      </c>
      <c r="W159" s="348">
        <v>1.61</v>
      </c>
      <c r="X159" s="348">
        <v>1.62</v>
      </c>
      <c r="Y159" s="348">
        <v>1.63</v>
      </c>
      <c r="Z159" s="348">
        <v>1.64</v>
      </c>
      <c r="AA159" s="348">
        <v>1.64</v>
      </c>
      <c r="AB159" s="348">
        <v>1.64</v>
      </c>
      <c r="AC159" s="348">
        <v>1.64</v>
      </c>
      <c r="AD159" s="348">
        <v>1.64</v>
      </c>
      <c r="AE159" s="348">
        <v>1.64</v>
      </c>
      <c r="AF159" s="348">
        <v>1.63</v>
      </c>
      <c r="AG159" s="348">
        <v>1.63</v>
      </c>
      <c r="AH159" s="348">
        <v>1.63</v>
      </c>
      <c r="AI159" s="348">
        <v>1.63</v>
      </c>
      <c r="AJ159" s="348">
        <v>1.62</v>
      </c>
      <c r="AK159" s="348">
        <v>1.62</v>
      </c>
      <c r="AL159" s="348">
        <v>1.62</v>
      </c>
      <c r="AM159" s="348">
        <v>1.62</v>
      </c>
      <c r="AN159" s="348">
        <v>1.61</v>
      </c>
      <c r="AO159" s="348">
        <v>1.61</v>
      </c>
      <c r="AP159" s="348">
        <v>1.61</v>
      </c>
      <c r="AQ159" s="348">
        <v>1.6</v>
      </c>
      <c r="AR159" s="348">
        <v>1.59</v>
      </c>
      <c r="AS159" s="348">
        <v>1.59</v>
      </c>
      <c r="AT159" s="348">
        <v>1.58</v>
      </c>
      <c r="AU159" s="348">
        <v>1.58</v>
      </c>
      <c r="AV159" s="348">
        <v>1.57</v>
      </c>
      <c r="AW159" s="348">
        <v>1.57</v>
      </c>
      <c r="AX159" s="348">
        <v>1.57</v>
      </c>
      <c r="AY159" s="348">
        <v>1.56</v>
      </c>
      <c r="BC159" s="436">
        <v>2.09</v>
      </c>
      <c r="BD159" s="678">
        <f t="shared" si="16"/>
        <v>46293.25</v>
      </c>
      <c r="BE159" s="678">
        <f t="shared" si="15"/>
        <v>69477.583333333328</v>
      </c>
      <c r="BF159" s="678">
        <f t="shared" si="15"/>
        <v>39437.166666666664</v>
      </c>
      <c r="BG159" s="678">
        <f t="shared" si="15"/>
        <v>50091.5</v>
      </c>
      <c r="BH159" s="678">
        <v>5</v>
      </c>
    </row>
    <row r="160" spans="1:60">
      <c r="A160" s="107">
        <v>44408</v>
      </c>
      <c r="B160" s="348">
        <v>0.34</v>
      </c>
      <c r="C160" s="348">
        <v>0.38</v>
      </c>
      <c r="D160" s="348">
        <v>0.44</v>
      </c>
      <c r="E160" s="348">
        <v>0.53</v>
      </c>
      <c r="F160" s="348">
        <v>0.62</v>
      </c>
      <c r="G160" s="348">
        <v>0.72</v>
      </c>
      <c r="H160" s="348">
        <v>0.81</v>
      </c>
      <c r="I160" s="348">
        <v>0.91</v>
      </c>
      <c r="J160" s="348">
        <v>1.01</v>
      </c>
      <c r="K160" s="348">
        <v>1.1000000000000001</v>
      </c>
      <c r="L160" s="348">
        <v>1.18</v>
      </c>
      <c r="M160" s="348">
        <v>1.25</v>
      </c>
      <c r="N160" s="348">
        <v>1.32</v>
      </c>
      <c r="O160" s="348">
        <v>1.37</v>
      </c>
      <c r="P160" s="2281">
        <v>1.42</v>
      </c>
      <c r="Q160" s="348">
        <v>1.46</v>
      </c>
      <c r="R160" s="348">
        <v>1.49</v>
      </c>
      <c r="S160" s="348">
        <v>1.52</v>
      </c>
      <c r="T160" s="348">
        <v>1.55</v>
      </c>
      <c r="U160" s="348">
        <v>1.57</v>
      </c>
      <c r="V160" s="348">
        <v>1.58</v>
      </c>
      <c r="W160" s="348">
        <v>1.59</v>
      </c>
      <c r="X160" s="348">
        <v>1.6</v>
      </c>
      <c r="Y160" s="348">
        <v>1.6</v>
      </c>
      <c r="Z160" s="348">
        <v>1.61</v>
      </c>
      <c r="AA160" s="348">
        <v>1.61</v>
      </c>
      <c r="AB160" s="348">
        <v>1.61</v>
      </c>
      <c r="AC160" s="348">
        <v>1.61</v>
      </c>
      <c r="AD160" s="348">
        <v>1.61</v>
      </c>
      <c r="AE160" s="348">
        <v>1.61</v>
      </c>
      <c r="AF160" s="348">
        <v>1.61</v>
      </c>
      <c r="AG160" s="348">
        <v>1.6</v>
      </c>
      <c r="AH160" s="348">
        <v>1.6</v>
      </c>
      <c r="AI160" s="348">
        <v>1.6</v>
      </c>
      <c r="AJ160" s="348">
        <v>1.6</v>
      </c>
      <c r="AK160" s="348">
        <v>1.59</v>
      </c>
      <c r="AL160" s="348">
        <v>1.59</v>
      </c>
      <c r="AM160" s="348">
        <v>1.59</v>
      </c>
      <c r="AN160" s="348">
        <v>1.59</v>
      </c>
      <c r="AO160" s="348">
        <v>1.59</v>
      </c>
      <c r="AP160" s="348">
        <v>1.58</v>
      </c>
      <c r="AQ160" s="348">
        <v>1.57</v>
      </c>
      <c r="AR160" s="348">
        <v>1.57</v>
      </c>
      <c r="AS160" s="348">
        <v>1.56</v>
      </c>
      <c r="AT160" s="348">
        <v>1.56</v>
      </c>
      <c r="AU160" s="348">
        <v>1.55</v>
      </c>
      <c r="AV160" s="348">
        <v>1.55</v>
      </c>
      <c r="AW160" s="348">
        <v>1.54</v>
      </c>
      <c r="AX160" s="348">
        <v>1.54</v>
      </c>
      <c r="AY160" s="348">
        <v>1.53</v>
      </c>
      <c r="BC160" s="436">
        <v>2.0499999999999998</v>
      </c>
      <c r="BD160" s="678">
        <f t="shared" si="16"/>
        <v>46574.5</v>
      </c>
      <c r="BE160" s="678">
        <f t="shared" si="15"/>
        <v>70745.5</v>
      </c>
      <c r="BF160" s="678">
        <f t="shared" si="15"/>
        <v>39826</v>
      </c>
      <c r="BG160" s="678">
        <f t="shared" si="15"/>
        <v>51403</v>
      </c>
      <c r="BH160" s="678">
        <v>6</v>
      </c>
    </row>
    <row r="161" spans="1:60">
      <c r="A161" s="107">
        <v>44439</v>
      </c>
      <c r="B161" s="348">
        <v>0.33</v>
      </c>
      <c r="C161" s="348">
        <v>0.37</v>
      </c>
      <c r="D161" s="348">
        <v>0.43</v>
      </c>
      <c r="E161" s="348">
        <v>0.52</v>
      </c>
      <c r="F161" s="348">
        <v>0.61</v>
      </c>
      <c r="G161" s="348">
        <v>0.7</v>
      </c>
      <c r="H161" s="348">
        <v>0.8</v>
      </c>
      <c r="I161" s="348">
        <v>0.9</v>
      </c>
      <c r="J161" s="348">
        <v>0.99</v>
      </c>
      <c r="K161" s="348">
        <v>1.0900000000000001</v>
      </c>
      <c r="L161" s="348">
        <v>1.17</v>
      </c>
      <c r="M161" s="348">
        <v>1.24</v>
      </c>
      <c r="N161" s="348">
        <v>1.3</v>
      </c>
      <c r="O161" s="348">
        <v>1.36</v>
      </c>
      <c r="P161" s="2281">
        <v>1.41</v>
      </c>
      <c r="Q161" s="348">
        <v>1.44</v>
      </c>
      <c r="R161" s="348">
        <v>1.47</v>
      </c>
      <c r="S161" s="348">
        <v>1.5</v>
      </c>
      <c r="T161" s="348">
        <v>1.53</v>
      </c>
      <c r="U161" s="348">
        <v>1.55</v>
      </c>
      <c r="V161" s="348">
        <v>1.56</v>
      </c>
      <c r="W161" s="348">
        <v>1.57</v>
      </c>
      <c r="X161" s="348">
        <v>1.58</v>
      </c>
      <c r="Y161" s="348">
        <v>1.59</v>
      </c>
      <c r="Z161" s="348">
        <v>1.59</v>
      </c>
      <c r="AA161" s="348">
        <v>1.59</v>
      </c>
      <c r="AB161" s="348">
        <v>1.59</v>
      </c>
      <c r="AC161" s="348">
        <v>1.59</v>
      </c>
      <c r="AD161" s="348">
        <v>1.59</v>
      </c>
      <c r="AE161" s="348">
        <v>1.59</v>
      </c>
      <c r="AF161" s="348">
        <v>1.59</v>
      </c>
      <c r="AG161" s="348">
        <v>1.58</v>
      </c>
      <c r="AH161" s="348">
        <v>1.58</v>
      </c>
      <c r="AI161" s="348">
        <v>1.58</v>
      </c>
      <c r="AJ161" s="348">
        <v>1.58</v>
      </c>
      <c r="AK161" s="348">
        <v>1.57</v>
      </c>
      <c r="AL161" s="348">
        <v>1.57</v>
      </c>
      <c r="AM161" s="348">
        <v>1.57</v>
      </c>
      <c r="AN161" s="348">
        <v>1.57</v>
      </c>
      <c r="AO161" s="348">
        <v>1.56</v>
      </c>
      <c r="AP161" s="348">
        <v>1.56</v>
      </c>
      <c r="AQ161" s="348">
        <v>1.55</v>
      </c>
      <c r="AR161" s="348">
        <v>1.55</v>
      </c>
      <c r="AS161" s="348">
        <v>1.54</v>
      </c>
      <c r="AT161" s="348">
        <v>1.54</v>
      </c>
      <c r="AU161" s="348">
        <v>1.53</v>
      </c>
      <c r="AV161" s="348">
        <v>1.53</v>
      </c>
      <c r="AW161" s="348">
        <v>1.52</v>
      </c>
      <c r="AX161" s="348">
        <v>1.52</v>
      </c>
      <c r="AY161" s="348">
        <v>1.51</v>
      </c>
      <c r="BC161" s="436">
        <v>2.0099999999999998</v>
      </c>
      <c r="BD161" s="678">
        <f t="shared" si="16"/>
        <v>46855.75</v>
      </c>
      <c r="BE161" s="678">
        <f t="shared" si="15"/>
        <v>72013.416666666672</v>
      </c>
      <c r="BF161" s="678">
        <f t="shared" si="15"/>
        <v>40214.833333333336</v>
      </c>
      <c r="BG161" s="678">
        <f t="shared" si="15"/>
        <v>52714.5</v>
      </c>
      <c r="BH161" s="678">
        <v>7</v>
      </c>
    </row>
    <row r="162" spans="1:60">
      <c r="A162" s="107">
        <v>44469</v>
      </c>
      <c r="B162" s="348">
        <v>0.32</v>
      </c>
      <c r="C162" s="348">
        <v>0.36</v>
      </c>
      <c r="D162" s="348">
        <v>0.42</v>
      </c>
      <c r="E162" s="348">
        <v>0.51</v>
      </c>
      <c r="F162" s="348">
        <v>0.6</v>
      </c>
      <c r="G162" s="348">
        <v>0.69</v>
      </c>
      <c r="H162" s="348">
        <v>0.79</v>
      </c>
      <c r="I162" s="348">
        <v>0.89</v>
      </c>
      <c r="J162" s="348">
        <v>0.98</v>
      </c>
      <c r="K162" s="348">
        <v>1.07</v>
      </c>
      <c r="L162" s="348">
        <v>1.1499999999999999</v>
      </c>
      <c r="M162" s="348">
        <v>1.22</v>
      </c>
      <c r="N162" s="348">
        <v>1.29</v>
      </c>
      <c r="O162" s="348">
        <v>1.34</v>
      </c>
      <c r="P162" s="2281">
        <v>1.39</v>
      </c>
      <c r="Q162" s="348">
        <v>1.42</v>
      </c>
      <c r="R162" s="348">
        <v>1.46</v>
      </c>
      <c r="S162" s="348">
        <v>1.48</v>
      </c>
      <c r="T162" s="348">
        <v>1.51</v>
      </c>
      <c r="U162" s="348">
        <v>1.53</v>
      </c>
      <c r="V162" s="348">
        <v>1.54</v>
      </c>
      <c r="W162" s="348">
        <v>1.55</v>
      </c>
      <c r="X162" s="348">
        <v>1.56</v>
      </c>
      <c r="Y162" s="348">
        <v>1.57</v>
      </c>
      <c r="Z162" s="348">
        <v>1.57</v>
      </c>
      <c r="AA162" s="348">
        <v>1.57</v>
      </c>
      <c r="AB162" s="348">
        <v>1.57</v>
      </c>
      <c r="AC162" s="348">
        <v>1.57</v>
      </c>
      <c r="AD162" s="348">
        <v>1.57</v>
      </c>
      <c r="AE162" s="348">
        <v>1.57</v>
      </c>
      <c r="AF162" s="348">
        <v>1.57</v>
      </c>
      <c r="AG162" s="348">
        <v>1.56</v>
      </c>
      <c r="AH162" s="348">
        <v>1.56</v>
      </c>
      <c r="AI162" s="348">
        <v>1.56</v>
      </c>
      <c r="AJ162" s="348">
        <v>1.56</v>
      </c>
      <c r="AK162" s="348">
        <v>1.55</v>
      </c>
      <c r="AL162" s="348">
        <v>1.55</v>
      </c>
      <c r="AM162" s="348">
        <v>1.55</v>
      </c>
      <c r="AN162" s="348">
        <v>1.55</v>
      </c>
      <c r="AO162" s="348">
        <v>1.54</v>
      </c>
      <c r="AP162" s="348">
        <v>1.54</v>
      </c>
      <c r="AQ162" s="348">
        <v>1.53</v>
      </c>
      <c r="AR162" s="348">
        <v>1.52</v>
      </c>
      <c r="AS162" s="348">
        <v>1.52</v>
      </c>
      <c r="AT162" s="348">
        <v>1.51</v>
      </c>
      <c r="AU162" s="348">
        <v>1.51</v>
      </c>
      <c r="AV162" s="348">
        <v>1.5</v>
      </c>
      <c r="AW162" s="348">
        <v>1.5</v>
      </c>
      <c r="AX162" s="348">
        <v>1.49</v>
      </c>
      <c r="AY162" s="348">
        <v>1.49</v>
      </c>
      <c r="BC162" s="436">
        <v>1.98</v>
      </c>
      <c r="BD162" s="678">
        <f t="shared" si="16"/>
        <v>47137</v>
      </c>
      <c r="BE162" s="678">
        <f t="shared" si="15"/>
        <v>73281.333333333328</v>
      </c>
      <c r="BF162" s="678">
        <f t="shared" si="15"/>
        <v>40603.666666666664</v>
      </c>
      <c r="BG162" s="678">
        <f t="shared" si="15"/>
        <v>54026</v>
      </c>
      <c r="BH162" s="678">
        <v>8</v>
      </c>
    </row>
    <row r="163" spans="1:60">
      <c r="A163" s="107">
        <v>44500</v>
      </c>
      <c r="B163" s="348">
        <v>0.31</v>
      </c>
      <c r="C163" s="348">
        <v>0.35</v>
      </c>
      <c r="D163" s="348">
        <v>0.42</v>
      </c>
      <c r="E163" s="348">
        <v>0.5</v>
      </c>
      <c r="F163" s="348">
        <v>0.59</v>
      </c>
      <c r="G163" s="348">
        <v>0.68</v>
      </c>
      <c r="H163" s="348">
        <v>0.78</v>
      </c>
      <c r="I163" s="348">
        <v>0.88</v>
      </c>
      <c r="J163" s="348">
        <v>0.97</v>
      </c>
      <c r="K163" s="348">
        <v>1.06</v>
      </c>
      <c r="L163" s="348">
        <v>1.1399999999999999</v>
      </c>
      <c r="M163" s="348">
        <v>1.21</v>
      </c>
      <c r="N163" s="348">
        <v>1.27</v>
      </c>
      <c r="O163" s="348">
        <v>1.33</v>
      </c>
      <c r="P163" s="2281">
        <v>1.37</v>
      </c>
      <c r="Q163" s="348">
        <v>1.41</v>
      </c>
      <c r="R163" s="348">
        <v>1.44</v>
      </c>
      <c r="S163" s="348">
        <v>1.47</v>
      </c>
      <c r="T163" s="348">
        <v>1.49</v>
      </c>
      <c r="U163" s="348">
        <v>1.51</v>
      </c>
      <c r="V163" s="348">
        <v>1.52</v>
      </c>
      <c r="W163" s="348">
        <v>1.53</v>
      </c>
      <c r="X163" s="348">
        <v>1.54</v>
      </c>
      <c r="Y163" s="348">
        <v>1.55</v>
      </c>
      <c r="Z163" s="348">
        <v>1.55</v>
      </c>
      <c r="AA163" s="348">
        <v>1.55</v>
      </c>
      <c r="AB163" s="348">
        <v>1.55</v>
      </c>
      <c r="AC163" s="348">
        <v>1.55</v>
      </c>
      <c r="AD163" s="348">
        <v>1.55</v>
      </c>
      <c r="AE163" s="348">
        <v>1.55</v>
      </c>
      <c r="AF163" s="348">
        <v>1.55</v>
      </c>
      <c r="AG163" s="348">
        <v>1.54</v>
      </c>
      <c r="AH163" s="348">
        <v>1.54</v>
      </c>
      <c r="AI163" s="348">
        <v>1.54</v>
      </c>
      <c r="AJ163" s="348">
        <v>1.53</v>
      </c>
      <c r="AK163" s="348">
        <v>1.53</v>
      </c>
      <c r="AL163" s="348">
        <v>1.53</v>
      </c>
      <c r="AM163" s="348">
        <v>1.52</v>
      </c>
      <c r="AN163" s="348">
        <v>1.52</v>
      </c>
      <c r="AO163" s="348">
        <v>1.52</v>
      </c>
      <c r="AP163" s="348">
        <v>1.51</v>
      </c>
      <c r="AQ163" s="348">
        <v>1.51</v>
      </c>
      <c r="AR163" s="348">
        <v>1.5</v>
      </c>
      <c r="AS163" s="348">
        <v>1.49</v>
      </c>
      <c r="AT163" s="348">
        <v>1.49</v>
      </c>
      <c r="AU163" s="348">
        <v>1.48</v>
      </c>
      <c r="AV163" s="348">
        <v>1.48</v>
      </c>
      <c r="AW163" s="348">
        <v>1.47</v>
      </c>
      <c r="AX163" s="348">
        <v>1.47</v>
      </c>
      <c r="AY163" s="348">
        <v>1.47</v>
      </c>
      <c r="BC163" s="436">
        <v>1.94</v>
      </c>
      <c r="BD163" s="678">
        <f t="shared" si="16"/>
        <v>47418.25</v>
      </c>
      <c r="BE163" s="678">
        <f t="shared" si="15"/>
        <v>74549.25</v>
      </c>
      <c r="BF163" s="678">
        <f t="shared" si="15"/>
        <v>40992.5</v>
      </c>
      <c r="BG163" s="678">
        <f t="shared" si="15"/>
        <v>55337.5</v>
      </c>
      <c r="BH163" s="678">
        <v>9</v>
      </c>
    </row>
    <row r="164" spans="1:60">
      <c r="A164" s="107">
        <v>44530</v>
      </c>
      <c r="B164" s="348">
        <v>0.3</v>
      </c>
      <c r="C164" s="348">
        <v>0.34</v>
      </c>
      <c r="D164" s="348">
        <v>0.41</v>
      </c>
      <c r="E164" s="348">
        <v>0.49</v>
      </c>
      <c r="F164" s="348">
        <v>0.57999999999999996</v>
      </c>
      <c r="G164" s="348">
        <v>0.68</v>
      </c>
      <c r="H164" s="348">
        <v>0.77</v>
      </c>
      <c r="I164" s="348">
        <v>0.87</v>
      </c>
      <c r="J164" s="348">
        <v>0.96</v>
      </c>
      <c r="K164" s="348">
        <v>1.05</v>
      </c>
      <c r="L164" s="348">
        <v>1.1299999999999999</v>
      </c>
      <c r="M164" s="348">
        <v>1.2</v>
      </c>
      <c r="N164" s="348">
        <v>1.26</v>
      </c>
      <c r="O164" s="348">
        <v>1.31</v>
      </c>
      <c r="P164" s="2281">
        <v>1.36</v>
      </c>
      <c r="Q164" s="348">
        <v>1.39</v>
      </c>
      <c r="R164" s="348">
        <v>1.42</v>
      </c>
      <c r="S164" s="348">
        <v>1.45</v>
      </c>
      <c r="T164" s="348">
        <v>1.48</v>
      </c>
      <c r="U164" s="348">
        <v>1.5</v>
      </c>
      <c r="V164" s="348">
        <v>1.51</v>
      </c>
      <c r="W164" s="348">
        <v>1.51</v>
      </c>
      <c r="X164" s="348">
        <v>1.52</v>
      </c>
      <c r="Y164" s="348">
        <v>1.53</v>
      </c>
      <c r="Z164" s="348">
        <v>1.53</v>
      </c>
      <c r="AA164" s="348">
        <v>1.53</v>
      </c>
      <c r="AB164" s="348">
        <v>1.53</v>
      </c>
      <c r="AC164" s="348">
        <v>1.53</v>
      </c>
      <c r="AD164" s="348">
        <v>1.53</v>
      </c>
      <c r="AE164" s="348">
        <v>1.53</v>
      </c>
      <c r="AF164" s="348">
        <v>1.53</v>
      </c>
      <c r="AG164" s="348">
        <v>1.52</v>
      </c>
      <c r="AH164" s="348">
        <v>1.52</v>
      </c>
      <c r="AI164" s="348">
        <v>1.52</v>
      </c>
      <c r="AJ164" s="348">
        <v>1.51</v>
      </c>
      <c r="AK164" s="348">
        <v>1.51</v>
      </c>
      <c r="AL164" s="348">
        <v>1.51</v>
      </c>
      <c r="AM164" s="348">
        <v>1.5</v>
      </c>
      <c r="AN164" s="348">
        <v>1.5</v>
      </c>
      <c r="AO164" s="348">
        <v>1.5</v>
      </c>
      <c r="AP164" s="348">
        <v>1.49</v>
      </c>
      <c r="AQ164" s="348">
        <v>1.49</v>
      </c>
      <c r="AR164" s="348">
        <v>1.48</v>
      </c>
      <c r="AS164" s="348">
        <v>1.47</v>
      </c>
      <c r="AT164" s="348">
        <v>1.47</v>
      </c>
      <c r="AU164" s="348">
        <v>1.46</v>
      </c>
      <c r="AV164" s="348">
        <v>1.46</v>
      </c>
      <c r="AW164" s="348">
        <v>1.45</v>
      </c>
      <c r="AX164" s="348">
        <v>1.45</v>
      </c>
      <c r="AY164" s="348">
        <v>1.44</v>
      </c>
      <c r="BC164" s="436">
        <v>1.9</v>
      </c>
      <c r="BD164" s="678">
        <f t="shared" si="16"/>
        <v>47699.5</v>
      </c>
      <c r="BE164" s="678">
        <f t="shared" si="15"/>
        <v>75817.166666666672</v>
      </c>
      <c r="BF164" s="678">
        <f t="shared" si="15"/>
        <v>41381.333333333336</v>
      </c>
      <c r="BG164" s="678">
        <f t="shared" si="15"/>
        <v>56649</v>
      </c>
      <c r="BH164" s="678">
        <v>10</v>
      </c>
    </row>
    <row r="165" spans="1:60">
      <c r="A165" s="107">
        <v>44561</v>
      </c>
      <c r="B165" s="348">
        <v>0.3</v>
      </c>
      <c r="C165" s="348">
        <v>0.34</v>
      </c>
      <c r="D165" s="348">
        <v>0.4</v>
      </c>
      <c r="E165" s="348">
        <v>0.49</v>
      </c>
      <c r="F165" s="348">
        <v>0.57999999999999996</v>
      </c>
      <c r="G165" s="348">
        <v>0.67</v>
      </c>
      <c r="H165" s="348">
        <v>0.77</v>
      </c>
      <c r="I165" s="348">
        <v>0.86</v>
      </c>
      <c r="J165" s="348">
        <v>0.95</v>
      </c>
      <c r="K165" s="348">
        <v>1.04</v>
      </c>
      <c r="L165" s="348">
        <v>1.1200000000000001</v>
      </c>
      <c r="M165" s="348">
        <v>1.19</v>
      </c>
      <c r="N165" s="348">
        <v>1.25</v>
      </c>
      <c r="O165" s="348">
        <v>1.3</v>
      </c>
      <c r="P165" s="2281">
        <v>1.35</v>
      </c>
      <c r="Q165" s="348">
        <v>1.38</v>
      </c>
      <c r="R165" s="348">
        <v>1.41</v>
      </c>
      <c r="S165" s="348">
        <v>1.44</v>
      </c>
      <c r="T165" s="348">
        <v>1.47</v>
      </c>
      <c r="U165" s="348">
        <v>1.49</v>
      </c>
      <c r="V165" s="348">
        <v>1.5</v>
      </c>
      <c r="W165" s="348">
        <v>1.5</v>
      </c>
      <c r="X165" s="348">
        <v>1.51</v>
      </c>
      <c r="Y165" s="348">
        <v>1.52</v>
      </c>
      <c r="Z165" s="348">
        <v>1.52</v>
      </c>
      <c r="AA165" s="348">
        <v>1.52</v>
      </c>
      <c r="AB165" s="348">
        <v>1.52</v>
      </c>
      <c r="AC165" s="348">
        <v>1.52</v>
      </c>
      <c r="AD165" s="348">
        <v>1.52</v>
      </c>
      <c r="AE165" s="348">
        <v>1.52</v>
      </c>
      <c r="AF165" s="348">
        <v>1.51</v>
      </c>
      <c r="AG165" s="348">
        <v>1.51</v>
      </c>
      <c r="AH165" s="348">
        <v>1.5</v>
      </c>
      <c r="AI165" s="348">
        <v>1.5</v>
      </c>
      <c r="AJ165" s="348">
        <v>1.5</v>
      </c>
      <c r="AK165" s="348">
        <v>1.49</v>
      </c>
      <c r="AL165" s="348">
        <v>1.49</v>
      </c>
      <c r="AM165" s="348">
        <v>1.49</v>
      </c>
      <c r="AN165" s="348">
        <v>1.49</v>
      </c>
      <c r="AO165" s="348">
        <v>1.48</v>
      </c>
      <c r="AP165" s="348">
        <v>1.48</v>
      </c>
      <c r="AQ165" s="348">
        <v>1.47</v>
      </c>
      <c r="AR165" s="348">
        <v>1.46</v>
      </c>
      <c r="AS165" s="348">
        <v>1.46</v>
      </c>
      <c r="AT165" s="348">
        <v>1.45</v>
      </c>
      <c r="AU165" s="348">
        <v>1.45</v>
      </c>
      <c r="AV165" s="348">
        <v>1.44</v>
      </c>
      <c r="AW165" s="348">
        <v>1.44</v>
      </c>
      <c r="AX165" s="348">
        <v>1.43</v>
      </c>
      <c r="AY165" s="348">
        <v>1.43</v>
      </c>
      <c r="BC165" s="436">
        <v>1.87</v>
      </c>
      <c r="BD165" s="678">
        <f t="shared" si="16"/>
        <v>47980.75</v>
      </c>
      <c r="BE165" s="678">
        <f t="shared" si="15"/>
        <v>77085.083333333328</v>
      </c>
      <c r="BF165" s="678">
        <f t="shared" si="15"/>
        <v>41770.166666666664</v>
      </c>
      <c r="BG165" s="678">
        <f t="shared" si="15"/>
        <v>57960.5</v>
      </c>
      <c r="BH165" s="678">
        <v>11</v>
      </c>
    </row>
    <row r="166" spans="1:60">
      <c r="A166" s="107">
        <v>44592</v>
      </c>
      <c r="B166" s="348">
        <v>0.28999999999999998</v>
      </c>
      <c r="C166" s="348">
        <v>0.33</v>
      </c>
      <c r="D166" s="348">
        <v>0.4</v>
      </c>
      <c r="E166" s="348">
        <v>0.49</v>
      </c>
      <c r="F166" s="348">
        <v>0.56999999999999995</v>
      </c>
      <c r="G166" s="348">
        <v>0.67</v>
      </c>
      <c r="H166" s="348">
        <v>0.76</v>
      </c>
      <c r="I166" s="348">
        <v>0.86</v>
      </c>
      <c r="J166" s="348">
        <v>0.95</v>
      </c>
      <c r="K166" s="348">
        <v>1.04</v>
      </c>
      <c r="L166" s="348">
        <v>1.1200000000000001</v>
      </c>
      <c r="M166" s="348">
        <v>1.18</v>
      </c>
      <c r="N166" s="348">
        <v>1.24</v>
      </c>
      <c r="O166" s="348">
        <v>1.3</v>
      </c>
      <c r="P166" s="2281">
        <v>1.34</v>
      </c>
      <c r="Q166" s="348">
        <v>1.38</v>
      </c>
      <c r="R166" s="348">
        <v>1.41</v>
      </c>
      <c r="S166" s="348">
        <v>1.43</v>
      </c>
      <c r="T166" s="348">
        <v>1.46</v>
      </c>
      <c r="U166" s="348">
        <v>1.48</v>
      </c>
      <c r="V166" s="348">
        <v>1.49</v>
      </c>
      <c r="W166" s="348">
        <v>1.5</v>
      </c>
      <c r="X166" s="348">
        <v>1.5</v>
      </c>
      <c r="Y166" s="348">
        <v>1.51</v>
      </c>
      <c r="Z166" s="348">
        <v>1.51</v>
      </c>
      <c r="AA166" s="348">
        <v>1.51</v>
      </c>
      <c r="AB166" s="348">
        <v>1.51</v>
      </c>
      <c r="AC166" s="348">
        <v>1.51</v>
      </c>
      <c r="AD166" s="348">
        <v>1.51</v>
      </c>
      <c r="AE166" s="348">
        <v>1.51</v>
      </c>
      <c r="AF166" s="348">
        <v>1.5</v>
      </c>
      <c r="AG166" s="348">
        <v>1.5</v>
      </c>
      <c r="AH166" s="348">
        <v>1.49</v>
      </c>
      <c r="AI166" s="348">
        <v>1.49</v>
      </c>
      <c r="AJ166" s="348">
        <v>1.49</v>
      </c>
      <c r="AK166" s="348">
        <v>1.48</v>
      </c>
      <c r="AL166" s="348">
        <v>1.48</v>
      </c>
      <c r="AM166" s="348">
        <v>1.48</v>
      </c>
      <c r="AN166" s="348">
        <v>1.47</v>
      </c>
      <c r="AO166" s="348">
        <v>1.47</v>
      </c>
      <c r="AP166" s="348">
        <v>1.47</v>
      </c>
      <c r="AQ166" s="348">
        <v>1.46</v>
      </c>
      <c r="AR166" s="348">
        <v>1.45</v>
      </c>
      <c r="AS166" s="348">
        <v>1.45</v>
      </c>
      <c r="AT166" s="348">
        <v>1.44</v>
      </c>
      <c r="AU166" s="348">
        <v>1.44</v>
      </c>
      <c r="AV166" s="348">
        <v>1.43</v>
      </c>
      <c r="AW166" s="348">
        <v>1.43</v>
      </c>
      <c r="AX166" s="348">
        <v>1.42</v>
      </c>
      <c r="AY166" s="348">
        <v>1.42</v>
      </c>
      <c r="AZ166" s="494"/>
      <c r="BC166" s="436">
        <v>1.85</v>
      </c>
      <c r="BD166" s="679">
        <v>48262</v>
      </c>
      <c r="BE166" s="679">
        <v>78353</v>
      </c>
      <c r="BF166" s="679">
        <v>42159</v>
      </c>
      <c r="BG166" s="679">
        <v>59272</v>
      </c>
    </row>
    <row r="167" spans="1:60">
      <c r="A167" s="107">
        <v>44620</v>
      </c>
      <c r="B167" s="348">
        <v>0.28000000000000003</v>
      </c>
      <c r="C167" s="348">
        <v>0.33</v>
      </c>
      <c r="D167" s="348">
        <v>0.4</v>
      </c>
      <c r="E167" s="348">
        <v>0.49</v>
      </c>
      <c r="F167" s="348">
        <v>0.57999999999999996</v>
      </c>
      <c r="G167" s="348">
        <v>0.67</v>
      </c>
      <c r="H167" s="348">
        <v>0.77</v>
      </c>
      <c r="I167" s="348">
        <v>0.86</v>
      </c>
      <c r="J167" s="348">
        <v>0.95</v>
      </c>
      <c r="K167" s="348">
        <v>1.04</v>
      </c>
      <c r="L167" s="348">
        <v>1.1200000000000001</v>
      </c>
      <c r="M167" s="348">
        <v>1.19</v>
      </c>
      <c r="N167" s="348">
        <v>1.25</v>
      </c>
      <c r="O167" s="348">
        <v>1.3</v>
      </c>
      <c r="P167" s="2281">
        <v>1.35</v>
      </c>
      <c r="Q167" s="348">
        <v>1.38</v>
      </c>
      <c r="R167" s="348">
        <v>1.41</v>
      </c>
      <c r="S167" s="348">
        <v>1.43</v>
      </c>
      <c r="T167" s="348">
        <v>1.46</v>
      </c>
      <c r="U167" s="348">
        <v>1.48</v>
      </c>
      <c r="V167" s="348">
        <v>1.49</v>
      </c>
      <c r="W167" s="348">
        <v>1.49</v>
      </c>
      <c r="X167" s="348">
        <v>1.5</v>
      </c>
      <c r="Y167" s="348">
        <v>1.51</v>
      </c>
      <c r="Z167" s="348">
        <v>1.51</v>
      </c>
      <c r="AA167" s="348">
        <v>1.51</v>
      </c>
      <c r="AB167" s="348">
        <v>1.51</v>
      </c>
      <c r="AC167" s="348">
        <v>1.51</v>
      </c>
      <c r="AD167" s="348">
        <v>1.5</v>
      </c>
      <c r="AE167" s="348">
        <v>1.5</v>
      </c>
      <c r="AF167" s="348">
        <v>1.5</v>
      </c>
      <c r="AG167" s="348">
        <v>1.49</v>
      </c>
      <c r="AH167" s="348">
        <v>1.49</v>
      </c>
      <c r="AI167" s="348">
        <v>1.49</v>
      </c>
      <c r="AJ167" s="348">
        <v>1.48</v>
      </c>
      <c r="AK167" s="348">
        <v>1.48</v>
      </c>
      <c r="AL167" s="348">
        <v>1.48</v>
      </c>
      <c r="AM167" s="348">
        <v>1.47</v>
      </c>
      <c r="AN167" s="348">
        <v>1.47</v>
      </c>
      <c r="AO167" s="348">
        <v>1.47</v>
      </c>
      <c r="AP167" s="348">
        <v>1.46</v>
      </c>
      <c r="AQ167" s="348">
        <v>1.45</v>
      </c>
      <c r="AR167" s="348">
        <v>1.45</v>
      </c>
      <c r="AS167" s="348">
        <v>1.44</v>
      </c>
      <c r="AT167" s="348">
        <v>1.43</v>
      </c>
      <c r="AU167" s="348">
        <v>1.43</v>
      </c>
      <c r="AV167" s="348">
        <v>1.42</v>
      </c>
      <c r="AW167" s="348">
        <v>1.42</v>
      </c>
      <c r="AX167" s="348">
        <v>1.41</v>
      </c>
      <c r="AY167" s="348">
        <v>1.41</v>
      </c>
      <c r="BC167" s="436">
        <v>1.82</v>
      </c>
      <c r="BD167" s="678">
        <f>BD$166+(BD$172-BD$166)/7*$BH167</f>
        <v>48255.142857142855</v>
      </c>
      <c r="BE167" s="678">
        <f>BE$166+(BE$172-BE$166)/7*$BH167</f>
        <v>78807.571428571435</v>
      </c>
      <c r="BF167" s="678">
        <f t="shared" ref="BE167:BG171" si="17">BF$166+(BF$172-BF$166)/7*$BH167</f>
        <v>42355.428571428572</v>
      </c>
      <c r="BG167" s="678">
        <f t="shared" si="17"/>
        <v>60237.285714285717</v>
      </c>
      <c r="BH167" s="678">
        <v>1</v>
      </c>
    </row>
    <row r="168" spans="1:60">
      <c r="A168" s="107">
        <v>44651</v>
      </c>
      <c r="B168" s="348">
        <v>0.28000000000000003</v>
      </c>
      <c r="C168" s="348">
        <v>0.34</v>
      </c>
      <c r="D168" s="348">
        <v>0.41</v>
      </c>
      <c r="E168" s="348">
        <v>0.5</v>
      </c>
      <c r="F168" s="348">
        <v>0.57999999999999996</v>
      </c>
      <c r="G168" s="348">
        <v>0.68</v>
      </c>
      <c r="H168" s="348">
        <v>0.77</v>
      </c>
      <c r="I168" s="348">
        <v>0.87</v>
      </c>
      <c r="J168" s="348">
        <v>0.96</v>
      </c>
      <c r="K168" s="348">
        <v>1.05</v>
      </c>
      <c r="L168" s="348">
        <v>1.1200000000000001</v>
      </c>
      <c r="M168" s="348">
        <v>1.19</v>
      </c>
      <c r="N168" s="348">
        <v>1.25</v>
      </c>
      <c r="O168" s="348">
        <v>1.3</v>
      </c>
      <c r="P168" s="2281">
        <v>1.35</v>
      </c>
      <c r="Q168" s="348">
        <v>1.38</v>
      </c>
      <c r="R168" s="348">
        <v>1.41</v>
      </c>
      <c r="S168" s="348">
        <v>1.44</v>
      </c>
      <c r="T168" s="348">
        <v>1.46</v>
      </c>
      <c r="U168" s="348">
        <v>1.48</v>
      </c>
      <c r="V168" s="348">
        <v>1.49</v>
      </c>
      <c r="W168" s="348">
        <v>1.5</v>
      </c>
      <c r="X168" s="348">
        <v>1.5</v>
      </c>
      <c r="Y168" s="348">
        <v>1.51</v>
      </c>
      <c r="Z168" s="348">
        <v>1.51</v>
      </c>
      <c r="AA168" s="348">
        <v>1.51</v>
      </c>
      <c r="AB168" s="348">
        <v>1.51</v>
      </c>
      <c r="AC168" s="348">
        <v>1.51</v>
      </c>
      <c r="AD168" s="348">
        <v>1.5</v>
      </c>
      <c r="AE168" s="348">
        <v>1.5</v>
      </c>
      <c r="AF168" s="348">
        <v>1.5</v>
      </c>
      <c r="AG168" s="348">
        <v>1.49</v>
      </c>
      <c r="AH168" s="348">
        <v>1.49</v>
      </c>
      <c r="AI168" s="348">
        <v>1.48</v>
      </c>
      <c r="AJ168" s="348">
        <v>1.48</v>
      </c>
      <c r="AK168" s="348">
        <v>1.48</v>
      </c>
      <c r="AL168" s="348">
        <v>1.47</v>
      </c>
      <c r="AM168" s="348">
        <v>1.47</v>
      </c>
      <c r="AN168" s="348">
        <v>1.47</v>
      </c>
      <c r="AO168" s="348">
        <v>1.46</v>
      </c>
      <c r="AP168" s="348">
        <v>1.46</v>
      </c>
      <c r="AQ168" s="348">
        <v>1.45</v>
      </c>
      <c r="AR168" s="348">
        <v>1.44</v>
      </c>
      <c r="AS168" s="348">
        <v>1.44</v>
      </c>
      <c r="AT168" s="348">
        <v>1.43</v>
      </c>
      <c r="AU168" s="348">
        <v>1.43</v>
      </c>
      <c r="AV168" s="348">
        <v>1.42</v>
      </c>
      <c r="AW168" s="348">
        <v>1.42</v>
      </c>
      <c r="AX168" s="348">
        <v>1.41</v>
      </c>
      <c r="AY168" s="348">
        <v>1.41</v>
      </c>
      <c r="BC168" s="436">
        <v>1.81</v>
      </c>
      <c r="BD168" s="678">
        <f>BD$166+(BD$172-BD$166)/7*$BH168</f>
        <v>48248.285714285717</v>
      </c>
      <c r="BE168" s="678">
        <f t="shared" si="17"/>
        <v>79262.142857142855</v>
      </c>
      <c r="BF168" s="678">
        <f t="shared" si="17"/>
        <v>42551.857142857145</v>
      </c>
      <c r="BG168" s="678">
        <f t="shared" si="17"/>
        <v>61202.571428571428</v>
      </c>
      <c r="BH168" s="678">
        <v>2</v>
      </c>
    </row>
    <row r="169" spans="1:60">
      <c r="A169" s="107">
        <v>44681</v>
      </c>
      <c r="B169" s="348">
        <v>0.28000000000000003</v>
      </c>
      <c r="C169" s="348">
        <v>0.34</v>
      </c>
      <c r="D169" s="348">
        <v>0.42</v>
      </c>
      <c r="E169" s="348">
        <v>0.51</v>
      </c>
      <c r="F169" s="348">
        <v>0.6</v>
      </c>
      <c r="G169" s="348">
        <v>0.69</v>
      </c>
      <c r="H169" s="348">
        <v>0.78</v>
      </c>
      <c r="I169" s="348">
        <v>0.88</v>
      </c>
      <c r="J169" s="348">
        <v>0.97</v>
      </c>
      <c r="K169" s="348">
        <v>1.06</v>
      </c>
      <c r="L169" s="348">
        <v>1.1299999999999999</v>
      </c>
      <c r="M169" s="348">
        <v>1.2</v>
      </c>
      <c r="N169" s="348">
        <v>1.26</v>
      </c>
      <c r="O169" s="348">
        <v>1.31</v>
      </c>
      <c r="P169" s="2281">
        <v>1.36</v>
      </c>
      <c r="Q169" s="348">
        <v>1.39</v>
      </c>
      <c r="R169" s="348">
        <v>1.42</v>
      </c>
      <c r="S169" s="348">
        <v>1.45</v>
      </c>
      <c r="T169" s="348">
        <v>1.47</v>
      </c>
      <c r="U169" s="348">
        <v>1.49</v>
      </c>
      <c r="V169" s="348">
        <v>1.5</v>
      </c>
      <c r="W169" s="348">
        <v>1.5</v>
      </c>
      <c r="X169" s="348">
        <v>1.51</v>
      </c>
      <c r="Y169" s="348">
        <v>1.51</v>
      </c>
      <c r="Z169" s="348">
        <v>1.52</v>
      </c>
      <c r="AA169" s="348">
        <v>1.51</v>
      </c>
      <c r="AB169" s="348">
        <v>1.51</v>
      </c>
      <c r="AC169" s="348">
        <v>1.51</v>
      </c>
      <c r="AD169" s="348">
        <v>1.51</v>
      </c>
      <c r="AE169" s="348">
        <v>1.51</v>
      </c>
      <c r="AF169" s="348">
        <v>1.5</v>
      </c>
      <c r="AG169" s="348">
        <v>1.49</v>
      </c>
      <c r="AH169" s="348">
        <v>1.49</v>
      </c>
      <c r="AI169" s="348">
        <v>1.49</v>
      </c>
      <c r="AJ169" s="348">
        <v>1.48</v>
      </c>
      <c r="AK169" s="348">
        <v>1.48</v>
      </c>
      <c r="AL169" s="348">
        <v>1.47</v>
      </c>
      <c r="AM169" s="348">
        <v>1.47</v>
      </c>
      <c r="AN169" s="348">
        <v>1.47</v>
      </c>
      <c r="AO169" s="348">
        <v>1.46</v>
      </c>
      <c r="AP169" s="348">
        <v>1.46</v>
      </c>
      <c r="AQ169" s="348">
        <v>1.45</v>
      </c>
      <c r="AR169" s="348">
        <v>1.44</v>
      </c>
      <c r="AS169" s="348">
        <v>1.44</v>
      </c>
      <c r="AT169" s="348">
        <v>1.43</v>
      </c>
      <c r="AU169" s="348">
        <v>1.43</v>
      </c>
      <c r="AV169" s="348">
        <v>1.42</v>
      </c>
      <c r="AW169" s="348">
        <v>1.41</v>
      </c>
      <c r="AX169" s="348">
        <v>1.41</v>
      </c>
      <c r="AY169" s="348">
        <v>1.41</v>
      </c>
      <c r="BC169" s="436">
        <v>1.79</v>
      </c>
      <c r="BD169" s="678">
        <f>BD$166+(BD$172-BD$166)/7*$BH169</f>
        <v>48241.428571428572</v>
      </c>
      <c r="BE169" s="678">
        <f t="shared" si="17"/>
        <v>79716.71428571429</v>
      </c>
      <c r="BF169" s="678">
        <f t="shared" si="17"/>
        <v>42748.285714285717</v>
      </c>
      <c r="BG169" s="678">
        <f t="shared" si="17"/>
        <v>62167.857142857145</v>
      </c>
      <c r="BH169" s="678">
        <v>3</v>
      </c>
    </row>
    <row r="170" spans="1:60">
      <c r="A170" s="107">
        <v>44712</v>
      </c>
      <c r="B170" s="348">
        <v>0.28000000000000003</v>
      </c>
      <c r="C170" s="348">
        <v>0.35</v>
      </c>
      <c r="D170" s="348">
        <v>0.43</v>
      </c>
      <c r="E170" s="348">
        <v>0.52</v>
      </c>
      <c r="F170" s="348">
        <v>0.61</v>
      </c>
      <c r="G170" s="348">
        <v>0.7</v>
      </c>
      <c r="H170" s="348">
        <v>0.79</v>
      </c>
      <c r="I170" s="348">
        <v>0.89</v>
      </c>
      <c r="J170" s="348">
        <v>0.98</v>
      </c>
      <c r="K170" s="348">
        <v>1.07</v>
      </c>
      <c r="L170" s="348">
        <v>1.1399999999999999</v>
      </c>
      <c r="M170" s="348">
        <v>1.21</v>
      </c>
      <c r="N170" s="348">
        <v>1.27</v>
      </c>
      <c r="O170" s="348">
        <v>1.32</v>
      </c>
      <c r="P170" s="2281">
        <v>1.37</v>
      </c>
      <c r="Q170" s="348">
        <v>1.4</v>
      </c>
      <c r="R170" s="348">
        <v>1.43</v>
      </c>
      <c r="S170" s="348">
        <v>1.45</v>
      </c>
      <c r="T170" s="348">
        <v>1.48</v>
      </c>
      <c r="U170" s="348">
        <v>1.5</v>
      </c>
      <c r="V170" s="348">
        <v>1.5</v>
      </c>
      <c r="W170" s="348">
        <v>1.51</v>
      </c>
      <c r="X170" s="348">
        <v>1.51</v>
      </c>
      <c r="Y170" s="348">
        <v>1.52</v>
      </c>
      <c r="Z170" s="348">
        <v>1.52</v>
      </c>
      <c r="AA170" s="348">
        <v>1.52</v>
      </c>
      <c r="AB170" s="348">
        <v>1.52</v>
      </c>
      <c r="AC170" s="348">
        <v>1.51</v>
      </c>
      <c r="AD170" s="348">
        <v>1.51</v>
      </c>
      <c r="AE170" s="348">
        <v>1.51</v>
      </c>
      <c r="AF170" s="348">
        <v>1.5</v>
      </c>
      <c r="AG170" s="348">
        <v>1.5</v>
      </c>
      <c r="AH170" s="348">
        <v>1.49</v>
      </c>
      <c r="AI170" s="348">
        <v>1.49</v>
      </c>
      <c r="AJ170" s="348">
        <v>1.48</v>
      </c>
      <c r="AK170" s="348">
        <v>1.48</v>
      </c>
      <c r="AL170" s="348">
        <v>1.47</v>
      </c>
      <c r="AM170" s="348">
        <v>1.47</v>
      </c>
      <c r="AN170" s="348">
        <v>1.47</v>
      </c>
      <c r="AO170" s="348">
        <v>1.46</v>
      </c>
      <c r="AP170" s="348">
        <v>1.46</v>
      </c>
      <c r="AQ170" s="348">
        <v>1.45</v>
      </c>
      <c r="AR170" s="348">
        <v>1.44</v>
      </c>
      <c r="AS170" s="348">
        <v>1.44</v>
      </c>
      <c r="AT170" s="348">
        <v>1.43</v>
      </c>
      <c r="AU170" s="348">
        <v>1.43</v>
      </c>
      <c r="AV170" s="348">
        <v>1.42</v>
      </c>
      <c r="AW170" s="348">
        <v>1.42</v>
      </c>
      <c r="AX170" s="348">
        <v>1.41</v>
      </c>
      <c r="AY170" s="348">
        <v>1.41</v>
      </c>
      <c r="BC170" s="436">
        <v>1.79</v>
      </c>
      <c r="BD170" s="678">
        <f>BD$166+(BD$172-BD$166)/7*$BH170</f>
        <v>48234.571428571428</v>
      </c>
      <c r="BE170" s="678">
        <f t="shared" si="17"/>
        <v>80171.28571428571</v>
      </c>
      <c r="BF170" s="678">
        <f t="shared" si="17"/>
        <v>42944.714285714283</v>
      </c>
      <c r="BG170" s="678">
        <f t="shared" si="17"/>
        <v>63133.142857142855</v>
      </c>
      <c r="BH170" s="678">
        <v>4</v>
      </c>
    </row>
    <row r="171" spans="1:60">
      <c r="A171" s="107">
        <v>44742</v>
      </c>
      <c r="B171" s="348">
        <v>0.28999999999999998</v>
      </c>
      <c r="C171" s="348">
        <v>0.37</v>
      </c>
      <c r="D171" s="348">
        <v>0.45</v>
      </c>
      <c r="E171" s="348">
        <v>0.53</v>
      </c>
      <c r="F171" s="348">
        <v>0.62</v>
      </c>
      <c r="G171" s="348">
        <v>0.72</v>
      </c>
      <c r="H171" s="348">
        <v>0.81</v>
      </c>
      <c r="I171" s="348">
        <v>0.9</v>
      </c>
      <c r="J171" s="348">
        <v>0.99</v>
      </c>
      <c r="K171" s="348">
        <v>1.08</v>
      </c>
      <c r="L171" s="348">
        <v>1.1599999999999999</v>
      </c>
      <c r="M171" s="348">
        <v>1.22</v>
      </c>
      <c r="N171" s="348">
        <v>1.28</v>
      </c>
      <c r="O171" s="348">
        <v>1.33</v>
      </c>
      <c r="P171" s="2281">
        <v>1.38</v>
      </c>
      <c r="Q171" s="348">
        <v>1.41</v>
      </c>
      <c r="R171" s="348">
        <v>1.44</v>
      </c>
      <c r="S171" s="348">
        <v>1.46</v>
      </c>
      <c r="T171" s="348">
        <v>1.48</v>
      </c>
      <c r="U171" s="348">
        <v>1.5</v>
      </c>
      <c r="V171" s="348">
        <v>1.51</v>
      </c>
      <c r="W171" s="348">
        <v>1.51</v>
      </c>
      <c r="X171" s="348">
        <v>1.52</v>
      </c>
      <c r="Y171" s="348">
        <v>1.52</v>
      </c>
      <c r="Z171" s="348">
        <v>1.53</v>
      </c>
      <c r="AA171" s="348">
        <v>1.52</v>
      </c>
      <c r="AB171" s="348">
        <v>1.52</v>
      </c>
      <c r="AC171" s="348">
        <v>1.52</v>
      </c>
      <c r="AD171" s="348">
        <v>1.51</v>
      </c>
      <c r="AE171" s="348">
        <v>1.51</v>
      </c>
      <c r="AF171" s="348">
        <v>1.5</v>
      </c>
      <c r="AG171" s="348">
        <v>1.5</v>
      </c>
      <c r="AH171" s="348">
        <v>1.49</v>
      </c>
      <c r="AI171" s="348">
        <v>1.49</v>
      </c>
      <c r="AJ171" s="348">
        <v>1.48</v>
      </c>
      <c r="AK171" s="348">
        <v>1.48</v>
      </c>
      <c r="AL171" s="348">
        <v>1.47</v>
      </c>
      <c r="AM171" s="348">
        <v>1.47</v>
      </c>
      <c r="AN171" s="348">
        <v>1.47</v>
      </c>
      <c r="AO171" s="348">
        <v>1.46</v>
      </c>
      <c r="AP171" s="348">
        <v>1.46</v>
      </c>
      <c r="AQ171" s="348">
        <v>1.45</v>
      </c>
      <c r="AR171" s="348">
        <v>1.44</v>
      </c>
      <c r="AS171" s="348">
        <v>1.44</v>
      </c>
      <c r="AT171" s="348">
        <v>1.43</v>
      </c>
      <c r="AU171" s="348">
        <v>1.42</v>
      </c>
      <c r="AV171" s="348">
        <v>1.42</v>
      </c>
      <c r="AW171" s="348">
        <v>1.41</v>
      </c>
      <c r="AX171" s="348">
        <v>1.41</v>
      </c>
      <c r="AY171" s="348">
        <v>1.4</v>
      </c>
      <c r="BC171" s="436">
        <v>1.78</v>
      </c>
      <c r="BD171" s="678">
        <f>BD$166+(BD$172-BD$166)/7*$BH171</f>
        <v>48227.714285714283</v>
      </c>
      <c r="BE171" s="678">
        <f t="shared" si="17"/>
        <v>80625.857142857145</v>
      </c>
      <c r="BF171" s="678">
        <f t="shared" si="17"/>
        <v>43141.142857142855</v>
      </c>
      <c r="BG171" s="678">
        <f t="shared" si="17"/>
        <v>64098.428571428572</v>
      </c>
      <c r="BH171" s="678">
        <v>5</v>
      </c>
    </row>
    <row r="172" spans="1:60">
      <c r="A172" s="107">
        <v>44773</v>
      </c>
      <c r="B172" s="348">
        <v>0.3</v>
      </c>
      <c r="C172" s="348">
        <v>0.38</v>
      </c>
      <c r="D172" s="348">
        <v>0.45</v>
      </c>
      <c r="E172" s="348">
        <v>0.54</v>
      </c>
      <c r="F172" s="348">
        <v>0.63</v>
      </c>
      <c r="G172" s="348">
        <v>0.72</v>
      </c>
      <c r="H172" s="348">
        <v>0.82</v>
      </c>
      <c r="I172" s="348">
        <v>0.91</v>
      </c>
      <c r="J172" s="348">
        <v>1</v>
      </c>
      <c r="K172" s="348">
        <v>1.08</v>
      </c>
      <c r="L172" s="348">
        <v>1.1599999999999999</v>
      </c>
      <c r="M172" s="348">
        <v>1.22</v>
      </c>
      <c r="N172" s="348">
        <v>1.29</v>
      </c>
      <c r="O172" s="348">
        <v>1.34</v>
      </c>
      <c r="P172" s="2281">
        <v>1.38</v>
      </c>
      <c r="Q172" s="348">
        <v>1.41</v>
      </c>
      <c r="R172" s="348">
        <v>1.44</v>
      </c>
      <c r="S172" s="348">
        <v>1.46</v>
      </c>
      <c r="T172" s="348">
        <v>1.48</v>
      </c>
      <c r="U172" s="348">
        <v>1.5</v>
      </c>
      <c r="V172" s="348">
        <v>1.51</v>
      </c>
      <c r="W172" s="348">
        <v>1.51</v>
      </c>
      <c r="X172" s="348">
        <v>1.52</v>
      </c>
      <c r="Y172" s="348">
        <v>1.52</v>
      </c>
      <c r="Z172" s="348">
        <v>1.52</v>
      </c>
      <c r="AA172" s="348">
        <v>1.52</v>
      </c>
      <c r="AB172" s="348">
        <v>1.52</v>
      </c>
      <c r="AC172" s="348">
        <v>1.51</v>
      </c>
      <c r="AD172" s="348">
        <v>1.51</v>
      </c>
      <c r="AE172" s="348">
        <v>1.51</v>
      </c>
      <c r="AF172" s="348">
        <v>1.5</v>
      </c>
      <c r="AG172" s="348">
        <v>1.49</v>
      </c>
      <c r="AH172" s="348">
        <v>1.49</v>
      </c>
      <c r="AI172" s="348">
        <v>1.48</v>
      </c>
      <c r="AJ172" s="348">
        <v>1.48</v>
      </c>
      <c r="AK172" s="348">
        <v>1.47</v>
      </c>
      <c r="AL172" s="348">
        <v>1.47</v>
      </c>
      <c r="AM172" s="348">
        <v>1.47</v>
      </c>
      <c r="AN172" s="348">
        <v>1.46</v>
      </c>
      <c r="AO172" s="348">
        <v>1.46</v>
      </c>
      <c r="AP172" s="348">
        <v>1.45</v>
      </c>
      <c r="AQ172" s="348">
        <v>1.44</v>
      </c>
      <c r="AR172" s="348">
        <v>1.44</v>
      </c>
      <c r="AS172" s="348">
        <v>1.43</v>
      </c>
      <c r="AT172" s="348">
        <v>1.42</v>
      </c>
      <c r="AU172" s="348">
        <v>1.42</v>
      </c>
      <c r="AV172" s="348">
        <v>1.41</v>
      </c>
      <c r="AW172" s="348">
        <v>1.41</v>
      </c>
      <c r="AX172" s="348">
        <v>1.4</v>
      </c>
      <c r="AY172" s="348">
        <v>1.4</v>
      </c>
      <c r="BC172" s="436">
        <v>1.78</v>
      </c>
      <c r="BD172" s="678">
        <v>48214</v>
      </c>
      <c r="BE172" s="678">
        <v>81535</v>
      </c>
      <c r="BF172" s="678">
        <v>43534</v>
      </c>
      <c r="BG172" s="678">
        <v>66029</v>
      </c>
      <c r="BH172" s="678">
        <v>6</v>
      </c>
    </row>
    <row r="173" spans="1:60">
      <c r="A173" s="760">
        <v>44804</v>
      </c>
      <c r="B173" s="348">
        <v>0.32</v>
      </c>
      <c r="C173" s="348">
        <v>0.4</v>
      </c>
      <c r="D173" s="348">
        <v>0.47</v>
      </c>
      <c r="E173" s="348">
        <v>0.56000000000000005</v>
      </c>
      <c r="F173" s="348">
        <v>0.65</v>
      </c>
      <c r="G173" s="348">
        <v>0.74</v>
      </c>
      <c r="H173" s="348">
        <v>0.83</v>
      </c>
      <c r="I173" s="348">
        <v>0.92</v>
      </c>
      <c r="J173" s="348">
        <v>1.01</v>
      </c>
      <c r="K173" s="348">
        <v>1.0900000000000001</v>
      </c>
      <c r="L173" s="348">
        <v>1.17</v>
      </c>
      <c r="M173" s="348">
        <v>1.23</v>
      </c>
      <c r="N173" s="348">
        <v>1.29</v>
      </c>
      <c r="O173" s="348">
        <v>1.34</v>
      </c>
      <c r="P173" s="2281">
        <v>1.39</v>
      </c>
      <c r="Q173" s="348">
        <v>1.42</v>
      </c>
      <c r="R173" s="348">
        <v>1.44</v>
      </c>
      <c r="S173" s="348">
        <v>1.47</v>
      </c>
      <c r="T173" s="348">
        <v>1.49</v>
      </c>
      <c r="U173" s="348">
        <v>1.51</v>
      </c>
      <c r="V173" s="348">
        <v>1.51</v>
      </c>
      <c r="W173" s="348">
        <v>1.51</v>
      </c>
      <c r="X173" s="348">
        <v>1.52</v>
      </c>
      <c r="Y173" s="348">
        <v>1.52</v>
      </c>
      <c r="Z173" s="348">
        <v>1.52</v>
      </c>
      <c r="AA173" s="348">
        <v>1.52</v>
      </c>
      <c r="AB173" s="348">
        <v>1.52</v>
      </c>
      <c r="AC173" s="348">
        <v>1.51</v>
      </c>
      <c r="AD173" s="348">
        <v>1.51</v>
      </c>
      <c r="AE173" s="348">
        <v>1.51</v>
      </c>
      <c r="AF173" s="348">
        <v>1.5</v>
      </c>
      <c r="AG173" s="348">
        <v>1.49</v>
      </c>
      <c r="AH173" s="348">
        <v>1.49</v>
      </c>
      <c r="AI173" s="348">
        <v>1.48</v>
      </c>
      <c r="AJ173" s="348">
        <v>1.48</v>
      </c>
      <c r="AK173" s="348">
        <v>1.47</v>
      </c>
      <c r="AL173" s="348">
        <v>1.47</v>
      </c>
      <c r="AM173" s="348">
        <v>1.46</v>
      </c>
      <c r="AN173" s="348">
        <v>1.46</v>
      </c>
      <c r="AO173" s="348">
        <v>1.45</v>
      </c>
      <c r="AP173" s="348">
        <v>1.45</v>
      </c>
      <c r="AQ173" s="348">
        <v>1.44</v>
      </c>
      <c r="AR173" s="348">
        <v>1.43</v>
      </c>
      <c r="AS173" s="348">
        <v>1.43</v>
      </c>
      <c r="AT173" s="348">
        <v>1.42</v>
      </c>
      <c r="AU173" s="348">
        <v>1.41</v>
      </c>
      <c r="AV173" s="348">
        <v>1.41</v>
      </c>
      <c r="AW173" s="348">
        <v>1.4</v>
      </c>
      <c r="AX173" s="348">
        <v>1.4</v>
      </c>
      <c r="AY173" s="348">
        <v>1.39</v>
      </c>
      <c r="BH173" s="678">
        <v>7</v>
      </c>
    </row>
    <row r="174" spans="1:60">
      <c r="A174" s="760">
        <v>44834</v>
      </c>
      <c r="B174" s="348">
        <v>0.34</v>
      </c>
      <c r="C174" s="348">
        <v>0.43</v>
      </c>
      <c r="D174" s="348">
        <v>0.5</v>
      </c>
      <c r="E174" s="348">
        <v>0.59</v>
      </c>
      <c r="F174" s="348">
        <v>0.67</v>
      </c>
      <c r="G174" s="348">
        <v>0.76</v>
      </c>
      <c r="H174" s="348">
        <v>0.85</v>
      </c>
      <c r="I174" s="348">
        <v>0.94</v>
      </c>
      <c r="J174" s="348">
        <v>1.03</v>
      </c>
      <c r="K174" s="348">
        <v>1.1100000000000001</v>
      </c>
      <c r="L174" s="348">
        <v>1.19</v>
      </c>
      <c r="M174" s="348">
        <v>1.25</v>
      </c>
      <c r="N174" s="348">
        <v>1.31</v>
      </c>
      <c r="O174" s="348">
        <v>1.36</v>
      </c>
      <c r="P174" s="2281">
        <v>1.4</v>
      </c>
      <c r="Q174" s="348">
        <v>1.43</v>
      </c>
      <c r="R174" s="348">
        <v>1.46</v>
      </c>
      <c r="S174" s="348">
        <v>1.48</v>
      </c>
      <c r="T174" s="348">
        <v>1.5</v>
      </c>
      <c r="U174" s="348">
        <v>1.52</v>
      </c>
      <c r="V174" s="348">
        <v>1.52</v>
      </c>
      <c r="W174" s="348">
        <v>1.52</v>
      </c>
      <c r="X174" s="348">
        <v>1.52</v>
      </c>
      <c r="Y174" s="348">
        <v>1.53</v>
      </c>
      <c r="Z174" s="348">
        <v>1.53</v>
      </c>
      <c r="AA174" s="348">
        <v>1.52</v>
      </c>
      <c r="AB174" s="348">
        <v>1.52</v>
      </c>
      <c r="AC174" s="348">
        <v>1.52</v>
      </c>
      <c r="AD174" s="348">
        <v>1.51</v>
      </c>
      <c r="AE174" s="348">
        <v>1.51</v>
      </c>
      <c r="AF174" s="348">
        <v>1.5</v>
      </c>
      <c r="AG174" s="348">
        <v>1.49</v>
      </c>
      <c r="AH174" s="348">
        <v>1.49</v>
      </c>
      <c r="AI174" s="348">
        <v>1.48</v>
      </c>
      <c r="AJ174" s="348">
        <v>1.48</v>
      </c>
      <c r="AK174" s="348">
        <v>1.47</v>
      </c>
      <c r="AL174" s="348">
        <v>1.47</v>
      </c>
      <c r="AM174" s="348">
        <v>1.46</v>
      </c>
      <c r="AN174" s="348">
        <v>1.46</v>
      </c>
      <c r="AO174" s="348">
        <v>1.45</v>
      </c>
      <c r="AP174" s="348">
        <v>1.45</v>
      </c>
      <c r="AQ174" s="348">
        <v>1.44</v>
      </c>
      <c r="AR174" s="348">
        <v>1.43</v>
      </c>
      <c r="AS174" s="348">
        <v>1.42</v>
      </c>
      <c r="AT174" s="348">
        <v>1.42</v>
      </c>
      <c r="AU174" s="348">
        <v>1.41</v>
      </c>
      <c r="AV174" s="348">
        <v>1.4</v>
      </c>
      <c r="AW174" s="348">
        <v>1.4</v>
      </c>
      <c r="AX174" s="348">
        <v>1.39</v>
      </c>
      <c r="AY174" s="348">
        <v>1.39</v>
      </c>
      <c r="BH174" s="678">
        <v>8</v>
      </c>
    </row>
    <row r="175" spans="1:60">
      <c r="A175" s="760">
        <v>44865</v>
      </c>
      <c r="B175" s="348">
        <v>0.37</v>
      </c>
      <c r="C175" s="348">
        <v>0.46</v>
      </c>
      <c r="D175" s="348">
        <v>0.53</v>
      </c>
      <c r="E175" s="348">
        <v>0.62</v>
      </c>
      <c r="F175" s="348">
        <v>0.7</v>
      </c>
      <c r="G175" s="348">
        <v>0.79</v>
      </c>
      <c r="H175" s="348">
        <v>0.88</v>
      </c>
      <c r="I175" s="348">
        <v>0.97</v>
      </c>
      <c r="J175" s="348">
        <v>1.05</v>
      </c>
      <c r="K175" s="348">
        <v>1.1299999999999999</v>
      </c>
      <c r="L175" s="348">
        <v>1.21</v>
      </c>
      <c r="M175" s="348">
        <v>1.27</v>
      </c>
      <c r="N175" s="348">
        <v>1.33</v>
      </c>
      <c r="O175" s="348">
        <v>1.38</v>
      </c>
      <c r="P175" s="2281">
        <v>1.42</v>
      </c>
      <c r="Q175" s="348">
        <v>1.45</v>
      </c>
      <c r="R175" s="348">
        <v>1.47</v>
      </c>
      <c r="S175" s="348">
        <v>1.49</v>
      </c>
      <c r="T175" s="348">
        <v>1.51</v>
      </c>
      <c r="U175" s="348">
        <v>1.53</v>
      </c>
      <c r="V175" s="348">
        <v>1.53</v>
      </c>
      <c r="W175" s="348">
        <v>1.53</v>
      </c>
      <c r="X175" s="348">
        <v>1.53</v>
      </c>
      <c r="Y175" s="348">
        <v>1.54</v>
      </c>
      <c r="Z175" s="348">
        <v>1.54</v>
      </c>
      <c r="AA175" s="348">
        <v>1.53</v>
      </c>
      <c r="AB175" s="348">
        <v>1.53</v>
      </c>
      <c r="AC175" s="348">
        <v>1.52</v>
      </c>
      <c r="AD175" s="348">
        <v>1.52</v>
      </c>
      <c r="AE175" s="348">
        <v>1.51</v>
      </c>
      <c r="AF175" s="348">
        <v>1.51</v>
      </c>
      <c r="AG175" s="348">
        <v>1.5</v>
      </c>
      <c r="AH175" s="348">
        <v>1.49</v>
      </c>
      <c r="AI175" s="348">
        <v>1.49</v>
      </c>
      <c r="AJ175" s="348">
        <v>1.48</v>
      </c>
      <c r="AK175" s="348">
        <v>1.47</v>
      </c>
      <c r="AL175" s="348">
        <v>1.47</v>
      </c>
      <c r="AM175" s="348">
        <v>1.46</v>
      </c>
      <c r="AN175" s="348">
        <v>1.46</v>
      </c>
      <c r="AO175" s="348">
        <v>1.45</v>
      </c>
      <c r="AP175" s="348">
        <v>1.45</v>
      </c>
      <c r="AQ175" s="348">
        <v>1.44</v>
      </c>
      <c r="AR175" s="348">
        <v>1.43</v>
      </c>
      <c r="AS175" s="348">
        <v>1.42</v>
      </c>
      <c r="AT175" s="348">
        <v>1.42</v>
      </c>
      <c r="AU175" s="348">
        <v>1.41</v>
      </c>
      <c r="AV175" s="348">
        <v>1.4</v>
      </c>
      <c r="AW175" s="348">
        <v>1.4</v>
      </c>
      <c r="AX175" s="348">
        <v>1.39</v>
      </c>
      <c r="AY175" s="348">
        <v>1.39</v>
      </c>
      <c r="BH175" s="678">
        <v>9</v>
      </c>
    </row>
    <row r="176" spans="1:60">
      <c r="A176" s="760">
        <v>44895</v>
      </c>
      <c r="B176" s="348">
        <v>0.4</v>
      </c>
      <c r="C176" s="348">
        <v>0.48</v>
      </c>
      <c r="D176" s="348">
        <v>0.56000000000000005</v>
      </c>
      <c r="E176" s="348">
        <v>0.64</v>
      </c>
      <c r="F176" s="348">
        <v>0.72</v>
      </c>
      <c r="G176" s="348">
        <v>0.81</v>
      </c>
      <c r="H176" s="348">
        <v>0.9</v>
      </c>
      <c r="I176" s="348">
        <v>0.98</v>
      </c>
      <c r="J176" s="348">
        <v>1.07</v>
      </c>
      <c r="K176" s="348">
        <v>1.1499999999999999</v>
      </c>
      <c r="L176" s="348">
        <v>1.22</v>
      </c>
      <c r="M176" s="348">
        <v>1.28</v>
      </c>
      <c r="N176" s="348">
        <v>1.34</v>
      </c>
      <c r="O176" s="348">
        <v>1.39</v>
      </c>
      <c r="P176" s="2281">
        <v>1.43</v>
      </c>
      <c r="Q176" s="348">
        <v>1.46</v>
      </c>
      <c r="R176" s="348">
        <v>1.48</v>
      </c>
      <c r="S176" s="348">
        <v>1.5</v>
      </c>
      <c r="T176" s="348">
        <v>1.52</v>
      </c>
      <c r="U176" s="348">
        <v>1.53</v>
      </c>
      <c r="V176" s="348">
        <v>1.53</v>
      </c>
      <c r="W176" s="348">
        <v>1.54</v>
      </c>
      <c r="X176" s="348">
        <v>1.54</v>
      </c>
      <c r="Y176" s="348">
        <v>1.54</v>
      </c>
      <c r="Z176" s="348">
        <v>1.54</v>
      </c>
      <c r="AA176" s="348">
        <v>1.53</v>
      </c>
      <c r="AB176" s="348">
        <v>1.53</v>
      </c>
      <c r="AC176" s="348">
        <v>1.52</v>
      </c>
      <c r="AD176" s="348">
        <v>1.52</v>
      </c>
      <c r="AE176" s="348">
        <v>1.51</v>
      </c>
      <c r="AF176" s="348">
        <v>1.5</v>
      </c>
      <c r="AG176" s="348">
        <v>1.5</v>
      </c>
      <c r="AH176" s="348">
        <v>1.49</v>
      </c>
      <c r="AI176" s="348">
        <v>1.48</v>
      </c>
      <c r="AJ176" s="348">
        <v>1.48</v>
      </c>
      <c r="AK176" s="348">
        <v>1.47</v>
      </c>
      <c r="AL176" s="348">
        <v>1.47</v>
      </c>
      <c r="AM176" s="348">
        <v>1.46</v>
      </c>
      <c r="AN176" s="348">
        <v>1.46</v>
      </c>
      <c r="AO176" s="348">
        <v>1.45</v>
      </c>
      <c r="AP176" s="348">
        <v>1.44</v>
      </c>
      <c r="AQ176" s="348">
        <v>1.43</v>
      </c>
      <c r="AR176" s="348">
        <v>1.43</v>
      </c>
      <c r="AS176" s="348">
        <v>1.42</v>
      </c>
      <c r="AT176" s="348">
        <v>1.41</v>
      </c>
      <c r="AU176" s="348">
        <v>1.41</v>
      </c>
      <c r="AV176" s="348">
        <v>1.4</v>
      </c>
      <c r="AW176" s="348">
        <v>1.39</v>
      </c>
      <c r="AX176" s="348">
        <v>1.39</v>
      </c>
      <c r="AY176" s="348">
        <v>1.38</v>
      </c>
      <c r="BH176" s="678">
        <v>10</v>
      </c>
    </row>
    <row r="177" spans="1:60">
      <c r="A177" s="760">
        <v>44926</v>
      </c>
      <c r="B177" s="348">
        <v>0.43</v>
      </c>
      <c r="C177" s="348">
        <v>0.52</v>
      </c>
      <c r="D177" s="348">
        <v>0.59</v>
      </c>
      <c r="E177" s="348">
        <v>0.67</v>
      </c>
      <c r="F177" s="348">
        <v>0.75</v>
      </c>
      <c r="G177" s="348">
        <v>0.84</v>
      </c>
      <c r="H177" s="348">
        <v>0.92</v>
      </c>
      <c r="I177" s="348">
        <v>1.01</v>
      </c>
      <c r="J177" s="348">
        <v>1.0900000000000001</v>
      </c>
      <c r="K177" s="348">
        <v>1.17</v>
      </c>
      <c r="L177" s="348">
        <v>1.24</v>
      </c>
      <c r="M177" s="348">
        <v>1.3</v>
      </c>
      <c r="N177" s="348">
        <v>1.36</v>
      </c>
      <c r="O177" s="348">
        <v>1.4</v>
      </c>
      <c r="P177" s="2281">
        <v>1.44</v>
      </c>
      <c r="Q177" s="348">
        <v>1.47</v>
      </c>
      <c r="R177" s="348">
        <v>1.49</v>
      </c>
      <c r="S177" s="348">
        <v>1.51</v>
      </c>
      <c r="T177" s="348">
        <v>1.53</v>
      </c>
      <c r="U177" s="348">
        <v>1.54</v>
      </c>
      <c r="V177" s="348">
        <v>1.54</v>
      </c>
      <c r="W177" s="348">
        <v>1.54</v>
      </c>
      <c r="X177" s="348">
        <v>1.54</v>
      </c>
      <c r="Y177" s="348">
        <v>1.54</v>
      </c>
      <c r="Z177" s="348">
        <v>1.54</v>
      </c>
      <c r="AA177" s="348">
        <v>1.54</v>
      </c>
      <c r="AB177" s="348">
        <v>1.53</v>
      </c>
      <c r="AC177" s="348">
        <v>1.53</v>
      </c>
      <c r="AD177" s="348">
        <v>1.52</v>
      </c>
      <c r="AE177" s="348">
        <v>1.51</v>
      </c>
      <c r="AF177" s="348">
        <v>1.51</v>
      </c>
      <c r="AG177" s="348">
        <v>1.5</v>
      </c>
      <c r="AH177" s="348">
        <v>1.49</v>
      </c>
      <c r="AI177" s="348">
        <v>1.48</v>
      </c>
      <c r="AJ177" s="348">
        <v>1.48</v>
      </c>
      <c r="AK177" s="348">
        <v>1.47</v>
      </c>
      <c r="AL177" s="348">
        <v>1.47</v>
      </c>
      <c r="AM177" s="348">
        <v>1.46</v>
      </c>
      <c r="AN177" s="348">
        <v>1.45</v>
      </c>
      <c r="AO177" s="348">
        <v>1.45</v>
      </c>
      <c r="AP177" s="348">
        <v>1.44</v>
      </c>
      <c r="AQ177" s="348">
        <v>1.43</v>
      </c>
      <c r="AR177" s="348">
        <v>1.42</v>
      </c>
      <c r="AS177" s="348">
        <v>1.42</v>
      </c>
      <c r="AT177" s="348">
        <v>1.41</v>
      </c>
      <c r="AU177" s="348">
        <v>1.4</v>
      </c>
      <c r="AV177" s="348">
        <v>1.4</v>
      </c>
      <c r="AW177" s="348">
        <v>1.39</v>
      </c>
      <c r="AX177" s="348">
        <v>1.38</v>
      </c>
      <c r="AY177" s="348">
        <v>1.38</v>
      </c>
      <c r="AZ177" s="494"/>
      <c r="BH177" s="678"/>
    </row>
    <row r="178" spans="1:60">
      <c r="A178" s="115">
        <v>44957</v>
      </c>
      <c r="B178" s="71">
        <v>0.46</v>
      </c>
      <c r="C178" s="71">
        <v>0.55000000000000004</v>
      </c>
      <c r="D178" s="71">
        <v>0.62</v>
      </c>
      <c r="E178" s="71">
        <v>0.7</v>
      </c>
      <c r="F178" s="71">
        <v>0.78</v>
      </c>
      <c r="G178" s="71">
        <v>0.86</v>
      </c>
      <c r="H178" s="71">
        <v>0.95</v>
      </c>
      <c r="I178" s="71">
        <v>1.03</v>
      </c>
      <c r="J178" s="71">
        <v>1.1100000000000001</v>
      </c>
      <c r="K178" s="71">
        <v>1.19</v>
      </c>
      <c r="L178" s="71">
        <v>1.26</v>
      </c>
      <c r="M178" s="71">
        <v>1.32</v>
      </c>
      <c r="N178" s="71">
        <v>1.37</v>
      </c>
      <c r="O178" s="71">
        <v>1.42</v>
      </c>
      <c r="P178" s="2278">
        <v>1.46</v>
      </c>
      <c r="Q178" s="71">
        <v>1.48</v>
      </c>
      <c r="R178" s="71">
        <v>1.5</v>
      </c>
      <c r="S178" s="71">
        <v>1.52</v>
      </c>
      <c r="T178" s="71">
        <v>1.54</v>
      </c>
      <c r="U178" s="71">
        <v>1.55</v>
      </c>
      <c r="V178" s="71">
        <v>1.55</v>
      </c>
      <c r="W178" s="71">
        <v>1.55</v>
      </c>
      <c r="X178" s="71">
        <v>1.55</v>
      </c>
      <c r="Y178" s="71">
        <v>1.55</v>
      </c>
      <c r="Z178" s="71">
        <v>1.55</v>
      </c>
      <c r="AA178" s="71">
        <v>1.54</v>
      </c>
      <c r="AB178" s="71">
        <v>1.54</v>
      </c>
      <c r="AC178" s="71">
        <v>1.53</v>
      </c>
      <c r="AD178" s="71">
        <v>1.53</v>
      </c>
      <c r="AE178" s="71">
        <v>1.52</v>
      </c>
      <c r="AF178" s="71">
        <v>1.51</v>
      </c>
      <c r="AG178" s="71">
        <v>1.5</v>
      </c>
      <c r="AH178" s="71">
        <v>1.49</v>
      </c>
      <c r="AI178" s="71">
        <v>1.49</v>
      </c>
      <c r="AJ178" s="71">
        <v>1.48</v>
      </c>
      <c r="AK178" s="71">
        <v>1.47</v>
      </c>
      <c r="AL178" s="71">
        <v>1.47</v>
      </c>
      <c r="AM178" s="71">
        <v>1.46</v>
      </c>
      <c r="AN178" s="71">
        <v>1.46</v>
      </c>
      <c r="AO178" s="71">
        <v>1.45</v>
      </c>
      <c r="AP178" s="71">
        <v>1.44</v>
      </c>
      <c r="AQ178" s="71">
        <v>1.43</v>
      </c>
      <c r="AR178" s="71">
        <v>1.43</v>
      </c>
      <c r="AS178" s="71">
        <v>1.42</v>
      </c>
      <c r="AT178" s="71">
        <v>1.41</v>
      </c>
      <c r="AU178" s="71">
        <v>1.4</v>
      </c>
      <c r="AV178" s="71">
        <v>1.4</v>
      </c>
      <c r="AW178" s="71">
        <v>1.39</v>
      </c>
      <c r="AX178" s="71">
        <v>1.38</v>
      </c>
      <c r="AY178" s="71">
        <v>1.38</v>
      </c>
    </row>
    <row r="179" spans="1:60">
      <c r="A179" s="760">
        <v>44957</v>
      </c>
      <c r="B179" s="348">
        <v>0.46</v>
      </c>
      <c r="C179" s="348">
        <v>0.55000000000000004</v>
      </c>
      <c r="D179" s="348">
        <v>0.62</v>
      </c>
      <c r="E179" s="348">
        <v>0.7</v>
      </c>
      <c r="F179" s="348">
        <v>0.78</v>
      </c>
      <c r="G179" s="348">
        <v>0.86</v>
      </c>
      <c r="H179" s="348">
        <v>0.95</v>
      </c>
      <c r="I179" s="348">
        <v>1.03</v>
      </c>
      <c r="J179" s="348">
        <v>1.1100000000000001</v>
      </c>
      <c r="K179" s="348">
        <v>1.19</v>
      </c>
      <c r="L179" s="348">
        <v>1.26</v>
      </c>
      <c r="M179" s="348">
        <v>1.32</v>
      </c>
      <c r="N179" s="348">
        <v>1.37</v>
      </c>
      <c r="O179" s="348">
        <v>1.42</v>
      </c>
      <c r="P179" s="2281">
        <v>1.46</v>
      </c>
      <c r="Q179" s="348">
        <v>1.48</v>
      </c>
      <c r="R179" s="348">
        <v>1.5</v>
      </c>
      <c r="S179" s="348">
        <v>1.52</v>
      </c>
      <c r="T179" s="348">
        <v>1.54</v>
      </c>
      <c r="U179" s="348">
        <v>1.55</v>
      </c>
      <c r="V179" s="348">
        <v>1.55</v>
      </c>
      <c r="W179" s="348">
        <v>1.55</v>
      </c>
      <c r="X179" s="348">
        <v>1.55</v>
      </c>
      <c r="Y179" s="348">
        <v>1.55</v>
      </c>
      <c r="Z179" s="348">
        <v>1.55</v>
      </c>
      <c r="AA179" s="348">
        <v>1.54</v>
      </c>
      <c r="AB179" s="348">
        <v>1.54</v>
      </c>
      <c r="AC179" s="348">
        <v>1.53</v>
      </c>
      <c r="AD179" s="348">
        <v>1.53</v>
      </c>
      <c r="AE179" s="348">
        <v>1.52</v>
      </c>
      <c r="AF179" s="348">
        <v>1.51</v>
      </c>
      <c r="AG179" s="348">
        <v>1.5</v>
      </c>
      <c r="AH179" s="348">
        <v>1.49</v>
      </c>
      <c r="AI179" s="348">
        <v>1.49</v>
      </c>
      <c r="AJ179" s="348">
        <v>1.48</v>
      </c>
      <c r="AK179" s="348">
        <v>1.47</v>
      </c>
      <c r="AL179" s="348">
        <v>1.47</v>
      </c>
      <c r="AM179" s="348">
        <v>1.46</v>
      </c>
      <c r="AN179" s="348">
        <v>1.46</v>
      </c>
      <c r="AO179" s="348">
        <v>1.45</v>
      </c>
      <c r="AP179" s="348">
        <v>1.44</v>
      </c>
      <c r="AQ179" s="348">
        <v>1.43</v>
      </c>
      <c r="AR179" s="348">
        <v>1.43</v>
      </c>
      <c r="AS179" s="348">
        <v>1.42</v>
      </c>
      <c r="AT179" s="348">
        <v>1.41</v>
      </c>
      <c r="AU179" s="348">
        <v>1.4</v>
      </c>
      <c r="AV179" s="348">
        <v>1.4</v>
      </c>
      <c r="AW179" s="348">
        <v>1.39</v>
      </c>
      <c r="AX179" s="348">
        <v>1.38</v>
      </c>
      <c r="AY179" s="348">
        <v>1.38</v>
      </c>
    </row>
    <row r="180" spans="1:60">
      <c r="A180" s="760">
        <v>44985</v>
      </c>
      <c r="B180" s="348">
        <v>0.5</v>
      </c>
      <c r="C180" s="348">
        <v>0.6</v>
      </c>
      <c r="D180" s="348">
        <v>0.66</v>
      </c>
      <c r="E180" s="348">
        <v>0.74</v>
      </c>
      <c r="F180" s="348">
        <v>0.82</v>
      </c>
      <c r="G180" s="348">
        <v>0.9</v>
      </c>
      <c r="H180" s="348">
        <v>0.98</v>
      </c>
      <c r="I180" s="348">
        <v>1.06</v>
      </c>
      <c r="J180" s="348">
        <v>1.1399999999999999</v>
      </c>
      <c r="K180" s="348">
        <v>1.22</v>
      </c>
      <c r="L180" s="348">
        <v>1.28</v>
      </c>
      <c r="M180" s="348">
        <v>1.34</v>
      </c>
      <c r="N180" s="348">
        <v>1.4</v>
      </c>
      <c r="O180" s="348">
        <v>1.44</v>
      </c>
      <c r="P180" s="2281">
        <v>1.48</v>
      </c>
      <c r="Q180" s="348">
        <v>1.5</v>
      </c>
      <c r="R180" s="348">
        <v>1.52</v>
      </c>
      <c r="S180" s="348">
        <v>1.54</v>
      </c>
      <c r="T180" s="348">
        <v>1.55</v>
      </c>
      <c r="U180" s="348">
        <v>1.57</v>
      </c>
      <c r="V180" s="348">
        <v>1.57</v>
      </c>
      <c r="W180" s="348">
        <v>1.57</v>
      </c>
      <c r="X180" s="348">
        <v>1.57</v>
      </c>
      <c r="Y180" s="348">
        <v>1.57</v>
      </c>
      <c r="Z180" s="348">
        <v>1.57</v>
      </c>
      <c r="AA180" s="348">
        <v>1.56</v>
      </c>
      <c r="AB180" s="348">
        <v>1.55</v>
      </c>
      <c r="AC180" s="348">
        <v>1.54</v>
      </c>
      <c r="AD180" s="348">
        <v>1.54</v>
      </c>
      <c r="AE180" s="348">
        <v>1.53</v>
      </c>
      <c r="AF180" s="348">
        <v>1.52</v>
      </c>
      <c r="AG180" s="348">
        <v>1.51</v>
      </c>
      <c r="AH180" s="348">
        <v>1.51</v>
      </c>
      <c r="AI180" s="348">
        <v>1.5</v>
      </c>
      <c r="AJ180" s="348">
        <v>1.49</v>
      </c>
      <c r="AK180" s="348">
        <v>1.48</v>
      </c>
      <c r="AL180" s="348">
        <v>1.48</v>
      </c>
      <c r="AM180" s="348">
        <v>1.47</v>
      </c>
      <c r="AN180" s="348">
        <v>1.47</v>
      </c>
      <c r="AO180" s="348">
        <v>1.46</v>
      </c>
      <c r="AP180" s="348">
        <v>1.45</v>
      </c>
      <c r="AQ180" s="348">
        <v>1.44</v>
      </c>
      <c r="AR180" s="348">
        <v>1.44</v>
      </c>
      <c r="AS180" s="348">
        <v>1.43</v>
      </c>
      <c r="AT180" s="348">
        <v>1.42</v>
      </c>
      <c r="AU180" s="348">
        <v>1.41</v>
      </c>
      <c r="AV180" s="348">
        <v>1.41</v>
      </c>
      <c r="AW180" s="348">
        <v>1.4</v>
      </c>
      <c r="AX180" s="348">
        <v>1.39</v>
      </c>
      <c r="AY180" s="348">
        <v>1.39</v>
      </c>
      <c r="AZ180" s="494"/>
    </row>
    <row r="181" spans="1:60">
      <c r="A181" s="760">
        <v>45016</v>
      </c>
      <c r="B181" s="348">
        <v>0.55000000000000004</v>
      </c>
      <c r="C181" s="348">
        <v>0.64</v>
      </c>
      <c r="D181" s="348">
        <v>0.7</v>
      </c>
      <c r="E181" s="348">
        <v>0.77</v>
      </c>
      <c r="F181" s="348">
        <v>0.85</v>
      </c>
      <c r="G181" s="348">
        <v>0.93</v>
      </c>
      <c r="H181" s="348">
        <v>1.01</v>
      </c>
      <c r="I181" s="348">
        <v>1.0900000000000001</v>
      </c>
      <c r="J181" s="348">
        <v>1.1599999999999999</v>
      </c>
      <c r="K181" s="348">
        <v>1.24</v>
      </c>
      <c r="L181" s="348">
        <v>1.31</v>
      </c>
      <c r="M181" s="348">
        <v>1.37</v>
      </c>
      <c r="N181" s="348">
        <v>1.42</v>
      </c>
      <c r="O181" s="348">
        <v>1.46</v>
      </c>
      <c r="P181" s="2281">
        <v>1.5</v>
      </c>
      <c r="Q181" s="348">
        <v>1.52</v>
      </c>
      <c r="R181" s="348">
        <v>1.54</v>
      </c>
      <c r="S181" s="348">
        <v>1.56</v>
      </c>
      <c r="T181" s="348">
        <v>1.57</v>
      </c>
      <c r="U181" s="348">
        <v>1.59</v>
      </c>
      <c r="V181" s="348">
        <v>1.59</v>
      </c>
      <c r="W181" s="348">
        <v>1.58</v>
      </c>
      <c r="X181" s="348">
        <v>1.58</v>
      </c>
      <c r="Y181" s="348">
        <v>1.58</v>
      </c>
      <c r="Z181" s="348">
        <v>1.58</v>
      </c>
      <c r="AA181" s="348">
        <v>1.57</v>
      </c>
      <c r="AB181" s="348">
        <v>1.57</v>
      </c>
      <c r="AC181" s="348">
        <v>1.56</v>
      </c>
      <c r="AD181" s="348">
        <v>1.55</v>
      </c>
      <c r="AE181" s="348">
        <v>1.55</v>
      </c>
      <c r="AF181" s="348">
        <v>1.54</v>
      </c>
      <c r="AG181" s="348">
        <v>1.53</v>
      </c>
      <c r="AH181" s="348">
        <v>1.52</v>
      </c>
      <c r="AI181" s="348">
        <v>1.51</v>
      </c>
      <c r="AJ181" s="348">
        <v>1.5</v>
      </c>
      <c r="AK181" s="348">
        <v>1.5</v>
      </c>
      <c r="AL181" s="348">
        <v>1.49</v>
      </c>
      <c r="AM181" s="348">
        <v>1.48</v>
      </c>
      <c r="AN181" s="348">
        <v>1.48</v>
      </c>
      <c r="AO181" s="348">
        <v>1.47</v>
      </c>
      <c r="AP181" s="348">
        <v>1.46</v>
      </c>
      <c r="AQ181" s="348">
        <v>1.45</v>
      </c>
      <c r="AR181" s="348">
        <v>1.45</v>
      </c>
      <c r="AS181" s="348">
        <v>1.44</v>
      </c>
      <c r="AT181" s="348">
        <v>1.43</v>
      </c>
      <c r="AU181" s="348">
        <v>1.42</v>
      </c>
      <c r="AV181" s="348">
        <v>1.42</v>
      </c>
      <c r="AW181" s="348">
        <v>1.41</v>
      </c>
      <c r="AX181" s="348">
        <v>1.4</v>
      </c>
      <c r="AY181" s="348">
        <v>1.4</v>
      </c>
      <c r="AZ181" s="494"/>
    </row>
    <row r="182" spans="1:60">
      <c r="A182" s="760">
        <v>45046</v>
      </c>
      <c r="B182" s="348">
        <v>0.59</v>
      </c>
      <c r="C182" s="348">
        <v>0.68</v>
      </c>
      <c r="D182" s="348">
        <v>0.74</v>
      </c>
      <c r="E182" s="348">
        <v>0.81</v>
      </c>
      <c r="F182" s="348">
        <v>0.88</v>
      </c>
      <c r="G182" s="348">
        <v>0.96</v>
      </c>
      <c r="H182" s="348">
        <v>1.03</v>
      </c>
      <c r="I182" s="348">
        <v>1.1100000000000001</v>
      </c>
      <c r="J182" s="348">
        <v>1.19</v>
      </c>
      <c r="K182" s="348">
        <v>1.27</v>
      </c>
      <c r="L182" s="348">
        <v>1.33</v>
      </c>
      <c r="M182" s="348">
        <v>1.39</v>
      </c>
      <c r="N182" s="348">
        <v>1.44</v>
      </c>
      <c r="O182" s="348">
        <v>1.48</v>
      </c>
      <c r="P182" s="2281">
        <v>1.52</v>
      </c>
      <c r="Q182" s="348">
        <v>1.54</v>
      </c>
      <c r="R182" s="348">
        <v>1.56</v>
      </c>
      <c r="S182" s="348">
        <v>1.58</v>
      </c>
      <c r="T182" s="348">
        <v>1.59</v>
      </c>
      <c r="U182" s="348">
        <v>1.6</v>
      </c>
      <c r="V182" s="348">
        <v>1.6</v>
      </c>
      <c r="W182" s="348">
        <v>1.6</v>
      </c>
      <c r="X182" s="348">
        <v>1.6</v>
      </c>
      <c r="Y182" s="348">
        <v>1.6</v>
      </c>
      <c r="Z182" s="348">
        <v>1.59</v>
      </c>
      <c r="AA182" s="348">
        <v>1.59</v>
      </c>
      <c r="AB182" s="348">
        <v>1.58</v>
      </c>
      <c r="AC182" s="348">
        <v>1.57</v>
      </c>
      <c r="AD182" s="348">
        <v>1.56</v>
      </c>
      <c r="AE182" s="348">
        <v>1.56</v>
      </c>
      <c r="AF182" s="348">
        <v>1.55</v>
      </c>
      <c r="AG182" s="348">
        <v>1.54</v>
      </c>
      <c r="AH182" s="348">
        <v>1.53</v>
      </c>
      <c r="AI182" s="348">
        <v>1.52</v>
      </c>
      <c r="AJ182" s="348">
        <v>1.51</v>
      </c>
      <c r="AK182" s="348">
        <v>1.51</v>
      </c>
      <c r="AL182" s="348">
        <v>1.5</v>
      </c>
      <c r="AM182" s="348">
        <v>1.49</v>
      </c>
      <c r="AN182" s="348">
        <v>1.49</v>
      </c>
      <c r="AO182" s="348">
        <v>1.48</v>
      </c>
      <c r="AP182" s="348">
        <v>1.47</v>
      </c>
      <c r="AQ182" s="348">
        <v>1.46</v>
      </c>
      <c r="AR182" s="348">
        <v>1.45</v>
      </c>
      <c r="AS182" s="348">
        <v>1.45</v>
      </c>
      <c r="AT182" s="348">
        <v>1.44</v>
      </c>
      <c r="AU182" s="348">
        <v>1.43</v>
      </c>
      <c r="AV182" s="348">
        <v>1.42</v>
      </c>
      <c r="AW182" s="348">
        <v>1.42</v>
      </c>
      <c r="AX182" s="348">
        <v>1.41</v>
      </c>
      <c r="AY182" s="348">
        <v>1.4</v>
      </c>
      <c r="AZ182" s="494"/>
    </row>
    <row r="183" spans="1:60">
      <c r="A183" s="760">
        <v>45077</v>
      </c>
      <c r="B183" s="348">
        <v>0.64</v>
      </c>
      <c r="C183" s="348">
        <v>0.72</v>
      </c>
      <c r="D183" s="348">
        <v>0.77</v>
      </c>
      <c r="E183" s="348">
        <v>0.84</v>
      </c>
      <c r="F183" s="348">
        <v>0.91</v>
      </c>
      <c r="G183" s="348">
        <v>0.99</v>
      </c>
      <c r="H183" s="348">
        <v>1.07</v>
      </c>
      <c r="I183" s="348">
        <v>1.1399999999999999</v>
      </c>
      <c r="J183" s="348">
        <v>1.22</v>
      </c>
      <c r="K183" s="348">
        <v>1.29</v>
      </c>
      <c r="L183" s="348">
        <v>1.36</v>
      </c>
      <c r="M183" s="348">
        <v>1.41</v>
      </c>
      <c r="N183" s="348">
        <v>1.46</v>
      </c>
      <c r="O183" s="348">
        <v>1.51</v>
      </c>
      <c r="P183" s="2281">
        <v>1.54</v>
      </c>
      <c r="Q183" s="348">
        <v>1.56</v>
      </c>
      <c r="R183" s="348">
        <v>1.58</v>
      </c>
      <c r="S183" s="348">
        <v>1.6</v>
      </c>
      <c r="T183" s="348">
        <v>1.61</v>
      </c>
      <c r="U183" s="348">
        <v>1.62</v>
      </c>
      <c r="V183" s="348">
        <v>1.62</v>
      </c>
      <c r="W183" s="348">
        <v>1.62</v>
      </c>
      <c r="X183" s="348">
        <v>1.61</v>
      </c>
      <c r="Y183" s="348">
        <v>1.61</v>
      </c>
      <c r="Z183" s="348">
        <v>1.61</v>
      </c>
      <c r="AA183" s="348">
        <v>1.6</v>
      </c>
      <c r="AB183" s="348">
        <v>1.59</v>
      </c>
      <c r="AC183" s="348">
        <v>1.58</v>
      </c>
      <c r="AD183" s="348">
        <v>1.58</v>
      </c>
      <c r="AE183" s="348">
        <v>1.57</v>
      </c>
      <c r="AF183" s="348">
        <v>1.56</v>
      </c>
      <c r="AG183" s="348">
        <v>1.55</v>
      </c>
      <c r="AH183" s="348">
        <v>1.54</v>
      </c>
      <c r="AI183" s="348">
        <v>1.53</v>
      </c>
      <c r="AJ183" s="348">
        <v>1.53</v>
      </c>
      <c r="AK183" s="348">
        <v>1.52</v>
      </c>
      <c r="AL183" s="348">
        <v>1.51</v>
      </c>
      <c r="AM183" s="348">
        <v>1.5</v>
      </c>
      <c r="AN183" s="348">
        <v>1.5</v>
      </c>
      <c r="AO183" s="348">
        <v>1.49</v>
      </c>
      <c r="AP183" s="348">
        <v>1.48</v>
      </c>
      <c r="AQ183" s="348">
        <v>1.47</v>
      </c>
      <c r="AR183" s="348">
        <v>1.46</v>
      </c>
      <c r="AS183" s="348">
        <v>1.46</v>
      </c>
      <c r="AT183" s="348">
        <v>1.45</v>
      </c>
      <c r="AU183" s="348">
        <v>1.44</v>
      </c>
      <c r="AV183" s="348">
        <v>1.43</v>
      </c>
      <c r="AW183" s="348">
        <v>1.43</v>
      </c>
      <c r="AX183" s="348">
        <v>1.42</v>
      </c>
      <c r="AY183" s="348">
        <v>1.41</v>
      </c>
      <c r="AZ183" s="494"/>
    </row>
    <row r="184" spans="1:60">
      <c r="A184" s="760">
        <v>45107</v>
      </c>
      <c r="B184" s="348">
        <v>0.69</v>
      </c>
      <c r="C184" s="348">
        <v>0.76</v>
      </c>
      <c r="D184" s="348">
        <v>0.82</v>
      </c>
      <c r="E184" s="348">
        <v>0.88</v>
      </c>
      <c r="F184" s="348">
        <v>0.95</v>
      </c>
      <c r="G184" s="348">
        <v>1.03</v>
      </c>
      <c r="H184" s="348">
        <v>1.1000000000000001</v>
      </c>
      <c r="I184" s="348">
        <v>1.18</v>
      </c>
      <c r="J184" s="348">
        <v>1.25</v>
      </c>
      <c r="K184" s="348">
        <v>1.32</v>
      </c>
      <c r="L184" s="348">
        <v>1.39</v>
      </c>
      <c r="M184" s="348">
        <v>1.44</v>
      </c>
      <c r="N184" s="348">
        <v>1.49</v>
      </c>
      <c r="O184" s="348">
        <v>1.53</v>
      </c>
      <c r="P184" s="2281">
        <v>1.57</v>
      </c>
      <c r="Q184" s="348">
        <v>1.59</v>
      </c>
      <c r="R184" s="348">
        <v>1.6</v>
      </c>
      <c r="S184" s="348">
        <v>1.62</v>
      </c>
      <c r="T184" s="348">
        <v>1.63</v>
      </c>
      <c r="U184" s="348">
        <v>1.64</v>
      </c>
      <c r="V184" s="348">
        <v>1.64</v>
      </c>
      <c r="W184" s="348">
        <v>1.64</v>
      </c>
      <c r="X184" s="348">
        <v>1.63</v>
      </c>
      <c r="Y184" s="348">
        <v>1.63</v>
      </c>
      <c r="Z184" s="348">
        <v>1.63</v>
      </c>
      <c r="AA184" s="348">
        <v>1.62</v>
      </c>
      <c r="AB184" s="348">
        <v>1.61</v>
      </c>
      <c r="AC184" s="348">
        <v>1.6</v>
      </c>
      <c r="AD184" s="348">
        <v>1.6</v>
      </c>
      <c r="AE184" s="348">
        <v>1.59</v>
      </c>
      <c r="AF184" s="348">
        <v>1.58</v>
      </c>
      <c r="AG184" s="348">
        <v>1.57</v>
      </c>
      <c r="AH184" s="348">
        <v>1.56</v>
      </c>
      <c r="AI184" s="348">
        <v>1.55</v>
      </c>
      <c r="AJ184" s="348">
        <v>1.54</v>
      </c>
      <c r="AK184" s="348">
        <v>1.53</v>
      </c>
      <c r="AL184" s="348">
        <v>1.53</v>
      </c>
      <c r="AM184" s="348">
        <v>1.52</v>
      </c>
      <c r="AN184" s="348">
        <v>1.51</v>
      </c>
      <c r="AO184" s="348">
        <v>1.51</v>
      </c>
      <c r="AP184" s="348">
        <v>1.5</v>
      </c>
      <c r="AQ184" s="348">
        <v>1.49</v>
      </c>
      <c r="AR184" s="348">
        <v>1.48</v>
      </c>
      <c r="AS184" s="348">
        <v>1.47</v>
      </c>
      <c r="AT184" s="348">
        <v>1.46</v>
      </c>
      <c r="AU184" s="348">
        <v>1.45</v>
      </c>
      <c r="AV184" s="348">
        <v>1.45</v>
      </c>
      <c r="AW184" s="348">
        <v>1.44</v>
      </c>
      <c r="AX184" s="348">
        <v>1.43</v>
      </c>
      <c r="AY184" s="348">
        <v>1.43</v>
      </c>
      <c r="AZ184" s="494"/>
    </row>
    <row r="185" spans="1:60">
      <c r="A185" s="760">
        <v>45138</v>
      </c>
      <c r="B185" s="348">
        <v>0.74</v>
      </c>
      <c r="C185" s="348">
        <v>0.81</v>
      </c>
      <c r="D185" s="348">
        <v>0.86</v>
      </c>
      <c r="E185" s="348">
        <v>0.93</v>
      </c>
      <c r="F185" s="348">
        <v>0.99</v>
      </c>
      <c r="G185" s="348">
        <v>1.06</v>
      </c>
      <c r="H185" s="348">
        <v>1.1399999999999999</v>
      </c>
      <c r="I185" s="348">
        <v>1.21</v>
      </c>
      <c r="J185" s="348">
        <v>1.28</v>
      </c>
      <c r="K185" s="348">
        <v>1.35</v>
      </c>
      <c r="L185" s="348">
        <v>1.42</v>
      </c>
      <c r="M185" s="348">
        <v>1.47</v>
      </c>
      <c r="N185" s="348">
        <v>1.52</v>
      </c>
      <c r="O185" s="348">
        <v>1.56</v>
      </c>
      <c r="P185" s="2281">
        <v>1.6</v>
      </c>
      <c r="Q185" s="348">
        <v>1.62</v>
      </c>
      <c r="R185" s="348">
        <v>1.63</v>
      </c>
      <c r="S185" s="348">
        <v>1.65</v>
      </c>
      <c r="T185" s="348">
        <v>1.66</v>
      </c>
      <c r="U185" s="348">
        <v>1.67</v>
      </c>
      <c r="V185" s="348">
        <v>1.67</v>
      </c>
      <c r="W185" s="348">
        <v>1.66</v>
      </c>
      <c r="X185" s="348">
        <v>1.66</v>
      </c>
      <c r="Y185" s="348">
        <v>1.66</v>
      </c>
      <c r="Z185" s="348">
        <v>1.65</v>
      </c>
      <c r="AA185" s="348">
        <v>1.64</v>
      </c>
      <c r="AB185" s="348">
        <v>1.63</v>
      </c>
      <c r="AC185" s="348">
        <v>1.63</v>
      </c>
      <c r="AD185" s="348">
        <v>1.62</v>
      </c>
      <c r="AE185" s="348">
        <v>1.61</v>
      </c>
      <c r="AF185" s="348">
        <v>1.6</v>
      </c>
      <c r="AG185" s="348">
        <v>1.59</v>
      </c>
      <c r="AH185" s="348">
        <v>1.58</v>
      </c>
      <c r="AI185" s="348">
        <v>1.57</v>
      </c>
      <c r="AJ185" s="348">
        <v>1.56</v>
      </c>
      <c r="AK185" s="348">
        <v>1.55</v>
      </c>
      <c r="AL185" s="348">
        <v>1.55</v>
      </c>
      <c r="AM185" s="348">
        <v>1.54</v>
      </c>
      <c r="AN185" s="348">
        <v>1.53</v>
      </c>
      <c r="AO185" s="348">
        <v>1.53</v>
      </c>
      <c r="AP185" s="348">
        <v>1.52</v>
      </c>
      <c r="AQ185" s="348">
        <v>1.51</v>
      </c>
      <c r="AR185" s="348">
        <v>1.5</v>
      </c>
      <c r="AS185" s="348">
        <v>1.49</v>
      </c>
      <c r="AT185" s="348">
        <v>1.48</v>
      </c>
      <c r="AU185" s="348">
        <v>1.47</v>
      </c>
      <c r="AV185" s="348">
        <v>1.46</v>
      </c>
      <c r="AW185" s="348">
        <v>1.46</v>
      </c>
      <c r="AX185" s="348">
        <v>1.45</v>
      </c>
      <c r="AY185" s="348">
        <v>1.44</v>
      </c>
      <c r="AZ185" s="494"/>
    </row>
    <row r="186" spans="1:60">
      <c r="A186" s="760">
        <v>45169</v>
      </c>
      <c r="B186" s="348">
        <v>0.79</v>
      </c>
      <c r="C186" s="348">
        <v>0.86</v>
      </c>
      <c r="D186" s="348">
        <v>0.91</v>
      </c>
      <c r="E186" s="348">
        <v>0.97</v>
      </c>
      <c r="F186" s="348">
        <v>1.03</v>
      </c>
      <c r="G186" s="348">
        <v>1.1000000000000001</v>
      </c>
      <c r="H186" s="348">
        <v>1.17</v>
      </c>
      <c r="I186" s="348">
        <v>1.25</v>
      </c>
      <c r="J186" s="348">
        <v>1.32</v>
      </c>
      <c r="K186" s="348">
        <v>1.39</v>
      </c>
      <c r="L186" s="348">
        <v>1.45</v>
      </c>
      <c r="M186" s="348">
        <v>1.5</v>
      </c>
      <c r="N186" s="348">
        <v>1.55</v>
      </c>
      <c r="O186" s="348">
        <v>1.59</v>
      </c>
      <c r="P186" s="2281">
        <v>1.63</v>
      </c>
      <c r="Q186" s="348">
        <v>1.65</v>
      </c>
      <c r="R186" s="348">
        <v>1.66</v>
      </c>
      <c r="S186" s="348">
        <v>1.67</v>
      </c>
      <c r="T186" s="348">
        <v>1.69</v>
      </c>
      <c r="U186" s="348">
        <v>1.7</v>
      </c>
      <c r="V186" s="348">
        <v>1.69</v>
      </c>
      <c r="W186" s="348">
        <v>1.69</v>
      </c>
      <c r="X186" s="348">
        <v>1.68</v>
      </c>
      <c r="Y186" s="348">
        <v>1.68</v>
      </c>
      <c r="Z186" s="348">
        <v>1.68</v>
      </c>
      <c r="AA186" s="348">
        <v>1.67</v>
      </c>
      <c r="AB186" s="348">
        <v>1.66</v>
      </c>
      <c r="AC186" s="348">
        <v>1.65</v>
      </c>
      <c r="AD186" s="348">
        <v>1.64</v>
      </c>
      <c r="AE186" s="348">
        <v>1.63</v>
      </c>
      <c r="AF186" s="348">
        <v>1.62</v>
      </c>
      <c r="AG186" s="348">
        <v>1.61</v>
      </c>
      <c r="AH186" s="348">
        <v>1.6</v>
      </c>
      <c r="AI186" s="348">
        <v>1.59</v>
      </c>
      <c r="AJ186" s="348">
        <v>1.58</v>
      </c>
      <c r="AK186" s="348">
        <v>1.58</v>
      </c>
      <c r="AL186" s="348">
        <v>1.57</v>
      </c>
      <c r="AM186" s="348">
        <v>1.56</v>
      </c>
      <c r="AN186" s="348">
        <v>1.55</v>
      </c>
      <c r="AO186" s="348">
        <v>1.55</v>
      </c>
      <c r="AP186" s="348">
        <v>1.54</v>
      </c>
      <c r="AQ186" s="348">
        <v>1.53</v>
      </c>
      <c r="AR186" s="348">
        <v>1.52</v>
      </c>
      <c r="AS186" s="348">
        <v>1.51</v>
      </c>
      <c r="AT186" s="348">
        <v>1.5</v>
      </c>
      <c r="AU186" s="348">
        <v>1.49</v>
      </c>
      <c r="AV186" s="348">
        <v>1.48</v>
      </c>
      <c r="AW186" s="348">
        <v>1.48</v>
      </c>
      <c r="AX186" s="348">
        <v>1.47</v>
      </c>
      <c r="AY186" s="348">
        <v>1.46</v>
      </c>
      <c r="AZ186" s="494"/>
    </row>
    <row r="187" spans="1:60">
      <c r="A187" s="760">
        <v>45199</v>
      </c>
      <c r="B187" s="348">
        <v>0.84</v>
      </c>
      <c r="C187" s="348">
        <v>0.91</v>
      </c>
      <c r="D187" s="348">
        <v>0.95</v>
      </c>
      <c r="E187" s="348">
        <v>1.01</v>
      </c>
      <c r="F187" s="348">
        <v>1.08</v>
      </c>
      <c r="G187" s="348">
        <v>1.1499999999999999</v>
      </c>
      <c r="H187" s="348">
        <v>1.21</v>
      </c>
      <c r="I187" s="348">
        <v>1.29</v>
      </c>
      <c r="J187" s="348">
        <v>1.36</v>
      </c>
      <c r="K187" s="348">
        <v>1.43</v>
      </c>
      <c r="L187" s="348">
        <v>1.49</v>
      </c>
      <c r="M187" s="348">
        <v>1.54</v>
      </c>
      <c r="N187" s="348">
        <v>1.59</v>
      </c>
      <c r="O187" s="348">
        <v>1.63</v>
      </c>
      <c r="P187" s="2281">
        <v>1.66</v>
      </c>
      <c r="Q187" s="348">
        <v>1.68</v>
      </c>
      <c r="R187" s="348">
        <v>1.69</v>
      </c>
      <c r="S187" s="348">
        <v>1.71</v>
      </c>
      <c r="T187" s="348">
        <v>1.72</v>
      </c>
      <c r="U187" s="348">
        <v>1.73</v>
      </c>
      <c r="V187" s="348">
        <v>1.72</v>
      </c>
      <c r="W187" s="348">
        <v>1.72</v>
      </c>
      <c r="X187" s="348">
        <v>1.71</v>
      </c>
      <c r="Y187" s="348">
        <v>1.71</v>
      </c>
      <c r="Z187" s="348">
        <v>1.71</v>
      </c>
      <c r="AA187" s="348">
        <v>1.7</v>
      </c>
      <c r="AB187" s="348">
        <v>1.69</v>
      </c>
      <c r="AC187" s="348">
        <v>1.68</v>
      </c>
      <c r="AD187" s="348">
        <v>1.67</v>
      </c>
      <c r="AE187" s="348">
        <v>1.66</v>
      </c>
      <c r="AF187" s="348">
        <v>1.65</v>
      </c>
      <c r="AG187" s="348">
        <v>1.64</v>
      </c>
      <c r="AH187" s="348">
        <v>1.63</v>
      </c>
      <c r="AI187" s="348">
        <v>1.62</v>
      </c>
      <c r="AJ187" s="348">
        <v>1.61</v>
      </c>
      <c r="AK187" s="348">
        <v>1.6</v>
      </c>
      <c r="AL187" s="348">
        <v>1.59</v>
      </c>
      <c r="AM187" s="348">
        <v>1.59</v>
      </c>
      <c r="AN187" s="348">
        <v>1.58</v>
      </c>
      <c r="AO187" s="348">
        <v>1.57</v>
      </c>
      <c r="AP187" s="348">
        <v>1.56</v>
      </c>
      <c r="AQ187" s="348">
        <v>1.55</v>
      </c>
      <c r="AR187" s="348">
        <v>1.54</v>
      </c>
      <c r="AS187" s="348">
        <v>1.53</v>
      </c>
      <c r="AT187" s="348">
        <v>1.52</v>
      </c>
      <c r="AU187" s="348">
        <v>1.52</v>
      </c>
      <c r="AV187" s="348">
        <v>1.51</v>
      </c>
      <c r="AW187" s="348">
        <v>1.5</v>
      </c>
      <c r="AX187" s="348">
        <v>1.49</v>
      </c>
      <c r="AY187" s="348">
        <v>1.49</v>
      </c>
      <c r="AZ187" s="494"/>
    </row>
    <row r="188" spans="1:60">
      <c r="A188" s="760">
        <v>45230</v>
      </c>
      <c r="B188" s="348">
        <v>0.89</v>
      </c>
      <c r="C188" s="348">
        <v>0.95</v>
      </c>
      <c r="D188" s="348">
        <v>1</v>
      </c>
      <c r="E188" s="348">
        <v>1.05</v>
      </c>
      <c r="F188" s="348">
        <v>1.1200000000000001</v>
      </c>
      <c r="G188" s="348">
        <v>1.19</v>
      </c>
      <c r="H188" s="348">
        <v>1.25</v>
      </c>
      <c r="I188" s="348">
        <v>1.32</v>
      </c>
      <c r="J188" s="348">
        <v>1.39</v>
      </c>
      <c r="K188" s="348">
        <v>1.46</v>
      </c>
      <c r="L188" s="348">
        <v>1.52</v>
      </c>
      <c r="M188" s="348">
        <v>1.58</v>
      </c>
      <c r="N188" s="348">
        <v>1.62</v>
      </c>
      <c r="O188" s="348">
        <v>1.66</v>
      </c>
      <c r="P188" s="2281">
        <v>1.7</v>
      </c>
      <c r="Q188" s="348">
        <v>1.71</v>
      </c>
      <c r="R188" s="348">
        <v>1.73</v>
      </c>
      <c r="S188" s="348">
        <v>1.74</v>
      </c>
      <c r="T188" s="348">
        <v>1.75</v>
      </c>
      <c r="U188" s="348">
        <v>1.76</v>
      </c>
      <c r="V188" s="348">
        <v>1.75</v>
      </c>
      <c r="W188" s="348">
        <v>1.75</v>
      </c>
      <c r="X188" s="348">
        <v>1.74</v>
      </c>
      <c r="Y188" s="348">
        <v>1.74</v>
      </c>
      <c r="Z188" s="348">
        <v>1.74</v>
      </c>
      <c r="AA188" s="348">
        <v>1.72</v>
      </c>
      <c r="AB188" s="348">
        <v>1.71</v>
      </c>
      <c r="AC188" s="348">
        <v>1.7</v>
      </c>
      <c r="AD188" s="348">
        <v>1.7</v>
      </c>
      <c r="AE188" s="348">
        <v>1.69</v>
      </c>
      <c r="AF188" s="348">
        <v>1.67</v>
      </c>
      <c r="AG188" s="348">
        <v>1.66</v>
      </c>
      <c r="AH188" s="348">
        <v>1.65</v>
      </c>
      <c r="AI188" s="348">
        <v>1.64</v>
      </c>
      <c r="AJ188" s="348">
        <v>1.63</v>
      </c>
      <c r="AK188" s="348">
        <v>1.63</v>
      </c>
      <c r="AL188" s="348">
        <v>1.62</v>
      </c>
      <c r="AM188" s="348">
        <v>1.61</v>
      </c>
      <c r="AN188" s="348">
        <v>1.6</v>
      </c>
      <c r="AO188" s="348">
        <v>1.6</v>
      </c>
      <c r="AP188" s="348">
        <v>1.58</v>
      </c>
      <c r="AQ188" s="348">
        <v>1.57</v>
      </c>
      <c r="AR188" s="348">
        <v>1.57</v>
      </c>
      <c r="AS188" s="348">
        <v>1.56</v>
      </c>
      <c r="AT188" s="348">
        <v>1.55</v>
      </c>
      <c r="AU188" s="348">
        <v>1.54</v>
      </c>
      <c r="AV188" s="348">
        <v>1.53</v>
      </c>
      <c r="AW188" s="348">
        <v>1.52</v>
      </c>
      <c r="AX188" s="348">
        <v>1.52</v>
      </c>
      <c r="AY188" s="348">
        <v>1.51</v>
      </c>
      <c r="AZ188" s="494"/>
    </row>
    <row r="189" spans="1:60">
      <c r="A189" s="760">
        <v>45260</v>
      </c>
      <c r="B189" s="348">
        <v>0.94</v>
      </c>
      <c r="C189" s="348">
        <v>1</v>
      </c>
      <c r="D189" s="348">
        <v>1.03</v>
      </c>
      <c r="E189" s="348">
        <v>1.0900000000000001</v>
      </c>
      <c r="F189" s="348">
        <v>1.1499999999999999</v>
      </c>
      <c r="G189" s="348">
        <v>1.22</v>
      </c>
      <c r="H189" s="348">
        <v>1.28</v>
      </c>
      <c r="I189" s="348">
        <v>1.35</v>
      </c>
      <c r="J189" s="348">
        <v>1.42</v>
      </c>
      <c r="K189" s="348">
        <v>1.49</v>
      </c>
      <c r="L189" s="348">
        <v>1.55</v>
      </c>
      <c r="M189" s="348">
        <v>1.6</v>
      </c>
      <c r="N189" s="348">
        <v>1.65</v>
      </c>
      <c r="O189" s="348">
        <v>1.69</v>
      </c>
      <c r="P189" s="2281">
        <v>1.72</v>
      </c>
      <c r="Q189" s="348">
        <v>1.74</v>
      </c>
      <c r="R189" s="348">
        <v>1.75</v>
      </c>
      <c r="S189" s="348">
        <v>1.76</v>
      </c>
      <c r="T189" s="348">
        <v>1.77</v>
      </c>
      <c r="U189" s="348">
        <v>1.78</v>
      </c>
      <c r="V189" s="348">
        <v>1.77</v>
      </c>
      <c r="W189" s="348">
        <v>1.77</v>
      </c>
      <c r="X189" s="348">
        <v>1.76</v>
      </c>
      <c r="Y189" s="348">
        <v>1.76</v>
      </c>
      <c r="Z189" s="348">
        <v>1.75</v>
      </c>
      <c r="AA189" s="348">
        <v>1.74</v>
      </c>
      <c r="AB189" s="348">
        <v>1.73</v>
      </c>
      <c r="AC189" s="348">
        <v>1.72</v>
      </c>
      <c r="AD189" s="348">
        <v>1.71</v>
      </c>
      <c r="AE189" s="348">
        <v>1.7</v>
      </c>
      <c r="AF189" s="348">
        <v>1.69</v>
      </c>
      <c r="AG189" s="348">
        <v>1.68</v>
      </c>
      <c r="AH189" s="348">
        <v>1.67</v>
      </c>
      <c r="AI189" s="348">
        <v>1.66</v>
      </c>
      <c r="AJ189" s="348">
        <v>1.65</v>
      </c>
      <c r="AK189" s="348">
        <v>1.64</v>
      </c>
      <c r="AL189" s="348">
        <v>1.63</v>
      </c>
      <c r="AM189" s="348">
        <v>1.63</v>
      </c>
      <c r="AN189" s="348">
        <v>1.62</v>
      </c>
      <c r="AO189" s="348">
        <v>1.61</v>
      </c>
      <c r="AP189" s="348">
        <v>1.6</v>
      </c>
      <c r="AQ189" s="348">
        <v>1.59</v>
      </c>
      <c r="AR189" s="348">
        <v>1.58</v>
      </c>
      <c r="AS189" s="348">
        <v>1.57</v>
      </c>
      <c r="AT189" s="348">
        <v>1.56</v>
      </c>
      <c r="AU189" s="348">
        <v>1.55</v>
      </c>
      <c r="AV189" s="348">
        <v>1.54</v>
      </c>
      <c r="AW189" s="348">
        <v>1.54</v>
      </c>
      <c r="AX189" s="348">
        <v>1.53</v>
      </c>
      <c r="AY189" s="348">
        <v>1.52</v>
      </c>
      <c r="AZ189" s="494"/>
    </row>
    <row r="190" spans="1:60">
      <c r="A190" s="760">
        <v>45291</v>
      </c>
      <c r="B190" s="348">
        <v>0.99</v>
      </c>
      <c r="C190" s="348">
        <v>1.03</v>
      </c>
      <c r="D190" s="348">
        <v>1.07</v>
      </c>
      <c r="E190" s="348">
        <v>1.1200000000000001</v>
      </c>
      <c r="F190" s="348">
        <v>1.18</v>
      </c>
      <c r="G190" s="348">
        <v>1.25</v>
      </c>
      <c r="H190" s="348">
        <v>1.31</v>
      </c>
      <c r="I190" s="348">
        <v>1.38</v>
      </c>
      <c r="J190" s="348">
        <v>1.45</v>
      </c>
      <c r="K190" s="348">
        <v>1.51</v>
      </c>
      <c r="L190" s="348">
        <v>1.57</v>
      </c>
      <c r="M190" s="348">
        <v>1.62</v>
      </c>
      <c r="N190" s="348">
        <v>1.67</v>
      </c>
      <c r="O190" s="348">
        <v>1.71</v>
      </c>
      <c r="P190" s="2281">
        <v>1.74</v>
      </c>
      <c r="Q190" s="348">
        <v>1.75</v>
      </c>
      <c r="R190" s="348">
        <v>1.77</v>
      </c>
      <c r="S190" s="348">
        <v>1.78</v>
      </c>
      <c r="T190" s="348">
        <v>1.79</v>
      </c>
      <c r="U190" s="348">
        <v>1.8</v>
      </c>
      <c r="V190" s="348">
        <v>1.79</v>
      </c>
      <c r="W190" s="348">
        <v>1.78</v>
      </c>
      <c r="X190" s="348">
        <v>1.78</v>
      </c>
      <c r="Y190" s="348">
        <v>1.77</v>
      </c>
      <c r="Z190" s="348">
        <v>1.77</v>
      </c>
      <c r="AA190" s="348">
        <v>1.76</v>
      </c>
      <c r="AB190" s="348">
        <v>1.75</v>
      </c>
      <c r="AC190" s="348">
        <v>1.74</v>
      </c>
      <c r="AD190" s="348">
        <v>1.73</v>
      </c>
      <c r="AE190" s="348">
        <v>1.72</v>
      </c>
      <c r="AF190" s="348">
        <v>1.71</v>
      </c>
      <c r="AG190" s="348">
        <v>1.69</v>
      </c>
      <c r="AH190" s="348">
        <v>1.68</v>
      </c>
      <c r="AI190" s="348">
        <v>1.67</v>
      </c>
      <c r="AJ190" s="348">
        <v>1.66</v>
      </c>
      <c r="AK190" s="348">
        <v>1.65</v>
      </c>
      <c r="AL190" s="348">
        <v>1.65</v>
      </c>
      <c r="AM190" s="348">
        <v>1.64</v>
      </c>
      <c r="AN190" s="348">
        <v>1.63</v>
      </c>
      <c r="AO190" s="348">
        <v>1.62</v>
      </c>
      <c r="AP190" s="348">
        <v>1.61</v>
      </c>
      <c r="AQ190" s="348">
        <v>1.6</v>
      </c>
      <c r="AR190" s="348">
        <v>1.59</v>
      </c>
      <c r="AS190" s="348">
        <v>1.58</v>
      </c>
      <c r="AT190" s="348">
        <v>1.57</v>
      </c>
      <c r="AU190" s="348">
        <v>1.56</v>
      </c>
      <c r="AV190" s="348">
        <v>1.56</v>
      </c>
      <c r="AW190" s="348">
        <v>1.55</v>
      </c>
      <c r="AX190" s="348">
        <v>1.54</v>
      </c>
      <c r="AY190" s="348">
        <v>1.53</v>
      </c>
    </row>
    <row r="191" spans="1:60">
      <c r="A191" s="760">
        <v>45322</v>
      </c>
      <c r="B191" s="348">
        <v>1.03</v>
      </c>
      <c r="C191" s="348">
        <v>1.07</v>
      </c>
      <c r="D191" s="348">
        <v>1.1000000000000001</v>
      </c>
      <c r="E191" s="348">
        <v>1.1499999999999999</v>
      </c>
      <c r="F191" s="348">
        <v>1.21</v>
      </c>
      <c r="G191" s="348">
        <v>1.27</v>
      </c>
      <c r="H191" s="348">
        <v>1.34</v>
      </c>
      <c r="I191" s="348">
        <v>1.4</v>
      </c>
      <c r="J191" s="348">
        <v>1.47</v>
      </c>
      <c r="K191" s="348">
        <v>1.53</v>
      </c>
      <c r="L191" s="348">
        <v>1.59</v>
      </c>
      <c r="M191" s="348">
        <v>1.64</v>
      </c>
      <c r="N191" s="348">
        <v>1.69</v>
      </c>
      <c r="O191" s="348">
        <v>1.73</v>
      </c>
      <c r="P191" s="2281">
        <v>1.76</v>
      </c>
      <c r="Q191" s="348">
        <v>1.77</v>
      </c>
      <c r="R191" s="348">
        <v>1.78</v>
      </c>
      <c r="S191" s="348">
        <v>1.79</v>
      </c>
      <c r="T191" s="348">
        <v>1.8</v>
      </c>
      <c r="U191" s="348">
        <v>1.81</v>
      </c>
      <c r="V191" s="348">
        <v>1.8</v>
      </c>
      <c r="W191" s="348">
        <v>1.8</v>
      </c>
      <c r="X191" s="348">
        <v>1.79</v>
      </c>
      <c r="Y191" s="348">
        <v>1.79</v>
      </c>
      <c r="Z191" s="348">
        <v>1.78</v>
      </c>
      <c r="AA191" s="348">
        <v>1.77</v>
      </c>
      <c r="AB191" s="348">
        <v>1.76</v>
      </c>
      <c r="AC191" s="348">
        <v>1.75</v>
      </c>
      <c r="AD191" s="348">
        <v>1.74</v>
      </c>
      <c r="AE191" s="348">
        <v>1.73</v>
      </c>
      <c r="AF191" s="348">
        <v>1.72</v>
      </c>
      <c r="AG191" s="348">
        <v>1.7</v>
      </c>
      <c r="AH191" s="348">
        <v>1.69</v>
      </c>
      <c r="AI191" s="348">
        <v>1.68</v>
      </c>
      <c r="AJ191" s="348">
        <v>1.67</v>
      </c>
      <c r="AK191" s="348">
        <v>1.66</v>
      </c>
      <c r="AL191" s="348">
        <v>1.65</v>
      </c>
      <c r="AM191" s="348">
        <v>1.65</v>
      </c>
      <c r="AN191" s="348">
        <v>1.64</v>
      </c>
      <c r="AO191" s="348">
        <v>1.63</v>
      </c>
      <c r="AP191" s="348">
        <v>1.62</v>
      </c>
      <c r="AQ191" s="348">
        <v>1.61</v>
      </c>
      <c r="AR191" s="348">
        <v>1.6</v>
      </c>
      <c r="AS191" s="348">
        <v>1.59</v>
      </c>
      <c r="AT191" s="348">
        <v>1.58</v>
      </c>
      <c r="AU191" s="348">
        <v>1.57</v>
      </c>
      <c r="AV191" s="348">
        <v>1.56</v>
      </c>
      <c r="AW191" s="348">
        <v>1.56</v>
      </c>
      <c r="AX191" s="348">
        <v>1.55</v>
      </c>
      <c r="AY191" s="348">
        <v>1.54</v>
      </c>
    </row>
    <row r="192" spans="1:60">
      <c r="A192" s="760">
        <v>45351</v>
      </c>
      <c r="B192" s="348">
        <v>1.08</v>
      </c>
      <c r="C192" s="348">
        <v>1.1100000000000001</v>
      </c>
      <c r="D192" s="348">
        <v>1.1399999999999999</v>
      </c>
      <c r="E192" s="348">
        <v>1.19</v>
      </c>
      <c r="F192" s="348">
        <v>1.24</v>
      </c>
      <c r="G192" s="348">
        <v>1.31</v>
      </c>
      <c r="H192" s="348">
        <v>1.37</v>
      </c>
      <c r="I192" s="348">
        <v>1.43</v>
      </c>
      <c r="J192" s="348">
        <v>1.5</v>
      </c>
      <c r="K192" s="348">
        <v>1.56</v>
      </c>
      <c r="L192" s="348">
        <v>1.62</v>
      </c>
      <c r="M192" s="348">
        <v>1.67</v>
      </c>
      <c r="N192" s="348">
        <v>1.71</v>
      </c>
      <c r="O192" s="348">
        <v>1.75</v>
      </c>
      <c r="P192" s="2281">
        <v>1.78</v>
      </c>
      <c r="Q192" s="348">
        <v>1.79</v>
      </c>
      <c r="R192" s="348">
        <v>1.8</v>
      </c>
      <c r="S192" s="348">
        <v>1.81</v>
      </c>
      <c r="T192" s="348">
        <v>1.82</v>
      </c>
      <c r="U192" s="348">
        <v>1.83</v>
      </c>
      <c r="V192" s="348">
        <v>1.82</v>
      </c>
      <c r="W192" s="348">
        <v>1.82</v>
      </c>
      <c r="X192" s="348">
        <v>1.81</v>
      </c>
      <c r="Y192" s="348">
        <v>1.8</v>
      </c>
      <c r="Z192" s="348">
        <v>1.8</v>
      </c>
      <c r="AA192" s="348">
        <v>1.79</v>
      </c>
      <c r="AB192" s="348">
        <v>1.77</v>
      </c>
      <c r="AC192" s="348">
        <v>1.76</v>
      </c>
      <c r="AD192" s="348">
        <v>1.75</v>
      </c>
      <c r="AE192" s="348">
        <v>1.74</v>
      </c>
      <c r="AF192" s="348">
        <v>1.73</v>
      </c>
      <c r="AG192" s="348">
        <v>1.72</v>
      </c>
      <c r="AH192" s="348">
        <v>1.71</v>
      </c>
      <c r="AI192" s="348">
        <v>1.7</v>
      </c>
      <c r="AJ192" s="348">
        <v>1.69</v>
      </c>
      <c r="AK192" s="348">
        <v>1.68</v>
      </c>
      <c r="AL192" s="348">
        <v>1.67</v>
      </c>
      <c r="AM192" s="348">
        <v>1.66</v>
      </c>
      <c r="AN192" s="348">
        <v>1.65</v>
      </c>
      <c r="AO192" s="348">
        <v>1.64</v>
      </c>
      <c r="AP192" s="348">
        <v>1.63</v>
      </c>
      <c r="AQ192" s="348">
        <v>1.62</v>
      </c>
      <c r="AR192" s="348">
        <v>1.61</v>
      </c>
      <c r="AS192" s="348">
        <v>1.6</v>
      </c>
      <c r="AT192" s="348">
        <v>1.59</v>
      </c>
      <c r="AU192" s="348">
        <v>1.58</v>
      </c>
      <c r="AV192" s="348">
        <v>1.57</v>
      </c>
      <c r="AW192" s="348">
        <v>1.57</v>
      </c>
      <c r="AX192" s="348">
        <v>1.56</v>
      </c>
      <c r="AY192" s="348">
        <v>1.55</v>
      </c>
    </row>
    <row r="193" spans="1:51">
      <c r="A193" s="760">
        <v>45382</v>
      </c>
      <c r="B193" s="348">
        <v>1.1299999999999999</v>
      </c>
      <c r="C193" s="348">
        <v>1.1499999999999999</v>
      </c>
      <c r="D193" s="348">
        <v>1.18</v>
      </c>
      <c r="E193" s="348">
        <v>1.22</v>
      </c>
      <c r="F193" s="348">
        <v>1.27</v>
      </c>
      <c r="G193" s="348">
        <v>1.33</v>
      </c>
      <c r="H193" s="348">
        <v>1.39</v>
      </c>
      <c r="I193" s="348">
        <v>1.46</v>
      </c>
      <c r="J193" s="348">
        <v>1.52</v>
      </c>
      <c r="K193" s="348">
        <v>1.58</v>
      </c>
      <c r="L193" s="348">
        <v>1.64</v>
      </c>
      <c r="M193" s="348">
        <v>1.69</v>
      </c>
      <c r="N193" s="348">
        <v>1.73</v>
      </c>
      <c r="O193" s="348">
        <v>1.77</v>
      </c>
      <c r="P193" s="2281">
        <v>1.8</v>
      </c>
      <c r="Q193" s="348">
        <v>1.81</v>
      </c>
      <c r="R193" s="348">
        <v>1.82</v>
      </c>
      <c r="S193" s="348">
        <v>1.83</v>
      </c>
      <c r="T193" s="348">
        <v>1.84</v>
      </c>
      <c r="U193" s="348">
        <v>1.85</v>
      </c>
      <c r="V193" s="348">
        <v>1.84</v>
      </c>
      <c r="W193" s="348">
        <v>1.83</v>
      </c>
      <c r="X193" s="348">
        <v>1.82</v>
      </c>
      <c r="Y193" s="348">
        <v>1.82</v>
      </c>
      <c r="Z193" s="348">
        <v>1.81</v>
      </c>
      <c r="AA193" s="348">
        <v>1.8</v>
      </c>
      <c r="AB193" s="348">
        <v>1.79</v>
      </c>
      <c r="AC193" s="348">
        <v>1.77</v>
      </c>
      <c r="AD193" s="348">
        <v>1.76</v>
      </c>
      <c r="AE193" s="348">
        <v>1.75</v>
      </c>
      <c r="AF193" s="348">
        <v>1.74</v>
      </c>
      <c r="AG193" s="348">
        <v>1.73</v>
      </c>
      <c r="AH193" s="348">
        <v>1.72</v>
      </c>
      <c r="AI193" s="348">
        <v>1.71</v>
      </c>
      <c r="AJ193" s="348">
        <v>1.69</v>
      </c>
      <c r="AK193" s="348">
        <v>1.69</v>
      </c>
      <c r="AL193" s="348">
        <v>1.68</v>
      </c>
      <c r="AM193" s="348">
        <v>1.67</v>
      </c>
      <c r="AN193" s="348">
        <v>1.66</v>
      </c>
      <c r="AO193" s="348">
        <v>1.65</v>
      </c>
      <c r="AP193" s="348">
        <v>1.64</v>
      </c>
      <c r="AQ193" s="348">
        <v>1.63</v>
      </c>
      <c r="AR193" s="348">
        <v>1.62</v>
      </c>
      <c r="AS193" s="348">
        <v>1.61</v>
      </c>
      <c r="AT193" s="348">
        <v>1.6</v>
      </c>
      <c r="AU193" s="348">
        <v>1.59</v>
      </c>
      <c r="AV193" s="348">
        <v>1.58</v>
      </c>
      <c r="AW193" s="348">
        <v>1.57</v>
      </c>
      <c r="AX193" s="348">
        <v>1.56</v>
      </c>
      <c r="AY193" s="348">
        <v>1.56</v>
      </c>
    </row>
    <row r="194" spans="1:51">
      <c r="A194" s="760">
        <v>45412</v>
      </c>
      <c r="B194" s="348">
        <v>1.17</v>
      </c>
      <c r="C194" s="348">
        <v>1.19</v>
      </c>
      <c r="D194" s="348">
        <v>1.21</v>
      </c>
      <c r="E194" s="348">
        <v>1.26</v>
      </c>
      <c r="F194" s="348">
        <v>1.31</v>
      </c>
      <c r="G194" s="348">
        <v>1.37</v>
      </c>
      <c r="H194" s="348">
        <v>1.42</v>
      </c>
      <c r="I194" s="348">
        <v>1.49</v>
      </c>
      <c r="J194" s="348">
        <v>1.55</v>
      </c>
      <c r="K194" s="348">
        <v>1.61</v>
      </c>
      <c r="L194" s="348">
        <v>1.66</v>
      </c>
      <c r="M194" s="348">
        <v>1.71</v>
      </c>
      <c r="N194" s="348">
        <v>1.75</v>
      </c>
      <c r="O194" s="348">
        <v>1.79</v>
      </c>
      <c r="P194" s="2281">
        <v>1.82</v>
      </c>
      <c r="Q194" s="348">
        <v>1.83</v>
      </c>
      <c r="R194" s="348">
        <v>1.84</v>
      </c>
      <c r="S194" s="348">
        <v>1.85</v>
      </c>
      <c r="T194" s="348">
        <v>1.86</v>
      </c>
      <c r="U194" s="348">
        <v>1.86</v>
      </c>
      <c r="V194" s="348">
        <v>1.85</v>
      </c>
      <c r="W194" s="348">
        <v>1.85</v>
      </c>
      <c r="X194" s="348">
        <v>1.84</v>
      </c>
      <c r="Y194" s="348">
        <v>1.83</v>
      </c>
      <c r="Z194" s="348">
        <v>1.83</v>
      </c>
      <c r="AA194" s="348">
        <v>1.81</v>
      </c>
      <c r="AB194" s="348">
        <v>1.8</v>
      </c>
      <c r="AC194" s="348">
        <v>1.79</v>
      </c>
      <c r="AD194" s="348">
        <v>1.78</v>
      </c>
      <c r="AE194" s="348">
        <v>1.77</v>
      </c>
      <c r="AF194" s="348">
        <v>1.75</v>
      </c>
      <c r="AG194" s="348">
        <v>1.74</v>
      </c>
      <c r="AH194" s="348">
        <v>1.73</v>
      </c>
      <c r="AI194" s="348">
        <v>1.72</v>
      </c>
      <c r="AJ194" s="348">
        <v>1.71</v>
      </c>
      <c r="AK194" s="348">
        <v>1.7</v>
      </c>
      <c r="AL194" s="348">
        <v>1.69</v>
      </c>
      <c r="AM194" s="348">
        <v>1.68</v>
      </c>
      <c r="AN194" s="348">
        <v>1.67</v>
      </c>
      <c r="AO194" s="348">
        <v>1.66</v>
      </c>
      <c r="AP194" s="348">
        <v>1.65</v>
      </c>
      <c r="AQ194" s="348">
        <v>1.64</v>
      </c>
      <c r="AR194" s="348">
        <v>1.63</v>
      </c>
      <c r="AS194" s="348">
        <v>1.62</v>
      </c>
      <c r="AT194" s="348">
        <v>1.61</v>
      </c>
      <c r="AU194" s="348">
        <v>1.6</v>
      </c>
      <c r="AV194" s="348">
        <v>1.59</v>
      </c>
      <c r="AW194" s="348">
        <v>1.58</v>
      </c>
      <c r="AX194" s="348">
        <v>1.57</v>
      </c>
      <c r="AY194" s="348">
        <v>1.57</v>
      </c>
    </row>
    <row r="195" spans="1:51">
      <c r="A195" s="760">
        <v>45443</v>
      </c>
      <c r="B195" s="348">
        <v>1.22</v>
      </c>
      <c r="C195" s="348">
        <v>1.24</v>
      </c>
      <c r="D195" s="348">
        <v>1.25</v>
      </c>
      <c r="E195" s="348">
        <v>1.29</v>
      </c>
      <c r="F195" s="348">
        <v>1.34</v>
      </c>
      <c r="G195" s="348">
        <v>1.4</v>
      </c>
      <c r="H195" s="348">
        <v>1.45</v>
      </c>
      <c r="I195" s="348">
        <v>1.51</v>
      </c>
      <c r="J195" s="348">
        <v>1.57</v>
      </c>
      <c r="K195" s="348">
        <v>1.63</v>
      </c>
      <c r="L195" s="348">
        <v>1.69</v>
      </c>
      <c r="M195" s="348">
        <v>1.73</v>
      </c>
      <c r="N195" s="348">
        <v>1.77</v>
      </c>
      <c r="O195" s="348">
        <v>1.81</v>
      </c>
      <c r="P195" s="2281">
        <v>1.84</v>
      </c>
      <c r="Q195" s="348">
        <v>1.85</v>
      </c>
      <c r="R195" s="348">
        <v>1.86</v>
      </c>
      <c r="S195" s="348">
        <v>1.87</v>
      </c>
      <c r="T195" s="348">
        <v>1.87</v>
      </c>
      <c r="U195" s="348">
        <v>1.88</v>
      </c>
      <c r="V195" s="348">
        <v>1.87</v>
      </c>
      <c r="W195" s="348">
        <v>1.86</v>
      </c>
      <c r="X195" s="348">
        <v>1.85</v>
      </c>
      <c r="Y195" s="348">
        <v>1.85</v>
      </c>
      <c r="Z195" s="348">
        <v>1.84</v>
      </c>
      <c r="AA195" s="348">
        <v>1.83</v>
      </c>
      <c r="AB195" s="348">
        <v>1.81</v>
      </c>
      <c r="AC195" s="348">
        <v>1.8</v>
      </c>
      <c r="AD195" s="348">
        <v>1.79</v>
      </c>
      <c r="AE195" s="348">
        <v>1.78</v>
      </c>
      <c r="AF195" s="348">
        <v>1.77</v>
      </c>
      <c r="AG195" s="348">
        <v>1.75</v>
      </c>
      <c r="AH195" s="348">
        <v>1.74</v>
      </c>
      <c r="AI195" s="348">
        <v>1.73</v>
      </c>
      <c r="AJ195" s="348">
        <v>1.72</v>
      </c>
      <c r="AK195" s="348">
        <v>1.71</v>
      </c>
      <c r="AL195" s="348">
        <v>1.7</v>
      </c>
      <c r="AM195" s="348">
        <v>1.69</v>
      </c>
      <c r="AN195" s="348">
        <v>1.68</v>
      </c>
      <c r="AO195" s="348">
        <v>1.67</v>
      </c>
      <c r="AP195" s="348">
        <v>1.66</v>
      </c>
      <c r="AQ195" s="348">
        <v>1.65</v>
      </c>
      <c r="AR195" s="348">
        <v>1.64</v>
      </c>
      <c r="AS195" s="348">
        <v>1.63</v>
      </c>
      <c r="AT195" s="348">
        <v>1.62</v>
      </c>
      <c r="AU195" s="348">
        <v>1.61</v>
      </c>
      <c r="AV195" s="348">
        <v>1.6</v>
      </c>
      <c r="AW195" s="348">
        <v>1.59</v>
      </c>
      <c r="AX195" s="348">
        <v>1.58</v>
      </c>
      <c r="AY195" s="348">
        <v>1.57</v>
      </c>
    </row>
    <row r="196" spans="1:51">
      <c r="A196" s="760">
        <v>45473</v>
      </c>
      <c r="B196" s="348">
        <v>1.27</v>
      </c>
      <c r="C196" s="348">
        <v>1.28</v>
      </c>
      <c r="D196" s="348">
        <v>1.29</v>
      </c>
      <c r="E196" s="348">
        <v>1.33</v>
      </c>
      <c r="F196" s="348">
        <v>1.37</v>
      </c>
      <c r="G196" s="348">
        <v>1.43</v>
      </c>
      <c r="H196" s="348">
        <v>1.48</v>
      </c>
      <c r="I196" s="348">
        <v>1.54</v>
      </c>
      <c r="J196" s="348">
        <v>1.6</v>
      </c>
      <c r="K196" s="348">
        <v>1.66</v>
      </c>
      <c r="L196" s="348">
        <v>1.71</v>
      </c>
      <c r="M196" s="348">
        <v>1.76</v>
      </c>
      <c r="N196" s="348">
        <v>1.79</v>
      </c>
      <c r="O196" s="348">
        <v>1.83</v>
      </c>
      <c r="P196" s="2281">
        <v>1.86</v>
      </c>
      <c r="Q196" s="348">
        <v>1.87</v>
      </c>
      <c r="R196" s="348">
        <v>1.88</v>
      </c>
      <c r="S196" s="348">
        <v>1.88</v>
      </c>
      <c r="T196" s="348">
        <v>1.89</v>
      </c>
      <c r="U196" s="348">
        <v>1.89</v>
      </c>
      <c r="V196" s="348">
        <v>1.88</v>
      </c>
      <c r="W196" s="348">
        <v>1.88</v>
      </c>
      <c r="X196" s="348">
        <v>1.87</v>
      </c>
      <c r="Y196" s="348">
        <v>1.86</v>
      </c>
      <c r="Z196" s="348">
        <v>1.85</v>
      </c>
      <c r="AA196" s="348">
        <v>1.84</v>
      </c>
      <c r="AB196" s="348">
        <v>1.82</v>
      </c>
      <c r="AC196" s="348">
        <v>1.81</v>
      </c>
      <c r="AD196" s="348">
        <v>1.8</v>
      </c>
      <c r="AE196" s="348">
        <v>1.79</v>
      </c>
      <c r="AF196" s="348">
        <v>1.78</v>
      </c>
      <c r="AG196" s="348">
        <v>1.76</v>
      </c>
      <c r="AH196" s="348">
        <v>1.75</v>
      </c>
      <c r="AI196" s="348">
        <v>1.74</v>
      </c>
      <c r="AJ196" s="348">
        <v>1.73</v>
      </c>
      <c r="AK196" s="348">
        <v>1.72</v>
      </c>
      <c r="AL196" s="348">
        <v>1.71</v>
      </c>
      <c r="AM196" s="348">
        <v>1.7</v>
      </c>
      <c r="AN196" s="348">
        <v>1.69</v>
      </c>
      <c r="AO196" s="348">
        <v>1.68</v>
      </c>
      <c r="AP196" s="348">
        <v>1.67</v>
      </c>
      <c r="AQ196" s="348">
        <v>1.66</v>
      </c>
      <c r="AR196" s="348">
        <v>1.64</v>
      </c>
      <c r="AS196" s="348">
        <v>1.63</v>
      </c>
      <c r="AT196" s="348">
        <v>1.62</v>
      </c>
      <c r="AU196" s="348">
        <v>1.61</v>
      </c>
      <c r="AV196" s="348">
        <v>1.61</v>
      </c>
      <c r="AW196" s="348">
        <v>1.6</v>
      </c>
      <c r="AX196" s="348">
        <v>1.59</v>
      </c>
      <c r="AY196" s="348">
        <v>1.58</v>
      </c>
    </row>
    <row r="197" spans="1:51">
      <c r="A197" s="760">
        <v>45504</v>
      </c>
      <c r="B197" s="348">
        <v>1.31</v>
      </c>
      <c r="C197" s="348">
        <v>1.32</v>
      </c>
      <c r="D197" s="348">
        <v>1.32</v>
      </c>
      <c r="E197" s="348">
        <v>1.36</v>
      </c>
      <c r="F197" s="348">
        <v>1.4</v>
      </c>
      <c r="G197" s="348">
        <v>1.45</v>
      </c>
      <c r="H197" s="348">
        <v>1.51</v>
      </c>
      <c r="I197" s="348">
        <v>1.56</v>
      </c>
      <c r="J197" s="348">
        <v>1.62</v>
      </c>
      <c r="K197" s="348">
        <v>1.68</v>
      </c>
      <c r="L197" s="348">
        <v>1.73</v>
      </c>
      <c r="M197" s="348">
        <v>1.77</v>
      </c>
      <c r="N197" s="348">
        <v>1.81</v>
      </c>
      <c r="O197" s="348">
        <v>1.85</v>
      </c>
      <c r="P197" s="2281">
        <v>1.87</v>
      </c>
      <c r="Q197" s="348">
        <v>1.88</v>
      </c>
      <c r="R197" s="348">
        <v>1.89</v>
      </c>
      <c r="S197" s="348">
        <v>1.9</v>
      </c>
      <c r="T197" s="348">
        <v>1.9</v>
      </c>
      <c r="U197" s="348">
        <v>1.91</v>
      </c>
      <c r="V197" s="348">
        <v>1.9</v>
      </c>
      <c r="W197" s="348">
        <v>1.89</v>
      </c>
      <c r="X197" s="348">
        <v>1.88</v>
      </c>
      <c r="Y197" s="348">
        <v>1.87</v>
      </c>
      <c r="Z197" s="348">
        <v>1.86</v>
      </c>
      <c r="AA197" s="348">
        <v>1.85</v>
      </c>
      <c r="AB197" s="348">
        <v>1.83</v>
      </c>
      <c r="AC197" s="348">
        <v>1.82</v>
      </c>
      <c r="AD197" s="348">
        <v>1.81</v>
      </c>
      <c r="AE197" s="348">
        <v>1.8</v>
      </c>
      <c r="AF197" s="348">
        <v>1.78</v>
      </c>
      <c r="AG197" s="348">
        <v>1.77</v>
      </c>
      <c r="AH197" s="348">
        <v>1.76</v>
      </c>
      <c r="AI197" s="348">
        <v>1.75</v>
      </c>
      <c r="AJ197" s="348">
        <v>1.73</v>
      </c>
      <c r="AK197" s="348">
        <v>1.72</v>
      </c>
      <c r="AL197" s="348">
        <v>1.71</v>
      </c>
      <c r="AM197" s="348">
        <v>1.7</v>
      </c>
      <c r="AN197" s="348">
        <v>1.69</v>
      </c>
      <c r="AO197" s="348">
        <v>1.69</v>
      </c>
      <c r="AP197" s="348">
        <v>1.67</v>
      </c>
      <c r="AQ197" s="348">
        <v>1.66</v>
      </c>
      <c r="AR197" s="348">
        <v>1.65</v>
      </c>
      <c r="AS197" s="348">
        <v>1.64</v>
      </c>
      <c r="AT197" s="348">
        <v>1.63</v>
      </c>
      <c r="AU197" s="348">
        <v>1.62</v>
      </c>
      <c r="AV197" s="348">
        <v>1.61</v>
      </c>
      <c r="AW197" s="348">
        <v>1.6</v>
      </c>
      <c r="AX197" s="348">
        <v>1.59</v>
      </c>
      <c r="AY197" s="348">
        <v>1.59</v>
      </c>
    </row>
    <row r="198" spans="1:51">
      <c r="A198" s="760">
        <v>45535</v>
      </c>
      <c r="B198" s="348">
        <v>1.35</v>
      </c>
      <c r="C198" s="348">
        <v>1.35</v>
      </c>
      <c r="D198" s="348">
        <v>1.36</v>
      </c>
      <c r="E198" s="348">
        <v>1.39</v>
      </c>
      <c r="F198" s="348">
        <v>1.43</v>
      </c>
      <c r="G198" s="348">
        <v>1.48</v>
      </c>
      <c r="H198" s="348">
        <v>1.53</v>
      </c>
      <c r="I198" s="348">
        <v>1.59</v>
      </c>
      <c r="J198" s="348">
        <v>1.64</v>
      </c>
      <c r="K198" s="348">
        <v>1.7</v>
      </c>
      <c r="L198" s="348">
        <v>1.75</v>
      </c>
      <c r="M198" s="348">
        <v>1.79</v>
      </c>
      <c r="N198" s="348">
        <v>1.83</v>
      </c>
      <c r="O198" s="348">
        <v>1.86</v>
      </c>
      <c r="P198" s="2281">
        <v>1.89</v>
      </c>
      <c r="Q198" s="348">
        <v>1.9</v>
      </c>
      <c r="R198" s="348">
        <v>1.91</v>
      </c>
      <c r="S198" s="348">
        <v>1.91</v>
      </c>
      <c r="T198" s="348">
        <v>1.92</v>
      </c>
      <c r="U198" s="348">
        <v>1.92</v>
      </c>
      <c r="V198" s="348">
        <v>1.91</v>
      </c>
      <c r="W198" s="348">
        <v>1.9</v>
      </c>
      <c r="X198" s="348">
        <v>1.89</v>
      </c>
      <c r="Y198" s="348">
        <v>1.88</v>
      </c>
      <c r="Z198" s="348">
        <v>1.88</v>
      </c>
      <c r="AA198" s="348">
        <v>1.86</v>
      </c>
      <c r="AB198" s="348">
        <v>1.85</v>
      </c>
      <c r="AC198" s="348">
        <v>1.83</v>
      </c>
      <c r="AD198" s="348">
        <v>1.82</v>
      </c>
      <c r="AE198" s="348">
        <v>1.81</v>
      </c>
      <c r="AF198" s="348">
        <v>1.8</v>
      </c>
      <c r="AG198" s="348">
        <v>1.78</v>
      </c>
      <c r="AH198" s="348">
        <v>1.77</v>
      </c>
      <c r="AI198" s="348">
        <v>1.76</v>
      </c>
      <c r="AJ198" s="348">
        <v>1.74</v>
      </c>
      <c r="AK198" s="348">
        <v>1.73</v>
      </c>
      <c r="AL198" s="348">
        <v>1.72</v>
      </c>
      <c r="AM198" s="348">
        <v>1.71</v>
      </c>
      <c r="AN198" s="348">
        <v>1.7</v>
      </c>
      <c r="AO198" s="348">
        <v>1.7</v>
      </c>
      <c r="AP198" s="348">
        <v>1.68</v>
      </c>
      <c r="AQ198" s="348">
        <v>1.67</v>
      </c>
      <c r="AR198" s="348">
        <v>1.66</v>
      </c>
      <c r="AS198" s="348">
        <v>1.65</v>
      </c>
      <c r="AT198" s="348">
        <v>1.64</v>
      </c>
      <c r="AU198" s="348">
        <v>1.63</v>
      </c>
      <c r="AV198" s="348">
        <v>1.62</v>
      </c>
      <c r="AW198" s="348">
        <v>1.61</v>
      </c>
      <c r="AX198" s="348">
        <v>1.6</v>
      </c>
      <c r="AY198" s="348">
        <v>1.59</v>
      </c>
    </row>
    <row r="199" spans="1:51">
      <c r="A199" s="760">
        <v>45565</v>
      </c>
      <c r="B199" s="348">
        <v>1.39</v>
      </c>
      <c r="C199" s="348">
        <v>1.38</v>
      </c>
      <c r="D199" s="348">
        <v>1.39</v>
      </c>
      <c r="E199" s="348">
        <v>1.42</v>
      </c>
      <c r="F199" s="348">
        <v>1.46</v>
      </c>
      <c r="G199" s="348">
        <v>1.51</v>
      </c>
      <c r="H199" s="348">
        <v>1.56</v>
      </c>
      <c r="I199" s="348">
        <v>1.61</v>
      </c>
      <c r="J199" s="348">
        <v>1.67</v>
      </c>
      <c r="K199" s="348">
        <v>1.72</v>
      </c>
      <c r="L199" s="348">
        <v>1.77</v>
      </c>
      <c r="M199" s="348">
        <v>1.81</v>
      </c>
      <c r="N199" s="348">
        <v>1.85</v>
      </c>
      <c r="O199" s="348">
        <v>1.88</v>
      </c>
      <c r="P199" s="2281">
        <v>1.91</v>
      </c>
      <c r="Q199" s="348">
        <v>1.92</v>
      </c>
      <c r="R199" s="348">
        <v>1.92</v>
      </c>
      <c r="S199" s="348">
        <v>1.93</v>
      </c>
      <c r="T199" s="348">
        <v>1.93</v>
      </c>
      <c r="U199" s="348">
        <v>1.94</v>
      </c>
      <c r="V199" s="348">
        <v>1.93</v>
      </c>
      <c r="W199" s="348">
        <v>1.92</v>
      </c>
      <c r="X199" s="348">
        <v>1.91</v>
      </c>
      <c r="Y199" s="348">
        <v>1.9</v>
      </c>
      <c r="Z199" s="348">
        <v>1.89</v>
      </c>
      <c r="AA199" s="348">
        <v>1.87</v>
      </c>
      <c r="AB199" s="348">
        <v>1.86</v>
      </c>
      <c r="AC199" s="348">
        <v>1.84</v>
      </c>
      <c r="AD199" s="348">
        <v>1.83</v>
      </c>
      <c r="AE199" s="348">
        <v>1.82</v>
      </c>
      <c r="AF199" s="348">
        <v>1.81</v>
      </c>
      <c r="AG199" s="348">
        <v>1.79</v>
      </c>
      <c r="AH199" s="348">
        <v>1.78</v>
      </c>
      <c r="AI199" s="348">
        <v>1.77</v>
      </c>
      <c r="AJ199" s="348">
        <v>1.75</v>
      </c>
      <c r="AK199" s="348">
        <v>1.74</v>
      </c>
      <c r="AL199" s="348">
        <v>1.73</v>
      </c>
      <c r="AM199" s="348">
        <v>1.72</v>
      </c>
      <c r="AN199" s="348">
        <v>1.71</v>
      </c>
      <c r="AO199" s="348">
        <v>1.7</v>
      </c>
      <c r="AP199" s="348">
        <v>1.69</v>
      </c>
      <c r="AQ199" s="348">
        <v>1.68</v>
      </c>
      <c r="AR199" s="348">
        <v>1.67</v>
      </c>
      <c r="AS199" s="348">
        <v>1.66</v>
      </c>
      <c r="AT199" s="348">
        <v>1.65</v>
      </c>
      <c r="AU199" s="348">
        <v>1.64</v>
      </c>
      <c r="AV199" s="348">
        <v>1.63</v>
      </c>
      <c r="AW199" s="348">
        <v>1.62</v>
      </c>
      <c r="AX199" s="348">
        <v>1.61</v>
      </c>
      <c r="AY199" s="348">
        <v>1.6</v>
      </c>
    </row>
    <row r="200" spans="1:51">
      <c r="A200" s="760">
        <v>45596</v>
      </c>
      <c r="B200" s="348">
        <v>1.43</v>
      </c>
      <c r="C200" s="348">
        <v>1.42</v>
      </c>
      <c r="D200" s="348">
        <v>1.42</v>
      </c>
      <c r="E200" s="348">
        <v>1.45</v>
      </c>
      <c r="F200" s="348">
        <v>1.49</v>
      </c>
      <c r="G200" s="348">
        <v>1.54</v>
      </c>
      <c r="H200" s="348">
        <v>1.58</v>
      </c>
      <c r="I200" s="348">
        <v>1.64</v>
      </c>
      <c r="J200" s="348">
        <v>1.69</v>
      </c>
      <c r="K200" s="348">
        <v>1.74</v>
      </c>
      <c r="L200" s="348">
        <v>1.79</v>
      </c>
      <c r="M200" s="348">
        <v>1.83</v>
      </c>
      <c r="N200" s="348">
        <v>1.87</v>
      </c>
      <c r="O200" s="348">
        <v>1.9</v>
      </c>
      <c r="P200" s="2281">
        <v>1.93</v>
      </c>
      <c r="Q200" s="348">
        <v>1.93</v>
      </c>
      <c r="R200" s="348">
        <v>1.94</v>
      </c>
      <c r="S200" s="348">
        <v>1.94</v>
      </c>
      <c r="T200" s="348">
        <v>1.95</v>
      </c>
      <c r="U200" s="348">
        <v>1.95</v>
      </c>
      <c r="V200" s="348">
        <v>1.94</v>
      </c>
      <c r="W200" s="348">
        <v>1.93</v>
      </c>
      <c r="X200" s="348">
        <v>1.92</v>
      </c>
      <c r="Y200" s="348">
        <v>1.91</v>
      </c>
      <c r="Z200" s="348">
        <v>1.9</v>
      </c>
      <c r="AA200" s="348">
        <v>1.88</v>
      </c>
      <c r="AB200" s="348">
        <v>1.87</v>
      </c>
      <c r="AC200" s="348">
        <v>1.86</v>
      </c>
      <c r="AD200" s="348">
        <v>1.84</v>
      </c>
      <c r="AE200" s="348">
        <v>1.83</v>
      </c>
      <c r="AF200" s="348">
        <v>1.82</v>
      </c>
      <c r="AG200" s="348">
        <v>1.8</v>
      </c>
      <c r="AH200" s="348">
        <v>1.79</v>
      </c>
      <c r="AI200" s="348">
        <v>1.77</v>
      </c>
      <c r="AJ200" s="348">
        <v>1.76</v>
      </c>
      <c r="AK200" s="348">
        <v>1.75</v>
      </c>
      <c r="AL200" s="348">
        <v>1.74</v>
      </c>
      <c r="AM200" s="348">
        <v>1.73</v>
      </c>
      <c r="AN200" s="348">
        <v>1.72</v>
      </c>
      <c r="AO200" s="348">
        <v>1.71</v>
      </c>
      <c r="AP200" s="348">
        <v>1.7</v>
      </c>
      <c r="AQ200" s="348">
        <v>1.69</v>
      </c>
      <c r="AR200" s="348">
        <v>1.67</v>
      </c>
      <c r="AS200" s="348">
        <v>1.66</v>
      </c>
      <c r="AT200" s="348">
        <v>1.65</v>
      </c>
      <c r="AU200" s="348">
        <v>1.64</v>
      </c>
      <c r="AV200" s="348">
        <v>1.63</v>
      </c>
      <c r="AW200" s="348">
        <v>1.62</v>
      </c>
      <c r="AX200" s="348">
        <v>1.61</v>
      </c>
      <c r="AY200" s="348">
        <v>1.61</v>
      </c>
    </row>
    <row r="201" spans="1:51">
      <c r="A201" s="114">
        <v>45626</v>
      </c>
      <c r="B201" s="71">
        <v>1.46</v>
      </c>
      <c r="C201" s="71">
        <v>1.45</v>
      </c>
      <c r="D201" s="71">
        <v>1.45</v>
      </c>
      <c r="E201" s="71">
        <v>1.48</v>
      </c>
      <c r="F201" s="71">
        <v>1.52</v>
      </c>
      <c r="G201" s="71">
        <v>1.56</v>
      </c>
      <c r="H201" s="71">
        <v>1.61</v>
      </c>
      <c r="I201" s="71">
        <v>1.66</v>
      </c>
      <c r="J201" s="71">
        <v>1.71</v>
      </c>
      <c r="K201" s="71">
        <v>1.76</v>
      </c>
      <c r="L201" s="71">
        <v>1.81</v>
      </c>
      <c r="M201" s="71">
        <v>1.85</v>
      </c>
      <c r="N201" s="71">
        <v>1.89</v>
      </c>
      <c r="O201" s="71">
        <v>1.92</v>
      </c>
      <c r="P201" s="2278">
        <v>1.94</v>
      </c>
      <c r="Q201" s="71">
        <v>1.95</v>
      </c>
      <c r="R201" s="71">
        <v>1.95</v>
      </c>
      <c r="S201" s="71">
        <v>1.96</v>
      </c>
      <c r="T201" s="71">
        <v>1.96</v>
      </c>
      <c r="U201" s="71">
        <v>1.97</v>
      </c>
      <c r="V201" s="71">
        <v>1.95</v>
      </c>
      <c r="W201" s="71">
        <v>1.94</v>
      </c>
      <c r="X201" s="71">
        <v>1.93</v>
      </c>
      <c r="Y201" s="71">
        <v>1.92</v>
      </c>
      <c r="Z201" s="71">
        <v>1.91</v>
      </c>
      <c r="AA201" s="71">
        <v>1.89</v>
      </c>
      <c r="AB201" s="71">
        <v>1.88</v>
      </c>
      <c r="AC201" s="71">
        <v>1.87</v>
      </c>
      <c r="AD201" s="71">
        <v>1.85</v>
      </c>
      <c r="AE201" s="71">
        <v>1.84</v>
      </c>
      <c r="AF201" s="71">
        <v>1.82</v>
      </c>
      <c r="AG201" s="71">
        <v>1.81</v>
      </c>
      <c r="AH201" s="71">
        <v>1.79</v>
      </c>
      <c r="AI201" s="71">
        <v>1.78</v>
      </c>
      <c r="AJ201" s="71">
        <v>1.77</v>
      </c>
      <c r="AK201" s="71">
        <v>1.76</v>
      </c>
      <c r="AL201" s="71">
        <v>1.75</v>
      </c>
      <c r="AM201" s="71">
        <v>1.74</v>
      </c>
      <c r="AN201" s="71">
        <v>1.73</v>
      </c>
      <c r="AO201" s="71">
        <v>1.72</v>
      </c>
      <c r="AP201" s="71">
        <v>1.7</v>
      </c>
      <c r="AQ201" s="71">
        <v>1.69</v>
      </c>
      <c r="AR201" s="71">
        <v>1.68</v>
      </c>
      <c r="AS201" s="71">
        <v>1.67</v>
      </c>
      <c r="AT201" s="71">
        <v>1.66</v>
      </c>
      <c r="AU201" s="71">
        <v>1.65</v>
      </c>
      <c r="AV201" s="71">
        <v>1.64</v>
      </c>
      <c r="AW201" s="71">
        <v>1.63</v>
      </c>
      <c r="AX201" s="71">
        <v>1.62</v>
      </c>
      <c r="AY201" s="71">
        <v>1.61</v>
      </c>
    </row>
    <row r="202" spans="1:51">
      <c r="A202" s="115">
        <v>45657</v>
      </c>
      <c r="B202" s="71">
        <v>1.5</v>
      </c>
      <c r="C202" s="71">
        <v>1.48</v>
      </c>
      <c r="D202" s="71">
        <v>1.48</v>
      </c>
      <c r="E202" s="71">
        <v>1.51</v>
      </c>
      <c r="F202" s="71">
        <v>1.54</v>
      </c>
      <c r="G202" s="71">
        <v>1.59</v>
      </c>
      <c r="H202" s="71">
        <v>1.63</v>
      </c>
      <c r="I202" s="71">
        <v>1.68</v>
      </c>
      <c r="J202" s="71">
        <v>1.73</v>
      </c>
      <c r="K202" s="71">
        <v>1.79</v>
      </c>
      <c r="L202" s="71">
        <v>1.83</v>
      </c>
      <c r="M202" s="71">
        <v>1.87</v>
      </c>
      <c r="N202" s="71">
        <v>1.91</v>
      </c>
      <c r="O202" s="71">
        <v>1.94</v>
      </c>
      <c r="P202" s="2278">
        <v>1.96</v>
      </c>
      <c r="Q202" s="71">
        <v>1.97</v>
      </c>
      <c r="R202" s="71">
        <v>1.97</v>
      </c>
      <c r="S202" s="71">
        <v>1.98</v>
      </c>
      <c r="T202" s="71">
        <v>1.98</v>
      </c>
      <c r="U202" s="71">
        <v>1.98</v>
      </c>
      <c r="V202" s="71">
        <v>1.97</v>
      </c>
      <c r="W202" s="71">
        <v>1.96</v>
      </c>
      <c r="X202" s="71">
        <v>1.94</v>
      </c>
      <c r="Y202" s="71">
        <v>1.93</v>
      </c>
      <c r="Z202" s="71">
        <v>1.93</v>
      </c>
      <c r="AA202" s="71">
        <v>1.91</v>
      </c>
      <c r="AB202" s="71">
        <v>1.89</v>
      </c>
      <c r="AC202" s="71">
        <v>1.88</v>
      </c>
      <c r="AD202" s="71">
        <v>1.86</v>
      </c>
      <c r="AE202" s="71">
        <v>1.85</v>
      </c>
      <c r="AF202" s="71">
        <v>1.84</v>
      </c>
      <c r="AG202" s="71">
        <v>1.82</v>
      </c>
      <c r="AH202" s="71">
        <v>1.81</v>
      </c>
      <c r="AI202" s="71">
        <v>1.79</v>
      </c>
      <c r="AJ202" s="71">
        <v>1.78</v>
      </c>
      <c r="AK202" s="71">
        <v>1.77</v>
      </c>
      <c r="AL202" s="71">
        <v>1.76</v>
      </c>
      <c r="AM202" s="71">
        <v>1.75</v>
      </c>
      <c r="AN202" s="71">
        <v>1.74</v>
      </c>
      <c r="AO202" s="71">
        <v>1.73</v>
      </c>
      <c r="AP202" s="71">
        <v>1.71</v>
      </c>
      <c r="AQ202" s="71">
        <v>1.7</v>
      </c>
      <c r="AR202" s="71">
        <v>1.69</v>
      </c>
      <c r="AS202" s="71">
        <v>1.68</v>
      </c>
      <c r="AT202" s="71">
        <v>1.67</v>
      </c>
      <c r="AU202" s="71">
        <v>1.66</v>
      </c>
      <c r="AV202" s="71">
        <v>1.65</v>
      </c>
      <c r="AW202" s="71">
        <v>1.64</v>
      </c>
      <c r="AX202" s="71">
        <v>1.63</v>
      </c>
      <c r="AY202" s="71">
        <v>1.62</v>
      </c>
    </row>
    <row r="203" spans="1:51">
      <c r="A203" s="760">
        <v>45688</v>
      </c>
      <c r="B203" s="348">
        <v>1.54</v>
      </c>
      <c r="C203" s="348">
        <v>1.52</v>
      </c>
      <c r="D203" s="348">
        <v>1.51</v>
      </c>
      <c r="E203" s="348">
        <v>1.53</v>
      </c>
      <c r="F203" s="348">
        <v>1.57</v>
      </c>
      <c r="G203" s="348">
        <v>1.61</v>
      </c>
      <c r="H203" s="348">
        <v>1.66</v>
      </c>
      <c r="I203" s="348">
        <v>1.71</v>
      </c>
      <c r="J203" s="348">
        <v>1.76</v>
      </c>
      <c r="K203" s="348">
        <v>1.81</v>
      </c>
      <c r="L203" s="348">
        <v>1.85</v>
      </c>
      <c r="M203" s="348">
        <v>1.89</v>
      </c>
      <c r="N203" s="348">
        <v>1.93</v>
      </c>
      <c r="O203" s="348">
        <v>1.96</v>
      </c>
      <c r="P203" s="2281">
        <v>1.98</v>
      </c>
      <c r="Q203" s="348">
        <v>1.98</v>
      </c>
      <c r="R203" s="348">
        <v>1.99</v>
      </c>
      <c r="S203" s="348">
        <v>1.99</v>
      </c>
      <c r="T203" s="348">
        <v>1.99</v>
      </c>
      <c r="U203" s="348">
        <v>2</v>
      </c>
      <c r="V203" s="348">
        <v>1.98</v>
      </c>
      <c r="W203" s="348">
        <v>1.97</v>
      </c>
      <c r="X203" s="348">
        <v>1.96</v>
      </c>
      <c r="Y203" s="348">
        <v>1.95</v>
      </c>
      <c r="Z203" s="348">
        <v>1.94</v>
      </c>
      <c r="AA203" s="348">
        <v>1.92</v>
      </c>
      <c r="AB203" s="348">
        <v>1.9</v>
      </c>
      <c r="AC203" s="348">
        <v>1.89</v>
      </c>
      <c r="AD203" s="348">
        <v>1.88</v>
      </c>
      <c r="AE203" s="348">
        <v>1.86</v>
      </c>
      <c r="AF203" s="348">
        <v>1.85</v>
      </c>
      <c r="AG203" s="348">
        <v>1.83</v>
      </c>
      <c r="AH203" s="348">
        <v>1.82</v>
      </c>
      <c r="AI203" s="348">
        <v>1.8</v>
      </c>
      <c r="AJ203" s="348">
        <v>1.79</v>
      </c>
      <c r="AK203" s="348">
        <v>1.78</v>
      </c>
      <c r="AL203" s="348">
        <v>1.77</v>
      </c>
      <c r="AM203" s="348">
        <v>1.76</v>
      </c>
      <c r="AN203" s="348">
        <v>1.75</v>
      </c>
      <c r="AO203" s="348">
        <v>1.74</v>
      </c>
      <c r="AP203" s="348">
        <v>1.72</v>
      </c>
      <c r="AQ203" s="348">
        <v>1.71</v>
      </c>
      <c r="AR203" s="348">
        <v>1.7</v>
      </c>
      <c r="AS203" s="348">
        <v>1.69</v>
      </c>
      <c r="AT203" s="348">
        <v>1.68</v>
      </c>
      <c r="AU203" s="348">
        <v>1.66</v>
      </c>
      <c r="AV203" s="348">
        <v>1.65</v>
      </c>
      <c r="AW203" s="348">
        <v>1.64</v>
      </c>
      <c r="AX203" s="348">
        <v>1.64</v>
      </c>
      <c r="AY203" s="348">
        <v>1.63</v>
      </c>
    </row>
    <row r="204" spans="1:51">
      <c r="A204" s="760">
        <v>45716</v>
      </c>
      <c r="B204" s="348">
        <v>1.57</v>
      </c>
      <c r="C204" s="348">
        <v>1.55</v>
      </c>
      <c r="D204" s="348">
        <v>1.54</v>
      </c>
      <c r="E204" s="348">
        <v>1.56</v>
      </c>
      <c r="F204" s="348">
        <v>1.6</v>
      </c>
      <c r="G204" s="348">
        <v>1.64</v>
      </c>
      <c r="H204" s="348">
        <v>1.68</v>
      </c>
      <c r="I204" s="348">
        <v>1.73</v>
      </c>
      <c r="J204" s="348">
        <v>1.78</v>
      </c>
      <c r="K204" s="348">
        <v>1.83</v>
      </c>
      <c r="L204" s="348">
        <v>1.87</v>
      </c>
      <c r="M204" s="348">
        <v>1.91</v>
      </c>
      <c r="N204" s="348">
        <v>1.94</v>
      </c>
      <c r="O204" s="348">
        <v>1.97</v>
      </c>
      <c r="P204" s="2281">
        <v>2</v>
      </c>
      <c r="Q204" s="348">
        <v>2</v>
      </c>
      <c r="R204" s="348">
        <v>2</v>
      </c>
      <c r="S204" s="348">
        <v>2.0099999999999998</v>
      </c>
      <c r="T204" s="348">
        <v>2.0099999999999998</v>
      </c>
      <c r="U204" s="348">
        <v>2.0099999999999998</v>
      </c>
      <c r="V204" s="348">
        <v>2</v>
      </c>
      <c r="W204" s="348">
        <v>1.98</v>
      </c>
      <c r="X204" s="348">
        <v>1.97</v>
      </c>
      <c r="Y204" s="348">
        <v>1.96</v>
      </c>
      <c r="Z204" s="348">
        <v>1.95</v>
      </c>
      <c r="AA204" s="348">
        <v>1.93</v>
      </c>
      <c r="AB204" s="348">
        <v>1.92</v>
      </c>
      <c r="AC204" s="348">
        <v>1.9</v>
      </c>
      <c r="AD204" s="348">
        <v>1.89</v>
      </c>
      <c r="AE204" s="348">
        <v>1.87</v>
      </c>
      <c r="AF204" s="348">
        <v>1.86</v>
      </c>
      <c r="AG204" s="348">
        <v>1.84</v>
      </c>
      <c r="AH204" s="348">
        <v>1.83</v>
      </c>
      <c r="AI204" s="348">
        <v>1.81</v>
      </c>
      <c r="AJ204" s="348">
        <v>1.8</v>
      </c>
      <c r="AK204" s="348">
        <v>1.79</v>
      </c>
      <c r="AL204" s="348">
        <v>1.78</v>
      </c>
      <c r="AM204" s="348">
        <v>1.77</v>
      </c>
      <c r="AN204" s="348">
        <v>1.76</v>
      </c>
      <c r="AO204" s="348">
        <v>1.75</v>
      </c>
      <c r="AP204" s="348">
        <v>1.73</v>
      </c>
      <c r="AQ204" s="348">
        <v>1.72</v>
      </c>
      <c r="AR204" s="348">
        <v>1.71</v>
      </c>
      <c r="AS204" s="348">
        <v>1.7</v>
      </c>
      <c r="AT204" s="348">
        <v>1.69</v>
      </c>
      <c r="AU204" s="348">
        <v>1.68</v>
      </c>
      <c r="AV204" s="348">
        <v>1.66</v>
      </c>
      <c r="AW204" s="348">
        <v>1.65</v>
      </c>
      <c r="AX204" s="348">
        <v>1.65</v>
      </c>
      <c r="AY204" s="348">
        <v>1.64</v>
      </c>
    </row>
    <row r="205" spans="1:51">
      <c r="A205" s="760">
        <v>45747</v>
      </c>
      <c r="B205" s="348">
        <v>1.61</v>
      </c>
      <c r="C205" s="348">
        <v>1.58</v>
      </c>
      <c r="D205" s="348">
        <v>1.57</v>
      </c>
      <c r="E205" s="348">
        <v>1.59</v>
      </c>
      <c r="F205" s="348">
        <v>1.63</v>
      </c>
      <c r="G205" s="348">
        <v>1.67</v>
      </c>
      <c r="H205" s="348">
        <v>1.71</v>
      </c>
      <c r="I205" s="348">
        <v>1.76</v>
      </c>
      <c r="J205" s="348">
        <v>1.8</v>
      </c>
      <c r="K205" s="348">
        <v>1.85</v>
      </c>
      <c r="L205" s="348">
        <v>1.9</v>
      </c>
      <c r="M205" s="348">
        <v>1.93</v>
      </c>
      <c r="N205" s="348">
        <v>1.97</v>
      </c>
      <c r="O205" s="348">
        <v>1.99</v>
      </c>
      <c r="P205" s="2281">
        <v>2.02</v>
      </c>
      <c r="Q205" s="348">
        <v>2.02</v>
      </c>
      <c r="R205" s="348">
        <v>2.02</v>
      </c>
      <c r="S205" s="348">
        <v>2.0299999999999998</v>
      </c>
      <c r="T205" s="348">
        <v>2.0299999999999998</v>
      </c>
      <c r="U205" s="348">
        <v>2.0299999999999998</v>
      </c>
      <c r="V205" s="348">
        <v>2.02</v>
      </c>
      <c r="W205" s="348">
        <v>2</v>
      </c>
      <c r="X205" s="348">
        <v>1.99</v>
      </c>
      <c r="Y205" s="348">
        <v>1.98</v>
      </c>
      <c r="Z205" s="348">
        <v>1.97</v>
      </c>
      <c r="AA205" s="348">
        <v>1.95</v>
      </c>
      <c r="AB205" s="348">
        <v>1.93</v>
      </c>
      <c r="AC205" s="348">
        <v>1.92</v>
      </c>
      <c r="AD205" s="348">
        <v>1.91</v>
      </c>
      <c r="AE205" s="348">
        <v>1.89</v>
      </c>
      <c r="AF205" s="348">
        <v>1.88</v>
      </c>
      <c r="AG205" s="348">
        <v>1.86</v>
      </c>
      <c r="AH205" s="348">
        <v>1.85</v>
      </c>
      <c r="AI205" s="348">
        <v>1.83</v>
      </c>
      <c r="AJ205" s="348">
        <v>1.82</v>
      </c>
      <c r="AK205" s="348">
        <v>1.81</v>
      </c>
      <c r="AL205" s="348">
        <v>1.8</v>
      </c>
      <c r="AM205" s="348">
        <v>1.78</v>
      </c>
      <c r="AN205" s="348">
        <v>1.77</v>
      </c>
      <c r="AO205" s="348">
        <v>1.76</v>
      </c>
      <c r="AP205" s="348">
        <v>1.75</v>
      </c>
      <c r="AQ205" s="348">
        <v>1.74</v>
      </c>
      <c r="AR205" s="348">
        <v>1.72</v>
      </c>
      <c r="AS205" s="348">
        <v>1.71</v>
      </c>
      <c r="AT205" s="348">
        <v>1.7</v>
      </c>
      <c r="AU205" s="348">
        <v>1.69</v>
      </c>
      <c r="AV205" s="348">
        <v>1.68</v>
      </c>
      <c r="AW205" s="348">
        <v>1.67</v>
      </c>
      <c r="AX205" s="348">
        <v>1.66</v>
      </c>
      <c r="AY205" s="348">
        <v>1.65</v>
      </c>
    </row>
    <row r="206" spans="1:51">
      <c r="A206" s="760">
        <v>45777</v>
      </c>
      <c r="B206" s="348">
        <v>1.64</v>
      </c>
      <c r="C206" s="348">
        <v>1.61</v>
      </c>
      <c r="D206" s="348">
        <v>1.6</v>
      </c>
      <c r="E206" s="348">
        <v>1.62</v>
      </c>
      <c r="F206" s="348">
        <v>1.65</v>
      </c>
      <c r="G206" s="348">
        <v>1.69</v>
      </c>
      <c r="H206" s="348">
        <v>1.73</v>
      </c>
      <c r="I206" s="348">
        <v>1.78</v>
      </c>
      <c r="J206" s="348">
        <v>1.83</v>
      </c>
      <c r="K206" s="348">
        <v>1.87</v>
      </c>
      <c r="L206" s="348">
        <v>1.92</v>
      </c>
      <c r="M206" s="348">
        <v>1.96</v>
      </c>
      <c r="N206" s="348">
        <v>1.99</v>
      </c>
      <c r="O206" s="348">
        <v>2.02</v>
      </c>
      <c r="P206" s="2281">
        <v>2.04</v>
      </c>
      <c r="Q206" s="348">
        <v>2.04</v>
      </c>
      <c r="R206" s="348">
        <v>2.04</v>
      </c>
      <c r="S206" s="348">
        <v>2.0499999999999998</v>
      </c>
      <c r="T206" s="348">
        <v>2.0499999999999998</v>
      </c>
      <c r="U206" s="348">
        <v>2.0499999999999998</v>
      </c>
      <c r="V206" s="348">
        <v>2.0299999999999998</v>
      </c>
      <c r="W206" s="348">
        <v>2.02</v>
      </c>
      <c r="X206" s="348">
        <v>2.0099999999999998</v>
      </c>
      <c r="Y206" s="348">
        <v>2</v>
      </c>
      <c r="Z206" s="348">
        <v>1.99</v>
      </c>
      <c r="AA206" s="348">
        <v>1.97</v>
      </c>
      <c r="AB206" s="348">
        <v>1.95</v>
      </c>
      <c r="AC206" s="348">
        <v>1.94</v>
      </c>
      <c r="AD206" s="348">
        <v>1.92</v>
      </c>
      <c r="AE206" s="348">
        <v>1.91</v>
      </c>
      <c r="AF206" s="348">
        <v>1.89</v>
      </c>
      <c r="AG206" s="348">
        <v>1.88</v>
      </c>
      <c r="AH206" s="348">
        <v>1.86</v>
      </c>
      <c r="AI206" s="348">
        <v>1.85</v>
      </c>
      <c r="AJ206" s="348">
        <v>1.83</v>
      </c>
      <c r="AK206" s="348">
        <v>1.82</v>
      </c>
      <c r="AL206" s="348">
        <v>1.81</v>
      </c>
      <c r="AM206" s="348">
        <v>1.8</v>
      </c>
      <c r="AN206" s="348">
        <v>1.79</v>
      </c>
      <c r="AO206" s="348">
        <v>1.78</v>
      </c>
      <c r="AP206" s="348">
        <v>1.76</v>
      </c>
      <c r="AQ206" s="348">
        <v>1.75</v>
      </c>
      <c r="AR206" s="348">
        <v>1.74</v>
      </c>
      <c r="AS206" s="348">
        <v>1.73</v>
      </c>
      <c r="AT206" s="348">
        <v>1.72</v>
      </c>
      <c r="AU206" s="348">
        <v>1.71</v>
      </c>
      <c r="AV206" s="348">
        <v>1.69</v>
      </c>
      <c r="AW206" s="348">
        <v>1.68</v>
      </c>
      <c r="AX206" s="348">
        <v>1.68</v>
      </c>
      <c r="AY206" s="348">
        <v>1.67</v>
      </c>
    </row>
    <row r="207" spans="1:51">
      <c r="A207" s="760">
        <v>45808</v>
      </c>
      <c r="B207" s="348">
        <v>1.67</v>
      </c>
      <c r="C207" s="348">
        <v>1.64</v>
      </c>
      <c r="D207" s="348">
        <v>1.63</v>
      </c>
      <c r="E207" s="348">
        <v>1.65</v>
      </c>
      <c r="F207" s="348">
        <v>1.68</v>
      </c>
      <c r="G207" s="348">
        <v>1.72</v>
      </c>
      <c r="H207" s="348">
        <v>1.76</v>
      </c>
      <c r="I207" s="348">
        <v>1.8</v>
      </c>
      <c r="J207" s="348">
        <v>1.85</v>
      </c>
      <c r="K207" s="348">
        <v>1.9</v>
      </c>
      <c r="L207" s="348">
        <v>1.94</v>
      </c>
      <c r="M207" s="348">
        <v>1.98</v>
      </c>
      <c r="N207" s="348">
        <v>2.0099999999999998</v>
      </c>
      <c r="O207" s="348">
        <v>2.04</v>
      </c>
      <c r="P207" s="2281">
        <v>2.06</v>
      </c>
      <c r="Q207" s="348">
        <v>2.06</v>
      </c>
      <c r="R207" s="348">
        <v>2.06</v>
      </c>
      <c r="S207" s="348">
        <v>2.0699999999999998</v>
      </c>
      <c r="T207" s="348">
        <v>2.0699999999999998</v>
      </c>
      <c r="U207" s="348">
        <v>2.0699999999999998</v>
      </c>
      <c r="V207" s="348">
        <v>2.0499999999999998</v>
      </c>
      <c r="W207" s="348">
        <v>2.04</v>
      </c>
      <c r="X207" s="348">
        <v>2.0299999999999998</v>
      </c>
      <c r="Y207" s="348">
        <v>2.0099999999999998</v>
      </c>
      <c r="Z207" s="348">
        <v>2</v>
      </c>
      <c r="AA207" s="348">
        <v>1.99</v>
      </c>
      <c r="AB207" s="348">
        <v>1.97</v>
      </c>
      <c r="AC207" s="348">
        <v>1.95</v>
      </c>
      <c r="AD207" s="348">
        <v>1.94</v>
      </c>
      <c r="AE207" s="348">
        <v>1.92</v>
      </c>
      <c r="AF207" s="348">
        <v>1.91</v>
      </c>
      <c r="AG207" s="348">
        <v>1.89</v>
      </c>
      <c r="AH207" s="348">
        <v>1.88</v>
      </c>
      <c r="AI207" s="348">
        <v>1.86</v>
      </c>
      <c r="AJ207" s="348">
        <v>1.85</v>
      </c>
      <c r="AK207" s="348">
        <v>1.84</v>
      </c>
      <c r="AL207" s="348">
        <v>1.83</v>
      </c>
      <c r="AM207" s="348">
        <v>1.82</v>
      </c>
      <c r="AN207" s="348">
        <v>1.81</v>
      </c>
      <c r="AO207" s="348">
        <v>1.8</v>
      </c>
      <c r="AP207" s="348">
        <v>1.78</v>
      </c>
      <c r="AQ207" s="348">
        <v>1.77</v>
      </c>
      <c r="AR207" s="348">
        <v>1.76</v>
      </c>
      <c r="AS207" s="348">
        <v>1.74</v>
      </c>
      <c r="AT207" s="348">
        <v>1.73</v>
      </c>
      <c r="AU207" s="348">
        <v>1.72</v>
      </c>
      <c r="AV207" s="348">
        <v>1.71</v>
      </c>
      <c r="AW207" s="348">
        <v>1.7</v>
      </c>
      <c r="AX207" s="348">
        <v>1.69</v>
      </c>
      <c r="AY207" s="348">
        <v>1.68</v>
      </c>
    </row>
    <row r="208" spans="1:51">
      <c r="A208" s="760">
        <v>45838</v>
      </c>
      <c r="B208" s="348">
        <v>1.7</v>
      </c>
      <c r="C208" s="348">
        <v>1.67</v>
      </c>
      <c r="D208" s="348">
        <v>1.66</v>
      </c>
      <c r="E208" s="348">
        <v>1.68</v>
      </c>
      <c r="F208" s="348">
        <v>1.71</v>
      </c>
      <c r="G208" s="348">
        <v>1.74</v>
      </c>
      <c r="H208" s="348">
        <v>1.78</v>
      </c>
      <c r="I208" s="348">
        <v>1.83</v>
      </c>
      <c r="J208" s="348">
        <v>1.88</v>
      </c>
      <c r="K208" s="348">
        <v>1.92</v>
      </c>
      <c r="L208" s="348">
        <v>1.97</v>
      </c>
      <c r="M208" s="348">
        <v>2</v>
      </c>
      <c r="N208" s="348">
        <v>2.0299999999999998</v>
      </c>
      <c r="O208" s="348">
        <v>2.06</v>
      </c>
      <c r="P208" s="2281">
        <v>2.08</v>
      </c>
      <c r="Q208" s="348">
        <v>2.08</v>
      </c>
      <c r="R208" s="348">
        <v>2.09</v>
      </c>
      <c r="S208" s="348">
        <v>2.09</v>
      </c>
      <c r="T208" s="348">
        <v>2.09</v>
      </c>
      <c r="U208" s="348">
        <v>2.09</v>
      </c>
      <c r="V208" s="348">
        <v>2.0699999999999998</v>
      </c>
      <c r="W208" s="348">
        <v>2.06</v>
      </c>
      <c r="X208" s="348">
        <v>2.0499999999999998</v>
      </c>
      <c r="Y208" s="348">
        <v>2.0299999999999998</v>
      </c>
      <c r="Z208" s="348">
        <v>2.02</v>
      </c>
      <c r="AA208" s="348">
        <v>2</v>
      </c>
      <c r="AB208" s="348">
        <v>1.99</v>
      </c>
      <c r="AC208" s="348">
        <v>1.97</v>
      </c>
      <c r="AD208" s="348">
        <v>1.96</v>
      </c>
      <c r="AE208" s="348">
        <v>1.94</v>
      </c>
      <c r="AF208" s="348">
        <v>1.93</v>
      </c>
      <c r="AG208" s="348">
        <v>1.91</v>
      </c>
      <c r="AH208" s="348">
        <v>1.9</v>
      </c>
      <c r="AI208" s="348">
        <v>1.88</v>
      </c>
      <c r="AJ208" s="348">
        <v>1.87</v>
      </c>
      <c r="AK208" s="348">
        <v>1.86</v>
      </c>
      <c r="AL208" s="348">
        <v>1.85</v>
      </c>
      <c r="AM208" s="348">
        <v>1.83</v>
      </c>
      <c r="AN208" s="348">
        <v>1.82</v>
      </c>
      <c r="AO208" s="348">
        <v>1.81</v>
      </c>
      <c r="AP208" s="348">
        <v>1.8</v>
      </c>
      <c r="AQ208" s="348">
        <v>1.79</v>
      </c>
      <c r="AR208" s="348">
        <v>1.77</v>
      </c>
      <c r="AS208" s="348">
        <v>1.76</v>
      </c>
      <c r="AT208" s="348">
        <v>1.75</v>
      </c>
      <c r="AU208" s="348">
        <v>1.74</v>
      </c>
      <c r="AV208" s="348">
        <v>1.73</v>
      </c>
      <c r="AW208" s="348">
        <v>1.72</v>
      </c>
      <c r="AX208" s="348">
        <v>1.71</v>
      </c>
      <c r="AY208" s="348">
        <v>1.7</v>
      </c>
    </row>
    <row r="209" spans="1:51">
      <c r="A209" s="2253">
        <v>45869</v>
      </c>
      <c r="B209" s="2252">
        <v>1.73</v>
      </c>
      <c r="C209" s="2252">
        <v>1.7</v>
      </c>
      <c r="D209" s="2252">
        <v>1.69</v>
      </c>
      <c r="E209" s="2252">
        <v>1.7</v>
      </c>
      <c r="F209" s="2252">
        <v>1.73</v>
      </c>
      <c r="G209" s="2252">
        <v>1.77</v>
      </c>
      <c r="H209" s="2252">
        <v>1.81</v>
      </c>
      <c r="I209" s="2252">
        <v>1.85</v>
      </c>
      <c r="J209" s="2252">
        <v>1.9</v>
      </c>
      <c r="K209" s="2252">
        <v>1.95</v>
      </c>
      <c r="L209" s="2252">
        <v>1.99</v>
      </c>
      <c r="M209" s="2252">
        <v>2.0299999999999998</v>
      </c>
      <c r="N209" s="2252">
        <v>2.06</v>
      </c>
      <c r="O209" s="2252">
        <v>2.08</v>
      </c>
      <c r="P209" s="2282">
        <v>2.1</v>
      </c>
      <c r="Q209" s="2252">
        <v>2.11</v>
      </c>
      <c r="R209" s="2252">
        <v>2.11</v>
      </c>
      <c r="S209" s="2252">
        <v>2.11</v>
      </c>
      <c r="T209" s="2252">
        <v>2.11</v>
      </c>
      <c r="U209" s="2252">
        <v>2.11</v>
      </c>
      <c r="V209" s="2252">
        <v>2.09</v>
      </c>
      <c r="W209" s="2252">
        <v>2.08</v>
      </c>
      <c r="X209" s="2252">
        <v>2.0699999999999998</v>
      </c>
      <c r="Y209" s="2252">
        <v>2.0499999999999998</v>
      </c>
      <c r="Z209" s="2252">
        <v>2.04</v>
      </c>
      <c r="AA209" s="2252">
        <v>2.02</v>
      </c>
      <c r="AB209" s="2252">
        <v>2.0099999999999998</v>
      </c>
      <c r="AC209" s="2252">
        <v>1.99</v>
      </c>
      <c r="AD209" s="2252">
        <v>1.98</v>
      </c>
      <c r="AE209" s="2252">
        <v>1.96</v>
      </c>
      <c r="AF209" s="2252">
        <v>1.95</v>
      </c>
      <c r="AG209" s="2252">
        <v>1.93</v>
      </c>
      <c r="AH209" s="2252">
        <v>1.91</v>
      </c>
      <c r="AI209" s="2252">
        <v>1.9</v>
      </c>
      <c r="AJ209" s="2252">
        <v>1.89</v>
      </c>
      <c r="AK209" s="2252">
        <v>1.88</v>
      </c>
      <c r="AL209" s="2252">
        <v>1.86</v>
      </c>
      <c r="AM209" s="2252">
        <v>1.85</v>
      </c>
      <c r="AN209" s="2252">
        <v>1.84</v>
      </c>
      <c r="AO209" s="2252">
        <v>1.83</v>
      </c>
      <c r="AP209" s="2252">
        <v>1.82</v>
      </c>
      <c r="AQ209" s="2252">
        <v>1.8</v>
      </c>
      <c r="AR209" s="2252">
        <v>1.79</v>
      </c>
      <c r="AS209" s="2252">
        <v>1.78</v>
      </c>
      <c r="AT209" s="2252">
        <v>1.77</v>
      </c>
      <c r="AU209" s="2252">
        <v>1.76</v>
      </c>
      <c r="AV209" s="2252">
        <v>1.75</v>
      </c>
      <c r="AW209" s="2252">
        <v>1.74</v>
      </c>
      <c r="AX209" s="2252">
        <v>1.73</v>
      </c>
      <c r="AY209" s="2252">
        <v>1.72</v>
      </c>
    </row>
    <row r="210" spans="1:51" s="113" customFormat="1">
      <c r="A210" s="2254">
        <v>45900</v>
      </c>
      <c r="B210" s="2255">
        <v>1.76</v>
      </c>
      <c r="C210" s="2255">
        <v>1.73</v>
      </c>
      <c r="D210" s="2255">
        <v>1.72</v>
      </c>
      <c r="E210" s="2255">
        <v>1.73</v>
      </c>
      <c r="F210" s="2255">
        <v>1.76</v>
      </c>
      <c r="G210" s="2255">
        <v>1.8</v>
      </c>
      <c r="H210" s="2255">
        <v>1.84</v>
      </c>
      <c r="I210" s="2255">
        <v>1.88</v>
      </c>
      <c r="J210" s="2255">
        <v>1.93</v>
      </c>
      <c r="K210" s="2255">
        <v>1.97</v>
      </c>
      <c r="L210" s="2255">
        <v>2.0099999999999998</v>
      </c>
      <c r="M210" s="2255">
        <v>2.0499999999999998</v>
      </c>
      <c r="N210" s="2255">
        <v>2.08</v>
      </c>
      <c r="O210" s="2255">
        <v>2.11</v>
      </c>
      <c r="P210" s="2283">
        <v>2.13</v>
      </c>
      <c r="Q210" s="2255">
        <v>2.13</v>
      </c>
      <c r="R210" s="2255">
        <v>2.13</v>
      </c>
      <c r="S210" s="2255">
        <v>2.13</v>
      </c>
      <c r="T210" s="2255">
        <v>2.13</v>
      </c>
      <c r="U210" s="2255">
        <v>2.13</v>
      </c>
      <c r="V210" s="2255">
        <v>2.12</v>
      </c>
      <c r="W210" s="2255">
        <v>2.1</v>
      </c>
      <c r="X210" s="2255">
        <v>2.09</v>
      </c>
      <c r="Y210" s="2255">
        <v>2.0699999999999998</v>
      </c>
      <c r="Z210" s="2255">
        <v>2.06</v>
      </c>
      <c r="AA210" s="2255">
        <v>2.04</v>
      </c>
      <c r="AB210" s="2255">
        <v>2.0299999999999998</v>
      </c>
      <c r="AC210" s="2255">
        <v>2.0099999999999998</v>
      </c>
      <c r="AD210" s="2255">
        <v>2</v>
      </c>
      <c r="AE210" s="2255">
        <v>1.98</v>
      </c>
      <c r="AF210" s="2255">
        <v>1.97</v>
      </c>
      <c r="AG210" s="2255">
        <v>1.95</v>
      </c>
      <c r="AH210" s="2255">
        <v>1.94</v>
      </c>
      <c r="AI210" s="2255">
        <v>1.92</v>
      </c>
      <c r="AJ210" s="2255">
        <v>1.91</v>
      </c>
      <c r="AK210" s="2255">
        <v>1.9</v>
      </c>
      <c r="AL210" s="2255">
        <v>1.88</v>
      </c>
      <c r="AM210" s="2255">
        <v>1.87</v>
      </c>
      <c r="AN210" s="2255">
        <v>1.86</v>
      </c>
      <c r="AO210" s="2255">
        <v>1.85</v>
      </c>
      <c r="AP210" s="2255">
        <v>1.84</v>
      </c>
      <c r="AQ210" s="2255">
        <v>1.83</v>
      </c>
      <c r="AR210" s="2255">
        <v>1.81</v>
      </c>
      <c r="AS210" s="2255">
        <v>1.8</v>
      </c>
      <c r="AT210" s="2255">
        <v>1.79</v>
      </c>
      <c r="AU210" s="2255">
        <v>1.78</v>
      </c>
      <c r="AV210" s="2255">
        <v>1.77</v>
      </c>
      <c r="AW210" s="2255">
        <v>1.76</v>
      </c>
      <c r="AX210" s="2255">
        <v>1.75</v>
      </c>
      <c r="AY210" s="2255">
        <v>1.74</v>
      </c>
    </row>
    <row r="211" spans="1:51">
      <c r="A211" s="114">
        <v>45930</v>
      </c>
      <c r="B211" s="71">
        <v>1.79</v>
      </c>
      <c r="C211" s="71">
        <v>1.76</v>
      </c>
      <c r="D211" s="71">
        <v>1.75</v>
      </c>
      <c r="E211" s="71">
        <v>1.76</v>
      </c>
      <c r="F211" s="71">
        <v>1.79</v>
      </c>
      <c r="G211" s="71">
        <v>1.82</v>
      </c>
      <c r="H211" s="71">
        <v>1.86</v>
      </c>
      <c r="I211" s="71">
        <v>1.91</v>
      </c>
      <c r="J211" s="71">
        <v>1.95</v>
      </c>
      <c r="K211" s="71">
        <v>1.99</v>
      </c>
      <c r="L211" s="71">
        <v>2.04</v>
      </c>
      <c r="M211" s="71">
        <v>2.0699999999999998</v>
      </c>
      <c r="N211" s="71">
        <v>2.1</v>
      </c>
      <c r="O211" s="71">
        <v>2.13</v>
      </c>
      <c r="P211" s="2278">
        <v>2.15</v>
      </c>
      <c r="Q211" s="71">
        <v>2.15</v>
      </c>
      <c r="R211" s="71">
        <v>2.15</v>
      </c>
      <c r="S211" s="71">
        <v>2.15</v>
      </c>
      <c r="T211" s="71">
        <v>2.15</v>
      </c>
      <c r="U211" s="71">
        <v>2.15</v>
      </c>
      <c r="V211" s="71">
        <v>2.14</v>
      </c>
      <c r="W211" s="71">
        <v>2.12</v>
      </c>
      <c r="X211" s="71">
        <v>2.11</v>
      </c>
      <c r="Y211" s="71">
        <v>2.09</v>
      </c>
      <c r="Z211" s="71">
        <v>2.08</v>
      </c>
      <c r="AA211" s="71">
        <v>2.06</v>
      </c>
      <c r="AB211" s="71">
        <v>2.0499999999999998</v>
      </c>
      <c r="AC211" s="71">
        <v>2.0299999999999998</v>
      </c>
      <c r="AD211" s="71">
        <v>2.02</v>
      </c>
      <c r="AE211" s="71">
        <v>2</v>
      </c>
      <c r="AF211" s="71">
        <v>1.99</v>
      </c>
      <c r="AG211" s="71">
        <v>1.97</v>
      </c>
      <c r="AH211" s="71">
        <v>1.95</v>
      </c>
      <c r="AI211" s="71">
        <v>1.94</v>
      </c>
      <c r="AJ211" s="71">
        <v>1.93</v>
      </c>
      <c r="AK211" s="71">
        <v>1.92</v>
      </c>
      <c r="AL211" s="71">
        <v>1.9</v>
      </c>
      <c r="AM211" s="71">
        <v>1.89</v>
      </c>
      <c r="AN211" s="71">
        <v>1.88</v>
      </c>
      <c r="AO211" s="71">
        <v>1.87</v>
      </c>
      <c r="AP211" s="71">
        <v>1.86</v>
      </c>
      <c r="AQ211" s="71">
        <v>1.84</v>
      </c>
      <c r="AR211" s="71">
        <v>1.83</v>
      </c>
      <c r="AS211" s="71">
        <v>1.82</v>
      </c>
      <c r="AT211" s="71">
        <v>1.81</v>
      </c>
      <c r="AU211" s="71">
        <v>1.8</v>
      </c>
      <c r="AV211" s="71">
        <v>1.79</v>
      </c>
      <c r="AW211" s="71">
        <v>1.78</v>
      </c>
      <c r="AX211" s="71">
        <v>1.77</v>
      </c>
      <c r="AY211" s="71">
        <v>1.76</v>
      </c>
    </row>
    <row r="212" spans="1:51">
      <c r="A212" s="2268">
        <v>45961</v>
      </c>
      <c r="B212" s="2267">
        <v>1.82</v>
      </c>
      <c r="C212" s="2267">
        <v>1.79</v>
      </c>
      <c r="D212" s="2267">
        <v>1.78</v>
      </c>
      <c r="E212" s="2267">
        <v>1.79</v>
      </c>
      <c r="F212" s="2267">
        <v>1.82</v>
      </c>
      <c r="G212" s="2267">
        <v>1.85</v>
      </c>
      <c r="H212" s="2267">
        <v>1.89</v>
      </c>
      <c r="I212" s="2267">
        <v>1.93</v>
      </c>
      <c r="J212" s="2267">
        <v>1.97</v>
      </c>
      <c r="K212" s="2267">
        <v>2.02</v>
      </c>
      <c r="L212" s="2267">
        <v>2.06</v>
      </c>
      <c r="M212" s="2267">
        <v>2.09</v>
      </c>
      <c r="N212" s="2267">
        <v>2.12</v>
      </c>
      <c r="O212" s="2267">
        <v>2.15</v>
      </c>
      <c r="P212" s="2284">
        <v>2.17</v>
      </c>
      <c r="Q212" s="2267">
        <v>2.17</v>
      </c>
      <c r="R212" s="2267">
        <v>2.17</v>
      </c>
      <c r="S212" s="2267">
        <v>2.17</v>
      </c>
      <c r="T212" s="2267">
        <v>2.17</v>
      </c>
      <c r="U212" s="2267">
        <v>2.17</v>
      </c>
      <c r="V212" s="2267">
        <v>2.16</v>
      </c>
      <c r="W212" s="2267">
        <v>2.14</v>
      </c>
      <c r="X212" s="2267">
        <v>2.13</v>
      </c>
      <c r="Y212" s="2267">
        <v>2.11</v>
      </c>
      <c r="Z212" s="2267">
        <v>2.1</v>
      </c>
      <c r="AA212" s="2267">
        <v>2.08</v>
      </c>
      <c r="AB212" s="2267">
        <v>2.0699999999999998</v>
      </c>
      <c r="AC212" s="2267">
        <v>2.0499999999999998</v>
      </c>
      <c r="AD212" s="2267">
        <v>2.04</v>
      </c>
      <c r="AE212" s="2267">
        <v>2.02</v>
      </c>
      <c r="AF212" s="2267">
        <v>2</v>
      </c>
      <c r="AG212" s="2267">
        <v>1.99</v>
      </c>
      <c r="AH212" s="2267">
        <v>1.97</v>
      </c>
      <c r="AI212" s="2267">
        <v>1.96</v>
      </c>
      <c r="AJ212" s="2267">
        <v>1.95</v>
      </c>
      <c r="AK212" s="2267">
        <v>1.93</v>
      </c>
      <c r="AL212" s="2267">
        <v>1.92</v>
      </c>
      <c r="AM212" s="2267">
        <v>1.91</v>
      </c>
      <c r="AN212" s="2267">
        <v>1.9</v>
      </c>
      <c r="AO212" s="2267">
        <v>1.89</v>
      </c>
      <c r="AP212" s="2267">
        <v>1.88</v>
      </c>
      <c r="AQ212" s="2267">
        <v>1.86</v>
      </c>
      <c r="AR212" s="2267">
        <v>1.85</v>
      </c>
      <c r="AS212" s="2267">
        <v>1.84</v>
      </c>
      <c r="AT212" s="2267">
        <v>1.83</v>
      </c>
      <c r="AU212" s="2267">
        <v>1.81</v>
      </c>
      <c r="AV212" s="2267">
        <v>1.8</v>
      </c>
      <c r="AW212" s="2267">
        <v>1.79</v>
      </c>
      <c r="AX212" s="2267">
        <v>1.78</v>
      </c>
      <c r="AY212" s="2267">
        <v>1.77</v>
      </c>
    </row>
    <row r="213" spans="1:51">
      <c r="A213" s="2268">
        <v>45991</v>
      </c>
      <c r="B213" s="2267">
        <v>1.85</v>
      </c>
      <c r="C213" s="2267">
        <v>1.82</v>
      </c>
      <c r="D213" s="2267">
        <v>1.81</v>
      </c>
      <c r="E213" s="2267">
        <v>1.82</v>
      </c>
      <c r="F213" s="2267">
        <v>1.84</v>
      </c>
      <c r="G213" s="2267">
        <v>1.88</v>
      </c>
      <c r="H213" s="2267">
        <v>1.91</v>
      </c>
      <c r="I213" s="2267">
        <v>1.96</v>
      </c>
      <c r="J213" s="2267">
        <v>2</v>
      </c>
      <c r="K213" s="2267">
        <v>2.04</v>
      </c>
      <c r="L213" s="2267">
        <v>2.08</v>
      </c>
      <c r="M213" s="2267">
        <v>2.12</v>
      </c>
      <c r="N213" s="2267">
        <v>2.15</v>
      </c>
      <c r="O213" s="2267">
        <v>2.17</v>
      </c>
      <c r="P213" s="2284">
        <v>2.19</v>
      </c>
      <c r="Q213" s="2267">
        <v>2.19</v>
      </c>
      <c r="R213" s="2267">
        <v>2.19</v>
      </c>
      <c r="S213" s="2267">
        <v>2.19</v>
      </c>
      <c r="T213" s="2267">
        <v>2.19</v>
      </c>
      <c r="U213" s="2267">
        <v>2.19</v>
      </c>
      <c r="V213" s="2267">
        <v>2.1800000000000002</v>
      </c>
      <c r="W213" s="2267">
        <v>2.16</v>
      </c>
      <c r="X213" s="2267">
        <v>2.15</v>
      </c>
      <c r="Y213" s="2267">
        <v>2.14</v>
      </c>
      <c r="Z213" s="2267">
        <v>2.12</v>
      </c>
      <c r="AA213" s="2267">
        <v>2.11</v>
      </c>
      <c r="AB213" s="2267">
        <v>2.09</v>
      </c>
      <c r="AC213" s="2267">
        <v>2.0699999999999998</v>
      </c>
      <c r="AD213" s="2267">
        <v>2.06</v>
      </c>
      <c r="AE213" s="2267">
        <v>2.04</v>
      </c>
      <c r="AF213" s="2267">
        <v>2.0299999999999998</v>
      </c>
      <c r="AG213" s="2267">
        <v>2.0099999999999998</v>
      </c>
      <c r="AH213" s="2267">
        <v>1.99</v>
      </c>
      <c r="AI213" s="2267">
        <v>1.98</v>
      </c>
      <c r="AJ213" s="2267">
        <v>1.97</v>
      </c>
      <c r="AK213" s="2267">
        <v>1.95</v>
      </c>
      <c r="AL213" s="2267">
        <v>1.94</v>
      </c>
      <c r="AM213" s="2267">
        <v>1.93</v>
      </c>
      <c r="AN213" s="2267">
        <v>1.92</v>
      </c>
      <c r="AO213" s="2267">
        <v>1.91</v>
      </c>
      <c r="AP213" s="2267">
        <v>1.9</v>
      </c>
      <c r="AQ213" s="2267">
        <v>1.88</v>
      </c>
      <c r="AR213" s="2267">
        <v>1.87</v>
      </c>
      <c r="AS213" s="2267">
        <v>1.86</v>
      </c>
      <c r="AT213" s="2267">
        <v>1.85</v>
      </c>
      <c r="AU213" s="2267">
        <v>1.83</v>
      </c>
      <c r="AV213" s="2267">
        <v>1.82</v>
      </c>
      <c r="AW213" s="2267">
        <v>1.81</v>
      </c>
      <c r="AX213" s="2267">
        <v>1.8</v>
      </c>
      <c r="AY213" s="2267">
        <v>1.79</v>
      </c>
    </row>
    <row r="214" spans="1:51">
      <c r="A214" s="115">
        <v>46022</v>
      </c>
      <c r="B214" s="71">
        <v>1.88</v>
      </c>
      <c r="C214" s="71">
        <v>1.85</v>
      </c>
      <c r="D214" s="71">
        <v>1.84</v>
      </c>
      <c r="E214" s="71">
        <v>1.85</v>
      </c>
      <c r="F214" s="71">
        <v>1.87</v>
      </c>
      <c r="G214" s="71">
        <v>1.9</v>
      </c>
      <c r="H214" s="71">
        <v>1.94</v>
      </c>
      <c r="I214" s="71">
        <v>1.98</v>
      </c>
      <c r="J214" s="71">
        <v>2.02</v>
      </c>
      <c r="K214" s="71">
        <v>2.0699999999999998</v>
      </c>
      <c r="L214" s="71">
        <v>2.11</v>
      </c>
      <c r="M214" s="71">
        <v>2.14</v>
      </c>
      <c r="N214" s="71">
        <v>2.17</v>
      </c>
      <c r="O214" s="71">
        <v>2.2000000000000002</v>
      </c>
      <c r="P214" s="2278">
        <v>2.2200000000000002</v>
      </c>
      <c r="Q214" s="71">
        <v>2.2200000000000002</v>
      </c>
      <c r="R214" s="71">
        <v>2.2200000000000002</v>
      </c>
      <c r="S214" s="71">
        <v>2.2200000000000002</v>
      </c>
      <c r="T214" s="71">
        <v>2.2200000000000002</v>
      </c>
      <c r="U214" s="71">
        <v>2.2200000000000002</v>
      </c>
      <c r="V214" s="71">
        <v>2.2000000000000002</v>
      </c>
      <c r="W214" s="71">
        <v>2.19</v>
      </c>
      <c r="X214" s="71">
        <v>2.17</v>
      </c>
      <c r="Y214" s="71">
        <v>2.16</v>
      </c>
      <c r="Z214" s="71">
        <v>2.15</v>
      </c>
      <c r="AA214" s="71">
        <v>2.13</v>
      </c>
      <c r="AB214" s="71">
        <v>2.11</v>
      </c>
      <c r="AC214" s="71">
        <v>2.09</v>
      </c>
      <c r="AD214" s="71">
        <v>2.08</v>
      </c>
      <c r="AE214" s="71">
        <v>2.0699999999999998</v>
      </c>
      <c r="AF214" s="71">
        <v>2.0499999999999998</v>
      </c>
      <c r="AG214" s="71">
        <v>2.0299999999999998</v>
      </c>
      <c r="AH214" s="71">
        <v>2.02</v>
      </c>
      <c r="AI214" s="71">
        <v>2</v>
      </c>
      <c r="AJ214" s="71">
        <v>1.99</v>
      </c>
      <c r="AK214" s="71">
        <v>1.98</v>
      </c>
      <c r="AL214" s="71">
        <v>1.97</v>
      </c>
      <c r="AM214" s="71">
        <v>1.95</v>
      </c>
      <c r="AN214" s="71">
        <v>1.94</v>
      </c>
      <c r="AO214" s="71">
        <v>1.93</v>
      </c>
      <c r="AP214" s="71">
        <v>1.92</v>
      </c>
      <c r="AQ214" s="71">
        <v>1.9</v>
      </c>
      <c r="AR214" s="71">
        <v>1.89</v>
      </c>
      <c r="AS214" s="71">
        <v>1.88</v>
      </c>
      <c r="AT214" s="71">
        <v>1.87</v>
      </c>
      <c r="AU214" s="71">
        <v>1.86</v>
      </c>
      <c r="AV214" s="71">
        <v>1.84</v>
      </c>
      <c r="AW214" s="71">
        <v>1.83</v>
      </c>
      <c r="AX214" s="71">
        <v>1.82</v>
      </c>
      <c r="AY214" s="71">
        <v>1.81</v>
      </c>
    </row>
    <row r="215" spans="1:51">
      <c r="A215" s="2286">
        <v>46053</v>
      </c>
      <c r="B215" s="2285">
        <v>1.91</v>
      </c>
      <c r="C215" s="2285">
        <v>1.88</v>
      </c>
      <c r="D215" s="2285">
        <v>1.87</v>
      </c>
      <c r="E215" s="2285">
        <v>1.88</v>
      </c>
      <c r="F215" s="2285">
        <v>1.9</v>
      </c>
      <c r="G215" s="2285">
        <v>1.93</v>
      </c>
      <c r="H215" s="2285">
        <v>1.97</v>
      </c>
      <c r="I215" s="2285">
        <v>2.0099999999999998</v>
      </c>
      <c r="J215" s="2285">
        <v>2.0499999999999998</v>
      </c>
      <c r="K215" s="2285">
        <v>2.09</v>
      </c>
      <c r="L215" s="2285">
        <v>2.14</v>
      </c>
      <c r="M215" s="2285">
        <v>2.17</v>
      </c>
      <c r="N215" s="2285">
        <v>2.2000000000000002</v>
      </c>
      <c r="O215" s="2285">
        <v>2.2200000000000002</v>
      </c>
      <c r="P215" s="2285">
        <v>2.2400000000000002</v>
      </c>
      <c r="Q215" s="2285">
        <v>2.2400000000000002</v>
      </c>
      <c r="R215" s="2285">
        <v>2.2400000000000002</v>
      </c>
      <c r="S215" s="2285">
        <v>2.2400000000000002</v>
      </c>
      <c r="T215" s="2285">
        <v>2.2400000000000002</v>
      </c>
      <c r="U215" s="2285">
        <v>2.2400000000000002</v>
      </c>
      <c r="V215" s="2285">
        <v>2.23</v>
      </c>
      <c r="W215" s="2285">
        <v>2.21</v>
      </c>
      <c r="X215" s="2285">
        <v>2.2000000000000002</v>
      </c>
      <c r="Y215" s="2285">
        <v>2.1800000000000002</v>
      </c>
      <c r="Z215" s="2285">
        <v>2.17</v>
      </c>
      <c r="AA215" s="2285">
        <v>2.15</v>
      </c>
      <c r="AB215" s="2285">
        <v>2.14</v>
      </c>
      <c r="AC215" s="2285">
        <v>2.12</v>
      </c>
      <c r="AD215" s="2285">
        <v>2.1</v>
      </c>
      <c r="AE215" s="2285">
        <v>2.09</v>
      </c>
      <c r="AF215" s="2285">
        <v>2.0699999999999998</v>
      </c>
      <c r="AG215" s="2285">
        <v>2.06</v>
      </c>
      <c r="AH215" s="2285">
        <v>2.04</v>
      </c>
      <c r="AI215" s="2285">
        <v>2.0299999999999998</v>
      </c>
      <c r="AJ215" s="2285">
        <v>2.0099999999999998</v>
      </c>
      <c r="AK215" s="2285">
        <v>2</v>
      </c>
      <c r="AL215" s="2285">
        <v>1.99</v>
      </c>
      <c r="AM215" s="2285">
        <v>1.98</v>
      </c>
      <c r="AN215" s="2285">
        <v>1.97</v>
      </c>
      <c r="AO215" s="2285">
        <v>1.96</v>
      </c>
      <c r="AP215" s="2285">
        <v>1.94</v>
      </c>
      <c r="AQ215" s="2285">
        <v>1.93</v>
      </c>
      <c r="AR215" s="2285">
        <v>1.91</v>
      </c>
      <c r="AS215" s="2285">
        <v>1.9</v>
      </c>
      <c r="AT215" s="2285">
        <v>1.89</v>
      </c>
      <c r="AU215" s="2285">
        <v>1.88</v>
      </c>
      <c r="AV215" s="2285">
        <v>1.87</v>
      </c>
      <c r="AW215" s="2285">
        <v>1.86</v>
      </c>
      <c r="AX215" s="2285">
        <v>1.85</v>
      </c>
      <c r="AY215" s="2285">
        <v>1.84</v>
      </c>
    </row>
    <row r="216" spans="1:51">
      <c r="A216" s="2299">
        <v>46081</v>
      </c>
      <c r="B216" s="2298">
        <v>1.95</v>
      </c>
      <c r="C216" s="2298">
        <v>1.91</v>
      </c>
      <c r="D216" s="2298">
        <v>1.9</v>
      </c>
      <c r="E216" s="2298">
        <v>1.91</v>
      </c>
      <c r="F216" s="2298">
        <v>1.93</v>
      </c>
      <c r="G216" s="2298">
        <v>1.96</v>
      </c>
      <c r="H216" s="2298">
        <v>2</v>
      </c>
      <c r="I216" s="2298">
        <v>2.04</v>
      </c>
      <c r="J216" s="2298">
        <v>2.08</v>
      </c>
      <c r="K216" s="2298">
        <v>2.12</v>
      </c>
      <c r="L216" s="2298">
        <v>2.16</v>
      </c>
      <c r="M216" s="2298">
        <v>2.2000000000000002</v>
      </c>
      <c r="N216" s="2298">
        <v>2.23</v>
      </c>
      <c r="O216" s="2298">
        <v>2.25</v>
      </c>
      <c r="P216" s="2298">
        <v>2.27</v>
      </c>
      <c r="Q216" s="2298">
        <v>2.27</v>
      </c>
      <c r="R216" s="2298">
        <v>2.27</v>
      </c>
      <c r="S216" s="2298">
        <v>2.27</v>
      </c>
      <c r="T216" s="2298">
        <v>2.27</v>
      </c>
      <c r="U216" s="2298">
        <v>2.27</v>
      </c>
      <c r="V216" s="2298">
        <v>2.25</v>
      </c>
      <c r="W216" s="2298">
        <v>2.2400000000000002</v>
      </c>
      <c r="X216" s="2298">
        <v>2.2200000000000002</v>
      </c>
      <c r="Y216" s="2298">
        <v>2.21</v>
      </c>
      <c r="Z216" s="2298">
        <v>2.2000000000000002</v>
      </c>
      <c r="AA216" s="2298">
        <v>2.1800000000000002</v>
      </c>
      <c r="AB216" s="2298">
        <v>2.16</v>
      </c>
      <c r="AC216" s="2298">
        <v>2.14</v>
      </c>
      <c r="AD216" s="2298">
        <v>2.13</v>
      </c>
      <c r="AE216" s="2298">
        <v>2.11</v>
      </c>
      <c r="AF216" s="2298">
        <v>2.1</v>
      </c>
      <c r="AG216" s="2298">
        <v>2.08</v>
      </c>
      <c r="AH216" s="2298">
        <v>2.06</v>
      </c>
      <c r="AI216" s="2298">
        <v>2.0499999999999998</v>
      </c>
      <c r="AJ216" s="2298">
        <v>2.04</v>
      </c>
      <c r="AK216" s="2298">
        <v>2.02</v>
      </c>
      <c r="AL216" s="2298">
        <v>2.0099999999999998</v>
      </c>
      <c r="AM216" s="2298">
        <v>2</v>
      </c>
      <c r="AN216" s="2298">
        <v>1.99</v>
      </c>
      <c r="AO216" s="2298">
        <v>1.98</v>
      </c>
      <c r="AP216" s="2298">
        <v>1.96</v>
      </c>
      <c r="AQ216" s="2298">
        <v>1.95</v>
      </c>
      <c r="AR216" s="2298">
        <v>1.94</v>
      </c>
      <c r="AS216" s="2298">
        <v>1.92</v>
      </c>
      <c r="AT216" s="2298">
        <v>1.91</v>
      </c>
      <c r="AU216" s="2298">
        <v>1.9</v>
      </c>
      <c r="AV216" s="2298">
        <v>1.89</v>
      </c>
      <c r="AW216" s="2298">
        <v>1.88</v>
      </c>
      <c r="AX216" s="2298">
        <v>1.87</v>
      </c>
      <c r="AY216" s="2298">
        <v>1.86</v>
      </c>
    </row>
    <row r="217" spans="1:51">
      <c r="A217" s="2329">
        <v>46112</v>
      </c>
      <c r="B217" s="2328">
        <v>1.98</v>
      </c>
      <c r="C217" s="2328">
        <v>1.95</v>
      </c>
      <c r="D217" s="2328">
        <v>1.94</v>
      </c>
      <c r="E217" s="2328">
        <v>1.95</v>
      </c>
      <c r="F217" s="2328">
        <v>1.97</v>
      </c>
      <c r="G217" s="2328">
        <v>2</v>
      </c>
      <c r="H217" s="2328">
        <v>2.04</v>
      </c>
      <c r="I217" s="2328">
        <v>2.08</v>
      </c>
      <c r="J217" s="2328">
        <v>2.12</v>
      </c>
      <c r="K217" s="2328">
        <v>2.16</v>
      </c>
      <c r="L217" s="2328">
        <v>2.2000000000000002</v>
      </c>
      <c r="M217" s="2328">
        <v>2.23</v>
      </c>
      <c r="N217" s="2328">
        <v>2.2599999999999998</v>
      </c>
      <c r="O217" s="2328">
        <v>2.2799999999999998</v>
      </c>
      <c r="P217" s="2328">
        <v>2.2999999999999998</v>
      </c>
      <c r="Q217" s="2328">
        <v>2.2999999999999998</v>
      </c>
      <c r="R217" s="2328">
        <v>2.2999999999999998</v>
      </c>
      <c r="S217" s="2328">
        <v>2.2999999999999998</v>
      </c>
      <c r="T217" s="2328">
        <v>2.2999999999999998</v>
      </c>
      <c r="U217" s="2328">
        <v>2.2999999999999998</v>
      </c>
      <c r="V217" s="2328">
        <v>2.2799999999999998</v>
      </c>
      <c r="W217" s="2328">
        <v>2.27</v>
      </c>
      <c r="X217" s="2328">
        <v>2.25</v>
      </c>
      <c r="Y217" s="2328">
        <v>2.2400000000000002</v>
      </c>
      <c r="Z217" s="2328">
        <v>2.23</v>
      </c>
      <c r="AA217" s="2328">
        <v>2.21</v>
      </c>
      <c r="AB217" s="2328">
        <v>2.19</v>
      </c>
      <c r="AC217" s="2328">
        <v>2.17</v>
      </c>
      <c r="AD217" s="2328">
        <v>2.16</v>
      </c>
      <c r="AE217" s="2328">
        <v>2.14</v>
      </c>
      <c r="AF217" s="2328">
        <v>2.12</v>
      </c>
      <c r="AG217" s="2328">
        <v>2.11</v>
      </c>
      <c r="AH217" s="2328">
        <v>2.09</v>
      </c>
      <c r="AI217" s="2328">
        <v>2.08</v>
      </c>
      <c r="AJ217" s="2328">
        <v>2.06</v>
      </c>
      <c r="AK217" s="2328">
        <v>2.0499999999999998</v>
      </c>
      <c r="AL217" s="2328">
        <v>2.04</v>
      </c>
      <c r="AM217" s="2328">
        <v>2.0299999999999998</v>
      </c>
      <c r="AN217" s="2328">
        <v>2.0099999999999998</v>
      </c>
      <c r="AO217" s="2328">
        <v>2</v>
      </c>
      <c r="AP217" s="2328">
        <v>1.99</v>
      </c>
      <c r="AQ217" s="2328">
        <v>1.97</v>
      </c>
      <c r="AR217" s="2328">
        <v>1.96</v>
      </c>
      <c r="AS217" s="2328">
        <v>1.95</v>
      </c>
      <c r="AT217" s="2328">
        <v>1.93</v>
      </c>
      <c r="AU217" s="2328">
        <v>1.92</v>
      </c>
      <c r="AV217" s="2328">
        <v>1.91</v>
      </c>
      <c r="AW217" s="2328">
        <v>1.9</v>
      </c>
      <c r="AX217" s="2328">
        <v>1.89</v>
      </c>
      <c r="AY217" s="2328">
        <v>1.88</v>
      </c>
    </row>
    <row r="218" spans="1:51">
      <c r="A218" s="2329">
        <v>46142</v>
      </c>
      <c r="B218" s="2328">
        <v>2.02</v>
      </c>
      <c r="C218" s="2328">
        <v>1.99</v>
      </c>
      <c r="D218" s="2328">
        <v>1.98</v>
      </c>
      <c r="E218" s="2328">
        <v>1.99</v>
      </c>
      <c r="F218" s="2328">
        <v>2.0099999999999998</v>
      </c>
      <c r="G218" s="2328">
        <v>2.04</v>
      </c>
      <c r="H218" s="2328">
        <v>2.0699999999999998</v>
      </c>
      <c r="I218" s="2328">
        <v>2.11</v>
      </c>
      <c r="J218" s="2328">
        <v>2.15</v>
      </c>
      <c r="K218" s="2328">
        <v>2.19</v>
      </c>
      <c r="L218" s="2328">
        <v>2.23</v>
      </c>
      <c r="M218" s="2328">
        <v>2.2599999999999998</v>
      </c>
      <c r="N218" s="2328">
        <v>2.29</v>
      </c>
      <c r="O218" s="2328">
        <v>2.31</v>
      </c>
      <c r="P218" s="2328">
        <v>2.33</v>
      </c>
      <c r="Q218" s="2328">
        <v>2.33</v>
      </c>
      <c r="R218" s="2328">
        <v>2.33</v>
      </c>
      <c r="S218" s="2328">
        <v>2.33</v>
      </c>
      <c r="T218" s="2328">
        <v>2.33</v>
      </c>
      <c r="U218" s="2328">
        <v>2.33</v>
      </c>
      <c r="V218" s="2328">
        <v>2.31</v>
      </c>
      <c r="W218" s="2328">
        <v>2.29</v>
      </c>
      <c r="X218" s="2328">
        <v>2.2799999999999998</v>
      </c>
      <c r="Y218" s="2328">
        <v>2.27</v>
      </c>
      <c r="Z218" s="2328">
        <v>2.25</v>
      </c>
      <c r="AA218" s="2328">
        <v>2.23</v>
      </c>
      <c r="AB218" s="2328">
        <v>2.2200000000000002</v>
      </c>
      <c r="AC218" s="2328">
        <v>2.2000000000000002</v>
      </c>
      <c r="AD218" s="2328">
        <v>2.1800000000000002</v>
      </c>
      <c r="AE218" s="2328">
        <v>2.17</v>
      </c>
      <c r="AF218" s="2328">
        <v>2.15</v>
      </c>
      <c r="AG218" s="2328">
        <v>2.13</v>
      </c>
      <c r="AH218" s="2328">
        <v>2.12</v>
      </c>
      <c r="AI218" s="2328">
        <v>2.1</v>
      </c>
      <c r="AJ218" s="2328">
        <v>2.09</v>
      </c>
      <c r="AK218" s="2328">
        <v>2.08</v>
      </c>
      <c r="AL218" s="2328">
        <v>2.06</v>
      </c>
      <c r="AM218" s="2328">
        <v>2.0499999999999998</v>
      </c>
      <c r="AN218" s="2328">
        <v>2.04</v>
      </c>
      <c r="AO218" s="2328">
        <v>2.0299999999999998</v>
      </c>
      <c r="AP218" s="2328">
        <v>2.0099999999999998</v>
      </c>
      <c r="AQ218" s="2328">
        <v>2</v>
      </c>
      <c r="AR218" s="2328">
        <v>1.98</v>
      </c>
      <c r="AS218" s="2328">
        <v>1.97</v>
      </c>
      <c r="AT218" s="2328">
        <v>1.96</v>
      </c>
      <c r="AU218" s="2328">
        <v>1.95</v>
      </c>
      <c r="AV218" s="2328">
        <v>1.93</v>
      </c>
      <c r="AW218" s="2328">
        <v>1.92</v>
      </c>
      <c r="AX218" s="2328">
        <v>1.91</v>
      </c>
      <c r="AY218" s="2328">
        <v>1.9</v>
      </c>
    </row>
    <row r="219" spans="1:51">
      <c r="A219" s="2327">
        <v>46173</v>
      </c>
      <c r="B219" s="2328">
        <v>2.06</v>
      </c>
      <c r="C219" s="2328">
        <v>2.0299999999999998</v>
      </c>
      <c r="D219" s="2328">
        <v>2.0099999999999998</v>
      </c>
      <c r="E219" s="2328">
        <v>2.02</v>
      </c>
      <c r="F219" s="2328">
        <v>2.04</v>
      </c>
      <c r="G219" s="2328">
        <v>2.0699999999999998</v>
      </c>
      <c r="H219" s="2328">
        <v>2.11</v>
      </c>
      <c r="I219" s="2328">
        <v>2.15</v>
      </c>
      <c r="J219" s="2328">
        <v>2.19</v>
      </c>
      <c r="K219" s="2328">
        <v>2.23</v>
      </c>
      <c r="L219" s="2328">
        <v>2.2599999999999998</v>
      </c>
      <c r="M219" s="2328">
        <v>2.2999999999999998</v>
      </c>
      <c r="N219" s="2328">
        <v>2.3199999999999998</v>
      </c>
      <c r="O219" s="2328">
        <v>2.35</v>
      </c>
      <c r="P219" s="2328">
        <v>2.37</v>
      </c>
      <c r="Q219" s="2328">
        <v>2.37</v>
      </c>
      <c r="R219" s="2328">
        <v>2.36</v>
      </c>
      <c r="S219" s="2328">
        <v>2.36</v>
      </c>
      <c r="T219" s="2328">
        <v>2.36</v>
      </c>
      <c r="U219" s="2328">
        <v>2.36</v>
      </c>
      <c r="V219" s="2328">
        <v>2.34</v>
      </c>
      <c r="W219" s="2328">
        <v>2.33</v>
      </c>
      <c r="X219" s="2328">
        <v>2.31</v>
      </c>
      <c r="Y219" s="2328">
        <v>2.2999999999999998</v>
      </c>
      <c r="Z219" s="2328">
        <v>2.2799999999999998</v>
      </c>
      <c r="AA219" s="2328">
        <v>2.2599999999999998</v>
      </c>
      <c r="AB219" s="2328">
        <v>2.25</v>
      </c>
      <c r="AC219" s="2328">
        <v>2.23</v>
      </c>
      <c r="AD219" s="2328">
        <v>2.21</v>
      </c>
      <c r="AE219" s="2328">
        <v>2.2000000000000002</v>
      </c>
      <c r="AF219" s="2328">
        <v>2.1800000000000002</v>
      </c>
      <c r="AG219" s="2328">
        <v>2.16</v>
      </c>
      <c r="AH219" s="2328">
        <v>2.15</v>
      </c>
      <c r="AI219" s="2328">
        <v>2.13</v>
      </c>
      <c r="AJ219" s="2328">
        <v>2.12</v>
      </c>
      <c r="AK219" s="2328">
        <v>2.1</v>
      </c>
      <c r="AL219" s="2328">
        <v>2.09</v>
      </c>
      <c r="AM219" s="2328">
        <v>2.08</v>
      </c>
      <c r="AN219" s="2328">
        <v>2.0699999999999998</v>
      </c>
      <c r="AO219" s="2328">
        <v>2.06</v>
      </c>
      <c r="AP219" s="2328">
        <v>2.04</v>
      </c>
      <c r="AQ219" s="2328">
        <v>2.0299999999999998</v>
      </c>
      <c r="AR219" s="2328">
        <v>2.0099999999999998</v>
      </c>
      <c r="AS219" s="2328">
        <v>2</v>
      </c>
      <c r="AT219" s="2328">
        <v>1.98</v>
      </c>
      <c r="AU219" s="2328">
        <v>1.97</v>
      </c>
      <c r="AV219" s="2328">
        <v>1.96</v>
      </c>
      <c r="AW219" s="2328">
        <v>1.95</v>
      </c>
      <c r="AX219" s="2328">
        <v>1.94</v>
      </c>
      <c r="AY219" s="2328">
        <v>1.93</v>
      </c>
    </row>
    <row r="220" spans="1:51">
      <c r="A220" s="2332">
        <v>46203</v>
      </c>
      <c r="B220" s="2331">
        <v>2.1</v>
      </c>
      <c r="C220" s="2331">
        <v>2.0699999999999998</v>
      </c>
      <c r="D220" s="2331">
        <v>2.0499999999999998</v>
      </c>
      <c r="E220" s="2331">
        <v>2.06</v>
      </c>
      <c r="F220" s="2331">
        <v>2.08</v>
      </c>
      <c r="G220" s="2331">
        <v>2.11</v>
      </c>
      <c r="H220" s="2331">
        <v>2.15</v>
      </c>
      <c r="I220" s="2331">
        <v>2.1800000000000002</v>
      </c>
      <c r="J220" s="2331">
        <v>2.2200000000000002</v>
      </c>
      <c r="K220" s="2331">
        <v>2.2599999999999998</v>
      </c>
      <c r="L220" s="2331">
        <v>2.2999999999999998</v>
      </c>
      <c r="M220" s="2331">
        <v>2.33</v>
      </c>
      <c r="N220" s="2331">
        <v>2.36</v>
      </c>
      <c r="O220" s="2331">
        <v>2.38</v>
      </c>
      <c r="P220" s="2331">
        <v>2.4</v>
      </c>
      <c r="Q220" s="2331">
        <v>2.4</v>
      </c>
      <c r="R220" s="2331">
        <v>2.4</v>
      </c>
      <c r="S220" s="2331">
        <v>2.4</v>
      </c>
      <c r="T220" s="2331">
        <v>2.39</v>
      </c>
      <c r="U220" s="2331">
        <v>2.39</v>
      </c>
      <c r="V220" s="2331">
        <v>2.37</v>
      </c>
      <c r="W220" s="2331">
        <v>2.36</v>
      </c>
      <c r="X220" s="2331">
        <v>2.34</v>
      </c>
      <c r="Y220" s="2331">
        <v>2.33</v>
      </c>
      <c r="Z220" s="2331">
        <v>2.3199999999999998</v>
      </c>
      <c r="AA220" s="2331">
        <v>2.2999999999999998</v>
      </c>
      <c r="AB220" s="2331">
        <v>2.2799999999999998</v>
      </c>
      <c r="AC220" s="2331">
        <v>2.2599999999999998</v>
      </c>
      <c r="AD220" s="2331">
        <v>2.2400000000000002</v>
      </c>
      <c r="AE220" s="2331">
        <v>2.23</v>
      </c>
      <c r="AF220" s="2331">
        <v>2.21</v>
      </c>
      <c r="AG220" s="2331">
        <v>2.19</v>
      </c>
      <c r="AH220" s="2331">
        <v>2.1800000000000002</v>
      </c>
      <c r="AI220" s="2331">
        <v>2.16</v>
      </c>
      <c r="AJ220" s="2331">
        <v>2.15</v>
      </c>
      <c r="AK220" s="2331">
        <v>2.13</v>
      </c>
      <c r="AL220" s="2331">
        <v>2.12</v>
      </c>
      <c r="AM220" s="2331">
        <v>2.11</v>
      </c>
      <c r="AN220" s="2331">
        <v>2.1</v>
      </c>
      <c r="AO220" s="2331">
        <v>2.09</v>
      </c>
      <c r="AP220" s="2331">
        <v>2.0699999999999998</v>
      </c>
      <c r="AQ220" s="2331">
        <v>2.0499999999999998</v>
      </c>
      <c r="AR220" s="2331">
        <v>2.04</v>
      </c>
      <c r="AS220" s="2331">
        <v>2.0299999999999998</v>
      </c>
      <c r="AT220" s="2331">
        <v>2.0099999999999998</v>
      </c>
      <c r="AU220" s="2331">
        <v>2</v>
      </c>
      <c r="AV220" s="2331">
        <v>1.99</v>
      </c>
      <c r="AW220" s="2331">
        <v>1.98</v>
      </c>
      <c r="AX220" s="2331">
        <v>1.96</v>
      </c>
      <c r="AY220" s="2331">
        <v>1.95</v>
      </c>
    </row>
    <row r="221" spans="1:51">
      <c r="A221" s="4064">
        <v>46234</v>
      </c>
      <c r="B221" s="4065">
        <v>2.15</v>
      </c>
      <c r="C221" s="4065">
        <v>2.11</v>
      </c>
      <c r="D221" s="4065">
        <v>2.1</v>
      </c>
      <c r="E221" s="4065">
        <v>2.11</v>
      </c>
      <c r="F221" s="4065">
        <v>2.13</v>
      </c>
      <c r="G221" s="4065">
        <v>2.16</v>
      </c>
      <c r="H221" s="4065">
        <v>2.19</v>
      </c>
      <c r="I221" s="4065">
        <v>2.23</v>
      </c>
      <c r="J221" s="4065">
        <v>2.27</v>
      </c>
      <c r="K221" s="4065">
        <v>2.2999999999999998</v>
      </c>
      <c r="L221" s="4065">
        <v>2.34</v>
      </c>
      <c r="M221" s="4065">
        <v>2.37</v>
      </c>
      <c r="N221" s="4065">
        <v>2.4</v>
      </c>
      <c r="O221" s="4065">
        <v>2.42</v>
      </c>
      <c r="P221" s="4065">
        <v>2.44</v>
      </c>
      <c r="Q221" s="4065">
        <v>2.44</v>
      </c>
      <c r="R221" s="4065">
        <v>2.44</v>
      </c>
      <c r="S221" s="4065">
        <v>2.44</v>
      </c>
      <c r="T221" s="4065">
        <v>2.4300000000000002</v>
      </c>
      <c r="U221" s="4065">
        <v>2.4300000000000002</v>
      </c>
      <c r="V221" s="4065">
        <v>2.41</v>
      </c>
      <c r="W221" s="4065">
        <v>2.4</v>
      </c>
      <c r="X221" s="4065">
        <v>2.38</v>
      </c>
      <c r="Y221" s="4065">
        <v>2.37</v>
      </c>
      <c r="Z221" s="4065">
        <v>2.35</v>
      </c>
      <c r="AA221" s="4065">
        <v>2.33</v>
      </c>
      <c r="AB221" s="4065">
        <v>2.31</v>
      </c>
      <c r="AC221" s="4065">
        <v>2.2999999999999998</v>
      </c>
      <c r="AD221" s="4065">
        <v>2.2799999999999998</v>
      </c>
      <c r="AE221" s="4065">
        <v>2.2599999999999998</v>
      </c>
      <c r="AF221" s="4065">
        <v>2.25</v>
      </c>
      <c r="AG221" s="4065">
        <v>2.23</v>
      </c>
      <c r="AH221" s="4065">
        <v>2.21</v>
      </c>
      <c r="AI221" s="4065">
        <v>2.2000000000000002</v>
      </c>
      <c r="AJ221" s="4065">
        <v>2.1800000000000002</v>
      </c>
      <c r="AK221" s="4065">
        <v>2.17</v>
      </c>
      <c r="AL221" s="4065">
        <v>2.15</v>
      </c>
      <c r="AM221" s="4065">
        <v>2.14</v>
      </c>
      <c r="AN221" s="4065">
        <v>2.13</v>
      </c>
      <c r="AO221" s="4065">
        <v>2.12</v>
      </c>
      <c r="AP221" s="4065">
        <v>2.1</v>
      </c>
      <c r="AQ221" s="4065">
        <v>2.09</v>
      </c>
      <c r="AR221" s="4065">
        <v>2.0699999999999998</v>
      </c>
      <c r="AS221" s="4065">
        <v>2.06</v>
      </c>
      <c r="AT221" s="4065">
        <v>2.04</v>
      </c>
      <c r="AU221" s="4065">
        <v>2.0299999999999998</v>
      </c>
      <c r="AV221" s="4065">
        <v>2.02</v>
      </c>
      <c r="AW221" s="4065">
        <v>2.0099999999999998</v>
      </c>
      <c r="AX221" s="4065">
        <v>2</v>
      </c>
      <c r="AY221" s="4065">
        <v>1.98</v>
      </c>
    </row>
    <row r="222" spans="1:51">
      <c r="A222" s="115"/>
    </row>
    <row r="223" spans="1:51">
      <c r="A223" s="114"/>
    </row>
    <row r="224" spans="1:51">
      <c r="A224" s="115"/>
    </row>
    <row r="225" spans="1:1">
      <c r="A225" s="114"/>
    </row>
    <row r="226" spans="1:1">
      <c r="A226" s="115"/>
    </row>
    <row r="227" spans="1:1">
      <c r="A227" s="114"/>
    </row>
    <row r="228" spans="1:1">
      <c r="A228" s="115"/>
    </row>
    <row r="229" spans="1:1">
      <c r="A229" s="114"/>
    </row>
    <row r="230" spans="1:1">
      <c r="A230" s="115"/>
    </row>
    <row r="231" spans="1:1">
      <c r="A231" s="114"/>
    </row>
    <row r="232" spans="1:1">
      <c r="A232" s="115"/>
    </row>
    <row r="233" spans="1:1">
      <c r="A233" s="114"/>
    </row>
    <row r="234" spans="1:1">
      <c r="A234" s="115"/>
    </row>
    <row r="235" spans="1:1">
      <c r="A235" s="114"/>
    </row>
    <row r="236" spans="1:1">
      <c r="A236" s="115"/>
    </row>
    <row r="237" spans="1:1">
      <c r="A237" s="114"/>
    </row>
    <row r="238" spans="1:1">
      <c r="A238" s="115"/>
    </row>
    <row r="239" spans="1:1">
      <c r="A239" s="114"/>
    </row>
    <row r="240" spans="1:1">
      <c r="A240" s="115"/>
    </row>
    <row r="241" spans="1:1">
      <c r="A241" s="114"/>
    </row>
    <row r="242" spans="1:1">
      <c r="A242" s="115"/>
    </row>
    <row r="243" spans="1:1">
      <c r="A243" s="114"/>
    </row>
    <row r="244" spans="1:1">
      <c r="A244" s="115"/>
    </row>
    <row r="245" spans="1:1">
      <c r="A245" s="114"/>
    </row>
    <row r="246" spans="1:1">
      <c r="A246" s="115"/>
    </row>
    <row r="247" spans="1:1">
      <c r="A247" s="114"/>
    </row>
    <row r="248" spans="1:1">
      <c r="A248" s="115"/>
    </row>
    <row r="249" spans="1:1">
      <c r="A249" s="114"/>
    </row>
    <row r="250" spans="1:1">
      <c r="A250" s="115"/>
    </row>
    <row r="251" spans="1:1">
      <c r="A251" s="114"/>
    </row>
    <row r="252" spans="1:1">
      <c r="A252" s="115"/>
    </row>
    <row r="253" spans="1:1">
      <c r="A253" s="114"/>
    </row>
    <row r="254" spans="1:1">
      <c r="A254" s="115"/>
    </row>
    <row r="255" spans="1:1">
      <c r="A255" s="114"/>
    </row>
    <row r="256" spans="1:1">
      <c r="A256" s="115"/>
    </row>
    <row r="257" spans="1:1">
      <c r="A257" s="114"/>
    </row>
    <row r="258" spans="1:1">
      <c r="A258" s="115"/>
    </row>
    <row r="259" spans="1:1">
      <c r="A259" s="114"/>
    </row>
    <row r="260" spans="1:1">
      <c r="A260" s="115"/>
    </row>
    <row r="261" spans="1:1">
      <c r="A261" s="114"/>
    </row>
    <row r="262" spans="1:1">
      <c r="A262" s="115"/>
    </row>
    <row r="263" spans="1:1">
      <c r="A263" s="114"/>
    </row>
    <row r="264" spans="1:1">
      <c r="A264" s="115"/>
    </row>
    <row r="265" spans="1:1">
      <c r="A265" s="114"/>
    </row>
    <row r="266" spans="1:1">
      <c r="A266" s="115"/>
    </row>
    <row r="267" spans="1:1">
      <c r="A267" s="114"/>
    </row>
    <row r="268" spans="1:1">
      <c r="A268" s="115"/>
    </row>
    <row r="269" spans="1:1">
      <c r="A269" s="114"/>
    </row>
    <row r="270" spans="1:1">
      <c r="A270" s="115"/>
    </row>
    <row r="271" spans="1:1">
      <c r="A271" s="114"/>
    </row>
    <row r="272" spans="1:1">
      <c r="A272" s="115"/>
    </row>
    <row r="273" spans="1:1">
      <c r="A273" s="114"/>
    </row>
    <row r="274" spans="1:1">
      <c r="A274" s="115"/>
    </row>
    <row r="275" spans="1:1">
      <c r="A275" s="114"/>
    </row>
    <row r="276" spans="1:1">
      <c r="A276" s="115"/>
    </row>
    <row r="277" spans="1:1">
      <c r="A277" s="114"/>
    </row>
    <row r="278" spans="1:1">
      <c r="A278" s="115"/>
    </row>
    <row r="279" spans="1:1">
      <c r="A279" s="114"/>
    </row>
    <row r="280" spans="1:1">
      <c r="A280" s="115"/>
    </row>
    <row r="281" spans="1:1">
      <c r="A281" s="114"/>
    </row>
    <row r="282" spans="1:1">
      <c r="A282" s="115"/>
    </row>
    <row r="283" spans="1:1">
      <c r="A283" s="114"/>
    </row>
    <row r="284" spans="1:1">
      <c r="A284" s="115"/>
    </row>
    <row r="285" spans="1:1">
      <c r="A285" s="114"/>
    </row>
    <row r="286" spans="1:1">
      <c r="A286" s="115"/>
    </row>
    <row r="287" spans="1:1">
      <c r="A287" s="114"/>
    </row>
    <row r="288" spans="1:1">
      <c r="A288" s="115"/>
    </row>
    <row r="289" spans="1:1">
      <c r="A289" s="114"/>
    </row>
    <row r="290" spans="1:1">
      <c r="A290" s="115"/>
    </row>
    <row r="291" spans="1:1">
      <c r="A291" s="114"/>
    </row>
    <row r="292" spans="1:1">
      <c r="A292" s="115"/>
    </row>
    <row r="293" spans="1:1">
      <c r="A293" s="114"/>
    </row>
    <row r="294" spans="1:1">
      <c r="A294" s="115"/>
    </row>
    <row r="295" spans="1:1">
      <c r="A295" s="114"/>
    </row>
    <row r="296" spans="1:1">
      <c r="A296" s="115"/>
    </row>
    <row r="297" spans="1:1">
      <c r="A297" s="114"/>
    </row>
    <row r="298" spans="1:1">
      <c r="A298" s="115"/>
    </row>
    <row r="299" spans="1:1">
      <c r="A299" s="114"/>
    </row>
    <row r="300" spans="1:1">
      <c r="A300" s="115"/>
    </row>
    <row r="301" spans="1:1">
      <c r="A301" s="115"/>
    </row>
    <row r="302" spans="1:1">
      <c r="A302" s="115"/>
    </row>
    <row r="303" spans="1:1">
      <c r="A303" s="115"/>
    </row>
    <row r="304" spans="1:1">
      <c r="A304" s="115"/>
    </row>
    <row r="305" spans="1:1">
      <c r="A305" s="115"/>
    </row>
    <row r="306" spans="1:1">
      <c r="A306" s="115"/>
    </row>
    <row r="307" spans="1:1">
      <c r="A307" s="115"/>
    </row>
    <row r="308" spans="1:1">
      <c r="A308" s="115"/>
    </row>
    <row r="309" spans="1:1">
      <c r="A309" s="115"/>
    </row>
    <row r="310" spans="1:1">
      <c r="A310" s="115"/>
    </row>
    <row r="311" spans="1:1">
      <c r="A311" s="115"/>
    </row>
    <row r="312" spans="1:1">
      <c r="A312" s="115"/>
    </row>
    <row r="313" spans="1:1">
      <c r="A313" s="115"/>
    </row>
    <row r="314" spans="1:1">
      <c r="A314" s="115"/>
    </row>
    <row r="315" spans="1:1">
      <c r="A315" s="115"/>
    </row>
    <row r="316" spans="1:1">
      <c r="A316" s="115"/>
    </row>
    <row r="317" spans="1:1">
      <c r="A317" s="115"/>
    </row>
    <row r="318" spans="1:1">
      <c r="A318" s="115"/>
    </row>
    <row r="319" spans="1:1">
      <c r="A319" s="115"/>
    </row>
    <row r="320" spans="1:1">
      <c r="A320" s="115"/>
    </row>
    <row r="321" spans="1:1">
      <c r="A321" s="115"/>
    </row>
    <row r="322" spans="1:1">
      <c r="A322" s="115"/>
    </row>
    <row r="323" spans="1:1">
      <c r="A323" s="115"/>
    </row>
    <row r="324" spans="1:1">
      <c r="A324" s="115"/>
    </row>
    <row r="325" spans="1:1">
      <c r="A325" s="115"/>
    </row>
    <row r="326" spans="1:1">
      <c r="A326" s="115"/>
    </row>
    <row r="327" spans="1:1">
      <c r="A327" s="115"/>
    </row>
    <row r="328" spans="1:1">
      <c r="A328" s="115"/>
    </row>
    <row r="329" spans="1:1">
      <c r="A329" s="115"/>
    </row>
    <row r="330" spans="1:1">
      <c r="A330" s="115"/>
    </row>
    <row r="331" spans="1:1">
      <c r="A331" s="115"/>
    </row>
    <row r="332" spans="1:1">
      <c r="A332" s="115"/>
    </row>
    <row r="333" spans="1:1">
      <c r="A333" s="115"/>
    </row>
    <row r="334" spans="1:1">
      <c r="A334" s="115"/>
    </row>
    <row r="335" spans="1:1">
      <c r="A335" s="115"/>
    </row>
    <row r="336" spans="1:1">
      <c r="A336" s="115"/>
    </row>
    <row r="337" spans="1:1">
      <c r="A337" s="115"/>
    </row>
    <row r="338" spans="1:1">
      <c r="A338" s="115"/>
    </row>
    <row r="339" spans="1:1">
      <c r="A339" s="115"/>
    </row>
    <row r="340" spans="1:1">
      <c r="A340" s="115"/>
    </row>
    <row r="341" spans="1:1">
      <c r="A341" s="115"/>
    </row>
    <row r="342" spans="1:1">
      <c r="A342" s="115"/>
    </row>
    <row r="343" spans="1:1">
      <c r="A343" s="115"/>
    </row>
    <row r="344" spans="1:1">
      <c r="A344" s="115"/>
    </row>
    <row r="345" spans="1:1">
      <c r="A345" s="115"/>
    </row>
    <row r="346" spans="1:1">
      <c r="A346" s="115"/>
    </row>
    <row r="347" spans="1:1">
      <c r="A347" s="115"/>
    </row>
    <row r="348" spans="1:1">
      <c r="A348" s="115"/>
    </row>
    <row r="349" spans="1:1">
      <c r="A349" s="115"/>
    </row>
    <row r="350" spans="1:1">
      <c r="A350" s="115"/>
    </row>
    <row r="351" spans="1:1">
      <c r="A351" s="115"/>
    </row>
    <row r="352" spans="1:1">
      <c r="A352" s="115"/>
    </row>
    <row r="353" spans="1:1">
      <c r="A353" s="115"/>
    </row>
    <row r="354" spans="1:1">
      <c r="A354" s="115"/>
    </row>
    <row r="355" spans="1:1">
      <c r="A355" s="115"/>
    </row>
    <row r="356" spans="1:1">
      <c r="A356" s="115"/>
    </row>
    <row r="357" spans="1:1">
      <c r="A357" s="115"/>
    </row>
    <row r="358" spans="1:1">
      <c r="A358" s="115"/>
    </row>
    <row r="359" spans="1:1">
      <c r="A359" s="115"/>
    </row>
    <row r="360" spans="1:1">
      <c r="A360" s="115"/>
    </row>
    <row r="361" spans="1:1">
      <c r="A361" s="115"/>
    </row>
    <row r="362" spans="1:1">
      <c r="A362" s="115"/>
    </row>
    <row r="363" spans="1:1">
      <c r="A363" s="115"/>
    </row>
    <row r="364" spans="1:1">
      <c r="A364" s="115"/>
    </row>
    <row r="365" spans="1:1">
      <c r="A365" s="115"/>
    </row>
    <row r="366" spans="1:1">
      <c r="A366" s="115"/>
    </row>
    <row r="367" spans="1:1">
      <c r="A367" s="115"/>
    </row>
    <row r="368" spans="1:1">
      <c r="A368" s="115"/>
    </row>
    <row r="369" spans="1:1">
      <c r="A369" s="115"/>
    </row>
    <row r="370" spans="1:1">
      <c r="A370" s="115"/>
    </row>
    <row r="371" spans="1:1">
      <c r="A371" s="115"/>
    </row>
    <row r="372" spans="1:1">
      <c r="A372" s="115"/>
    </row>
  </sheetData>
  <sheetProtection formatColumns="0" autoFilter="0"/>
  <mergeCells count="5">
    <mergeCell ref="A4:V4"/>
    <mergeCell ref="BE66:BF66"/>
    <mergeCell ref="BG66:BH66"/>
    <mergeCell ref="BD80:BE80"/>
    <mergeCell ref="BF80:BG80"/>
  </mergeCells>
  <phoneticPr fontId="61" type="noConversion"/>
  <hyperlinks>
    <hyperlink ref="A4:L4" r:id="rId1" display="http://www.bundesbank.de/Navigation/DE/Statistiken/Geld_und_Kapitalmaerkte/Zinssaetze_und_Renditen/Abzinsungssaetze/Tabellen/tabellen.html" xr:uid="{00000000-0004-0000-0200-000000000000}"/>
    <hyperlink ref="A4" r:id="rId2" xr:uid="{00000000-0004-0000-0200-000001000000}"/>
  </hyperlinks>
  <pageMargins left="0.7" right="0.7" top="0.78740157499999996" bottom="0.78740157499999996" header="0.3" footer="0.3"/>
  <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7925-1E4B-4FBE-8F39-1C9E27E35005}">
  <sheetPr codeName="Tabelle31"/>
  <dimension ref="B1:Q85"/>
  <sheetViews>
    <sheetView showGridLines="0" showRowColHeaders="0" topLeftCell="B1" zoomScale="145" zoomScaleNormal="145" workbookViewId="0">
      <selection activeCell="E10" sqref="E10"/>
    </sheetView>
  </sheetViews>
  <sheetFormatPr baseColWidth="10" defaultColWidth="0" defaultRowHeight="14.25" zeroHeight="1"/>
  <cols>
    <col min="1" max="1" width="10.625" hidden="1" customWidth="1"/>
    <col min="2" max="2" width="2.625" customWidth="1"/>
    <col min="3" max="3" width="47.5" customWidth="1"/>
    <col min="4" max="4" width="12.625" customWidth="1"/>
    <col min="5" max="6" width="18.125" customWidth="1"/>
    <col min="7" max="7" width="2.625" customWidth="1"/>
    <col min="8" max="9" width="10.625" hidden="1" customWidth="1"/>
    <col min="10" max="12" width="10.625" customWidth="1"/>
    <col min="13" max="13" width="12.625" customWidth="1"/>
    <col min="14" max="14" width="11.625" customWidth="1"/>
    <col min="15" max="15" width="2.625" customWidth="1"/>
    <col min="16" max="16" width="11.625" hidden="1" customWidth="1"/>
    <col min="17" max="17" width="12.625" hidden="1" customWidth="1"/>
    <col min="18" max="16384" width="10.625" hidden="1"/>
  </cols>
  <sheetData>
    <row r="1" spans="2:17" ht="15" thickBot="1">
      <c r="B1" s="1866">
        <v>140</v>
      </c>
      <c r="C1" s="25"/>
      <c r="D1" s="25"/>
      <c r="E1" s="25"/>
      <c r="F1" s="25"/>
      <c r="G1" s="25"/>
      <c r="J1" s="25"/>
      <c r="K1" s="25"/>
      <c r="L1" s="25"/>
      <c r="M1" s="25"/>
      <c r="N1" s="25"/>
      <c r="O1" s="25"/>
    </row>
    <row r="2" spans="2:17" ht="33.75" customHeight="1">
      <c r="B2" s="25"/>
      <c r="C2" s="900" t="s">
        <v>1019</v>
      </c>
      <c r="D2" s="3521" t="s">
        <v>1018</v>
      </c>
      <c r="E2" s="3522"/>
      <c r="F2" s="3523"/>
      <c r="G2" s="2028" t="e" vm="2">
        <v>#VALUE!</v>
      </c>
      <c r="J2" s="3547" t="s">
        <v>358</v>
      </c>
      <c r="K2" s="3548"/>
      <c r="L2" s="3548"/>
      <c r="M2" s="3548"/>
      <c r="N2" s="3549"/>
      <c r="O2" s="25"/>
    </row>
    <row r="3" spans="2:17" ht="14.25" customHeight="1">
      <c r="B3" s="317">
        <v>5</v>
      </c>
      <c r="C3" s="3556" t="s">
        <v>349</v>
      </c>
      <c r="D3" s="3557"/>
      <c r="E3" s="3558"/>
      <c r="F3" s="3559"/>
      <c r="G3" s="317">
        <v>5</v>
      </c>
      <c r="J3" s="3541" t="s">
        <v>354</v>
      </c>
      <c r="K3" s="3542"/>
      <c r="L3" s="3542"/>
      <c r="M3" s="3543"/>
      <c r="N3" s="733"/>
      <c r="O3" s="25"/>
    </row>
    <row r="4" spans="2:17">
      <c r="B4" s="317">
        <v>6</v>
      </c>
      <c r="C4" s="3556" t="str">
        <f>IF(AND(E4="",F4=""),"Ehezeitende eingeben:",IF(AND(E4="",F4&gt;0),"Ehezeitende aus Fallerfassung übernommen","Ehezeitende"))</f>
        <v>Ehezeitende aus Fallerfassung übernommen</v>
      </c>
      <c r="D4" s="3557"/>
      <c r="E4" s="895"/>
      <c r="F4" s="2112">
        <f>IF(E4&gt;0,E4,IF(Dat_EzE&gt;0,Dat_EzE,""))</f>
        <v>46203</v>
      </c>
      <c r="G4" s="317">
        <v>6</v>
      </c>
      <c r="J4" s="3541" t="s">
        <v>277</v>
      </c>
      <c r="K4" s="3542"/>
      <c r="L4" s="3542"/>
      <c r="M4" s="3543"/>
      <c r="N4" s="1108" t="str">
        <f>IF(N3="","",DATE(YEAR(N3)+65,MONTH(N3)+VLOOKUP(YEAR(N3),Regelaltersgrenze,2),DAY(N3)))</f>
        <v/>
      </c>
      <c r="O4" s="25"/>
    </row>
    <row r="5" spans="2:17">
      <c r="B5" s="317">
        <v>7</v>
      </c>
      <c r="C5" s="3556" t="s">
        <v>351</v>
      </c>
      <c r="D5" s="3557"/>
      <c r="E5" s="3564"/>
      <c r="F5" s="3565"/>
      <c r="G5" s="317">
        <v>7</v>
      </c>
      <c r="J5" s="3541" t="s">
        <v>355</v>
      </c>
      <c r="K5" s="3542"/>
      <c r="L5" s="3542"/>
      <c r="M5" s="3543"/>
      <c r="N5" s="1109" t="str">
        <f>IFERROR(YEARFRAC(F4,N4,0),"")</f>
        <v/>
      </c>
      <c r="O5" s="25"/>
    </row>
    <row r="6" spans="2:17">
      <c r="B6" s="317">
        <v>8</v>
      </c>
      <c r="C6" s="3556" t="str">
        <f>"Datum der Anpassungsberechnung (Daten bis "&amp;TEXT(Enddatum,"TT.MM.JJ")&amp;" vorhanden:"</f>
        <v>Datum der Anpassungsberechnung (Daten bis 31.07.26 vorhanden:</v>
      </c>
      <c r="D6" s="3557"/>
      <c r="E6" s="3560"/>
      <c r="F6" s="3561"/>
      <c r="G6" s="317">
        <v>8</v>
      </c>
      <c r="J6" s="3541" t="s">
        <v>356</v>
      </c>
      <c r="K6" s="3542"/>
      <c r="L6" s="3542"/>
      <c r="M6" s="3543"/>
      <c r="N6" s="1109" t="str">
        <f>IFERROR(YEARFRAC(E6,N4,0),"")</f>
        <v/>
      </c>
      <c r="O6" s="25"/>
    </row>
    <row r="7" spans="2:17">
      <c r="B7" s="317">
        <v>9</v>
      </c>
      <c r="C7" s="3529" t="s">
        <v>1202</v>
      </c>
      <c r="D7" s="3530"/>
      <c r="E7" s="3535" t="s">
        <v>850</v>
      </c>
      <c r="F7" s="3538" t="s">
        <v>851</v>
      </c>
      <c r="G7" s="317">
        <v>9</v>
      </c>
      <c r="J7" s="3541" t="s">
        <v>370</v>
      </c>
      <c r="K7" s="3542"/>
      <c r="L7" s="3542"/>
      <c r="M7" s="3543"/>
      <c r="N7" s="319"/>
      <c r="O7" s="25"/>
    </row>
    <row r="8" spans="2:17">
      <c r="B8" s="317">
        <v>10</v>
      </c>
      <c r="C8" s="3531"/>
      <c r="D8" s="3532"/>
      <c r="E8" s="3536"/>
      <c r="F8" s="3539"/>
      <c r="G8" s="317">
        <v>10</v>
      </c>
      <c r="J8" s="3541" t="s">
        <v>357</v>
      </c>
      <c r="K8" s="3542"/>
      <c r="L8" s="3542"/>
      <c r="M8" s="3543"/>
      <c r="N8" s="1048"/>
      <c r="O8" s="25"/>
    </row>
    <row r="9" spans="2:17" ht="14.25" customHeight="1">
      <c r="B9" s="317">
        <v>11</v>
      </c>
      <c r="C9" s="3533"/>
      <c r="D9" s="3534"/>
      <c r="E9" s="3537"/>
      <c r="F9" s="3540"/>
      <c r="G9" s="317">
        <v>11</v>
      </c>
      <c r="J9" s="3541" t="str">
        <f>IFERROR("Rechnungszins: BilMoG-7 im EzE: "&amp;TEXT(VLOOKUP(F4,BilmoGZins,16)/100,"0,00%")&amp;" / "&amp;"am "&amp;TEXT(E6,"tt.MM.JJJJ")&amp;": "&amp;TEXT(VLOOKUP(E6,BilmoGZins,16)/100,"0,00%"),"")</f>
        <v/>
      </c>
      <c r="K9" s="3542"/>
      <c r="L9" s="3542"/>
      <c r="M9" s="3543"/>
      <c r="N9" s="736"/>
      <c r="O9" s="2858"/>
    </row>
    <row r="10" spans="2:17" ht="14.25" customHeight="1">
      <c r="B10" s="317">
        <v>12</v>
      </c>
      <c r="C10" s="3556" t="s">
        <v>371</v>
      </c>
      <c r="D10" s="3557"/>
      <c r="E10" s="396"/>
      <c r="F10" s="2113"/>
      <c r="G10" s="317">
        <v>12</v>
      </c>
      <c r="J10" s="3541" t="str">
        <f>"Unterhalt mon. Verrentung des Kapitals über "&amp;TEXT(N7,"0,0")&amp;" Jahre bei "&amp;TEXT(N9,"0,00%")</f>
        <v>Unterhalt mon. Verrentung des Kapitals über 0,0 Jahre bei 0,00%</v>
      </c>
      <c r="K10" s="3542"/>
      <c r="L10" s="3542"/>
      <c r="M10" s="3543"/>
      <c r="N10" s="220" t="str">
        <f>IFERROR(-PMT(N9,N7,N8)/12,"")</f>
        <v/>
      </c>
      <c r="O10" s="2858"/>
    </row>
    <row r="11" spans="2:17" ht="15" thickBot="1">
      <c r="B11" s="317">
        <v>13</v>
      </c>
      <c r="C11" s="3556" t="s">
        <v>372</v>
      </c>
      <c r="D11" s="3557"/>
      <c r="E11" s="396"/>
      <c r="F11" s="2114"/>
      <c r="G11" s="317">
        <v>13</v>
      </c>
      <c r="J11" s="3544" t="str">
        <f>"monatliche Unterhaltshöhe: "&amp;TEXT(N8,"#.##0,00")&amp;" / "&amp;TEXT(N7,"0,00")&amp;" / 12: "</f>
        <v xml:space="preserve">monatliche Unterhaltshöhe: 0,00 / 0,00 / 12: </v>
      </c>
      <c r="K11" s="3545"/>
      <c r="L11" s="3545"/>
      <c r="M11" s="3546"/>
      <c r="N11" s="935" t="str">
        <f>IFERROR(+N8/N7/12,"")</f>
        <v/>
      </c>
      <c r="O11" s="2858"/>
    </row>
    <row r="12" spans="2:17">
      <c r="B12" s="317">
        <v>14</v>
      </c>
      <c r="C12" s="3556" t="str">
        <f>"./. Erwerbstätigenbonus: "&amp;IF(E5=0,"",TEXT(E5,"0/#0"))</f>
        <v xml:space="preserve">./. Erwerbstätigenbonus: </v>
      </c>
      <c r="D12" s="3557"/>
      <c r="E12" s="817">
        <f>-E11*E5</f>
        <v>0</v>
      </c>
      <c r="F12" s="1000">
        <f>-F11*E5</f>
        <v>0</v>
      </c>
      <c r="G12" s="25"/>
      <c r="J12" s="3550" t="s">
        <v>359</v>
      </c>
      <c r="K12" s="3551"/>
      <c r="L12" s="3551"/>
      <c r="M12" s="3551"/>
      <c r="N12" s="3552"/>
      <c r="O12" s="2858"/>
    </row>
    <row r="13" spans="2:17" ht="15">
      <c r="B13" s="317">
        <v>15</v>
      </c>
      <c r="C13" s="3566" t="s">
        <v>352</v>
      </c>
      <c r="D13" s="3567"/>
      <c r="E13" s="549">
        <f>+E12+E11+E10</f>
        <v>0</v>
      </c>
      <c r="F13" s="2115">
        <f>+F12+F11+F10</f>
        <v>0</v>
      </c>
      <c r="G13" s="25"/>
      <c r="J13" s="3553"/>
      <c r="K13" s="3554"/>
      <c r="L13" s="3554"/>
      <c r="M13" s="3554"/>
      <c r="N13" s="3555"/>
      <c r="O13" s="2858"/>
    </row>
    <row r="14" spans="2:17">
      <c r="B14" s="317">
        <v>16</v>
      </c>
      <c r="C14" s="3556" t="s">
        <v>301</v>
      </c>
      <c r="D14" s="3557"/>
      <c r="E14" s="3562">
        <f>ABS(E13-F13)</f>
        <v>0</v>
      </c>
      <c r="F14" s="3563"/>
      <c r="G14" s="317">
        <v>16</v>
      </c>
      <c r="J14" s="3524" t="s">
        <v>354</v>
      </c>
      <c r="K14" s="3525"/>
      <c r="L14" s="3525"/>
      <c r="M14" s="3525"/>
      <c r="N14" s="733"/>
      <c r="O14" s="2858"/>
      <c r="P14" t="s">
        <v>255</v>
      </c>
      <c r="Q14" s="15">
        <v>2</v>
      </c>
    </row>
    <row r="15" spans="2:17" ht="15">
      <c r="B15" s="317">
        <v>17</v>
      </c>
      <c r="C15" s="801" t="str">
        <f>"gesetzlicher Unterhalt: "&amp;TEXT(E14,"#.##0,00")&amp;" / 2 ="</f>
        <v>gesetzlicher Unterhalt: 0,00 / 2 =</v>
      </c>
      <c r="D15" s="316"/>
      <c r="E15" s="549">
        <f>IF(VereinbarterUnterhalt,-D15,IF(E14&gt;F14,-E14/2,-F15))</f>
        <v>0</v>
      </c>
      <c r="F15" s="2115"/>
      <c r="G15" s="317">
        <v>17</v>
      </c>
      <c r="H15" t="s">
        <v>353</v>
      </c>
      <c r="I15" s="15" t="b">
        <v>0</v>
      </c>
      <c r="J15" s="3524" t="s">
        <v>360</v>
      </c>
      <c r="K15" s="3525"/>
      <c r="L15" s="3525"/>
      <c r="M15" s="3525"/>
      <c r="N15" s="733">
        <f ca="1">TODAY()</f>
        <v>46239</v>
      </c>
      <c r="O15" s="2858"/>
    </row>
    <row r="16" spans="2:17">
      <c r="B16" s="317">
        <v>18</v>
      </c>
      <c r="C16" s="1412" t="str">
        <f>"Saldo d. Versorgungskürzung am EzE in "&amp;IF(Euro_EP,"Euro: ","EP: ")</f>
        <v xml:space="preserve">Saldo d. Versorgungskürzung am EzE in Euro: </v>
      </c>
      <c r="D16" s="2116"/>
      <c r="E16" s="817">
        <f>IFERROR(-D16*IF(Euro_EP,1,VLOOKUP(F4,AktuellerRentenwert,2)),"")</f>
        <v>0</v>
      </c>
      <c r="F16" s="803" t="str">
        <f>IFERROR(IF(Euro_EP=FALSE,"Kapitalwert: "&amp;TEXT(VLOOKUP(F4,EntgeltpunkteInKapital,2)*D16,"#.000,00 €"),""),"")</f>
        <v/>
      </c>
      <c r="G16" s="317">
        <v>18</v>
      </c>
      <c r="H16" t="s">
        <v>348</v>
      </c>
      <c r="I16" s="15" t="b">
        <v>1</v>
      </c>
      <c r="J16" s="3524" t="s">
        <v>277</v>
      </c>
      <c r="K16" s="3525"/>
      <c r="L16" s="3525"/>
      <c r="M16" s="3525"/>
      <c r="N16" s="1108" t="str">
        <f>IF(N14="","",DATE(YEAR(N14)+65,MONTH(N14)+VLOOKUP(YEAR(N14),Regelaltersgrenze,2),DAY(N14)))</f>
        <v/>
      </c>
      <c r="O16" s="2858"/>
    </row>
    <row r="17" spans="2:17">
      <c r="B17" s="317">
        <v>19</v>
      </c>
      <c r="C17" s="3556" t="s">
        <v>350</v>
      </c>
      <c r="D17" s="3557"/>
      <c r="E17" s="3562">
        <f>IFERROR(-VLOOKUP(YEAR(F4),MonatlicheBezugsgroesse,2)*IF(Euro_EP,0.02,2.4),"")</f>
        <v>-79.100000000000009</v>
      </c>
      <c r="F17" s="3563"/>
      <c r="G17" s="317">
        <v>19</v>
      </c>
      <c r="J17" s="3524" t="s">
        <v>355</v>
      </c>
      <c r="K17" s="3525"/>
      <c r="L17" s="3525"/>
      <c r="M17" s="3525"/>
      <c r="N17" s="1109" t="str">
        <f>IFERROR(YEARFRAC(F4,N4,0),"")</f>
        <v/>
      </c>
      <c r="O17" s="2858"/>
    </row>
    <row r="18" spans="2:17" ht="15">
      <c r="B18" s="317">
        <v>20</v>
      </c>
      <c r="C18" s="3556" t="s">
        <v>347</v>
      </c>
      <c r="D18" s="3557"/>
      <c r="E18" s="549">
        <f>IF(E16&lt;0,IF(E16&gt;E17,0,MAX(E15:E16)),0)</f>
        <v>0</v>
      </c>
      <c r="F18" s="2115">
        <f>IF(F16&lt;0,IF(F15&gt;F16,-F15,F16),0)</f>
        <v>0</v>
      </c>
      <c r="G18" s="317">
        <v>20</v>
      </c>
      <c r="J18" s="3524" t="s">
        <v>356</v>
      </c>
      <c r="K18" s="3525"/>
      <c r="L18" s="3525"/>
      <c r="M18" s="3525"/>
      <c r="N18" s="1109" t="str">
        <f>IFERROR(YEARFRAC(E6,N4,0),"")</f>
        <v/>
      </c>
      <c r="O18" s="2858"/>
    </row>
    <row r="19" spans="2:17" ht="15">
      <c r="B19" s="317">
        <v>21</v>
      </c>
      <c r="C19" s="3570" t="str">
        <f>IF(E15&lt;0,IF(E18+F18&lt;=E17,"Anpassung ist möglich (§ 33 II VersAusglG)","Anpassung ist nicht möglich (§ 33 II VersAusglG)"),"")</f>
        <v/>
      </c>
      <c r="D19" s="3571"/>
      <c r="E19" s="3571"/>
      <c r="F19" s="3572"/>
      <c r="G19" s="317">
        <v>21</v>
      </c>
      <c r="J19" s="3524" t="str">
        <f ca="1">"Lebenserwartung ab Berechnungsdatum "&amp;TEXT(N15,"TT.MM.JJJJ")</f>
        <v>Lebenserwartung ab Berechnungsdatum 05.08.2026</v>
      </c>
      <c r="K19" s="3525"/>
      <c r="L19" s="3525"/>
      <c r="M19" s="3525"/>
      <c r="N19" s="1109" t="str">
        <f>IF(N14="","",ROUND(VLOOKUP(YEARFRAC(N14,N15,0),CHOOSE(Geschlecht,Lebenserwartung_M_V2,Lebenserwartung_F_V2),YEAR(N14)-1900+2),2))</f>
        <v/>
      </c>
      <c r="O19" s="25"/>
    </row>
    <row r="20" spans="2:17">
      <c r="B20" s="317">
        <v>22</v>
      </c>
      <c r="C20" s="3556" t="str">
        <f>IFERROR("Rente nach Anpassung: "&amp;TEXT(E10,"#.##0,00")&amp;" - "&amp;TEXT(ABS(E16),"#.##0,00")&amp;" + "&amp;TEXT(ABS(E18),"#.##0,00"),"")</f>
        <v>Rente nach Anpassung: 0,00 - 0,00 + 0,00</v>
      </c>
      <c r="D20" s="3557"/>
      <c r="E20" s="817">
        <f>IFERROR(+E10+E16-E18,"")</f>
        <v>0</v>
      </c>
      <c r="F20" s="1002"/>
      <c r="G20" s="317">
        <v>22</v>
      </c>
      <c r="J20" s="3524" t="s">
        <v>367</v>
      </c>
      <c r="K20" s="3525"/>
      <c r="L20" s="3525"/>
      <c r="M20" s="3525"/>
      <c r="N20" s="318"/>
      <c r="O20" s="25"/>
    </row>
    <row r="21" spans="2:17">
      <c r="B21" s="317">
        <v>23</v>
      </c>
      <c r="C21" s="3556" t="str">
        <f>+C11</f>
        <v xml:space="preserve">anrechenbares Erwerbseinkommen: </v>
      </c>
      <c r="D21" s="3557"/>
      <c r="E21" s="547"/>
      <c r="F21" s="1000">
        <f>+F11</f>
        <v>0</v>
      </c>
      <c r="G21" s="317">
        <v>23</v>
      </c>
      <c r="J21" s="3524" t="s">
        <v>368</v>
      </c>
      <c r="K21" s="3525"/>
      <c r="L21" s="3525"/>
      <c r="M21" s="3525"/>
      <c r="N21" s="734"/>
      <c r="O21" s="25"/>
    </row>
    <row r="22" spans="2:17">
      <c r="B22" s="317">
        <v>24</v>
      </c>
      <c r="C22" s="3556" t="str">
        <f>"./. Erwerbstätigenbonus: "&amp;IF(E5=0,"",TEXT(E5,"0/#0"))</f>
        <v xml:space="preserve">./. Erwerbstätigenbonus: </v>
      </c>
      <c r="D22" s="3557"/>
      <c r="E22" s="817">
        <f>-E21*E5</f>
        <v>0</v>
      </c>
      <c r="F22" s="1000">
        <f>-F21*E5</f>
        <v>0</v>
      </c>
      <c r="G22" s="317">
        <v>24</v>
      </c>
      <c r="J22" s="3524" t="s">
        <v>369</v>
      </c>
      <c r="K22" s="3525"/>
      <c r="L22" s="3525"/>
      <c r="M22" s="3525"/>
      <c r="N22" s="735"/>
      <c r="O22" s="25"/>
    </row>
    <row r="23" spans="2:17">
      <c r="B23" s="317">
        <v>25</v>
      </c>
      <c r="C23" s="3556" t="s">
        <v>345</v>
      </c>
      <c r="D23" s="3557"/>
      <c r="E23" s="817">
        <f>IFERROR(+E22+E21+E20,"")</f>
        <v>0</v>
      </c>
      <c r="F23" s="1000">
        <f>+F22+F21+F20</f>
        <v>0</v>
      </c>
      <c r="G23" s="317">
        <v>25</v>
      </c>
      <c r="J23" s="3524" t="str">
        <f ca="1">IFERROR("Rechnungszins: BilMoG-7 im EzE: "&amp;TEXT(VLOOKUP(N15,BilmoGZins,16)/100,"0,00%")&amp;" am "&amp;TEXT(N15,"tt.MM.JJJJ"),"")</f>
        <v>Rechnungszins: BilMoG-7 im EzE: 2,44% am 05.08.2026</v>
      </c>
      <c r="K23" s="3525"/>
      <c r="L23" s="3525"/>
      <c r="M23" s="3525"/>
      <c r="N23" s="735"/>
      <c r="O23" s="25"/>
    </row>
    <row r="24" spans="2:17">
      <c r="B24" s="317">
        <v>26</v>
      </c>
      <c r="C24" s="3556" t="s">
        <v>301</v>
      </c>
      <c r="D24" s="3557"/>
      <c r="E24" s="3562">
        <f>IFERROR(ABS(E23-F23),"")</f>
        <v>0</v>
      </c>
      <c r="F24" s="3563"/>
      <c r="G24" s="317">
        <v>26</v>
      </c>
      <c r="J24" s="3524" t="str">
        <f>"Abfindungsbetrag (Barwert), ReZins: "&amp;TEXT(N23,"0,00%")&amp;IF(N22&gt;0," - "&amp;TEXT(N22,"0,00%"),"")&amp;": "</f>
        <v xml:space="preserve">Abfindungsbetrag (Barwert), ReZins: 0,00%: </v>
      </c>
      <c r="K24" s="3525"/>
      <c r="L24" s="3525"/>
      <c r="M24" s="3525"/>
      <c r="N24" s="1110">
        <f>(-PV(N23-N22,N20,N21*12,0,1)+-PV(N23-N22,N20,N21*12,0,0))/2</f>
        <v>0</v>
      </c>
      <c r="O24" s="25"/>
    </row>
    <row r="25" spans="2:17" ht="15" thickBot="1">
      <c r="B25" s="317">
        <v>27</v>
      </c>
      <c r="C25" s="3568" t="s">
        <v>346</v>
      </c>
      <c r="D25" s="3569"/>
      <c r="E25" s="2117">
        <f>IFERROR(-E24/2,"")</f>
        <v>0</v>
      </c>
      <c r="F25" s="2118">
        <f>IFERROR(IF(F23&gt;E23,-E24/2,-E25),"")</f>
        <v>0</v>
      </c>
      <c r="G25" s="317">
        <v>27</v>
      </c>
      <c r="J25" s="3526" t="s">
        <v>365</v>
      </c>
      <c r="K25" s="3527"/>
      <c r="L25" s="3527"/>
      <c r="M25" s="3527"/>
      <c r="N25" s="962">
        <f>(-PV(5.5%,N20,N21*12,0,1)+-PV(5.5%,N20,N21*12,0,0))/2</f>
        <v>0</v>
      </c>
      <c r="O25" s="25"/>
    </row>
    <row r="26" spans="2:17">
      <c r="B26" s="3528" t="s">
        <v>117</v>
      </c>
      <c r="C26" s="3528"/>
      <c r="D26" s="3528"/>
      <c r="E26" s="3528"/>
      <c r="F26" s="3528"/>
      <c r="G26" s="3528"/>
      <c r="H26" s="3528"/>
      <c r="I26" s="3528"/>
      <c r="J26" s="3528"/>
      <c r="K26" s="3528"/>
      <c r="L26" s="3528"/>
      <c r="M26" s="3528"/>
      <c r="N26" s="3528"/>
      <c r="O26" s="25"/>
    </row>
    <row r="27" spans="2:17" hidden="1">
      <c r="M27" t="s">
        <v>363</v>
      </c>
      <c r="N27">
        <f>YEAR(N14)+2-1900</f>
        <v>2</v>
      </c>
    </row>
    <row r="28" spans="2:17" hidden="1">
      <c r="M28" t="s">
        <v>362</v>
      </c>
      <c r="N28">
        <f ca="1">YEARFRAC(N14,N15,0)</f>
        <v>126.59722222222223</v>
      </c>
      <c r="P28" t="s">
        <v>366</v>
      </c>
      <c r="Q28" s="148">
        <f ca="1">SUM(Q30:Q76)</f>
        <v>0</v>
      </c>
    </row>
    <row r="29" spans="2:17" hidden="1">
      <c r="M29" t="s">
        <v>361</v>
      </c>
      <c r="N29">
        <f ca="1">VLOOKUP(N28,CHOOSE(Geschlecht,G_Kohorte_M,G_Kohorte_F),N$27)</f>
        <v>0</v>
      </c>
      <c r="P29" t="s">
        <v>364</v>
      </c>
    </row>
    <row r="30" spans="2:17" hidden="1">
      <c r="M30">
        <v>1</v>
      </c>
      <c r="N30">
        <f t="shared" ref="N30:N76" ca="1" si="0">IFERROR(VLOOKUP(N$28+M30,CHOOSE(Geschlecht,G_Kohorte_M,G_Kohorte_F),N$27),0)</f>
        <v>0</v>
      </c>
      <c r="P30" s="142" t="e">
        <f t="shared" ref="P30:P76" ca="1" si="1">+N30/N$29</f>
        <v>#DIV/0!</v>
      </c>
      <c r="Q30" s="148">
        <f ca="1">IFERROR(-PV(N$23-N$22,M30,,N$21*12*IF(AND(N$20&gt;INT(N$20),INT(N$20)+1=M30),#REF!-INT(#REF!),1),P30),0)</f>
        <v>0</v>
      </c>
    </row>
    <row r="31" spans="2:17" hidden="1">
      <c r="M31" t="str">
        <f t="shared" ref="M31:M76" si="2">IF(N$20&gt;M30,M30+1,"")</f>
        <v/>
      </c>
      <c r="N31">
        <f t="shared" ca="1" si="0"/>
        <v>0</v>
      </c>
      <c r="P31" s="142" t="e">
        <f t="shared" ca="1" si="1"/>
        <v>#DIV/0!</v>
      </c>
      <c r="Q31" s="148">
        <f ca="1">IFERROR(-PV(N$23-N$22,M31,,N$21*12*IF(AND(N$20&gt;INT(N$20),INT(N$20)+1=M31),#REF!-INT(#REF!),1),P31),0)</f>
        <v>0</v>
      </c>
    </row>
    <row r="32" spans="2:17" hidden="1">
      <c r="M32" t="str">
        <f t="shared" si="2"/>
        <v/>
      </c>
      <c r="N32">
        <f t="shared" ca="1" si="0"/>
        <v>0</v>
      </c>
      <c r="P32" s="142" t="e">
        <f t="shared" ca="1" si="1"/>
        <v>#DIV/0!</v>
      </c>
      <c r="Q32" s="148">
        <f ca="1">IFERROR(-PV(N$23-N$22,M32,,N$21*12*IF(AND(N$20&gt;INT(N$20),INT(N$20)+1=M32),#REF!-INT(#REF!),1),P32),0)</f>
        <v>0</v>
      </c>
    </row>
    <row r="33" spans="13:17" hidden="1">
      <c r="M33" t="str">
        <f t="shared" si="2"/>
        <v/>
      </c>
      <c r="N33">
        <f t="shared" ca="1" si="0"/>
        <v>0</v>
      </c>
      <c r="P33" s="142" t="e">
        <f t="shared" ca="1" si="1"/>
        <v>#DIV/0!</v>
      </c>
      <c r="Q33" s="148">
        <f ca="1">IFERROR(-PV(N$23-N$22,M33,,N$21*12*IF(AND(N$20&gt;INT(N$20),INT(N$20)+1=M33),#REF!-INT(#REF!),1),P33),0)</f>
        <v>0</v>
      </c>
    </row>
    <row r="34" spans="13:17" hidden="1">
      <c r="M34" t="str">
        <f t="shared" si="2"/>
        <v/>
      </c>
      <c r="N34">
        <f t="shared" ca="1" si="0"/>
        <v>0</v>
      </c>
      <c r="P34" s="142" t="e">
        <f t="shared" ca="1" si="1"/>
        <v>#DIV/0!</v>
      </c>
      <c r="Q34" s="148">
        <f t="shared" ref="Q34:Q59" ca="1" si="3">IFERROR(-PV(N$23-N$22,M34,,N$21*12*IF(AND(N$20&gt;INT(N$20),INT(N$20)+1=M34),$N1-INT(N1),1),P34),0)</f>
        <v>0</v>
      </c>
    </row>
    <row r="35" spans="13:17" hidden="1">
      <c r="M35" t="str">
        <f t="shared" si="2"/>
        <v/>
      </c>
      <c r="N35">
        <f t="shared" ca="1" si="0"/>
        <v>0</v>
      </c>
      <c r="P35" s="142" t="e">
        <f t="shared" ca="1" si="1"/>
        <v>#DIV/0!</v>
      </c>
      <c r="Q35" s="148">
        <f t="shared" ca="1" si="3"/>
        <v>0</v>
      </c>
    </row>
    <row r="36" spans="13:17" hidden="1">
      <c r="M36" t="str">
        <f t="shared" si="2"/>
        <v/>
      </c>
      <c r="N36">
        <f t="shared" ca="1" si="0"/>
        <v>0</v>
      </c>
      <c r="P36" s="142" t="e">
        <f t="shared" ca="1" si="1"/>
        <v>#DIV/0!</v>
      </c>
      <c r="Q36" s="148">
        <f t="shared" ca="1" si="3"/>
        <v>0</v>
      </c>
    </row>
    <row r="37" spans="13:17" hidden="1">
      <c r="M37" t="str">
        <f t="shared" si="2"/>
        <v/>
      </c>
      <c r="N37">
        <f t="shared" ca="1" si="0"/>
        <v>0</v>
      </c>
      <c r="P37" s="142" t="e">
        <f t="shared" ca="1" si="1"/>
        <v>#DIV/0!</v>
      </c>
      <c r="Q37" s="148">
        <f t="shared" ca="1" si="3"/>
        <v>0</v>
      </c>
    </row>
    <row r="38" spans="13:17" hidden="1">
      <c r="M38" t="str">
        <f t="shared" si="2"/>
        <v/>
      </c>
      <c r="N38">
        <f t="shared" ca="1" si="0"/>
        <v>0</v>
      </c>
      <c r="P38" s="142" t="e">
        <f t="shared" ca="1" si="1"/>
        <v>#DIV/0!</v>
      </c>
      <c r="Q38" s="148">
        <f t="shared" ca="1" si="3"/>
        <v>0</v>
      </c>
    </row>
    <row r="39" spans="13:17" hidden="1">
      <c r="M39" t="str">
        <f t="shared" si="2"/>
        <v/>
      </c>
      <c r="N39">
        <f t="shared" ca="1" si="0"/>
        <v>0</v>
      </c>
      <c r="P39" s="142" t="e">
        <f t="shared" ca="1" si="1"/>
        <v>#DIV/0!</v>
      </c>
      <c r="Q39" s="148">
        <f t="shared" ca="1" si="3"/>
        <v>0</v>
      </c>
    </row>
    <row r="40" spans="13:17" hidden="1">
      <c r="M40" t="str">
        <f t="shared" si="2"/>
        <v/>
      </c>
      <c r="N40">
        <f t="shared" ca="1" si="0"/>
        <v>0</v>
      </c>
      <c r="P40" s="142" t="e">
        <f t="shared" ca="1" si="1"/>
        <v>#DIV/0!</v>
      </c>
      <c r="Q40" s="148">
        <f t="shared" ca="1" si="3"/>
        <v>0</v>
      </c>
    </row>
    <row r="41" spans="13:17" hidden="1">
      <c r="M41" t="str">
        <f t="shared" si="2"/>
        <v/>
      </c>
      <c r="N41">
        <f t="shared" ca="1" si="0"/>
        <v>0</v>
      </c>
      <c r="P41" s="142" t="e">
        <f t="shared" ca="1" si="1"/>
        <v>#DIV/0!</v>
      </c>
      <c r="Q41" s="148">
        <f t="shared" ca="1" si="3"/>
        <v>0</v>
      </c>
    </row>
    <row r="42" spans="13:17" hidden="1">
      <c r="M42" t="str">
        <f t="shared" si="2"/>
        <v/>
      </c>
      <c r="N42">
        <f t="shared" ca="1" si="0"/>
        <v>0</v>
      </c>
      <c r="P42" s="142" t="e">
        <f t="shared" ca="1" si="1"/>
        <v>#DIV/0!</v>
      </c>
      <c r="Q42" s="148">
        <f t="shared" ca="1" si="3"/>
        <v>0</v>
      </c>
    </row>
    <row r="43" spans="13:17" hidden="1">
      <c r="M43" t="str">
        <f t="shared" si="2"/>
        <v/>
      </c>
      <c r="N43">
        <f t="shared" ca="1" si="0"/>
        <v>0</v>
      </c>
      <c r="P43" s="142" t="e">
        <f t="shared" ca="1" si="1"/>
        <v>#DIV/0!</v>
      </c>
      <c r="Q43" s="148">
        <f t="shared" ca="1" si="3"/>
        <v>0</v>
      </c>
    </row>
    <row r="44" spans="13:17" hidden="1">
      <c r="M44" t="str">
        <f t="shared" si="2"/>
        <v/>
      </c>
      <c r="N44">
        <f t="shared" ca="1" si="0"/>
        <v>0</v>
      </c>
      <c r="P44" s="142" t="e">
        <f t="shared" ca="1" si="1"/>
        <v>#DIV/0!</v>
      </c>
      <c r="Q44" s="148">
        <f t="shared" ca="1" si="3"/>
        <v>0</v>
      </c>
    </row>
    <row r="45" spans="13:17" hidden="1">
      <c r="M45" t="str">
        <f t="shared" si="2"/>
        <v/>
      </c>
      <c r="N45">
        <f t="shared" ca="1" si="0"/>
        <v>0</v>
      </c>
      <c r="P45" s="142" t="e">
        <f t="shared" ca="1" si="1"/>
        <v>#DIV/0!</v>
      </c>
      <c r="Q45" s="148">
        <f t="shared" ca="1" si="3"/>
        <v>0</v>
      </c>
    </row>
    <row r="46" spans="13:17" hidden="1">
      <c r="M46" t="str">
        <f t="shared" si="2"/>
        <v/>
      </c>
      <c r="N46">
        <f t="shared" ca="1" si="0"/>
        <v>0</v>
      </c>
      <c r="P46" s="142" t="e">
        <f t="shared" ca="1" si="1"/>
        <v>#DIV/0!</v>
      </c>
      <c r="Q46" s="148">
        <f t="shared" ca="1" si="3"/>
        <v>0</v>
      </c>
    </row>
    <row r="47" spans="13:17" hidden="1">
      <c r="M47" t="str">
        <f t="shared" si="2"/>
        <v/>
      </c>
      <c r="N47">
        <f t="shared" ca="1" si="0"/>
        <v>0</v>
      </c>
      <c r="P47" s="142" t="e">
        <f t="shared" ca="1" si="1"/>
        <v>#DIV/0!</v>
      </c>
      <c r="Q47" s="148">
        <f t="shared" ca="1" si="3"/>
        <v>0</v>
      </c>
    </row>
    <row r="48" spans="13:17" hidden="1">
      <c r="M48" t="str">
        <f t="shared" si="2"/>
        <v/>
      </c>
      <c r="N48">
        <f t="shared" ca="1" si="0"/>
        <v>0</v>
      </c>
      <c r="P48" s="142" t="e">
        <f t="shared" ca="1" si="1"/>
        <v>#DIV/0!</v>
      </c>
      <c r="Q48" s="148">
        <f t="shared" ca="1" si="3"/>
        <v>0</v>
      </c>
    </row>
    <row r="49" spans="13:17" hidden="1">
      <c r="M49" t="str">
        <f t="shared" si="2"/>
        <v/>
      </c>
      <c r="N49">
        <f t="shared" ca="1" si="0"/>
        <v>0</v>
      </c>
      <c r="P49" s="142" t="e">
        <f t="shared" ca="1" si="1"/>
        <v>#DIV/0!</v>
      </c>
      <c r="Q49" s="148">
        <f t="shared" ca="1" si="3"/>
        <v>0</v>
      </c>
    </row>
    <row r="50" spans="13:17" hidden="1">
      <c r="M50" t="str">
        <f t="shared" si="2"/>
        <v/>
      </c>
      <c r="N50">
        <f t="shared" ca="1" si="0"/>
        <v>0</v>
      </c>
      <c r="P50" s="142" t="e">
        <f t="shared" ca="1" si="1"/>
        <v>#DIV/0!</v>
      </c>
      <c r="Q50" s="148">
        <f t="shared" ca="1" si="3"/>
        <v>0</v>
      </c>
    </row>
    <row r="51" spans="13:17" hidden="1">
      <c r="M51" t="str">
        <f t="shared" si="2"/>
        <v/>
      </c>
      <c r="N51">
        <f t="shared" ca="1" si="0"/>
        <v>0</v>
      </c>
      <c r="P51" s="142" t="e">
        <f t="shared" ca="1" si="1"/>
        <v>#DIV/0!</v>
      </c>
      <c r="Q51" s="148">
        <f t="shared" ca="1" si="3"/>
        <v>0</v>
      </c>
    </row>
    <row r="52" spans="13:17" hidden="1">
      <c r="M52" t="str">
        <f t="shared" si="2"/>
        <v/>
      </c>
      <c r="N52">
        <f t="shared" ca="1" si="0"/>
        <v>0</v>
      </c>
      <c r="P52" s="142" t="e">
        <f t="shared" ca="1" si="1"/>
        <v>#DIV/0!</v>
      </c>
      <c r="Q52" s="148">
        <f t="shared" ca="1" si="3"/>
        <v>0</v>
      </c>
    </row>
    <row r="53" spans="13:17" hidden="1">
      <c r="M53" t="str">
        <f t="shared" si="2"/>
        <v/>
      </c>
      <c r="N53">
        <f t="shared" ca="1" si="0"/>
        <v>0</v>
      </c>
      <c r="P53" s="142" t="e">
        <f t="shared" ca="1" si="1"/>
        <v>#DIV/0!</v>
      </c>
      <c r="Q53" s="148">
        <f t="shared" ca="1" si="3"/>
        <v>0</v>
      </c>
    </row>
    <row r="54" spans="13:17" hidden="1">
      <c r="M54" t="str">
        <f t="shared" si="2"/>
        <v/>
      </c>
      <c r="N54">
        <f t="shared" ca="1" si="0"/>
        <v>0</v>
      </c>
      <c r="P54" s="142" t="e">
        <f t="shared" ca="1" si="1"/>
        <v>#DIV/0!</v>
      </c>
      <c r="Q54" s="148">
        <f t="shared" ca="1" si="3"/>
        <v>0</v>
      </c>
    </row>
    <row r="55" spans="13:17" hidden="1">
      <c r="M55" t="str">
        <f t="shared" si="2"/>
        <v/>
      </c>
      <c r="N55">
        <f t="shared" ca="1" si="0"/>
        <v>0</v>
      </c>
      <c r="P55" s="142" t="e">
        <f t="shared" ca="1" si="1"/>
        <v>#DIV/0!</v>
      </c>
      <c r="Q55" s="148">
        <f t="shared" ca="1" si="3"/>
        <v>0</v>
      </c>
    </row>
    <row r="56" spans="13:17" hidden="1">
      <c r="M56" t="str">
        <f t="shared" si="2"/>
        <v/>
      </c>
      <c r="N56">
        <f t="shared" ca="1" si="0"/>
        <v>0</v>
      </c>
      <c r="P56" s="142" t="e">
        <f t="shared" ca="1" si="1"/>
        <v>#DIV/0!</v>
      </c>
      <c r="Q56" s="148">
        <f t="shared" ca="1" si="3"/>
        <v>0</v>
      </c>
    </row>
    <row r="57" spans="13:17" hidden="1">
      <c r="M57" t="str">
        <f t="shared" si="2"/>
        <v/>
      </c>
      <c r="N57">
        <f t="shared" ca="1" si="0"/>
        <v>0</v>
      </c>
      <c r="P57" s="142" t="e">
        <f t="shared" ca="1" si="1"/>
        <v>#DIV/0!</v>
      </c>
      <c r="Q57" s="148">
        <f t="shared" ca="1" si="3"/>
        <v>0</v>
      </c>
    </row>
    <row r="58" spans="13:17" hidden="1">
      <c r="M58" t="str">
        <f t="shared" si="2"/>
        <v/>
      </c>
      <c r="N58">
        <f t="shared" ca="1" si="0"/>
        <v>0</v>
      </c>
      <c r="P58" s="142" t="e">
        <f t="shared" ca="1" si="1"/>
        <v>#DIV/0!</v>
      </c>
      <c r="Q58" s="148">
        <f t="shared" ca="1" si="3"/>
        <v>0</v>
      </c>
    </row>
    <row r="59" spans="13:17" hidden="1">
      <c r="M59" t="str">
        <f t="shared" si="2"/>
        <v/>
      </c>
      <c r="N59">
        <f t="shared" ca="1" si="0"/>
        <v>0</v>
      </c>
      <c r="P59" s="142" t="e">
        <f t="shared" ca="1" si="1"/>
        <v>#DIV/0!</v>
      </c>
      <c r="Q59" s="148">
        <f t="shared" ca="1" si="3"/>
        <v>0</v>
      </c>
    </row>
    <row r="60" spans="13:17" hidden="1">
      <c r="M60" t="str">
        <f t="shared" si="2"/>
        <v/>
      </c>
      <c r="N60">
        <f t="shared" ca="1" si="0"/>
        <v>0</v>
      </c>
      <c r="P60" s="142" t="e">
        <f t="shared" ca="1" si="1"/>
        <v>#DIV/0!</v>
      </c>
      <c r="Q60" s="148">
        <f ca="1">IFERROR(-PV(N$23-N$22,M60,,N$21*12*IF(AND(N$20&gt;INT(N$20),INT(N$20)+1=M60),#REF!-INT(#REF!),1),P60),0)</f>
        <v>0</v>
      </c>
    </row>
    <row r="61" spans="13:17" hidden="1">
      <c r="M61" t="str">
        <f t="shared" si="2"/>
        <v/>
      </c>
      <c r="N61">
        <f t="shared" ca="1" si="0"/>
        <v>0</v>
      </c>
      <c r="P61" s="142" t="e">
        <f t="shared" ca="1" si="1"/>
        <v>#DIV/0!</v>
      </c>
      <c r="Q61" s="148">
        <f ca="1">IFERROR(-PV(N$23-N$22,M61,,N$21*12*IF(AND(N$20&gt;INT(N$20),INT(N$20)+1=M61),#REF!-INT(#REF!),1),P61),0)</f>
        <v>0</v>
      </c>
    </row>
    <row r="62" spans="13:17" hidden="1">
      <c r="M62" t="str">
        <f t="shared" si="2"/>
        <v/>
      </c>
      <c r="N62">
        <f t="shared" ca="1" si="0"/>
        <v>0</v>
      </c>
      <c r="P62" s="142" t="e">
        <f t="shared" ca="1" si="1"/>
        <v>#DIV/0!</v>
      </c>
      <c r="Q62" s="148">
        <f ca="1">IFERROR(-PV(N$23-N$22,M62,,N$21*12*IF(AND(N$20&gt;INT(N$20),INT(N$20)+1=M62),#REF!-INT(#REF!),1),P62),0)</f>
        <v>0</v>
      </c>
    </row>
    <row r="63" spans="13:17" hidden="1">
      <c r="M63" t="str">
        <f t="shared" si="2"/>
        <v/>
      </c>
      <c r="N63">
        <f t="shared" ca="1" si="0"/>
        <v>0</v>
      </c>
      <c r="P63" s="142" t="e">
        <f t="shared" ca="1" si="1"/>
        <v>#DIV/0!</v>
      </c>
      <c r="Q63" s="148">
        <f ca="1">IFERROR(-PV(N$23-N$22,M63,,N$21*12*IF(AND(N$20&gt;INT(N$20),INT(N$20)+1=M63),#REF!-INT(#REF!),1),P63),0)</f>
        <v>0</v>
      </c>
    </row>
    <row r="64" spans="13:17" hidden="1">
      <c r="M64" t="str">
        <f t="shared" si="2"/>
        <v/>
      </c>
      <c r="N64">
        <f t="shared" ca="1" si="0"/>
        <v>0</v>
      </c>
      <c r="P64" s="142" t="e">
        <f t="shared" ca="1" si="1"/>
        <v>#DIV/0!</v>
      </c>
      <c r="Q64" s="148">
        <f ca="1">IFERROR(-PV(N$23-N$22,M64,,N$21*12*IF(AND(N$20&gt;INT(N$20),INT(N$20)+1=M64),#REF!-INT(#REF!),1),P64),0)</f>
        <v>0</v>
      </c>
    </row>
    <row r="65" spans="13:17" hidden="1">
      <c r="M65" t="str">
        <f t="shared" si="2"/>
        <v/>
      </c>
      <c r="N65">
        <f t="shared" ca="1" si="0"/>
        <v>0</v>
      </c>
      <c r="P65" s="142" t="e">
        <f t="shared" ca="1" si="1"/>
        <v>#DIV/0!</v>
      </c>
      <c r="Q65" s="148">
        <f ca="1">IFERROR(-PV(N$23-N$22,M65,,N$21*12*IF(AND(N$20&gt;INT(N$20),INT(N$20)+1=M65),#REF!-INT(#REF!),1),P65),0)</f>
        <v>0</v>
      </c>
    </row>
    <row r="66" spans="13:17" hidden="1">
      <c r="M66" t="str">
        <f t="shared" si="2"/>
        <v/>
      </c>
      <c r="N66">
        <f t="shared" ca="1" si="0"/>
        <v>0</v>
      </c>
      <c r="P66" s="142" t="e">
        <f t="shared" ca="1" si="1"/>
        <v>#DIV/0!</v>
      </c>
      <c r="Q66" s="148">
        <f ca="1">IFERROR(-PV(N$23-N$22,M66,,N$21*12*IF(AND(N$20&gt;INT(N$20),INT(N$20)+1=M66),#REF!-INT(#REF!),1),P66),0)</f>
        <v>0</v>
      </c>
    </row>
    <row r="67" spans="13:17" hidden="1">
      <c r="M67" t="str">
        <f t="shared" si="2"/>
        <v/>
      </c>
      <c r="N67">
        <f t="shared" ca="1" si="0"/>
        <v>0</v>
      </c>
      <c r="P67" s="142" t="e">
        <f t="shared" ca="1" si="1"/>
        <v>#DIV/0!</v>
      </c>
      <c r="Q67" s="148">
        <f t="shared" ref="Q67:Q76" ca="1" si="4">IFERROR(-PV(N$23-N$22,M67,,N$21*12*IF(AND(N$20&gt;INT(N$20),INT(N$20)+1=M67),$N27-INT(N27),1),P67),0)</f>
        <v>0</v>
      </c>
    </row>
    <row r="68" spans="13:17" hidden="1">
      <c r="M68" t="str">
        <f t="shared" si="2"/>
        <v/>
      </c>
      <c r="N68">
        <f t="shared" ca="1" si="0"/>
        <v>0</v>
      </c>
      <c r="P68" s="142" t="e">
        <f t="shared" ca="1" si="1"/>
        <v>#DIV/0!</v>
      </c>
      <c r="Q68" s="148">
        <f t="shared" ca="1" si="4"/>
        <v>0</v>
      </c>
    </row>
    <row r="69" spans="13:17" hidden="1">
      <c r="M69" t="str">
        <f t="shared" si="2"/>
        <v/>
      </c>
      <c r="N69">
        <f t="shared" ca="1" si="0"/>
        <v>0</v>
      </c>
      <c r="P69" s="142" t="e">
        <f t="shared" ca="1" si="1"/>
        <v>#DIV/0!</v>
      </c>
      <c r="Q69" s="148">
        <f t="shared" ca="1" si="4"/>
        <v>0</v>
      </c>
    </row>
    <row r="70" spans="13:17" hidden="1">
      <c r="M70" t="str">
        <f t="shared" si="2"/>
        <v/>
      </c>
      <c r="N70">
        <f t="shared" ca="1" si="0"/>
        <v>0</v>
      </c>
      <c r="P70" s="142" t="e">
        <f t="shared" ca="1" si="1"/>
        <v>#DIV/0!</v>
      </c>
      <c r="Q70" s="148">
        <f t="shared" ca="1" si="4"/>
        <v>0</v>
      </c>
    </row>
    <row r="71" spans="13:17" hidden="1">
      <c r="M71" t="str">
        <f t="shared" si="2"/>
        <v/>
      </c>
      <c r="N71">
        <f t="shared" ca="1" si="0"/>
        <v>0</v>
      </c>
      <c r="P71" s="142" t="e">
        <f t="shared" ca="1" si="1"/>
        <v>#DIV/0!</v>
      </c>
      <c r="Q71" s="148">
        <f t="shared" ca="1" si="4"/>
        <v>0</v>
      </c>
    </row>
    <row r="72" spans="13:17" hidden="1">
      <c r="M72" t="str">
        <f t="shared" si="2"/>
        <v/>
      </c>
      <c r="N72">
        <f t="shared" ca="1" si="0"/>
        <v>0</v>
      </c>
      <c r="P72" s="142" t="e">
        <f t="shared" ca="1" si="1"/>
        <v>#DIV/0!</v>
      </c>
      <c r="Q72" s="148">
        <f t="shared" ca="1" si="4"/>
        <v>0</v>
      </c>
    </row>
    <row r="73" spans="13:17" hidden="1">
      <c r="M73" t="str">
        <f t="shared" si="2"/>
        <v/>
      </c>
      <c r="N73">
        <f t="shared" ca="1" si="0"/>
        <v>0</v>
      </c>
      <c r="P73" s="142" t="e">
        <f t="shared" ca="1" si="1"/>
        <v>#DIV/0!</v>
      </c>
      <c r="Q73" s="148">
        <f t="shared" ca="1" si="4"/>
        <v>0</v>
      </c>
    </row>
    <row r="74" spans="13:17" hidden="1">
      <c r="M74" t="str">
        <f t="shared" si="2"/>
        <v/>
      </c>
      <c r="N74">
        <f t="shared" ca="1" si="0"/>
        <v>0</v>
      </c>
      <c r="P74" s="142" t="e">
        <f t="shared" ca="1" si="1"/>
        <v>#DIV/0!</v>
      </c>
      <c r="Q74" s="148">
        <f t="shared" ca="1" si="4"/>
        <v>0</v>
      </c>
    </row>
    <row r="75" spans="13:17" hidden="1">
      <c r="M75" t="str">
        <f t="shared" si="2"/>
        <v/>
      </c>
      <c r="N75">
        <f t="shared" ca="1" si="0"/>
        <v>0</v>
      </c>
      <c r="P75" s="142" t="e">
        <f t="shared" ca="1" si="1"/>
        <v>#DIV/0!</v>
      </c>
      <c r="Q75" s="148">
        <f t="shared" ca="1" si="4"/>
        <v>0</v>
      </c>
    </row>
    <row r="76" spans="13:17" hidden="1">
      <c r="M76" t="str">
        <f t="shared" si="2"/>
        <v/>
      </c>
      <c r="N76">
        <f t="shared" ca="1" si="0"/>
        <v>0</v>
      </c>
      <c r="P76" s="142" t="e">
        <f t="shared" ca="1" si="1"/>
        <v>#DIV/0!</v>
      </c>
      <c r="Q76" s="148">
        <f t="shared" ca="1" si="4"/>
        <v>0</v>
      </c>
    </row>
    <row r="84"/>
    <row r="85"/>
  </sheetData>
  <sheetProtection algorithmName="SHA-512" hashValue="FhskOZue5r1VSuSnQCb61U/ApOYjIC9n8aKZKcZHRfPvG7xik6htOQt2IelxlGs6GuIZGw+WE+tGQTkMbapPdA==" saltValue="6t/zDB/3Wb6zbAzB7o02hA==" spinCount="100000" sheet="1" objects="1" scenarios="1" formatColumns="0" autoFilter="0"/>
  <mergeCells count="53">
    <mergeCell ref="C25:D25"/>
    <mergeCell ref="C6:D6"/>
    <mergeCell ref="C5:D5"/>
    <mergeCell ref="C10:D10"/>
    <mergeCell ref="C11:D11"/>
    <mergeCell ref="C12:D12"/>
    <mergeCell ref="C21:D21"/>
    <mergeCell ref="C22:D22"/>
    <mergeCell ref="C23:D23"/>
    <mergeCell ref="C24:D24"/>
    <mergeCell ref="C17:D17"/>
    <mergeCell ref="C18:D18"/>
    <mergeCell ref="C20:D20"/>
    <mergeCell ref="C19:F19"/>
    <mergeCell ref="E24:F24"/>
    <mergeCell ref="E17:F17"/>
    <mergeCell ref="C4:D4"/>
    <mergeCell ref="C3:D3"/>
    <mergeCell ref="E3:F3"/>
    <mergeCell ref="E6:F6"/>
    <mergeCell ref="E14:F14"/>
    <mergeCell ref="E5:F5"/>
    <mergeCell ref="C13:D13"/>
    <mergeCell ref="C14:D14"/>
    <mergeCell ref="O9:O18"/>
    <mergeCell ref="J14:M14"/>
    <mergeCell ref="J16:M16"/>
    <mergeCell ref="J17:M17"/>
    <mergeCell ref="J18:M18"/>
    <mergeCell ref="J12:N13"/>
    <mergeCell ref="J15:M15"/>
    <mergeCell ref="J9:M9"/>
    <mergeCell ref="J2:N2"/>
    <mergeCell ref="J3:M3"/>
    <mergeCell ref="J4:M4"/>
    <mergeCell ref="J5:M5"/>
    <mergeCell ref="J6:M6"/>
    <mergeCell ref="D2:F2"/>
    <mergeCell ref="J23:M23"/>
    <mergeCell ref="J24:M24"/>
    <mergeCell ref="J25:M25"/>
    <mergeCell ref="B26:N26"/>
    <mergeCell ref="J20:M20"/>
    <mergeCell ref="J21:M21"/>
    <mergeCell ref="J19:M19"/>
    <mergeCell ref="J22:M22"/>
    <mergeCell ref="C7:D9"/>
    <mergeCell ref="E7:E9"/>
    <mergeCell ref="F7:F9"/>
    <mergeCell ref="J7:M7"/>
    <mergeCell ref="J11:M11"/>
    <mergeCell ref="J10:M10"/>
    <mergeCell ref="J8:M8"/>
  </mergeCells>
  <conditionalFormatting sqref="C19:D19">
    <cfRule type="expression" dxfId="151" priority="87">
      <formula>C19="Anpassung ist nicht möglich (§ 33 II VersAusglG)"</formula>
    </cfRule>
    <cfRule type="expression" dxfId="150" priority="88">
      <formula>$C$19="Anpassung ist möglich (§ 33 II VersAusglG)"</formula>
    </cfRule>
  </conditionalFormatting>
  <conditionalFormatting sqref="D16">
    <cfRule type="expression" dxfId="149" priority="4">
      <formula>D16=""</formula>
    </cfRule>
    <cfRule type="expression" dxfId="148" priority="9">
      <formula>Euro_EP</formula>
    </cfRule>
  </conditionalFormatting>
  <conditionalFormatting sqref="E4">
    <cfRule type="expression" dxfId="147" priority="2">
      <formula>AND(E4="",$F$4="")</formula>
    </cfRule>
  </conditionalFormatting>
  <conditionalFormatting sqref="E10">
    <cfRule type="expression" dxfId="146" priority="5">
      <formula>E10=""</formula>
    </cfRule>
  </conditionalFormatting>
  <conditionalFormatting sqref="E5:F5">
    <cfRule type="expression" dxfId="145" priority="3">
      <formula>$E$5=""</formula>
    </cfRule>
  </conditionalFormatting>
  <conditionalFormatting sqref="E6:F6">
    <cfRule type="expression" dxfId="144" priority="6">
      <formula>E6=""</formula>
    </cfRule>
  </conditionalFormatting>
  <hyperlinks>
    <hyperlink ref="D2:E2" r:id="rId1" display="§ 33 VersAusglG " xr:uid="{CCB8FCBD-BAC8-4CE0-9461-FFC041D4FC53}"/>
    <hyperlink ref="G2" r:id="rId2" display="https://www.anwaelte-du.de/media/files/nedden-boeger-2024.pdf" xr:uid="{F7B55398-D931-4963-8276-DA6E8A94EC0F}"/>
  </hyperlinks>
  <printOptions horizontalCentered="1" verticalCentered="1"/>
  <pageMargins left="0.51181102362204722" right="0.51181102362204722" top="0.78740157480314965" bottom="0.78740157480314965" header="0.31496062992125984" footer="0.31496062992125984"/>
  <pageSetup paperSize="9"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789953" r:id="rId6" name="Check Box 1">
              <controlPr defaultSize="0" autoFill="0" autoLine="0" autoPict="0">
                <anchor moveWithCells="1">
                  <from>
                    <xdr:col>2</xdr:col>
                    <xdr:colOff>2924175</xdr:colOff>
                    <xdr:row>14</xdr:row>
                    <xdr:rowOff>180975</xdr:rowOff>
                  </from>
                  <to>
                    <xdr:col>2</xdr:col>
                    <xdr:colOff>3609975</xdr:colOff>
                    <xdr:row>16</xdr:row>
                    <xdr:rowOff>28575</xdr:rowOff>
                  </to>
                </anchor>
              </controlPr>
            </control>
          </mc:Choice>
        </mc:AlternateContent>
        <mc:AlternateContent xmlns:mc="http://schemas.openxmlformats.org/markup-compatibility/2006">
          <mc:Choice Requires="x14">
            <control shapeId="1789954" r:id="rId7" name="Check Box 2">
              <controlPr defaultSize="0" autoFill="0" autoLine="0" autoPict="0">
                <anchor moveWithCells="1">
                  <from>
                    <xdr:col>2</xdr:col>
                    <xdr:colOff>2924175</xdr:colOff>
                    <xdr:row>13</xdr:row>
                    <xdr:rowOff>180975</xdr:rowOff>
                  </from>
                  <to>
                    <xdr:col>2</xdr:col>
                    <xdr:colOff>3609975</xdr:colOff>
                    <xdr:row>15</xdr:row>
                    <xdr:rowOff>28575</xdr:rowOff>
                  </to>
                </anchor>
              </controlPr>
            </control>
          </mc:Choice>
        </mc:AlternateContent>
        <mc:AlternateContent xmlns:mc="http://schemas.openxmlformats.org/markup-compatibility/2006">
          <mc:Choice Requires="x14">
            <control shapeId="1789958" r:id="rId8" name="Option Button 6">
              <controlPr defaultSize="0" autoFill="0" autoLine="0" autoPict="0">
                <anchor moveWithCells="1">
                  <from>
                    <xdr:col>6</xdr:col>
                    <xdr:colOff>219075</xdr:colOff>
                    <xdr:row>12</xdr:row>
                    <xdr:rowOff>180975</xdr:rowOff>
                  </from>
                  <to>
                    <xdr:col>9</xdr:col>
                    <xdr:colOff>371475</xdr:colOff>
                    <xdr:row>14</xdr:row>
                    <xdr:rowOff>28575</xdr:rowOff>
                  </to>
                </anchor>
              </controlPr>
            </control>
          </mc:Choice>
        </mc:AlternateContent>
        <mc:AlternateContent xmlns:mc="http://schemas.openxmlformats.org/markup-compatibility/2006">
          <mc:Choice Requires="x14">
            <control shapeId="1789959" r:id="rId9" name="Option Button 7">
              <controlPr defaultSize="0" autoFill="0" autoLine="0" autoPict="0">
                <anchor moveWithCells="1">
                  <from>
                    <xdr:col>9</xdr:col>
                    <xdr:colOff>409575</xdr:colOff>
                    <xdr:row>12</xdr:row>
                    <xdr:rowOff>180975</xdr:rowOff>
                  </from>
                  <to>
                    <xdr:col>9</xdr:col>
                    <xdr:colOff>800100</xdr:colOff>
                    <xdr:row>14</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776A09EC-81C2-47C4-9296-6E146D3099F4}">
            <xm:f>AND($E$4="",Fallerfassung!$V$3&gt;0)</xm:f>
            <x14:dxf>
              <fill>
                <patternFill>
                  <bgColor theme="4" tint="0.59996337778862885"/>
                </patternFill>
              </fill>
            </x14:dxf>
          </x14:cfRule>
          <xm:sqref>F4</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dimension ref="A1:G22"/>
  <sheetViews>
    <sheetView workbookViewId="0">
      <selection activeCell="BD89" sqref="BD89"/>
    </sheetView>
  </sheetViews>
  <sheetFormatPr baseColWidth="10" defaultColWidth="0" defaultRowHeight="14.25" zeroHeight="1"/>
  <cols>
    <col min="1" max="1" width="3.125" customWidth="1"/>
    <col min="2" max="2" width="11.125" customWidth="1"/>
    <col min="3" max="6" width="10.625" customWidth="1"/>
    <col min="7" max="7" width="4.125" customWidth="1"/>
    <col min="8" max="16384" width="10.625" hidden="1"/>
  </cols>
  <sheetData>
    <row r="1" spans="2:6" ht="15.75">
      <c r="B1" s="3575" t="s">
        <v>1011</v>
      </c>
      <c r="C1" s="3576"/>
      <c r="D1" s="3576"/>
      <c r="E1" s="3576"/>
      <c r="F1" s="3577"/>
    </row>
    <row r="2" spans="2:6" ht="45">
      <c r="B2" s="884" t="s">
        <v>33</v>
      </c>
      <c r="C2" s="74" t="s">
        <v>34</v>
      </c>
      <c r="D2" s="74" t="s">
        <v>35</v>
      </c>
      <c r="E2" s="3578"/>
      <c r="F2" s="3579"/>
    </row>
    <row r="3" spans="2:6">
      <c r="B3" s="89">
        <v>1900</v>
      </c>
      <c r="C3" s="73">
        <v>0</v>
      </c>
      <c r="D3" s="69">
        <v>65</v>
      </c>
      <c r="E3" s="3573" t="s">
        <v>36</v>
      </c>
      <c r="F3" s="3574"/>
    </row>
    <row r="4" spans="2:6">
      <c r="B4" s="89">
        <v>1947</v>
      </c>
      <c r="C4" s="73">
        <v>1</v>
      </c>
      <c r="D4" s="69">
        <f>65+C4/12</f>
        <v>65.083333333333329</v>
      </c>
      <c r="E4" s="3573" t="s">
        <v>37</v>
      </c>
      <c r="F4" s="3574"/>
    </row>
    <row r="5" spans="2:6">
      <c r="B5" s="89">
        <v>1948</v>
      </c>
      <c r="C5" s="73">
        <v>2</v>
      </c>
      <c r="D5" s="69">
        <f t="shared" ref="D5:D21" si="0">65+C5/12</f>
        <v>65.166666666666671</v>
      </c>
      <c r="E5" s="3573" t="s">
        <v>38</v>
      </c>
      <c r="F5" s="3574"/>
    </row>
    <row r="6" spans="2:6">
      <c r="B6" s="89">
        <v>1949</v>
      </c>
      <c r="C6" s="73">
        <v>3</v>
      </c>
      <c r="D6" s="69">
        <f t="shared" si="0"/>
        <v>65.25</v>
      </c>
      <c r="E6" s="3573" t="s">
        <v>39</v>
      </c>
      <c r="F6" s="3574"/>
    </row>
    <row r="7" spans="2:6">
      <c r="B7" s="89">
        <v>1950</v>
      </c>
      <c r="C7" s="73">
        <v>4</v>
      </c>
      <c r="D7" s="69">
        <f t="shared" si="0"/>
        <v>65.333333333333329</v>
      </c>
      <c r="E7" s="3573" t="s">
        <v>40</v>
      </c>
      <c r="F7" s="3574"/>
    </row>
    <row r="8" spans="2:6">
      <c r="B8" s="89">
        <v>1951</v>
      </c>
      <c r="C8" s="73">
        <v>5</v>
      </c>
      <c r="D8" s="69">
        <f t="shared" si="0"/>
        <v>65.416666666666671</v>
      </c>
      <c r="E8" s="3573" t="s">
        <v>41</v>
      </c>
      <c r="F8" s="3574"/>
    </row>
    <row r="9" spans="2:6">
      <c r="B9" s="89">
        <v>1952</v>
      </c>
      <c r="C9" s="73">
        <v>6</v>
      </c>
      <c r="D9" s="69">
        <f t="shared" si="0"/>
        <v>65.5</v>
      </c>
      <c r="E9" s="3573" t="s">
        <v>42</v>
      </c>
      <c r="F9" s="3574"/>
    </row>
    <row r="10" spans="2:6">
      <c r="B10" s="89">
        <v>1953</v>
      </c>
      <c r="C10" s="73">
        <v>7</v>
      </c>
      <c r="D10" s="69">
        <f t="shared" si="0"/>
        <v>65.583333333333329</v>
      </c>
      <c r="E10" s="3573" t="s">
        <v>43</v>
      </c>
      <c r="F10" s="3574"/>
    </row>
    <row r="11" spans="2:6">
      <c r="B11" s="89">
        <v>1954</v>
      </c>
      <c r="C11" s="73">
        <v>8</v>
      </c>
      <c r="D11" s="69">
        <f t="shared" si="0"/>
        <v>65.666666666666671</v>
      </c>
      <c r="E11" s="3573" t="s">
        <v>44</v>
      </c>
      <c r="F11" s="3574"/>
    </row>
    <row r="12" spans="2:6">
      <c r="B12" s="89">
        <v>1955</v>
      </c>
      <c r="C12" s="73">
        <v>9</v>
      </c>
      <c r="D12" s="69">
        <f t="shared" si="0"/>
        <v>65.75</v>
      </c>
      <c r="E12" s="3573" t="s">
        <v>45</v>
      </c>
      <c r="F12" s="3574"/>
    </row>
    <row r="13" spans="2:6">
      <c r="B13" s="89">
        <v>1956</v>
      </c>
      <c r="C13" s="73">
        <v>10</v>
      </c>
      <c r="D13" s="69">
        <f t="shared" si="0"/>
        <v>65.833333333333329</v>
      </c>
      <c r="E13" s="3573" t="s">
        <v>46</v>
      </c>
      <c r="F13" s="3574"/>
    </row>
    <row r="14" spans="2:6">
      <c r="B14" s="89">
        <v>1957</v>
      </c>
      <c r="C14" s="73">
        <v>11</v>
      </c>
      <c r="D14" s="69">
        <f t="shared" si="0"/>
        <v>65.916666666666671</v>
      </c>
      <c r="E14" s="3573" t="s">
        <v>47</v>
      </c>
      <c r="F14" s="3574"/>
    </row>
    <row r="15" spans="2:6">
      <c r="B15" s="89">
        <v>1958</v>
      </c>
      <c r="C15" s="73">
        <v>12</v>
      </c>
      <c r="D15" s="69">
        <f t="shared" si="0"/>
        <v>66</v>
      </c>
      <c r="E15" s="3573" t="s">
        <v>48</v>
      </c>
      <c r="F15" s="3574"/>
    </row>
    <row r="16" spans="2:6">
      <c r="B16" s="89">
        <v>1959</v>
      </c>
      <c r="C16" s="73">
        <v>14</v>
      </c>
      <c r="D16" s="69">
        <f t="shared" si="0"/>
        <v>66.166666666666671</v>
      </c>
      <c r="E16" s="3573" t="s">
        <v>49</v>
      </c>
      <c r="F16" s="3574"/>
    </row>
    <row r="17" spans="2:6">
      <c r="B17" s="89">
        <v>1960</v>
      </c>
      <c r="C17" s="73">
        <v>16</v>
      </c>
      <c r="D17" s="69">
        <f t="shared" si="0"/>
        <v>66.333333333333329</v>
      </c>
      <c r="E17" s="3573" t="s">
        <v>50</v>
      </c>
      <c r="F17" s="3574"/>
    </row>
    <row r="18" spans="2:6">
      <c r="B18" s="89">
        <v>1961</v>
      </c>
      <c r="C18" s="73">
        <v>18</v>
      </c>
      <c r="D18" s="69">
        <f t="shared" si="0"/>
        <v>66.5</v>
      </c>
      <c r="E18" s="3573" t="s">
        <v>51</v>
      </c>
      <c r="F18" s="3574"/>
    </row>
    <row r="19" spans="2:6">
      <c r="B19" s="89">
        <v>1962</v>
      </c>
      <c r="C19" s="73">
        <v>20</v>
      </c>
      <c r="D19" s="69">
        <f t="shared" si="0"/>
        <v>66.666666666666671</v>
      </c>
      <c r="E19" s="3573" t="s">
        <v>52</v>
      </c>
      <c r="F19" s="3574"/>
    </row>
    <row r="20" spans="2:6">
      <c r="B20" s="89">
        <v>1963</v>
      </c>
      <c r="C20" s="73">
        <v>22</v>
      </c>
      <c r="D20" s="69">
        <f t="shared" si="0"/>
        <v>66.833333333333329</v>
      </c>
      <c r="E20" s="3573" t="s">
        <v>53</v>
      </c>
      <c r="F20" s="3574"/>
    </row>
    <row r="21" spans="2:6" ht="15" thickBot="1">
      <c r="B21" s="888">
        <v>1964</v>
      </c>
      <c r="C21" s="889">
        <v>24</v>
      </c>
      <c r="D21" s="890">
        <f t="shared" si="0"/>
        <v>67</v>
      </c>
      <c r="E21" s="3582" t="s">
        <v>54</v>
      </c>
      <c r="F21" s="3583"/>
    </row>
    <row r="22" spans="2:6" ht="15" hidden="1" thickBot="1">
      <c r="B22" s="885"/>
      <c r="C22" s="886"/>
      <c r="D22" s="887"/>
      <c r="E22" s="3580"/>
      <c r="F22" s="3581"/>
    </row>
  </sheetData>
  <sheetProtection algorithmName="SHA-512" hashValue="qv1lQRS2/rmCLEptHriSKmraXlV+duMlF1gvpqC1I4virCIE8tZR54TiSArnO/qx2aTPVaSnM6oHwQ6fFA5B4g==" saltValue="4You7z1fne3m5Yq6oO8TiA==" spinCount="100000" sheet="1" objects="1" scenarios="1" formatColumns="0" autoFilter="0"/>
  <mergeCells count="22">
    <mergeCell ref="E22:F22"/>
    <mergeCell ref="E21:F21"/>
    <mergeCell ref="E13:F13"/>
    <mergeCell ref="E14:F14"/>
    <mergeCell ref="E15:F15"/>
    <mergeCell ref="E16:F16"/>
    <mergeCell ref="E20:F20"/>
    <mergeCell ref="E12:F12"/>
    <mergeCell ref="E17:F17"/>
    <mergeCell ref="E18:F18"/>
    <mergeCell ref="E11:F11"/>
    <mergeCell ref="E19:F19"/>
    <mergeCell ref="E6:F6"/>
    <mergeCell ref="E7:F7"/>
    <mergeCell ref="E10:F10"/>
    <mergeCell ref="E8:F8"/>
    <mergeCell ref="B1:F1"/>
    <mergeCell ref="E2:F2"/>
    <mergeCell ref="E3:F3"/>
    <mergeCell ref="E4:F4"/>
    <mergeCell ref="E5:F5"/>
    <mergeCell ref="E9:F9"/>
  </mergeCells>
  <phoneticPr fontId="61" type="noConversion"/>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07F87-6F56-46B0-9D92-10131DA950B9}">
  <sheetPr codeName="Tabelle38">
    <tabColor rgb="FFFFC000"/>
    <pageSetUpPr fitToPage="1"/>
  </sheetPr>
  <dimension ref="A1:V78"/>
  <sheetViews>
    <sheetView showGridLines="0" showRowColHeaders="0" showZeros="0" topLeftCell="G16" zoomScale="120" zoomScaleNormal="120" workbookViewId="0">
      <selection activeCell="AE30" sqref="AE30"/>
    </sheetView>
  </sheetViews>
  <sheetFormatPr baseColWidth="10" defaultColWidth="0" defaultRowHeight="14.25"/>
  <cols>
    <col min="1" max="2" width="11" hidden="1" customWidth="1"/>
    <col min="3" max="3" width="2.625" customWidth="1"/>
    <col min="4" max="4" width="60.625" customWidth="1"/>
    <col min="5" max="5" width="16.625" customWidth="1"/>
    <col min="6" max="6" width="13.625" customWidth="1"/>
    <col min="7" max="7" width="16.625" customWidth="1"/>
    <col min="8" max="8" width="12.625" customWidth="1"/>
    <col min="9" max="9" width="1.125" style="215" customWidth="1"/>
    <col min="10" max="10" width="0.625" style="215" customWidth="1"/>
    <col min="11" max="12" width="13.125" style="128" customWidth="1"/>
    <col min="13" max="13" width="3.5" style="128" customWidth="1"/>
    <col min="14" max="14" width="15" style="128" hidden="1" customWidth="1"/>
    <col min="15" max="15" width="10" style="128" hidden="1" customWidth="1"/>
    <col min="16" max="17" width="11" style="128" hidden="1" customWidth="1"/>
    <col min="18" max="18" width="10.125" style="128" hidden="1" customWidth="1"/>
    <col min="19" max="20" width="11" hidden="1" customWidth="1"/>
    <col min="21" max="21" width="7" style="128" hidden="1" customWidth="1"/>
    <col min="22" max="22" width="16.625" style="362" hidden="1" customWidth="1"/>
    <col min="23" max="16384" width="11" hidden="1"/>
  </cols>
  <sheetData>
    <row r="1" spans="1:22" s="655" customFormat="1" ht="21" thickBot="1">
      <c r="A1"/>
      <c r="B1"/>
      <c r="C1" s="835">
        <v>1</v>
      </c>
      <c r="D1" s="3607" t="s">
        <v>905</v>
      </c>
      <c r="E1" s="3607"/>
      <c r="F1" s="3607"/>
      <c r="G1" s="3607"/>
      <c r="H1" s="3607"/>
      <c r="I1" s="1222"/>
      <c r="J1" s="335"/>
      <c r="K1" s="3623" t="s">
        <v>1050</v>
      </c>
      <c r="L1" s="3624"/>
      <c r="M1" s="210"/>
      <c r="N1" s="128"/>
      <c r="O1" s="128"/>
      <c r="P1" s="128"/>
      <c r="Q1" s="128"/>
      <c r="R1" s="128"/>
      <c r="S1"/>
      <c r="T1"/>
      <c r="U1" s="128"/>
      <c r="V1" s="362"/>
    </row>
    <row r="2" spans="1:22" s="15" customFormat="1" ht="18" customHeight="1">
      <c r="A2"/>
      <c r="B2"/>
      <c r="C2" s="836">
        <v>2</v>
      </c>
      <c r="D2" s="3617" t="s">
        <v>1031</v>
      </c>
      <c r="E2" s="3618"/>
      <c r="F2" s="3618"/>
      <c r="G2" s="3618"/>
      <c r="H2" s="3619"/>
      <c r="I2" s="3627"/>
      <c r="J2" s="3628"/>
      <c r="K2" s="3629" t="s">
        <v>1932</v>
      </c>
      <c r="L2" s="3631" t="s">
        <v>1933</v>
      </c>
      <c r="M2" s="211"/>
      <c r="N2" s="15" t="s">
        <v>57</v>
      </c>
      <c r="O2" s="15" t="b">
        <v>0</v>
      </c>
      <c r="P2" s="747"/>
      <c r="Q2" s="747"/>
      <c r="R2" s="747"/>
      <c r="U2" s="747"/>
      <c r="V2" s="892"/>
    </row>
    <row r="3" spans="1:22" s="15" customFormat="1" ht="18" customHeight="1" thickBot="1">
      <c r="A3"/>
      <c r="B3"/>
      <c r="C3" s="836">
        <v>3</v>
      </c>
      <c r="D3" s="3620"/>
      <c r="E3" s="3621"/>
      <c r="F3" s="3621"/>
      <c r="G3" s="3621"/>
      <c r="H3" s="3622"/>
      <c r="I3" s="211"/>
      <c r="J3" s="211"/>
      <c r="K3" s="3630"/>
      <c r="L3" s="3632"/>
      <c r="M3" s="211"/>
      <c r="N3" s="15" t="s">
        <v>1017</v>
      </c>
      <c r="O3" s="747">
        <f>VLOOKUP(YEAR(F4),MonatlicheBezugsgroesse,IF(GR_Ost,3,2))</f>
        <v>3955</v>
      </c>
      <c r="P3" s="748">
        <f>E14*VLOOKUP(F4,UmrechnungEP_Kap,IF(GR_Ost,3,2))</f>
        <v>0</v>
      </c>
      <c r="Q3" s="747">
        <f>G14*VLOOKUP(F4,UmrechnungEP_Kap,IF(GR_Ost,3,2))</f>
        <v>0</v>
      </c>
      <c r="R3" s="950"/>
      <c r="S3" s="3608"/>
      <c r="T3" s="3608"/>
      <c r="U3" s="950"/>
      <c r="V3" s="950"/>
    </row>
    <row r="4" spans="1:22" s="15" customFormat="1" ht="14.25" customHeight="1">
      <c r="A4"/>
      <c r="B4"/>
      <c r="C4" s="836">
        <v>4</v>
      </c>
      <c r="D4" s="1063" t="str">
        <f>IF(AND(E4="",F4=""),"Ehezeitende eingeben:",IF(AND(E4="",F4&gt;0),"Ehezeitende aus Fallerfassung übernommen:","Ehezeitende:"))</f>
        <v>Ehezeitende aus Fallerfassung übernommen:</v>
      </c>
      <c r="E4" s="1276"/>
      <c r="F4" s="1188">
        <f>IF(E4="",Dat_EzE,E4)</f>
        <v>46203</v>
      </c>
      <c r="G4" s="1086" t="s">
        <v>1049</v>
      </c>
      <c r="H4" s="1087">
        <f>IFERROR(VLOOKUP(F4,aktRW,IF(GR_Ost,3,2)),0)</f>
        <v>40.79</v>
      </c>
      <c r="I4" s="211"/>
      <c r="J4" s="211"/>
      <c r="K4" s="3625" t="s">
        <v>1171</v>
      </c>
      <c r="L4" s="3626"/>
      <c r="M4" s="210"/>
      <c r="N4" s="747"/>
      <c r="O4" s="747"/>
      <c r="P4" s="747"/>
      <c r="Q4" s="747"/>
      <c r="R4" s="747"/>
      <c r="S4" s="747"/>
      <c r="T4" s="320"/>
      <c r="U4" s="747"/>
      <c r="V4" s="892"/>
    </row>
    <row r="5" spans="1:22" s="15" customFormat="1" ht="14.25" customHeight="1" thickBot="1">
      <c r="A5"/>
      <c r="B5"/>
      <c r="C5" s="836">
        <v>5</v>
      </c>
      <c r="D5" s="1192" t="s">
        <v>1015</v>
      </c>
      <c r="E5" s="921">
        <f ca="1">TODAY()</f>
        <v>46239</v>
      </c>
      <c r="F5" s="1189"/>
      <c r="G5" s="1190" t="str">
        <f ca="1">IF(E5="","","aktRW am "&amp;TEXT(E5,"TT.MM.JJJJ"))</f>
        <v>aktRW am 05.08.2026</v>
      </c>
      <c r="H5" s="1191">
        <f ca="1">IF(E5="","",IFERROR(VLOOKUP(E5,aktRW,IF(GR_Ost,3,2),TRUE),0))</f>
        <v>42.52</v>
      </c>
      <c r="I5" s="211"/>
      <c r="J5" s="211"/>
      <c r="K5" s="3625"/>
      <c r="L5" s="3626"/>
      <c r="M5" s="210"/>
      <c r="N5" s="747"/>
      <c r="O5" s="747"/>
      <c r="P5" s="747"/>
      <c r="Q5" s="747"/>
      <c r="R5" s="747"/>
      <c r="S5" s="747"/>
      <c r="T5" s="320"/>
      <c r="U5" s="747"/>
      <c r="V5" s="892"/>
    </row>
    <row r="6" spans="1:22" s="15" customFormat="1" ht="14.25" customHeight="1">
      <c r="A6"/>
      <c r="B6"/>
      <c r="C6" s="836">
        <v>6</v>
      </c>
      <c r="D6" s="1193" t="s">
        <v>910</v>
      </c>
      <c r="E6" s="3613" t="s">
        <v>175</v>
      </c>
      <c r="F6" s="3614"/>
      <c r="G6" s="3615" t="s">
        <v>176</v>
      </c>
      <c r="H6" s="3616"/>
      <c r="I6" s="211"/>
      <c r="J6" s="211"/>
      <c r="K6" s="3625"/>
      <c r="L6" s="3626"/>
      <c r="M6" s="210"/>
      <c r="N6" s="747"/>
      <c r="O6" s="747"/>
      <c r="P6" s="747"/>
      <c r="Q6" s="747"/>
      <c r="R6" s="747"/>
      <c r="S6" s="893"/>
      <c r="T6" s="893"/>
      <c r="U6" s="894"/>
      <c r="V6" s="892"/>
    </row>
    <row r="7" spans="1:22" s="15" customFormat="1" ht="14.25" customHeight="1">
      <c r="A7"/>
      <c r="B7"/>
      <c r="C7" s="836">
        <v>7</v>
      </c>
      <c r="D7" s="1064" t="s">
        <v>908</v>
      </c>
      <c r="E7" s="921"/>
      <c r="F7" s="1194" t="str">
        <f>IF(E7="",Dat_GebDat_M,E7)</f>
        <v/>
      </c>
      <c r="G7" s="1195"/>
      <c r="H7" s="1197" t="str">
        <f>IF(G7="",Dat_GebDat_F,G7)</f>
        <v/>
      </c>
      <c r="I7" s="211"/>
      <c r="J7" s="211"/>
      <c r="K7" s="3625"/>
      <c r="L7" s="3626"/>
      <c r="M7" s="210"/>
      <c r="N7" s="747"/>
      <c r="O7" s="747"/>
      <c r="P7" s="747"/>
      <c r="Q7" s="747"/>
      <c r="R7" s="747"/>
      <c r="S7" s="893"/>
      <c r="T7" s="893"/>
      <c r="U7" s="894"/>
      <c r="V7" s="892"/>
    </row>
    <row r="8" spans="1:22" s="15" customFormat="1" ht="14.25" customHeight="1">
      <c r="A8"/>
      <c r="B8"/>
      <c r="C8" s="836">
        <v>8</v>
      </c>
      <c r="D8" s="1064" t="s">
        <v>1024</v>
      </c>
      <c r="E8" s="3609" t="str">
        <f>IFERROR(IF(F7=0,"",YEARFRAC(F7,F4,0)),"")</f>
        <v/>
      </c>
      <c r="F8" s="3610"/>
      <c r="G8" s="3611" t="str">
        <f>IFERROR(IF(H7=0,"",YEARFRAC(H7,F4,0)),"")</f>
        <v/>
      </c>
      <c r="H8" s="3612"/>
      <c r="I8" s="211"/>
      <c r="J8" s="211"/>
      <c r="K8" s="3625"/>
      <c r="L8" s="3626"/>
      <c r="M8" s="210"/>
      <c r="N8" s="747"/>
      <c r="O8" s="747"/>
      <c r="P8" s="747"/>
      <c r="Q8" s="747"/>
      <c r="R8" s="747"/>
      <c r="S8" s="893"/>
      <c r="T8" s="893"/>
      <c r="U8" s="894"/>
      <c r="V8" s="892"/>
    </row>
    <row r="9" spans="1:22" s="15" customFormat="1" ht="14.25" customHeight="1">
      <c r="A9"/>
      <c r="B9"/>
      <c r="C9" s="836">
        <v>9</v>
      </c>
      <c r="D9" s="1065" t="s">
        <v>906</v>
      </c>
      <c r="E9" s="3594" t="str">
        <f>IFERROR(IF(F7=0,"",DATE(YEAR(F7)+65,MONTH(F7)+VLOOKUP(YEAR(F7),Regelaltersgrenze,2)+1,1)),"")</f>
        <v/>
      </c>
      <c r="F9" s="3595"/>
      <c r="G9" s="3592" t="str">
        <f>IF(H7="","",DATE(YEAR(H7)+65,MONTH(H7)+VLOOKUP(YEAR(H7),Regelaltersgrenze,2)+1,1))</f>
        <v/>
      </c>
      <c r="H9" s="3593"/>
      <c r="I9" s="211"/>
      <c r="J9" s="211"/>
      <c r="K9" s="3584" t="str">
        <f>"Grundrenten-EP Teilung? - "&amp;IF(GR_EP_Teilung,"Ja","Nein")</f>
        <v>Grundrenten-EP Teilung? - Ja</v>
      </c>
      <c r="L9" s="3585"/>
      <c r="M9" s="210"/>
      <c r="N9" s="747" t="s">
        <v>1052</v>
      </c>
      <c r="O9" s="949" t="b">
        <v>1</v>
      </c>
      <c r="P9" s="747"/>
      <c r="Q9" s="747"/>
      <c r="R9" s="747"/>
      <c r="S9" s="893"/>
      <c r="T9" s="893"/>
      <c r="U9" s="894"/>
      <c r="V9" s="896"/>
    </row>
    <row r="10" spans="1:22" s="15" customFormat="1" ht="14.25" customHeight="1">
      <c r="A10"/>
      <c r="B10"/>
      <c r="C10" s="836">
        <v>10</v>
      </c>
      <c r="D10" s="1064" t="s">
        <v>909</v>
      </c>
      <c r="E10" s="3596"/>
      <c r="F10" s="3597"/>
      <c r="G10" s="3591"/>
      <c r="H10" s="2982"/>
      <c r="I10" s="211"/>
      <c r="J10" s="211"/>
      <c r="K10" s="3586" t="s">
        <v>1051</v>
      </c>
      <c r="L10" s="3587"/>
      <c r="M10" s="210"/>
      <c r="N10" s="747"/>
      <c r="O10" s="747"/>
      <c r="P10" s="747"/>
      <c r="Q10" s="747"/>
      <c r="R10" s="747"/>
      <c r="S10" s="893"/>
      <c r="T10" s="893"/>
      <c r="U10" s="894"/>
      <c r="V10" s="892"/>
    </row>
    <row r="11" spans="1:22" s="15" customFormat="1" ht="14.25" customHeight="1" thickBot="1">
      <c r="A11"/>
      <c r="B11"/>
      <c r="C11" s="836">
        <v>11</v>
      </c>
      <c r="D11" s="1066" t="s">
        <v>907</v>
      </c>
      <c r="E11" s="3598" t="str">
        <f>IFERROR(YEARFRAC(F4,IF(E10&gt;0,E10,E9),0),"")</f>
        <v/>
      </c>
      <c r="F11" s="3599"/>
      <c r="G11" s="3600" t="str">
        <f>IFERROR(YEARFRAC(F4,IF(G10&gt;0,G10,G9),0),"")</f>
        <v/>
      </c>
      <c r="H11" s="3601"/>
      <c r="I11" s="211"/>
      <c r="J11" s="211"/>
      <c r="K11" s="3586"/>
      <c r="L11" s="3587"/>
      <c r="M11" s="210"/>
      <c r="N11" s="747"/>
      <c r="O11" s="747"/>
      <c r="P11" s="747"/>
      <c r="Q11" s="747"/>
      <c r="R11" s="747"/>
      <c r="S11" s="893"/>
      <c r="T11" s="893"/>
      <c r="U11" s="894"/>
      <c r="V11" s="892"/>
    </row>
    <row r="12" spans="1:22" s="15" customFormat="1" ht="15">
      <c r="A12"/>
      <c r="B12"/>
      <c r="C12" s="836">
        <v>12</v>
      </c>
      <c r="D12" s="1067" t="s">
        <v>67</v>
      </c>
      <c r="E12" s="3602" t="s">
        <v>1016</v>
      </c>
      <c r="F12" s="3602"/>
      <c r="G12" s="3602"/>
      <c r="H12" s="3603"/>
      <c r="I12" s="211"/>
      <c r="J12" s="211"/>
      <c r="K12" s="947" t="str">
        <f>+E6</f>
        <v>Mann</v>
      </c>
      <c r="L12" s="948" t="str">
        <f>+G6</f>
        <v>Frau</v>
      </c>
      <c r="M12" s="210"/>
      <c r="N12" s="747"/>
      <c r="O12" s="747"/>
      <c r="P12" s="747"/>
      <c r="Q12" s="747"/>
      <c r="R12" s="747"/>
      <c r="S12" s="893"/>
      <c r="T12" s="893"/>
      <c r="U12" s="894"/>
      <c r="V12" s="892"/>
    </row>
    <row r="13" spans="1:22" s="15" customFormat="1" ht="15">
      <c r="A13"/>
      <c r="B13"/>
      <c r="C13" s="836">
        <v>13</v>
      </c>
      <c r="D13" s="1055" t="s">
        <v>1028</v>
      </c>
      <c r="E13" s="916"/>
      <c r="F13" s="1085">
        <f ca="1">IFERROR(+E13*H5,"")</f>
        <v>0</v>
      </c>
      <c r="G13" s="917"/>
      <c r="H13" s="927">
        <f ca="1">IFERROR(+G13*H5,"")</f>
        <v>0</v>
      </c>
      <c r="I13" s="211"/>
      <c r="J13" s="211"/>
      <c r="K13" s="939">
        <f ca="1">IFERROR(+(F13+H13)/2,"")</f>
        <v>0</v>
      </c>
      <c r="L13" s="220">
        <f ca="1">IFERROR(+(H13+F13)/2,"")</f>
        <v>0</v>
      </c>
      <c r="M13" s="210"/>
      <c r="N13" s="747"/>
      <c r="O13" s="747"/>
      <c r="P13" s="747"/>
      <c r="Q13" s="747"/>
      <c r="R13" s="747"/>
      <c r="S13" s="893"/>
      <c r="T13" s="893"/>
      <c r="U13" s="894"/>
      <c r="V13" s="892"/>
    </row>
    <row r="14" spans="1:22" s="15" customFormat="1" ht="15">
      <c r="A14"/>
      <c r="B14"/>
      <c r="C14" s="836">
        <v>14</v>
      </c>
      <c r="D14" s="1055" t="s">
        <v>1027</v>
      </c>
      <c r="E14" s="916"/>
      <c r="F14" s="1085">
        <f ca="1">IFERROR(+E14*H5,"")</f>
        <v>0</v>
      </c>
      <c r="G14" s="917"/>
      <c r="H14" s="927">
        <f ca="1">IFERROR(+G14*H5,"")</f>
        <v>0</v>
      </c>
      <c r="I14" s="211"/>
      <c r="J14" s="211"/>
      <c r="K14" s="939">
        <f ca="1">IFERROR(IF(GR_EP_Teilung,(F14+H14)/2,F14),"")</f>
        <v>0</v>
      </c>
      <c r="L14" s="220">
        <f ca="1">IFERROR(IF(GR_EP_Teilung,(H14+F14)/2,H14),"")</f>
        <v>0</v>
      </c>
      <c r="M14" s="210"/>
      <c r="N14" s="747"/>
      <c r="O14" s="747"/>
      <c r="P14" s="747"/>
      <c r="Q14" s="747"/>
      <c r="R14" s="747"/>
      <c r="S14" s="893"/>
      <c r="T14" s="893"/>
      <c r="U14" s="894"/>
      <c r="V14" s="892"/>
    </row>
    <row r="15" spans="1:22" s="15" customFormat="1">
      <c r="A15"/>
      <c r="B15"/>
      <c r="C15" s="836">
        <v>15</v>
      </c>
      <c r="D15" s="1055" t="str">
        <f>IFERROR("Bagatellgrenze § 18 Abs. 3 VersAusglG im EzE für GR-EP: "&amp;TEXT(GR_Bagatellgrenze,"#.##0,00"),"")</f>
        <v>Bagatellgrenze § 18 Abs. 3 VersAusglG im EzE für GR-EP: 3.955,00</v>
      </c>
      <c r="E15" s="1089" t="str">
        <f>IFERROR(IF(E14=0,"","KapWert:"&amp;TEXT(P3,"#.##0,00")),"")</f>
        <v/>
      </c>
      <c r="F15" s="1088" t="str">
        <f>IFERROR(IF(E14=0,"",IF(P3&gt;GR_Bagatellgrenze,"keine Bagatelle","Bagatelle!")),"")</f>
        <v/>
      </c>
      <c r="G15" s="1089" t="str">
        <f>IFERROR(IF(G14=0,"","KapWert:"&amp;TEXT(Q3,"#.##0,00")),"")</f>
        <v/>
      </c>
      <c r="H15" s="1027" t="str">
        <f>IFERROR(IF(G14=0,"",IF(Q3&gt;GR_Bagatellgrenze,"keine Bagatelle","Bagatelle!")),"")</f>
        <v/>
      </c>
      <c r="I15" s="211"/>
      <c r="J15" s="211"/>
      <c r="K15" s="939"/>
      <c r="L15" s="220"/>
      <c r="M15" s="210"/>
      <c r="N15" s="747"/>
      <c r="O15" s="747"/>
      <c r="P15" s="747"/>
      <c r="Q15" s="747"/>
      <c r="R15" s="747"/>
      <c r="S15" s="893"/>
      <c r="T15" s="893"/>
      <c r="U15" s="894"/>
      <c r="V15" s="892"/>
    </row>
    <row r="16" spans="1:22" s="15" customFormat="1">
      <c r="A16"/>
      <c r="B16"/>
      <c r="C16" s="836">
        <v>16</v>
      </c>
      <c r="D16" s="1068" t="s">
        <v>1170</v>
      </c>
      <c r="E16" s="1090"/>
      <c r="F16" s="910"/>
      <c r="G16" s="1097"/>
      <c r="H16" s="745"/>
      <c r="I16" s="211"/>
      <c r="J16" s="211"/>
      <c r="K16" s="939">
        <f>+(F16+H16)/2</f>
        <v>0</v>
      </c>
      <c r="L16" s="220">
        <f>+(H16+F16)/2</f>
        <v>0</v>
      </c>
      <c r="M16" s="210"/>
      <c r="N16" s="747"/>
      <c r="O16" s="747"/>
      <c r="P16" s="747"/>
      <c r="Q16" s="747"/>
      <c r="R16" s="747"/>
      <c r="S16" s="893"/>
      <c r="T16" s="893"/>
      <c r="U16" s="894"/>
      <c r="V16" s="892"/>
    </row>
    <row r="17" spans="1:22" s="15" customFormat="1">
      <c r="A17"/>
      <c r="B17"/>
      <c r="C17" s="836">
        <v>17</v>
      </c>
      <c r="D17" s="1055" t="s">
        <v>1025</v>
      </c>
      <c r="E17" s="911"/>
      <c r="F17" s="912">
        <f ca="1">IFERROR(E17*H5,"")</f>
        <v>0</v>
      </c>
      <c r="G17" s="911"/>
      <c r="H17" s="913">
        <f ca="1">IFERROR(+G17*H5,"")</f>
        <v>0</v>
      </c>
      <c r="I17" s="211"/>
      <c r="J17" s="211"/>
      <c r="K17" s="939">
        <f ca="1">+F17</f>
        <v>0</v>
      </c>
      <c r="L17" s="220">
        <f ca="1">+H17</f>
        <v>0</v>
      </c>
      <c r="M17" s="210"/>
      <c r="N17" s="747"/>
      <c r="O17" s="747"/>
      <c r="P17" s="747"/>
      <c r="Q17" s="747"/>
      <c r="R17" s="747"/>
      <c r="S17" s="893"/>
      <c r="T17" s="893"/>
      <c r="U17" s="894"/>
      <c r="V17" s="892"/>
    </row>
    <row r="18" spans="1:22" s="15" customFormat="1" ht="15">
      <c r="A18"/>
      <c r="B18"/>
      <c r="C18" s="836">
        <v>18</v>
      </c>
      <c r="D18" s="1056" t="s">
        <v>189</v>
      </c>
      <c r="E18" s="1093"/>
      <c r="F18" s="1091">
        <f ca="1">SUM(F13:F17)</f>
        <v>0</v>
      </c>
      <c r="G18" s="1099"/>
      <c r="H18" s="941">
        <f ca="1">IFERROR(SUM(H13:H17),"")</f>
        <v>0</v>
      </c>
      <c r="I18" s="211"/>
      <c r="J18" s="211"/>
      <c r="K18" s="407"/>
      <c r="L18" s="938"/>
      <c r="M18" s="210"/>
      <c r="N18" s="747"/>
      <c r="O18" s="747"/>
      <c r="P18" s="747"/>
      <c r="Q18" s="747"/>
      <c r="R18" s="747"/>
      <c r="S18" s="893"/>
      <c r="T18" s="893"/>
      <c r="U18" s="894"/>
      <c r="V18" s="892"/>
    </row>
    <row r="19" spans="1:22" s="15" customFormat="1">
      <c r="A19"/>
      <c r="B19"/>
      <c r="C19" s="836">
        <v>19</v>
      </c>
      <c r="D19" s="1069" t="s">
        <v>902</v>
      </c>
      <c r="E19" s="922"/>
      <c r="F19" s="1092">
        <f ca="1">IFERROR(E19*H5,"")</f>
        <v>0</v>
      </c>
      <c r="G19" s="924"/>
      <c r="H19" s="1098">
        <f ca="1">IFERROR(+G19*H5,"")</f>
        <v>0</v>
      </c>
      <c r="I19" s="211"/>
      <c r="J19" s="211"/>
      <c r="K19" s="939">
        <f ca="1">+F19</f>
        <v>0</v>
      </c>
      <c r="L19" s="220">
        <f ca="1">+H19</f>
        <v>0</v>
      </c>
      <c r="M19" s="210"/>
      <c r="N19" s="747"/>
      <c r="O19" s="747"/>
      <c r="P19" s="747"/>
      <c r="Q19" s="747"/>
      <c r="R19" s="747"/>
      <c r="S19" s="893"/>
      <c r="T19" s="893"/>
      <c r="U19" s="894"/>
      <c r="V19" s="892"/>
    </row>
    <row r="20" spans="1:22" s="15" customFormat="1" ht="15.75" thickBot="1">
      <c r="A20"/>
      <c r="B20"/>
      <c r="C20" s="836">
        <v>20</v>
      </c>
      <c r="D20" s="1070" t="s">
        <v>1014</v>
      </c>
      <c r="E20" s="1094"/>
      <c r="F20" s="923"/>
      <c r="G20" s="1100"/>
      <c r="H20" s="925"/>
      <c r="I20" s="211"/>
      <c r="J20" s="211"/>
      <c r="K20" s="939">
        <f>+F20</f>
        <v>0</v>
      </c>
      <c r="L20" s="220">
        <f>+H20</f>
        <v>0</v>
      </c>
      <c r="M20" s="210"/>
      <c r="N20" s="747"/>
      <c r="O20" s="747"/>
      <c r="P20" s="747"/>
      <c r="Q20" s="747"/>
      <c r="R20" s="747"/>
      <c r="S20" s="893"/>
      <c r="T20" s="893"/>
      <c r="U20" s="894"/>
      <c r="V20" s="892"/>
    </row>
    <row r="21" spans="1:22" s="15" customFormat="1" ht="16.5" thickTop="1" thickBot="1">
      <c r="A21"/>
      <c r="B21"/>
      <c r="C21" s="836">
        <v>21</v>
      </c>
      <c r="D21" s="1071" t="s">
        <v>904</v>
      </c>
      <c r="E21" s="1095"/>
      <c r="F21" s="1096">
        <f ca="1">SUM(F18:F20)</f>
        <v>0</v>
      </c>
      <c r="G21" s="1101"/>
      <c r="H21" s="1102">
        <f ca="1">SUM(H18:H20)</f>
        <v>0</v>
      </c>
      <c r="I21" s="211"/>
      <c r="J21" s="211"/>
      <c r="K21" s="940">
        <f ca="1">SUM(K13:K20)</f>
        <v>0</v>
      </c>
      <c r="L21" s="941">
        <f ca="1">SUM(L13:L20)</f>
        <v>0</v>
      </c>
      <c r="M21" s="211"/>
      <c r="N21" s="747" t="s">
        <v>1021</v>
      </c>
      <c r="O21" s="895" t="b">
        <v>0</v>
      </c>
      <c r="P21" s="747" t="b">
        <v>0</v>
      </c>
      <c r="Q21" s="747"/>
      <c r="R21" s="747"/>
      <c r="S21" s="893"/>
      <c r="T21" s="893"/>
      <c r="U21" s="894"/>
      <c r="V21" s="892"/>
    </row>
    <row r="22" spans="1:22" s="15" customFormat="1" ht="15" hidden="1" customHeight="1">
      <c r="A22"/>
      <c r="B22"/>
      <c r="C22" s="836">
        <v>22</v>
      </c>
      <c r="D22" s="1072"/>
      <c r="E22" s="837"/>
      <c r="F22" s="839"/>
      <c r="G22" s="838"/>
      <c r="H22" s="845"/>
      <c r="I22" s="211"/>
      <c r="J22" s="211"/>
      <c r="K22" s="407"/>
      <c r="L22" s="328"/>
      <c r="M22" s="210"/>
      <c r="N22" s="747"/>
      <c r="O22" s="747"/>
      <c r="P22" s="747"/>
      <c r="Q22" s="747"/>
      <c r="R22" s="747"/>
      <c r="S22" s="893"/>
      <c r="T22" s="893"/>
      <c r="U22" s="894"/>
      <c r="V22" s="892"/>
    </row>
    <row r="23" spans="1:22" s="15" customFormat="1">
      <c r="A23"/>
      <c r="B23"/>
      <c r="C23" s="836">
        <v>23</v>
      </c>
      <c r="D23" s="1068" t="str">
        <f ca="1">"Einkommensgrenze § 97a Abs. 4 S. 2 SGB VI   (60%): "&amp;TEXT(H5,"0,00")&amp;" x "&amp;IF(verheiratet," 57,03 ","36,56 ")&amp;" ="</f>
        <v>Einkommensgrenze § 97a Abs. 4 S. 2 SGB VI   (60%): 42,52 x 36,56  =</v>
      </c>
      <c r="E23" s="1075">
        <f ca="1">IFERROR(ROUNDUP(+H5*IF(verheiratet,57.03,36.56),0),"")</f>
        <v>1555</v>
      </c>
      <c r="F23" s="1076"/>
      <c r="G23" s="1077">
        <f ca="1">IFERROR(ROUNDUP(+H5*IF(Verheiratet2,57.03,36.56),0),"")</f>
        <v>1555</v>
      </c>
      <c r="H23" s="928"/>
      <c r="I23" s="211"/>
      <c r="J23" s="211"/>
      <c r="K23" s="942">
        <f ca="1">+E23</f>
        <v>1555</v>
      </c>
      <c r="L23" s="1057">
        <f ca="1">+G23</f>
        <v>1555</v>
      </c>
      <c r="M23" s="210"/>
      <c r="N23" s="747"/>
      <c r="O23" s="747"/>
      <c r="P23" s="747"/>
      <c r="Q23" s="747"/>
      <c r="R23" s="747"/>
      <c r="S23" s="893"/>
      <c r="T23" s="893"/>
      <c r="U23" s="894"/>
      <c r="V23" s="892"/>
    </row>
    <row r="24" spans="1:22" s="15" customFormat="1">
      <c r="A24"/>
      <c r="B24"/>
      <c r="C24" s="836">
        <v>24</v>
      </c>
      <c r="D24" s="1068" t="str">
        <f ca="1">"Einkommensgrenze § 97a Abs. 4 S. 3 SGB VI (100%): "&amp;TEXT(H5,"0,00")&amp;" x "&amp;IF(verheiratet," 67,27 ","46,78 ")&amp;"="</f>
        <v>Einkommensgrenze § 97a Abs. 4 S. 3 SGB VI (100%): 42,52 x 46,78 =</v>
      </c>
      <c r="E24" s="1075">
        <f ca="1">IFERROR(ROUNDUP(+H5*IF(verheiratet,67.27,46.78),0),"")</f>
        <v>1990</v>
      </c>
      <c r="F24" s="1076"/>
      <c r="G24" s="1075">
        <f ca="1">IFERROR(ROUNDUP(+H5*IF(Verheiratet2,67.27,46.78),0),"")</f>
        <v>1990</v>
      </c>
      <c r="H24" s="928"/>
      <c r="I24" s="211"/>
      <c r="J24" s="211"/>
      <c r="K24" s="942">
        <f ca="1">+E24</f>
        <v>1990</v>
      </c>
      <c r="L24" s="1057">
        <f ca="1">+G24</f>
        <v>1990</v>
      </c>
      <c r="M24" s="210"/>
      <c r="N24" s="747"/>
      <c r="O24" s="747"/>
      <c r="P24" s="747"/>
      <c r="Q24" s="747"/>
      <c r="R24" s="747"/>
      <c r="S24" s="893"/>
      <c r="T24" s="893"/>
      <c r="U24" s="894"/>
      <c r="V24" s="892"/>
    </row>
    <row r="25" spans="1:22" s="15" customFormat="1">
      <c r="A25"/>
      <c r="B25"/>
      <c r="C25" s="836">
        <v>25</v>
      </c>
      <c r="D25" s="1055" t="s">
        <v>901</v>
      </c>
      <c r="E25" s="216"/>
      <c r="F25" s="1078">
        <f ca="1">+F21*12</f>
        <v>0</v>
      </c>
      <c r="G25" s="1079"/>
      <c r="H25" s="944">
        <f ca="1">+H21*12</f>
        <v>0</v>
      </c>
      <c r="I25" s="211"/>
      <c r="J25" s="211"/>
      <c r="K25" s="407"/>
      <c r="L25" s="938"/>
      <c r="M25" s="210"/>
      <c r="N25" s="747"/>
      <c r="O25" s="747"/>
      <c r="P25" s="747"/>
      <c r="Q25" s="747"/>
      <c r="R25" s="747"/>
      <c r="S25" s="893"/>
      <c r="T25" s="893"/>
      <c r="U25" s="894"/>
      <c r="V25" s="892"/>
    </row>
    <row r="26" spans="1:22" s="15" customFormat="1">
      <c r="A26"/>
      <c r="B26"/>
      <c r="C26" s="836">
        <v>26</v>
      </c>
      <c r="D26" s="1055" t="str">
        <f>"Monatseinkommen ohne Grundrentenerwerb: "</f>
        <v xml:space="preserve">Monatseinkommen ohne Grundrentenerwerb: </v>
      </c>
      <c r="E26" s="724" t="str">
        <f ca="1">IF(F21=0,"",TEXT(F21,"#.##0,00")&amp;" - "&amp;TEXT(F14,"#.##0,00"))</f>
        <v/>
      </c>
      <c r="F26" s="1078">
        <f ca="1">IFERROR(F21-F14,"")</f>
        <v>0</v>
      </c>
      <c r="G26" s="1080" t="str">
        <f ca="1">IF(H21=0,"",TEXT(H21,"#.##0,00")&amp;" - "&amp;TEXT(H14,"#.##0,00"))</f>
        <v/>
      </c>
      <c r="H26" s="944">
        <f ca="1">IFERROR(H21-H14,"")</f>
        <v>0</v>
      </c>
      <c r="I26" s="211"/>
      <c r="J26" s="211"/>
      <c r="K26" s="939">
        <f ca="1">IFERROR(+K21-K14,"")</f>
        <v>0</v>
      </c>
      <c r="L26" s="220">
        <f ca="1">+IFERROR(L21-L14,"")</f>
        <v>0</v>
      </c>
      <c r="M26" s="210"/>
      <c r="N26" s="747"/>
      <c r="O26" s="747"/>
      <c r="P26" s="747"/>
      <c r="Q26" s="747"/>
      <c r="R26" s="747"/>
      <c r="S26" s="893"/>
      <c r="T26" s="893"/>
      <c r="U26" s="894"/>
      <c r="V26" s="892"/>
    </row>
    <row r="27" spans="1:22" s="15" customFormat="1">
      <c r="A27"/>
      <c r="B27"/>
      <c r="C27" s="836">
        <v>27</v>
      </c>
      <c r="D27" s="1055" t="s">
        <v>903</v>
      </c>
      <c r="E27" s="1054"/>
      <c r="F27" s="1078">
        <f ca="1">+F14</f>
        <v>0</v>
      </c>
      <c r="G27" s="1081"/>
      <c r="H27" s="944">
        <f ca="1">+H14</f>
        <v>0</v>
      </c>
      <c r="I27" s="211"/>
      <c r="J27" s="211"/>
      <c r="K27" s="939">
        <f ca="1">+K14</f>
        <v>0</v>
      </c>
      <c r="L27" s="220">
        <f ca="1">+L14</f>
        <v>0</v>
      </c>
      <c r="M27" s="210"/>
      <c r="N27" s="747"/>
      <c r="O27" s="747"/>
      <c r="P27" s="747"/>
      <c r="Q27" s="747"/>
      <c r="R27" s="747"/>
      <c r="S27" s="893"/>
      <c r="T27" s="893"/>
      <c r="U27" s="894"/>
      <c r="V27" s="892"/>
    </row>
    <row r="28" spans="1:22" s="15" customFormat="1">
      <c r="A28"/>
      <c r="B28"/>
      <c r="C28" s="836">
        <v>28</v>
      </c>
      <c r="D28" s="1073" t="str">
        <f>"anrechenbar nach § 97a Abs. 4 S. 2 SGB VI zu   60%: "</f>
        <v xml:space="preserve">anrechenbar nach § 97a Abs. 4 S. 2 SGB VI zu   60%: </v>
      </c>
      <c r="E28" s="724" t="str">
        <f ca="1">IF(F21=0,"","("&amp;TEXT(IF(E24&lt;F26,E24,F26),"#.##0,00")&amp;" - "&amp;TEXT(E23,"#.##0,00")&amp;") x 60%")</f>
        <v/>
      </c>
      <c r="F28" s="1078">
        <f ca="1">-IF(F26&lt;=E23,0,IF(AND(F26&gt;E23,F26&lt;E24),F26-E23,E24-E23))*0.6</f>
        <v>0</v>
      </c>
      <c r="G28" s="724" t="str">
        <f ca="1">IF(H21=0,"","("&amp;TEXT(IF(G24&lt;H26,G24,H26),"#.##0,00")&amp;" - "&amp;TEXT(G23,"#.##0,00")&amp;") x 60%")</f>
        <v/>
      </c>
      <c r="H28" s="1078">
        <f ca="1">-IF(H26&lt;=G23,0,IF(AND(H26&gt;G23,H26&lt;G24),H26-G23,G24-G23))*0.6</f>
        <v>0</v>
      </c>
      <c r="I28" s="211"/>
      <c r="J28" s="211"/>
      <c r="K28" s="943">
        <f ca="1">-IF(K26&lt;=K23,0,IF(AND(K26&gt;K23,K26&lt;K24),K26-K23,K24-K23))*0.6</f>
        <v>0</v>
      </c>
      <c r="L28" s="944">
        <f ca="1">-IF(L26&lt;=L23,0,IF(AND(L26&gt;L23,L26&lt;L24),L26-L23,L24-L23))*0.6</f>
        <v>0</v>
      </c>
      <c r="M28" s="210"/>
      <c r="N28" s="747"/>
      <c r="O28" s="747"/>
      <c r="P28" s="747"/>
      <c r="Q28" s="747"/>
      <c r="R28" s="747"/>
      <c r="S28" s="893"/>
      <c r="T28" s="893"/>
      <c r="U28" s="894"/>
      <c r="V28" s="892"/>
    </row>
    <row r="29" spans="1:22" s="15" customFormat="1">
      <c r="A29"/>
      <c r="B29"/>
      <c r="C29" s="836">
        <v>29</v>
      </c>
      <c r="D29" s="1073" t="str">
        <f>"anrechenbar nach § 97a Abs. 4 S. 3 SGB VI zu 100%: "</f>
        <v xml:space="preserve">anrechenbar nach § 97a Abs. 4 S. 3 SGB VI zu 100%: </v>
      </c>
      <c r="E29" s="724" t="str">
        <f ca="1">TEXT(F26,"#.##0,00")&amp;" - "&amp;TEXT(E24,"#.##0,00")</f>
        <v>0,00 - 1.990,00</v>
      </c>
      <c r="F29" s="1078">
        <f ca="1">IFERROR(IF(F26&gt;E24,(E24-F26),0),"")</f>
        <v>0</v>
      </c>
      <c r="G29" s="724" t="str">
        <f ca="1">TEXT(H26,"#.##0,00")&amp;" - "&amp;TEXT(G24,"#.##0,00")</f>
        <v>0,00 - 1.990,00</v>
      </c>
      <c r="H29" s="1078">
        <f ca="1">IFERROR(IF(H26&gt;G24,(G24-H26),0),"")</f>
        <v>0</v>
      </c>
      <c r="I29" s="211"/>
      <c r="J29" s="211"/>
      <c r="K29" s="943">
        <f ca="1">IFERROR(IF(K26&gt;K24,(K24-K26),0),"")</f>
        <v>0</v>
      </c>
      <c r="L29" s="944">
        <f ca="1">IFERROR(IF(L26&gt;L24,(L24-L26),0),"")</f>
        <v>0</v>
      </c>
      <c r="M29" s="210"/>
      <c r="N29" s="747"/>
      <c r="O29" s="747"/>
      <c r="P29" s="747"/>
      <c r="Q29" s="747"/>
      <c r="R29" s="747"/>
      <c r="S29" s="893"/>
      <c r="T29" s="893"/>
      <c r="U29" s="894"/>
      <c r="V29" s="892"/>
    </row>
    <row r="30" spans="1:22" s="15" customFormat="1" ht="18.75" thickBot="1">
      <c r="A30"/>
      <c r="B30"/>
      <c r="C30" s="836">
        <v>30</v>
      </c>
      <c r="D30" s="1074" t="str">
        <f ca="1">"Grundrentenzuschlag: "&amp;TEXT(F27,"#.##0,00")&amp;IF(F28&lt;&gt;0," - "&amp;TEXT(ABS(F28),"#.##0,00"),"")&amp;IF(F29&lt;&gt;0," - "&amp;TEXT(ABS(F29),"#.##0,00"),"")</f>
        <v>Grundrentenzuschlag: 0,00</v>
      </c>
      <c r="E30" s="1082"/>
      <c r="F30" s="1083">
        <f ca="1">IFERROR(IF(+F27+F28+F29&lt;0,0,+F27+F28+F29),0)</f>
        <v>0</v>
      </c>
      <c r="G30" s="1084"/>
      <c r="H30" s="946">
        <f ca="1">IFERROR(IF(+H27+H28+H29&lt;0,0,+H27+H28+H29),0)</f>
        <v>0</v>
      </c>
      <c r="I30" s="211"/>
      <c r="J30" s="211"/>
      <c r="K30" s="945">
        <f ca="1">IFERROR(IF(+K27+K28+K29&lt;0,0,+K27+K28+K29),0)</f>
        <v>0</v>
      </c>
      <c r="L30" s="946">
        <f ca="1">IFERROR(IF(+L27+L28+L29&lt;0,0,+L27+L28+L29),0)</f>
        <v>0</v>
      </c>
      <c r="M30" s="210"/>
      <c r="N30" s="747"/>
      <c r="O30" s="747"/>
      <c r="P30" s="747"/>
      <c r="Q30" s="747"/>
      <c r="R30" s="747"/>
      <c r="S30" s="893"/>
      <c r="T30" s="893"/>
      <c r="U30" s="894"/>
      <c r="V30" s="892"/>
    </row>
    <row r="31" spans="1:22" ht="32.25" customHeight="1" thickBot="1">
      <c r="C31" s="836">
        <v>31</v>
      </c>
      <c r="D31" s="25"/>
      <c r="E31" s="3604" t="str">
        <f ca="1">IFERROR(IF(F30+H30=0,"",IF(AND(F30&gt;0,H30&gt;0),"Für beide Gatten ",IF(AND(F30&gt;0,H30=0),"Für Gatte 1 ",IF(AND(H30&gt;0,F30=0),"Für Gatte 2 ","")))&amp;"kommt nach heutigen Prognosen ein Grundrentenbezug in Betracht"),"")</f>
        <v/>
      </c>
      <c r="F31" s="3605"/>
      <c r="G31" s="3605"/>
      <c r="H31" s="3606"/>
      <c r="I31" s="465"/>
      <c r="J31" s="211"/>
      <c r="K31" s="3588" t="str">
        <f ca="1">IFERROR(IF(K30+L30&lt;K14+L14,"GrEP-Teilung nicht unbedingt sinnvoll",""),"")</f>
        <v/>
      </c>
      <c r="L31" s="3589"/>
      <c r="M31" s="210"/>
    </row>
    <row r="32" spans="1:22" ht="14.25" customHeight="1">
      <c r="C32" s="1052"/>
    </row>
    <row r="33" spans="1:8">
      <c r="A33" t="s">
        <v>117</v>
      </c>
      <c r="C33" s="1052"/>
      <c r="D33" s="3590" t="str">
        <f>IF(E19+F20+G19+H20&gt;0,"*) OLG Bamberg 2 UF 136/22: 'Eine Hochrechnung über mehrere Jahre überdehnt die heranzuziehende Prognosebasis'","")</f>
        <v/>
      </c>
      <c r="E33" s="3590"/>
      <c r="F33" s="3590"/>
      <c r="G33" s="3590"/>
      <c r="H33" s="3590"/>
    </row>
    <row r="34" spans="1:8" ht="14.25" customHeight="1">
      <c r="C34" s="1052"/>
    </row>
    <row r="35" spans="1:8" ht="14.25" customHeight="1">
      <c r="C35" s="1052"/>
    </row>
    <row r="36" spans="1:8" ht="14.25" customHeight="1">
      <c r="C36" s="1052"/>
    </row>
    <row r="37" spans="1:8" ht="14.25" customHeight="1">
      <c r="C37" s="1052"/>
    </row>
    <row r="38" spans="1:8" ht="14.25" customHeight="1">
      <c r="C38" s="1052"/>
    </row>
    <row r="39" spans="1:8" ht="14.25" customHeight="1">
      <c r="C39" s="1052"/>
    </row>
    <row r="40" spans="1:8" ht="14.25" customHeight="1">
      <c r="C40" s="1052"/>
    </row>
    <row r="41" spans="1:8" ht="14.25" customHeight="1">
      <c r="C41" s="1052"/>
    </row>
    <row r="42" spans="1:8" ht="14.25" customHeight="1">
      <c r="C42" s="1052"/>
    </row>
    <row r="43" spans="1:8" ht="14.25" customHeight="1">
      <c r="C43" s="1052"/>
    </row>
    <row r="44" spans="1:8" ht="14.25" customHeight="1">
      <c r="C44" s="1052"/>
    </row>
    <row r="45" spans="1:8" ht="14.25" customHeight="1">
      <c r="C45" s="1052"/>
    </row>
    <row r="46" spans="1:8" ht="14.25" customHeight="1">
      <c r="C46" s="1052"/>
    </row>
    <row r="47" spans="1:8" ht="14.25" customHeight="1">
      <c r="C47" s="1052"/>
    </row>
    <row r="48" spans="1:8"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row r="78" spans="3:3" ht="14.25" customHeight="1"/>
  </sheetData>
  <sheetProtection algorithmName="SHA-512" hashValue="RmTCaWMw/qxbK5YdiZSJLNAtsjB7WtHkwPYZMAd7gB5EnfrdnCXBCDZ9c7Sv7xEjQg2pcpfLRvQeJZXkHHug7Q==" saltValue="et6A6jNmPGQHHTZIGru6Jw==" spinCount="100000" sheet="1" objects="1" scenarios="1" formatColumns="0" autoFilter="0"/>
  <scenarios>
    <scenario name="Nullstellung" hidden="1" count="20" user="Hauß" comment="Erstellt von Hauß am 03.10.2022_x000a_Modifiziert von Hauß am 10.11.2022_x000a_Modifiziert von Hauß am 12.11.2022">
      <inputCells r="F7" val="00.01.1900" numFmtId="14"/>
      <inputCells r="H7" val="00.01.1900" numFmtId="14"/>
      <inputCells r="F4" val=""/>
      <inputCells r="E10" val="" numFmtId="14"/>
      <inputCells r="G10" val="" numFmtId="14"/>
      <inputCells r="E13" val="" numFmtId="184"/>
      <inputCells r="E14" val="" numFmtId="184"/>
      <inputCells r="G13" val=""/>
      <inputCells r="G14" val="" numFmtId="184"/>
      <inputCells r="F16" val=""/>
      <inputCells r="H16" val="" numFmtId="8"/>
      <inputCells r="G17" val="" numFmtId="184"/>
      <inputCells r="E17" val="" numFmtId="184"/>
      <inputCells r="E19" val="" numFmtId="184"/>
      <inputCells r="F20" val="" numFmtId="8"/>
      <inputCells r="G19" val=""/>
      <inputCells r="H20" val="" numFmtId="8"/>
      <inputCells r="O21" val="FALSCH"/>
      <inputCells r="P21" val="FALSCH"/>
      <inputCells r="O2" val="FALSCH"/>
    </scenario>
  </scenarios>
  <mergeCells count="24">
    <mergeCell ref="D1:H1"/>
    <mergeCell ref="S3:T3"/>
    <mergeCell ref="E8:F8"/>
    <mergeCell ref="G8:H8"/>
    <mergeCell ref="E6:F6"/>
    <mergeCell ref="G6:H6"/>
    <mergeCell ref="D2:H3"/>
    <mergeCell ref="K1:L1"/>
    <mergeCell ref="K4:L8"/>
    <mergeCell ref="I2:J2"/>
    <mergeCell ref="K2:K3"/>
    <mergeCell ref="L2:L3"/>
    <mergeCell ref="K9:L9"/>
    <mergeCell ref="K10:L11"/>
    <mergeCell ref="K31:L31"/>
    <mergeCell ref="D33:H33"/>
    <mergeCell ref="G10:H10"/>
    <mergeCell ref="G9:H9"/>
    <mergeCell ref="E9:F9"/>
    <mergeCell ref="E10:F10"/>
    <mergeCell ref="E11:F11"/>
    <mergeCell ref="G11:H11"/>
    <mergeCell ref="E12:H12"/>
    <mergeCell ref="E31:H31"/>
  </mergeCells>
  <conditionalFormatting sqref="E31">
    <cfRule type="expression" dxfId="142" priority="33">
      <formula>OR(AND($F$30&gt;0,$H$30=0),AND(H30&gt;0,F30=0))</formula>
    </cfRule>
    <cfRule type="expression" dxfId="141" priority="34">
      <formula>AND(F30&gt;0,H30&gt;0)</formula>
    </cfRule>
  </conditionalFormatting>
  <conditionalFormatting sqref="E15:F15">
    <cfRule type="expression" dxfId="140" priority="398">
      <formula>$E$14=0</formula>
    </cfRule>
    <cfRule type="expression" dxfId="139" priority="399">
      <formula>$P$3&lt;=$O$3</formula>
    </cfRule>
    <cfRule type="expression" dxfId="138" priority="400">
      <formula>$P$3&gt;$O$3</formula>
    </cfRule>
  </conditionalFormatting>
  <conditionalFormatting sqref="F30">
    <cfRule type="expression" dxfId="135" priority="20">
      <formula>AND($F$30&gt;0,$H$30&gt;0)</formula>
    </cfRule>
    <cfRule type="expression" dxfId="134" priority="21">
      <formula>AND($F$30&gt;0,$H$30=0)</formula>
    </cfRule>
  </conditionalFormatting>
  <conditionalFormatting sqref="G15:H15">
    <cfRule type="expression" dxfId="133" priority="401">
      <formula>G14=0</formula>
    </cfRule>
    <cfRule type="expression" dxfId="132" priority="402">
      <formula>$Q$3&lt;=$O$3</formula>
    </cfRule>
    <cfRule type="expression" dxfId="131" priority="403">
      <formula>$Q$3&gt;$O$3</formula>
    </cfRule>
  </conditionalFormatting>
  <conditionalFormatting sqref="H30">
    <cfRule type="expression" dxfId="129" priority="18">
      <formula>AND($H$30&gt;0,$F$30&gt;0)</formula>
    </cfRule>
    <cfRule type="expression" dxfId="128" priority="19">
      <formula>AND($H$30&gt;0,$F$30=0)</formula>
    </cfRule>
  </conditionalFormatting>
  <conditionalFormatting sqref="K30">
    <cfRule type="expression" dxfId="127" priority="9">
      <formula>AND($K$30&gt;0,$L$30&gt;0)</formula>
    </cfRule>
    <cfRule type="expression" dxfId="126" priority="10">
      <formula>AND($K$30&gt;0,$L$30=0)</formula>
    </cfRule>
  </conditionalFormatting>
  <conditionalFormatting sqref="K9:L9">
    <cfRule type="expression" dxfId="125" priority="4">
      <formula>GR_EP_Teilung=FALSE</formula>
    </cfRule>
    <cfRule type="expression" dxfId="124" priority="5">
      <formula>GR_EP_Teilung</formula>
    </cfRule>
  </conditionalFormatting>
  <conditionalFormatting sqref="K31:L31">
    <cfRule type="expression" dxfId="123" priority="6">
      <formula>$K$30+$L$30&lt;$K$14+$L$14</formula>
    </cfRule>
  </conditionalFormatting>
  <conditionalFormatting sqref="L30">
    <cfRule type="expression" dxfId="122" priority="7">
      <formula>AND($L$30&gt;0,$K$30&gt;0)</formula>
    </cfRule>
    <cfRule type="expression" dxfId="121" priority="8">
      <formula>AND($L$30&gt;0,$K$30=0)</formula>
    </cfRule>
  </conditionalFormatting>
  <hyperlinks>
    <hyperlink ref="D9" r:id="rId1" xr:uid="{037C45AC-12FF-46FD-A050-5B2EB37E7567}"/>
    <hyperlink ref="D16" r:id="rId2" display="anderweitiges Alterseinkommen i.S.v. § 97a SGB VI im EzE in Euro" xr:uid="{56EC9CBE-A662-446E-8972-BB2E58014CEF}"/>
    <hyperlink ref="D33:H33" r:id="rId3" display="*) OLG Bamberg 2 UF 136/22: Eine Hochrechnung über mehrere Jahre überdehnt die heranzuziehende Prognosebasis" xr:uid="{7114A61D-E154-47F4-90D5-AE74FA0AFDB0}"/>
    <hyperlink ref="D20" r:id="rId4" xr:uid="{9B70DCA8-0395-4E67-B951-0675E68B8679}"/>
    <hyperlink ref="D23" r:id="rId5" display="https://www.gesetze-im-internet.de/sgb_6/__97a.html" xr:uid="{DB50FB94-1A37-4E25-B9EC-A43F3CD9460A}"/>
    <hyperlink ref="D24" r:id="rId6" display="https://www.gesetze-im-internet.de/sgb_6/__97a.html" xr:uid="{57F96AC4-EAFD-486D-A68D-C782EA3A51DE}"/>
    <hyperlink ref="D28" r:id="rId7" display="https://www.gesetze-im-internet.de/sgb_6/__97a.html" xr:uid="{606695D1-3669-4042-B08D-609453D90BCA}"/>
    <hyperlink ref="D29" r:id="rId8" display="https://www.gesetze-im-internet.de/sgb_6/__97a.html" xr:uid="{9C9B4626-83AB-4104-8628-0C35EE057842}"/>
  </hyperlinks>
  <pageMargins left="0.11811023622047245" right="0.11811023622047245" top="0.59055118110236227" bottom="0.39370078740157483" header="0.31496062992125984" footer="0.31496062992125984"/>
  <pageSetup paperSize="9" scale="89" orientation="landscape" r:id="rId9"/>
  <drawing r:id="rId10"/>
  <legacyDrawing r:id="rId11"/>
  <mc:AlternateContent xmlns:mc="http://schemas.openxmlformats.org/markup-compatibility/2006">
    <mc:Choice Requires="x14">
      <controls>
        <mc:AlternateContent xmlns:mc="http://schemas.openxmlformats.org/markup-compatibility/2006">
          <mc:Choice Requires="x14">
            <control shapeId="1916929" r:id="rId12" name="Check Box 1">
              <controlPr defaultSize="0" autoFill="0" autoLine="0" autoPict="0">
                <anchor moveWithCells="1">
                  <from>
                    <xdr:col>3</xdr:col>
                    <xdr:colOff>3648075</xdr:colOff>
                    <xdr:row>4</xdr:row>
                    <xdr:rowOff>180975</xdr:rowOff>
                  </from>
                  <to>
                    <xdr:col>4</xdr:col>
                    <xdr:colOff>28575</xdr:colOff>
                    <xdr:row>6</xdr:row>
                    <xdr:rowOff>28575</xdr:rowOff>
                  </to>
                </anchor>
              </controlPr>
            </control>
          </mc:Choice>
        </mc:AlternateContent>
        <mc:AlternateContent xmlns:mc="http://schemas.openxmlformats.org/markup-compatibility/2006">
          <mc:Choice Requires="x14">
            <control shapeId="1916930" r:id="rId13" name="Check Box 2">
              <controlPr defaultSize="0" autoFill="0" autoLine="0" autoPict="0">
                <anchor moveWithCells="1">
                  <from>
                    <xdr:col>4</xdr:col>
                    <xdr:colOff>28575</xdr:colOff>
                    <xdr:row>19</xdr:row>
                    <xdr:rowOff>190500</xdr:rowOff>
                  </from>
                  <to>
                    <xdr:col>4</xdr:col>
                    <xdr:colOff>904875</xdr:colOff>
                    <xdr:row>22</xdr:row>
                    <xdr:rowOff>0</xdr:rowOff>
                  </to>
                </anchor>
              </controlPr>
            </control>
          </mc:Choice>
        </mc:AlternateContent>
        <mc:AlternateContent xmlns:mc="http://schemas.openxmlformats.org/markup-compatibility/2006">
          <mc:Choice Requires="x14">
            <control shapeId="1916931" r:id="rId14" name="Check Box 3">
              <controlPr defaultSize="0" autoFill="0" autoLine="0" autoPict="0">
                <anchor moveWithCells="1">
                  <from>
                    <xdr:col>6</xdr:col>
                    <xdr:colOff>28575</xdr:colOff>
                    <xdr:row>19</xdr:row>
                    <xdr:rowOff>190500</xdr:rowOff>
                  </from>
                  <to>
                    <xdr:col>6</xdr:col>
                    <xdr:colOff>904875</xdr:colOff>
                    <xdr:row>22</xdr:row>
                    <xdr:rowOff>0</xdr:rowOff>
                  </to>
                </anchor>
              </controlPr>
            </control>
          </mc:Choice>
        </mc:AlternateContent>
        <mc:AlternateContent xmlns:mc="http://schemas.openxmlformats.org/markup-compatibility/2006">
          <mc:Choice Requires="x14">
            <control shapeId="1916932" r:id="rId15" name="Check Box 4">
              <controlPr defaultSize="0" autoFill="0" autoLine="0" autoPict="0">
                <anchor moveWithCells="1">
                  <from>
                    <xdr:col>9</xdr:col>
                    <xdr:colOff>180975</xdr:colOff>
                    <xdr:row>7</xdr:row>
                    <xdr:rowOff>180975</xdr:rowOff>
                  </from>
                  <to>
                    <xdr:col>10</xdr:col>
                    <xdr:colOff>219075</xdr:colOff>
                    <xdr:row>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E173DEAE-19AD-429C-B082-2B569F0B05A6}">
            <xm:f>AND($E$4="",Fallerfassung!$V$3&gt;0)</xm:f>
            <x14:dxf>
              <fill>
                <patternFill>
                  <bgColor theme="4" tint="0.39994506668294322"/>
                </patternFill>
              </fill>
            </x14:dxf>
          </x14:cfRule>
          <xm:sqref>F4</xm:sqref>
        </x14:conditionalFormatting>
        <x14:conditionalFormatting xmlns:xm="http://schemas.microsoft.com/office/excel/2006/main">
          <x14:cfRule type="expression" priority="786" id="{5A888674-0E33-4589-B169-98FEB6118E54}">
            <xm:f>AND($E$7="",Fallerfassung!$T$6&lt;&gt;"")</xm:f>
            <x14:dxf>
              <fill>
                <patternFill>
                  <bgColor theme="4" tint="0.39994506668294322"/>
                </patternFill>
              </fill>
            </x14:dxf>
          </x14:cfRule>
          <xm:sqref>F7</xm:sqref>
        </x14:conditionalFormatting>
        <x14:conditionalFormatting xmlns:xm="http://schemas.microsoft.com/office/excel/2006/main">
          <x14:cfRule type="expression" priority="800" id="{D9B2FD95-C1E5-45FB-AE87-51435E710714}">
            <xm:f>AND($G$7="",Fallerfassung!$V$6&lt;&gt;"")</xm:f>
            <x14:dxf>
              <fill>
                <patternFill>
                  <bgColor theme="4" tint="0.39994506668294322"/>
                </patternFill>
              </fill>
            </x14:dxf>
          </x14:cfRule>
          <xm:sqref>H7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A030D-20A7-4B67-AC58-8EB36DB4AAA3}">
  <sheetPr codeName="Tabelle50"/>
  <dimension ref="B3:Z51"/>
  <sheetViews>
    <sheetView workbookViewId="0">
      <selection activeCell="J1" sqref="J1:J1048576"/>
    </sheetView>
  </sheetViews>
  <sheetFormatPr baseColWidth="10" defaultColWidth="11" defaultRowHeight="14.25"/>
  <cols>
    <col min="2" max="2" width="27.625" customWidth="1"/>
    <col min="3" max="3" width="11.625" customWidth="1"/>
    <col min="5" max="5" width="11.625" customWidth="1"/>
    <col min="8" max="14" width="11.625" customWidth="1"/>
  </cols>
  <sheetData>
    <row r="3" spans="2:26">
      <c r="B3" t="s">
        <v>1441</v>
      </c>
      <c r="C3" s="58">
        <f ca="1">TODAY()</f>
        <v>46239</v>
      </c>
      <c r="F3" t="s">
        <v>199</v>
      </c>
      <c r="G3" s="58">
        <v>28307</v>
      </c>
      <c r="H3" s="2395" t="s">
        <v>1427</v>
      </c>
      <c r="I3" s="2395"/>
      <c r="J3" s="2395"/>
      <c r="K3" s="2395"/>
      <c r="L3" s="2395"/>
      <c r="M3" s="2395"/>
      <c r="N3" s="2395"/>
      <c r="P3" s="2395" t="s">
        <v>1428</v>
      </c>
      <c r="Q3" s="2395"/>
      <c r="R3" s="2395"/>
      <c r="S3" s="2395"/>
      <c r="T3" s="2395"/>
      <c r="U3" s="2395"/>
      <c r="V3" s="2395"/>
    </row>
    <row r="4" spans="2:26">
      <c r="B4" t="s">
        <v>318</v>
      </c>
      <c r="C4" s="58">
        <v>38017</v>
      </c>
      <c r="F4" t="s">
        <v>23</v>
      </c>
      <c r="H4" t="s">
        <v>199</v>
      </c>
      <c r="I4" s="58">
        <v>28307</v>
      </c>
      <c r="J4" s="58">
        <v>30834</v>
      </c>
      <c r="K4" s="58">
        <v>37257</v>
      </c>
      <c r="L4" s="58">
        <v>37622</v>
      </c>
      <c r="M4" s="58">
        <v>38869</v>
      </c>
      <c r="N4" s="58">
        <v>39630</v>
      </c>
      <c r="P4" t="s">
        <v>199</v>
      </c>
      <c r="Q4" s="58">
        <v>28307</v>
      </c>
      <c r="R4" s="58">
        <v>30834</v>
      </c>
      <c r="S4" s="58">
        <v>37257</v>
      </c>
      <c r="T4" s="58">
        <v>37622</v>
      </c>
      <c r="U4" s="58">
        <v>38869</v>
      </c>
      <c r="V4" s="58">
        <v>39630</v>
      </c>
    </row>
    <row r="5" spans="2:26" ht="15.75">
      <c r="B5" t="s">
        <v>7</v>
      </c>
      <c r="C5" s="128">
        <v>47</v>
      </c>
      <c r="H5" s="1470">
        <v>0</v>
      </c>
      <c r="I5" s="1470">
        <v>1</v>
      </c>
      <c r="J5" s="1470">
        <v>1</v>
      </c>
      <c r="K5" s="1470">
        <v>1</v>
      </c>
      <c r="L5" s="1470">
        <v>1.3</v>
      </c>
      <c r="M5" s="1470">
        <v>2</v>
      </c>
      <c r="N5" s="1470">
        <v>2</v>
      </c>
      <c r="P5" s="1470">
        <v>0</v>
      </c>
      <c r="Q5" s="1470">
        <v>0.7</v>
      </c>
      <c r="R5" s="1470">
        <v>0.7</v>
      </c>
      <c r="S5" s="1470">
        <v>0.7</v>
      </c>
      <c r="T5" s="1470">
        <v>1</v>
      </c>
      <c r="U5" s="1470">
        <v>1.6</v>
      </c>
      <c r="V5" s="1470">
        <v>1.6</v>
      </c>
      <c r="W5" s="1471"/>
      <c r="X5" s="1470"/>
      <c r="Y5" s="1470"/>
      <c r="Z5" s="1470"/>
    </row>
    <row r="6" spans="2:26" ht="15.75">
      <c r="B6" t="s">
        <v>1429</v>
      </c>
      <c r="C6" s="128">
        <v>65</v>
      </c>
      <c r="H6" s="1470">
        <v>26</v>
      </c>
      <c r="I6" s="1470">
        <v>1.1000000000000001</v>
      </c>
      <c r="J6" s="1470">
        <v>1.1000000000000001</v>
      </c>
      <c r="K6" s="1470">
        <v>1.1000000000000001</v>
      </c>
      <c r="L6" s="1470">
        <v>1.4</v>
      </c>
      <c r="M6" s="1470">
        <v>2.1</v>
      </c>
      <c r="N6" s="1470">
        <v>2.1</v>
      </c>
      <c r="P6" s="1470">
        <v>26</v>
      </c>
      <c r="Q6" s="1470">
        <v>0.8</v>
      </c>
      <c r="R6" s="1470">
        <v>0.8</v>
      </c>
      <c r="S6" s="1470">
        <v>0.8</v>
      </c>
      <c r="T6" s="1470">
        <v>1.1000000000000001</v>
      </c>
      <c r="U6" s="1470">
        <v>1.7</v>
      </c>
      <c r="V6" s="1470">
        <v>1.7</v>
      </c>
      <c r="W6" s="1471"/>
      <c r="X6" s="1470"/>
      <c r="Y6" s="1470"/>
      <c r="Z6" s="1470"/>
    </row>
    <row r="7" spans="2:26" ht="15.75">
      <c r="B7" t="s">
        <v>21</v>
      </c>
      <c r="C7" s="148">
        <f>813.06/1.95583</f>
        <v>415.7109769253974</v>
      </c>
      <c r="D7" t="s">
        <v>575</v>
      </c>
      <c r="E7" t="s">
        <v>1430</v>
      </c>
      <c r="F7" t="s">
        <v>1431</v>
      </c>
      <c r="H7" s="1470">
        <v>27</v>
      </c>
      <c r="I7" s="1470">
        <v>1.1000000000000001</v>
      </c>
      <c r="J7" s="1470">
        <v>1.1000000000000001</v>
      </c>
      <c r="K7" s="1470">
        <v>1.1000000000000001</v>
      </c>
      <c r="L7" s="1470">
        <v>1.5</v>
      </c>
      <c r="M7" s="1470">
        <v>2.2000000000000002</v>
      </c>
      <c r="N7" s="1470">
        <v>2.2000000000000002</v>
      </c>
      <c r="P7" s="1470">
        <v>27</v>
      </c>
      <c r="Q7" s="1470">
        <v>0.8</v>
      </c>
      <c r="R7" s="1470">
        <v>0.8</v>
      </c>
      <c r="S7" s="1470">
        <v>0.8</v>
      </c>
      <c r="T7" s="1470">
        <v>1.1000000000000001</v>
      </c>
      <c r="U7" s="1470">
        <v>1.8</v>
      </c>
      <c r="V7" s="1470">
        <v>1.8</v>
      </c>
      <c r="W7" s="1471"/>
      <c r="X7" s="1470"/>
      <c r="Y7" s="1470"/>
      <c r="Z7" s="1470"/>
    </row>
    <row r="8" spans="2:26" ht="15.75">
      <c r="B8" t="s">
        <v>1221</v>
      </c>
      <c r="C8" s="4" t="s">
        <v>463</v>
      </c>
      <c r="H8" s="1470">
        <v>28</v>
      </c>
      <c r="I8" s="1470">
        <v>1.2</v>
      </c>
      <c r="J8" s="1470">
        <v>1.2</v>
      </c>
      <c r="K8" s="1470">
        <v>1.2</v>
      </c>
      <c r="L8" s="1470">
        <v>1.5</v>
      </c>
      <c r="M8" s="1470">
        <v>2.2999999999999998</v>
      </c>
      <c r="N8" s="1470">
        <v>2.2999999999999998</v>
      </c>
      <c r="P8" s="1470">
        <v>28</v>
      </c>
      <c r="Q8" s="1470">
        <v>0.9</v>
      </c>
      <c r="R8" s="1470">
        <v>0.9</v>
      </c>
      <c r="S8" s="1470">
        <v>0.9</v>
      </c>
      <c r="T8" s="1470">
        <v>1.2</v>
      </c>
      <c r="U8" s="1470">
        <v>1.9</v>
      </c>
      <c r="V8" s="1470">
        <v>1.9</v>
      </c>
      <c r="W8" s="1471"/>
      <c r="X8" s="1470"/>
      <c r="Y8" s="1470"/>
      <c r="Z8" s="1470"/>
    </row>
    <row r="9" spans="2:26" ht="15.75">
      <c r="B9" t="s">
        <v>259</v>
      </c>
      <c r="C9" s="4" t="s">
        <v>473</v>
      </c>
      <c r="G9" t="s">
        <v>1432</v>
      </c>
      <c r="H9" s="1470">
        <v>29</v>
      </c>
      <c r="I9" s="1470">
        <v>1.3</v>
      </c>
      <c r="J9" s="1470">
        <v>1.3</v>
      </c>
      <c r="K9" s="1470">
        <v>1.3</v>
      </c>
      <c r="L9" s="1470">
        <v>1.6</v>
      </c>
      <c r="M9" s="1470">
        <v>2.4</v>
      </c>
      <c r="N9" s="1470">
        <v>2.4</v>
      </c>
      <c r="P9" s="1470">
        <v>29</v>
      </c>
      <c r="Q9" s="1470">
        <v>0.9</v>
      </c>
      <c r="R9" s="1470">
        <v>0.9</v>
      </c>
      <c r="S9" s="1470">
        <v>0.9</v>
      </c>
      <c r="T9" s="1470">
        <v>1.3</v>
      </c>
      <c r="U9" s="1470">
        <v>1.9</v>
      </c>
      <c r="V9" s="1470">
        <v>1.9</v>
      </c>
      <c r="W9" s="1471"/>
      <c r="X9" s="1470"/>
      <c r="Y9" s="1470"/>
      <c r="Z9" s="1470"/>
    </row>
    <row r="10" spans="2:26" ht="15.75">
      <c r="B10" t="s">
        <v>1433</v>
      </c>
      <c r="C10" s="58">
        <f>+LOOKUP(C4,H4:N4)</f>
        <v>37622</v>
      </c>
      <c r="D10">
        <f>HLOOKUP(C4,H4:N49,IF(C5&gt;65,65,C5)-23,TRUE)</f>
        <v>4.2</v>
      </c>
      <c r="E10" s="1472">
        <f>(65-C6)*IF(C6&lt;65,HLOOKUP(C4,H4:N49,43,TRUE),HLOOKUP(C4,H4:N49,45,TRUE))</f>
        <v>0</v>
      </c>
      <c r="F10" s="555">
        <f>IF(C9="Ja",HLOOKUP(C4,H4:N50,47,TRUE),0)</f>
        <v>0.65</v>
      </c>
      <c r="G10">
        <f>HLOOKUP(C4,P4:V49,IF(C5&gt;65,65,C5)-23,TRUE)</f>
        <v>3.5</v>
      </c>
      <c r="H10" s="1470">
        <v>30</v>
      </c>
      <c r="I10" s="1470">
        <v>1.3</v>
      </c>
      <c r="J10" s="1470">
        <v>1.3</v>
      </c>
      <c r="K10" s="1470">
        <v>1.3</v>
      </c>
      <c r="L10" s="1470">
        <v>1.7</v>
      </c>
      <c r="M10" s="1470">
        <v>2.5</v>
      </c>
      <c r="N10" s="1470">
        <v>2.5</v>
      </c>
      <c r="P10" s="1470">
        <v>30</v>
      </c>
      <c r="Q10" s="1470">
        <v>1</v>
      </c>
      <c r="R10" s="1470">
        <v>1</v>
      </c>
      <c r="S10" s="1470">
        <v>1</v>
      </c>
      <c r="T10" s="1470">
        <v>1.4</v>
      </c>
      <c r="U10" s="1470">
        <v>2</v>
      </c>
      <c r="V10" s="1470">
        <v>2</v>
      </c>
      <c r="W10" s="1471"/>
      <c r="X10" s="1470"/>
      <c r="Y10" s="1470"/>
      <c r="Z10" s="1470"/>
    </row>
    <row r="11" spans="2:26" ht="15.75">
      <c r="B11" t="s">
        <v>1445</v>
      </c>
      <c r="C11" s="128">
        <f>+D10*(1+E10+F10)</f>
        <v>6.93</v>
      </c>
      <c r="H11" s="1470">
        <v>31</v>
      </c>
      <c r="I11" s="1470">
        <v>1.4</v>
      </c>
      <c r="J11" s="1470">
        <v>1.4</v>
      </c>
      <c r="K11" s="1470">
        <v>1.4</v>
      </c>
      <c r="L11" s="1470">
        <v>1.8</v>
      </c>
      <c r="M11" s="1470">
        <v>2.6</v>
      </c>
      <c r="N11" s="1470">
        <v>2.6</v>
      </c>
      <c r="P11" s="1470">
        <v>31</v>
      </c>
      <c r="Q11" s="1470">
        <v>1</v>
      </c>
      <c r="R11" s="1470">
        <v>1</v>
      </c>
      <c r="S11" s="1470">
        <v>1</v>
      </c>
      <c r="T11" s="1470">
        <v>1.4</v>
      </c>
      <c r="U11" s="1470">
        <v>2.1</v>
      </c>
      <c r="V11" s="1470">
        <v>2.1</v>
      </c>
      <c r="W11" s="1471"/>
      <c r="X11" s="1470"/>
      <c r="Y11" s="1470"/>
      <c r="Z11" s="1470"/>
    </row>
    <row r="12" spans="2:26" ht="15.75">
      <c r="B12" t="s">
        <v>1434</v>
      </c>
      <c r="C12" s="148">
        <f>+C7*12</f>
        <v>4988.5317231047684</v>
      </c>
      <c r="H12" s="1470">
        <v>32</v>
      </c>
      <c r="I12" s="1470">
        <v>1.5</v>
      </c>
      <c r="J12" s="1470">
        <v>1.5</v>
      </c>
      <c r="K12" s="1470">
        <v>1.5</v>
      </c>
      <c r="L12" s="1470">
        <v>1.9</v>
      </c>
      <c r="M12" s="1470">
        <v>2.7</v>
      </c>
      <c r="N12" s="1470">
        <v>2.7</v>
      </c>
      <c r="P12" s="1470">
        <v>32</v>
      </c>
      <c r="Q12" s="1470">
        <v>1.1000000000000001</v>
      </c>
      <c r="R12" s="1470">
        <v>1.1000000000000001</v>
      </c>
      <c r="S12" s="1470">
        <v>1.1000000000000001</v>
      </c>
      <c r="T12" s="1470">
        <v>1.5</v>
      </c>
      <c r="U12" s="1470">
        <v>2.2000000000000002</v>
      </c>
      <c r="V12" s="1470">
        <v>2.2000000000000002</v>
      </c>
      <c r="W12" s="1471"/>
      <c r="X12" s="1470"/>
      <c r="Y12" s="1470"/>
      <c r="Z12" s="1470"/>
    </row>
    <row r="13" spans="2:26" ht="15.75">
      <c r="B13" t="s">
        <v>559</v>
      </c>
      <c r="C13" s="148">
        <f>+C11*C12</f>
        <v>34570.524841116043</v>
      </c>
      <c r="H13" s="1470">
        <v>33</v>
      </c>
      <c r="I13" s="1470">
        <v>1.6</v>
      </c>
      <c r="J13" s="1470">
        <v>1.6</v>
      </c>
      <c r="K13" s="1470">
        <v>1.6</v>
      </c>
      <c r="L13" s="1470">
        <v>2</v>
      </c>
      <c r="M13" s="1470">
        <v>2.8</v>
      </c>
      <c r="N13" s="1470">
        <v>2.8</v>
      </c>
      <c r="P13" s="1470">
        <v>33</v>
      </c>
      <c r="Q13" s="1470">
        <v>1.1000000000000001</v>
      </c>
      <c r="R13" s="1470">
        <v>1.1000000000000001</v>
      </c>
      <c r="S13" s="1470">
        <v>1.1000000000000001</v>
      </c>
      <c r="T13" s="1470">
        <v>1.6</v>
      </c>
      <c r="U13" s="1470">
        <v>2.2999999999999998</v>
      </c>
      <c r="V13" s="1470">
        <v>2.2999999999999998</v>
      </c>
      <c r="W13" s="1471"/>
      <c r="X13" s="1470"/>
      <c r="Y13" s="1470"/>
      <c r="Z13" s="1470"/>
    </row>
    <row r="14" spans="2:26" ht="15.75">
      <c r="B14" t="s">
        <v>62</v>
      </c>
      <c r="C14">
        <f>ROUND(VLOOKUP(C4,Umrechnungsfaktoren_BeitraginEP,2)*C13,4)</f>
        <v>6.0244</v>
      </c>
      <c r="H14" s="1470">
        <v>34</v>
      </c>
      <c r="I14" s="1470">
        <v>1.7</v>
      </c>
      <c r="J14" s="1470">
        <v>1.7</v>
      </c>
      <c r="K14" s="1470">
        <v>1.7</v>
      </c>
      <c r="L14" s="1470">
        <v>2.1</v>
      </c>
      <c r="M14" s="1470">
        <v>3</v>
      </c>
      <c r="N14" s="1470">
        <v>3</v>
      </c>
      <c r="P14" s="1470">
        <v>34</v>
      </c>
      <c r="Q14" s="1470">
        <v>1.2</v>
      </c>
      <c r="R14" s="1470">
        <v>1.2</v>
      </c>
      <c r="S14" s="1470">
        <v>1.2</v>
      </c>
      <c r="T14" s="1470">
        <v>1.7</v>
      </c>
      <c r="U14" s="1470">
        <v>2.4</v>
      </c>
      <c r="V14" s="1470">
        <v>2.4</v>
      </c>
      <c r="W14" s="1471"/>
      <c r="X14" s="1470"/>
      <c r="Y14" s="1470"/>
      <c r="Z14" s="1470"/>
    </row>
    <row r="15" spans="2:26" ht="15.75">
      <c r="B15" t="s">
        <v>1408</v>
      </c>
      <c r="C15" s="148">
        <f>VLOOKUP(C4,aktRW,2)</f>
        <v>26.13</v>
      </c>
      <c r="H15" s="1470">
        <v>35</v>
      </c>
      <c r="I15" s="1470">
        <v>1.8</v>
      </c>
      <c r="J15" s="1470">
        <v>1.8</v>
      </c>
      <c r="K15" s="1470">
        <v>1.8</v>
      </c>
      <c r="L15" s="1470">
        <v>2.2000000000000002</v>
      </c>
      <c r="M15" s="1470">
        <v>3.1</v>
      </c>
      <c r="N15" s="1470">
        <v>3.1</v>
      </c>
      <c r="P15" s="1470">
        <v>35</v>
      </c>
      <c r="Q15" s="1470">
        <v>1.3</v>
      </c>
      <c r="R15" s="1470">
        <v>1.3</v>
      </c>
      <c r="S15" s="1470">
        <v>1.3</v>
      </c>
      <c r="T15" s="1470">
        <v>1.8</v>
      </c>
      <c r="U15" s="1470">
        <v>2.5</v>
      </c>
      <c r="V15" s="1470">
        <v>2.5</v>
      </c>
      <c r="W15" s="1471"/>
      <c r="X15" s="1470"/>
      <c r="Y15" s="1470"/>
      <c r="Z15" s="1470"/>
    </row>
    <row r="16" spans="2:26" ht="15.75">
      <c r="B16" t="s">
        <v>1440</v>
      </c>
      <c r="C16" s="148">
        <f>+C15*C14</f>
        <v>157.41757200000001</v>
      </c>
      <c r="H16" s="1470">
        <v>36</v>
      </c>
      <c r="I16" s="1470">
        <v>1.9</v>
      </c>
      <c r="J16" s="1470">
        <v>1.9</v>
      </c>
      <c r="K16" s="1470">
        <v>1.9</v>
      </c>
      <c r="L16" s="1470">
        <v>2.2999999999999998</v>
      </c>
      <c r="M16" s="1470">
        <v>3.2</v>
      </c>
      <c r="N16" s="1470">
        <v>3.2</v>
      </c>
      <c r="P16" s="1470">
        <v>36</v>
      </c>
      <c r="Q16" s="1470">
        <v>1.3</v>
      </c>
      <c r="R16" s="1470">
        <v>1.3</v>
      </c>
      <c r="S16" s="1470">
        <v>1.3</v>
      </c>
      <c r="T16" s="1470">
        <v>1.9</v>
      </c>
      <c r="U16" s="1470">
        <v>2.7</v>
      </c>
      <c r="V16" s="1470">
        <v>2.7</v>
      </c>
      <c r="W16" s="1471"/>
      <c r="X16" s="1470"/>
      <c r="Y16" s="1470"/>
      <c r="Z16" s="1470"/>
    </row>
    <row r="17" spans="2:26" ht="15.75">
      <c r="B17" t="s">
        <v>500</v>
      </c>
      <c r="C17" s="148">
        <f>+C16/2</f>
        <v>78.708786000000003</v>
      </c>
      <c r="H17" s="1470">
        <v>37</v>
      </c>
      <c r="I17" s="1470">
        <v>2</v>
      </c>
      <c r="J17" s="1470">
        <v>2</v>
      </c>
      <c r="K17" s="1470">
        <v>2</v>
      </c>
      <c r="L17" s="1470">
        <v>2.5</v>
      </c>
      <c r="M17" s="1470">
        <v>3.4</v>
      </c>
      <c r="N17" s="1470">
        <v>3.4</v>
      </c>
      <c r="P17" s="1470">
        <v>37</v>
      </c>
      <c r="Q17" s="1470">
        <v>1.4</v>
      </c>
      <c r="R17" s="1470">
        <v>1.4</v>
      </c>
      <c r="S17" s="1470">
        <v>1.4</v>
      </c>
      <c r="T17" s="1470">
        <v>2</v>
      </c>
      <c r="U17" s="1470">
        <v>2.8</v>
      </c>
      <c r="V17" s="1470">
        <v>2.8</v>
      </c>
      <c r="W17" s="1471"/>
      <c r="X17" s="1470"/>
      <c r="Y17" s="1470"/>
      <c r="Z17" s="1470"/>
    </row>
    <row r="18" spans="2:26" ht="15.75">
      <c r="B18" t="s">
        <v>1442</v>
      </c>
      <c r="C18" s="148">
        <f ca="1">VLOOKUP(C3,aktRW,2)</f>
        <v>42.52</v>
      </c>
      <c r="H18" s="1470">
        <v>38</v>
      </c>
      <c r="I18" s="1470">
        <v>2.1</v>
      </c>
      <c r="J18" s="1470">
        <v>2.1</v>
      </c>
      <c r="K18" s="1470">
        <v>2.1</v>
      </c>
      <c r="L18" s="1470">
        <v>2.6</v>
      </c>
      <c r="M18" s="1470">
        <v>3.5</v>
      </c>
      <c r="N18" s="1470">
        <v>3.5</v>
      </c>
      <c r="P18" s="1470">
        <v>38</v>
      </c>
      <c r="Q18" s="1470">
        <v>1.5</v>
      </c>
      <c r="R18" s="1470">
        <v>1.5</v>
      </c>
      <c r="S18" s="1470">
        <v>1.5</v>
      </c>
      <c r="T18" s="1470">
        <v>2.1</v>
      </c>
      <c r="U18" s="1470">
        <v>2.9</v>
      </c>
      <c r="V18" s="1470">
        <v>2.9</v>
      </c>
      <c r="W18" s="1471"/>
      <c r="X18" s="1470"/>
      <c r="Y18" s="1470"/>
      <c r="Z18" s="1470"/>
    </row>
    <row r="19" spans="2:26" ht="15.75">
      <c r="B19" t="s">
        <v>1210</v>
      </c>
      <c r="C19" s="148">
        <f ca="1">+C17*C18/C15</f>
        <v>128.07874400000003</v>
      </c>
      <c r="H19" s="1470">
        <v>39</v>
      </c>
      <c r="I19" s="1470">
        <v>2.2000000000000002</v>
      </c>
      <c r="J19" s="1470">
        <v>2.2000000000000002</v>
      </c>
      <c r="K19" s="1470">
        <v>2.2000000000000002</v>
      </c>
      <c r="L19" s="1470">
        <v>2.7</v>
      </c>
      <c r="M19" s="1470">
        <v>3.7</v>
      </c>
      <c r="N19" s="1470">
        <v>3.7</v>
      </c>
      <c r="P19" s="1470">
        <v>39</v>
      </c>
      <c r="Q19" s="1470">
        <v>1.6</v>
      </c>
      <c r="R19" s="1470">
        <v>1.6</v>
      </c>
      <c r="S19" s="1470">
        <v>1.6</v>
      </c>
      <c r="T19" s="1470">
        <v>2.2000000000000002</v>
      </c>
      <c r="U19" s="1470">
        <v>3.1</v>
      </c>
      <c r="V19" s="1470">
        <v>3.1</v>
      </c>
      <c r="W19" s="1471"/>
      <c r="X19" s="1470"/>
      <c r="Y19" s="1470"/>
      <c r="Z19" s="1470"/>
    </row>
    <row r="20" spans="2:26" ht="15.75">
      <c r="B20" t="s">
        <v>301</v>
      </c>
      <c r="C20" s="148">
        <f ca="1">+C16-C19</f>
        <v>29.338827999999978</v>
      </c>
      <c r="H20" s="1470">
        <v>40</v>
      </c>
      <c r="I20" s="1470">
        <v>2.2999999999999998</v>
      </c>
      <c r="J20" s="1470">
        <v>2.2999999999999998</v>
      </c>
      <c r="K20" s="1470">
        <v>2.2999999999999998</v>
      </c>
      <c r="L20" s="1470">
        <v>2.9</v>
      </c>
      <c r="M20" s="1470">
        <v>3.8</v>
      </c>
      <c r="N20" s="1470">
        <v>3.8</v>
      </c>
      <c r="P20" s="1470">
        <v>40</v>
      </c>
      <c r="Q20" s="1470">
        <v>1.7</v>
      </c>
      <c r="R20" s="1470">
        <v>1.7</v>
      </c>
      <c r="S20" s="1470">
        <v>1.7</v>
      </c>
      <c r="T20" s="1470">
        <v>2.2999999999999998</v>
      </c>
      <c r="U20" s="1470">
        <v>3.2</v>
      </c>
      <c r="V20" s="1470">
        <v>3.2</v>
      </c>
      <c r="W20" s="1471"/>
      <c r="X20" s="1470"/>
      <c r="Y20" s="1470"/>
      <c r="Z20" s="1470"/>
    </row>
    <row r="21" spans="2:26" ht="15.75">
      <c r="B21" t="s">
        <v>1443</v>
      </c>
      <c r="C21" s="553">
        <f ca="1">+C19/C16-1</f>
        <v>-0.18637581324148478</v>
      </c>
      <c r="H21" s="1470">
        <v>41</v>
      </c>
      <c r="I21" s="1470">
        <v>2.4</v>
      </c>
      <c r="J21" s="1470">
        <v>2.4</v>
      </c>
      <c r="K21" s="1470">
        <v>2.4</v>
      </c>
      <c r="L21" s="1470">
        <v>3</v>
      </c>
      <c r="M21" s="1470">
        <v>4</v>
      </c>
      <c r="N21" s="1470">
        <v>4</v>
      </c>
      <c r="P21" s="1470">
        <v>41</v>
      </c>
      <c r="Q21" s="1470">
        <v>1.8</v>
      </c>
      <c r="R21" s="1470">
        <v>1.8</v>
      </c>
      <c r="S21" s="1470">
        <v>1.8</v>
      </c>
      <c r="T21" s="1470">
        <v>2.5</v>
      </c>
      <c r="U21" s="1470">
        <v>3.4</v>
      </c>
      <c r="V21" s="1470">
        <v>3.4</v>
      </c>
      <c r="W21" s="1471"/>
      <c r="X21" s="1470"/>
      <c r="Y21" s="1470"/>
      <c r="Z21" s="1470"/>
    </row>
    <row r="22" spans="2:26" ht="15.75">
      <c r="B22" t="s">
        <v>1444</v>
      </c>
      <c r="C22">
        <f ca="1">VLOOKUP(YEAR(C3),MonatlicheBezugsgröße,4)</f>
        <v>39.550000000000004</v>
      </c>
      <c r="H22" s="1470">
        <v>42</v>
      </c>
      <c r="I22" s="1470">
        <v>2.5</v>
      </c>
      <c r="J22" s="1470">
        <v>2.5</v>
      </c>
      <c r="K22" s="1470">
        <v>2.5</v>
      </c>
      <c r="L22" s="1470">
        <v>3.2</v>
      </c>
      <c r="M22" s="1470">
        <v>4.2</v>
      </c>
      <c r="N22" s="1470">
        <v>4.2</v>
      </c>
      <c r="P22" s="1470">
        <v>42</v>
      </c>
      <c r="Q22" s="1470">
        <v>1.9</v>
      </c>
      <c r="R22" s="1470">
        <v>1.9</v>
      </c>
      <c r="S22" s="1470">
        <v>1.9</v>
      </c>
      <c r="T22" s="1470">
        <v>2.6</v>
      </c>
      <c r="U22" s="1470">
        <v>3.5</v>
      </c>
      <c r="V22" s="1470">
        <v>3.5</v>
      </c>
      <c r="W22" s="1471"/>
      <c r="X22" s="1470"/>
      <c r="Y22" s="1470"/>
      <c r="Z22" s="1470"/>
    </row>
    <row r="23" spans="2:26" ht="15.75">
      <c r="H23" s="1470">
        <v>43</v>
      </c>
      <c r="I23" s="1470">
        <v>2.7</v>
      </c>
      <c r="J23" s="1470">
        <v>2.7</v>
      </c>
      <c r="K23" s="1470">
        <v>2.7</v>
      </c>
      <c r="L23" s="1470">
        <v>3.4</v>
      </c>
      <c r="M23" s="1470">
        <v>4.4000000000000004</v>
      </c>
      <c r="N23" s="1470">
        <v>4.4000000000000004</v>
      </c>
      <c r="P23" s="1470">
        <v>43</v>
      </c>
      <c r="Q23" s="1470">
        <v>2</v>
      </c>
      <c r="R23" s="1470">
        <v>2</v>
      </c>
      <c r="S23" s="1470">
        <v>2</v>
      </c>
      <c r="T23" s="1470">
        <v>2.8</v>
      </c>
      <c r="U23" s="1470">
        <v>3.7</v>
      </c>
      <c r="V23" s="1470">
        <v>3.7</v>
      </c>
      <c r="W23" s="1471"/>
      <c r="X23" s="1470"/>
      <c r="Y23" s="1470"/>
      <c r="Z23" s="1470"/>
    </row>
    <row r="24" spans="2:26" ht="15.75">
      <c r="H24" s="1470">
        <v>44</v>
      </c>
      <c r="I24" s="1470">
        <v>2.8</v>
      </c>
      <c r="J24" s="1470">
        <v>2.8</v>
      </c>
      <c r="K24" s="1470">
        <v>2.8</v>
      </c>
      <c r="L24" s="1470">
        <v>3.6</v>
      </c>
      <c r="M24" s="1470">
        <v>4.5999999999999996</v>
      </c>
      <c r="N24" s="1470">
        <v>4.5999999999999996</v>
      </c>
      <c r="P24" s="1470">
        <v>44</v>
      </c>
      <c r="Q24" s="1470">
        <v>2.1</v>
      </c>
      <c r="R24" s="1470">
        <v>2.1</v>
      </c>
      <c r="S24" s="1470">
        <v>2.1</v>
      </c>
      <c r="T24" s="1470">
        <v>2.9</v>
      </c>
      <c r="U24" s="1470">
        <v>3.9</v>
      </c>
      <c r="V24" s="1470">
        <v>3.9</v>
      </c>
      <c r="W24" s="1471"/>
      <c r="X24" s="1470"/>
      <c r="Y24" s="1470"/>
      <c r="Z24" s="1470"/>
    </row>
    <row r="25" spans="2:26" ht="15.75">
      <c r="H25" s="1470">
        <v>45</v>
      </c>
      <c r="I25" s="1470">
        <v>3</v>
      </c>
      <c r="J25" s="1470">
        <v>3</v>
      </c>
      <c r="K25" s="1470">
        <v>3</v>
      </c>
      <c r="L25" s="1470">
        <v>3.8</v>
      </c>
      <c r="M25" s="1470">
        <v>4.8</v>
      </c>
      <c r="N25" s="1470">
        <v>4.8</v>
      </c>
      <c r="P25" s="1470">
        <v>45</v>
      </c>
      <c r="Q25" s="1470">
        <v>2.2999999999999998</v>
      </c>
      <c r="R25" s="1470">
        <v>2.2999999999999998</v>
      </c>
      <c r="S25" s="1470">
        <v>2.2999999999999998</v>
      </c>
      <c r="T25" s="1470">
        <v>3.1</v>
      </c>
      <c r="U25" s="1470">
        <v>4</v>
      </c>
      <c r="V25" s="1470">
        <v>4</v>
      </c>
      <c r="W25" s="1471"/>
      <c r="X25" s="1473"/>
      <c r="Y25" s="1470"/>
      <c r="Z25" s="1470"/>
    </row>
    <row r="26" spans="2:26" ht="15">
      <c r="H26" s="1470">
        <v>46</v>
      </c>
      <c r="I26" s="1470">
        <v>3.2</v>
      </c>
      <c r="J26" s="1470">
        <v>3.2</v>
      </c>
      <c r="K26" s="1470">
        <v>3.2</v>
      </c>
      <c r="L26" s="1470">
        <v>4</v>
      </c>
      <c r="M26" s="1470">
        <v>5</v>
      </c>
      <c r="N26" s="1470">
        <v>5</v>
      </c>
      <c r="P26" s="1470">
        <v>46</v>
      </c>
      <c r="Q26" s="1470">
        <v>2.4</v>
      </c>
      <c r="R26" s="1470">
        <v>2.4</v>
      </c>
      <c r="S26" s="1470">
        <v>2.4</v>
      </c>
      <c r="T26" s="1470">
        <v>3.3</v>
      </c>
      <c r="U26" s="1470">
        <v>4.2</v>
      </c>
      <c r="V26" s="1470">
        <v>4.2</v>
      </c>
    </row>
    <row r="27" spans="2:26" ht="15">
      <c r="H27" s="1470">
        <v>47</v>
      </c>
      <c r="I27" s="1470">
        <v>3.3</v>
      </c>
      <c r="J27" s="1470">
        <v>3.3</v>
      </c>
      <c r="K27" s="1470">
        <v>3.3</v>
      </c>
      <c r="L27" s="1470">
        <v>4.2</v>
      </c>
      <c r="M27" s="1470">
        <v>5.2</v>
      </c>
      <c r="N27" s="1470">
        <v>5.2</v>
      </c>
      <c r="P27" s="1470">
        <v>47</v>
      </c>
      <c r="Q27" s="1470">
        <v>2.6</v>
      </c>
      <c r="R27" s="1470">
        <v>2.6</v>
      </c>
      <c r="S27" s="1470">
        <v>2.6</v>
      </c>
      <c r="T27" s="1470">
        <v>3.5</v>
      </c>
      <c r="U27" s="1470">
        <v>4.5</v>
      </c>
      <c r="V27" s="1470">
        <v>4.5</v>
      </c>
    </row>
    <row r="28" spans="2:26" ht="15">
      <c r="H28" s="1470">
        <v>48</v>
      </c>
      <c r="I28" s="1470">
        <v>3.5</v>
      </c>
      <c r="J28" s="1470">
        <v>3.5</v>
      </c>
      <c r="K28" s="1470">
        <v>3.5</v>
      </c>
      <c r="L28" s="1470">
        <v>4.4000000000000004</v>
      </c>
      <c r="M28" s="1470">
        <v>5.4</v>
      </c>
      <c r="N28" s="1470">
        <v>5.4</v>
      </c>
      <c r="P28" s="1470">
        <v>48</v>
      </c>
      <c r="Q28" s="1470">
        <v>2.7</v>
      </c>
      <c r="R28" s="1470">
        <v>2.7</v>
      </c>
      <c r="S28" s="1470">
        <v>2.7</v>
      </c>
      <c r="T28" s="1470">
        <v>3.7</v>
      </c>
      <c r="U28" s="1470">
        <v>4.7</v>
      </c>
      <c r="V28" s="1470">
        <v>4.7</v>
      </c>
    </row>
    <row r="29" spans="2:26" ht="15">
      <c r="H29" s="1470">
        <v>49</v>
      </c>
      <c r="I29" s="1470">
        <v>3.7</v>
      </c>
      <c r="J29" s="1470">
        <v>3.7</v>
      </c>
      <c r="K29" s="1470">
        <v>3.7</v>
      </c>
      <c r="L29" s="1470">
        <v>4.5999999999999996</v>
      </c>
      <c r="M29" s="1470">
        <v>5.7</v>
      </c>
      <c r="N29" s="1470">
        <v>5.7</v>
      </c>
      <c r="P29" s="1470">
        <v>49</v>
      </c>
      <c r="Q29" s="1470">
        <v>2.9</v>
      </c>
      <c r="R29" s="1470">
        <v>2.9</v>
      </c>
      <c r="S29" s="1470">
        <v>2.9</v>
      </c>
      <c r="T29" s="1470">
        <v>3.9</v>
      </c>
      <c r="U29" s="1470">
        <v>4.9000000000000004</v>
      </c>
      <c r="V29" s="1470">
        <v>4.9000000000000004</v>
      </c>
    </row>
    <row r="30" spans="2:26" ht="15">
      <c r="H30" s="1470">
        <v>50</v>
      </c>
      <c r="I30" s="1470">
        <v>3.9</v>
      </c>
      <c r="J30" s="1470">
        <v>3.9</v>
      </c>
      <c r="K30" s="1470">
        <v>3.9</v>
      </c>
      <c r="L30" s="1470">
        <v>4.9000000000000004</v>
      </c>
      <c r="M30" s="1470">
        <v>5.9</v>
      </c>
      <c r="N30" s="1470">
        <v>5.9</v>
      </c>
      <c r="P30" s="1470">
        <v>50</v>
      </c>
      <c r="Q30" s="1470">
        <v>3.1</v>
      </c>
      <c r="R30" s="1470">
        <v>3.1</v>
      </c>
      <c r="S30" s="1470">
        <v>3.1</v>
      </c>
      <c r="T30" s="1470">
        <v>4.0999999999999996</v>
      </c>
      <c r="U30" s="1470">
        <v>5.0999999999999996</v>
      </c>
      <c r="V30" s="1470">
        <v>5.0999999999999996</v>
      </c>
    </row>
    <row r="31" spans="2:26" ht="15">
      <c r="H31" s="1470">
        <v>51</v>
      </c>
      <c r="I31" s="1470">
        <v>4.2</v>
      </c>
      <c r="J31" s="1470">
        <v>4.2</v>
      </c>
      <c r="K31" s="1470">
        <v>4.2</v>
      </c>
      <c r="L31" s="1470">
        <v>5.0999999999999996</v>
      </c>
      <c r="M31" s="1470">
        <v>6.2</v>
      </c>
      <c r="N31" s="1470">
        <v>6.2</v>
      </c>
      <c r="P31" s="1470">
        <v>51</v>
      </c>
      <c r="Q31" s="1470">
        <v>3.3</v>
      </c>
      <c r="R31" s="1470">
        <v>3.3</v>
      </c>
      <c r="S31" s="1470">
        <v>3.3</v>
      </c>
      <c r="T31" s="1470">
        <v>4.4000000000000004</v>
      </c>
      <c r="U31" s="1470">
        <v>5.4</v>
      </c>
      <c r="V31" s="1470">
        <v>5.4</v>
      </c>
    </row>
    <row r="32" spans="2:26" ht="15">
      <c r="H32" s="1470">
        <v>52</v>
      </c>
      <c r="I32" s="1470">
        <v>4.4000000000000004</v>
      </c>
      <c r="J32" s="1470">
        <v>4.4000000000000004</v>
      </c>
      <c r="K32" s="1470">
        <v>4.4000000000000004</v>
      </c>
      <c r="L32" s="1470">
        <v>5.4</v>
      </c>
      <c r="M32" s="1470">
        <v>6.5</v>
      </c>
      <c r="N32" s="1470">
        <v>6.5</v>
      </c>
      <c r="P32" s="1470">
        <v>52</v>
      </c>
      <c r="Q32" s="1470">
        <v>3.5</v>
      </c>
      <c r="R32" s="1470">
        <v>3.5</v>
      </c>
      <c r="S32" s="1470">
        <v>3.5</v>
      </c>
      <c r="T32" s="1470">
        <v>4.7</v>
      </c>
      <c r="U32" s="1470">
        <v>5.7</v>
      </c>
      <c r="V32" s="1470">
        <v>5.7</v>
      </c>
    </row>
    <row r="33" spans="8:22" ht="15">
      <c r="H33" s="1470">
        <v>53</v>
      </c>
      <c r="I33" s="1470">
        <v>4.5999999999999996</v>
      </c>
      <c r="J33" s="1470">
        <v>4.5999999999999996</v>
      </c>
      <c r="K33" s="1470">
        <v>4.5999999999999996</v>
      </c>
      <c r="L33" s="1470">
        <v>5.7</v>
      </c>
      <c r="M33" s="1470">
        <v>6.8</v>
      </c>
      <c r="N33" s="1470">
        <v>6.8</v>
      </c>
      <c r="P33" s="1470">
        <v>53</v>
      </c>
      <c r="Q33" s="1470">
        <v>3.7</v>
      </c>
      <c r="R33" s="1470">
        <v>3.7</v>
      </c>
      <c r="S33" s="1470">
        <v>3.7</v>
      </c>
      <c r="T33" s="1470">
        <v>5</v>
      </c>
      <c r="U33" s="1470">
        <v>6</v>
      </c>
      <c r="V33" s="1470">
        <v>6</v>
      </c>
    </row>
    <row r="34" spans="8:22" ht="15">
      <c r="H34" s="1470">
        <v>54</v>
      </c>
      <c r="I34" s="1470">
        <v>4.9000000000000004</v>
      </c>
      <c r="J34" s="1470">
        <v>4.9000000000000004</v>
      </c>
      <c r="K34" s="1470">
        <v>4.9000000000000004</v>
      </c>
      <c r="L34" s="1470">
        <v>6</v>
      </c>
      <c r="M34" s="1470">
        <v>7.1</v>
      </c>
      <c r="N34" s="1470">
        <v>7.1</v>
      </c>
      <c r="P34" s="1470">
        <v>54</v>
      </c>
      <c r="Q34" s="1470">
        <v>4</v>
      </c>
      <c r="R34" s="1470">
        <v>4</v>
      </c>
      <c r="S34" s="1470">
        <v>4</v>
      </c>
      <c r="T34" s="1470">
        <v>5.3</v>
      </c>
      <c r="U34" s="1470">
        <v>6.3</v>
      </c>
      <c r="V34" s="1470">
        <v>6.3</v>
      </c>
    </row>
    <row r="35" spans="8:22" ht="15">
      <c r="H35" s="1470">
        <v>55</v>
      </c>
      <c r="I35" s="1470">
        <v>5.0999999999999996</v>
      </c>
      <c r="J35" s="1470">
        <v>5.0999999999999996</v>
      </c>
      <c r="K35" s="1470">
        <v>5.0999999999999996</v>
      </c>
      <c r="L35" s="1470">
        <v>6.3</v>
      </c>
      <c r="M35" s="1470">
        <v>7.4</v>
      </c>
      <c r="N35" s="1470">
        <v>7.4</v>
      </c>
      <c r="P35" s="1470">
        <v>55</v>
      </c>
      <c r="Q35" s="1470">
        <v>4.3</v>
      </c>
      <c r="R35" s="1470">
        <v>4.3</v>
      </c>
      <c r="S35" s="1470">
        <v>4.3</v>
      </c>
      <c r="T35" s="1470">
        <v>5.6</v>
      </c>
      <c r="U35" s="1470">
        <v>6.6</v>
      </c>
      <c r="V35" s="1470">
        <v>6.6</v>
      </c>
    </row>
    <row r="36" spans="8:22" ht="15">
      <c r="H36" s="1470">
        <v>56</v>
      </c>
      <c r="I36" s="1470">
        <v>5.4</v>
      </c>
      <c r="J36" s="1470">
        <v>5.4</v>
      </c>
      <c r="K36" s="1470">
        <v>5.4</v>
      </c>
      <c r="L36" s="1470">
        <v>6.6</v>
      </c>
      <c r="M36" s="1470">
        <v>7.7</v>
      </c>
      <c r="N36" s="1470">
        <v>7.7</v>
      </c>
      <c r="P36" s="1470">
        <v>56</v>
      </c>
      <c r="Q36" s="1470">
        <v>4.5999999999999996</v>
      </c>
      <c r="R36" s="1470">
        <v>4.5999999999999996</v>
      </c>
      <c r="S36" s="1470">
        <v>4.5999999999999996</v>
      </c>
      <c r="T36" s="1470">
        <v>5.9</v>
      </c>
      <c r="U36" s="1470">
        <v>7</v>
      </c>
      <c r="V36" s="1470">
        <v>7</v>
      </c>
    </row>
    <row r="37" spans="8:22" ht="15">
      <c r="H37" s="1470">
        <v>57</v>
      </c>
      <c r="I37" s="1470">
        <v>5.7</v>
      </c>
      <c r="J37" s="1470">
        <v>5.7</v>
      </c>
      <c r="K37" s="1470">
        <v>5.7</v>
      </c>
      <c r="L37" s="1470">
        <v>6.9</v>
      </c>
      <c r="M37" s="1470">
        <v>8</v>
      </c>
      <c r="N37" s="1470">
        <v>8</v>
      </c>
      <c r="P37" s="1470">
        <v>57</v>
      </c>
      <c r="Q37" s="1470">
        <v>4.9000000000000004</v>
      </c>
      <c r="R37" s="1470">
        <v>4.9000000000000004</v>
      </c>
      <c r="S37" s="1470">
        <v>4.9000000000000004</v>
      </c>
      <c r="T37" s="1470">
        <v>6.3</v>
      </c>
      <c r="U37" s="1470">
        <v>7.3</v>
      </c>
      <c r="V37" s="1470">
        <v>7.3</v>
      </c>
    </row>
    <row r="38" spans="8:22" ht="15">
      <c r="H38" s="1470">
        <v>58</v>
      </c>
      <c r="I38" s="1470">
        <v>6</v>
      </c>
      <c r="J38" s="1470">
        <v>6</v>
      </c>
      <c r="K38" s="1470">
        <v>6</v>
      </c>
      <c r="L38" s="1470">
        <v>7.3</v>
      </c>
      <c r="M38" s="1470">
        <v>8.3000000000000007</v>
      </c>
      <c r="N38" s="1470">
        <v>8.3000000000000007</v>
      </c>
      <c r="P38" s="1470">
        <v>58</v>
      </c>
      <c r="Q38" s="1470">
        <v>5.2</v>
      </c>
      <c r="R38" s="1470">
        <v>5.2</v>
      </c>
      <c r="S38" s="1470">
        <v>5.2</v>
      </c>
      <c r="T38" s="1470">
        <v>6.7</v>
      </c>
      <c r="U38" s="1470">
        <v>7.7</v>
      </c>
      <c r="V38" s="1470">
        <v>7.7</v>
      </c>
    </row>
    <row r="39" spans="8:22" ht="15">
      <c r="H39" s="1470">
        <v>59</v>
      </c>
      <c r="I39" s="1470">
        <v>6.3</v>
      </c>
      <c r="J39" s="1470">
        <v>6.3</v>
      </c>
      <c r="K39" s="1470">
        <v>6.3</v>
      </c>
      <c r="L39" s="1470">
        <v>7.6</v>
      </c>
      <c r="M39" s="1470">
        <v>8.6999999999999993</v>
      </c>
      <c r="N39" s="1470">
        <v>8.6999999999999993</v>
      </c>
      <c r="P39" s="1470">
        <v>59</v>
      </c>
      <c r="Q39" s="1470">
        <v>5.6</v>
      </c>
      <c r="R39" s="1470">
        <v>5.6</v>
      </c>
      <c r="S39" s="1470">
        <v>5.6</v>
      </c>
      <c r="T39" s="1470">
        <v>7.2</v>
      </c>
      <c r="U39" s="1470">
        <v>8.1</v>
      </c>
      <c r="V39" s="1470">
        <v>8.1</v>
      </c>
    </row>
    <row r="40" spans="8:22" ht="15">
      <c r="H40" s="1470">
        <v>60</v>
      </c>
      <c r="I40" s="1470">
        <v>6.6</v>
      </c>
      <c r="J40" s="1470">
        <v>6.6</v>
      </c>
      <c r="K40" s="1470">
        <v>6.6</v>
      </c>
      <c r="L40" s="1470">
        <v>8</v>
      </c>
      <c r="M40" s="1470">
        <v>9</v>
      </c>
      <c r="N40" s="1470">
        <v>9</v>
      </c>
      <c r="P40" s="1470">
        <v>60</v>
      </c>
      <c r="Q40" s="1470">
        <v>6.1</v>
      </c>
      <c r="R40" s="1470">
        <v>6.1</v>
      </c>
      <c r="S40" s="1470">
        <v>6.1</v>
      </c>
      <c r="T40" s="1470">
        <v>7.6</v>
      </c>
      <c r="U40" s="1470">
        <v>8.6</v>
      </c>
      <c r="V40" s="1470">
        <v>8.6</v>
      </c>
    </row>
    <row r="41" spans="8:22" ht="15">
      <c r="H41" s="1470">
        <v>61</v>
      </c>
      <c r="I41" s="1470">
        <v>7</v>
      </c>
      <c r="J41" s="1470">
        <v>7</v>
      </c>
      <c r="K41" s="1470">
        <v>7</v>
      </c>
      <c r="L41" s="1470">
        <v>8.4</v>
      </c>
      <c r="M41" s="1470">
        <v>9.4</v>
      </c>
      <c r="N41" s="1470">
        <v>9.4</v>
      </c>
      <c r="P41" s="1470">
        <v>61</v>
      </c>
      <c r="Q41" s="1470">
        <v>6.5</v>
      </c>
      <c r="R41" s="1470">
        <v>6.5</v>
      </c>
      <c r="S41" s="1470">
        <v>6.5</v>
      </c>
      <c r="T41" s="1470">
        <v>8.1</v>
      </c>
      <c r="U41" s="1470">
        <v>9.1</v>
      </c>
      <c r="V41" s="1470">
        <v>9.1</v>
      </c>
    </row>
    <row r="42" spans="8:22" ht="15">
      <c r="H42" s="1470">
        <v>62</v>
      </c>
      <c r="I42" s="1470">
        <v>7.4</v>
      </c>
      <c r="J42" s="1470">
        <v>7.4</v>
      </c>
      <c r="K42" s="1470">
        <v>7.4</v>
      </c>
      <c r="L42" s="1470">
        <v>8.8000000000000007</v>
      </c>
      <c r="M42" s="1470">
        <v>9.8000000000000007</v>
      </c>
      <c r="N42" s="1470">
        <v>9.8000000000000007</v>
      </c>
      <c r="P42" s="1470">
        <v>62</v>
      </c>
      <c r="Q42" s="1470">
        <v>7</v>
      </c>
      <c r="R42" s="1470">
        <v>7</v>
      </c>
      <c r="S42" s="1470">
        <v>7</v>
      </c>
      <c r="T42" s="1470">
        <v>8.6999999999999993</v>
      </c>
      <c r="U42" s="1470">
        <v>9.6</v>
      </c>
      <c r="V42" s="1470">
        <v>9.6</v>
      </c>
    </row>
    <row r="43" spans="8:22" ht="15">
      <c r="H43" s="1470">
        <v>63</v>
      </c>
      <c r="I43" s="1470">
        <v>7.8</v>
      </c>
      <c r="J43" s="1470">
        <v>7.8</v>
      </c>
      <c r="K43" s="1470">
        <v>7.8</v>
      </c>
      <c r="L43" s="1470">
        <v>9.3000000000000007</v>
      </c>
      <c r="M43" s="1470">
        <v>10.199999999999999</v>
      </c>
      <c r="N43" s="1470">
        <v>10.199999999999999</v>
      </c>
      <c r="P43" s="1470">
        <v>63</v>
      </c>
      <c r="Q43" s="1470">
        <v>7.6</v>
      </c>
      <c r="R43" s="1470">
        <v>7.6</v>
      </c>
      <c r="S43" s="1470">
        <v>7.6</v>
      </c>
      <c r="T43" s="1470">
        <v>9.1999999999999993</v>
      </c>
      <c r="U43" s="1470">
        <v>10.1</v>
      </c>
      <c r="V43" s="1470">
        <v>10.1</v>
      </c>
    </row>
    <row r="44" spans="8:22" ht="15">
      <c r="H44" s="1470">
        <v>64</v>
      </c>
      <c r="I44" s="1470">
        <v>8.4</v>
      </c>
      <c r="J44" s="1470">
        <v>8.4</v>
      </c>
      <c r="K44" s="1470">
        <v>8.4</v>
      </c>
      <c r="L44" s="1470">
        <v>9.9</v>
      </c>
      <c r="M44" s="1470">
        <v>10.7</v>
      </c>
      <c r="N44" s="1470">
        <v>10.7</v>
      </c>
      <c r="P44" s="1470">
        <v>64</v>
      </c>
      <c r="Q44" s="1470">
        <v>8.3000000000000007</v>
      </c>
      <c r="R44" s="1470">
        <v>8.3000000000000007</v>
      </c>
      <c r="S44" s="1470">
        <v>8.3000000000000007</v>
      </c>
      <c r="T44" s="1470">
        <v>9.9</v>
      </c>
      <c r="U44" s="1470">
        <v>10.7</v>
      </c>
      <c r="V44" s="1470">
        <v>10.7</v>
      </c>
    </row>
    <row r="45" spans="8:22" ht="15">
      <c r="H45" s="1470">
        <v>65</v>
      </c>
      <c r="I45" s="1470">
        <v>9</v>
      </c>
      <c r="J45" s="1470">
        <v>9</v>
      </c>
      <c r="K45" s="1470">
        <v>9</v>
      </c>
      <c r="L45" s="1470">
        <v>10.199999999999999</v>
      </c>
      <c r="M45" s="1470">
        <v>11</v>
      </c>
      <c r="N45" s="1470">
        <v>11</v>
      </c>
      <c r="P45" s="1470">
        <v>65</v>
      </c>
      <c r="Q45" s="1470">
        <v>9</v>
      </c>
      <c r="R45" s="1470">
        <v>9</v>
      </c>
      <c r="S45" s="1470">
        <v>9</v>
      </c>
      <c r="T45" s="1470">
        <v>10.199999999999999</v>
      </c>
      <c r="U45" s="1470">
        <v>11</v>
      </c>
      <c r="V45" s="1470">
        <v>11</v>
      </c>
    </row>
    <row r="46" spans="8:22">
      <c r="H46" t="s">
        <v>1435</v>
      </c>
      <c r="I46" s="1474">
        <v>0.08</v>
      </c>
      <c r="J46" s="1475">
        <v>0.08</v>
      </c>
      <c r="K46" s="1474">
        <v>0.08</v>
      </c>
      <c r="L46" s="1474">
        <v>0.08</v>
      </c>
      <c r="M46" s="1474">
        <v>7.4999999999999997E-2</v>
      </c>
      <c r="N46" s="1474">
        <v>7.4999999999999997E-2</v>
      </c>
      <c r="P46" t="s">
        <v>1435</v>
      </c>
      <c r="Q46" s="1474">
        <v>0.14000000000000001</v>
      </c>
      <c r="R46" s="1475">
        <v>0.14000000000000001</v>
      </c>
      <c r="S46" s="1474">
        <v>0.14000000000000001</v>
      </c>
      <c r="T46" s="1474">
        <v>0.12</v>
      </c>
      <c r="U46" s="1474">
        <v>0.105</v>
      </c>
      <c r="V46" s="1474">
        <v>0.105</v>
      </c>
    </row>
    <row r="47" spans="8:22">
      <c r="H47" t="s">
        <v>1432</v>
      </c>
      <c r="I47" s="128" t="s">
        <v>1436</v>
      </c>
      <c r="J47" s="1475" t="s">
        <v>1436</v>
      </c>
      <c r="K47" s="128" t="s">
        <v>1437</v>
      </c>
      <c r="L47" s="128" t="s">
        <v>1437</v>
      </c>
      <c r="M47" s="128" t="s">
        <v>1437</v>
      </c>
      <c r="N47" s="128" t="s">
        <v>1437</v>
      </c>
      <c r="P47" t="s">
        <v>1432</v>
      </c>
      <c r="Q47" s="128"/>
      <c r="R47" s="1475"/>
      <c r="S47" s="128"/>
      <c r="T47" s="128"/>
      <c r="U47" s="128"/>
      <c r="V47" s="128"/>
    </row>
    <row r="48" spans="8:22">
      <c r="H48" t="s">
        <v>1438</v>
      </c>
      <c r="I48" s="1476">
        <v>0.05</v>
      </c>
      <c r="J48" s="1475">
        <v>0.05</v>
      </c>
      <c r="K48" s="1476">
        <v>0.05</v>
      </c>
      <c r="L48" s="1476">
        <v>0.05</v>
      </c>
      <c r="M48" s="1476">
        <v>0.05</v>
      </c>
      <c r="N48" s="1476">
        <v>0.05</v>
      </c>
      <c r="P48" t="s">
        <v>1438</v>
      </c>
      <c r="Q48" s="1476">
        <v>0.09</v>
      </c>
      <c r="R48" s="1475">
        <v>0.09</v>
      </c>
      <c r="S48" s="1476">
        <v>0.09</v>
      </c>
      <c r="T48" s="1476">
        <v>0.09</v>
      </c>
      <c r="U48" s="1476">
        <v>8.5000000000000006E-2</v>
      </c>
      <c r="V48" s="1476">
        <v>8.5000000000000006E-2</v>
      </c>
    </row>
    <row r="49" spans="8:22">
      <c r="H49" t="s">
        <v>1432</v>
      </c>
      <c r="I49" s="1476">
        <v>0.25</v>
      </c>
      <c r="J49" s="1475">
        <v>0.25</v>
      </c>
      <c r="K49" s="1476">
        <v>0.25</v>
      </c>
      <c r="L49" s="1476">
        <v>0.3</v>
      </c>
      <c r="M49" s="128">
        <v>35</v>
      </c>
      <c r="N49" s="1476">
        <v>0.35</v>
      </c>
      <c r="P49" t="s">
        <v>1432</v>
      </c>
      <c r="Q49" s="1476">
        <v>0.75</v>
      </c>
      <c r="R49" s="1475">
        <v>0.75</v>
      </c>
      <c r="S49" s="1476">
        <v>0.75</v>
      </c>
      <c r="T49" s="1476">
        <v>0.7</v>
      </c>
      <c r="U49" s="128">
        <v>0.65</v>
      </c>
      <c r="V49" s="1476">
        <v>0.65</v>
      </c>
    </row>
    <row r="50" spans="8:22">
      <c r="H50" t="s">
        <v>1439</v>
      </c>
      <c r="I50" s="128"/>
      <c r="J50" s="1476">
        <v>0.6</v>
      </c>
      <c r="K50" s="1476">
        <v>0.6</v>
      </c>
      <c r="L50" s="1476">
        <v>0.65</v>
      </c>
      <c r="M50" s="1476">
        <v>0.5</v>
      </c>
      <c r="N50" s="1476">
        <v>0.5</v>
      </c>
      <c r="P50" t="s">
        <v>1439</v>
      </c>
      <c r="Q50" s="128"/>
      <c r="R50" s="1476">
        <v>0.55000000000000004</v>
      </c>
      <c r="S50" s="1476">
        <v>0.55000000000000004</v>
      </c>
      <c r="T50" s="1476">
        <v>0.8</v>
      </c>
      <c r="U50" s="1476">
        <v>0.65</v>
      </c>
      <c r="V50" s="1476">
        <v>0.65</v>
      </c>
    </row>
    <row r="51" spans="8:22">
      <c r="V51" s="1476"/>
    </row>
  </sheetData>
  <sheetProtection algorithmName="SHA-512" hashValue="GhVCMJHSMEAJKVP/+79MZ42fJ8A+RD5jFUeo0jLsaiAIZiWBabXxV/TL4SgiSyxuvnJb1PX4eCthLp2qddVdag==" saltValue="OTPbVSxPT1S8akoVoByW1g==" spinCount="100000" sheet="1" objects="1" scenarios="1" formatColumns="0" autoFilter="0"/>
  <mergeCells count="2">
    <mergeCell ref="H3:N3"/>
    <mergeCell ref="P3:V3"/>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A8B1-1A15-4A38-B00E-EE0BD7058AE6}">
  <sheetPr codeName="Tabelle48"/>
  <dimension ref="B4:J24"/>
  <sheetViews>
    <sheetView workbookViewId="0">
      <selection activeCell="B4" sqref="B4:J19"/>
    </sheetView>
  </sheetViews>
  <sheetFormatPr baseColWidth="10" defaultRowHeight="14.25"/>
  <cols>
    <col min="3" max="3" width="20.125" customWidth="1"/>
    <col min="4" max="8" width="8.5" style="128" customWidth="1"/>
    <col min="9" max="9" width="39" customWidth="1"/>
  </cols>
  <sheetData>
    <row r="4" spans="2:10">
      <c r="D4" s="128" t="s">
        <v>126</v>
      </c>
      <c r="E4" s="128" t="s">
        <v>1264</v>
      </c>
      <c r="F4" s="128" t="s">
        <v>1262</v>
      </c>
      <c r="G4" s="128" t="s">
        <v>1223</v>
      </c>
      <c r="H4" s="128" t="s">
        <v>1263</v>
      </c>
      <c r="I4" s="128" t="s">
        <v>1285</v>
      </c>
      <c r="J4" s="128" t="s">
        <v>643</v>
      </c>
    </row>
    <row r="5" spans="2:10">
      <c r="B5" s="58">
        <v>28307</v>
      </c>
      <c r="C5" t="s">
        <v>1261</v>
      </c>
      <c r="F5" s="128">
        <v>3</v>
      </c>
      <c r="G5" s="128">
        <v>4</v>
      </c>
      <c r="H5" s="128">
        <v>5</v>
      </c>
    </row>
    <row r="6" spans="2:10">
      <c r="B6" s="58">
        <v>31413</v>
      </c>
      <c r="C6" t="s">
        <v>1265</v>
      </c>
      <c r="D6" s="128">
        <v>1</v>
      </c>
      <c r="I6" t="s">
        <v>1266</v>
      </c>
    </row>
    <row r="7" spans="2:10">
      <c r="B7" s="58">
        <v>33604</v>
      </c>
      <c r="C7" t="s">
        <v>1267</v>
      </c>
      <c r="E7" s="128">
        <v>2</v>
      </c>
      <c r="I7" t="s">
        <v>1270</v>
      </c>
      <c r="J7" t="s">
        <v>1268</v>
      </c>
    </row>
    <row r="8" spans="2:10">
      <c r="B8" s="58">
        <v>33604</v>
      </c>
      <c r="C8" t="s">
        <v>1265</v>
      </c>
      <c r="D8" s="128">
        <v>1</v>
      </c>
      <c r="I8" t="s">
        <v>1269</v>
      </c>
    </row>
    <row r="9" spans="2:10">
      <c r="B9" s="58">
        <v>36526</v>
      </c>
      <c r="C9" t="s">
        <v>1261</v>
      </c>
      <c r="F9" s="128">
        <v>3</v>
      </c>
      <c r="G9" s="128">
        <v>4</v>
      </c>
      <c r="H9" s="128">
        <v>5</v>
      </c>
    </row>
    <row r="10" spans="2:10">
      <c r="B10" s="58">
        <v>37622</v>
      </c>
      <c r="C10" t="s">
        <v>1267</v>
      </c>
      <c r="E10" s="128">
        <v>2</v>
      </c>
      <c r="I10" t="s">
        <v>1271</v>
      </c>
      <c r="J10" t="s">
        <v>1268</v>
      </c>
    </row>
    <row r="11" spans="2:10">
      <c r="B11" s="58">
        <v>37622</v>
      </c>
      <c r="C11" t="s">
        <v>1261</v>
      </c>
      <c r="F11" s="128">
        <v>3</v>
      </c>
      <c r="G11" s="128">
        <v>4</v>
      </c>
      <c r="H11" s="128">
        <v>5</v>
      </c>
      <c r="I11" t="s">
        <v>1272</v>
      </c>
    </row>
    <row r="12" spans="2:10">
      <c r="B12" s="58">
        <v>38869</v>
      </c>
      <c r="C12" t="s">
        <v>1261</v>
      </c>
      <c r="F12" s="128">
        <v>3</v>
      </c>
      <c r="G12" s="128">
        <v>4</v>
      </c>
      <c r="H12" s="128">
        <v>5</v>
      </c>
      <c r="I12" t="s">
        <v>1273</v>
      </c>
    </row>
    <row r="13" spans="2:10">
      <c r="B13" s="58">
        <v>39448</v>
      </c>
      <c r="C13" t="s">
        <v>277</v>
      </c>
      <c r="D13" s="128">
        <v>1</v>
      </c>
      <c r="I13" t="s">
        <v>1274</v>
      </c>
      <c r="J13" t="s">
        <v>1275</v>
      </c>
    </row>
    <row r="14" spans="2:10">
      <c r="B14" s="58">
        <v>39630</v>
      </c>
      <c r="C14" t="s">
        <v>1261</v>
      </c>
      <c r="F14" s="128">
        <v>3</v>
      </c>
      <c r="G14" s="128">
        <v>4</v>
      </c>
      <c r="H14" s="128">
        <v>5</v>
      </c>
      <c r="I14" t="s">
        <v>1276</v>
      </c>
    </row>
    <row r="15" spans="2:10">
      <c r="B15" s="58">
        <v>39856</v>
      </c>
      <c r="C15" t="s">
        <v>277</v>
      </c>
      <c r="E15" s="128">
        <v>2</v>
      </c>
      <c r="I15" t="s">
        <v>1274</v>
      </c>
      <c r="J15" t="s">
        <v>1277</v>
      </c>
    </row>
    <row r="16" spans="2:10">
      <c r="B16" s="58">
        <v>40057</v>
      </c>
      <c r="C16" t="s">
        <v>1278</v>
      </c>
      <c r="F16" s="128">
        <v>3</v>
      </c>
      <c r="G16" s="128">
        <v>4</v>
      </c>
      <c r="H16" s="128">
        <v>5</v>
      </c>
    </row>
    <row r="17" spans="2:10">
      <c r="B17" s="58">
        <v>41821</v>
      </c>
      <c r="C17" t="s">
        <v>1265</v>
      </c>
      <c r="D17" s="128">
        <v>1</v>
      </c>
      <c r="I17" s="395" t="s">
        <v>1280</v>
      </c>
      <c r="J17" t="s">
        <v>1279</v>
      </c>
    </row>
    <row r="18" spans="2:10">
      <c r="B18" s="58">
        <v>43466</v>
      </c>
      <c r="C18" t="s">
        <v>1265</v>
      </c>
      <c r="D18" s="128">
        <v>1</v>
      </c>
      <c r="I18" s="395" t="s">
        <v>1281</v>
      </c>
      <c r="J18" t="s">
        <v>1279</v>
      </c>
    </row>
    <row r="19" spans="2:10">
      <c r="B19" s="58">
        <v>44197</v>
      </c>
      <c r="C19" t="s">
        <v>1282</v>
      </c>
      <c r="D19" s="128">
        <v>1</v>
      </c>
      <c r="I19" t="s">
        <v>1283</v>
      </c>
      <c r="J19" t="s">
        <v>1284</v>
      </c>
    </row>
    <row r="24" spans="2:10">
      <c r="B24" s="58"/>
    </row>
  </sheetData>
  <sheetProtection algorithmName="SHA-512" hashValue="d2uv3PJRAQRyRvfjb+8CEaXN2h0jX+O4eGX6X2MfMsrvV9iR+oIH/SMIFfYc5iVZga/8eOcZpQMr1YP5Y6GtxQ==" saltValue="RzdKXboH+Woy7WhKLLKb7w==" spinCount="100000" sheet="1" objects="1" scenarios="1" formatColumns="0" autoFilter="0"/>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23296-F843-45E0-A864-B435AB5081CC}">
  <sheetPr codeName="Tabelle51"/>
  <dimension ref="A1:BB65"/>
  <sheetViews>
    <sheetView showGridLines="0" zoomScaleNormal="100" workbookViewId="0">
      <selection activeCell="D11" sqref="D11"/>
    </sheetView>
  </sheetViews>
  <sheetFormatPr baseColWidth="10" defaultColWidth="0" defaultRowHeight="0" customHeight="1" zeroHeight="1"/>
  <cols>
    <col min="1" max="1" width="3.5" customWidth="1"/>
    <col min="2" max="2" width="52" customWidth="1"/>
    <col min="3" max="3" width="11" customWidth="1"/>
    <col min="4" max="4" width="12.125" customWidth="1"/>
    <col min="5" max="5" width="13.125" customWidth="1"/>
    <col min="6" max="6" width="1.125" customWidth="1"/>
    <col min="7" max="7" width="3.125" style="248" customWidth="1"/>
    <col min="8" max="8" width="36.125" style="248" customWidth="1"/>
    <col min="9" max="10" width="5.625" style="248" customWidth="1"/>
    <col min="11" max="12" width="11" style="248" customWidth="1"/>
    <col min="13" max="14" width="10.125" style="248" customWidth="1"/>
    <col min="15" max="15" width="3.125" customWidth="1"/>
    <col min="16" max="19" width="11.625" hidden="1" customWidth="1"/>
    <col min="20" max="20" width="7.625" hidden="1" customWidth="1"/>
    <col min="21" max="21" width="11.125" customWidth="1"/>
    <col min="22" max="22" width="19.125" customWidth="1"/>
    <col min="23" max="27" width="7.625" hidden="1" customWidth="1"/>
    <col min="28" max="28" width="39.625" customWidth="1"/>
    <col min="29" max="29" width="12.625" customWidth="1"/>
    <col min="30" max="30" width="17.625" customWidth="1"/>
    <col min="31" max="31" width="4.625" customWidth="1"/>
    <col min="32" max="54" width="7.625" hidden="1" customWidth="1"/>
    <col min="55" max="16384" width="1.625" hidden="1"/>
  </cols>
  <sheetData>
    <row r="1" spans="1:31" ht="15.75" thickBot="1">
      <c r="A1" s="2858"/>
      <c r="B1" s="2858"/>
      <c r="C1" s="2858"/>
      <c r="D1" s="2858"/>
      <c r="E1" s="2858"/>
      <c r="F1" s="2858"/>
      <c r="G1" s="2858"/>
      <c r="H1" s="2858"/>
      <c r="I1" s="2858"/>
      <c r="J1" s="2858"/>
      <c r="K1" s="2858"/>
      <c r="L1" s="2858"/>
      <c r="M1" s="2858"/>
      <c r="N1" s="2858"/>
      <c r="O1" s="2858"/>
      <c r="P1" s="15" t="b">
        <v>1</v>
      </c>
      <c r="Q1" t="s">
        <v>1311</v>
      </c>
      <c r="R1" t="s">
        <v>192</v>
      </c>
      <c r="S1" t="s">
        <v>193</v>
      </c>
      <c r="U1" s="3654" t="s">
        <v>1288</v>
      </c>
      <c r="V1" s="3655"/>
      <c r="W1" s="3655"/>
      <c r="X1" s="3655"/>
      <c r="Y1" s="3655"/>
      <c r="Z1" s="3655"/>
      <c r="AA1" s="3655"/>
      <c r="AB1" s="3655"/>
      <c r="AC1" s="3656"/>
      <c r="AD1" s="1411"/>
      <c r="AE1" s="403"/>
    </row>
    <row r="2" spans="1:31" ht="14.25" customHeight="1" thickTop="1">
      <c r="A2" s="3665" t="s">
        <v>531</v>
      </c>
      <c r="B2" s="3659" t="s">
        <v>1423</v>
      </c>
      <c r="C2" s="3660"/>
      <c r="D2" s="3734" t="s">
        <v>845</v>
      </c>
      <c r="E2" s="3735"/>
      <c r="F2" s="442"/>
      <c r="G2" s="3669" t="str">
        <f ca="1">IF(OR(E8="",E5=""),"Stammdaten (EzE) eingeben!","Abänderungsampel in Sachen "&amp;D4)</f>
        <v xml:space="preserve">Abänderungsampel in Sachen </v>
      </c>
      <c r="H2" s="3670"/>
      <c r="I2" s="3675" t="s">
        <v>896</v>
      </c>
      <c r="J2" s="3675"/>
      <c r="K2" s="818" t="str">
        <f>IFERROR("Mann"&amp;IF(K3&gt;0,"("&amp;TEXT(YEARFRAC(K3,C8,0),"0,0")&amp;")",""),"")</f>
        <v>Mann(82,3)</v>
      </c>
      <c r="L2" s="821" t="str">
        <f>IFERROR("Frau"&amp;IF(L3&gt;0,"("&amp;TEXT(YEARFRAC(L3,C8,0),"0,0")&amp;")",""),"")</f>
        <v>Frau(84,4)</v>
      </c>
      <c r="M2" s="3617" t="str">
        <f ca="1">"Barw. Altersrente ab Reg.Altersgr. ReZins: "&amp;IFERROR(TEXT(R2,"0,00%"),"")</f>
        <v>Barw. Altersrente ab Reg.Altersgr. ReZins: 2,44%</v>
      </c>
      <c r="N2" s="3619"/>
      <c r="O2" s="3676" t="s">
        <v>1290</v>
      </c>
      <c r="P2" t="s">
        <v>617</v>
      </c>
      <c r="Q2" s="553">
        <f ca="1">_xlfn.IFNA(IF(D9&gt;0,D9,VLOOKUP(Abänderungsdatum,BilmoGZins,16)/100),0.055)</f>
        <v>2.4399999999999998E-2</v>
      </c>
      <c r="R2" s="145">
        <f ca="1">IF(AbändBilMoG_Wahl,S2,Q2)</f>
        <v>2.4399999999999998E-2</v>
      </c>
      <c r="S2" s="145">
        <f ca="1">VLOOKUP(Abänderungsdatum,BilMoG10,16)/100</f>
        <v>2.1899999999999999E-2</v>
      </c>
      <c r="U2" s="879" t="s">
        <v>60</v>
      </c>
      <c r="V2" s="1163" t="s">
        <v>1289</v>
      </c>
      <c r="W2" s="160" t="s">
        <v>126</v>
      </c>
      <c r="X2" s="160" t="s">
        <v>1264</v>
      </c>
      <c r="Y2" s="160" t="s">
        <v>1262</v>
      </c>
      <c r="Z2" s="160" t="s">
        <v>1223</v>
      </c>
      <c r="AA2" s="160" t="s">
        <v>1263</v>
      </c>
      <c r="AB2" s="160" t="s">
        <v>1285</v>
      </c>
      <c r="AC2" s="160" t="s">
        <v>643</v>
      </c>
      <c r="AD2" s="310" t="s">
        <v>1286</v>
      </c>
    </row>
    <row r="3" spans="1:31" ht="14.25" customHeight="1">
      <c r="A3" s="3666"/>
      <c r="B3" s="3661"/>
      <c r="C3" s="3662"/>
      <c r="D3" s="3736"/>
      <c r="E3" s="3737"/>
      <c r="F3" s="442"/>
      <c r="G3" s="3671"/>
      <c r="H3" s="3672"/>
      <c r="I3" s="3657"/>
      <c r="J3" s="3658"/>
      <c r="K3" s="1285">
        <f>IF(AND(Dat_GebDat_M&gt;0,K4=0),Dat_GebDat_M,K4)</f>
        <v>16144</v>
      </c>
      <c r="L3" s="1285">
        <f>IF(AND(Dat_GebDat_F&gt;0,L4=0),Dat_GebDat_F,L4)</f>
        <v>15393</v>
      </c>
      <c r="M3" s="3621"/>
      <c r="N3" s="3622"/>
      <c r="O3" s="3676"/>
      <c r="Q3" s="553"/>
      <c r="R3" s="145"/>
      <c r="S3" s="145"/>
      <c r="U3" s="879"/>
      <c r="V3" s="1163"/>
      <c r="W3" s="160"/>
      <c r="X3" s="160"/>
      <c r="Y3" s="160"/>
      <c r="Z3" s="160"/>
      <c r="AA3" s="160"/>
      <c r="AB3" s="160"/>
      <c r="AC3" s="160"/>
      <c r="AD3" s="310"/>
    </row>
    <row r="4" spans="1:31" ht="14.25" customHeight="1" thickBot="1">
      <c r="A4" s="3667"/>
      <c r="B4" s="3663"/>
      <c r="C4" s="3664"/>
      <c r="D4" s="3678"/>
      <c r="E4" s="3679"/>
      <c r="F4" s="442"/>
      <c r="G4" s="3673"/>
      <c r="H4" s="3674"/>
      <c r="I4" s="3680" t="s">
        <v>616</v>
      </c>
      <c r="J4" s="3680"/>
      <c r="K4" s="1286">
        <v>16144</v>
      </c>
      <c r="L4" s="1286">
        <v>15393</v>
      </c>
      <c r="M4" s="3621"/>
      <c r="N4" s="3622"/>
      <c r="O4" s="3677"/>
      <c r="P4" t="s">
        <v>1484</v>
      </c>
      <c r="Q4" t="s">
        <v>618</v>
      </c>
      <c r="R4">
        <f>VLOOKUP(YEAR(K3),Regelaltersgrenze,3)</f>
        <v>65</v>
      </c>
      <c r="S4">
        <f>VLOOKUP(YEAR(L3),Regelaltersgrenze,3)</f>
        <v>65</v>
      </c>
      <c r="U4" s="635">
        <v>28307</v>
      </c>
      <c r="V4" s="539" t="s">
        <v>1261</v>
      </c>
      <c r="W4" s="66"/>
      <c r="X4" s="66"/>
      <c r="Y4" s="66">
        <v>3</v>
      </c>
      <c r="Z4" s="66">
        <v>4</v>
      </c>
      <c r="AA4" s="66">
        <v>5</v>
      </c>
      <c r="AB4" s="539"/>
      <c r="AC4" s="539"/>
      <c r="AD4" s="1164" t="s">
        <v>1287</v>
      </c>
    </row>
    <row r="5" spans="1:31" ht="14.25" customHeight="1">
      <c r="A5" s="3667"/>
      <c r="B5" s="3742" t="s">
        <v>510</v>
      </c>
      <c r="C5" s="3653"/>
      <c r="D5" s="1437">
        <f ca="1">TODAY()</f>
        <v>46239</v>
      </c>
      <c r="E5" s="1440" t="str">
        <f ca="1">IFERROR("aktRW: "&amp;TEXT(Q11,"0,00 €"),"")</f>
        <v>aktRW: 42,52 €</v>
      </c>
      <c r="F5" s="25"/>
      <c r="G5" s="3681" t="s">
        <v>527</v>
      </c>
      <c r="H5" s="560" t="str">
        <f ca="1">IF(C8="","Bitte das Ehezeitende im Stammdatenblock eingeben!","EzE: "&amp;TEXT(C8,"TT.MM.JJJJ")&amp;"; Ber.Datum: "&amp;TEXT(D5,"TT.MM.JJJJ"))</f>
        <v>EzE: 30.06.2026; Ber.Datum: 05.08.2026</v>
      </c>
      <c r="I5" s="543" t="s">
        <v>615</v>
      </c>
      <c r="J5" s="543" t="s">
        <v>621</v>
      </c>
      <c r="K5" s="3684" t="s">
        <v>1294</v>
      </c>
      <c r="L5" s="3685"/>
      <c r="M5" s="830" t="s">
        <v>1295</v>
      </c>
      <c r="N5" s="1112" t="s">
        <v>1296</v>
      </c>
      <c r="O5" s="3677"/>
      <c r="P5" s="15" t="b">
        <v>0</v>
      </c>
      <c r="Q5" t="s">
        <v>7</v>
      </c>
      <c r="R5" s="91">
        <f ca="1">YEARFRAC(K3,Abänderungsdatum,0)</f>
        <v>82.394444444444446</v>
      </c>
      <c r="S5" s="91">
        <f ca="1">YEARFRAC(L3,Abänderungsdatum,0)</f>
        <v>84.455555555555549</v>
      </c>
      <c r="U5" s="635">
        <v>31413</v>
      </c>
      <c r="V5" s="539" t="s">
        <v>1265</v>
      </c>
      <c r="W5" s="66">
        <v>1</v>
      </c>
      <c r="X5" s="66"/>
      <c r="Y5" s="66"/>
      <c r="Z5" s="66"/>
      <c r="AA5" s="66"/>
      <c r="AB5" s="539" t="s">
        <v>1266</v>
      </c>
      <c r="AC5" s="539"/>
      <c r="AD5" s="1164" t="s">
        <v>126</v>
      </c>
    </row>
    <row r="6" spans="1:31" ht="14.25" customHeight="1">
      <c r="A6" s="3667"/>
      <c r="B6" s="3742" t="s">
        <v>539</v>
      </c>
      <c r="C6" s="3653"/>
      <c r="D6" s="361"/>
      <c r="E6" s="1441" t="str">
        <f>IFERROR("mon.Bezgr."&amp;TEXT(VLOOKUP(YEAR($C$8),MonatlicheBezugsgroesse,2),"#.##0 €"),"")</f>
        <v>mon.Bezgr.3.955 €</v>
      </c>
      <c r="F6" s="25"/>
      <c r="G6" s="3682"/>
      <c r="H6" s="1235" t="s">
        <v>525</v>
      </c>
      <c r="I6" s="3686">
        <f>+I23</f>
        <v>2.5999999999999999E-2</v>
      </c>
      <c r="J6" s="3687"/>
      <c r="K6" s="396"/>
      <c r="L6" s="822"/>
      <c r="M6" s="545">
        <f ca="1">IFERROR(-PV(R$2-RententrendDRV,IF(R$4-R$5&lt;0,0,R$4-R$5),0,-PV(R$2-RententrendDRV,R$6,K6*12,))*VLOOKUP(R$4,G_Kohorte_M,YEAR(K$3)-1900+2)/VLOOKUP(R$5,G_Kohorte_M,YEAR(K$3)-1900+2),"")</f>
        <v>0</v>
      </c>
      <c r="N6" s="544">
        <f ca="1">IF($L$3=0,"",IFERROR(-PV(R$2-RententrendDRV,IF(S$4-S$5&lt;0,0,S$4-S$5),0,-PV(R$2-RententrendDRV,S$6,L6*12,))*VLOOKUP(S$4,G_Kohorte_F,YEAR(L$3)-1900+2)/VLOOKUP(S$5,G_Kohorte_F,YEAR(L$3)-1900+2),""))</f>
        <v>0</v>
      </c>
      <c r="O6" s="3677"/>
      <c r="Q6" t="s">
        <v>619</v>
      </c>
      <c r="R6" s="91">
        <f ca="1">VLOOKUP(IF(R5&gt;R4,R5,R4),Lebenserwartung_M_V2,YEAR(K3)-1900+2)</f>
        <v>7.497311020016233</v>
      </c>
      <c r="S6" s="91">
        <f ca="1">VLOOKUP(IF(S5&gt;S4,S5,S4),Lebenserwartung_F_V2,YEAR(L3)-1900+2)</f>
        <v>7.6237438069878669</v>
      </c>
      <c r="U6" s="635">
        <v>33604</v>
      </c>
      <c r="V6" s="539" t="s">
        <v>1267</v>
      </c>
      <c r="W6" s="66"/>
      <c r="X6" s="66">
        <v>2</v>
      </c>
      <c r="Y6" s="66"/>
      <c r="Z6" s="66"/>
      <c r="AA6" s="66"/>
      <c r="AB6" s="539" t="s">
        <v>1270</v>
      </c>
      <c r="AC6" s="919" t="s">
        <v>1268</v>
      </c>
      <c r="AD6" s="1164" t="s">
        <v>1264</v>
      </c>
    </row>
    <row r="7" spans="1:31" ht="14.25" customHeight="1">
      <c r="A7" s="3667"/>
      <c r="B7" s="3688" t="str">
        <f>IF(D6&lt;&gt;"ja","Abänderung kann nach § 226 II FamFG frühestens 12 Monate vor dem ersten Rentenbezug eingeleitet werden.","")</f>
        <v>Abänderung kann nach § 226 II FamFG frühestens 12 Monate vor dem ersten Rentenbezug eingeleitet werden.</v>
      </c>
      <c r="C7" s="3689"/>
      <c r="D7" s="3689"/>
      <c r="E7" s="3690"/>
      <c r="F7" s="25"/>
      <c r="G7" s="3682"/>
      <c r="H7" s="1235" t="s">
        <v>208</v>
      </c>
      <c r="I7" s="3686">
        <f>+I6</f>
        <v>2.5999999999999999E-2</v>
      </c>
      <c r="J7" s="3687"/>
      <c r="K7" s="396"/>
      <c r="L7" s="822"/>
      <c r="M7" s="545">
        <f ca="1">IFERROR(-PV(R$2-RententrendDRV,IF(R$4-R$5&lt;0,0,R$4-R$5),0,-PV(R$2-RententrendDRV,R$6,K7*12,))*VLOOKUP(R$4,G_Kohorte_M,YEAR(K$3)-1900+2)/VLOOKUP(R$5,G_Kohorte_M,YEAR(K$3)-1900+2),"")</f>
        <v>0</v>
      </c>
      <c r="N7" s="544">
        <f ca="1">IF($L$3=0,"",IFERROR(-PV(R$2-RententrendDRV,IF(S$4-S$5&lt;0,0,S$4-S$5),0,-PV(R$2-RententrendDRV,S$6,L7*12,))*VLOOKUP(S$4,G_Kohorte_F,YEAR(L$3)-1900+2)/VLOOKUP(S$5,G_Kohorte_F,YEAR(L$3)-1900+2),""))</f>
        <v>0</v>
      </c>
      <c r="O7" s="3677"/>
      <c r="Q7" t="s">
        <v>688</v>
      </c>
      <c r="R7" s="15" t="b">
        <v>0</v>
      </c>
      <c r="U7" s="635">
        <v>33604</v>
      </c>
      <c r="V7" s="539" t="s">
        <v>1265</v>
      </c>
      <c r="W7" s="66">
        <v>1</v>
      </c>
      <c r="X7" s="66"/>
      <c r="Y7" s="66"/>
      <c r="Z7" s="66"/>
      <c r="AA7" s="66"/>
      <c r="AB7" s="539" t="s">
        <v>1269</v>
      </c>
      <c r="AC7" s="539"/>
      <c r="AD7" s="1164" t="s">
        <v>126</v>
      </c>
    </row>
    <row r="8" spans="1:31" ht="14.25" customHeight="1">
      <c r="A8" s="3667"/>
      <c r="B8" s="1402" t="str">
        <f>IF(AND(Dat_EzE&gt;0,D8=0),"Ehezeitende aus 'Fallerfassung' übernommen","Ehezeitende (EzE) eingeben:")</f>
        <v>Ehezeitende aus 'Fallerfassung' übernommen</v>
      </c>
      <c r="C8" s="1287">
        <f>IF(AND(D8="",Dat_EzE=""),"",IF(AND(Dat_EzE&gt;0,D8=""),Dat_EzE,D8))</f>
        <v>46203</v>
      </c>
      <c r="D8" s="895"/>
      <c r="E8" s="1440" t="str">
        <f>IFERROR("aktRW: "&amp;TEXT(Q14,"0,00 €"),"")</f>
        <v>aktRW: 40,79 €</v>
      </c>
      <c r="F8" s="25"/>
      <c r="G8" s="3682"/>
      <c r="H8" s="1236" t="s">
        <v>526</v>
      </c>
      <c r="I8" s="3639">
        <v>5.0000000000000001E-3</v>
      </c>
      <c r="J8" s="3639"/>
      <c r="K8" s="396"/>
      <c r="L8" s="822"/>
      <c r="M8" s="545">
        <f ca="1">IFERROR(-PV(R$2-I8,IF(R$4-R$5&lt;0,0,R$4-R$5),0,-PV(R$2-I8,R$6,K8*12,))*VLOOKUP(R$4,G_Kohorte_M,YEAR(K$3)-1900+2)/VLOOKUP(R$5,G_Kohorte_M,YEAR(K$3)-1900+2),"")</f>
        <v>0</v>
      </c>
      <c r="N8" s="544">
        <f ca="1">IF($L$3=0,"",IFERROR(-PV(R$2-RententrendDRV,IF(S$4-S$5&lt;0,0,S$4-S$5),0,-PV(R$2-RententrendDRV,S$6,L8*12,))*VLOOKUP(S$4,G_Kohorte_F,YEAR(L$3)-1900+2)/VLOOKUP(S$5,G_Kohorte_F,YEAR(L$3)-1900+2),""))</f>
        <v>0</v>
      </c>
      <c r="O8" s="3677"/>
      <c r="U8" s="635">
        <v>36526</v>
      </c>
      <c r="V8" s="539" t="s">
        <v>1261</v>
      </c>
      <c r="W8" s="66"/>
      <c r="X8" s="66"/>
      <c r="Y8" s="66">
        <v>3</v>
      </c>
      <c r="Z8" s="66">
        <v>4</v>
      </c>
      <c r="AA8" s="66">
        <v>5</v>
      </c>
      <c r="AB8" s="539"/>
      <c r="AC8" s="539"/>
      <c r="AD8" s="1164" t="s">
        <v>1287</v>
      </c>
    </row>
    <row r="9" spans="1:31" ht="14.25" customHeight="1">
      <c r="A9" s="3667"/>
      <c r="B9" s="3633" t="str">
        <f ca="1">IFERROR("Rechnungszins zum "&amp;TEXT(Abänderungsdatum,"TT.MM.JJ")&amp;": "&amp;TEXT(VLOOKUP(Abänderungsdatum,BilmoGZins,16)/100,"0,00%")&amp;" / alternativen Rezins eingeben:","Rechnungszins")</f>
        <v>Rechnungszins zum 05.08.26: 2,44% / alternativen Rezins eingeben:</v>
      </c>
      <c r="C9" s="3634"/>
      <c r="D9" s="2333"/>
      <c r="E9" s="1442" t="str">
        <f ca="1">IFERROR("Rechnung mit "&amp;TEXT(R2,"#,##%"),"ReZins eingeben!")</f>
        <v>Rechnung mit 2,44%</v>
      </c>
      <c r="F9" s="25"/>
      <c r="G9" s="3682"/>
      <c r="H9" s="1237" t="s">
        <v>1293</v>
      </c>
      <c r="I9" s="566"/>
      <c r="J9" s="1174">
        <v>0.01</v>
      </c>
      <c r="K9" s="396"/>
      <c r="L9" s="822"/>
      <c r="M9" s="545">
        <f t="shared" ref="M9:M14" ca="1" si="0">IFERROR(-PV(R$2-I9,IF(R$4-R$5&lt;0,0,R$4-R$5),0,-PV(R$2-J9,R$6,K9*12,))*VLOOKUP(R$4,G_Kohorte_M,YEAR(K$3)-1900+2)/VLOOKUP(R$5,G_Kohorte_M,YEAR(K$3)-1900+2),"")</f>
        <v>0</v>
      </c>
      <c r="N9" s="544">
        <f t="shared" ref="N9:N14" ca="1" si="1">IF($L$3=0,"",IFERROR(-PV(R$2-I9,IF(S$4-S$5&lt;0,0,S$4-S$5),0,-PV(R$2-J9,S$6,L9*12,))*VLOOKUP(S$4,G_Kohorte_F,YEAR(L$3)-1900+2)/VLOOKUP(S$5,G_Kohorte_F,YEAR(L$3)-1900+2),""))</f>
        <v>0</v>
      </c>
      <c r="O9" s="3677"/>
      <c r="Q9" t="s">
        <v>1310</v>
      </c>
      <c r="R9" s="15">
        <f ca="1">VLOOKUP(Abänderungsdatum,BilmoGZins,16)</f>
        <v>2.44</v>
      </c>
      <c r="S9" s="15"/>
      <c r="U9" s="635">
        <v>37622</v>
      </c>
      <c r="V9" s="539" t="s">
        <v>1267</v>
      </c>
      <c r="W9" s="66"/>
      <c r="X9" s="66">
        <v>2</v>
      </c>
      <c r="Y9" s="66"/>
      <c r="Z9" s="66"/>
      <c r="AA9" s="66"/>
      <c r="AB9" s="539" t="s">
        <v>1271</v>
      </c>
      <c r="AC9" s="919" t="s">
        <v>1268</v>
      </c>
      <c r="AD9" s="1164" t="s">
        <v>1264</v>
      </c>
    </row>
    <row r="10" spans="1:31" ht="14.25" customHeight="1">
      <c r="A10" s="3667"/>
      <c r="B10" s="3635" t="s">
        <v>506</v>
      </c>
      <c r="C10" s="3636"/>
      <c r="D10" s="1437"/>
      <c r="E10" s="3640" t="str">
        <f>IFERROR("1% mon.Bezugsgr.:"&amp;CHAR(10)&amp;TEXT(VLOOKUP(YEAR($C$8),MonatlicheBezugsgroesse,2)*0.01,"#.##0,00 €"),"")</f>
        <v>1% mon.Bezugsgr.:
39,55 €</v>
      </c>
      <c r="F10" s="25"/>
      <c r="G10" s="3682"/>
      <c r="H10" s="408" t="s">
        <v>2033</v>
      </c>
      <c r="I10" s="566"/>
      <c r="J10" s="1174">
        <v>0.01</v>
      </c>
      <c r="K10" s="396"/>
      <c r="L10" s="822"/>
      <c r="M10" s="545">
        <f t="shared" ca="1" si="0"/>
        <v>0</v>
      </c>
      <c r="N10" s="544">
        <f t="shared" ca="1" si="1"/>
        <v>0</v>
      </c>
      <c r="O10" s="3677"/>
      <c r="U10" s="635">
        <v>37622</v>
      </c>
      <c r="V10" s="539" t="s">
        <v>1261</v>
      </c>
      <c r="W10" s="66"/>
      <c r="X10" s="66"/>
      <c r="Y10" s="66">
        <v>3</v>
      </c>
      <c r="Z10" s="66">
        <v>4</v>
      </c>
      <c r="AA10" s="66">
        <v>5</v>
      </c>
      <c r="AB10" s="539" t="s">
        <v>1272</v>
      </c>
      <c r="AC10" s="539"/>
      <c r="AD10" s="1164" t="s">
        <v>1287</v>
      </c>
    </row>
    <row r="11" spans="1:31" ht="14.25" customHeight="1" thickBot="1">
      <c r="A11" s="3668"/>
      <c r="B11" s="3691" t="s">
        <v>832</v>
      </c>
      <c r="C11" s="3692"/>
      <c r="D11" s="1439"/>
      <c r="E11" s="3641"/>
      <c r="F11" s="25"/>
      <c r="G11" s="3682"/>
      <c r="H11" s="408" t="s">
        <v>2031</v>
      </c>
      <c r="I11" s="566"/>
      <c r="J11" s="1174">
        <v>0.01</v>
      </c>
      <c r="K11" s="396"/>
      <c r="L11" s="822"/>
      <c r="M11" s="545">
        <f t="shared" ca="1" si="0"/>
        <v>0</v>
      </c>
      <c r="N11" s="544">
        <f t="shared" ca="1" si="1"/>
        <v>0</v>
      </c>
      <c r="O11" s="3677"/>
      <c r="Q11" s="148">
        <f ca="1">VLOOKUP(D5,aktRW,IF(S13,3,2))</f>
        <v>42.52</v>
      </c>
      <c r="U11" s="635">
        <v>38869</v>
      </c>
      <c r="V11" s="539" t="s">
        <v>1261</v>
      </c>
      <c r="W11" s="66"/>
      <c r="X11" s="66"/>
      <c r="Y11" s="66">
        <v>3</v>
      </c>
      <c r="Z11" s="66">
        <v>4</v>
      </c>
      <c r="AA11" s="66">
        <v>5</v>
      </c>
      <c r="AB11" s="539" t="s">
        <v>1273</v>
      </c>
      <c r="AC11" s="539"/>
      <c r="AD11" s="1164" t="s">
        <v>1287</v>
      </c>
    </row>
    <row r="12" spans="1:31" s="564" customFormat="1" ht="14.25" customHeight="1">
      <c r="A12" s="3693" t="s">
        <v>532</v>
      </c>
      <c r="B12" s="3642" t="s">
        <v>519</v>
      </c>
      <c r="C12" s="3643"/>
      <c r="D12" s="3643"/>
      <c r="E12" s="3644"/>
      <c r="F12" s="563"/>
      <c r="G12" s="3682"/>
      <c r="H12" s="408" t="s">
        <v>2032</v>
      </c>
      <c r="I12" s="566"/>
      <c r="J12" s="1174">
        <v>0.01</v>
      </c>
      <c r="K12" s="562"/>
      <c r="L12" s="823"/>
      <c r="M12" s="545">
        <f t="shared" ca="1" si="0"/>
        <v>0</v>
      </c>
      <c r="N12" s="544">
        <f t="shared" ca="1" si="1"/>
        <v>0</v>
      </c>
      <c r="O12" s="3677"/>
      <c r="Q12" s="565" t="s">
        <v>473</v>
      </c>
      <c r="U12" s="635">
        <v>39448</v>
      </c>
      <c r="V12" s="539" t="s">
        <v>277</v>
      </c>
      <c r="W12" s="66">
        <v>1</v>
      </c>
      <c r="X12" s="66"/>
      <c r="Y12" s="66"/>
      <c r="Z12" s="66"/>
      <c r="AA12" s="66"/>
      <c r="AB12" s="539" t="s">
        <v>1274</v>
      </c>
      <c r="AC12" s="919" t="s">
        <v>1275</v>
      </c>
      <c r="AD12" s="1164" t="s">
        <v>126</v>
      </c>
    </row>
    <row r="13" spans="1:31" ht="14.25" customHeight="1">
      <c r="A13" s="3694"/>
      <c r="B13" s="3645" t="s">
        <v>1618</v>
      </c>
      <c r="C13" s="3646"/>
      <c r="D13" s="29" t="s">
        <v>507</v>
      </c>
      <c r="E13" s="1443" t="s">
        <v>508</v>
      </c>
      <c r="F13" s="25"/>
      <c r="G13" s="3682"/>
      <c r="H13" s="408" t="s">
        <v>529</v>
      </c>
      <c r="I13" s="566"/>
      <c r="J13" s="1174">
        <v>0.01</v>
      </c>
      <c r="K13" s="396"/>
      <c r="L13" s="822"/>
      <c r="M13" s="545">
        <f t="shared" ca="1" si="0"/>
        <v>0</v>
      </c>
      <c r="N13" s="544">
        <f t="shared" ca="1" si="1"/>
        <v>0</v>
      </c>
      <c r="O13" s="3677"/>
      <c r="Q13" s="4" t="s">
        <v>467</v>
      </c>
      <c r="R13" t="s">
        <v>520</v>
      </c>
      <c r="S13" s="15" t="b">
        <v>0</v>
      </c>
      <c r="U13" s="635">
        <v>39630</v>
      </c>
      <c r="V13" s="539" t="s">
        <v>1261</v>
      </c>
      <c r="W13" s="66"/>
      <c r="X13" s="66"/>
      <c r="Y13" s="66">
        <v>3</v>
      </c>
      <c r="Z13" s="66">
        <v>4</v>
      </c>
      <c r="AA13" s="66">
        <v>5</v>
      </c>
      <c r="AB13" s="539" t="s">
        <v>1276</v>
      </c>
      <c r="AC13" s="539"/>
      <c r="AD13" s="1164" t="s">
        <v>1287</v>
      </c>
    </row>
    <row r="14" spans="1:31" ht="14.25" customHeight="1">
      <c r="A14" s="3694"/>
      <c r="B14" s="3647" t="str">
        <f>IF(D11="ja","DRV in Euro","DRV in Entgeltpunkten (EP)")</f>
        <v>DRV in Entgeltpunkten (EP)</v>
      </c>
      <c r="C14" s="3648"/>
      <c r="D14" s="1172"/>
      <c r="E14" s="910"/>
      <c r="F14" s="25"/>
      <c r="G14" s="3682"/>
      <c r="H14" s="408" t="s">
        <v>530</v>
      </c>
      <c r="I14" s="566"/>
      <c r="J14" s="1174">
        <v>0.01</v>
      </c>
      <c r="K14" s="396"/>
      <c r="L14" s="822"/>
      <c r="M14" s="545">
        <f t="shared" ca="1" si="0"/>
        <v>0</v>
      </c>
      <c r="N14" s="544">
        <f t="shared" ca="1" si="1"/>
        <v>0</v>
      </c>
      <c r="O14" s="3677"/>
      <c r="Q14" s="148">
        <f>VLOOKUP(C8,aktRW,IF(S13,3,2))</f>
        <v>40.79</v>
      </c>
      <c r="U14" s="635">
        <v>39856</v>
      </c>
      <c r="V14" s="539" t="s">
        <v>277</v>
      </c>
      <c r="W14" s="66"/>
      <c r="X14" s="66">
        <v>2</v>
      </c>
      <c r="Y14" s="66"/>
      <c r="Z14" s="66"/>
      <c r="AA14" s="66"/>
      <c r="AB14" s="539" t="s">
        <v>1274</v>
      </c>
      <c r="AC14" s="919" t="s">
        <v>1414</v>
      </c>
      <c r="AD14" s="1164" t="s">
        <v>1264</v>
      </c>
    </row>
    <row r="15" spans="1:31" ht="14.25" customHeight="1">
      <c r="A15" s="3694"/>
      <c r="B15" s="3746" t="s">
        <v>524</v>
      </c>
      <c r="C15" s="3747"/>
      <c r="D15" s="364"/>
      <c r="E15" s="1444" t="str">
        <f>IF(D11="ja","Rentenänderung","KoKa Änderung")</f>
        <v>KoKa Änderung</v>
      </c>
      <c r="F15" s="25"/>
      <c r="G15" s="3682"/>
      <c r="H15" s="3651" t="s">
        <v>189</v>
      </c>
      <c r="I15" s="3652"/>
      <c r="J15" s="3653"/>
      <c r="K15" s="817">
        <f>SUM(K6:K14)</f>
        <v>0</v>
      </c>
      <c r="L15" s="827">
        <f>SUM(L6:L14)</f>
        <v>0</v>
      </c>
      <c r="M15" s="820">
        <f ca="1">SUM(M6:M14)</f>
        <v>0</v>
      </c>
      <c r="N15" s="1173">
        <f ca="1">SUM(N6:N14)</f>
        <v>0</v>
      </c>
      <c r="O15" s="3677"/>
      <c r="S15">
        <f>ROUND(S17*1.2,2)</f>
        <v>4746</v>
      </c>
      <c r="U15" s="635">
        <v>40057</v>
      </c>
      <c r="V15" s="539" t="s">
        <v>1278</v>
      </c>
      <c r="W15" s="66"/>
      <c r="X15" s="66"/>
      <c r="Y15" s="66">
        <v>3</v>
      </c>
      <c r="Z15" s="66">
        <v>4</v>
      </c>
      <c r="AA15" s="66">
        <v>5</v>
      </c>
      <c r="AB15" s="539"/>
      <c r="AC15" s="539"/>
      <c r="AD15" s="1164" t="s">
        <v>1287</v>
      </c>
    </row>
    <row r="16" spans="1:31" ht="14.25" customHeight="1">
      <c r="A16" s="3694"/>
      <c r="B16" s="3746" t="str">
        <f>IFERROR("Änderung des Ausgleichswerts: "&amp;IF(D15&gt;0,TEXT(D15,"0,0000")&amp;" EP / 2 x "&amp;TEXT(Q14,"0,00"),"("&amp;TEXT(E14,"#.##0,00")&amp;" - "&amp;TEXT(D14,"#.##0,00")&amp;") / 2  ="),"")</f>
        <v>Änderung des Ausgleichswerts: (0,00 - 0,00) / 2  =</v>
      </c>
      <c r="C16" s="3747"/>
      <c r="D16" s="1438">
        <f>IFERROR(IF(D11="ja",IF(D15&gt;0,D15/2*Q14,(E14-D14)/2),IF(D15&gt;0,D15/2,(E14-D14)/2)),"")</f>
        <v>0</v>
      </c>
      <c r="E16" s="1445" t="str">
        <f>IFERROR(IF(D11="ja",D16,D16*VLOOKUP(D8,UmrechnungEP_Kap,IF(S13,3,2))),"")</f>
        <v/>
      </c>
      <c r="F16" s="25"/>
      <c r="G16" s="3682"/>
      <c r="H16" s="3651" t="s">
        <v>301</v>
      </c>
      <c r="I16" s="3652"/>
      <c r="J16" s="3653"/>
      <c r="K16" s="3562">
        <f>ABS(K15-L15)</f>
        <v>0</v>
      </c>
      <c r="L16" s="3757"/>
      <c r="M16" s="3703">
        <f ca="1">ABS(M15-N15)</f>
        <v>0</v>
      </c>
      <c r="N16" s="3704"/>
      <c r="O16" s="3677"/>
      <c r="P16" s="362"/>
      <c r="R16" t="s">
        <v>521</v>
      </c>
      <c r="S16" s="148">
        <f>VLOOKUP(YEAR(C8),MonatlicheBezugsgroesse,IF(S13,3,2))*0.01</f>
        <v>39.550000000000004</v>
      </c>
      <c r="U16" s="635">
        <v>41821</v>
      </c>
      <c r="V16" s="539" t="s">
        <v>1265</v>
      </c>
      <c r="W16" s="66">
        <v>1</v>
      </c>
      <c r="X16" s="66"/>
      <c r="Y16" s="66"/>
      <c r="Z16" s="66"/>
      <c r="AA16" s="66"/>
      <c r="AB16" s="539" t="s">
        <v>1280</v>
      </c>
      <c r="AC16" s="919" t="s">
        <v>1279</v>
      </c>
      <c r="AD16" s="1164" t="s">
        <v>126</v>
      </c>
    </row>
    <row r="17" spans="1:30" ht="14.25" customHeight="1" thickBot="1">
      <c r="A17" s="3694"/>
      <c r="B17" s="3746" t="str">
        <f>IFERROR("Absolute Wesentlichkeitsgrenze § 225 II FamFG: "&amp;IF(D11="nein","120%","1%")&amp;" von "&amp;TEXT(S17,"#.##0,00"),"")</f>
        <v>Absolute Wesentlichkeitsgrenze § 225 II FamFG: 1% von 3.955,00</v>
      </c>
      <c r="C17" s="3747"/>
      <c r="D17" s="1119">
        <f>IFERROR(IF(D11="nein",MonBezugsgr_120,absWGrenze),"")</f>
        <v>39.550000000000004</v>
      </c>
      <c r="E17" s="1443" t="str">
        <f>IF(E14+D14=0,"",IF(E16&gt;=D17,"überschritten","unterschritten"))</f>
        <v/>
      </c>
      <c r="F17" s="25"/>
      <c r="G17" s="3682"/>
      <c r="H17" s="3705" t="s">
        <v>528</v>
      </c>
      <c r="I17" s="3706"/>
      <c r="J17" s="3707"/>
      <c r="K17" s="936">
        <f>IF(K15&gt;L15,-K16/2,K16/2)</f>
        <v>0</v>
      </c>
      <c r="L17" s="937">
        <f>IF(L15&gt;K15,-K16/2,K16/2)</f>
        <v>0</v>
      </c>
      <c r="M17" s="825"/>
      <c r="N17" s="826"/>
      <c r="O17" s="3677"/>
      <c r="P17" s="362"/>
      <c r="S17" s="148">
        <f>VLOOKUP(YEAR(C8),MonatlicheBezugsgroesse,IF(S13,3,2))</f>
        <v>3955</v>
      </c>
      <c r="U17" s="635">
        <v>43466</v>
      </c>
      <c r="V17" s="539" t="s">
        <v>1265</v>
      </c>
      <c r="W17" s="66">
        <v>1</v>
      </c>
      <c r="X17" s="66"/>
      <c r="Y17" s="66"/>
      <c r="Z17" s="66"/>
      <c r="AA17" s="66"/>
      <c r="AB17" s="539" t="s">
        <v>1292</v>
      </c>
      <c r="AC17" s="919" t="s">
        <v>1279</v>
      </c>
      <c r="AD17" s="1164" t="s">
        <v>126</v>
      </c>
    </row>
    <row r="18" spans="1:30" ht="14.25" customHeight="1">
      <c r="A18" s="3694"/>
      <c r="B18" s="3748" t="str">
        <f>"Wesentlichkeitsgr. § 225 II FamFG (5% vom AusglW):"&amp;TEXT(D16,"#.##0,00 €")&amp;" / ("&amp;TEXT(D14,"#.##0,00")&amp;" / 2) "</f>
        <v xml:space="preserve">Wesentlichkeitsgr. § 225 II FamFG (5% vom AusglW):0,00 € / (0,00 / 2) </v>
      </c>
      <c r="C18" s="3749"/>
      <c r="D18" s="221" t="str">
        <f>IFERROR((D16/(D14/2)),"")</f>
        <v/>
      </c>
      <c r="E18" s="1443" t="str">
        <f>IF(E17="","",IFERROR(IF(D18&gt;=5%,"überschritten","unterschritten"),""))</f>
        <v/>
      </c>
      <c r="F18" s="25"/>
      <c r="G18" s="3682"/>
      <c r="H18" s="3708" t="s">
        <v>898</v>
      </c>
      <c r="I18" s="3709"/>
      <c r="J18" s="3709"/>
      <c r="K18" s="3758" t="str">
        <f>IF(AND(K19&lt;&gt;0,L19&lt;&gt;0),"bitte nur beim Ausglpfl. eintragen!",IF(OR(L19&gt;0,K19&gt;0),"bitte nur negative Werte!",IF(P21&gt;0,"bitte Vorzeichen korrigieren!","")))</f>
        <v/>
      </c>
      <c r="L18" s="3759"/>
      <c r="M18" s="1043"/>
      <c r="N18" s="824"/>
      <c r="O18" s="3677"/>
      <c r="P18" s="362"/>
      <c r="S18" s="148">
        <f ca="1">VLOOKUP(YEAR(D5),MonatlicheBezugsgroesse,IF(S14,3,2))</f>
        <v>3955</v>
      </c>
      <c r="U18" s="635">
        <v>44197</v>
      </c>
      <c r="V18" s="539" t="s">
        <v>1282</v>
      </c>
      <c r="W18" s="66">
        <v>1</v>
      </c>
      <c r="X18" s="66"/>
      <c r="Y18" s="66"/>
      <c r="Z18" s="66"/>
      <c r="AA18" s="66"/>
      <c r="AB18" s="539" t="s">
        <v>1283</v>
      </c>
      <c r="AC18" s="919" t="s">
        <v>1284</v>
      </c>
      <c r="AD18" s="1164" t="s">
        <v>126</v>
      </c>
    </row>
    <row r="19" spans="1:30" ht="14.25" customHeight="1">
      <c r="A19" s="3694"/>
      <c r="B19" s="3724" t="s">
        <v>511</v>
      </c>
      <c r="C19" s="3725"/>
      <c r="D19" s="743" t="str">
        <f>IF(D14+E14=0,"",IF(AND(E17="überschritten",E18="überschritten"),"Ja","Nein"))</f>
        <v/>
      </c>
      <c r="E19" s="1440"/>
      <c r="F19" s="25"/>
      <c r="G19" s="3682"/>
      <c r="H19" s="3710"/>
      <c r="I19" s="3711"/>
      <c r="J19" s="3712"/>
      <c r="K19" s="831"/>
      <c r="L19" s="1046"/>
      <c r="M19" s="1044" t="str">
        <f>IFERROR(IF(K19+L19=0,"",IF(K19+L19=0,"",IFERROR(-PV(BilMoG7-RententrendDRV,R$4-R$5,0,-PV(BilMoG7-RententrendDRV,R$6,IF(K19=0,-L19,K19*12),))*VLOOKUP(R$4,IF(divers,G_Kohorte_N,G_Kohorte_M),YEAR(K$3)-1900+2)/VLOOKUP(R$5,IF(divers,G_Kohorte_N,G_Kohorte_M),YEAR(K$3)-1900+2),""))),"")</f>
        <v/>
      </c>
      <c r="N19" s="819" t="str">
        <f>IFERROR(IF(K19+L19=0,"",IFERROR(-PV(BilMoG7-RententrendDRV,S$4-S$5,0,-PV(BilMoG7-RententrendDRV,S$6,IF(L19=0,-K19,L19)*12,))*VLOOKUP(S$4,IF(divers,G_Kohorte_N,G_Kohorte_F),YEAR(L$3)-1900+2)/VLOOKUP(S$5,IF(divers,G_Kohorte_N,G_Kohorte_F),YEAR(L$3)-1900+2),"")),"")</f>
        <v/>
      </c>
      <c r="O19" s="25"/>
      <c r="P19" s="362">
        <f>IF(OR(AND(L17&gt;0,L19&lt;0),AND(L17&lt;0,L19&gt;0)),1,0)</f>
        <v>0</v>
      </c>
      <c r="U19" s="3715" t="s">
        <v>1415</v>
      </c>
      <c r="V19" s="3715"/>
      <c r="W19" s="3715"/>
      <c r="X19" s="3715"/>
      <c r="Y19" s="3715"/>
      <c r="Z19" s="3715"/>
      <c r="AA19" s="3715"/>
      <c r="AB19" s="3715"/>
      <c r="AC19" s="3715"/>
      <c r="AD19" s="3715"/>
    </row>
    <row r="20" spans="1:30" ht="14.25" customHeight="1" thickBot="1">
      <c r="A20" s="3694"/>
      <c r="B20" s="3743" t="s">
        <v>1619</v>
      </c>
      <c r="C20" s="3744"/>
      <c r="D20" s="3745"/>
      <c r="E20" s="1446">
        <f ca="1">IFERROR(D16/Q14*Q11,"")</f>
        <v>0</v>
      </c>
      <c r="F20" s="25"/>
      <c r="G20" s="3683"/>
      <c r="H20" s="3769" t="s">
        <v>895</v>
      </c>
      <c r="I20" s="3770"/>
      <c r="J20" s="3770"/>
      <c r="K20" s="3770"/>
      <c r="L20" s="3771"/>
      <c r="M20" s="1045" t="str">
        <f ca="1">IFERROR(+M15+M19,"")</f>
        <v/>
      </c>
      <c r="N20" s="962" t="str">
        <f ca="1">IFERROR(+N19+N15,"")</f>
        <v/>
      </c>
      <c r="O20" s="25"/>
      <c r="P20" s="362">
        <f>IF(OR(AND(K17&gt;0,K19&lt;0),AND(K17&lt;0,K19&gt;0)),1,0)</f>
        <v>0</v>
      </c>
    </row>
    <row r="21" spans="1:30" ht="14.25" customHeight="1" thickTop="1" thickBot="1">
      <c r="A21" s="3695"/>
      <c r="B21" s="3637" t="s">
        <v>208</v>
      </c>
      <c r="C21" s="3638"/>
      <c r="D21" s="3649" t="s">
        <v>981</v>
      </c>
      <c r="E21" s="3650"/>
      <c r="F21" s="25"/>
      <c r="G21" s="3766" t="s">
        <v>897</v>
      </c>
      <c r="H21" s="3767"/>
      <c r="I21" s="3767"/>
      <c r="J21" s="3767"/>
      <c r="K21" s="3767"/>
      <c r="L21" s="3767"/>
      <c r="M21" s="3767"/>
      <c r="N21" s="3768"/>
      <c r="O21" s="25"/>
      <c r="P21" s="362">
        <f>+P20+P19</f>
        <v>0</v>
      </c>
    </row>
    <row r="22" spans="1:30" ht="14.25" customHeight="1">
      <c r="A22" s="3695"/>
      <c r="B22" s="3696" t="s">
        <v>509</v>
      </c>
      <c r="C22" s="3634"/>
      <c r="D22" s="29" t="s">
        <v>507</v>
      </c>
      <c r="E22" s="358" t="s">
        <v>508</v>
      </c>
      <c r="F22" s="25"/>
      <c r="G22" s="3699" t="s">
        <v>630</v>
      </c>
      <c r="H22" s="1010" t="s">
        <v>622</v>
      </c>
      <c r="I22" s="543" t="s">
        <v>615</v>
      </c>
      <c r="J22" s="543" t="s">
        <v>621</v>
      </c>
      <c r="K22" s="881" t="s">
        <v>175</v>
      </c>
      <c r="L22" s="1011" t="s">
        <v>176</v>
      </c>
      <c r="M22" s="1012" t="s">
        <v>620</v>
      </c>
      <c r="N22" s="1013" t="s">
        <v>176</v>
      </c>
      <c r="O22" s="25"/>
      <c r="P22" s="362"/>
      <c r="Q22" s="363" t="s">
        <v>175</v>
      </c>
      <c r="R22" s="363" t="s">
        <v>176</v>
      </c>
    </row>
    <row r="23" spans="1:30" ht="14.25">
      <c r="A23" s="3695"/>
      <c r="B23" s="3696" t="s">
        <v>512</v>
      </c>
      <c r="C23" s="3634"/>
      <c r="D23" s="745"/>
      <c r="E23" s="987"/>
      <c r="F23" s="25"/>
      <c r="G23" s="3700"/>
      <c r="H23" s="1238" t="str">
        <f t="shared" ref="H23:H31" si="2">+H6</f>
        <v>Deutsche Rentenversicherung</v>
      </c>
      <c r="I23" s="3686">
        <f>'Dies &amp; Das'!E3</f>
        <v>2.5999999999999999E-2</v>
      </c>
      <c r="J23" s="3687"/>
      <c r="K23" s="396"/>
      <c r="L23" s="822"/>
      <c r="M23" s="545">
        <f ca="1">IFERROR(-PV(R$2-RententrendDRV,IF(R$4-R$5&lt;0,0,R$4-R$5),0,-PV(R$2-RententrendDRV,R$6,K23*12,))*VLOOKUP(R$4,G_Kohorte_M,YEAR(K$3)-1900+2)/VLOOKUP(R$5,G_Kohorte_M,YEAR(K$3)-1900+2),"")</f>
        <v>0</v>
      </c>
      <c r="N23" s="544">
        <f ca="1">IF($L$3=0,"",IFERROR(-PV(R$2-RententrendDRV,IF(S$4-S$5&lt;0,0,S$4-S$5),0,-PV(R$2-RententrendDRV,S$6,L23*12,))*VLOOKUP(S$4,G_Kohorte_F,YEAR(L$3)-1900+2)/VLOOKUP(S$5,G_Kohorte_F,YEAR(L$3)-1900+2),""))</f>
        <v>0</v>
      </c>
      <c r="O23" s="25"/>
      <c r="P23" s="145" t="e">
        <f>ABS(+L23/L6-1)</f>
        <v>#DIV/0!</v>
      </c>
      <c r="Q23" s="199">
        <f t="shared" ref="Q23:Q31" si="3">+K23-K6</f>
        <v>0</v>
      </c>
      <c r="R23" s="199">
        <f>(L23-L6)</f>
        <v>0</v>
      </c>
    </row>
    <row r="24" spans="1:30" ht="14.25">
      <c r="A24" s="3695"/>
      <c r="B24" s="3696" t="s">
        <v>518</v>
      </c>
      <c r="C24" s="3634"/>
      <c r="D24" s="3701">
        <f>+E23-D23</f>
        <v>0</v>
      </c>
      <c r="E24" s="3702"/>
      <c r="F24" s="25"/>
      <c r="G24" s="3700"/>
      <c r="H24" s="1238" t="str">
        <f t="shared" si="2"/>
        <v>Beamtenversorgung</v>
      </c>
      <c r="I24" s="3686">
        <f>+I23</f>
        <v>2.5999999999999999E-2</v>
      </c>
      <c r="J24" s="3687"/>
      <c r="K24" s="396"/>
      <c r="L24" s="822"/>
      <c r="M24" s="545">
        <f ca="1">IFERROR(-PV(R$2-RententrendDRV,IF(R$4-R$5&lt;0,0,R$4-R$5),0,-PV(R$2-RententrendDRV,R$6,K24*12,))*VLOOKUP(R$4,G_Kohorte_M,YEAR(K$3)-1900+2)/VLOOKUP(R$5,G_Kohorte_M,YEAR(K$3)-1900+2),"")</f>
        <v>0</v>
      </c>
      <c r="N24" s="544">
        <f ca="1">IF($L$3=0,"",IFERROR(-PV(R$2-RententrendDRV,IF(S$4-S$5&lt;0,0,S$4-S$5),0,-PV(R$2-RententrendDRV,S$6,L24*12,))*VLOOKUP(S$4,G_Kohorte_F,YEAR(L$3)-1900+2)/VLOOKUP(S$5,G_Kohorte_F,YEAR(L$3)-1900+2),""))</f>
        <v>0</v>
      </c>
      <c r="O24" s="25"/>
      <c r="Q24" s="199">
        <f t="shared" si="3"/>
        <v>0</v>
      </c>
      <c r="R24" s="199">
        <f t="shared" ref="R24:R31" si="4">+L24-L7</f>
        <v>0</v>
      </c>
    </row>
    <row r="25" spans="1:30" ht="14.25">
      <c r="A25" s="3695"/>
      <c r="B25" s="3696" t="str">
        <f>+B17</f>
        <v>Absolute Wesentlichkeitsgrenze § 225 II FamFG: 1% von 3.955,00</v>
      </c>
      <c r="C25" s="3634"/>
      <c r="D25" s="930">
        <f>IFERROR(S16,"")</f>
        <v>39.550000000000004</v>
      </c>
      <c r="E25" s="928"/>
      <c r="F25" s="25"/>
      <c r="G25" s="3700"/>
      <c r="H25" s="1238" t="str">
        <f t="shared" si="2"/>
        <v>berufsständische Versorgung</v>
      </c>
      <c r="I25" s="3764">
        <v>5.0000000000000001E-3</v>
      </c>
      <c r="J25" s="3765"/>
      <c r="K25" s="396"/>
      <c r="L25" s="822"/>
      <c r="M25" s="545">
        <f ca="1">IFERROR(-PV(R$2-I25,IF(R$4-R$5&lt;0,0,R$4-R$5),0,-PV(R$2-I25,R$6,K25*12,))*VLOOKUP(R$4,G_Kohorte_M,YEAR(K$3)-1900+2)/VLOOKUP(R$5,G_Kohorte_M,YEAR(K$3)-1900+2),"")</f>
        <v>0</v>
      </c>
      <c r="N25" s="544">
        <f ca="1">IF($L$3=0,"",IFERROR(-PV(R$2-I25,IF(S$4-S$5&lt;0,0,S$4-S$5),0,-PV(R$2-I25,S$6,L25*12,))*VLOOKUP(S$4,G_Kohorte_F,YEAR(L$3)-1900+2)/VLOOKUP(S$5,G_Kohorte_F,YEAR(L$3)-1900+2),""))</f>
        <v>0</v>
      </c>
      <c r="O25" s="25"/>
      <c r="Q25" s="199">
        <f t="shared" si="3"/>
        <v>0</v>
      </c>
      <c r="R25" s="199">
        <f t="shared" si="4"/>
        <v>0</v>
      </c>
    </row>
    <row r="26" spans="1:30" ht="14.25">
      <c r="A26" s="3695"/>
      <c r="B26" s="3740" t="str">
        <f>"Relative Wesentlichkeitsgrenze § 225 II FamFG (5% von "&amp;TEXT(D23,"#.##0,00")&amp;")"</f>
        <v>Relative Wesentlichkeitsgrenze § 225 II FamFG (5% von 0,00)</v>
      </c>
      <c r="C26" s="3741"/>
      <c r="D26" s="930">
        <f>+D23*0.05</f>
        <v>0</v>
      </c>
      <c r="E26" s="803" t="s">
        <v>522</v>
      </c>
      <c r="F26" s="25"/>
      <c r="G26" s="3700"/>
      <c r="H26" s="1238" t="str">
        <f t="shared" si="2"/>
        <v>Zusatzversorgung öffentlicher Dienst (ZVK)</v>
      </c>
      <c r="I26" s="1174">
        <v>0</v>
      </c>
      <c r="J26" s="1174">
        <v>0.01</v>
      </c>
      <c r="K26" s="396"/>
      <c r="L26" s="822"/>
      <c r="M26" s="545">
        <f t="shared" ref="M26:M31" ca="1" si="5">IFERROR(-PV(R$2-I26,IF(R$4-R$5&lt;0,0,R$4-R$5),0,-PV(R$2-J26,R$6,K26*12,))*VLOOKUP(R$4,G_Kohorte_M,YEAR(K$3)-1900+2)/VLOOKUP(R$5,G_Kohorte_M,YEAR(K$3)-1900+2),"")</f>
        <v>0</v>
      </c>
      <c r="N26" s="544">
        <f t="shared" ref="N26:N31" ca="1" si="6">IF($L$3=0,"",IFERROR(-PV(R$2-I26,IF(S$4-S$5&lt;0,0,S$4-S$5),0,-PV(R$2-J26,S$6,L26*12,))*VLOOKUP(S$4,G_Kohorte_F,YEAR(L$3)-1900+2)/VLOOKUP(S$5,G_Kohorte_F,YEAR(L$3)-1900+2),""))</f>
        <v>0</v>
      </c>
      <c r="O26" s="25"/>
      <c r="Q26" s="199">
        <f t="shared" si="3"/>
        <v>0</v>
      </c>
      <c r="R26" s="199">
        <f t="shared" si="4"/>
        <v>0</v>
      </c>
    </row>
    <row r="27" spans="1:30" ht="14.25" customHeight="1" thickBot="1">
      <c r="A27" s="3695"/>
      <c r="B27" s="3738" t="s">
        <v>511</v>
      </c>
      <c r="C27" s="3739"/>
      <c r="D27" s="931" t="str">
        <f>IF(D23+E23=0,"",IF(AND(ABS(E23-D23)&gt;=ABS(ABS(D26)),ABS(E23-D23)&gt;D25),"Ja","Nein"))</f>
        <v/>
      </c>
      <c r="E27" s="929">
        <f ca="1">IFERROR(+ABS(D24)*Q11/Q14,"")</f>
        <v>0</v>
      </c>
      <c r="F27" s="25"/>
      <c r="G27" s="3700"/>
      <c r="H27" s="1238" t="str">
        <f t="shared" si="2"/>
        <v>Versorgungsanstalt Deutsche Bundespost</v>
      </c>
      <c r="I27" s="1174">
        <v>0</v>
      </c>
      <c r="J27" s="1174">
        <v>0.01</v>
      </c>
      <c r="K27" s="396"/>
      <c r="L27" s="822"/>
      <c r="M27" s="545">
        <f t="shared" ca="1" si="5"/>
        <v>0</v>
      </c>
      <c r="N27" s="544">
        <f t="shared" ca="1" si="6"/>
        <v>0</v>
      </c>
      <c r="O27" s="25"/>
      <c r="Q27" s="199">
        <f t="shared" si="3"/>
        <v>0</v>
      </c>
      <c r="R27" s="199">
        <f t="shared" si="4"/>
        <v>0</v>
      </c>
      <c r="T27" t="str">
        <f>IF(AND(ABS($Q$23/2)&gt;=K6/2*5%,ABS($Q$23/2)&gt;=absWGrenze),"Ja","nein")</f>
        <v>nein</v>
      </c>
    </row>
    <row r="28" spans="1:30" ht="14.25" customHeight="1">
      <c r="A28" s="3695"/>
      <c r="B28" s="3716" t="s">
        <v>807</v>
      </c>
      <c r="C28" s="3717"/>
      <c r="D28" s="3643"/>
      <c r="E28" s="3718"/>
      <c r="F28" s="25"/>
      <c r="G28" s="3700"/>
      <c r="H28" s="1238" t="str">
        <f t="shared" si="2"/>
        <v>Betriebliche AV Daimler Benz UK</v>
      </c>
      <c r="I28" s="1174">
        <v>0.01</v>
      </c>
      <c r="J28" s="1174">
        <v>0.01</v>
      </c>
      <c r="K28" s="396"/>
      <c r="L28" s="822"/>
      <c r="M28" s="545">
        <f t="shared" ca="1" si="5"/>
        <v>0</v>
      </c>
      <c r="N28" s="544">
        <f t="shared" ca="1" si="6"/>
        <v>0</v>
      </c>
      <c r="O28" s="25"/>
      <c r="Q28" s="199">
        <f t="shared" si="3"/>
        <v>0</v>
      </c>
      <c r="R28" s="199">
        <f t="shared" si="4"/>
        <v>0</v>
      </c>
    </row>
    <row r="29" spans="1:30" ht="14.25" customHeight="1">
      <c r="A29" s="3695"/>
      <c r="B29" s="3719" t="s">
        <v>516</v>
      </c>
      <c r="C29" s="3720"/>
      <c r="D29" s="3721"/>
      <c r="E29" s="3722"/>
      <c r="F29" s="25"/>
      <c r="G29" s="3700"/>
      <c r="H29" s="1238" t="str">
        <f t="shared" si="2"/>
        <v>bAV Deutsche Post AG</v>
      </c>
      <c r="I29" s="1174">
        <f t="shared" ref="I29:J31" si="7">+I12</f>
        <v>0</v>
      </c>
      <c r="J29" s="1174">
        <f t="shared" si="7"/>
        <v>0.01</v>
      </c>
      <c r="K29" s="396"/>
      <c r="L29" s="822"/>
      <c r="M29" s="545">
        <f t="shared" ca="1" si="5"/>
        <v>0</v>
      </c>
      <c r="N29" s="544">
        <f t="shared" ca="1" si="6"/>
        <v>0</v>
      </c>
      <c r="O29" s="25"/>
      <c r="Q29" s="199">
        <f t="shared" si="3"/>
        <v>0</v>
      </c>
      <c r="R29" s="199">
        <f t="shared" si="4"/>
        <v>0</v>
      </c>
    </row>
    <row r="30" spans="1:30" ht="14.25" customHeight="1">
      <c r="A30" s="3695"/>
      <c r="B30" s="726" t="s">
        <v>558</v>
      </c>
      <c r="C30" s="1271"/>
      <c r="D30" s="1172"/>
      <c r="E30" s="359"/>
      <c r="F30" s="25"/>
      <c r="G30" s="3700"/>
      <c r="H30" s="1238" t="str">
        <f t="shared" si="2"/>
        <v>Sonstige 3</v>
      </c>
      <c r="I30" s="1174">
        <f t="shared" si="7"/>
        <v>0</v>
      </c>
      <c r="J30" s="1174">
        <f t="shared" si="7"/>
        <v>0.01</v>
      </c>
      <c r="K30" s="396"/>
      <c r="L30" s="822"/>
      <c r="M30" s="545">
        <f t="shared" ca="1" si="5"/>
        <v>0</v>
      </c>
      <c r="N30" s="544">
        <f t="shared" ca="1" si="6"/>
        <v>0</v>
      </c>
      <c r="O30" s="25"/>
      <c r="Q30" s="199">
        <f t="shared" si="3"/>
        <v>0</v>
      </c>
      <c r="R30" s="199">
        <f t="shared" si="4"/>
        <v>0</v>
      </c>
    </row>
    <row r="31" spans="1:30" ht="14.25" customHeight="1">
      <c r="A31" s="3695"/>
      <c r="B31" s="3696" t="s">
        <v>513</v>
      </c>
      <c r="C31" s="3634"/>
      <c r="D31" s="1172"/>
      <c r="E31" s="360"/>
      <c r="F31" s="25"/>
      <c r="G31" s="3700"/>
      <c r="H31" s="1238" t="str">
        <f t="shared" si="2"/>
        <v>Sonstige 4</v>
      </c>
      <c r="I31" s="1174">
        <f t="shared" si="7"/>
        <v>0</v>
      </c>
      <c r="J31" s="1174">
        <f t="shared" si="7"/>
        <v>0.01</v>
      </c>
      <c r="K31" s="396"/>
      <c r="L31" s="822"/>
      <c r="M31" s="545">
        <f t="shared" ca="1" si="5"/>
        <v>0</v>
      </c>
      <c r="N31" s="544">
        <f t="shared" ca="1" si="6"/>
        <v>0</v>
      </c>
      <c r="O31" s="25"/>
      <c r="Q31" s="199">
        <f t="shared" si="3"/>
        <v>0</v>
      </c>
      <c r="R31" s="199">
        <f t="shared" si="4"/>
        <v>0</v>
      </c>
    </row>
    <row r="32" spans="1:30" ht="14.25" customHeight="1">
      <c r="A32" s="3695"/>
      <c r="B32" s="3696" t="s">
        <v>514</v>
      </c>
      <c r="C32" s="3634"/>
      <c r="D32" s="932">
        <f>IFERROR(+Q14,"")</f>
        <v>40.79</v>
      </c>
      <c r="E32" s="360"/>
      <c r="F32" s="25"/>
      <c r="G32" s="3700"/>
      <c r="H32" s="547" t="s">
        <v>189</v>
      </c>
      <c r="I32" s="547"/>
      <c r="J32" s="547"/>
      <c r="K32" s="817">
        <f>SUM(K23:K31)</f>
        <v>0</v>
      </c>
      <c r="L32" s="827">
        <f>SUM(L23:L31)</f>
        <v>0</v>
      </c>
      <c r="M32" s="829">
        <f ca="1">SUM(M23:M31)</f>
        <v>0</v>
      </c>
      <c r="N32" s="546">
        <f ca="1">SUM(N23:N31)</f>
        <v>0</v>
      </c>
      <c r="O32" s="25"/>
      <c r="S32" s="3723" t="s">
        <v>126</v>
      </c>
    </row>
    <row r="33" spans="1:22" ht="14.25" customHeight="1">
      <c r="A33" s="3695"/>
      <c r="B33" s="3696" t="s">
        <v>515</v>
      </c>
      <c r="C33" s="3634"/>
      <c r="D33" s="932">
        <f ca="1">IFERROR(+Q11,"")</f>
        <v>42.52</v>
      </c>
      <c r="E33" s="360"/>
      <c r="F33" s="25"/>
      <c r="G33" s="3700"/>
      <c r="H33" s="547" t="s">
        <v>301</v>
      </c>
      <c r="I33" s="547"/>
      <c r="J33" s="547"/>
      <c r="K33" s="3562">
        <f>ABS(K32-L32)</f>
        <v>0</v>
      </c>
      <c r="L33" s="3757"/>
      <c r="M33" s="3703">
        <f ca="1">ABS(M32-N32)</f>
        <v>0</v>
      </c>
      <c r="N33" s="3704"/>
      <c r="O33" s="25"/>
      <c r="S33" s="3723"/>
    </row>
    <row r="34" spans="1:22" ht="14.25" customHeight="1">
      <c r="A34" s="3695"/>
      <c r="B34" s="3729" t="str">
        <f ca="1">"aktueller Wert d. dynamisierten Ausgleichswerts: "&amp;TEXT(D31,"#.##0,00")&amp;" x "&amp;TEXT(D33,"0,00")&amp;" / "&amp;TEXT(D32,"0,00")</f>
        <v>aktueller Wert d. dynamisierten Ausgleichswerts: 0,00 x 42,52 / 40,79</v>
      </c>
      <c r="C34" s="3730"/>
      <c r="D34" s="933">
        <f ca="1">IFERROR(+D31*D33/D32,"")</f>
        <v>0</v>
      </c>
      <c r="E34" s="360"/>
      <c r="F34" s="25"/>
      <c r="G34" s="3700"/>
      <c r="H34" s="548" t="s">
        <v>528</v>
      </c>
      <c r="I34" s="548"/>
      <c r="J34" s="548"/>
      <c r="K34" s="549">
        <f>IF(K32&gt;L32,-K33/2,K33/2)</f>
        <v>0</v>
      </c>
      <c r="L34" s="828">
        <f>IF(L32&gt;K32,-K33/2,K33/2)</f>
        <v>0</v>
      </c>
      <c r="M34" s="1004"/>
      <c r="N34" s="1005"/>
      <c r="O34" s="25"/>
      <c r="S34" s="3723"/>
    </row>
    <row r="35" spans="1:22" ht="14.25" customHeight="1" thickBot="1">
      <c r="A35" s="3695"/>
      <c r="B35" s="3696" t="str">
        <f ca="1">"Abweichung aktueller Wert vom Nominalwert: "&amp;TEXT(D30,"#.##0,00")&amp;" - "&amp;TEXT(D34,"#.##0,00")</f>
        <v>Abweichung aktueller Wert vom Nominalwert: 0,00 - 0,00</v>
      </c>
      <c r="C35" s="3634"/>
      <c r="D35" s="932">
        <f ca="1">IFERROR(ABS(D34-D30),"")</f>
        <v>0</v>
      </c>
      <c r="E35" s="360"/>
      <c r="F35" s="25"/>
      <c r="G35" s="3700"/>
      <c r="H35" s="1007"/>
      <c r="I35" s="1007"/>
      <c r="J35" s="1007"/>
      <c r="K35" s="1008"/>
      <c r="L35" s="1009"/>
      <c r="M35" s="1004"/>
      <c r="N35" s="1005"/>
      <c r="O35" s="25"/>
      <c r="S35" s="3723"/>
    </row>
    <row r="36" spans="1:22" ht="14.25" customHeight="1">
      <c r="A36" s="3695"/>
      <c r="B36" s="3696" t="s">
        <v>533</v>
      </c>
      <c r="C36" s="3634"/>
      <c r="D36" s="817">
        <f ca="1">IFERROR(S18*0.02,"")</f>
        <v>79.100000000000009</v>
      </c>
      <c r="E36" s="934" t="str">
        <f ca="1">IFERROR("2% x "&amp;TEXT(S18,"#.##0,00"),"")</f>
        <v>2% x 3.955,00</v>
      </c>
      <c r="F36" s="25"/>
      <c r="G36" s="3760"/>
      <c r="H36" s="3763" t="s">
        <v>301</v>
      </c>
      <c r="I36" s="3763"/>
      <c r="J36" s="3763"/>
      <c r="K36" s="3733">
        <f>ABS(K34-K17)</f>
        <v>0</v>
      </c>
      <c r="L36" s="3733"/>
      <c r="M36" s="3731">
        <f ca="1">ABS(M33-M16)</f>
        <v>0</v>
      </c>
      <c r="N36" s="3732"/>
      <c r="O36" s="25"/>
      <c r="S36" s="3723"/>
    </row>
    <row r="37" spans="1:22" ht="14.25" customHeight="1">
      <c r="A37" s="3695"/>
      <c r="B37" s="3696"/>
      <c r="C37" s="3634"/>
      <c r="D37" s="817"/>
      <c r="E37" s="360"/>
      <c r="F37" s="25"/>
      <c r="G37" s="3761"/>
      <c r="H37" s="3698" t="s">
        <v>1203</v>
      </c>
      <c r="I37" s="3698"/>
      <c r="J37" s="3698"/>
      <c r="K37" s="3713" t="str">
        <f>IFERROR(ABS(1-ABS(K34)/ABS(K17)),"")</f>
        <v/>
      </c>
      <c r="L37" s="3713"/>
      <c r="M37" s="3713" t="str">
        <f ca="1">IFERROR(ABS(M36)/ABS(M16),"")</f>
        <v/>
      </c>
      <c r="N37" s="3714"/>
      <c r="O37" s="25"/>
      <c r="S37" s="496"/>
    </row>
    <row r="38" spans="1:22" ht="14.25" customHeight="1">
      <c r="A38" s="3695"/>
      <c r="B38" s="3696" t="s">
        <v>517</v>
      </c>
      <c r="C38" s="3634"/>
      <c r="D38" s="361"/>
      <c r="E38" s="803" t="s">
        <v>522</v>
      </c>
      <c r="F38" s="25"/>
      <c r="G38" s="3761"/>
      <c r="H38" s="3698" t="str">
        <f>IFERROR("abs. Wesentlichkeit: Rente 1% von "&amp;TEXT(VLOOKUP(YEAR(C8),MonatlicheBezugsgroesse,2),"#.##0 €")&amp;"/ Kapital: 120%","")</f>
        <v>abs. Wesentlichkeit: Rente 1% von 3.955 €/ Kapital: 120%</v>
      </c>
      <c r="I38" s="3698"/>
      <c r="J38" s="3698"/>
      <c r="K38" s="3751">
        <f>IFERROR(VLOOKUP(YEAR(C8),MonatlicheBezugsgroesse,2)*1%,"")</f>
        <v>39.550000000000004</v>
      </c>
      <c r="L38" s="3752"/>
      <c r="M38" s="3751">
        <f>IFERROR(+K38*120,"")</f>
        <v>4746.0000000000009</v>
      </c>
      <c r="N38" s="3753"/>
      <c r="O38" s="25"/>
    </row>
    <row r="39" spans="1:22" ht="14.25" customHeight="1" thickBot="1">
      <c r="A39" s="3695"/>
      <c r="B39" s="3727" t="s">
        <v>511</v>
      </c>
      <c r="C39" s="3728"/>
      <c r="D39" s="356" t="str">
        <f ca="1">IF(D38="Ja","Nein, § 51 IV",IF(D35&gt;=D36,"Ja","Nein"))</f>
        <v>Nein</v>
      </c>
      <c r="E39" s="935">
        <f ca="1">+D35</f>
        <v>0</v>
      </c>
      <c r="F39" s="25"/>
      <c r="G39" s="3762"/>
      <c r="H39" s="3754" t="s">
        <v>1172</v>
      </c>
      <c r="I39" s="3754"/>
      <c r="J39" s="3754"/>
      <c r="K39" s="3755" t="str">
        <f>IFERROR(IF(AND(ABS(K37)&gt;=5%,ABS(K36)&gt;=ABS(K38)),"möglich","Unmöglich"),"")</f>
        <v/>
      </c>
      <c r="L39" s="3755"/>
      <c r="M39" s="3755" t="str">
        <f ca="1">IFERROR(IF(AND(ABS(M37&gt;=5%),ABS(M36)&gt;=ABS(M38)),"möglich","Unmöglich"),"")</f>
        <v>Unmöglich</v>
      </c>
      <c r="N39" s="3756"/>
      <c r="O39" s="25"/>
    </row>
    <row r="40" spans="1:22" s="71" customFormat="1" ht="24" customHeight="1">
      <c r="A40" s="64"/>
      <c r="B40" s="3726"/>
      <c r="C40" s="3726"/>
      <c r="D40" s="3726"/>
      <c r="E40" s="3726"/>
      <c r="F40" s="64"/>
      <c r="G40" s="1006"/>
      <c r="H40" s="1006"/>
      <c r="I40" s="1006"/>
      <c r="J40" s="1006"/>
      <c r="K40" s="1006"/>
      <c r="L40" s="1006"/>
      <c r="M40" s="1006"/>
      <c r="N40" s="1006"/>
      <c r="O40" s="64"/>
    </row>
    <row r="41" spans="1:22" ht="14.25" hidden="1" customHeight="1">
      <c r="R41" s="4" t="s">
        <v>176</v>
      </c>
    </row>
    <row r="42" spans="1:22" ht="15" hidden="1" customHeight="1">
      <c r="R42" s="501">
        <v>51</v>
      </c>
      <c r="T42" s="3"/>
      <c r="U42" s="50" t="s">
        <v>175</v>
      </c>
      <c r="V42" s="50" t="s">
        <v>176</v>
      </c>
    </row>
    <row r="43" spans="1:22" ht="14.25" hidden="1" customHeight="1">
      <c r="R43" s="148">
        <v>27.2</v>
      </c>
      <c r="T43" s="497" t="s">
        <v>21</v>
      </c>
      <c r="U43" s="498">
        <v>300</v>
      </c>
      <c r="V43" s="498">
        <v>300</v>
      </c>
    </row>
    <row r="44" spans="1:22" ht="14.25" hidden="1" customHeight="1">
      <c r="R44" s="1111">
        <f>+R42/R43</f>
        <v>1.875</v>
      </c>
      <c r="T44" s="3" t="s">
        <v>573</v>
      </c>
      <c r="U44" s="250">
        <v>27.2</v>
      </c>
      <c r="V44" s="3"/>
    </row>
    <row r="45" spans="1:22" ht="14.25" hidden="1" customHeight="1">
      <c r="R45" s="416">
        <v>6144.9210000000003</v>
      </c>
      <c r="T45" s="3" t="s">
        <v>62</v>
      </c>
      <c r="U45" s="499">
        <f>+U43/U44</f>
        <v>11.029411764705882</v>
      </c>
      <c r="V45" s="3"/>
    </row>
    <row r="46" spans="1:22" ht="15" hidden="1" customHeight="1">
      <c r="R46" s="501">
        <f>+R45*R44</f>
        <v>11521.726875</v>
      </c>
      <c r="T46" s="3" t="s">
        <v>572</v>
      </c>
      <c r="U46" s="500">
        <v>6144.9210000000003</v>
      </c>
      <c r="V46" s="250">
        <v>181.5</v>
      </c>
    </row>
    <row r="47" spans="1:22" ht="14.25" hidden="1" customHeight="1">
      <c r="P47" t="s">
        <v>537</v>
      </c>
      <c r="R47" s="148">
        <v>300</v>
      </c>
      <c r="T47" s="497" t="s">
        <v>574</v>
      </c>
      <c r="U47" s="498">
        <f>+U46*U45</f>
        <v>67774.863970588238</v>
      </c>
      <c r="V47" s="498">
        <f>+V46*V43</f>
        <v>54450</v>
      </c>
    </row>
    <row r="48" spans="1:22" ht="14.25" hidden="1" customHeight="1">
      <c r="P48" t="s">
        <v>575</v>
      </c>
      <c r="R48" s="148">
        <v>181.5</v>
      </c>
      <c r="T48" s="3" t="s">
        <v>577</v>
      </c>
      <c r="U48" s="3697">
        <f>+U47-V47</f>
        <v>13324.863970588238</v>
      </c>
      <c r="V48" s="2762"/>
    </row>
    <row r="49" spans="16:22" ht="15" hidden="1" customHeight="1">
      <c r="P49" s="403" t="s">
        <v>574</v>
      </c>
      <c r="R49" s="501">
        <f>+R48*R47</f>
        <v>54450</v>
      </c>
      <c r="T49" s="497" t="s">
        <v>578</v>
      </c>
      <c r="U49" s="498">
        <f>-U48/2</f>
        <v>-6662.4319852941189</v>
      </c>
      <c r="V49" s="498">
        <f>-U49</f>
        <v>6662.4319852941189</v>
      </c>
    </row>
    <row r="50" spans="16:22" ht="15" hidden="1" customHeight="1">
      <c r="P50" s="403" t="s">
        <v>143</v>
      </c>
      <c r="Q50" s="501">
        <f>+U47</f>
        <v>67774.863970588238</v>
      </c>
      <c r="R50" s="501">
        <f>+R49+R46</f>
        <v>65971.726874999993</v>
      </c>
      <c r="T50" s="3" t="s">
        <v>582</v>
      </c>
      <c r="U50" s="250">
        <f>+U49/U46*U44</f>
        <v>-29.490720873384706</v>
      </c>
      <c r="V50" s="250">
        <f>+V49/V46</f>
        <v>36.707614244044734</v>
      </c>
    </row>
    <row r="51" spans="16:22" ht="14.25" hidden="1" customHeight="1">
      <c r="P51" t="s">
        <v>576</v>
      </c>
      <c r="Q51" s="1171">
        <f>+Q50-R50</f>
        <v>1803.1370955882448</v>
      </c>
      <c r="R51" s="4"/>
      <c r="T51" s="550" t="s">
        <v>579</v>
      </c>
      <c r="U51" s="551">
        <f>+U43+U50</f>
        <v>270.5092791266153</v>
      </c>
      <c r="V51" s="551">
        <f>+V50+V43</f>
        <v>336.70761424404475</v>
      </c>
    </row>
    <row r="52" spans="16:22" ht="14.25" hidden="1" customHeight="1">
      <c r="P52" t="s">
        <v>528</v>
      </c>
      <c r="Q52" s="148">
        <f>+Q51/-2</f>
        <v>-901.56854779412242</v>
      </c>
      <c r="R52" s="148">
        <f>-Q52</f>
        <v>901.56854779412242</v>
      </c>
    </row>
    <row r="53" spans="16:22" ht="14.25" hidden="1" customHeight="1"/>
    <row r="54" spans="16:22" ht="14.25" hidden="1" customHeight="1"/>
    <row r="55" spans="16:22" ht="14.25" hidden="1" customHeight="1">
      <c r="Q55" s="4" t="s">
        <v>175</v>
      </c>
      <c r="R55" s="4" t="s">
        <v>176</v>
      </c>
    </row>
    <row r="56" spans="16:22" ht="15" hidden="1" customHeight="1">
      <c r="P56" s="403" t="s">
        <v>21</v>
      </c>
      <c r="Q56" s="501">
        <v>300</v>
      </c>
      <c r="R56" s="501">
        <v>300</v>
      </c>
    </row>
    <row r="57" spans="16:22" ht="14.25" hidden="1" customHeight="1">
      <c r="P57" t="s">
        <v>573</v>
      </c>
      <c r="Q57" s="148">
        <v>27.2</v>
      </c>
    </row>
    <row r="58" spans="16:22" ht="14.25" hidden="1" customHeight="1">
      <c r="P58" t="s">
        <v>62</v>
      </c>
      <c r="Q58" s="1111">
        <f>+Q56/Q57</f>
        <v>11.029411764705882</v>
      </c>
    </row>
    <row r="59" spans="16:22" ht="14.25" hidden="1" customHeight="1">
      <c r="P59" t="s">
        <v>572</v>
      </c>
      <c r="Q59" s="416">
        <v>6144.9210000000003</v>
      </c>
      <c r="R59" s="148">
        <v>181.5</v>
      </c>
    </row>
    <row r="60" spans="16:22" ht="15" hidden="1" customHeight="1">
      <c r="P60" s="403" t="s">
        <v>580</v>
      </c>
      <c r="Q60" s="501">
        <v>104805</v>
      </c>
      <c r="R60" s="501">
        <v>68891</v>
      </c>
    </row>
    <row r="61" spans="16:22" ht="14.25" hidden="1" customHeight="1">
      <c r="P61" t="s">
        <v>577</v>
      </c>
      <c r="Q61" s="3750">
        <f>+Q60-R60</f>
        <v>35914</v>
      </c>
      <c r="R61" s="2395"/>
    </row>
    <row r="62" spans="16:22" ht="15" hidden="1" customHeight="1">
      <c r="P62" s="403" t="s">
        <v>578</v>
      </c>
      <c r="Q62" s="501">
        <f>-Q61/2</f>
        <v>-17957</v>
      </c>
      <c r="R62" s="501">
        <f>-Q62</f>
        <v>17957</v>
      </c>
    </row>
    <row r="63" spans="16:22" ht="28.5" hidden="1" customHeight="1">
      <c r="P63" s="391" t="s">
        <v>581</v>
      </c>
      <c r="Q63" s="153">
        <f>+Q62/(Q60/Q56)</f>
        <v>-51.401173608129383</v>
      </c>
      <c r="R63" s="153">
        <f>R62/(R60/R56)</f>
        <v>78.197442336444539</v>
      </c>
    </row>
    <row r="64" spans="16:22" ht="15" hidden="1" customHeight="1">
      <c r="P64" s="403" t="s">
        <v>579</v>
      </c>
      <c r="Q64" s="501">
        <f>+Q56+Q63</f>
        <v>248.5988263918706</v>
      </c>
      <c r="R64" s="501">
        <f>+R63+R56</f>
        <v>378.19744233644451</v>
      </c>
    </row>
    <row r="65" spans="17:18" ht="14.25" hidden="1" customHeight="1">
      <c r="Q65" s="148">
        <v>79652</v>
      </c>
      <c r="R65">
        <v>91359</v>
      </c>
    </row>
  </sheetData>
  <sheetProtection algorithmName="SHA-512" hashValue="K7UswumRsbWu7qDVAw3n+lf5+StVNU8x0lBxuORw+dX61k/KCWwhGa4xrX+Mn5WsIAXr7GI+Jvb6RjonMnlZsQ==" saltValue="vpN+bFS/Re5I0iSOXBRSjQ==" spinCount="100000" sheet="1" objects="1" scenarios="1" formatColumns="0" autoFilter="0"/>
  <mergeCells count="87">
    <mergeCell ref="K16:L16"/>
    <mergeCell ref="K18:L18"/>
    <mergeCell ref="K33:L33"/>
    <mergeCell ref="M33:N33"/>
    <mergeCell ref="G36:G39"/>
    <mergeCell ref="H36:J36"/>
    <mergeCell ref="I23:J23"/>
    <mergeCell ref="I24:J24"/>
    <mergeCell ref="I25:J25"/>
    <mergeCell ref="G21:N21"/>
    <mergeCell ref="H20:L20"/>
    <mergeCell ref="Q61:R61"/>
    <mergeCell ref="K38:L38"/>
    <mergeCell ref="M38:N38"/>
    <mergeCell ref="H39:J39"/>
    <mergeCell ref="K39:L39"/>
    <mergeCell ref="M39:N39"/>
    <mergeCell ref="D2:E3"/>
    <mergeCell ref="B31:C31"/>
    <mergeCell ref="B32:C32"/>
    <mergeCell ref="B33:C33"/>
    <mergeCell ref="B22:C22"/>
    <mergeCell ref="B24:C24"/>
    <mergeCell ref="B25:C25"/>
    <mergeCell ref="B27:C27"/>
    <mergeCell ref="B26:C26"/>
    <mergeCell ref="B5:C5"/>
    <mergeCell ref="B6:C6"/>
    <mergeCell ref="B20:D20"/>
    <mergeCell ref="B15:C15"/>
    <mergeCell ref="B16:C16"/>
    <mergeCell ref="B17:C17"/>
    <mergeCell ref="B18:C18"/>
    <mergeCell ref="B40:E40"/>
    <mergeCell ref="B39:C39"/>
    <mergeCell ref="B38:C38"/>
    <mergeCell ref="B34:C34"/>
    <mergeCell ref="M36:N36"/>
    <mergeCell ref="B37:C37"/>
    <mergeCell ref="B35:C35"/>
    <mergeCell ref="B36:C36"/>
    <mergeCell ref="H37:J37"/>
    <mergeCell ref="K37:L37"/>
    <mergeCell ref="K36:L36"/>
    <mergeCell ref="I7:J7"/>
    <mergeCell ref="A12:A39"/>
    <mergeCell ref="B23:C23"/>
    <mergeCell ref="U48:V48"/>
    <mergeCell ref="H38:J38"/>
    <mergeCell ref="G22:G35"/>
    <mergeCell ref="D24:E24"/>
    <mergeCell ref="M16:N16"/>
    <mergeCell ref="H17:J17"/>
    <mergeCell ref="H18:J19"/>
    <mergeCell ref="M37:N37"/>
    <mergeCell ref="U19:AD19"/>
    <mergeCell ref="B28:E28"/>
    <mergeCell ref="B29:E29"/>
    <mergeCell ref="S32:S36"/>
    <mergeCell ref="B19:C19"/>
    <mergeCell ref="U1:AC1"/>
    <mergeCell ref="I3:J3"/>
    <mergeCell ref="B2:C4"/>
    <mergeCell ref="A1:O1"/>
    <mergeCell ref="A2:A11"/>
    <mergeCell ref="G2:H4"/>
    <mergeCell ref="I2:J2"/>
    <mergeCell ref="M2:N4"/>
    <mergeCell ref="O2:O18"/>
    <mergeCell ref="D4:E4"/>
    <mergeCell ref="I4:J4"/>
    <mergeCell ref="G5:G20"/>
    <mergeCell ref="K5:L5"/>
    <mergeCell ref="I6:J6"/>
    <mergeCell ref="B7:E7"/>
    <mergeCell ref="B11:C11"/>
    <mergeCell ref="B9:C9"/>
    <mergeCell ref="B10:C10"/>
    <mergeCell ref="B21:C21"/>
    <mergeCell ref="I8:J8"/>
    <mergeCell ref="E10:E11"/>
    <mergeCell ref="B12:E12"/>
    <mergeCell ref="B13:C13"/>
    <mergeCell ref="B14:C14"/>
    <mergeCell ref="D21:E21"/>
    <mergeCell ref="H15:J15"/>
    <mergeCell ref="H16:J16"/>
  </mergeCells>
  <conditionalFormatting sqref="B19">
    <cfRule type="expression" dxfId="120" priority="1639">
      <formula>D14+E14=0</formula>
    </cfRule>
    <cfRule type="expression" dxfId="119" priority="1640">
      <formula>D19="Ja"</formula>
    </cfRule>
  </conditionalFormatting>
  <conditionalFormatting sqref="B39">
    <cfRule type="expression" dxfId="118" priority="144">
      <formula>$D$30=0</formula>
    </cfRule>
    <cfRule type="expression" dxfId="117" priority="150">
      <formula>D39="Ja"</formula>
    </cfRule>
    <cfRule type="expression" dxfId="116" priority="149">
      <formula>D39="Nein, § 51 IV"</formula>
    </cfRule>
  </conditionalFormatting>
  <conditionalFormatting sqref="B7:E7">
    <cfRule type="expression" dxfId="115" priority="127">
      <formula>$D$6="nein"</formula>
    </cfRule>
  </conditionalFormatting>
  <conditionalFormatting sqref="C8">
    <cfRule type="expression" dxfId="114" priority="21">
      <formula>AND(Dat_EzE&gt;0,$D$8=0)</formula>
    </cfRule>
  </conditionalFormatting>
  <conditionalFormatting sqref="D5">
    <cfRule type="expression" dxfId="113" priority="143">
      <formula>$D$5=""</formula>
    </cfRule>
  </conditionalFormatting>
  <conditionalFormatting sqref="D8">
    <cfRule type="expression" dxfId="112" priority="10">
      <formula>AND($D$8="",Dat_EzE=0)</formula>
    </cfRule>
  </conditionalFormatting>
  <conditionalFormatting sqref="D9">
    <cfRule type="expression" dxfId="111" priority="108">
      <formula>$R$2=NV</formula>
    </cfRule>
  </conditionalFormatting>
  <conditionalFormatting sqref="D14">
    <cfRule type="expression" dxfId="110" priority="9">
      <formula>$D$11="nein"</formula>
    </cfRule>
    <cfRule type="expression" dxfId="109" priority="753">
      <formula>AND(C8&lt;&gt;"",$D$14="")</formula>
    </cfRule>
    <cfRule type="expression" dxfId="108" priority="752">
      <formula>C8=""</formula>
    </cfRule>
  </conditionalFormatting>
  <conditionalFormatting sqref="D15">
    <cfRule type="expression" dxfId="107" priority="767">
      <formula>C8=""</formula>
    </cfRule>
    <cfRule type="expression" dxfId="106" priority="766">
      <formula>AND(C8&lt;&gt;"",E14="",D15="")</formula>
    </cfRule>
    <cfRule type="expression" dxfId="105" priority="765">
      <formula>E14&gt;0</formula>
    </cfRule>
  </conditionalFormatting>
  <conditionalFormatting sqref="D16">
    <cfRule type="expression" dxfId="104" priority="6">
      <formula>$D$11="nein"</formula>
    </cfRule>
  </conditionalFormatting>
  <conditionalFormatting sqref="D19">
    <cfRule type="expression" dxfId="103" priority="160">
      <formula>D19="Ja"</formula>
    </cfRule>
    <cfRule type="expression" dxfId="102" priority="156">
      <formula>D19="Nein"</formula>
    </cfRule>
    <cfRule type="expression" dxfId="101" priority="139">
      <formula>D14+E14=0</formula>
    </cfRule>
  </conditionalFormatting>
  <conditionalFormatting sqref="D23">
    <cfRule type="expression" dxfId="100" priority="761">
      <formula>C8=""</formula>
    </cfRule>
    <cfRule type="expression" dxfId="99" priority="760">
      <formula>AND(C8&lt;&gt;"",D23="")</formula>
    </cfRule>
  </conditionalFormatting>
  <conditionalFormatting sqref="D27">
    <cfRule type="expression" dxfId="98" priority="147">
      <formula>$D$23+$E$23=0</formula>
    </cfRule>
    <cfRule type="expression" dxfId="97" priority="152">
      <formula>D27="Nein"</formula>
    </cfRule>
  </conditionalFormatting>
  <conditionalFormatting sqref="D30">
    <cfRule type="expression" dxfId="96" priority="757">
      <formula>AND(D30="",C8&gt;0)</formula>
    </cfRule>
    <cfRule type="expression" dxfId="95" priority="756">
      <formula>C8=""</formula>
    </cfRule>
  </conditionalFormatting>
  <conditionalFormatting sqref="D31">
    <cfRule type="expression" dxfId="94" priority="759">
      <formula>D31=""</formula>
    </cfRule>
    <cfRule type="expression" dxfId="93" priority="758">
      <formula>C8=""</formula>
    </cfRule>
  </conditionalFormatting>
  <conditionalFormatting sqref="D39">
    <cfRule type="expression" dxfId="92" priority="145">
      <formula>OR(D39="Nein, § 51 IV",D39="Nein")</formula>
    </cfRule>
    <cfRule type="expression" dxfId="91" priority="151">
      <formula>$D$30=0</formula>
    </cfRule>
  </conditionalFormatting>
  <conditionalFormatting sqref="D27:E27">
    <cfRule type="expression" dxfId="90" priority="153">
      <formula>D27="Ja"</formula>
    </cfRule>
  </conditionalFormatting>
  <conditionalFormatting sqref="D39:E39">
    <cfRule type="expression" dxfId="89" priority="148">
      <formula>D39="Ja"</formula>
    </cfRule>
  </conditionalFormatting>
  <conditionalFormatting sqref="E14">
    <cfRule type="expression" dxfId="88" priority="764">
      <formula>AND(C8&lt;&gt;"",$E$14="")</formula>
    </cfRule>
    <cfRule type="expression" dxfId="87" priority="763">
      <formula>E8=""</formula>
    </cfRule>
    <cfRule type="expression" dxfId="86" priority="8">
      <formula>$D$11="nein"</formula>
    </cfRule>
    <cfRule type="expression" dxfId="85" priority="762">
      <formula>D15&gt;0</formula>
    </cfRule>
  </conditionalFormatting>
  <conditionalFormatting sqref="E17:E18">
    <cfRule type="expression" dxfId="84" priority="1">
      <formula>E17="unterschritten"</formula>
    </cfRule>
    <cfRule type="expression" dxfId="83" priority="2">
      <formula>E17="überschritten"</formula>
    </cfRule>
  </conditionalFormatting>
  <conditionalFormatting sqref="E23">
    <cfRule type="expression" dxfId="82" priority="755">
      <formula>AND(F8&lt;&gt;"",E23="")</formula>
    </cfRule>
    <cfRule type="expression" dxfId="81" priority="754">
      <formula>C8=""</formula>
    </cfRule>
  </conditionalFormatting>
  <conditionalFormatting sqref="F2:G3">
    <cfRule type="expression" dxfId="80" priority="739">
      <formula>OR(D5=0,C8=0)</formula>
    </cfRule>
  </conditionalFormatting>
  <conditionalFormatting sqref="G2:N2 G3:I3 H6:N14 K15:N16 K3:N3 M23:N31 G4:J4 M4:N4 G5:N5 H15:H17 K17:M17 G22:N22 H23:I25 H26:J31 H32:N33 H34:L35">
    <cfRule type="expression" dxfId="79" priority="740">
      <formula>$C$8=""</formula>
    </cfRule>
  </conditionalFormatting>
  <conditionalFormatting sqref="H18:N20">
    <cfRule type="expression" dxfId="78" priority="770">
      <formula>OR($C$8="",$D$11="nein")</formula>
    </cfRule>
  </conditionalFormatting>
  <conditionalFormatting sqref="K3">
    <cfRule type="expression" dxfId="77" priority="20">
      <formula>AND(Dat_GebDat_M&lt;&gt;"",K4=0)</formula>
    </cfRule>
  </conditionalFormatting>
  <conditionalFormatting sqref="K23">
    <cfRule type="expression" dxfId="76" priority="46">
      <formula>AND($Q23&lt;&gt;0,OR(ABS($K$23/$K$6-1)&lt;0.05,ABS($Q23)/2&lt;$S$16))</formula>
    </cfRule>
    <cfRule type="expression" dxfId="75" priority="45">
      <formula>AND($Q23&lt;&gt;0,ABS($K$23/$K$6-1)&gt;=0.05,ABS($Q23)/2&gt;=$S$16)</formula>
    </cfRule>
  </conditionalFormatting>
  <conditionalFormatting sqref="K24">
    <cfRule type="expression" dxfId="74" priority="48">
      <formula>AND($Q24&lt;&gt;0,OR(ABS($K$24/$K$7-1)&lt;0.05,ABS($Q24)/2&lt;$S$16))</formula>
    </cfRule>
    <cfRule type="expression" dxfId="73" priority="47">
      <formula>AND($Q24&lt;&gt;0,ABS($K$24/$K$7-1)&gt;=0.05,ABS($Q24)/2&gt;=$S$16)</formula>
    </cfRule>
  </conditionalFormatting>
  <conditionalFormatting sqref="K25">
    <cfRule type="expression" dxfId="72" priority="50">
      <formula>AND($Q25&lt;&gt;0,OR(ABS($K$25/$K$8-1)&lt;0.05,ABS($Q25)/2&lt;$S$16))</formula>
    </cfRule>
    <cfRule type="expression" dxfId="71" priority="49">
      <formula>AND($Q25&lt;&gt;0,ABS($K$25/$K$8-1)&gt;=0.05,ABS($Q25)/2&gt;=$S$16)</formula>
    </cfRule>
  </conditionalFormatting>
  <conditionalFormatting sqref="K26">
    <cfRule type="expression" dxfId="70" priority="51">
      <formula>AND($Q26&lt;&gt;0,ABS($K$26/$K$9-1)&gt;=0.05,ABS($Q26)/2&gt;=$S$16)</formula>
    </cfRule>
    <cfRule type="expression" dxfId="69" priority="52">
      <formula>AND($Q26&lt;&gt;0,OR(ABS($K$26/$K$9-1)&lt;0.05,ABS($Q26)/2&lt;$S$16))</formula>
    </cfRule>
  </conditionalFormatting>
  <conditionalFormatting sqref="K27">
    <cfRule type="expression" dxfId="68" priority="54">
      <formula>AND($Q27&lt;&gt;0,OR(ABS($K$27/$K$10-1)&lt;0.05,ABS($Q27)/2&lt;$S$16))</formula>
    </cfRule>
    <cfRule type="expression" dxfId="67" priority="53">
      <formula>AND($Q27&lt;&gt;0,ABS($K$27/$K$10-1)&gt;=0.05,ABS($Q27)/2&gt;=$S$16)</formula>
    </cfRule>
  </conditionalFormatting>
  <conditionalFormatting sqref="K28">
    <cfRule type="expression" dxfId="66" priority="657">
      <formula>AND($Q28&lt;&gt;0,OR(ABS($K$28/$K$11-1)&lt;0.05,ABS($Q28)/2&lt;$S$16))</formula>
    </cfRule>
    <cfRule type="expression" dxfId="65" priority="656">
      <formula>AND($Q28&lt;&gt;0,ABS($K$28/$K$11-1)&gt;=0.05,ABS($Q28)/2&gt;=$S$16)</formula>
    </cfRule>
  </conditionalFormatting>
  <conditionalFormatting sqref="K29:K30">
    <cfRule type="expression" dxfId="64" priority="42">
      <formula>AND($Q29&lt;&gt;0,OR(ABS($K29/$K$11-1)&lt;0.05,ABS($Q29)/2&lt;$S$16))</formula>
    </cfRule>
  </conditionalFormatting>
  <conditionalFormatting sqref="K29:K31">
    <cfRule type="expression" dxfId="63" priority="39">
      <formula>AND($Q29&lt;&gt;0,ABS($K29/$K12-1)&gt;=0.05,ABS($Q29)/2&gt;=$S$16)</formula>
    </cfRule>
  </conditionalFormatting>
  <conditionalFormatting sqref="K31">
    <cfRule type="expression" dxfId="62" priority="40">
      <formula>AND($Q31&lt;&gt;0,OR(ABS($K31/$K$14-1)&lt;0.05,ABS($Q31)/2&lt;$S$16))</formula>
    </cfRule>
  </conditionalFormatting>
  <conditionalFormatting sqref="K4:L4">
    <cfRule type="expression" dxfId="61" priority="17">
      <formula>AND(K3=0,K4=0)</formula>
    </cfRule>
  </conditionalFormatting>
  <conditionalFormatting sqref="K23:L31">
    <cfRule type="expression" dxfId="60" priority="773">
      <formula>$C$8=""</formula>
    </cfRule>
  </conditionalFormatting>
  <conditionalFormatting sqref="K39:N39">
    <cfRule type="expression" dxfId="59" priority="99">
      <formula>K39="möglich"</formula>
    </cfRule>
    <cfRule type="expression" dxfId="58" priority="100">
      <formula>K39="unmöglich"</formula>
    </cfRule>
  </conditionalFormatting>
  <conditionalFormatting sqref="L3">
    <cfRule type="expression" dxfId="57" priority="19">
      <formula>AND(Dat_GebDat_F&lt;&gt;"",L4=0)</formula>
    </cfRule>
  </conditionalFormatting>
  <conditionalFormatting sqref="L23:L31">
    <cfRule type="expression" dxfId="56" priority="24">
      <formula>AND($R23&lt;&gt;0,ABS($L23/$L6-1)&gt;=0.05,ABS($R23)/2&gt;=$S$16)</formula>
    </cfRule>
    <cfRule type="expression" dxfId="55" priority="23">
      <formula>AND($R23&lt;&gt;0,OR(ABS($L23/$L6-1)&lt;0.05,ABS($R23)/2&lt;$S$16))</formula>
    </cfRule>
  </conditionalFormatting>
  <conditionalFormatting sqref="M6:M15">
    <cfRule type="expression" dxfId="54" priority="130">
      <formula>M6="nein"</formula>
    </cfRule>
    <cfRule type="expression" dxfId="53" priority="129">
      <formula>M6="ja"</formula>
    </cfRule>
  </conditionalFormatting>
  <conditionalFormatting sqref="M8:N8">
    <cfRule type="expression" dxfId="52" priority="134">
      <formula>M8="nein"</formula>
    </cfRule>
    <cfRule type="expression" dxfId="51" priority="133">
      <formula>M8="ja"</formula>
    </cfRule>
  </conditionalFormatting>
  <conditionalFormatting sqref="M23:N31">
    <cfRule type="expression" dxfId="50" priority="12">
      <formula>M23="nein"</formula>
    </cfRule>
    <cfRule type="expression" dxfId="49" priority="11">
      <formula>M23="ja"</formula>
    </cfRule>
  </conditionalFormatting>
  <conditionalFormatting sqref="N6:N14">
    <cfRule type="expression" dxfId="48" priority="132">
      <formula>N6="nein"</formula>
    </cfRule>
    <cfRule type="expression" dxfId="47" priority="131">
      <formula>N6="ja"</formula>
    </cfRule>
  </conditionalFormatting>
  <conditionalFormatting sqref="U4:AD18">
    <cfRule type="expression" dxfId="46" priority="772">
      <formula>$U4&lt;$C$8</formula>
    </cfRule>
  </conditionalFormatting>
  <dataValidations count="1">
    <dataValidation type="list" allowBlank="1" showInputMessage="1" showErrorMessage="1" sqref="D11 D38 D6" xr:uid="{DC90661A-9604-41D2-BEF8-BF2FC8C70BA5}">
      <formula1>$Q$12:$Q$13</formula1>
    </dataValidation>
  </dataValidations>
  <hyperlinks>
    <hyperlink ref="D21:E21" location="Dienstzeitverlängerung" display="Dienstzeitveränderung" xr:uid="{6AB99B79-97E4-4614-AE66-EC828907C968}"/>
    <hyperlink ref="V18" location="Grundrentenrechner" display="Grundrente" xr:uid="{600322B6-33B9-44EF-B99C-8F289D909640}"/>
    <hyperlink ref="V9" location="BeamtV_Dienstzeit" display="Ruhegehaltssatz" xr:uid="{43132FE5-3C70-4A30-9094-AD10F6536AB2}"/>
    <hyperlink ref="V14" location="BeamtV_Dienstzeit" display="Regelaltersgrenze" xr:uid="{2B447E18-6C6C-4419-96A0-713AEC267F80}"/>
    <hyperlink ref="AC6" r:id="rId1" xr:uid="{69F3FD08-A960-40B2-8E87-9D8DD7571B13}"/>
    <hyperlink ref="AC12" r:id="rId2" xr:uid="{E9031015-93D2-4A80-9828-63A76DF86DEF}"/>
    <hyperlink ref="AC18" r:id="rId3" xr:uid="{E29ECBCA-4028-414A-8F9A-51E6634B4018}"/>
    <hyperlink ref="AC16" r:id="rId4" xr:uid="{F90B4F6A-644A-4347-BBB7-D207A3A5246C}"/>
    <hyperlink ref="AC17" r:id="rId5" xr:uid="{2476CA60-8F8E-48D6-850E-B7E789C4BC5A}"/>
    <hyperlink ref="AC9" r:id="rId6" xr:uid="{1ED60413-68CE-4D0C-A638-D5F127DEF9F1}"/>
    <hyperlink ref="AC14" r:id="rId7" display="§ 51 BBG" xr:uid="{CCCAFEAD-DABE-49BB-8AF3-B6200D6516C0}"/>
    <hyperlink ref="B18" r:id="rId8" display="https://www.gesetze-im-internet.de/famfg/__225.html" xr:uid="{59AF9C36-2D21-4DEC-9245-533E6399237F}"/>
    <hyperlink ref="B26" r:id="rId9" display="https://www.gesetze-im-internet.de/famfg/__225.html" xr:uid="{41523F4A-F931-4293-9420-3AFAB6021C0F}"/>
    <hyperlink ref="B29:E29" r:id="rId10" display="Betriebliche &amp; private Altersversorgung, § 51 Abs. 3 VersAusglG " xr:uid="{4863941D-A8DF-40B0-B5E2-2E0D0D1FC101}"/>
  </hyperlinks>
  <pageMargins left="0.7" right="0.7" top="0.78740157499999996" bottom="0.78740157499999996" header="0.3" footer="0.3"/>
  <pageSetup paperSize="9" orientation="portrait" r:id="rId11"/>
  <drawing r:id="rId12"/>
  <legacyDrawing r:id="rId13"/>
  <mc:AlternateContent xmlns:mc="http://schemas.openxmlformats.org/markup-compatibility/2006">
    <mc:Choice Requires="x14">
      <controls>
        <mc:AlternateContent xmlns:mc="http://schemas.openxmlformats.org/markup-compatibility/2006">
          <mc:Choice Requires="x14">
            <control shapeId="1982466" r:id="rId14" name="Check Box 2">
              <controlPr defaultSize="0" autoFill="0" autoLine="0" autoPict="0">
                <anchor moveWithCells="1">
                  <from>
                    <xdr:col>12</xdr:col>
                    <xdr:colOff>561975</xdr:colOff>
                    <xdr:row>4</xdr:row>
                    <xdr:rowOff>28575</xdr:rowOff>
                  </from>
                  <to>
                    <xdr:col>12</xdr:col>
                    <xdr:colOff>561975</xdr:colOff>
                    <xdr:row>4</xdr:row>
                    <xdr:rowOff>180975</xdr:rowOff>
                  </to>
                </anchor>
              </controlPr>
            </control>
          </mc:Choice>
        </mc:AlternateContent>
        <mc:AlternateContent xmlns:mc="http://schemas.openxmlformats.org/markup-compatibility/2006">
          <mc:Choice Requires="x14">
            <control shapeId="1982467" r:id="rId15" name="Check Box 3">
              <controlPr defaultSize="0" autoFill="0" autoLine="0" autoPict="0">
                <anchor moveWithCells="1">
                  <from>
                    <xdr:col>12</xdr:col>
                    <xdr:colOff>104775</xdr:colOff>
                    <xdr:row>2</xdr:row>
                    <xdr:rowOff>142875</xdr:rowOff>
                  </from>
                  <to>
                    <xdr:col>13</xdr:col>
                    <xdr:colOff>66675</xdr:colOff>
                    <xdr:row>3</xdr:row>
                    <xdr:rowOff>142875</xdr:rowOff>
                  </to>
                </anchor>
              </controlPr>
            </control>
          </mc:Choice>
        </mc:AlternateContent>
        <mc:AlternateContent xmlns:mc="http://schemas.openxmlformats.org/markup-compatibility/2006">
          <mc:Choice Requires="x14">
            <control shapeId="1982469" r:id="rId16" name="Check Box 5">
              <controlPr defaultSize="0" autoFill="0" autoLine="0" autoPict="0">
                <anchor moveWithCells="1">
                  <from>
                    <xdr:col>1</xdr:col>
                    <xdr:colOff>3571875</xdr:colOff>
                    <xdr:row>13</xdr:row>
                    <xdr:rowOff>0</xdr:rowOff>
                  </from>
                  <to>
                    <xdr:col>2</xdr:col>
                    <xdr:colOff>523875</xdr:colOff>
                    <xdr:row>13</xdr:row>
                    <xdr:rowOff>180975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B3059-4D37-4B37-AFB2-93B73B36B2B4}">
  <sheetPr codeName="Tabelle39">
    <pageSetUpPr fitToPage="1"/>
  </sheetPr>
  <dimension ref="A1:AC41"/>
  <sheetViews>
    <sheetView showGridLines="0" showRowColHeaders="0" topLeftCell="H20" zoomScale="205" zoomScaleNormal="205" workbookViewId="0">
      <selection activeCell="J26" sqref="J26"/>
    </sheetView>
  </sheetViews>
  <sheetFormatPr baseColWidth="10" defaultColWidth="0" defaultRowHeight="14.25" zeroHeight="1"/>
  <cols>
    <col min="1" max="7" width="10.625" hidden="1" customWidth="1"/>
    <col min="8" max="8" width="2" customWidth="1"/>
    <col min="9" max="9" width="45.125" customWidth="1"/>
    <col min="10" max="12" width="14.625" customWidth="1"/>
    <col min="13" max="13" width="2.125" customWidth="1"/>
    <col min="14" max="14" width="9" hidden="1" customWidth="1"/>
    <col min="15" max="15" width="9.625" hidden="1" customWidth="1"/>
    <col min="16" max="16" width="10.125" hidden="1" customWidth="1"/>
    <col min="17" max="17" width="6.125" hidden="1" customWidth="1"/>
    <col min="18" max="18" width="8.625" hidden="1" customWidth="1"/>
    <col min="19" max="19" width="6.125" style="4" hidden="1" customWidth="1"/>
    <col min="20" max="20" width="15.625" style="4" hidden="1" customWidth="1"/>
    <col min="21" max="21" width="1.125" hidden="1" customWidth="1"/>
    <col min="22" max="22" width="10.625" hidden="1" customWidth="1"/>
    <col min="23" max="23" width="11.5" hidden="1" customWidth="1"/>
    <col min="24" max="24" width="10.625" hidden="1" customWidth="1"/>
    <col min="25" max="25" width="11.625" hidden="1" customWidth="1"/>
    <col min="26" max="26" width="11.625" style="399" hidden="1" customWidth="1"/>
    <col min="27" max="29" width="11.625" hidden="1" customWidth="1"/>
    <col min="30" max="16384" width="10.625" hidden="1"/>
  </cols>
  <sheetData>
    <row r="1" spans="1:23" hidden="1">
      <c r="A1" s="25"/>
      <c r="B1" s="25"/>
      <c r="C1" s="25"/>
      <c r="D1" s="25"/>
      <c r="E1" s="25"/>
      <c r="F1" s="25"/>
      <c r="G1" s="25"/>
      <c r="H1" s="25"/>
      <c r="I1" s="25"/>
      <c r="J1" s="25"/>
      <c r="K1" s="25"/>
      <c r="L1" s="25"/>
      <c r="M1" s="25"/>
    </row>
    <row r="2" spans="1:23" ht="20.25" hidden="1" customHeight="1">
      <c r="A2" s="2858"/>
      <c r="B2" s="2858"/>
      <c r="C2" s="2858"/>
      <c r="D2" s="2858"/>
      <c r="E2" s="2858"/>
      <c r="F2" s="2858"/>
      <c r="G2" s="2858"/>
      <c r="H2" s="2858"/>
      <c r="I2" s="452"/>
      <c r="J2" s="452"/>
      <c r="K2" s="452"/>
      <c r="L2" s="452"/>
      <c r="M2" s="452"/>
      <c r="N2" s="452"/>
      <c r="O2" s="452"/>
      <c r="P2" s="452"/>
      <c r="Q2" s="452"/>
      <c r="R2" s="452"/>
      <c r="S2" s="452"/>
      <c r="T2" s="452"/>
      <c r="U2" s="2395"/>
    </row>
    <row r="3" spans="1:23" ht="17.25" hidden="1" customHeight="1">
      <c r="A3" s="2858"/>
      <c r="B3" s="2858"/>
      <c r="C3" s="2858"/>
      <c r="D3" s="2858"/>
      <c r="E3" s="2858"/>
      <c r="F3" s="2858"/>
      <c r="G3" s="2858"/>
      <c r="H3" s="2858"/>
      <c r="I3" s="452"/>
      <c r="J3" s="452"/>
      <c r="K3" s="452"/>
      <c r="L3" s="452"/>
      <c r="M3" s="452"/>
      <c r="N3" s="452"/>
      <c r="O3" s="452"/>
      <c r="P3" s="452"/>
      <c r="Q3" s="452"/>
      <c r="R3" s="452"/>
      <c r="S3" s="452"/>
      <c r="T3" s="452"/>
      <c r="U3" s="2395"/>
    </row>
    <row r="4" spans="1:23" ht="17.25" hidden="1" customHeight="1">
      <c r="A4" s="2858"/>
      <c r="B4" s="2858"/>
      <c r="C4" s="2858"/>
      <c r="D4" s="2858"/>
      <c r="E4" s="2858"/>
      <c r="F4" s="2858"/>
      <c r="G4" s="2858"/>
      <c r="H4" s="2858"/>
      <c r="I4" s="452"/>
      <c r="J4" s="452"/>
      <c r="K4" s="452"/>
      <c r="L4" s="452"/>
      <c r="M4" s="452"/>
      <c r="N4" s="452"/>
      <c r="O4" s="452"/>
      <c r="P4" s="452"/>
      <c r="Q4" s="452"/>
      <c r="R4" s="452"/>
      <c r="S4" s="452"/>
      <c r="T4" s="452"/>
      <c r="U4" s="2395"/>
    </row>
    <row r="5" spans="1:23" ht="17.25" hidden="1" customHeight="1">
      <c r="A5" s="2858"/>
      <c r="B5" s="2858"/>
      <c r="C5" s="2858"/>
      <c r="D5" s="2858"/>
      <c r="E5" s="2858"/>
      <c r="F5" s="2858"/>
      <c r="G5" s="2858"/>
      <c r="H5" s="2858"/>
      <c r="I5" s="452"/>
      <c r="J5" s="452"/>
      <c r="K5" s="452"/>
      <c r="L5" s="452"/>
      <c r="M5" s="452"/>
      <c r="N5" s="452"/>
      <c r="O5" s="452"/>
      <c r="P5" s="452"/>
      <c r="Q5" s="452"/>
      <c r="R5" s="452"/>
      <c r="S5" s="452"/>
      <c r="T5" s="452"/>
      <c r="U5" s="2395"/>
    </row>
    <row r="6" spans="1:23" ht="17.25" hidden="1" customHeight="1">
      <c r="A6" s="2858"/>
      <c r="B6" s="2858"/>
      <c r="C6" s="2858"/>
      <c r="D6" s="2858"/>
      <c r="E6" s="2858"/>
      <c r="F6" s="2858"/>
      <c r="G6" s="2858"/>
      <c r="H6" s="2858"/>
      <c r="I6" s="452"/>
      <c r="J6" s="452"/>
      <c r="K6" s="452"/>
      <c r="L6" s="452"/>
      <c r="M6" s="452"/>
      <c r="N6" s="452"/>
      <c r="O6" s="452"/>
      <c r="P6" s="452"/>
      <c r="Q6" s="452"/>
      <c r="R6" s="452"/>
      <c r="S6" s="452"/>
      <c r="T6" s="452"/>
      <c r="U6" s="2395"/>
    </row>
    <row r="7" spans="1:23" ht="14.1" hidden="1" customHeight="1">
      <c r="H7" s="25"/>
      <c r="I7" s="452"/>
      <c r="J7" s="452"/>
      <c r="K7" s="452"/>
      <c r="L7" s="452"/>
      <c r="M7" s="452"/>
      <c r="N7" s="452"/>
      <c r="O7" s="452"/>
      <c r="P7" s="452"/>
      <c r="Q7" s="452"/>
      <c r="R7" s="452"/>
      <c r="S7" s="452"/>
      <c r="T7" s="452"/>
      <c r="U7" s="2395"/>
    </row>
    <row r="8" spans="1:23" ht="18.75" hidden="1" customHeight="1">
      <c r="H8" s="25"/>
      <c r="I8" s="452"/>
      <c r="J8" s="452"/>
      <c r="K8" s="452"/>
      <c r="L8" s="452"/>
      <c r="M8" s="452"/>
      <c r="N8" s="452"/>
      <c r="O8" s="452"/>
      <c r="P8" s="452"/>
      <c r="Q8" s="452"/>
      <c r="R8" s="452"/>
      <c r="S8" s="452"/>
      <c r="T8" s="452"/>
    </row>
    <row r="9" spans="1:23" ht="18.75" hidden="1" customHeight="1">
      <c r="H9" s="25"/>
      <c r="I9" s="452"/>
      <c r="J9" s="452"/>
      <c r="K9" s="452"/>
      <c r="L9" s="452"/>
      <c r="M9" s="452"/>
      <c r="N9" s="452"/>
      <c r="O9" s="452"/>
      <c r="P9" s="452"/>
      <c r="Q9" s="452"/>
      <c r="R9" s="452"/>
      <c r="S9" s="452"/>
      <c r="T9" s="452"/>
    </row>
    <row r="10" spans="1:23" ht="18" hidden="1" customHeight="1">
      <c r="H10" s="25"/>
      <c r="I10" s="452"/>
      <c r="J10" s="452"/>
      <c r="K10" s="452"/>
      <c r="L10" s="452"/>
      <c r="M10" s="452"/>
      <c r="N10" s="452"/>
      <c r="O10" s="452"/>
      <c r="P10" s="452"/>
      <c r="Q10" s="452"/>
      <c r="R10" s="452"/>
      <c r="S10" s="452"/>
      <c r="T10" s="452"/>
    </row>
    <row r="11" spans="1:23" ht="23.1" hidden="1" customHeight="1">
      <c r="H11" s="25"/>
      <c r="I11" s="452"/>
      <c r="J11" s="452"/>
      <c r="K11" s="452"/>
      <c r="L11" s="452"/>
      <c r="M11" s="452"/>
      <c r="N11" s="452"/>
      <c r="O11" s="452"/>
      <c r="P11" s="452"/>
      <c r="Q11" s="452"/>
      <c r="R11" s="452"/>
      <c r="S11" s="452"/>
      <c r="T11" s="452"/>
      <c r="V11" s="3788"/>
    </row>
    <row r="12" spans="1:23" ht="14.25" hidden="1" customHeight="1">
      <c r="H12" s="25"/>
      <c r="I12" s="452"/>
      <c r="J12" s="452"/>
      <c r="K12" s="452"/>
      <c r="L12" s="452"/>
      <c r="M12" s="452"/>
      <c r="N12" s="452"/>
      <c r="O12" s="452"/>
      <c r="P12" s="452"/>
      <c r="Q12" s="452"/>
      <c r="R12" s="452"/>
      <c r="S12" s="452"/>
      <c r="T12" s="452"/>
      <c r="V12" s="3788"/>
    </row>
    <row r="13" spans="1:23" ht="14.1" hidden="1" customHeight="1">
      <c r="H13" s="25"/>
      <c r="I13" s="452"/>
      <c r="J13" s="452"/>
      <c r="K13" s="452"/>
      <c r="L13" s="452"/>
      <c r="M13" s="452"/>
      <c r="N13" s="452"/>
      <c r="O13" s="452"/>
      <c r="P13" s="452"/>
      <c r="Q13" s="452"/>
      <c r="R13" s="452"/>
      <c r="S13" s="452"/>
      <c r="T13" s="452"/>
      <c r="V13" s="3788"/>
      <c r="W13" s="145"/>
    </row>
    <row r="14" spans="1:23" ht="14.25" hidden="1" customHeight="1">
      <c r="H14" s="25"/>
      <c r="I14" s="452"/>
      <c r="J14" s="452"/>
      <c r="K14" s="452"/>
      <c r="L14" s="452"/>
      <c r="M14" s="452"/>
      <c r="N14" s="452"/>
      <c r="O14" s="452"/>
      <c r="P14" s="452"/>
      <c r="Q14" s="452"/>
      <c r="R14" s="452"/>
      <c r="S14" s="452"/>
      <c r="T14" s="452"/>
      <c r="W14" s="145"/>
    </row>
    <row r="15" spans="1:23" ht="14.25" hidden="1" customHeight="1">
      <c r="H15" s="25"/>
      <c r="I15" s="452"/>
      <c r="J15" s="452"/>
      <c r="K15" s="452"/>
      <c r="L15" s="452"/>
      <c r="M15" s="452"/>
      <c r="N15" s="452"/>
      <c r="O15" s="452"/>
      <c r="P15" s="452"/>
      <c r="Q15" s="452"/>
      <c r="R15" s="452"/>
      <c r="S15" s="452"/>
      <c r="T15" s="452"/>
      <c r="W15" s="145"/>
    </row>
    <row r="16" spans="1:23" ht="14.1" hidden="1" customHeight="1">
      <c r="H16" s="25"/>
      <c r="I16" s="452"/>
      <c r="J16" s="452"/>
      <c r="K16" s="452"/>
      <c r="L16" s="452"/>
      <c r="M16" s="452"/>
      <c r="N16" s="452"/>
      <c r="O16" s="452"/>
      <c r="P16" s="452"/>
      <c r="Q16" s="452"/>
      <c r="R16" s="452"/>
      <c r="S16" s="452"/>
      <c r="T16" s="452"/>
      <c r="W16" s="145"/>
    </row>
    <row r="17" spans="1:26" s="397" customFormat="1" ht="28.5" hidden="1" customHeight="1">
      <c r="H17" s="401"/>
      <c r="I17" s="452"/>
      <c r="J17" s="452"/>
      <c r="K17" s="452"/>
      <c r="L17" s="452"/>
      <c r="M17" s="452"/>
      <c r="N17" s="452"/>
      <c r="Q17" s="452"/>
      <c r="R17" s="452"/>
      <c r="S17" s="452"/>
      <c r="T17" s="452"/>
      <c r="Z17" s="400"/>
    </row>
    <row r="18" spans="1:26" s="397" customFormat="1" ht="28.5" hidden="1" customHeight="1" thickBot="1">
      <c r="H18" s="401"/>
      <c r="I18" s="452"/>
      <c r="J18" s="452"/>
      <c r="K18" s="452"/>
      <c r="L18" s="452"/>
      <c r="M18" s="452"/>
      <c r="N18" s="452"/>
      <c r="O18" s="452"/>
      <c r="P18" s="452"/>
      <c r="Q18" s="452"/>
      <c r="R18" s="452"/>
      <c r="S18" s="452"/>
      <c r="T18" s="452"/>
      <c r="Z18" s="400"/>
    </row>
    <row r="19" spans="1:26" ht="14.25" hidden="1" customHeight="1">
      <c r="A19" s="25"/>
      <c r="B19" s="25"/>
      <c r="C19" s="25"/>
      <c r="D19" s="25"/>
      <c r="E19" s="25"/>
      <c r="F19" s="25"/>
      <c r="G19" s="25"/>
      <c r="H19" s="25"/>
      <c r="I19" s="3793" t="s">
        <v>548</v>
      </c>
      <c r="J19" s="3794"/>
      <c r="K19" s="914"/>
      <c r="L19" s="915"/>
      <c r="M19" s="25"/>
    </row>
    <row r="20" spans="1:26" ht="14.1" customHeight="1">
      <c r="A20" s="25"/>
      <c r="B20" s="25"/>
      <c r="C20" s="25"/>
      <c r="D20" s="25"/>
      <c r="E20" s="25"/>
      <c r="F20" s="25"/>
      <c r="G20" s="25"/>
      <c r="H20" s="25"/>
      <c r="I20" s="3008"/>
      <c r="J20" s="3795"/>
      <c r="K20" s="3798" t="s">
        <v>1030</v>
      </c>
      <c r="L20" s="3799"/>
      <c r="M20" s="25"/>
    </row>
    <row r="21" spans="1:26" ht="14.25" customHeight="1" thickBot="1">
      <c r="A21" s="25"/>
      <c r="B21" s="25"/>
      <c r="C21" s="25"/>
      <c r="D21" s="25"/>
      <c r="E21" s="25"/>
      <c r="F21" s="25"/>
      <c r="G21" s="25"/>
      <c r="H21" s="25"/>
      <c r="I21" s="3796"/>
      <c r="J21" s="3797"/>
      <c r="K21" s="3791" t="s">
        <v>1029</v>
      </c>
      <c r="L21" s="3792"/>
      <c r="M21" s="25"/>
    </row>
    <row r="22" spans="1:26">
      <c r="A22" s="25"/>
      <c r="B22" s="25"/>
      <c r="C22" s="25"/>
      <c r="D22" s="25"/>
      <c r="E22" s="25"/>
      <c r="F22" s="25"/>
      <c r="G22" s="25"/>
      <c r="H22" s="25"/>
      <c r="I22" s="1026" t="s">
        <v>550</v>
      </c>
      <c r="J22" s="1170"/>
      <c r="K22" s="3800"/>
      <c r="L22" s="3801"/>
      <c r="M22" s="25"/>
      <c r="N22" t="s">
        <v>1227</v>
      </c>
      <c r="O22" s="15" t="b">
        <v>0</v>
      </c>
      <c r="P22">
        <f>IF(EPOst=FALSE,0,1)</f>
        <v>0</v>
      </c>
      <c r="V22" s="58"/>
      <c r="X22" s="148"/>
      <c r="Y22" s="398"/>
    </row>
    <row r="23" spans="1:26" ht="15">
      <c r="A23" s="25"/>
      <c r="B23" s="25"/>
      <c r="C23" s="25"/>
      <c r="D23" s="25"/>
      <c r="E23" s="25"/>
      <c r="F23" s="25"/>
      <c r="G23" s="25"/>
      <c r="H23" s="25"/>
      <c r="I23" s="1024" t="str">
        <f>IF(AND(J23="",AufZinsEzE=""),"Ehezeitende eingeben",IF(AND(J23="",AufZinsEzE&gt;0),"Ehezeitende aus Fallerfassung übernommen","Ehezeitende"))</f>
        <v>Ehezeitende aus Fallerfassung übernommen</v>
      </c>
      <c r="J23" s="1284"/>
      <c r="K23" s="1186">
        <f>IF(J23="",IF(Dat_EzE&gt;1,Dat_EzE,""),Verzinsung!J23)</f>
        <v>46203</v>
      </c>
      <c r="L23" s="1187"/>
      <c r="M23" s="25"/>
      <c r="N23" t="s">
        <v>1449</v>
      </c>
      <c r="O23" s="1051">
        <f>IFERROR(VLOOKUP(K23,IF(Vertins_BilMoG10,BilMoG10,BilmoGZins),16)/100,0.055)</f>
        <v>2.4E-2</v>
      </c>
      <c r="P23" s="3802" t="b">
        <v>0</v>
      </c>
      <c r="V23" s="58"/>
      <c r="X23" s="148"/>
      <c r="Y23" s="398"/>
    </row>
    <row r="24" spans="1:26">
      <c r="A24" s="25"/>
      <c r="B24" s="25"/>
      <c r="C24" s="25"/>
      <c r="D24" s="25"/>
      <c r="E24" s="25"/>
      <c r="F24" s="25"/>
      <c r="G24" s="25"/>
      <c r="H24" s="25"/>
      <c r="I24" s="1025" t="s">
        <v>542</v>
      </c>
      <c r="J24" s="345"/>
      <c r="K24" s="424"/>
      <c r="L24" s="425">
        <f>IFERROR(VLOOKUP(IF(J23&gt;0,J23,K23),IF(Vertins_BilMoG10,BilMoG10,BilmoGZins),16)/100,"")</f>
        <v>2.4E-2</v>
      </c>
      <c r="M24" s="25"/>
      <c r="N24" t="s">
        <v>1448</v>
      </c>
      <c r="O24" s="145">
        <f>IFERROR(IF(J14&gt;0,J14,VLOOKUP(K23,BilMoG10,16)/100),0.055)</f>
        <v>2.1700000000000001E-2</v>
      </c>
      <c r="P24" s="3802"/>
      <c r="V24" s="58"/>
      <c r="X24" s="148"/>
      <c r="Y24" s="398"/>
    </row>
    <row r="25" spans="1:26">
      <c r="A25" s="25"/>
      <c r="B25" s="25"/>
      <c r="C25" s="25"/>
      <c r="D25" s="25"/>
      <c r="E25" s="25"/>
      <c r="F25" s="25"/>
      <c r="G25" s="25"/>
      <c r="H25" s="25"/>
      <c r="I25" s="1230" t="str">
        <f>"BilMoG-"&amp;IF(Vertins_BilMoG10,"10","7")&amp;"-Zins zum Ehezeitende:"</f>
        <v>BilMoG-7-Zins zum Ehezeitende:</v>
      </c>
      <c r="J25" s="1229">
        <f>IF(J26&gt;0,J26,L24)</f>
        <v>2.4E-2</v>
      </c>
      <c r="K25" s="3772"/>
      <c r="L25" s="3773"/>
      <c r="M25" s="25"/>
      <c r="V25" s="58"/>
      <c r="X25" s="148"/>
      <c r="Y25" s="398"/>
    </row>
    <row r="26" spans="1:26">
      <c r="A26" s="25"/>
      <c r="B26" s="25"/>
      <c r="C26" s="25"/>
      <c r="D26" s="25"/>
      <c r="E26" s="25"/>
      <c r="F26" s="25"/>
      <c r="G26" s="25"/>
      <c r="H26" s="25"/>
      <c r="I26" s="726" t="s">
        <v>547</v>
      </c>
      <c r="J26" s="426"/>
      <c r="K26" s="3776"/>
      <c r="L26" s="3777"/>
      <c r="M26" s="25"/>
      <c r="V26" s="58"/>
      <c r="X26" s="148"/>
      <c r="Y26" s="398"/>
    </row>
    <row r="27" spans="1:26">
      <c r="A27" s="25"/>
      <c r="B27" s="25"/>
      <c r="C27" s="25"/>
      <c r="D27" s="25"/>
      <c r="E27" s="25"/>
      <c r="F27" s="25"/>
      <c r="G27" s="25"/>
      <c r="H27" s="25"/>
      <c r="I27" s="1026" t="s">
        <v>549</v>
      </c>
      <c r="J27" s="591" t="s">
        <v>543</v>
      </c>
      <c r="K27" s="591" t="s">
        <v>133</v>
      </c>
      <c r="L27" s="592" t="s">
        <v>194</v>
      </c>
      <c r="M27" s="25"/>
      <c r="N27" s="15">
        <v>3</v>
      </c>
      <c r="V27" s="58"/>
      <c r="X27" s="148"/>
      <c r="Y27" s="398"/>
    </row>
    <row r="28" spans="1:26">
      <c r="A28" s="25"/>
      <c r="B28" s="25"/>
      <c r="C28" s="25"/>
      <c r="D28" s="25"/>
      <c r="E28" s="25"/>
      <c r="F28" s="25"/>
      <c r="G28" s="25"/>
      <c r="H28" s="25"/>
      <c r="I28" s="726" t="s">
        <v>541</v>
      </c>
      <c r="J28" s="418">
        <f>J22</f>
        <v>0</v>
      </c>
      <c r="K28" s="3772" t="s">
        <v>564</v>
      </c>
      <c r="L28" s="3773"/>
      <c r="M28" s="25"/>
      <c r="V28" s="58"/>
      <c r="X28" s="148"/>
      <c r="Y28" s="398"/>
    </row>
    <row r="29" spans="1:26">
      <c r="A29" s="25"/>
      <c r="B29" s="25"/>
      <c r="C29" s="25"/>
      <c r="D29" s="25"/>
      <c r="E29" s="25"/>
      <c r="F29" s="25"/>
      <c r="G29" s="25"/>
      <c r="H29" s="25"/>
      <c r="I29" s="726" t="s">
        <v>544</v>
      </c>
      <c r="J29" s="1769">
        <f>IFERROR(ROUND(VLOOKUP($K$23,UmrechnungEP_Kap,2+P$22),10),"")</f>
        <v>9661.5840000000007</v>
      </c>
      <c r="K29" s="3774"/>
      <c r="L29" s="3775"/>
      <c r="M29" s="25"/>
      <c r="V29" s="58"/>
      <c r="X29" s="148"/>
      <c r="Y29" s="398"/>
    </row>
    <row r="30" spans="1:26">
      <c r="A30" s="25"/>
      <c r="B30" s="25"/>
      <c r="C30" s="25"/>
      <c r="D30" s="25"/>
      <c r="E30" s="25"/>
      <c r="F30" s="25"/>
      <c r="G30" s="25"/>
      <c r="H30" s="25"/>
      <c r="I30" s="726" t="str">
        <f>"Versorgungserwerb im EzE: "&amp;TEXT(J28,"#.##0")&amp;" x  "&amp;TEXT(J29,"0,0000")&amp;" = "</f>
        <v xml:space="preserve">Versorgungserwerb im EzE: 0 x  9661,5840 = </v>
      </c>
      <c r="J30" s="419">
        <f>IFERROR(ROUND(+J28/J29,4),"")</f>
        <v>0</v>
      </c>
      <c r="K30" s="3774"/>
      <c r="L30" s="3775"/>
      <c r="M30" s="25"/>
      <c r="V30" s="58"/>
      <c r="X30" s="148"/>
      <c r="Y30" s="398"/>
    </row>
    <row r="31" spans="1:26">
      <c r="A31" s="25"/>
      <c r="B31" s="25"/>
      <c r="C31" s="25"/>
      <c r="D31" s="25"/>
      <c r="E31" s="25"/>
      <c r="F31" s="25"/>
      <c r="G31" s="25"/>
      <c r="H31" s="25"/>
      <c r="I31" s="726" t="s">
        <v>545</v>
      </c>
      <c r="J31" s="420">
        <f>IFERROR(VLOOKUP(AufZinsEzE,aktRW,2+P22),"")</f>
        <v>40.79</v>
      </c>
      <c r="K31" s="3774"/>
      <c r="L31" s="3775"/>
      <c r="M31" s="25"/>
      <c r="V31" s="58"/>
      <c r="X31" s="148"/>
      <c r="Y31" s="398"/>
    </row>
    <row r="32" spans="1:26" ht="15">
      <c r="A32" s="25"/>
      <c r="B32" s="25"/>
      <c r="C32" s="25"/>
      <c r="D32" s="25"/>
      <c r="E32" s="25"/>
      <c r="F32" s="25"/>
      <c r="G32" s="25"/>
      <c r="H32" s="25"/>
      <c r="I32" s="801" t="str">
        <f>IFERROR("Rentenerwerb im EzE: "&amp;TEXT(J30,"0,0000")&amp;" EP x "&amp;TEXT(J31,"0,00 €")&amp;" = ","")</f>
        <v xml:space="preserve">Rentenerwerb im EzE: 0,0000 EP x 40,79 € = </v>
      </c>
      <c r="J32" s="1433">
        <f>IFERROR(+J31*J30,"")</f>
        <v>0</v>
      </c>
      <c r="K32" s="3776"/>
      <c r="L32" s="3777"/>
      <c r="M32" s="25"/>
      <c r="V32" s="58"/>
      <c r="X32" s="148"/>
      <c r="Y32" s="398"/>
    </row>
    <row r="33" spans="1:25">
      <c r="A33" s="25"/>
      <c r="B33" s="25"/>
      <c r="C33" s="25"/>
      <c r="D33" s="25"/>
      <c r="E33" s="25"/>
      <c r="F33" s="25"/>
      <c r="G33" s="25"/>
      <c r="H33" s="25"/>
      <c r="I33" s="3789" t="str">
        <f>"AusglWert zum "&amp;TEXT(J24,"TT.MM.JJJJ")&amp;": "&amp;TEXT(VerzinsungAusgleichswert,"#.##0")&amp;" x (1 + "&amp;TEXT(YEARFRAC(J23,J24,3),"0,00")&amp;" x "&amp;TEXT(J25,"0,00%")&amp;") bzw:"&amp;TEXT(VerzinsungAusgleichswert,"#.##0")&amp;" x (1 + "&amp;TEXT(J25,"0,00%")&amp;")^"&amp;TEXT(YEARFRAC(J23,J24,3),"0,00")</f>
        <v>AusglWert zum 00.01.1900: 0 x (1 + 0,00 x 2,40%) bzw:0 x (1 + 2,40%)^0,00</v>
      </c>
      <c r="J33" s="3790"/>
      <c r="K33" s="1436">
        <f>IFERROR(J28+J25*J28*YEARFRAC(AufZinsEzE,J24,4),"")</f>
        <v>0</v>
      </c>
      <c r="L33" s="1057">
        <f>IFERROR(-FV(J25,YEARFRAC(AufZinsEzE,J24,4),,J28),"")</f>
        <v>0</v>
      </c>
      <c r="M33" s="25"/>
      <c r="V33" s="58"/>
      <c r="X33" s="148"/>
      <c r="Y33" s="398"/>
    </row>
    <row r="34" spans="1:25">
      <c r="A34" s="25"/>
      <c r="B34" s="25"/>
      <c r="C34" s="25"/>
      <c r="D34" s="25"/>
      <c r="E34" s="25"/>
      <c r="F34" s="25"/>
      <c r="G34" s="25"/>
      <c r="H34" s="25"/>
      <c r="I34" s="3784" t="str">
        <f>"Umrechnungsfaktor (Beitrag in EP) zum "&amp;TEXT(J24,"TT.MM.JJJJ")</f>
        <v>Umrechnungsfaktor (Beitrag in EP) zum 00.01.1900</v>
      </c>
      <c r="J34" s="3636"/>
      <c r="K34" s="1434" t="str">
        <f>IFERROR(ROUND(VLOOKUP(J24,UmrechnungEP_Kap,2+P22),4),"")</f>
        <v/>
      </c>
      <c r="L34" s="1435" t="str">
        <f>IFERROR(VLOOKUP(J24,UmrechnungEP_Kap,2+P22,TRUE),"")</f>
        <v/>
      </c>
      <c r="M34" s="25"/>
      <c r="V34" s="58"/>
      <c r="X34" s="148"/>
      <c r="Y34" s="398"/>
    </row>
    <row r="35" spans="1:25">
      <c r="A35" s="25"/>
      <c r="B35" s="25"/>
      <c r="C35" s="25"/>
      <c r="D35" s="25"/>
      <c r="E35" s="25"/>
      <c r="F35" s="25"/>
      <c r="G35" s="25"/>
      <c r="H35" s="25"/>
      <c r="I35" s="3784" t="str">
        <f>"Versorgungserwerb in EP (Ausgleichswert / Umrechnungsfaktor) "</f>
        <v xml:space="preserve">Versorgungserwerb in EP (Ausgleichswert / Umrechnungsfaktor) </v>
      </c>
      <c r="J35" s="3636"/>
      <c r="K35" s="419" t="str">
        <f>IFERROR(ROUND(+K33/K34,4),"")</f>
        <v/>
      </c>
      <c r="L35" s="421" t="str">
        <f>IFERROR(ROUND(+L33/L34,4),"")</f>
        <v/>
      </c>
      <c r="M35" s="25"/>
      <c r="V35" s="58"/>
      <c r="X35" s="148"/>
      <c r="Y35" s="398"/>
    </row>
    <row r="36" spans="1:25">
      <c r="A36" s="25"/>
      <c r="B36" s="25"/>
      <c r="C36" s="25"/>
      <c r="D36" s="25"/>
      <c r="E36" s="25"/>
      <c r="F36" s="25"/>
      <c r="G36" s="25"/>
      <c r="H36" s="25"/>
      <c r="I36" s="726" t="str">
        <f>"aktueller Rentenwert am "&amp;TEXT(J24,"TT.MM.JJJJ")</f>
        <v>aktueller Rentenwert am 00.01.1900</v>
      </c>
      <c r="J36" s="3785" t="str">
        <f>IFERROR(VLOOKUP(J24,aktRW,2+$P$22),"")</f>
        <v/>
      </c>
      <c r="K36" s="3786"/>
      <c r="L36" s="3787"/>
      <c r="M36" s="25"/>
      <c r="V36" s="58"/>
      <c r="X36" s="148"/>
      <c r="Y36" s="398"/>
    </row>
    <row r="37" spans="1:25" ht="15" thickBot="1">
      <c r="A37" s="25"/>
      <c r="B37" s="25"/>
      <c r="C37" s="25"/>
      <c r="D37" s="25"/>
      <c r="E37" s="25"/>
      <c r="F37" s="25"/>
      <c r="G37" s="25"/>
      <c r="H37" s="25"/>
      <c r="I37" s="926" t="str">
        <f>"Rentenerwerb zum "&amp;TEXT(J24,"TT.MM.JJJJ")&amp;" in DRV: EP x aktRW"</f>
        <v>Rentenerwerb zum 00.01.1900 in DRV: EP x aktRW</v>
      </c>
      <c r="J37" s="422" t="str">
        <f>IFERROR(J32*J36/J31,"")</f>
        <v/>
      </c>
      <c r="K37" s="422" t="str">
        <f>IFERROR(J36*K35,"")</f>
        <v/>
      </c>
      <c r="L37" s="423" t="str">
        <f>IFERROR(+J36*L35,"")</f>
        <v/>
      </c>
      <c r="M37" s="25"/>
      <c r="V37" s="58"/>
      <c r="X37" s="148"/>
      <c r="Y37" s="398"/>
    </row>
    <row r="38" spans="1:25" ht="14.85" customHeight="1">
      <c r="A38" s="25"/>
      <c r="B38" s="25"/>
      <c r="C38" s="25"/>
      <c r="D38" s="25"/>
      <c r="E38" s="25"/>
      <c r="F38" s="25"/>
      <c r="G38" s="25"/>
      <c r="H38" s="25"/>
      <c r="I38" s="593" t="s">
        <v>686</v>
      </c>
      <c r="J38" s="590"/>
      <c r="K38" s="590"/>
      <c r="L38" s="594"/>
      <c r="M38" s="25"/>
      <c r="V38" s="58"/>
      <c r="X38" s="148"/>
      <c r="Y38" s="398"/>
    </row>
    <row r="39" spans="1:25" ht="23.85" customHeight="1">
      <c r="H39" s="25"/>
      <c r="I39" s="3778" t="str">
        <f>IF(SUM(J22:J24)=0,"","Im Wege der externen Teilung wird zu Lasten des Anrechts der &lt;ausglpfl.Person&gt; bei der &lt;Quellversorgung&gt; zu Gunsten der &lt;ausglber. Person&gt; bei der &lt;Zielversorgung&gt; eine Versorgung aus einem Ausgleichswert in Höhe von "&amp;TEXT(VerzinsungAusgleichswert,"#.##0,00 €")&amp;" bezogen auf das Ehezeitende ("&amp;TEXT(AufZinsEzE,"TT.MM.JJ")&amp;") begründet."&amp;CHOOSE(N27,"","  Der &lt;Versorgungsträger der ausglpfl. Person&gt; hat den Ausgleichsbetrag in Höhe von "&amp;TEXT(VerzinsungAusgleichswert,"#.##0,00 €")&amp;" zzgl. "&amp;TEXT(J25,"#,00%")&amp;" Zinsen für die Zeit vom Ehezeitende  bis zur Rechtskraft der Entscheidung an &lt;die Zielversorgung&gt; zu zahlen."," Der &lt;Versorgungsträger der ausglpfl. Person&gt; hat den Ausgleichsbetrag in Höhe von "&amp;TEXT(VerzinsungAusgleichswert,"#.##0,00 €")&amp; " zzgl. Zins und Zinseszinsen aus einem Rechnungszins in Höhe von "&amp;TEXT(J26,"0,00%")&amp;" zwischen Ehezeitende und Rechtskraft an den Zielversorgungsträger zu zahlen."))</f>
        <v/>
      </c>
      <c r="J39" s="3779"/>
      <c r="K39" s="3779"/>
      <c r="L39" s="3775"/>
      <c r="M39" s="25"/>
      <c r="V39" s="58"/>
      <c r="Y39" s="398"/>
    </row>
    <row r="40" spans="1:25" ht="23.85" customHeight="1" thickBot="1">
      <c r="H40" s="25"/>
      <c r="I40" s="3780"/>
      <c r="J40" s="3781"/>
      <c r="K40" s="3781"/>
      <c r="L40" s="3782"/>
      <c r="M40" s="25"/>
    </row>
    <row r="41" spans="1:25">
      <c r="H41" s="25"/>
      <c r="I41" s="3783" t="s">
        <v>687</v>
      </c>
      <c r="J41" s="3783"/>
      <c r="K41" s="3783"/>
      <c r="L41" s="3783"/>
      <c r="M41" s="25"/>
    </row>
  </sheetData>
  <sheetProtection algorithmName="SHA-512" hashValue="4pOcmAOB38SbgU5dPg3td3RAv52lf8x5//Vtj2RMIsVgqLDrYDvuMFDCo4V7JDkewrubUy/URCGaDv2VItv6wQ==" saltValue="ezMTn+Szzv16vvwKqLsjEw==" spinCount="100000" sheet="1" objects="1" scenarios="1" formatColumns="0" autoFilter="0"/>
  <mergeCells count="16">
    <mergeCell ref="V11:V13"/>
    <mergeCell ref="U2:U7"/>
    <mergeCell ref="K25:L26"/>
    <mergeCell ref="I33:J33"/>
    <mergeCell ref="K21:L21"/>
    <mergeCell ref="I19:J21"/>
    <mergeCell ref="K20:L20"/>
    <mergeCell ref="K22:L22"/>
    <mergeCell ref="P23:P24"/>
    <mergeCell ref="A2:H6"/>
    <mergeCell ref="K28:L32"/>
    <mergeCell ref="I39:L40"/>
    <mergeCell ref="I41:L41"/>
    <mergeCell ref="I34:J34"/>
    <mergeCell ref="I35:J35"/>
    <mergeCell ref="J36:L36"/>
  </mergeCells>
  <conditionalFormatting sqref="J26">
    <cfRule type="expression" dxfId="44" priority="1">
      <formula>AND($J$26="",$L$24="")</formula>
    </cfRule>
  </conditionalFormatting>
  <conditionalFormatting sqref="J37">
    <cfRule type="colorScale" priority="9">
      <colorScale>
        <cfvo type="min"/>
        <cfvo type="percentile" val="50"/>
        <cfvo type="max"/>
        <color rgb="FFF8696B"/>
        <color rgb="FFFFEB84"/>
        <color rgb="FF63BE7B"/>
      </colorScale>
    </cfRule>
  </conditionalFormatting>
  <conditionalFormatting sqref="J37:L37">
    <cfRule type="colorScale" priority="6">
      <colorScale>
        <cfvo type="min"/>
        <cfvo type="percentile" val="50"/>
        <cfvo type="max"/>
        <color rgb="FFF8696B"/>
        <color rgb="FFFCFCFF"/>
        <color rgb="FF63BE7B"/>
      </colorScale>
    </cfRule>
  </conditionalFormatting>
  <conditionalFormatting sqref="K37">
    <cfRule type="colorScale" priority="8">
      <colorScale>
        <cfvo type="min"/>
        <cfvo type="percentile" val="50"/>
        <cfvo type="max"/>
        <color rgb="FFF8696B"/>
        <color rgb="FFFFEB84"/>
        <color rgb="FF63BE7B"/>
      </colorScale>
    </cfRule>
  </conditionalFormatting>
  <conditionalFormatting sqref="L37">
    <cfRule type="colorScale" priority="7">
      <colorScale>
        <cfvo type="min"/>
        <cfvo type="percentile" val="50"/>
        <cfvo type="max"/>
        <color rgb="FFF8696B"/>
        <color rgb="FFFFEB84"/>
        <color rgb="FF63BE7B"/>
      </colorScale>
    </cfRule>
  </conditionalFormatting>
  <hyperlinks>
    <hyperlink ref="K20:L20" r:id="rId1" display="§ 76 SGB VI" xr:uid="{AB7F874D-81BA-4D4C-8D36-E1C19D220822}"/>
    <hyperlink ref="K21:L21" r:id="rId2" display="BGH XII ZB 546/10" xr:uid="{7723210F-573C-496F-ABF4-42329F6612A1}"/>
  </hyperlinks>
  <pageMargins left="0.70866141732283472" right="0.70866141732283472" top="0.78740157480314965" bottom="0.78740157480314965" header="0.31496062992125984" footer="0.31496062992125984"/>
  <pageSetup paperSize="9" scale="94"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864705" r:id="rId6" name="Check Box 1">
              <controlPr defaultSize="0" autoFill="0" autoLine="0" autoPict="0">
                <anchor moveWithCells="1">
                  <from>
                    <xdr:col>8</xdr:col>
                    <xdr:colOff>28575</xdr:colOff>
                    <xdr:row>25</xdr:row>
                    <xdr:rowOff>152400</xdr:rowOff>
                  </from>
                  <to>
                    <xdr:col>8</xdr:col>
                    <xdr:colOff>28575</xdr:colOff>
                    <xdr:row>27</xdr:row>
                    <xdr:rowOff>38100</xdr:rowOff>
                  </to>
                </anchor>
              </controlPr>
            </control>
          </mc:Choice>
        </mc:AlternateContent>
        <mc:AlternateContent xmlns:mc="http://schemas.openxmlformats.org/markup-compatibility/2006">
          <mc:Choice Requires="x14">
            <control shapeId="1864710" r:id="rId7" name="Check Box 6">
              <controlPr defaultSize="0" autoFill="0" autoLine="0" autoPict="0">
                <anchor moveWithCells="1">
                  <from>
                    <xdr:col>10</xdr:col>
                    <xdr:colOff>38100</xdr:colOff>
                    <xdr:row>21</xdr:row>
                    <xdr:rowOff>0</xdr:rowOff>
                  </from>
                  <to>
                    <xdr:col>11</xdr:col>
                    <xdr:colOff>1095375</xdr:colOff>
                    <xdr:row>21</xdr:row>
                    <xdr:rowOff>180975</xdr:rowOff>
                  </to>
                </anchor>
              </controlPr>
            </control>
          </mc:Choice>
        </mc:AlternateContent>
        <mc:AlternateContent xmlns:mc="http://schemas.openxmlformats.org/markup-compatibility/2006">
          <mc:Choice Requires="x14">
            <control shapeId="1864711" r:id="rId8" name="Option Button 7">
              <controlPr defaultSize="0" autoFill="0" autoLine="0" autoPict="0">
                <anchor moveWithCells="1">
                  <from>
                    <xdr:col>9</xdr:col>
                    <xdr:colOff>66675</xdr:colOff>
                    <xdr:row>25</xdr:row>
                    <xdr:rowOff>152400</xdr:rowOff>
                  </from>
                  <to>
                    <xdr:col>9</xdr:col>
                    <xdr:colOff>333375</xdr:colOff>
                    <xdr:row>27</xdr:row>
                    <xdr:rowOff>28575</xdr:rowOff>
                  </to>
                </anchor>
              </controlPr>
            </control>
          </mc:Choice>
        </mc:AlternateContent>
        <mc:AlternateContent xmlns:mc="http://schemas.openxmlformats.org/markup-compatibility/2006">
          <mc:Choice Requires="x14">
            <control shapeId="1864713" r:id="rId9" name="Option Button 9">
              <controlPr defaultSize="0" autoFill="0" autoLine="0" autoPict="0">
                <anchor moveWithCells="1">
                  <from>
                    <xdr:col>10</xdr:col>
                    <xdr:colOff>28575</xdr:colOff>
                    <xdr:row>25</xdr:row>
                    <xdr:rowOff>152400</xdr:rowOff>
                  </from>
                  <to>
                    <xdr:col>10</xdr:col>
                    <xdr:colOff>266700</xdr:colOff>
                    <xdr:row>27</xdr:row>
                    <xdr:rowOff>28575</xdr:rowOff>
                  </to>
                </anchor>
              </controlPr>
            </control>
          </mc:Choice>
        </mc:AlternateContent>
        <mc:AlternateContent xmlns:mc="http://schemas.openxmlformats.org/markup-compatibility/2006">
          <mc:Choice Requires="x14">
            <control shapeId="1864714" r:id="rId10" name="Option Button 10">
              <controlPr defaultSize="0" autoFill="0" autoLine="0" autoPict="0">
                <anchor moveWithCells="1">
                  <from>
                    <xdr:col>11</xdr:col>
                    <xdr:colOff>28575</xdr:colOff>
                    <xdr:row>25</xdr:row>
                    <xdr:rowOff>152400</xdr:rowOff>
                  </from>
                  <to>
                    <xdr:col>11</xdr:col>
                    <xdr:colOff>257175</xdr:colOff>
                    <xdr:row>27</xdr:row>
                    <xdr:rowOff>28575</xdr:rowOff>
                  </to>
                </anchor>
              </controlPr>
            </control>
          </mc:Choice>
        </mc:AlternateContent>
        <mc:AlternateContent xmlns:mc="http://schemas.openxmlformats.org/markup-compatibility/2006">
          <mc:Choice Requires="x14">
            <control shapeId="1864715" r:id="rId11" name="Check Box 11">
              <controlPr defaultSize="0" autoFill="0" autoLine="0" autoPict="0">
                <anchor moveWithCells="1">
                  <from>
                    <xdr:col>10</xdr:col>
                    <xdr:colOff>28575</xdr:colOff>
                    <xdr:row>23</xdr:row>
                    <xdr:rowOff>28575</xdr:rowOff>
                  </from>
                  <to>
                    <xdr:col>10</xdr:col>
                    <xdr:colOff>752475</xdr:colOff>
                    <xdr:row>23</xdr:row>
                    <xdr:rowOff>180975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6BE8543B-23C1-4B44-A23D-72282BF299E0}">
            <xm:f>AND(#REF!=0,Fallerfassung!$V$3&gt;0)</xm:f>
            <x14:dxf>
              <font>
                <color theme="1"/>
              </font>
              <fill>
                <patternFill>
                  <bgColor theme="4" tint="0.59996337778862885"/>
                </patternFill>
              </fill>
            </x14:dxf>
          </x14:cfRule>
          <xm:sqref>J23</xm:sqref>
        </x14:conditionalFormatting>
        <x14:conditionalFormatting xmlns:xm="http://schemas.microsoft.com/office/excel/2006/main">
          <x14:cfRule type="expression" priority="829" id="{F0BBF9B6-4264-4452-9C7F-141B34EA67F1}">
            <xm:f>AND($J$23="",Fallerfassung!$V$3&gt;0)</xm:f>
            <x14:dxf>
              <fill>
                <patternFill>
                  <bgColor theme="4" tint="0.59996337778862885"/>
                </patternFill>
              </fill>
            </x14:dxf>
          </x14:cfRule>
          <xm:sqref>K23</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10B99-F0E6-40D0-BF28-8214B22DFFA4}">
  <sheetPr codeName="Tabelle34">
    <pageSetUpPr fitToPage="1"/>
  </sheetPr>
  <dimension ref="A1:AH142"/>
  <sheetViews>
    <sheetView showGridLines="0" showRowColHeaders="0" zoomScale="115" zoomScaleNormal="115" workbookViewId="0">
      <pane ySplit="2595" topLeftCell="A43" activePane="bottomLeft"/>
      <selection activeCell="M3" sqref="M3:N3"/>
      <selection pane="bottomLeft" activeCell="H61" sqref="H61"/>
    </sheetView>
  </sheetViews>
  <sheetFormatPr baseColWidth="10" defaultColWidth="0" defaultRowHeight="15"/>
  <cols>
    <col min="1" max="1" width="3.625" style="264" customWidth="1"/>
    <col min="2" max="2" width="7" style="263" customWidth="1"/>
    <col min="3" max="6" width="8.625" style="264" customWidth="1"/>
    <col min="7" max="7" width="7.625" style="264" customWidth="1"/>
    <col min="8" max="9" width="8.5" style="264" customWidth="1"/>
    <col min="10" max="10" width="7.625" style="263" customWidth="1"/>
    <col min="11" max="12" width="9" style="264" customWidth="1"/>
    <col min="13" max="14" width="9.125" style="264" customWidth="1"/>
    <col min="15" max="15" width="10.625" style="264" customWidth="1"/>
    <col min="16" max="16" width="7.625" style="264" customWidth="1"/>
    <col min="17" max="17" width="8.125" style="264" customWidth="1"/>
    <col min="18" max="18" width="11.125" style="265" bestFit="1" customWidth="1"/>
    <col min="19" max="19" width="10.125" style="265" customWidth="1"/>
    <col min="20" max="20" width="10.625" style="265" customWidth="1"/>
    <col min="21" max="22" width="12.5" style="266" customWidth="1"/>
    <col min="23" max="26" width="7.625" style="264" customWidth="1"/>
    <col min="27" max="27" width="9" style="1454" customWidth="1"/>
    <col min="28" max="29" width="9" style="264" hidden="1" customWidth="1"/>
    <col min="30" max="30" width="11.125" style="264" hidden="1" customWidth="1"/>
    <col min="31" max="31" width="6.625" style="264" hidden="1" customWidth="1"/>
    <col min="32" max="32" width="9.125" style="264" hidden="1" customWidth="1"/>
    <col min="33" max="16384" width="11" style="264" hidden="1"/>
  </cols>
  <sheetData>
    <row r="1" spans="1:31">
      <c r="B1" s="5" t="s">
        <v>685</v>
      </c>
      <c r="J1" s="264"/>
      <c r="R1" s="264"/>
      <c r="S1" s="3804" t="s">
        <v>338</v>
      </c>
      <c r="T1" s="3804"/>
      <c r="U1" s="3804"/>
      <c r="V1" s="3804"/>
      <c r="W1" s="3804"/>
      <c r="X1" s="3804"/>
      <c r="Y1" s="265"/>
      <c r="Z1" s="265"/>
    </row>
    <row r="2" spans="1:31" ht="27.6" customHeight="1" thickBot="1">
      <c r="B2" s="3803" t="s">
        <v>337</v>
      </c>
      <c r="C2" s="3803"/>
      <c r="D2" s="3803"/>
      <c r="E2" s="3803"/>
      <c r="F2" s="3803"/>
      <c r="G2" s="3803"/>
      <c r="H2" s="3803"/>
      <c r="I2" s="3803"/>
      <c r="J2" s="3803"/>
      <c r="K2" s="3803"/>
      <c r="L2" s="3803"/>
      <c r="M2" s="3803"/>
      <c r="N2" s="3803"/>
      <c r="O2" s="3803"/>
      <c r="P2" s="3803"/>
      <c r="Q2" s="3803"/>
      <c r="R2" s="3803"/>
      <c r="S2" s="3803"/>
      <c r="T2" s="3803"/>
      <c r="U2" s="3803"/>
      <c r="V2" s="3803"/>
      <c r="W2" s="3803"/>
      <c r="X2" s="3803"/>
      <c r="Y2" s="1449"/>
      <c r="Z2" s="1449"/>
    </row>
    <row r="3" spans="1:31" ht="28.35" customHeight="1">
      <c r="B3" s="3805" t="s">
        <v>254</v>
      </c>
      <c r="C3" s="3806"/>
      <c r="D3" s="3806"/>
      <c r="E3" s="3806" t="s">
        <v>330</v>
      </c>
      <c r="F3" s="3807"/>
      <c r="G3" s="3808" t="s">
        <v>55</v>
      </c>
      <c r="H3" s="3809"/>
      <c r="I3" s="3809"/>
      <c r="J3" s="3810" t="s">
        <v>1621</v>
      </c>
      <c r="K3" s="3810"/>
      <c r="L3" s="3810"/>
      <c r="M3" s="3811" t="s">
        <v>1622</v>
      </c>
      <c r="N3" s="3811"/>
      <c r="O3" s="3805" t="s">
        <v>331</v>
      </c>
      <c r="P3" s="3806"/>
      <c r="Q3" s="3814" t="s">
        <v>177</v>
      </c>
      <c r="R3" s="3815"/>
      <c r="S3" s="3815"/>
      <c r="T3" s="300"/>
      <c r="U3" s="3816" t="s">
        <v>332</v>
      </c>
      <c r="V3" s="3816"/>
      <c r="W3" s="3816" t="s">
        <v>333</v>
      </c>
      <c r="X3" s="3817"/>
      <c r="Y3" s="3818" t="s">
        <v>1620</v>
      </c>
      <c r="Z3" s="3817"/>
      <c r="AB3" s="2762" t="s">
        <v>198</v>
      </c>
      <c r="AC3" s="2762"/>
      <c r="AD3" s="2762" t="s">
        <v>208</v>
      </c>
      <c r="AE3" s="2762"/>
    </row>
    <row r="4" spans="1:31" s="268" customFormat="1" ht="28.35" customHeight="1" thickBot="1">
      <c r="B4" s="267" t="s">
        <v>59</v>
      </c>
      <c r="C4" s="268" t="s">
        <v>334</v>
      </c>
      <c r="D4" s="268" t="s">
        <v>335</v>
      </c>
      <c r="E4" s="269">
        <v>0.01</v>
      </c>
      <c r="F4" s="270">
        <v>1.2</v>
      </c>
      <c r="G4" s="267" t="s">
        <v>199</v>
      </c>
      <c r="H4" s="268" t="s">
        <v>334</v>
      </c>
      <c r="I4" s="268" t="s">
        <v>335</v>
      </c>
      <c r="J4" s="271" t="s">
        <v>59</v>
      </c>
      <c r="K4" s="272" t="s">
        <v>334</v>
      </c>
      <c r="L4" s="272" t="s">
        <v>339</v>
      </c>
      <c r="M4" s="272" t="s">
        <v>334</v>
      </c>
      <c r="N4" s="272" t="s">
        <v>335</v>
      </c>
      <c r="O4" s="271" t="s">
        <v>59</v>
      </c>
      <c r="P4" s="272" t="s">
        <v>336</v>
      </c>
      <c r="Q4" s="273" t="s">
        <v>59</v>
      </c>
      <c r="R4" s="274" t="s">
        <v>58</v>
      </c>
      <c r="S4" s="274" t="s">
        <v>57</v>
      </c>
      <c r="T4" s="274"/>
      <c r="U4" s="274" t="s">
        <v>58</v>
      </c>
      <c r="V4" s="274" t="s">
        <v>57</v>
      </c>
      <c r="W4" s="274" t="s">
        <v>58</v>
      </c>
      <c r="X4" s="275" t="s">
        <v>57</v>
      </c>
      <c r="Y4" s="1452" t="s">
        <v>58</v>
      </c>
      <c r="Z4" s="1453" t="s">
        <v>57</v>
      </c>
      <c r="AA4" s="1455"/>
      <c r="AB4" s="3">
        <v>17</v>
      </c>
      <c r="AC4" s="3">
        <v>3.1</v>
      </c>
      <c r="AD4" s="3812" t="s">
        <v>209</v>
      </c>
      <c r="AE4" s="3813"/>
    </row>
    <row r="5" spans="1:31" s="587" customFormat="1">
      <c r="A5" s="264"/>
      <c r="B5" s="276">
        <v>1970</v>
      </c>
      <c r="C5" s="277"/>
      <c r="D5" s="277"/>
      <c r="E5" s="277"/>
      <c r="F5" s="277"/>
      <c r="G5" s="278">
        <v>28126</v>
      </c>
      <c r="H5" s="279">
        <v>12.884555406144706</v>
      </c>
      <c r="I5" s="280">
        <v>0</v>
      </c>
      <c r="J5" s="263">
        <v>1970</v>
      </c>
      <c r="K5" s="281">
        <v>6822.1675708011435</v>
      </c>
      <c r="L5" s="281"/>
      <c r="M5" s="281">
        <v>11043.90463383832</v>
      </c>
      <c r="N5" s="281"/>
      <c r="O5" s="278">
        <v>25569</v>
      </c>
      <c r="P5" s="282">
        <v>0.17</v>
      </c>
      <c r="Q5" s="278">
        <v>28126</v>
      </c>
      <c r="R5" s="304">
        <v>2295.7516757591407</v>
      </c>
      <c r="S5" s="304"/>
      <c r="T5" s="278">
        <v>28126</v>
      </c>
      <c r="U5" s="283">
        <v>2.2271220000000001E-4</v>
      </c>
      <c r="V5" s="283"/>
      <c r="W5" s="284">
        <f>1000/$R5*VLOOKUP(Q5,G$5:$I63,2)</f>
        <v>5.6123471637602727</v>
      </c>
      <c r="X5" s="285" t="str">
        <f>IFERROR(1000/$S5*VLOOKUP($Q5,G$5:$I63,3),"")</f>
        <v/>
      </c>
      <c r="Y5" s="1450">
        <f>1000/W5</f>
        <v>178.17857142857142</v>
      </c>
      <c r="Z5" s="299"/>
      <c r="AA5" s="1454"/>
      <c r="AB5" s="409">
        <v>18</v>
      </c>
      <c r="AC5" s="409">
        <v>3</v>
      </c>
      <c r="AD5" s="409"/>
      <c r="AE5" s="588"/>
    </row>
    <row r="6" spans="1:31" s="587" customFormat="1">
      <c r="A6" s="264"/>
      <c r="B6" s="286">
        <v>1971</v>
      </c>
      <c r="C6" s="287"/>
      <c r="D6" s="287"/>
      <c r="E6" s="287"/>
      <c r="F6" s="287"/>
      <c r="G6" s="288">
        <v>28491</v>
      </c>
      <c r="H6" s="289">
        <v>13.809993711109863</v>
      </c>
      <c r="I6" s="290">
        <v>0</v>
      </c>
      <c r="J6" s="291">
        <v>1971</v>
      </c>
      <c r="K6" s="287">
        <v>7634.0990781407381</v>
      </c>
      <c r="L6" s="287"/>
      <c r="M6" s="287">
        <v>11657.454891273781</v>
      </c>
      <c r="N6" s="287"/>
      <c r="O6" s="288">
        <v>25934</v>
      </c>
      <c r="P6" s="292">
        <v>0.17</v>
      </c>
      <c r="Q6" s="288">
        <v>28491</v>
      </c>
      <c r="R6" s="305">
        <v>2415.1178783432101</v>
      </c>
      <c r="S6" s="305"/>
      <c r="T6" s="288">
        <v>28491</v>
      </c>
      <c r="U6" s="301">
        <v>2.117047E-4</v>
      </c>
      <c r="V6" s="301"/>
      <c r="W6" s="302">
        <f>1000/$R6*VLOOKUP(Q6,G$5:$I64,2)</f>
        <v>5.7181447890997461</v>
      </c>
      <c r="X6" s="293" t="str">
        <f>IFERROR(1000/$S6*VLOOKUP($Q6,G$5:$I64,3),"")</f>
        <v/>
      </c>
      <c r="Y6" s="1451">
        <f>1000/W6</f>
        <v>174.88189559422437</v>
      </c>
      <c r="Z6" s="293"/>
      <c r="AA6" s="1454"/>
      <c r="AB6" s="409">
        <v>19</v>
      </c>
      <c r="AC6" s="409">
        <v>2.9</v>
      </c>
      <c r="AD6" s="409"/>
      <c r="AE6" s="588"/>
    </row>
    <row r="7" spans="1:31" s="587" customFormat="1">
      <c r="A7" s="264"/>
      <c r="B7" s="294">
        <v>1972</v>
      </c>
      <c r="C7" s="281"/>
      <c r="D7" s="281"/>
      <c r="E7" s="281"/>
      <c r="F7" s="281"/>
      <c r="G7" s="295">
        <v>28672</v>
      </c>
      <c r="H7" s="296">
        <v>13.467428150708395</v>
      </c>
      <c r="I7" s="297">
        <v>0</v>
      </c>
      <c r="J7" s="263">
        <v>1972</v>
      </c>
      <c r="K7" s="281">
        <v>8351.9528793402296</v>
      </c>
      <c r="L7" s="281"/>
      <c r="M7" s="281">
        <v>12884.555406144706</v>
      </c>
      <c r="N7" s="281"/>
      <c r="O7" s="295">
        <v>26299</v>
      </c>
      <c r="P7" s="298">
        <v>0.17</v>
      </c>
      <c r="Q7" s="295">
        <v>28856</v>
      </c>
      <c r="R7" s="306">
        <v>2547.9208315651158</v>
      </c>
      <c r="S7" s="306"/>
      <c r="T7" s="295">
        <v>28856</v>
      </c>
      <c r="U7" s="266">
        <v>2.006702E-4</v>
      </c>
      <c r="V7" s="266"/>
      <c r="W7" s="303">
        <f>1000/$R7*VLOOKUP(Q7,G$5:$I65,2)</f>
        <v>5.2856540846427063</v>
      </c>
      <c r="X7" s="299" t="str">
        <f>IFERROR(1000/$S7*VLOOKUP($Q7,G$5:$I65,3),"")</f>
        <v/>
      </c>
      <c r="Y7" s="1450">
        <f>1000/W7</f>
        <v>189.19134396355355</v>
      </c>
      <c r="Z7" s="299"/>
      <c r="AA7" s="1454"/>
      <c r="AB7" s="409">
        <v>20</v>
      </c>
      <c r="AC7" s="409">
        <v>2.8</v>
      </c>
      <c r="AD7" s="409"/>
      <c r="AE7" s="588"/>
    </row>
    <row r="8" spans="1:31" s="587" customFormat="1">
      <c r="A8" s="264"/>
      <c r="B8" s="286">
        <v>1973</v>
      </c>
      <c r="C8" s="287"/>
      <c r="D8" s="287"/>
      <c r="E8" s="287"/>
      <c r="F8" s="287"/>
      <c r="G8" s="288">
        <v>29037</v>
      </c>
      <c r="H8" s="289">
        <v>13.467428150708395</v>
      </c>
      <c r="I8" s="290">
        <v>0</v>
      </c>
      <c r="J8" s="291">
        <v>1973</v>
      </c>
      <c r="K8" s="287">
        <v>9354.0849664848174</v>
      </c>
      <c r="L8" s="287"/>
      <c r="M8" s="287">
        <v>14111.65592101563</v>
      </c>
      <c r="N8" s="287"/>
      <c r="O8" s="288">
        <v>26665</v>
      </c>
      <c r="P8" s="292">
        <v>0.18</v>
      </c>
      <c r="Q8" s="288">
        <v>29221</v>
      </c>
      <c r="R8" s="305">
        <v>2713.5794010726904</v>
      </c>
      <c r="S8" s="305"/>
      <c r="T8" s="288">
        <v>29221</v>
      </c>
      <c r="U8" s="301">
        <v>1.8841969999999999E-4</v>
      </c>
      <c r="V8" s="301"/>
      <c r="W8" s="302">
        <f>1000/$R8*VLOOKUP(Q8,G$5:$I66,2)</f>
        <v>5.1608162342434012</v>
      </c>
      <c r="X8" s="293" t="str">
        <f>IFERROR(1000/$S8*VLOOKUP($Q8,G$5:$I66,3),"")</f>
        <v/>
      </c>
      <c r="Y8" s="1451">
        <f>1000/W8</f>
        <v>193.76779846659363</v>
      </c>
      <c r="Z8" s="293"/>
      <c r="AA8" s="1454"/>
      <c r="AB8" s="409">
        <v>21</v>
      </c>
      <c r="AC8" s="409">
        <v>2.7</v>
      </c>
      <c r="AD8" s="409"/>
      <c r="AE8" s="588"/>
    </row>
    <row r="9" spans="1:31" s="587" customFormat="1">
      <c r="A9" s="264"/>
      <c r="B9" s="294">
        <v>1974</v>
      </c>
      <c r="C9" s="281"/>
      <c r="D9" s="281"/>
      <c r="E9" s="281"/>
      <c r="F9" s="281"/>
      <c r="G9" s="295">
        <v>29221</v>
      </c>
      <c r="H9" s="296">
        <v>14.004284625964425</v>
      </c>
      <c r="I9" s="297">
        <v>0</v>
      </c>
      <c r="J9" s="263">
        <v>1974</v>
      </c>
      <c r="K9" s="281">
        <v>15482.429454502691</v>
      </c>
      <c r="L9" s="281"/>
      <c r="M9" s="281">
        <v>15338.756435886555</v>
      </c>
      <c r="N9" s="281"/>
      <c r="O9" s="295">
        <v>27030</v>
      </c>
      <c r="P9" s="298">
        <v>0.18</v>
      </c>
      <c r="Q9" s="295">
        <v>29587</v>
      </c>
      <c r="R9" s="306">
        <v>2922.8000388581831</v>
      </c>
      <c r="S9" s="306"/>
      <c r="T9" s="295">
        <v>29587</v>
      </c>
      <c r="U9" s="266">
        <v>1.749322E-4</v>
      </c>
      <c r="V9" s="266"/>
      <c r="W9" s="303">
        <f>1000/$R9*VLOOKUP(Q9,G$5:$I67,2)</f>
        <v>4.9820694480888656</v>
      </c>
      <c r="X9" s="299" t="str">
        <f>IFERROR(1000/$S9*VLOOKUP($Q9,G$5:$I67,3),"")</f>
        <v/>
      </c>
      <c r="Y9" s="1450">
        <f t="shared" ref="Y9:Y55" si="0">1000/W9</f>
        <v>200.71980337078651</v>
      </c>
      <c r="Z9" s="299"/>
      <c r="AA9" s="1454"/>
      <c r="AB9" s="409">
        <v>22</v>
      </c>
      <c r="AC9" s="409">
        <v>2.6</v>
      </c>
      <c r="AD9" s="409"/>
      <c r="AE9" s="588"/>
    </row>
    <row r="10" spans="1:31" s="587" customFormat="1">
      <c r="A10" s="264"/>
      <c r="B10" s="286">
        <v>1975</v>
      </c>
      <c r="C10" s="287"/>
      <c r="D10" s="287"/>
      <c r="E10" s="287"/>
      <c r="F10" s="287"/>
      <c r="G10" s="288">
        <v>29587</v>
      </c>
      <c r="H10" s="289">
        <v>14.561592776468302</v>
      </c>
      <c r="I10" s="290">
        <v>0</v>
      </c>
      <c r="J10" s="291">
        <v>1975</v>
      </c>
      <c r="K10" s="287">
        <v>11150.253345127134</v>
      </c>
      <c r="L10" s="287"/>
      <c r="M10" s="287">
        <v>17179.407208192941</v>
      </c>
      <c r="N10" s="287"/>
      <c r="O10" s="288">
        <v>27395</v>
      </c>
      <c r="P10" s="292">
        <v>0.18</v>
      </c>
      <c r="Q10" s="288">
        <v>29952</v>
      </c>
      <c r="R10" s="305">
        <v>2963.2636783360517</v>
      </c>
      <c r="S10" s="305"/>
      <c r="T10" s="288">
        <v>29952</v>
      </c>
      <c r="U10" s="301">
        <v>1.725435E-4</v>
      </c>
      <c r="V10" s="301"/>
      <c r="W10" s="302">
        <f>1000/$R10*VLOOKUP(Q10,G$5:$I68,2)</f>
        <v>4.9140388291888382</v>
      </c>
      <c r="X10" s="293" t="str">
        <f>IFERROR(1000/$S10*VLOOKUP($Q10,G$5:$I68,3),"")</f>
        <v/>
      </c>
      <c r="Y10" s="1451">
        <f t="shared" si="0"/>
        <v>203.498595505618</v>
      </c>
      <c r="Z10" s="293"/>
      <c r="AA10" s="1454"/>
      <c r="AB10" s="409">
        <v>23</v>
      </c>
      <c r="AC10" s="409">
        <v>2.5</v>
      </c>
      <c r="AD10" s="409"/>
      <c r="AE10" s="588"/>
    </row>
    <row r="11" spans="1:31" s="587" customFormat="1">
      <c r="A11" s="264"/>
      <c r="B11" s="294">
        <v>1976</v>
      </c>
      <c r="C11" s="281"/>
      <c r="D11" s="281"/>
      <c r="E11" s="281"/>
      <c r="F11" s="281"/>
      <c r="G11" s="295">
        <v>30133</v>
      </c>
      <c r="H11" s="296">
        <v>15.400111461630102</v>
      </c>
      <c r="I11" s="297">
        <v>0</v>
      </c>
      <c r="J11" s="263">
        <v>1976</v>
      </c>
      <c r="K11" s="281">
        <v>11930.996047713759</v>
      </c>
      <c r="L11" s="281"/>
      <c r="M11" s="281">
        <v>19020.057980499329</v>
      </c>
      <c r="N11" s="281"/>
      <c r="O11" s="295">
        <v>27760</v>
      </c>
      <c r="P11" s="298">
        <v>0.18</v>
      </c>
      <c r="Q11" s="295">
        <v>30317</v>
      </c>
      <c r="R11" s="306">
        <v>3064.0393081198263</v>
      </c>
      <c r="S11" s="306"/>
      <c r="T11" s="295">
        <v>30317</v>
      </c>
      <c r="U11" s="266">
        <v>1.6686859999999999E-4</v>
      </c>
      <c r="V11" s="266"/>
      <c r="W11" s="303">
        <f>1000/$R11*VLOOKUP(Q11,G$5:$I69,2)</f>
        <v>5.0260815586860108</v>
      </c>
      <c r="X11" s="299" t="str">
        <f>IFERROR(1000/$S11*VLOOKUP($Q11,G$5:$I69,3),"")</f>
        <v/>
      </c>
      <c r="Y11" s="1450">
        <f t="shared" si="0"/>
        <v>198.96215139442228</v>
      </c>
      <c r="Z11" s="299"/>
      <c r="AA11" s="1454"/>
      <c r="AB11" s="409">
        <v>24</v>
      </c>
      <c r="AC11" s="409">
        <v>2.4</v>
      </c>
      <c r="AD11" s="409"/>
      <c r="AE11" s="588"/>
    </row>
    <row r="12" spans="1:31" s="587" customFormat="1">
      <c r="A12" s="264"/>
      <c r="B12" s="286">
        <v>1977</v>
      </c>
      <c r="C12" s="287"/>
      <c r="D12" s="287"/>
      <c r="E12" s="287"/>
      <c r="F12" s="287"/>
      <c r="G12" s="288">
        <v>30498</v>
      </c>
      <c r="H12" s="289">
        <v>16.26419474085171</v>
      </c>
      <c r="I12" s="290">
        <v>0</v>
      </c>
      <c r="J12" s="291">
        <v>1977</v>
      </c>
      <c r="K12" s="287">
        <v>12754.17597643967</v>
      </c>
      <c r="L12" s="287"/>
      <c r="M12" s="287">
        <v>20860.708752805716</v>
      </c>
      <c r="N12" s="287"/>
      <c r="O12" s="288">
        <v>28126</v>
      </c>
      <c r="P12" s="292">
        <v>0.18</v>
      </c>
      <c r="Q12" s="288">
        <v>30560</v>
      </c>
      <c r="R12" s="305">
        <v>3149.1515111231547</v>
      </c>
      <c r="S12" s="305"/>
      <c r="T12" s="288">
        <v>30560</v>
      </c>
      <c r="U12" s="301">
        <v>1.6235859999999999E-4</v>
      </c>
      <c r="V12" s="301"/>
      <c r="W12" s="302">
        <f>1000/$R12*VLOOKUP(Q12,G$5:$I70,2)</f>
        <v>5.1646275777474528</v>
      </c>
      <c r="X12" s="293" t="str">
        <f>IFERROR(1000/$S12*VLOOKUP($Q12,G$5:$I70,3),"")</f>
        <v/>
      </c>
      <c r="Y12" s="1451">
        <f t="shared" si="0"/>
        <v>193.62480352090537</v>
      </c>
      <c r="Z12" s="293"/>
      <c r="AA12" s="1454"/>
      <c r="AB12" s="409">
        <v>25</v>
      </c>
      <c r="AC12" s="409">
        <v>2.4</v>
      </c>
      <c r="AD12" s="409"/>
      <c r="AE12" s="588"/>
    </row>
    <row r="13" spans="1:31" s="587" customFormat="1">
      <c r="A13" s="264"/>
      <c r="B13" s="294">
        <v>1978</v>
      </c>
      <c r="C13" s="281">
        <v>997</v>
      </c>
      <c r="D13" s="281">
        <v>0</v>
      </c>
      <c r="E13" s="281">
        <f t="shared" ref="E13:E61" si="1">+C13*0.01</f>
        <v>9.9700000000000006</v>
      </c>
      <c r="F13" s="281">
        <f t="shared" ref="F13:F61" si="2">+C13*1.2</f>
        <v>1196.3999999999999</v>
      </c>
      <c r="G13" s="295">
        <v>30864</v>
      </c>
      <c r="H13" s="296">
        <v>16.816389972543625</v>
      </c>
      <c r="I13" s="297">
        <v>0</v>
      </c>
      <c r="J13" s="263">
        <v>1978</v>
      </c>
      <c r="K13" s="281">
        <v>13417.321546351166</v>
      </c>
      <c r="L13" s="281"/>
      <c r="M13" s="281">
        <v>22701.359525112101</v>
      </c>
      <c r="N13" s="281"/>
      <c r="O13" s="295">
        <v>28491</v>
      </c>
      <c r="P13" s="298">
        <v>0.18</v>
      </c>
      <c r="Q13" s="295">
        <v>30682</v>
      </c>
      <c r="R13" s="306">
        <v>3243.6459201464345</v>
      </c>
      <c r="S13" s="306"/>
      <c r="T13" s="295">
        <v>30682</v>
      </c>
      <c r="U13" s="266">
        <v>1.5762879999999999E-4</v>
      </c>
      <c r="V13" s="266"/>
      <c r="W13" s="303">
        <f>1000/$R13*VLOOKUP(Q13,G$5:$I71,2)</f>
        <v>5.0141708254387591</v>
      </c>
      <c r="X13" s="299" t="str">
        <f>IFERROR(1000/$S13*VLOOKUP($Q13,G$5:$I71,3),"")</f>
        <v/>
      </c>
      <c r="Y13" s="1450">
        <f t="shared" si="0"/>
        <v>199.43476894058475</v>
      </c>
      <c r="Z13" s="299"/>
      <c r="AA13" s="1454"/>
      <c r="AB13" s="409">
        <v>26</v>
      </c>
      <c r="AC13" s="409">
        <v>2.2999999999999998</v>
      </c>
      <c r="AD13" s="409"/>
      <c r="AE13" s="588"/>
    </row>
    <row r="14" spans="1:31" s="587" customFormat="1">
      <c r="A14" s="264"/>
      <c r="B14" s="286">
        <v>1979</v>
      </c>
      <c r="C14" s="287">
        <v>1074</v>
      </c>
      <c r="D14" s="287">
        <v>0</v>
      </c>
      <c r="E14" s="287">
        <f t="shared" si="1"/>
        <v>10.74</v>
      </c>
      <c r="F14" s="287">
        <f t="shared" si="2"/>
        <v>1288.8</v>
      </c>
      <c r="G14" s="288">
        <v>31229</v>
      </c>
      <c r="H14" s="289">
        <v>17.317456016115919</v>
      </c>
      <c r="I14" s="290">
        <v>0</v>
      </c>
      <c r="J14" s="291">
        <v>1979</v>
      </c>
      <c r="K14" s="287">
        <v>14155.627022798506</v>
      </c>
      <c r="L14" s="287"/>
      <c r="M14" s="287">
        <v>24542.010297418488</v>
      </c>
      <c r="N14" s="287"/>
      <c r="O14" s="288">
        <v>28856</v>
      </c>
      <c r="P14" s="292">
        <v>0.18</v>
      </c>
      <c r="Q14" s="288">
        <v>31048</v>
      </c>
      <c r="R14" s="305">
        <v>3373.750274819386</v>
      </c>
      <c r="S14" s="305"/>
      <c r="T14" s="288">
        <v>31048</v>
      </c>
      <c r="U14" s="301">
        <v>1.5155E-4</v>
      </c>
      <c r="V14" s="301"/>
      <c r="W14" s="302">
        <f>1000/$R14*VLOOKUP(Q14,G$5:$I72,2)</f>
        <v>4.984479763678979</v>
      </c>
      <c r="X14" s="293" t="str">
        <f>IFERROR(1000/$S14*VLOOKUP($Q14,G$5:$I72,3),"")</f>
        <v/>
      </c>
      <c r="Y14" s="1451">
        <f t="shared" si="0"/>
        <v>200.62274247491641</v>
      </c>
      <c r="Z14" s="293"/>
      <c r="AA14" s="1454"/>
      <c r="AB14" s="409">
        <v>27</v>
      </c>
      <c r="AC14" s="409">
        <v>2.2000000000000002</v>
      </c>
      <c r="AD14" s="409"/>
      <c r="AE14" s="588"/>
    </row>
    <row r="15" spans="1:31" s="587" customFormat="1">
      <c r="A15" s="264"/>
      <c r="B15" s="294">
        <v>1980</v>
      </c>
      <c r="C15" s="281">
        <v>1125</v>
      </c>
      <c r="D15" s="281">
        <v>0</v>
      </c>
      <c r="E15" s="281">
        <f t="shared" si="1"/>
        <v>11.25</v>
      </c>
      <c r="F15" s="281">
        <f t="shared" si="2"/>
        <v>1350</v>
      </c>
      <c r="G15" s="295">
        <v>31594</v>
      </c>
      <c r="H15" s="296">
        <v>17.823634978500177</v>
      </c>
      <c r="I15" s="297">
        <v>0</v>
      </c>
      <c r="J15" s="263">
        <v>1980</v>
      </c>
      <c r="K15" s="281">
        <v>15075.441117070503</v>
      </c>
      <c r="L15" s="281"/>
      <c r="M15" s="281">
        <v>25769.110812289411</v>
      </c>
      <c r="N15" s="281"/>
      <c r="O15" s="295">
        <v>29221</v>
      </c>
      <c r="P15" s="298">
        <v>0.18</v>
      </c>
      <c r="Q15" s="295">
        <v>31199</v>
      </c>
      <c r="R15" s="306">
        <v>3463.9575014188354</v>
      </c>
      <c r="S15" s="306"/>
      <c r="T15" s="295">
        <v>31199</v>
      </c>
      <c r="U15" s="266">
        <v>1.476034E-4</v>
      </c>
      <c r="V15" s="266"/>
      <c r="W15" s="303">
        <f>1000/$R15*VLOOKUP(Q15,G$5:$I73,2)</f>
        <v>4.8546756031665046</v>
      </c>
      <c r="X15" s="299" t="str">
        <f>IFERROR(1000/$S15*VLOOKUP($Q15,G$5:$I73,3),"")</f>
        <v/>
      </c>
      <c r="Y15" s="1450">
        <f t="shared" si="0"/>
        <v>205.98698692611742</v>
      </c>
      <c r="Z15" s="299"/>
      <c r="AA15" s="1454"/>
      <c r="AB15" s="409">
        <v>28</v>
      </c>
      <c r="AC15" s="409">
        <v>2.2000000000000002</v>
      </c>
      <c r="AD15" s="409"/>
      <c r="AE15" s="588"/>
    </row>
    <row r="16" spans="1:31" s="587" customFormat="1">
      <c r="A16" s="264"/>
      <c r="B16" s="286">
        <v>1981</v>
      </c>
      <c r="C16" s="287">
        <v>1196</v>
      </c>
      <c r="D16" s="287">
        <v>0</v>
      </c>
      <c r="E16" s="287">
        <f t="shared" si="1"/>
        <v>11.96</v>
      </c>
      <c r="F16" s="287">
        <f t="shared" si="2"/>
        <v>1435.2</v>
      </c>
      <c r="G16" s="288">
        <v>31959</v>
      </c>
      <c r="H16" s="289">
        <v>18.498540261679185</v>
      </c>
      <c r="I16" s="290">
        <v>0</v>
      </c>
      <c r="J16" s="291">
        <v>1981</v>
      </c>
      <c r="K16" s="287">
        <v>15798.919128963151</v>
      </c>
      <c r="L16" s="287"/>
      <c r="M16" s="287">
        <v>26996.211327160338</v>
      </c>
      <c r="N16" s="287"/>
      <c r="O16" s="288">
        <v>29587</v>
      </c>
      <c r="P16" s="292">
        <v>0.185</v>
      </c>
      <c r="Q16" s="288">
        <v>31413</v>
      </c>
      <c r="R16" s="305">
        <v>3595.6008446541878</v>
      </c>
      <c r="S16" s="305"/>
      <c r="T16" s="288">
        <v>31413</v>
      </c>
      <c r="U16" s="301">
        <v>1.4219929999999999E-4</v>
      </c>
      <c r="V16" s="301"/>
      <c r="W16" s="302">
        <f>1000/$R16*VLOOKUP(Q16,G$5:$I74,2)</f>
        <v>4.8162898954323312</v>
      </c>
      <c r="X16" s="293" t="str">
        <f>IFERROR(1000/$S16*VLOOKUP($Q16,G$5:$I74,3),"")</f>
        <v/>
      </c>
      <c r="Y16" s="1451">
        <f t="shared" si="0"/>
        <v>207.62869796279895</v>
      </c>
      <c r="Z16" s="293"/>
      <c r="AA16" s="1454"/>
      <c r="AB16" s="409">
        <v>29</v>
      </c>
      <c r="AC16" s="409">
        <v>2.1</v>
      </c>
      <c r="AD16" s="409"/>
      <c r="AE16" s="588"/>
    </row>
    <row r="17" spans="1:31" s="587" customFormat="1">
      <c r="A17" s="264"/>
      <c r="B17" s="294">
        <v>1982</v>
      </c>
      <c r="C17" s="281">
        <v>1258</v>
      </c>
      <c r="D17" s="281">
        <v>0</v>
      </c>
      <c r="E17" s="281">
        <f t="shared" si="1"/>
        <v>12.58</v>
      </c>
      <c r="F17" s="281">
        <f t="shared" si="2"/>
        <v>1509.6</v>
      </c>
      <c r="G17" s="295">
        <v>32325</v>
      </c>
      <c r="H17" s="296">
        <v>19.055848412183064</v>
      </c>
      <c r="I17" s="297">
        <v>0</v>
      </c>
      <c r="J17" s="263">
        <v>1982</v>
      </c>
      <c r="K17" s="281">
        <v>16462.575990755842</v>
      </c>
      <c r="L17" s="281"/>
      <c r="M17" s="281">
        <v>28836.862099466722</v>
      </c>
      <c r="N17" s="281"/>
      <c r="O17" s="295">
        <v>29952</v>
      </c>
      <c r="P17" s="298">
        <v>0.18</v>
      </c>
      <c r="Q17" s="295">
        <v>31778</v>
      </c>
      <c r="R17" s="306">
        <v>3607.0425343715965</v>
      </c>
      <c r="S17" s="306"/>
      <c r="T17" s="295">
        <v>31778</v>
      </c>
      <c r="U17" s="266">
        <v>1.4174820000000001E-4</v>
      </c>
      <c r="V17" s="266"/>
      <c r="W17" s="303">
        <f>1000/$R17*VLOOKUP(Q17,G$5:$I75,2)</f>
        <v>4.9413431665022864</v>
      </c>
      <c r="X17" s="299" t="str">
        <f>IFERROR(1000/$S17*VLOOKUP($Q17,G$5:$I75,3),"")</f>
        <v/>
      </c>
      <c r="Y17" s="1450">
        <f t="shared" si="0"/>
        <v>202.37412507171541</v>
      </c>
      <c r="Z17" s="299"/>
      <c r="AA17" s="1454"/>
      <c r="AB17" s="409">
        <v>30</v>
      </c>
      <c r="AC17" s="409">
        <v>2</v>
      </c>
      <c r="AD17" s="409"/>
      <c r="AE17" s="588"/>
    </row>
    <row r="18" spans="1:31" s="587" customFormat="1">
      <c r="A18" s="264"/>
      <c r="B18" s="286">
        <v>1983</v>
      </c>
      <c r="C18" s="287">
        <v>1319</v>
      </c>
      <c r="D18" s="287">
        <v>0</v>
      </c>
      <c r="E18" s="287">
        <f t="shared" si="1"/>
        <v>13.19</v>
      </c>
      <c r="F18" s="287">
        <f t="shared" si="2"/>
        <v>1582.8</v>
      </c>
      <c r="G18" s="288">
        <v>32690</v>
      </c>
      <c r="H18" s="289">
        <v>19.628495319122827</v>
      </c>
      <c r="I18" s="290">
        <v>0</v>
      </c>
      <c r="J18" s="291">
        <v>1983</v>
      </c>
      <c r="K18" s="287">
        <v>17022.440600665701</v>
      </c>
      <c r="L18" s="287"/>
      <c r="M18" s="287">
        <v>30677.51287177311</v>
      </c>
      <c r="N18" s="287"/>
      <c r="O18" s="288">
        <v>30317</v>
      </c>
      <c r="P18" s="292">
        <v>0.18</v>
      </c>
      <c r="Q18" s="288">
        <v>32143</v>
      </c>
      <c r="R18" s="305">
        <v>3718.9080850585174</v>
      </c>
      <c r="S18" s="305"/>
      <c r="T18" s="288">
        <v>32143</v>
      </c>
      <c r="U18" s="301">
        <v>1.374844E-4</v>
      </c>
      <c r="V18" s="301"/>
      <c r="W18" s="302">
        <f>1000/$R18*VLOOKUP(Q18,G$5:$I76,2)</f>
        <v>4.9741859273158431</v>
      </c>
      <c r="X18" s="293" t="str">
        <f>IFERROR(1000/$S18*VLOOKUP($Q18,G$5:$I76,3),"")</f>
        <v/>
      </c>
      <c r="Y18" s="1451">
        <f t="shared" si="0"/>
        <v>201.03792150359311</v>
      </c>
      <c r="Z18" s="293"/>
      <c r="AA18" s="1454"/>
      <c r="AB18" s="409">
        <v>31</v>
      </c>
      <c r="AC18" s="409">
        <v>2</v>
      </c>
      <c r="AD18" s="409"/>
      <c r="AE18" s="588"/>
    </row>
    <row r="19" spans="1:31" s="587" customFormat="1">
      <c r="A19" s="264"/>
      <c r="B19" s="294">
        <v>1984</v>
      </c>
      <c r="C19" s="281">
        <v>1396</v>
      </c>
      <c r="D19" s="281">
        <v>0</v>
      </c>
      <c r="E19" s="281">
        <f t="shared" si="1"/>
        <v>13.96</v>
      </c>
      <c r="F19" s="281">
        <f t="shared" si="2"/>
        <v>1675.2</v>
      </c>
      <c r="G19" s="295">
        <v>33055</v>
      </c>
      <c r="H19" s="296">
        <v>20.236932657746326</v>
      </c>
      <c r="I19" s="297">
        <v>8.1551055050796855</v>
      </c>
      <c r="J19" s="263">
        <v>1984</v>
      </c>
      <c r="K19" s="281">
        <v>17533.221189980726</v>
      </c>
      <c r="L19" s="281"/>
      <c r="M19" s="281">
        <v>31904.613386644036</v>
      </c>
      <c r="N19" s="281"/>
      <c r="O19" s="295">
        <v>30682</v>
      </c>
      <c r="P19" s="298">
        <v>0.185</v>
      </c>
      <c r="Q19" s="295">
        <v>32509</v>
      </c>
      <c r="R19" s="306">
        <v>3830.4868010000869</v>
      </c>
      <c r="S19" s="306"/>
      <c r="T19" s="295">
        <v>32509</v>
      </c>
      <c r="U19" s="266">
        <v>1.334796E-4</v>
      </c>
      <c r="V19" s="266"/>
      <c r="W19" s="303">
        <f>1000/$R19*VLOOKUP(Q19,G$5:$I77,2)</f>
        <v>4.9747850344263931</v>
      </c>
      <c r="X19" s="299" t="str">
        <f>IFERROR(1000/$S19*VLOOKUP($Q19,G$5:$I77,3),"")</f>
        <v/>
      </c>
      <c r="Y19" s="1450">
        <f t="shared" si="0"/>
        <v>201.01371075932386</v>
      </c>
      <c r="Z19" s="299"/>
      <c r="AA19" s="1454"/>
      <c r="AB19" s="409">
        <v>32</v>
      </c>
      <c r="AC19" s="409">
        <v>1.9</v>
      </c>
      <c r="AD19" s="409"/>
      <c r="AE19" s="588"/>
    </row>
    <row r="20" spans="1:31" s="587" customFormat="1">
      <c r="A20" s="264"/>
      <c r="B20" s="286">
        <v>1985</v>
      </c>
      <c r="C20" s="287">
        <v>1432</v>
      </c>
      <c r="D20" s="287">
        <v>0</v>
      </c>
      <c r="E20" s="287">
        <f t="shared" si="1"/>
        <v>14.32</v>
      </c>
      <c r="F20" s="287">
        <f t="shared" si="2"/>
        <v>1718.3999999999999</v>
      </c>
      <c r="G20" s="288">
        <v>33239</v>
      </c>
      <c r="H20" s="289">
        <v>20.236932657746326</v>
      </c>
      <c r="I20" s="290">
        <v>9.3822060199506101</v>
      </c>
      <c r="J20" s="291">
        <v>1985</v>
      </c>
      <c r="K20" s="287">
        <v>18041.445319889765</v>
      </c>
      <c r="L20" s="287"/>
      <c r="M20" s="287">
        <v>33131.713901514959</v>
      </c>
      <c r="N20" s="287"/>
      <c r="O20" s="288">
        <v>31048</v>
      </c>
      <c r="P20" s="292">
        <v>0.187</v>
      </c>
      <c r="Q20" s="288">
        <v>32874</v>
      </c>
      <c r="R20" s="305">
        <v>4010.5234094987809</v>
      </c>
      <c r="S20" s="305"/>
      <c r="T20" s="288">
        <v>32874</v>
      </c>
      <c r="U20" s="301">
        <v>1.2748760000000001E-4</v>
      </c>
      <c r="V20" s="301"/>
      <c r="W20" s="302">
        <f>1000/$R20*VLOOKUP(Q20,G$5:$I78,2)</f>
        <v>4.894247786369589</v>
      </c>
      <c r="X20" s="293" t="str">
        <f>IFERROR(1000/$S20*VLOOKUP($Q20,G$5:$I78,3),"")</f>
        <v/>
      </c>
      <c r="Y20" s="1451">
        <f t="shared" si="0"/>
        <v>204.32148997134675</v>
      </c>
      <c r="Z20" s="293"/>
      <c r="AA20" s="1454"/>
      <c r="AB20" s="409">
        <v>33</v>
      </c>
      <c r="AC20" s="409">
        <v>1.9</v>
      </c>
      <c r="AD20" s="409"/>
      <c r="AE20" s="588"/>
    </row>
    <row r="21" spans="1:31" s="587" customFormat="1">
      <c r="A21" s="264"/>
      <c r="B21" s="294">
        <v>1986</v>
      </c>
      <c r="C21" s="281">
        <v>1467</v>
      </c>
      <c r="D21" s="281">
        <v>0</v>
      </c>
      <c r="E21" s="281">
        <f t="shared" si="1"/>
        <v>14.67</v>
      </c>
      <c r="F21" s="281">
        <f t="shared" si="2"/>
        <v>1760.3999999999999</v>
      </c>
      <c r="G21" s="295">
        <v>33420</v>
      </c>
      <c r="H21" s="296">
        <v>21.187935556771293</v>
      </c>
      <c r="I21" s="297">
        <v>10.788258693240211</v>
      </c>
      <c r="J21" s="263">
        <v>1986</v>
      </c>
      <c r="K21" s="281">
        <v>18727.087732573895</v>
      </c>
      <c r="L21" s="281"/>
      <c r="M21" s="281">
        <v>34358.814416385881</v>
      </c>
      <c r="N21" s="281"/>
      <c r="O21" s="295">
        <v>31413</v>
      </c>
      <c r="P21" s="298">
        <v>0.192</v>
      </c>
      <c r="Q21" s="295">
        <v>33239</v>
      </c>
      <c r="R21" s="306">
        <v>4198.9738371944386</v>
      </c>
      <c r="S21" s="306"/>
      <c r="T21" s="295">
        <v>33239</v>
      </c>
      <c r="U21" s="266">
        <v>1.2176590000000001E-4</v>
      </c>
      <c r="V21" s="266"/>
      <c r="W21" s="303">
        <f>1000/$R21*VLOOKUP(Q21,G$5:$I79,2)</f>
        <v>4.8194948200171961</v>
      </c>
      <c r="X21" s="299" t="str">
        <f>IFERROR(1000/$S21*VLOOKUP($Q21,G$5:$I79,3),"")</f>
        <v/>
      </c>
      <c r="Y21" s="1450">
        <f t="shared" si="0"/>
        <v>207.49062657908033</v>
      </c>
      <c r="Z21" s="299"/>
      <c r="AA21" s="1454"/>
      <c r="AB21" s="409">
        <v>34</v>
      </c>
      <c r="AC21" s="409">
        <v>1.8</v>
      </c>
      <c r="AD21" s="409"/>
      <c r="AE21" s="588"/>
    </row>
    <row r="22" spans="1:31" s="587" customFormat="1">
      <c r="A22" s="264"/>
      <c r="B22" s="286">
        <v>1987</v>
      </c>
      <c r="C22" s="287">
        <v>1539</v>
      </c>
      <c r="D22" s="287">
        <v>0</v>
      </c>
      <c r="E22" s="287">
        <f t="shared" si="1"/>
        <v>15.39</v>
      </c>
      <c r="F22" s="287">
        <f t="shared" si="2"/>
        <v>1846.8</v>
      </c>
      <c r="G22" s="288">
        <v>33604</v>
      </c>
      <c r="H22" s="289">
        <v>21.187935556771293</v>
      </c>
      <c r="I22" s="290">
        <v>12.05114963979487</v>
      </c>
      <c r="J22" s="291">
        <v>1987</v>
      </c>
      <c r="K22" s="287">
        <v>19288.997510008539</v>
      </c>
      <c r="L22" s="287"/>
      <c r="M22" s="287">
        <v>34972.364673821343</v>
      </c>
      <c r="N22" s="287"/>
      <c r="O22" s="288">
        <v>31778</v>
      </c>
      <c r="P22" s="292">
        <v>0.187</v>
      </c>
      <c r="Q22" s="288">
        <v>33329</v>
      </c>
      <c r="R22" s="305">
        <v>3974.429781729496</v>
      </c>
      <c r="S22" s="305"/>
      <c r="T22" s="288">
        <v>33329</v>
      </c>
      <c r="U22" s="301">
        <v>1.2864530000000001E-4</v>
      </c>
      <c r="V22" s="301"/>
      <c r="W22" s="302">
        <f>1000/$R22*VLOOKUP(Q22,G$5:$I80,2)</f>
        <v>5.0917826629560201</v>
      </c>
      <c r="X22" s="293" t="str">
        <f>IFERROR(1000/$S22*VLOOKUP($Q22,G$5:$I80,3),"")</f>
        <v/>
      </c>
      <c r="Y22" s="1451">
        <f t="shared" si="0"/>
        <v>196.39487114704397</v>
      </c>
      <c r="Z22" s="293"/>
      <c r="AA22" s="1454"/>
      <c r="AB22" s="409">
        <v>35</v>
      </c>
      <c r="AC22" s="409">
        <v>1.7</v>
      </c>
      <c r="AD22" s="409"/>
      <c r="AE22" s="588"/>
    </row>
    <row r="23" spans="1:31" s="587" customFormat="1">
      <c r="A23" s="264"/>
      <c r="B23" s="294">
        <v>1988</v>
      </c>
      <c r="C23" s="281">
        <v>1575</v>
      </c>
      <c r="D23" s="281">
        <v>0</v>
      </c>
      <c r="E23" s="281">
        <f t="shared" si="1"/>
        <v>15.75</v>
      </c>
      <c r="F23" s="281">
        <f t="shared" si="2"/>
        <v>1890</v>
      </c>
      <c r="G23" s="295">
        <v>33786</v>
      </c>
      <c r="H23" s="296">
        <v>21.796372895394796</v>
      </c>
      <c r="I23" s="297">
        <v>13.585025283383526</v>
      </c>
      <c r="J23" s="263">
        <v>1988</v>
      </c>
      <c r="K23" s="281">
        <v>19887.209011008115</v>
      </c>
      <c r="L23" s="281"/>
      <c r="M23" s="281">
        <v>36813.015446127734</v>
      </c>
      <c r="N23" s="281"/>
      <c r="O23" s="295">
        <v>32143</v>
      </c>
      <c r="P23" s="298">
        <v>0.187</v>
      </c>
      <c r="Q23" s="295">
        <v>33604</v>
      </c>
      <c r="R23" s="306">
        <v>4152.8931451097487</v>
      </c>
      <c r="S23" s="306">
        <v>2834.352423267871</v>
      </c>
      <c r="T23" s="295">
        <v>33604</v>
      </c>
      <c r="U23" s="266">
        <v>1.2311700000000001E-4</v>
      </c>
      <c r="V23" s="266">
        <v>1.8039109999999999E-4</v>
      </c>
      <c r="W23" s="303">
        <f>1000/$R23*VLOOKUP(Q23,G$5:$I81,2)</f>
        <v>5.1019698355882834</v>
      </c>
      <c r="X23" s="299">
        <f>IFERROR(1000/$S23*VLOOKUP($Q23,G$5:$I81,3),"")</f>
        <v>4.2518176430228385</v>
      </c>
      <c r="Y23" s="1450">
        <f t="shared" si="0"/>
        <v>196.00272683397682</v>
      </c>
      <c r="Z23" s="299">
        <f>1000/X23</f>
        <v>235.19352991090369</v>
      </c>
      <c r="AA23" s="1454"/>
      <c r="AB23" s="409">
        <v>36</v>
      </c>
      <c r="AC23" s="409">
        <v>1.7</v>
      </c>
      <c r="AD23" s="409"/>
      <c r="AE23" s="588"/>
    </row>
    <row r="24" spans="1:31" s="587" customFormat="1">
      <c r="A24" s="264"/>
      <c r="B24" s="286">
        <v>1989</v>
      </c>
      <c r="C24" s="287">
        <v>1611</v>
      </c>
      <c r="D24" s="287">
        <v>0</v>
      </c>
      <c r="E24" s="287">
        <f t="shared" si="1"/>
        <v>16.11</v>
      </c>
      <c r="F24" s="287">
        <f t="shared" si="2"/>
        <v>1933.1999999999998</v>
      </c>
      <c r="G24" s="288">
        <v>33970</v>
      </c>
      <c r="H24" s="289">
        <v>21.796372895394796</v>
      </c>
      <c r="I24" s="290">
        <v>14.4133181309214</v>
      </c>
      <c r="J24" s="291">
        <v>1989</v>
      </c>
      <c r="K24" s="287">
        <v>20483.886636364103</v>
      </c>
      <c r="L24" s="287"/>
      <c r="M24" s="287">
        <v>37426.565703563196</v>
      </c>
      <c r="N24" s="287"/>
      <c r="O24" s="288">
        <v>32509</v>
      </c>
      <c r="P24" s="292">
        <v>0.187</v>
      </c>
      <c r="Q24" s="288">
        <v>33970</v>
      </c>
      <c r="R24" s="305">
        <v>4443.6505217733647</v>
      </c>
      <c r="S24" s="305">
        <v>3234.333300951514</v>
      </c>
      <c r="T24" s="288">
        <v>33970</v>
      </c>
      <c r="U24" s="301">
        <v>1.150612E-4</v>
      </c>
      <c r="V24" s="301">
        <v>1.580826E-4</v>
      </c>
      <c r="W24" s="302">
        <f>1000/$R24*VLOOKUP(Q24,G$5:$I82,2)</f>
        <v>4.9050601051084319</v>
      </c>
      <c r="X24" s="293">
        <f>IFERROR(1000/$S24*VLOOKUP($Q24,G$5:$I82,3),"")</f>
        <v>4.456349049333018</v>
      </c>
      <c r="Y24" s="1451">
        <f t="shared" si="0"/>
        <v>203.87110016420357</v>
      </c>
      <c r="Z24" s="293">
        <f t="shared" ref="Z24:Z55" si="3">1000/X24</f>
        <v>224.3989393401915</v>
      </c>
      <c r="AA24" s="1454"/>
      <c r="AB24" s="409">
        <v>37</v>
      </c>
      <c r="AC24" s="409">
        <v>1.6</v>
      </c>
      <c r="AD24" s="409"/>
      <c r="AE24" s="588"/>
    </row>
    <row r="25" spans="1:31" s="587" customFormat="1">
      <c r="A25" s="264"/>
      <c r="B25" s="294">
        <v>1990</v>
      </c>
      <c r="C25" s="281">
        <v>1682.1502891355588</v>
      </c>
      <c r="D25" s="281">
        <v>0</v>
      </c>
      <c r="E25" s="281">
        <f t="shared" si="1"/>
        <v>16.821502891355589</v>
      </c>
      <c r="F25" s="281">
        <f t="shared" si="2"/>
        <v>2018.5803469626703</v>
      </c>
      <c r="G25" s="295">
        <v>34151</v>
      </c>
      <c r="H25" s="296">
        <v>22.747375794419764</v>
      </c>
      <c r="I25" s="297">
        <v>16.448259818082349</v>
      </c>
      <c r="J25" s="263">
        <v>1990</v>
      </c>
      <c r="K25" s="281">
        <v>21446.64924865658</v>
      </c>
      <c r="L25" s="281"/>
      <c r="M25" s="281">
        <v>38653.666218434118</v>
      </c>
      <c r="N25" s="281">
        <v>16565.856950757479</v>
      </c>
      <c r="O25" s="295">
        <v>32874</v>
      </c>
      <c r="P25" s="298">
        <v>0.187</v>
      </c>
      <c r="Q25" s="295">
        <v>34335</v>
      </c>
      <c r="R25" s="306">
        <v>5092.6634727967157</v>
      </c>
      <c r="S25" s="306">
        <v>3943.8267640848135</v>
      </c>
      <c r="T25" s="295">
        <v>34335</v>
      </c>
      <c r="U25" s="266">
        <v>1.003977E-4</v>
      </c>
      <c r="V25" s="266">
        <v>1.2964359999999999E-4</v>
      </c>
      <c r="W25" s="303">
        <f>1000/$R25*VLOOKUP(Q25,G$5:$I83,2)</f>
        <v>4.466695259941786</v>
      </c>
      <c r="X25" s="299">
        <f>IFERROR(1000/$S25*VLOOKUP($Q25,G$5:$I83,3),"")</f>
        <v>4.3223174694991089</v>
      </c>
      <c r="Y25" s="1450">
        <f t="shared" si="0"/>
        <v>223.87916385704651</v>
      </c>
      <c r="Z25" s="299">
        <f t="shared" si="3"/>
        <v>231.35736952609471</v>
      </c>
      <c r="AA25" s="1454"/>
      <c r="AB25" s="409">
        <v>38</v>
      </c>
      <c r="AC25" s="409">
        <v>1.6</v>
      </c>
      <c r="AD25" s="409"/>
      <c r="AE25" s="588"/>
    </row>
    <row r="26" spans="1:31" s="587" customFormat="1">
      <c r="A26" s="264"/>
      <c r="B26" s="286">
        <v>1991</v>
      </c>
      <c r="C26" s="287">
        <v>1717.9407208192943</v>
      </c>
      <c r="D26" s="287">
        <v>0</v>
      </c>
      <c r="E26" s="287">
        <f t="shared" si="1"/>
        <v>17.179407208192941</v>
      </c>
      <c r="F26" s="287">
        <f t="shared" si="2"/>
        <v>2061.5288649831532</v>
      </c>
      <c r="G26" s="288">
        <v>34335</v>
      </c>
      <c r="H26" s="289">
        <v>22.747375794419764</v>
      </c>
      <c r="I26" s="290">
        <v>17.046471319081927</v>
      </c>
      <c r="J26" s="291">
        <v>1991</v>
      </c>
      <c r="K26" s="287">
        <v>22712.09665461722</v>
      </c>
      <c r="L26" s="287"/>
      <c r="M26" s="287">
        <v>39880.766733305041</v>
      </c>
      <c r="N26" s="287">
        <v>18406.507723063867</v>
      </c>
      <c r="O26" s="288">
        <v>33239</v>
      </c>
      <c r="P26" s="292">
        <v>0.187</v>
      </c>
      <c r="Q26" s="288">
        <v>34700</v>
      </c>
      <c r="R26" s="305">
        <v>4847.4519769100589</v>
      </c>
      <c r="S26" s="305">
        <v>3940.3771800207587</v>
      </c>
      <c r="T26" s="288">
        <v>34700</v>
      </c>
      <c r="U26" s="301">
        <v>1.0547640000000001E-4</v>
      </c>
      <c r="V26" s="301">
        <v>1.2975709999999999E-4</v>
      </c>
      <c r="W26" s="302">
        <f>1000/$R26*VLOOKUP(Q26,G$5:$I84,2)</f>
        <v>4.8519153252175551</v>
      </c>
      <c r="X26" s="293">
        <f>IFERROR(1000/$S26*VLOOKUP($Q26,G$5:$I84,3),"")</f>
        <v>4.4701317925907125</v>
      </c>
      <c r="Y26" s="1451">
        <f t="shared" si="0"/>
        <v>206.1041739130435</v>
      </c>
      <c r="Z26" s="293">
        <f t="shared" si="3"/>
        <v>223.70705079825831</v>
      </c>
      <c r="AA26" s="1454"/>
      <c r="AB26" s="409">
        <v>39</v>
      </c>
      <c r="AC26" s="409">
        <v>1.6</v>
      </c>
      <c r="AD26" s="409"/>
      <c r="AE26" s="588"/>
    </row>
    <row r="27" spans="1:31" s="587" customFormat="1">
      <c r="A27" s="264"/>
      <c r="B27" s="294">
        <v>1992</v>
      </c>
      <c r="C27" s="281">
        <v>1789.5215841867648</v>
      </c>
      <c r="D27" s="281">
        <v>1073.7129505120588</v>
      </c>
      <c r="E27" s="281">
        <f t="shared" si="1"/>
        <v>17.89521584186765</v>
      </c>
      <c r="F27" s="281">
        <f t="shared" si="2"/>
        <v>2147.4259010241176</v>
      </c>
      <c r="G27" s="295">
        <v>34516</v>
      </c>
      <c r="H27" s="296">
        <v>23.519426535026049</v>
      </c>
      <c r="I27" s="297">
        <v>17.634456982457579</v>
      </c>
      <c r="J27" s="263">
        <v>1992</v>
      </c>
      <c r="K27" s="281">
        <v>23938.685877606949</v>
      </c>
      <c r="L27" s="281"/>
      <c r="M27" s="281">
        <v>41721.417505611433</v>
      </c>
      <c r="N27" s="281">
        <v>29450.412356902187</v>
      </c>
      <c r="O27" s="295">
        <v>33329</v>
      </c>
      <c r="P27" s="298">
        <v>0.17699999999999999</v>
      </c>
      <c r="Q27" s="295">
        <v>35065</v>
      </c>
      <c r="R27" s="306">
        <v>5017.172249121857</v>
      </c>
      <c r="S27" s="306">
        <v>4266.3029506654466</v>
      </c>
      <c r="T27" s="295">
        <v>35065</v>
      </c>
      <c r="U27" s="266">
        <v>1.019084E-4</v>
      </c>
      <c r="V27" s="266">
        <v>1.1984429999999999E-4</v>
      </c>
      <c r="W27" s="303">
        <f>1000/$R27*VLOOKUP(Q27,G$5:$I85,2)</f>
        <v>4.7112242701729654</v>
      </c>
      <c r="X27" s="299">
        <f>IFERROR(1000/$S27*VLOOKUP($Q27,G$5:$I85,3),"")</f>
        <v>4.5444939937836555</v>
      </c>
      <c r="Y27" s="1450">
        <f t="shared" si="0"/>
        <v>212.25905256327067</v>
      </c>
      <c r="Z27" s="299">
        <f t="shared" si="3"/>
        <v>220.04650052742613</v>
      </c>
      <c r="AA27" s="1454"/>
      <c r="AB27" s="409">
        <v>40</v>
      </c>
      <c r="AC27" s="409">
        <v>1.5</v>
      </c>
      <c r="AD27" s="409"/>
      <c r="AE27" s="588"/>
    </row>
    <row r="28" spans="1:31" s="587" customFormat="1">
      <c r="A28" s="264"/>
      <c r="B28" s="286">
        <v>1993</v>
      </c>
      <c r="C28" s="287">
        <v>1896.8928792379706</v>
      </c>
      <c r="D28" s="287">
        <v>1395.8268356656765</v>
      </c>
      <c r="E28" s="287">
        <f t="shared" si="1"/>
        <v>18.968928792379707</v>
      </c>
      <c r="F28" s="287">
        <f t="shared" si="2"/>
        <v>2276.2714550855649</v>
      </c>
      <c r="G28" s="288">
        <v>34700</v>
      </c>
      <c r="H28" s="289">
        <v>23.519426535026049</v>
      </c>
      <c r="I28" s="290">
        <v>17.61400530720973</v>
      </c>
      <c r="J28" s="291">
        <v>1993</v>
      </c>
      <c r="K28" s="287">
        <v>24633.020252271413</v>
      </c>
      <c r="L28" s="287"/>
      <c r="M28" s="287">
        <v>44175.618535353278</v>
      </c>
      <c r="N28" s="287">
        <v>32518.163644079497</v>
      </c>
      <c r="O28" s="288">
        <v>33604</v>
      </c>
      <c r="P28" s="292">
        <v>0.17699999999999999</v>
      </c>
      <c r="Q28" s="288">
        <v>35431</v>
      </c>
      <c r="R28" s="305">
        <v>5584.6459048076777</v>
      </c>
      <c r="S28" s="305">
        <v>4798.6302490502758</v>
      </c>
      <c r="T28" s="288">
        <v>35431</v>
      </c>
      <c r="U28" s="301">
        <v>9.1553100000000003E-5</v>
      </c>
      <c r="V28" s="301">
        <v>1.0654949999999999E-4</v>
      </c>
      <c r="W28" s="302">
        <f>1000/$R28*VLOOKUP(Q28,G$5:$I86,2)</f>
        <v>4.2727851509592298</v>
      </c>
      <c r="X28" s="293">
        <f>IFERROR(1000/$S28*VLOOKUP($Q28,G$5:$I86,3),"")</f>
        <v>4.0893716293716613</v>
      </c>
      <c r="Y28" s="1451">
        <f t="shared" si="0"/>
        <v>234.03938290122133</v>
      </c>
      <c r="Z28" s="293">
        <f t="shared" si="3"/>
        <v>244.5363470557582</v>
      </c>
      <c r="AA28" s="1454"/>
      <c r="AB28" s="409">
        <v>41</v>
      </c>
      <c r="AC28" s="409">
        <v>1.5</v>
      </c>
      <c r="AD28" s="409"/>
      <c r="AE28" s="588"/>
    </row>
    <row r="29" spans="1:31" s="587" customFormat="1">
      <c r="A29" s="264"/>
      <c r="B29" s="294">
        <v>1994</v>
      </c>
      <c r="C29" s="281">
        <v>2004.2641742891765</v>
      </c>
      <c r="D29" s="281">
        <v>1574.7789940843529</v>
      </c>
      <c r="E29" s="281">
        <f t="shared" si="1"/>
        <v>20.042641742891764</v>
      </c>
      <c r="F29" s="281">
        <f t="shared" si="2"/>
        <v>2405.1170091470117</v>
      </c>
      <c r="G29" s="295">
        <v>34881</v>
      </c>
      <c r="H29" s="296">
        <v>23.637023667701179</v>
      </c>
      <c r="I29" s="297">
        <v>18.575234043858618</v>
      </c>
      <c r="J29" s="263">
        <v>1994</v>
      </c>
      <c r="K29" s="281">
        <v>25125.90562574457</v>
      </c>
      <c r="L29" s="281"/>
      <c r="M29" s="281">
        <v>46629.819565095124</v>
      </c>
      <c r="N29" s="281">
        <v>36199.465188692273</v>
      </c>
      <c r="O29" s="295">
        <v>33970</v>
      </c>
      <c r="P29" s="298">
        <v>0.17499999999999999</v>
      </c>
      <c r="Q29" s="295">
        <v>35796</v>
      </c>
      <c r="R29" s="306">
        <v>5578.3145774428249</v>
      </c>
      <c r="S29" s="306">
        <v>4648.2081264731596</v>
      </c>
      <c r="T29" s="295">
        <v>35796</v>
      </c>
      <c r="U29" s="266">
        <v>9.16571E-5</v>
      </c>
      <c r="V29" s="266">
        <v>1.099976E-4</v>
      </c>
      <c r="W29" s="303">
        <f>1000/$R29*VLOOKUP(Q29,G$5:$I87,2)</f>
        <v>4.3482106480749501</v>
      </c>
      <c r="X29" s="299">
        <f>IFERROR(1000/$S29*VLOOKUP($Q29,G$5:$I87,3),"")</f>
        <v>4.4560040221293677</v>
      </c>
      <c r="Y29" s="1450">
        <f t="shared" si="0"/>
        <v>229.97965851602024</v>
      </c>
      <c r="Z29" s="299">
        <f t="shared" si="3"/>
        <v>224.41631449024931</v>
      </c>
      <c r="AA29" s="1454"/>
      <c r="AB29" s="409">
        <v>42</v>
      </c>
      <c r="AC29" s="409">
        <v>1.4</v>
      </c>
      <c r="AD29" s="409"/>
      <c r="AE29" s="588"/>
    </row>
    <row r="30" spans="1:31" s="587" customFormat="1">
      <c r="A30" s="264"/>
      <c r="B30" s="286">
        <v>1995</v>
      </c>
      <c r="C30" s="287">
        <v>2075.845037656647</v>
      </c>
      <c r="D30" s="287">
        <v>1682.1502891355588</v>
      </c>
      <c r="E30" s="287">
        <f t="shared" si="1"/>
        <v>20.758450376566472</v>
      </c>
      <c r="F30" s="287">
        <f t="shared" si="2"/>
        <v>2491.0140451879765</v>
      </c>
      <c r="G30" s="288">
        <v>35065</v>
      </c>
      <c r="H30" s="289">
        <v>23.637023667701179</v>
      </c>
      <c r="I30" s="290">
        <v>19.388188134960608</v>
      </c>
      <c r="J30" s="291">
        <v>1995</v>
      </c>
      <c r="K30" s="287">
        <v>25904.603160806411</v>
      </c>
      <c r="L30" s="287"/>
      <c r="M30" s="287">
        <v>47856.920079966054</v>
      </c>
      <c r="N30" s="287">
        <v>39267.21647586958</v>
      </c>
      <c r="O30" s="288">
        <v>34335</v>
      </c>
      <c r="P30" s="292">
        <v>0.192</v>
      </c>
      <c r="Q30" s="288">
        <v>36161</v>
      </c>
      <c r="R30" s="305">
        <v>5509.5003144445072</v>
      </c>
      <c r="S30" s="305">
        <v>4646.6225080911936</v>
      </c>
      <c r="T30" s="288">
        <v>36161</v>
      </c>
      <c r="U30" s="301">
        <v>9.2801900000000003E-5</v>
      </c>
      <c r="V30" s="301">
        <v>1.100352E-4</v>
      </c>
      <c r="W30" s="302">
        <f>1000/$R30*VLOOKUP(Q30,G$5:$I88,2)</f>
        <v>4.422008666580175</v>
      </c>
      <c r="X30" s="293">
        <f>IFERROR(1000/$S30*VLOOKUP($Q30,G$5:$I88,3),"")</f>
        <v>4.4971372535862857</v>
      </c>
      <c r="Y30" s="1451">
        <f t="shared" si="0"/>
        <v>226.14157397691503</v>
      </c>
      <c r="Z30" s="293">
        <f t="shared" si="3"/>
        <v>222.36368240763395</v>
      </c>
      <c r="AA30" s="1454"/>
      <c r="AB30" s="409">
        <v>43</v>
      </c>
      <c r="AC30" s="409">
        <v>1.4</v>
      </c>
      <c r="AD30" s="409"/>
      <c r="AE30" s="588"/>
    </row>
    <row r="31" spans="1:31" s="587" customFormat="1">
      <c r="A31" s="264"/>
      <c r="B31" s="294">
        <v>1996</v>
      </c>
      <c r="C31" s="281">
        <v>2111.6354693403823</v>
      </c>
      <c r="D31" s="281">
        <v>1789.5215841867648</v>
      </c>
      <c r="E31" s="281">
        <f t="shared" si="1"/>
        <v>21.116354693403824</v>
      </c>
      <c r="F31" s="281">
        <f t="shared" si="2"/>
        <v>2533.9625632084585</v>
      </c>
      <c r="G31" s="295">
        <v>35247</v>
      </c>
      <c r="H31" s="296">
        <v>23.861992095427517</v>
      </c>
      <c r="I31" s="297">
        <v>19.623382400310867</v>
      </c>
      <c r="J31" s="263">
        <v>1996</v>
      </c>
      <c r="K31" s="281">
        <v>26422.541836458178</v>
      </c>
      <c r="L31" s="281"/>
      <c r="M31" s="281">
        <v>49084.020594836977</v>
      </c>
      <c r="N31" s="281">
        <v>41721.417505611433</v>
      </c>
      <c r="O31" s="295">
        <v>34700</v>
      </c>
      <c r="P31" s="298">
        <v>0.186</v>
      </c>
      <c r="Q31" s="295">
        <v>36251</v>
      </c>
      <c r="R31" s="306">
        <v>5292.3771493432459</v>
      </c>
      <c r="S31" s="306">
        <v>4463.5043945537191</v>
      </c>
      <c r="T31" s="295">
        <v>36251</v>
      </c>
      <c r="U31" s="266">
        <v>9.6609100000000003E-5</v>
      </c>
      <c r="V31" s="266">
        <v>1.145494E-4</v>
      </c>
      <c r="W31" s="303">
        <f>1000/$R31*VLOOKUP(Q31,G$5:$I89,2)</f>
        <v>4.6034244067475667</v>
      </c>
      <c r="X31" s="299">
        <f>IFERROR(1000/$S31*VLOOKUP($Q31,G$5:$I89,3),"")</f>
        <v>4.6816351766085296</v>
      </c>
      <c r="Y31" s="1450">
        <f t="shared" si="0"/>
        <v>217.22959076600213</v>
      </c>
      <c r="Z31" s="299">
        <f t="shared" si="3"/>
        <v>213.6005823342305</v>
      </c>
      <c r="AA31" s="1454"/>
      <c r="AB31" s="409">
        <v>44</v>
      </c>
      <c r="AC31" s="409">
        <v>1.3</v>
      </c>
      <c r="AD31" s="409"/>
      <c r="AE31" s="588"/>
    </row>
    <row r="32" spans="1:31" s="587" customFormat="1">
      <c r="A32" s="264"/>
      <c r="B32" s="286">
        <v>1997</v>
      </c>
      <c r="C32" s="287">
        <v>2183.2163327078529</v>
      </c>
      <c r="D32" s="287">
        <v>1861.1024475542354</v>
      </c>
      <c r="E32" s="287">
        <f t="shared" si="1"/>
        <v>21.832163327078529</v>
      </c>
      <c r="F32" s="287">
        <f t="shared" si="2"/>
        <v>2619.8595992494234</v>
      </c>
      <c r="G32" s="288">
        <v>35612</v>
      </c>
      <c r="H32" s="289">
        <v>24.255686843948606</v>
      </c>
      <c r="I32" s="290">
        <v>20.712434107258812</v>
      </c>
      <c r="J32" s="291">
        <v>1997</v>
      </c>
      <c r="K32" s="287">
        <v>26660.292561214421</v>
      </c>
      <c r="L32" s="287"/>
      <c r="M32" s="287">
        <v>50311.121109707899</v>
      </c>
      <c r="N32" s="287">
        <v>43562.068277917817</v>
      </c>
      <c r="O32" s="288">
        <v>35065</v>
      </c>
      <c r="P32" s="292">
        <v>0.192</v>
      </c>
      <c r="Q32" s="288">
        <v>36526</v>
      </c>
      <c r="R32" s="305">
        <v>5379.3064836923459</v>
      </c>
      <c r="S32" s="305">
        <v>4423.7718002075844</v>
      </c>
      <c r="T32" s="288">
        <v>36526</v>
      </c>
      <c r="U32" s="301">
        <f>0.0000950479*1.95583</f>
        <v>1.8589753425699999E-4</v>
      </c>
      <c r="V32" s="301">
        <v>1.155783E-4</v>
      </c>
      <c r="W32" s="302">
        <f>1000/$R32*VLOOKUP(Q32,G$5:$I90,2)</f>
        <v>4.5898639569645843</v>
      </c>
      <c r="X32" s="293">
        <f>IFERROR(1000/$S32*VLOOKUP($Q32,G$5:$I90,3),"")</f>
        <v>4.8554430244447104</v>
      </c>
      <c r="Y32" s="1451">
        <f t="shared" si="0"/>
        <v>217.8713812383516</v>
      </c>
      <c r="Z32" s="293">
        <f t="shared" si="3"/>
        <v>205.95442989764345</v>
      </c>
      <c r="AA32" s="1454"/>
      <c r="AB32" s="409">
        <v>45</v>
      </c>
      <c r="AC32" s="409">
        <v>1.3</v>
      </c>
      <c r="AD32" s="409"/>
      <c r="AE32" s="588"/>
    </row>
    <row r="33" spans="1:34" s="587" customFormat="1">
      <c r="A33" s="264"/>
      <c r="B33" s="294">
        <v>1998</v>
      </c>
      <c r="C33" s="281">
        <v>2219.0067643915881</v>
      </c>
      <c r="D33" s="281">
        <v>1861.1024475542354</v>
      </c>
      <c r="E33" s="281">
        <f t="shared" si="1"/>
        <v>22.190067643915881</v>
      </c>
      <c r="F33" s="281">
        <f t="shared" si="2"/>
        <v>2662.8081172699058</v>
      </c>
      <c r="G33" s="295">
        <v>35977</v>
      </c>
      <c r="H33" s="296">
        <v>24.363058138999811</v>
      </c>
      <c r="I33" s="297">
        <v>20.89649918448945</v>
      </c>
      <c r="J33" s="263">
        <v>1998</v>
      </c>
      <c r="K33" s="281">
        <v>27060.122812309863</v>
      </c>
      <c r="L33" s="281"/>
      <c r="M33" s="281">
        <v>51538.221624578822</v>
      </c>
      <c r="N33" s="281">
        <v>42948.518020482355</v>
      </c>
      <c r="O33" s="295">
        <v>35431</v>
      </c>
      <c r="P33" s="298">
        <v>0.20300000000000001</v>
      </c>
      <c r="Q33" s="295">
        <v>36892</v>
      </c>
      <c r="R33" s="306">
        <v>5340.2616791847968</v>
      </c>
      <c r="S33" s="306">
        <v>4473.7050254879005</v>
      </c>
      <c r="T33" s="295">
        <v>36892</v>
      </c>
      <c r="U33" s="266">
        <f>0.0000957429*1.95583</f>
        <v>1.87256836107E-4</v>
      </c>
      <c r="V33" s="266">
        <v>1.142882E-4</v>
      </c>
      <c r="W33" s="303">
        <f>1000/$R33*VLOOKUP(Q33,G$5:$I91,2)</f>
        <v>4.651187728370636</v>
      </c>
      <c r="X33" s="299">
        <f>IFERROR(1000/$S33*VLOOKUP($Q33,G$5:$I91,3),"")</f>
        <v>4.8298210937579018</v>
      </c>
      <c r="Y33" s="1450">
        <f t="shared" si="0"/>
        <v>214.99884726224786</v>
      </c>
      <c r="Z33" s="299">
        <f t="shared" si="3"/>
        <v>207.04700662565074</v>
      </c>
      <c r="AA33" s="1454"/>
      <c r="AB33" s="409">
        <v>46</v>
      </c>
      <c r="AC33" s="409">
        <v>1.3</v>
      </c>
      <c r="AD33" s="409"/>
      <c r="AE33" s="588"/>
    </row>
    <row r="34" spans="1:34" s="587" customFormat="1">
      <c r="A34" s="264"/>
      <c r="B34" s="286">
        <v>1999</v>
      </c>
      <c r="C34" s="287">
        <v>2254.7971960753234</v>
      </c>
      <c r="D34" s="287">
        <v>1896.8928792379706</v>
      </c>
      <c r="E34" s="287">
        <f t="shared" si="1"/>
        <v>22.547971960753234</v>
      </c>
      <c r="F34" s="287">
        <f t="shared" si="2"/>
        <v>2705.7566352903882</v>
      </c>
      <c r="G34" s="288">
        <v>36342</v>
      </c>
      <c r="H34" s="289">
        <v>24.690284942965391</v>
      </c>
      <c r="I34" s="290">
        <v>21.479371929053137</v>
      </c>
      <c r="J34" s="291">
        <v>1999</v>
      </c>
      <c r="K34" s="287">
        <v>27357.694687166062</v>
      </c>
      <c r="L34" s="287"/>
      <c r="M34" s="287">
        <v>52151.771882014284</v>
      </c>
      <c r="N34" s="287">
        <v>44175.618535353278</v>
      </c>
      <c r="O34" s="288">
        <v>35796</v>
      </c>
      <c r="P34" s="292">
        <v>0.20300000000000001</v>
      </c>
      <c r="Q34" s="288">
        <v>37257</v>
      </c>
      <c r="R34" s="305">
        <v>5446.9380000000001</v>
      </c>
      <c r="S34" s="305">
        <v>4545.5545000000002</v>
      </c>
      <c r="T34" s="288">
        <v>37257</v>
      </c>
      <c r="U34" s="301">
        <v>1.8358940000000001E-4</v>
      </c>
      <c r="V34" s="301">
        <v>2.199952E-4</v>
      </c>
      <c r="W34" s="302">
        <f>1000/$R34*VLOOKUP(Q34,G$5:$I92,2)</f>
        <v>4.6473929091949957</v>
      </c>
      <c r="X34" s="293">
        <f>IFERROR(1000/$S34*VLOOKUP($Q34,G$5:$I92,3),"")</f>
        <v>4.8535870978154216</v>
      </c>
      <c r="Y34" s="1451">
        <f t="shared" si="0"/>
        <v>215.17440413128665</v>
      </c>
      <c r="Z34" s="293">
        <f t="shared" si="3"/>
        <v>206.03318326152953</v>
      </c>
      <c r="AA34" s="1454"/>
      <c r="AB34" s="409">
        <v>47</v>
      </c>
      <c r="AC34" s="409">
        <v>1.2</v>
      </c>
      <c r="AD34" s="409"/>
      <c r="AE34" s="588"/>
    </row>
    <row r="35" spans="1:34" s="587" customFormat="1">
      <c r="A35" s="264"/>
      <c r="B35" s="294">
        <v>2000</v>
      </c>
      <c r="C35" s="281">
        <v>2290.5876277590587</v>
      </c>
      <c r="D35" s="281">
        <v>1861.1024475542354</v>
      </c>
      <c r="E35" s="281">
        <f t="shared" si="1"/>
        <v>22.905876277590586</v>
      </c>
      <c r="F35" s="281">
        <f t="shared" si="2"/>
        <v>2748.7051533108702</v>
      </c>
      <c r="G35" s="295">
        <v>36708</v>
      </c>
      <c r="H35" s="296">
        <v>24.838559588512293</v>
      </c>
      <c r="I35" s="297">
        <v>21.607194899352194</v>
      </c>
      <c r="J35" s="263">
        <v>2000</v>
      </c>
      <c r="K35" s="281">
        <v>27740.65230618203</v>
      </c>
      <c r="L35" s="281"/>
      <c r="M35" s="281">
        <v>52765.322139449752</v>
      </c>
      <c r="N35" s="281">
        <v>43562.068277917817</v>
      </c>
      <c r="O35" s="295">
        <v>36161</v>
      </c>
      <c r="P35" s="298">
        <v>0.20300000000000001</v>
      </c>
      <c r="Q35" s="295">
        <v>37622</v>
      </c>
      <c r="R35" s="306">
        <v>5699.85</v>
      </c>
      <c r="S35" s="306">
        <v>4770.1481000000003</v>
      </c>
      <c r="T35" s="295">
        <v>37622</v>
      </c>
      <c r="U35" s="266">
        <v>1.7544319999999999E-4</v>
      </c>
      <c r="V35" s="266">
        <v>2.0963709999999999E-4</v>
      </c>
      <c r="W35" s="303">
        <f>1000/$R35*VLOOKUP(Q35,G$5:$I93,2)</f>
        <v>4.5369614989868152</v>
      </c>
      <c r="X35" s="299">
        <f>IFERROR(1000/$S35*VLOOKUP($Q35,G$5:$I93,3),"")</f>
        <v>4.7587621021661777</v>
      </c>
      <c r="Y35" s="1450">
        <f t="shared" si="0"/>
        <v>220.41183294663574</v>
      </c>
      <c r="Z35" s="299">
        <f t="shared" si="3"/>
        <v>210.13868281938326</v>
      </c>
      <c r="AA35" s="1454"/>
      <c r="AB35" s="409">
        <v>48</v>
      </c>
      <c r="AC35" s="409">
        <v>1.2</v>
      </c>
      <c r="AD35" s="409"/>
      <c r="AE35" s="588"/>
    </row>
    <row r="36" spans="1:34" s="587" customFormat="1">
      <c r="A36" s="264"/>
      <c r="B36" s="286">
        <v>2001</v>
      </c>
      <c r="C36" s="287">
        <v>2290.5876277590587</v>
      </c>
      <c r="D36" s="287">
        <v>1932.6833109217059</v>
      </c>
      <c r="E36" s="287">
        <f t="shared" si="1"/>
        <v>22.905876277590586</v>
      </c>
      <c r="F36" s="287">
        <f t="shared" si="2"/>
        <v>2748.7051533108702</v>
      </c>
      <c r="G36" s="288">
        <v>37073</v>
      </c>
      <c r="H36" s="289">
        <v>25.314061038024775</v>
      </c>
      <c r="I36" s="290">
        <v>22.062244673616828</v>
      </c>
      <c r="J36" s="291">
        <v>2001</v>
      </c>
      <c r="K36" s="287">
        <v>28231.4925121304</v>
      </c>
      <c r="L36" s="287"/>
      <c r="M36" s="287">
        <v>53378.872396885214</v>
      </c>
      <c r="N36" s="287">
        <v>44789.16879278874</v>
      </c>
      <c r="O36" s="288">
        <v>36526</v>
      </c>
      <c r="P36" s="292">
        <v>0.193</v>
      </c>
      <c r="Q36" s="288">
        <v>37987</v>
      </c>
      <c r="R36" s="305">
        <v>5738.46</v>
      </c>
      <c r="S36" s="305">
        <v>4817.3774000000003</v>
      </c>
      <c r="T36" s="288">
        <v>37987</v>
      </c>
      <c r="U36" s="301">
        <v>1.7426280000000001E-4</v>
      </c>
      <c r="V36" s="301">
        <v>2.0758180000000001E-4</v>
      </c>
      <c r="W36" s="302">
        <f>1000/$R36*VLOOKUP(Q36,G$5:$I94,2)</f>
        <v>4.5534864754655429</v>
      </c>
      <c r="X36" s="293">
        <f>IFERROR(1000/$S36*VLOOKUP($Q36,G$5:$I94,3),"")</f>
        <v>4.7681545564605337</v>
      </c>
      <c r="Y36" s="1451">
        <f t="shared" si="0"/>
        <v>219.61194029850748</v>
      </c>
      <c r="Z36" s="293">
        <f t="shared" si="3"/>
        <v>209.72474531998259</v>
      </c>
      <c r="AA36" s="1454"/>
      <c r="AB36" s="409">
        <v>49</v>
      </c>
      <c r="AC36" s="409">
        <v>1.2</v>
      </c>
      <c r="AD36" s="409"/>
      <c r="AE36" s="588"/>
    </row>
    <row r="37" spans="1:34" s="587" customFormat="1">
      <c r="A37" s="264"/>
      <c r="B37" s="294">
        <v>2002</v>
      </c>
      <c r="C37" s="281">
        <v>2345</v>
      </c>
      <c r="D37" s="281">
        <v>1960</v>
      </c>
      <c r="E37" s="281">
        <f t="shared" si="1"/>
        <v>23.45</v>
      </c>
      <c r="F37" s="281">
        <f t="shared" si="2"/>
        <v>2814</v>
      </c>
      <c r="G37" s="295">
        <v>37438</v>
      </c>
      <c r="H37" s="296">
        <v>25.86</v>
      </c>
      <c r="I37" s="297">
        <v>22.7</v>
      </c>
      <c r="J37" s="263">
        <v>2002</v>
      </c>
      <c r="K37" s="281">
        <v>28626</v>
      </c>
      <c r="L37" s="281">
        <v>23911</v>
      </c>
      <c r="M37" s="281">
        <v>54000</v>
      </c>
      <c r="N37" s="281">
        <v>45000</v>
      </c>
      <c r="O37" s="295">
        <v>36892</v>
      </c>
      <c r="P37" s="298">
        <v>0.191</v>
      </c>
      <c r="Q37" s="295">
        <v>38353</v>
      </c>
      <c r="R37" s="306">
        <v>5765.9549999999999</v>
      </c>
      <c r="S37" s="306">
        <v>4851.4556000000002</v>
      </c>
      <c r="T37" s="295">
        <v>38353</v>
      </c>
      <c r="U37" s="266">
        <v>1.7343179999999999E-4</v>
      </c>
      <c r="V37" s="266">
        <v>2.061237E-4</v>
      </c>
      <c r="W37" s="303">
        <f>1000/$R37*VLOOKUP(Q37,G$5:$I95,2)</f>
        <v>4.5317731407893405</v>
      </c>
      <c r="X37" s="299">
        <f>IFERROR(1000/$S37*VLOOKUP($Q37,G$5:$I95,3),"")</f>
        <v>4.7346614900484711</v>
      </c>
      <c r="Y37" s="1450">
        <f t="shared" si="0"/>
        <v>220.6641791044776</v>
      </c>
      <c r="Z37" s="299">
        <f t="shared" si="3"/>
        <v>211.20834131475837</v>
      </c>
      <c r="AA37" s="1454"/>
      <c r="AB37" s="409">
        <v>50</v>
      </c>
      <c r="AC37" s="409">
        <v>1.1000000000000001</v>
      </c>
      <c r="AD37" s="409"/>
      <c r="AE37" s="588"/>
    </row>
    <row r="38" spans="1:34" s="587" customFormat="1">
      <c r="A38" s="264"/>
      <c r="B38" s="286">
        <v>2003</v>
      </c>
      <c r="C38" s="287">
        <v>2380</v>
      </c>
      <c r="D38" s="287">
        <v>1995</v>
      </c>
      <c r="E38" s="287">
        <f t="shared" si="1"/>
        <v>23.8</v>
      </c>
      <c r="F38" s="287">
        <f t="shared" si="2"/>
        <v>2856</v>
      </c>
      <c r="G38" s="288">
        <v>37803</v>
      </c>
      <c r="H38" s="289">
        <v>26.13</v>
      </c>
      <c r="I38" s="290">
        <v>22.97</v>
      </c>
      <c r="J38" s="291">
        <v>2003</v>
      </c>
      <c r="K38" s="287">
        <v>28938</v>
      </c>
      <c r="L38" s="287">
        <v>24230</v>
      </c>
      <c r="M38" s="287">
        <v>61200</v>
      </c>
      <c r="N38" s="287">
        <v>51000</v>
      </c>
      <c r="O38" s="288">
        <v>37257</v>
      </c>
      <c r="P38" s="292">
        <v>0.191</v>
      </c>
      <c r="Q38" s="288">
        <v>38718</v>
      </c>
      <c r="R38" s="305">
        <v>5714.28</v>
      </c>
      <c r="S38" s="305">
        <v>4797.4813000000004</v>
      </c>
      <c r="T38" s="288">
        <v>38718</v>
      </c>
      <c r="U38" s="301">
        <v>1.7500020000000001E-4</v>
      </c>
      <c r="V38" s="301">
        <v>2.084427E-4</v>
      </c>
      <c r="W38" s="302">
        <f>1000/$R38*VLOOKUP(Q38,G$5:$I96,2)</f>
        <v>4.5727545727545724</v>
      </c>
      <c r="X38" s="293">
        <f>IFERROR(1000/$S38*VLOOKUP($Q38,G$5:$I96,3),"")</f>
        <v>4.7879290326780426</v>
      </c>
      <c r="Y38" s="1451">
        <f t="shared" si="0"/>
        <v>218.68656716417911</v>
      </c>
      <c r="Z38" s="293">
        <f t="shared" si="3"/>
        <v>208.85856769699609</v>
      </c>
      <c r="AA38" s="1454"/>
      <c r="AB38" s="409">
        <v>51</v>
      </c>
      <c r="AC38" s="409">
        <v>1.1000000000000001</v>
      </c>
      <c r="AD38" s="559">
        <v>37803</v>
      </c>
      <c r="AE38" s="588">
        <v>2.3E-2</v>
      </c>
    </row>
    <row r="39" spans="1:34" s="587" customFormat="1">
      <c r="A39" s="264"/>
      <c r="B39" s="294">
        <v>2004</v>
      </c>
      <c r="C39" s="281">
        <v>2415</v>
      </c>
      <c r="D39" s="281">
        <v>2030</v>
      </c>
      <c r="E39" s="281">
        <f t="shared" si="1"/>
        <v>24.150000000000002</v>
      </c>
      <c r="F39" s="281">
        <f t="shared" si="2"/>
        <v>2898</v>
      </c>
      <c r="G39" s="295">
        <v>38169</v>
      </c>
      <c r="H39" s="296">
        <v>26.13</v>
      </c>
      <c r="I39" s="297">
        <v>22.97</v>
      </c>
      <c r="J39" s="263">
        <v>2004</v>
      </c>
      <c r="K39" s="281">
        <v>29060</v>
      </c>
      <c r="L39" s="281">
        <v>24355</v>
      </c>
      <c r="M39" s="281">
        <v>61800</v>
      </c>
      <c r="N39" s="281">
        <v>52200</v>
      </c>
      <c r="O39" s="295">
        <v>37622</v>
      </c>
      <c r="P39" s="298">
        <v>0.19500000000000001</v>
      </c>
      <c r="Q39" s="295">
        <v>39083</v>
      </c>
      <c r="R39" s="306">
        <v>5868.1120000000001</v>
      </c>
      <c r="S39" s="306">
        <v>5049.1413000000002</v>
      </c>
      <c r="T39" s="295">
        <v>39083</v>
      </c>
      <c r="U39" s="266">
        <v>1.7041260000000001E-4</v>
      </c>
      <c r="V39" s="266">
        <v>1.9805349999999999E-4</v>
      </c>
      <c r="W39" s="303">
        <f>1000/$R39*VLOOKUP(Q39,G$5:$I97,2)</f>
        <v>4.4528802449578331</v>
      </c>
      <c r="X39" s="299">
        <f>IFERROR(1000/$S39*VLOOKUP($Q39,G$5:$I97,3),"")</f>
        <v>4.5492884106848024</v>
      </c>
      <c r="Y39" s="1450">
        <f t="shared" si="0"/>
        <v>224.57374665135859</v>
      </c>
      <c r="Z39" s="299">
        <f t="shared" si="3"/>
        <v>219.81459730082719</v>
      </c>
      <c r="AA39" s="1454"/>
      <c r="AB39" s="409">
        <v>52</v>
      </c>
      <c r="AC39" s="409">
        <v>1.1000000000000001</v>
      </c>
      <c r="AD39" s="559">
        <v>38078</v>
      </c>
      <c r="AE39" s="588">
        <v>8.9999999999999993E-3</v>
      </c>
    </row>
    <row r="40" spans="1:34" s="587" customFormat="1">
      <c r="A40" s="264"/>
      <c r="B40" s="286">
        <v>2005</v>
      </c>
      <c r="C40" s="287">
        <v>2415</v>
      </c>
      <c r="D40" s="287">
        <v>2030</v>
      </c>
      <c r="E40" s="287">
        <f t="shared" si="1"/>
        <v>24.150000000000002</v>
      </c>
      <c r="F40" s="287">
        <f t="shared" si="2"/>
        <v>2898</v>
      </c>
      <c r="G40" s="288">
        <v>38534</v>
      </c>
      <c r="H40" s="289">
        <v>26.13</v>
      </c>
      <c r="I40" s="290">
        <v>22.97</v>
      </c>
      <c r="J40" s="291">
        <v>2005</v>
      </c>
      <c r="K40" s="287">
        <v>29202</v>
      </c>
      <c r="L40" s="287">
        <v>24691</v>
      </c>
      <c r="M40" s="287">
        <v>62400</v>
      </c>
      <c r="N40" s="287">
        <v>52800</v>
      </c>
      <c r="O40" s="288">
        <v>37987</v>
      </c>
      <c r="P40" s="292">
        <v>0.19500000000000001</v>
      </c>
      <c r="Q40" s="288">
        <v>39448</v>
      </c>
      <c r="R40" s="305">
        <v>5986.7160000000003</v>
      </c>
      <c r="S40" s="305">
        <v>5061.9084999999995</v>
      </c>
      <c r="T40" s="288">
        <v>39448</v>
      </c>
      <c r="U40" s="301">
        <v>1.670365E-4</v>
      </c>
      <c r="V40" s="301">
        <v>1.9755409999999999E-4</v>
      </c>
      <c r="W40" s="302">
        <f>1000/$R40*VLOOKUP(Q40,G$5:$I98,2)</f>
        <v>4.3880484726517839</v>
      </c>
      <c r="X40" s="293">
        <f>IFERROR(1000/$S40*VLOOKUP($Q40,G$5:$I98,3),"")</f>
        <v>4.5615206201376424</v>
      </c>
      <c r="Y40" s="1451">
        <f t="shared" si="0"/>
        <v>227.89173962695091</v>
      </c>
      <c r="Z40" s="293">
        <f t="shared" si="3"/>
        <v>219.22514075357296</v>
      </c>
      <c r="AA40" s="1454"/>
      <c r="AB40" s="409">
        <v>53</v>
      </c>
      <c r="AC40" s="409">
        <v>1</v>
      </c>
      <c r="AD40" s="559">
        <v>38200</v>
      </c>
      <c r="AE40" s="588">
        <v>8.9999999999999993E-3</v>
      </c>
    </row>
    <row r="41" spans="1:34" s="587" customFormat="1">
      <c r="A41" s="264"/>
      <c r="B41" s="294">
        <v>2006</v>
      </c>
      <c r="C41" s="281">
        <v>2450</v>
      </c>
      <c r="D41" s="281">
        <v>2065</v>
      </c>
      <c r="E41" s="281">
        <f t="shared" si="1"/>
        <v>24.5</v>
      </c>
      <c r="F41" s="281">
        <f t="shared" si="2"/>
        <v>2940</v>
      </c>
      <c r="G41" s="295">
        <v>38899</v>
      </c>
      <c r="H41" s="296">
        <v>26.13</v>
      </c>
      <c r="I41" s="297">
        <v>22.97</v>
      </c>
      <c r="J41" s="263">
        <v>2006</v>
      </c>
      <c r="K41" s="281">
        <v>29494</v>
      </c>
      <c r="L41" s="281">
        <v>24938</v>
      </c>
      <c r="M41" s="281">
        <v>63000</v>
      </c>
      <c r="N41" s="281">
        <v>52800</v>
      </c>
      <c r="O41" s="295">
        <v>38353</v>
      </c>
      <c r="P41" s="298">
        <v>0.19500000000000001</v>
      </c>
      <c r="Q41" s="295">
        <v>39814</v>
      </c>
      <c r="R41" s="306">
        <v>6144.9210000000003</v>
      </c>
      <c r="S41" s="306">
        <v>5177.7223999999997</v>
      </c>
      <c r="T41" s="295">
        <v>39814</v>
      </c>
      <c r="U41" s="266">
        <v>1.62736E-4</v>
      </c>
      <c r="V41" s="266">
        <v>1.9313509999999999E-4</v>
      </c>
      <c r="W41" s="303">
        <f>1000/$R41*VLOOKUP(Q41,G$5:$I99,2)</f>
        <v>4.3222687484509557</v>
      </c>
      <c r="X41" s="299">
        <f>IFERROR(1000/$S41*VLOOKUP($Q41,G$5:$I99,3),"")</f>
        <v>4.5077735337838893</v>
      </c>
      <c r="Y41" s="1450">
        <f t="shared" si="0"/>
        <v>231.35997740963859</v>
      </c>
      <c r="Z41" s="299">
        <f t="shared" si="3"/>
        <v>221.83900599828621</v>
      </c>
      <c r="AA41" s="1454"/>
      <c r="AB41" s="409">
        <v>54</v>
      </c>
      <c r="AC41" s="409">
        <v>1</v>
      </c>
      <c r="AD41" s="559">
        <v>39448</v>
      </c>
      <c r="AE41" s="588">
        <v>4.1799999999999997E-2</v>
      </c>
    </row>
    <row r="42" spans="1:34" s="587" customFormat="1">
      <c r="A42" s="264"/>
      <c r="B42" s="286">
        <v>2007</v>
      </c>
      <c r="C42" s="287">
        <v>2450</v>
      </c>
      <c r="D42" s="287">
        <v>2100</v>
      </c>
      <c r="E42" s="287">
        <f t="shared" si="1"/>
        <v>24.5</v>
      </c>
      <c r="F42" s="287">
        <f t="shared" si="2"/>
        <v>2940</v>
      </c>
      <c r="G42" s="288">
        <v>39264</v>
      </c>
      <c r="H42" s="289">
        <v>26.27</v>
      </c>
      <c r="I42" s="290">
        <v>23.09</v>
      </c>
      <c r="J42" s="291">
        <v>2007</v>
      </c>
      <c r="K42" s="287">
        <v>29951</v>
      </c>
      <c r="L42" s="287">
        <v>24294</v>
      </c>
      <c r="M42" s="287">
        <v>63000</v>
      </c>
      <c r="N42" s="287">
        <v>54600</v>
      </c>
      <c r="O42" s="288">
        <v>38718</v>
      </c>
      <c r="P42" s="292">
        <v>0.19500000000000001</v>
      </c>
      <c r="Q42" s="288">
        <v>40179</v>
      </c>
      <c r="R42" s="305">
        <v>6368.5969999999998</v>
      </c>
      <c r="S42" s="305">
        <v>5356.7138000000004</v>
      </c>
      <c r="T42" s="288">
        <v>40179</v>
      </c>
      <c r="U42" s="301">
        <v>1.5702049999999999E-4</v>
      </c>
      <c r="V42" s="301">
        <v>1.866816E-4</v>
      </c>
      <c r="W42" s="302">
        <f>1000/$R42*VLOOKUP(Q42,G$5:$I100,2)</f>
        <v>4.2709563817588085</v>
      </c>
      <c r="X42" s="293">
        <f>IFERROR(1000/$S42*VLOOKUP($Q42,G$5:$I100,3),"")</f>
        <v>4.5046274452818436</v>
      </c>
      <c r="Y42" s="1451">
        <f t="shared" si="0"/>
        <v>234.13959558823527</v>
      </c>
      <c r="Z42" s="293">
        <f t="shared" si="3"/>
        <v>221.99394115209287</v>
      </c>
      <c r="AA42" s="1454"/>
      <c r="AB42" s="409">
        <v>55</v>
      </c>
      <c r="AC42" s="409">
        <v>1</v>
      </c>
      <c r="AD42" s="559">
        <v>39814</v>
      </c>
      <c r="AE42" s="588">
        <v>2.7E-2</v>
      </c>
      <c r="AG42" s="1398" t="s">
        <v>1593</v>
      </c>
    </row>
    <row r="43" spans="1:34" s="587" customFormat="1">
      <c r="A43" s="264"/>
      <c r="B43" s="294">
        <v>2008</v>
      </c>
      <c r="C43" s="281">
        <v>2485</v>
      </c>
      <c r="D43" s="281">
        <v>2100</v>
      </c>
      <c r="E43" s="281">
        <f t="shared" si="1"/>
        <v>24.85</v>
      </c>
      <c r="F43" s="281">
        <f t="shared" si="2"/>
        <v>2982</v>
      </c>
      <c r="G43" s="295">
        <v>39630</v>
      </c>
      <c r="H43" s="296">
        <v>26.56</v>
      </c>
      <c r="I43" s="297">
        <v>23.34</v>
      </c>
      <c r="J43" s="263">
        <v>2008</v>
      </c>
      <c r="K43" s="281">
        <v>30625</v>
      </c>
      <c r="L43" s="281">
        <v>25829</v>
      </c>
      <c r="M43" s="281">
        <v>63600</v>
      </c>
      <c r="N43" s="281">
        <v>54000</v>
      </c>
      <c r="O43" s="295">
        <v>39083</v>
      </c>
      <c r="P43" s="298">
        <v>0.19900000000000001</v>
      </c>
      <c r="Q43" s="295">
        <v>40544</v>
      </c>
      <c r="R43" s="306">
        <v>6023.3320000000003</v>
      </c>
      <c r="S43" s="306">
        <v>5270.2178999999996</v>
      </c>
      <c r="T43" s="295">
        <v>40544</v>
      </c>
      <c r="U43" s="266">
        <v>1.6602106608103287E-4</v>
      </c>
      <c r="V43" s="266">
        <v>1.8974547522978132E-4</v>
      </c>
      <c r="W43" s="303">
        <f>1000/$R43*VLOOKUP(Q43,G$5:$I101,2)</f>
        <v>4.5157729974040937</v>
      </c>
      <c r="X43" s="299">
        <f>IFERROR(1000/$S43*VLOOKUP($Q43,G$5:$I101,3),"")</f>
        <v>4.5785583172946227</v>
      </c>
      <c r="Y43" s="1450">
        <f t="shared" si="0"/>
        <v>221.44602941176475</v>
      </c>
      <c r="Z43" s="299">
        <f t="shared" si="3"/>
        <v>218.40936179030254</v>
      </c>
      <c r="AA43" s="1454"/>
      <c r="AB43" s="409">
        <v>56</v>
      </c>
      <c r="AC43" s="409">
        <v>1</v>
      </c>
      <c r="AD43" s="559">
        <v>40179</v>
      </c>
      <c r="AE43" s="588">
        <v>1.0999999999999999E-2</v>
      </c>
      <c r="AG43" s="1396">
        <v>1</v>
      </c>
      <c r="AH43" s="1397">
        <v>0.97399999999999998</v>
      </c>
    </row>
    <row r="44" spans="1:34" s="587" customFormat="1">
      <c r="A44" s="264"/>
      <c r="B44" s="286">
        <v>2009</v>
      </c>
      <c r="C44" s="287">
        <v>2520</v>
      </c>
      <c r="D44" s="287">
        <v>2135</v>
      </c>
      <c r="E44" s="287">
        <f t="shared" si="1"/>
        <v>25.2</v>
      </c>
      <c r="F44" s="287">
        <f t="shared" si="2"/>
        <v>3024</v>
      </c>
      <c r="G44" s="288">
        <v>39995</v>
      </c>
      <c r="H44" s="289">
        <v>27.2</v>
      </c>
      <c r="I44" s="290">
        <v>24.13</v>
      </c>
      <c r="J44" s="291">
        <v>2009</v>
      </c>
      <c r="K44" s="287">
        <v>30506</v>
      </c>
      <c r="L44" s="287">
        <v>26047</v>
      </c>
      <c r="M44" s="287">
        <v>64800</v>
      </c>
      <c r="N44" s="287">
        <v>54600</v>
      </c>
      <c r="O44" s="288">
        <v>39448</v>
      </c>
      <c r="P44" s="292">
        <v>0.19900000000000001</v>
      </c>
      <c r="Q44" s="288">
        <v>40909</v>
      </c>
      <c r="R44" s="305">
        <v>6359.4160000000002</v>
      </c>
      <c r="S44" s="305">
        <v>5410.4270999999999</v>
      </c>
      <c r="T44" s="288">
        <v>40909</v>
      </c>
      <c r="U44" s="301">
        <v>1.5724709999999999E-4</v>
      </c>
      <c r="V44" s="301">
        <v>1.8482829999999999E-4</v>
      </c>
      <c r="W44" s="302">
        <f>1000/$R44*VLOOKUP(Q44,G$5:$I102,2)</f>
        <v>4.3194658125840482</v>
      </c>
      <c r="X44" s="293">
        <f>IFERROR(1000/$S44*VLOOKUP($Q44,G$5:$I102,3),"")</f>
        <v>4.5042654765646875</v>
      </c>
      <c r="Y44" s="1451">
        <f t="shared" si="0"/>
        <v>231.51010874693478</v>
      </c>
      <c r="Z44" s="293">
        <f t="shared" si="3"/>
        <v>222.01178087812886</v>
      </c>
      <c r="AA44" s="1454"/>
      <c r="AB44" s="409">
        <v>57</v>
      </c>
      <c r="AC44" s="409">
        <v>0.9</v>
      </c>
      <c r="AD44" s="559">
        <v>40544</v>
      </c>
      <c r="AE44" s="588">
        <v>5.0000000000000001E-3</v>
      </c>
      <c r="AG44" s="1394">
        <v>2</v>
      </c>
      <c r="AH44" s="1395">
        <v>1.897</v>
      </c>
    </row>
    <row r="45" spans="1:34" s="587" customFormat="1">
      <c r="A45" s="264"/>
      <c r="B45" s="294">
        <v>2010</v>
      </c>
      <c r="C45" s="281">
        <v>2555</v>
      </c>
      <c r="D45" s="281">
        <v>2170</v>
      </c>
      <c r="E45" s="281">
        <f t="shared" si="1"/>
        <v>25.55</v>
      </c>
      <c r="F45" s="281">
        <f t="shared" si="2"/>
        <v>3066</v>
      </c>
      <c r="G45" s="295">
        <v>40360</v>
      </c>
      <c r="H45" s="296">
        <v>27.2</v>
      </c>
      <c r="I45" s="297">
        <v>24.13</v>
      </c>
      <c r="J45" s="263">
        <v>2010</v>
      </c>
      <c r="K45" s="281">
        <v>31144</v>
      </c>
      <c r="L45" s="281">
        <v>27292.341804536925</v>
      </c>
      <c r="M45" s="281">
        <v>66000</v>
      </c>
      <c r="N45" s="281">
        <v>55800</v>
      </c>
      <c r="O45" s="295">
        <v>39814</v>
      </c>
      <c r="P45" s="298">
        <v>0.19900000000000001</v>
      </c>
      <c r="Q45" s="295">
        <v>41275</v>
      </c>
      <c r="R45" s="306">
        <v>6439.4189999999999</v>
      </c>
      <c r="S45" s="306">
        <v>5472.4390000000003</v>
      </c>
      <c r="T45" s="295">
        <v>41275</v>
      </c>
      <c r="U45" s="266">
        <v>1.5529350000000001E-4</v>
      </c>
      <c r="V45" s="266">
        <v>1.8273390000000001E-4</v>
      </c>
      <c r="W45" s="303">
        <f>1000/$R45*VLOOKUP(Q45,G$5:$I103,2)</f>
        <v>4.3590889178045416</v>
      </c>
      <c r="X45" s="299">
        <f>IFERROR(1000/$S45*VLOOKUP($Q45,G$5:$I103,3),"")</f>
        <v>4.5537282370803949</v>
      </c>
      <c r="Y45" s="1450">
        <f t="shared" si="0"/>
        <v>229.40573566084785</v>
      </c>
      <c r="Z45" s="299">
        <f t="shared" si="3"/>
        <v>219.60028089887641</v>
      </c>
      <c r="AA45" s="1454"/>
      <c r="AB45" s="409">
        <v>58</v>
      </c>
      <c r="AC45" s="409">
        <v>0.9</v>
      </c>
      <c r="AD45" s="559">
        <v>40756</v>
      </c>
      <c r="AE45" s="588">
        <v>2E-3</v>
      </c>
      <c r="AG45" s="1394">
        <v>3</v>
      </c>
      <c r="AH45" s="1395">
        <v>2.7719999999999998</v>
      </c>
    </row>
    <row r="46" spans="1:34" s="587" customFormat="1">
      <c r="A46" s="264"/>
      <c r="B46" s="286">
        <v>2011</v>
      </c>
      <c r="C46" s="287">
        <v>2555</v>
      </c>
      <c r="D46" s="287">
        <v>2240</v>
      </c>
      <c r="E46" s="287">
        <f t="shared" si="1"/>
        <v>25.55</v>
      </c>
      <c r="F46" s="287">
        <f t="shared" si="2"/>
        <v>3066</v>
      </c>
      <c r="G46" s="288">
        <v>40725</v>
      </c>
      <c r="H46" s="289">
        <v>27.469280000000001</v>
      </c>
      <c r="I46" s="290">
        <v>24.37</v>
      </c>
      <c r="J46" s="291">
        <v>2011</v>
      </c>
      <c r="K46" s="287">
        <v>32100</v>
      </c>
      <c r="L46" s="287">
        <v>26484</v>
      </c>
      <c r="M46" s="287">
        <v>66000</v>
      </c>
      <c r="N46" s="287">
        <v>57600</v>
      </c>
      <c r="O46" s="288">
        <v>40179</v>
      </c>
      <c r="P46" s="292">
        <v>0.19900000000000001</v>
      </c>
      <c r="Q46" s="288">
        <v>41640</v>
      </c>
      <c r="R46" s="305">
        <v>6523.1459999999997</v>
      </c>
      <c r="S46" s="305">
        <v>5592.0668666952415</v>
      </c>
      <c r="T46" s="288">
        <v>41640</v>
      </c>
      <c r="U46" s="301">
        <v>1.5330026340051257E-4</v>
      </c>
      <c r="V46" s="301">
        <v>1.7882475725669795E-4</v>
      </c>
      <c r="W46" s="302">
        <f>1000/$R46*VLOOKUP(Q46,G$5:$I104,2)</f>
        <v>4.3138694120904244</v>
      </c>
      <c r="X46" s="293">
        <f>IFERROR(1000/$S46*VLOOKUP($Q46,G$5:$I104,3),"")</f>
        <v>4.6029492517874049</v>
      </c>
      <c r="Y46" s="1451">
        <f t="shared" si="0"/>
        <v>231.81044776119401</v>
      </c>
      <c r="Z46" s="293">
        <f t="shared" si="3"/>
        <v>217.25201502312515</v>
      </c>
      <c r="AA46" s="1454"/>
      <c r="AB46" s="409">
        <v>59</v>
      </c>
      <c r="AC46" s="409">
        <v>0.9</v>
      </c>
      <c r="AD46" s="559">
        <v>40969</v>
      </c>
      <c r="AE46" s="588">
        <v>3.2000000000000001E-2</v>
      </c>
      <c r="AG46" s="1394">
        <v>4</v>
      </c>
      <c r="AH46" s="1395">
        <v>3.6019999999999999</v>
      </c>
    </row>
    <row r="47" spans="1:34" s="587" customFormat="1">
      <c r="A47" s="264"/>
      <c r="B47" s="294">
        <v>2012</v>
      </c>
      <c r="C47" s="281">
        <v>2625</v>
      </c>
      <c r="D47" s="281">
        <v>2240</v>
      </c>
      <c r="E47" s="281">
        <f t="shared" si="1"/>
        <v>26.25</v>
      </c>
      <c r="F47" s="281">
        <f t="shared" si="2"/>
        <v>3150</v>
      </c>
      <c r="G47" s="295">
        <v>41091</v>
      </c>
      <c r="H47" s="296">
        <v>28.07</v>
      </c>
      <c r="I47" s="297">
        <v>24.92</v>
      </c>
      <c r="J47" s="263">
        <v>2012</v>
      </c>
      <c r="K47" s="281">
        <v>33002</v>
      </c>
      <c r="L47" s="281">
        <v>28077.25029777097</v>
      </c>
      <c r="M47" s="281">
        <v>67200</v>
      </c>
      <c r="N47" s="281">
        <v>57600</v>
      </c>
      <c r="O47" s="295">
        <v>40544</v>
      </c>
      <c r="P47" s="298">
        <v>0.19900000000000001</v>
      </c>
      <c r="Q47" s="295">
        <v>42005</v>
      </c>
      <c r="R47" s="306">
        <v>6544.8130000000001</v>
      </c>
      <c r="S47" s="306">
        <v>5585.7412000000004</v>
      </c>
      <c r="T47" s="295">
        <v>42005</v>
      </c>
      <c r="U47" s="266">
        <v>1.5279280000000001E-4</v>
      </c>
      <c r="V47" s="266">
        <v>1.790273E-4</v>
      </c>
      <c r="W47" s="303">
        <f>1000/$R47*VLOOKUP(Q47,G$5:$I105,2)</f>
        <v>4.3714006802027798</v>
      </c>
      <c r="X47" s="299">
        <f>IFERROR(1000/$S47*VLOOKUP($Q47,G$5:$I105,3),"")</f>
        <v>4.7245296649261155</v>
      </c>
      <c r="Y47" s="1450">
        <f t="shared" si="0"/>
        <v>228.75962950017478</v>
      </c>
      <c r="Z47" s="299">
        <f t="shared" si="3"/>
        <v>211.66128078817735</v>
      </c>
      <c r="AA47" s="1454"/>
      <c r="AB47" s="409">
        <v>60</v>
      </c>
      <c r="AC47" s="409">
        <v>0.9</v>
      </c>
      <c r="AD47" s="559">
        <v>41275</v>
      </c>
      <c r="AE47" s="588">
        <v>1.0999999999999999E-2</v>
      </c>
      <c r="AG47" s="1394">
        <v>5</v>
      </c>
      <c r="AH47" s="1395">
        <v>4.3879999999999999</v>
      </c>
    </row>
    <row r="48" spans="1:34" s="587" customFormat="1">
      <c r="A48" s="264"/>
      <c r="B48" s="286">
        <v>2013</v>
      </c>
      <c r="C48" s="287">
        <v>2695</v>
      </c>
      <c r="D48" s="287">
        <v>2275</v>
      </c>
      <c r="E48" s="287">
        <f t="shared" si="1"/>
        <v>26.95</v>
      </c>
      <c r="F48" s="287">
        <f t="shared" si="2"/>
        <v>3234</v>
      </c>
      <c r="G48" s="288">
        <v>41456</v>
      </c>
      <c r="H48" s="289">
        <v>28.14</v>
      </c>
      <c r="I48" s="290">
        <v>25.74</v>
      </c>
      <c r="J48" s="291">
        <v>2013</v>
      </c>
      <c r="K48" s="287">
        <v>33659</v>
      </c>
      <c r="L48" s="287">
        <v>28955</v>
      </c>
      <c r="M48" s="287">
        <v>69600</v>
      </c>
      <c r="N48" s="287">
        <v>58800</v>
      </c>
      <c r="O48" s="288">
        <v>40909</v>
      </c>
      <c r="P48" s="292">
        <v>0.19600000000000001</v>
      </c>
      <c r="Q48" s="288">
        <v>42370</v>
      </c>
      <c r="R48" s="305">
        <v>6781.9290000000001</v>
      </c>
      <c r="S48" s="305">
        <v>5908.1183000000001</v>
      </c>
      <c r="T48" s="288">
        <v>42370</v>
      </c>
      <c r="U48" s="301">
        <v>1.474507E-4</v>
      </c>
      <c r="V48" s="301">
        <v>1.692586E-4</v>
      </c>
      <c r="W48" s="302">
        <f>1000/$R48*VLOOKUP(Q48,G$5:$I106,2)</f>
        <v>4.3070341786238098</v>
      </c>
      <c r="X48" s="293">
        <f>IFERROR(1000/$S48*VLOOKUP($Q48,G$5:$I106,3),"")</f>
        <v>4.5784458987559544</v>
      </c>
      <c r="Y48" s="1451">
        <f t="shared" si="0"/>
        <v>232.17832933926741</v>
      </c>
      <c r="Z48" s="293">
        <f t="shared" si="3"/>
        <v>218.41472458410351</v>
      </c>
      <c r="AA48" s="1454"/>
      <c r="AB48" s="409">
        <v>61</v>
      </c>
      <c r="AC48" s="409">
        <v>0.9</v>
      </c>
      <c r="AD48" s="559">
        <v>41699</v>
      </c>
      <c r="AE48" s="588">
        <v>2.7E-2</v>
      </c>
      <c r="AG48" s="1394">
        <v>7</v>
      </c>
      <c r="AH48" s="1395">
        <v>5.8390000000000004</v>
      </c>
    </row>
    <row r="49" spans="1:34" s="587" customFormat="1">
      <c r="A49" s="264"/>
      <c r="B49" s="294">
        <v>2014</v>
      </c>
      <c r="C49" s="281">
        <v>2765</v>
      </c>
      <c r="D49" s="281">
        <v>2345</v>
      </c>
      <c r="E49" s="281">
        <f t="shared" si="1"/>
        <v>27.650000000000002</v>
      </c>
      <c r="F49" s="281">
        <f t="shared" si="2"/>
        <v>3318</v>
      </c>
      <c r="G49" s="295">
        <v>41821</v>
      </c>
      <c r="H49" s="296">
        <v>28.61</v>
      </c>
      <c r="I49" s="297">
        <v>26.39</v>
      </c>
      <c r="J49" s="263">
        <v>2014</v>
      </c>
      <c r="K49" s="281">
        <v>34514</v>
      </c>
      <c r="L49" s="281">
        <v>29587.655379339903</v>
      </c>
      <c r="M49" s="281">
        <v>71400</v>
      </c>
      <c r="N49" s="281">
        <v>60000</v>
      </c>
      <c r="O49" s="295">
        <v>41275</v>
      </c>
      <c r="P49" s="298">
        <v>0.189</v>
      </c>
      <c r="Q49" s="295">
        <v>42736</v>
      </c>
      <c r="R49" s="306">
        <v>6938.2610000000004</v>
      </c>
      <c r="S49" s="306">
        <v>6198.7501000000002</v>
      </c>
      <c r="T49" s="295">
        <v>42736</v>
      </c>
      <c r="U49" s="266">
        <v>1.4412830000000001E-4</v>
      </c>
      <c r="V49" s="266">
        <v>1.6132280000000001E-4</v>
      </c>
      <c r="W49" s="303">
        <f>1000/$R49*VLOOKUP(Q49,G$5:$I107,2)</f>
        <v>4.3887077756227386</v>
      </c>
      <c r="X49" s="299">
        <f>IFERROR(1000/$S49*VLOOKUP($Q49,G$5:$I107,3),"")</f>
        <v>4.623512730413184</v>
      </c>
      <c r="Y49" s="1450">
        <f t="shared" si="0"/>
        <v>227.85750410509033</v>
      </c>
      <c r="Z49" s="299">
        <f t="shared" si="3"/>
        <v>216.28576762037684</v>
      </c>
      <c r="AA49" s="1454"/>
      <c r="AB49" s="409">
        <v>62</v>
      </c>
      <c r="AC49" s="409">
        <v>0.8</v>
      </c>
      <c r="AD49" s="559">
        <v>42064</v>
      </c>
      <c r="AE49" s="588">
        <v>2.1999999999999999E-2</v>
      </c>
      <c r="AG49" s="1394">
        <v>8</v>
      </c>
      <c r="AH49" s="1395">
        <v>6.5090000000000003</v>
      </c>
    </row>
    <row r="50" spans="1:34" s="587" customFormat="1">
      <c r="A50" s="264"/>
      <c r="B50" s="286">
        <v>2015</v>
      </c>
      <c r="C50" s="287">
        <v>2835</v>
      </c>
      <c r="D50" s="287">
        <v>2835</v>
      </c>
      <c r="E50" s="287">
        <f t="shared" si="1"/>
        <v>28.35</v>
      </c>
      <c r="F50" s="287">
        <f t="shared" si="2"/>
        <v>3402</v>
      </c>
      <c r="G50" s="288">
        <v>42186</v>
      </c>
      <c r="H50" s="289">
        <v>29.21</v>
      </c>
      <c r="I50" s="290">
        <v>27.05</v>
      </c>
      <c r="J50" s="291">
        <v>2015</v>
      </c>
      <c r="K50" s="287">
        <v>35363</v>
      </c>
      <c r="L50" s="287">
        <v>29870</v>
      </c>
      <c r="M50" s="287">
        <v>72600</v>
      </c>
      <c r="N50" s="287">
        <v>62400</v>
      </c>
      <c r="O50" s="288">
        <v>41640</v>
      </c>
      <c r="P50" s="292">
        <v>0.189</v>
      </c>
      <c r="Q50" s="288">
        <v>43101</v>
      </c>
      <c r="R50" s="305">
        <v>7044.3779999999997</v>
      </c>
      <c r="S50" s="305">
        <v>6262.7826999999997</v>
      </c>
      <c r="T50" s="288">
        <v>43101</v>
      </c>
      <c r="U50" s="301">
        <v>1.419572E-4</v>
      </c>
      <c r="V50" s="301">
        <v>1.5967339999999999E-4</v>
      </c>
      <c r="W50" s="302">
        <f>1000/$R50*VLOOKUP(Q50,G$5:$I108,2)</f>
        <v>4.4049311379940148</v>
      </c>
      <c r="X50" s="293">
        <f>IFERROR(1000/$S50*VLOOKUP($Q50,G$5:$I108,3),"")</f>
        <v>4.7407041601491304</v>
      </c>
      <c r="Y50" s="1451">
        <f t="shared" si="0"/>
        <v>227.01830486625843</v>
      </c>
      <c r="Z50" s="293">
        <f t="shared" si="3"/>
        <v>210.93912765240819</v>
      </c>
      <c r="AA50" s="1454"/>
      <c r="AB50" s="409">
        <v>63</v>
      </c>
      <c r="AC50" s="409">
        <v>0.8</v>
      </c>
      <c r="AD50" s="559">
        <v>42430</v>
      </c>
      <c r="AE50" s="588">
        <v>2.1999999999999999E-2</v>
      </c>
      <c r="AG50" s="1394">
        <v>9</v>
      </c>
      <c r="AH50" s="1395">
        <v>7.1429999999999998</v>
      </c>
    </row>
    <row r="51" spans="1:34" s="587" customFormat="1">
      <c r="A51" s="264"/>
      <c r="B51" s="294">
        <v>2016</v>
      </c>
      <c r="C51" s="281">
        <v>2905</v>
      </c>
      <c r="D51" s="281">
        <v>2520</v>
      </c>
      <c r="E51" s="281">
        <f t="shared" si="1"/>
        <v>29.05</v>
      </c>
      <c r="F51" s="281">
        <f t="shared" si="2"/>
        <v>3486</v>
      </c>
      <c r="G51" s="295">
        <v>42552</v>
      </c>
      <c r="H51" s="296">
        <v>30.45</v>
      </c>
      <c r="I51" s="297">
        <v>28.66</v>
      </c>
      <c r="J51" s="263">
        <v>2016</v>
      </c>
      <c r="K51" s="281">
        <v>36187</v>
      </c>
      <c r="L51" s="281">
        <v>31594.215524000352</v>
      </c>
      <c r="M51" s="281">
        <v>74400</v>
      </c>
      <c r="N51" s="281">
        <v>64800</v>
      </c>
      <c r="O51" s="295">
        <v>42005</v>
      </c>
      <c r="P51" s="298">
        <v>0.187</v>
      </c>
      <c r="Q51" s="295">
        <v>43466</v>
      </c>
      <c r="R51" s="306">
        <v>7235.5860000000002</v>
      </c>
      <c r="S51" s="306">
        <v>6674.8948</v>
      </c>
      <c r="T51" s="295">
        <v>43466</v>
      </c>
      <c r="U51" s="266">
        <f>1/7235.586</f>
        <v>1.3820580668932688E-4</v>
      </c>
      <c r="V51" s="266">
        <v>1.4981510000000001E-4</v>
      </c>
      <c r="W51" s="303">
        <f>1000/$R51*VLOOKUP(Q51,G$5:$I109,2)</f>
        <v>4.4267319882591405</v>
      </c>
      <c r="X51" s="299">
        <f>IFERROR(1000/$S51*VLOOKUP($Q51,G$5:$I109,3),"")</f>
        <v>4.5978252720926776</v>
      </c>
      <c r="Y51" s="1450">
        <f t="shared" si="0"/>
        <v>225.90028098657507</v>
      </c>
      <c r="Z51" s="299">
        <f t="shared" si="3"/>
        <v>217.49412838058001</v>
      </c>
      <c r="AA51" s="1454"/>
      <c r="AB51" s="409">
        <v>64</v>
      </c>
      <c r="AC51" s="409">
        <v>0.8</v>
      </c>
      <c r="AD51" s="559">
        <v>42767</v>
      </c>
      <c r="AE51" s="588">
        <v>2.35E-2</v>
      </c>
      <c r="AG51" s="1394">
        <v>10</v>
      </c>
      <c r="AH51" s="1395">
        <v>7.7450000000000001</v>
      </c>
    </row>
    <row r="52" spans="1:34" s="587" customFormat="1">
      <c r="A52" s="264"/>
      <c r="B52" s="286">
        <v>2017</v>
      </c>
      <c r="C52" s="287">
        <v>2975</v>
      </c>
      <c r="D52" s="287">
        <v>2975</v>
      </c>
      <c r="E52" s="287">
        <f t="shared" si="1"/>
        <v>29.75</v>
      </c>
      <c r="F52" s="287">
        <f t="shared" si="2"/>
        <v>3570</v>
      </c>
      <c r="G52" s="288">
        <v>42917</v>
      </c>
      <c r="H52" s="289">
        <v>31.03</v>
      </c>
      <c r="I52" s="290">
        <v>29.69</v>
      </c>
      <c r="J52" s="291">
        <v>2017</v>
      </c>
      <c r="K52" s="287">
        <v>37077</v>
      </c>
      <c r="L52" s="287">
        <v>33148</v>
      </c>
      <c r="M52" s="287">
        <v>76200</v>
      </c>
      <c r="N52" s="287">
        <v>68400</v>
      </c>
      <c r="O52" s="288">
        <v>42370</v>
      </c>
      <c r="P52" s="292">
        <v>0.187</v>
      </c>
      <c r="Q52" s="288">
        <v>43831</v>
      </c>
      <c r="R52" s="305">
        <v>7542.4859999999999</v>
      </c>
      <c r="S52" s="305">
        <v>7049.0280000000002</v>
      </c>
      <c r="T52" s="288">
        <v>43831</v>
      </c>
      <c r="U52" s="301">
        <v>1.3258230000000001E-4</v>
      </c>
      <c r="V52" s="301">
        <v>1.4186299999999999E-4</v>
      </c>
      <c r="W52" s="302">
        <f>1000/$R52*VLOOKUP(Q52,G$5:$I110,2)</f>
        <v>4.3818443945404741</v>
      </c>
      <c r="X52" s="293">
        <f>IFERROR(1000/$S52*VLOOKUP($Q52,G$5:$I110,3),"")</f>
        <v>4.5240279936467838</v>
      </c>
      <c r="Y52" s="1451">
        <f t="shared" si="0"/>
        <v>228.21440242057486</v>
      </c>
      <c r="Z52" s="293">
        <f t="shared" si="3"/>
        <v>221.04195672624647</v>
      </c>
      <c r="AA52" s="1454"/>
      <c r="AD52" s="559">
        <v>43160</v>
      </c>
      <c r="AE52" s="588">
        <v>2.9899999999999999E-2</v>
      </c>
      <c r="AG52" s="1394">
        <v>11</v>
      </c>
      <c r="AH52" s="1395">
        <v>8.3149999999999995</v>
      </c>
    </row>
    <row r="53" spans="1:34" s="587" customFormat="1">
      <c r="A53" s="264"/>
      <c r="B53" s="294">
        <v>2018</v>
      </c>
      <c r="C53" s="281">
        <v>3045</v>
      </c>
      <c r="D53" s="281">
        <v>2695</v>
      </c>
      <c r="E53" s="281">
        <f t="shared" si="1"/>
        <v>30.45</v>
      </c>
      <c r="F53" s="281">
        <f t="shared" si="2"/>
        <v>3654</v>
      </c>
      <c r="G53" s="295">
        <v>43282</v>
      </c>
      <c r="H53" s="296">
        <v>32.03</v>
      </c>
      <c r="I53" s="297">
        <v>30.69</v>
      </c>
      <c r="J53" s="263">
        <v>2018</v>
      </c>
      <c r="K53" s="281">
        <v>38212</v>
      </c>
      <c r="L53" s="281">
        <v>33672</v>
      </c>
      <c r="M53" s="281">
        <v>78000</v>
      </c>
      <c r="N53" s="281">
        <v>69600</v>
      </c>
      <c r="O53" s="295">
        <v>42736</v>
      </c>
      <c r="P53" s="298">
        <v>0.187</v>
      </c>
      <c r="Q53" s="295">
        <v>44197</v>
      </c>
      <c r="R53" s="428">
        <v>7726.6260000000002</v>
      </c>
      <c r="S53" s="306">
        <v>7316.8806999999997</v>
      </c>
      <c r="T53" s="295">
        <v>44197</v>
      </c>
      <c r="U53" s="266">
        <v>1.2942260000000001E-4</v>
      </c>
      <c r="V53" s="266">
        <v>1.366703E-4</v>
      </c>
      <c r="W53" s="303">
        <f>1000/$R53*VLOOKUP(Q53,G$5:$I111,2)</f>
        <v>4.4249585782979528</v>
      </c>
      <c r="X53" s="299">
        <f>IFERROR(1000/$S53*VLOOKUP($Q53,G$5:$I111,3),"")</f>
        <v>4.5415527958519259</v>
      </c>
      <c r="Y53" s="1450">
        <f t="shared" si="0"/>
        <v>225.9908160280784</v>
      </c>
      <c r="Z53" s="299">
        <f t="shared" si="3"/>
        <v>220.18900692145652</v>
      </c>
      <c r="AA53" s="1454"/>
      <c r="AD53" s="559">
        <v>43556</v>
      </c>
      <c r="AE53" s="588">
        <v>3.09E-2</v>
      </c>
      <c r="AG53" s="1394">
        <v>12</v>
      </c>
      <c r="AH53" s="1395">
        <v>8.8559999999999999</v>
      </c>
    </row>
    <row r="54" spans="1:34" s="587" customFormat="1">
      <c r="A54" s="264"/>
      <c r="B54" s="286">
        <v>2019</v>
      </c>
      <c r="C54" s="287">
        <v>3115</v>
      </c>
      <c r="D54" s="287">
        <v>2870</v>
      </c>
      <c r="E54" s="287">
        <f t="shared" si="1"/>
        <v>31.150000000000002</v>
      </c>
      <c r="F54" s="287">
        <f t="shared" si="2"/>
        <v>3738</v>
      </c>
      <c r="G54" s="288">
        <v>43647</v>
      </c>
      <c r="H54" s="289">
        <v>33.049999999999997</v>
      </c>
      <c r="I54" s="290">
        <v>31.89</v>
      </c>
      <c r="J54" s="291">
        <v>2019</v>
      </c>
      <c r="K54" s="287">
        <v>39301</v>
      </c>
      <c r="L54" s="287">
        <f>+K54/1.084</f>
        <v>36255.535055350549</v>
      </c>
      <c r="M54" s="287">
        <v>80400</v>
      </c>
      <c r="N54" s="287">
        <v>73800</v>
      </c>
      <c r="O54" s="288">
        <v>43101</v>
      </c>
      <c r="P54" s="292">
        <v>0.186</v>
      </c>
      <c r="Q54" s="288">
        <v>44562</v>
      </c>
      <c r="R54" s="305">
        <f>ROUND(K57*P57,4)</f>
        <v>7821.8580000000002</v>
      </c>
      <c r="S54" s="305">
        <f>ROUND(P57*L57,4)</f>
        <v>7506.5879999999997</v>
      </c>
      <c r="T54" s="288">
        <v>44562</v>
      </c>
      <c r="U54" s="301">
        <v>1.382058E-4</v>
      </c>
      <c r="V54" s="301">
        <f>1/S54</f>
        <v>1.3321631612125243E-4</v>
      </c>
      <c r="W54" s="302">
        <f>1000/$R54*VLOOKUP(Q54,G$5:$I112,2)</f>
        <v>4.3710842104267291</v>
      </c>
      <c r="X54" s="293">
        <f>IFERROR(1000/$S54*VLOOKUP($Q54,G$5:$I112,3),"")</f>
        <v>4.4587501005783183</v>
      </c>
      <c r="Y54" s="1451">
        <f t="shared" si="0"/>
        <v>228.77619186896757</v>
      </c>
      <c r="Z54" s="293">
        <f t="shared" si="3"/>
        <v>224.27809979085751</v>
      </c>
      <c r="AA54" s="1456"/>
      <c r="AD54" s="409"/>
      <c r="AE54" s="589"/>
      <c r="AG54" s="1394">
        <v>13</v>
      </c>
      <c r="AH54" s="1395">
        <v>9.3680000000000003</v>
      </c>
    </row>
    <row r="55" spans="1:34" s="587" customFormat="1">
      <c r="A55" s="264"/>
      <c r="B55" s="294">
        <v>2020</v>
      </c>
      <c r="C55" s="281">
        <v>3185</v>
      </c>
      <c r="D55" s="281">
        <v>3010</v>
      </c>
      <c r="E55" s="281">
        <f t="shared" si="1"/>
        <v>31.85</v>
      </c>
      <c r="F55" s="281">
        <f t="shared" si="2"/>
        <v>3822</v>
      </c>
      <c r="G55" s="295">
        <v>44013</v>
      </c>
      <c r="H55" s="296">
        <v>34.19</v>
      </c>
      <c r="I55" s="297">
        <v>33.229999999999997</v>
      </c>
      <c r="J55" s="263">
        <v>2020</v>
      </c>
      <c r="K55" s="281">
        <v>39167</v>
      </c>
      <c r="L55" s="1020">
        <f>+K55/1.07</f>
        <v>36604.672897196258</v>
      </c>
      <c r="M55" s="281">
        <v>82800</v>
      </c>
      <c r="N55" s="281">
        <v>77400</v>
      </c>
      <c r="O55" s="295">
        <v>43466</v>
      </c>
      <c r="P55" s="298">
        <v>0.186</v>
      </c>
      <c r="Q55" s="295">
        <v>44927</v>
      </c>
      <c r="R55" s="1023">
        <f>+P59*K58</f>
        <v>8320.152</v>
      </c>
      <c r="S55" s="1023">
        <f>+P59*L58</f>
        <v>7805.8620000000001</v>
      </c>
      <c r="T55" s="295">
        <v>44927</v>
      </c>
      <c r="U55" s="2262">
        <v>1.246497E-4</v>
      </c>
      <c r="V55" s="2262">
        <v>1.2810910000000001E-4</v>
      </c>
      <c r="W55" s="303">
        <f>1000/$R55*VLOOKUP(Q55,G$5:$I113,2)</f>
        <v>4.3292478310492406</v>
      </c>
      <c r="X55" s="299">
        <f>IFERROR(1000/$S55*VLOOKUP($Q55,G$5:$I113,3),"")</f>
        <v>4.5504263334401767</v>
      </c>
      <c r="Y55" s="1450">
        <f t="shared" si="0"/>
        <v>230.98700721821209</v>
      </c>
      <c r="Z55" s="299">
        <f t="shared" si="3"/>
        <v>219.75962837837835</v>
      </c>
      <c r="AA55" s="1454"/>
      <c r="AD55" s="409"/>
      <c r="AE55" s="588"/>
      <c r="AG55" s="1394">
        <v>14</v>
      </c>
      <c r="AH55" s="1395">
        <v>9.8529999999999998</v>
      </c>
    </row>
    <row r="56" spans="1:34" s="587" customFormat="1">
      <c r="A56" s="264"/>
      <c r="B56" s="286">
        <v>2021</v>
      </c>
      <c r="C56" s="287">
        <v>3290</v>
      </c>
      <c r="D56" s="287">
        <v>3115</v>
      </c>
      <c r="E56" s="287">
        <f t="shared" si="1"/>
        <v>32.9</v>
      </c>
      <c r="F56" s="287">
        <f t="shared" si="2"/>
        <v>3948</v>
      </c>
      <c r="G56" s="288">
        <v>44378</v>
      </c>
      <c r="H56" s="289">
        <v>34.19</v>
      </c>
      <c r="I56" s="290">
        <v>33.47</v>
      </c>
      <c r="J56" s="291">
        <v>2021</v>
      </c>
      <c r="K56" s="287">
        <v>40463</v>
      </c>
      <c r="L56" s="287">
        <v>38317</v>
      </c>
      <c r="M56" s="287">
        <v>85200</v>
      </c>
      <c r="N56" s="287">
        <v>80400</v>
      </c>
      <c r="O56" s="288">
        <v>43831</v>
      </c>
      <c r="P56" s="292">
        <v>0.186</v>
      </c>
      <c r="Q56" s="288">
        <v>45292</v>
      </c>
      <c r="R56" s="1458">
        <f>45358*18.6/100</f>
        <v>8436.5879999999997</v>
      </c>
      <c r="S56" s="1458">
        <f>44732*0.186</f>
        <v>8320.152</v>
      </c>
      <c r="T56" s="288">
        <v>45292</v>
      </c>
      <c r="U56" s="301">
        <f>ROUND(1/R56,10)</f>
        <v>1.185313E-4</v>
      </c>
      <c r="V56" s="301">
        <f>1/S56</f>
        <v>1.2019011191141701E-4</v>
      </c>
      <c r="W56" s="302">
        <f>1000/$R56*VLOOKUP(Q56,G$5:$I114,2)</f>
        <v>4.4567780244809869</v>
      </c>
      <c r="X56" s="293">
        <f>IFERROR(1000/$S56*VLOOKUP($Q56,G$5:$I114,3),"")</f>
        <v>4.5191482078692795</v>
      </c>
      <c r="Y56" s="1451">
        <f t="shared" ref="Y56:Z58" si="4">1000/W56</f>
        <v>224.37734042553191</v>
      </c>
      <c r="Z56" s="293">
        <f t="shared" si="4"/>
        <v>221.28063829787234</v>
      </c>
      <c r="AA56" s="1454"/>
      <c r="AD56" s="409"/>
      <c r="AE56" s="588"/>
      <c r="AG56" s="1394">
        <v>15</v>
      </c>
      <c r="AH56" s="1395">
        <v>10.314</v>
      </c>
    </row>
    <row r="57" spans="1:34" s="587" customFormat="1">
      <c r="A57" s="264"/>
      <c r="B57" s="294">
        <v>2022</v>
      </c>
      <c r="C57" s="281">
        <v>3290</v>
      </c>
      <c r="D57" s="281">
        <v>3150</v>
      </c>
      <c r="E57" s="281">
        <f t="shared" si="1"/>
        <v>32.9</v>
      </c>
      <c r="F57" s="281">
        <f t="shared" si="2"/>
        <v>3948</v>
      </c>
      <c r="G57" s="295">
        <v>44743</v>
      </c>
      <c r="H57" s="296">
        <v>36.020000000000003</v>
      </c>
      <c r="I57" s="297">
        <v>35.520000000000003</v>
      </c>
      <c r="J57" s="263">
        <v>2022</v>
      </c>
      <c r="K57" s="1457">
        <v>42053</v>
      </c>
      <c r="L57" s="1457">
        <v>40358</v>
      </c>
      <c r="M57" s="281">
        <f>7050*12</f>
        <v>84600</v>
      </c>
      <c r="N57" s="281">
        <f>6750*12</f>
        <v>81000</v>
      </c>
      <c r="O57" s="295">
        <v>44197</v>
      </c>
      <c r="P57" s="298">
        <v>0.186</v>
      </c>
      <c r="Q57" s="295">
        <v>45658</v>
      </c>
      <c r="R57" s="306">
        <v>9391.6980000000003</v>
      </c>
      <c r="S57" s="306">
        <f>+R57</f>
        <v>9391.6980000000003</v>
      </c>
      <c r="T57" s="295">
        <v>45658</v>
      </c>
      <c r="U57" s="301">
        <f>ROUND(1/R57,10)</f>
        <v>1.06477E-4</v>
      </c>
      <c r="V57" s="266">
        <f>+U57</f>
        <v>1.06477E-4</v>
      </c>
      <c r="W57" s="303">
        <f>1000/$R57*VLOOKUP(Q57,G$5:$I115,2)</f>
        <v>4.1866763603344141</v>
      </c>
      <c r="X57" s="299">
        <f>IFERROR(1000/$S57*VLOOKUP($Q57,G$5:$I115,3),"")</f>
        <v>4.1866763603344141</v>
      </c>
      <c r="Y57" s="1450">
        <f t="shared" si="4"/>
        <v>238.85295015259413</v>
      </c>
      <c r="Z57" s="299">
        <f t="shared" si="4"/>
        <v>238.85295015259413</v>
      </c>
      <c r="AA57" s="1454"/>
      <c r="AD57" s="409"/>
      <c r="AE57" s="588"/>
      <c r="AG57" s="1394">
        <v>16</v>
      </c>
      <c r="AH57" s="1395">
        <v>10.75</v>
      </c>
    </row>
    <row r="58" spans="1:34" s="587" customFormat="1">
      <c r="A58" s="264"/>
      <c r="B58" s="286">
        <v>2023</v>
      </c>
      <c r="C58" s="287">
        <v>3395</v>
      </c>
      <c r="D58" s="287">
        <v>3290</v>
      </c>
      <c r="E58" s="287">
        <f t="shared" si="1"/>
        <v>33.950000000000003</v>
      </c>
      <c r="F58" s="287">
        <f t="shared" si="2"/>
        <v>4074</v>
      </c>
      <c r="G58" s="288">
        <v>45108</v>
      </c>
      <c r="H58" s="289">
        <v>37.6</v>
      </c>
      <c r="I58" s="290">
        <v>37.6</v>
      </c>
      <c r="J58" s="291">
        <v>2023</v>
      </c>
      <c r="K58" s="2287">
        <v>44732</v>
      </c>
      <c r="L58" s="1022">
        <v>41967</v>
      </c>
      <c r="M58" s="287">
        <f>7300*12</f>
        <v>87600</v>
      </c>
      <c r="N58" s="287">
        <f>7100*12</f>
        <v>85200</v>
      </c>
      <c r="O58" s="288">
        <v>44562</v>
      </c>
      <c r="P58" s="292">
        <v>0.186</v>
      </c>
      <c r="Q58" s="288">
        <v>46023</v>
      </c>
      <c r="R58" s="305">
        <v>9661.5840000000007</v>
      </c>
      <c r="S58" s="305">
        <f>+R58</f>
        <v>9661.5840000000007</v>
      </c>
      <c r="T58" s="288">
        <v>46023</v>
      </c>
      <c r="U58" s="301">
        <v>1.0350269999999999E-4</v>
      </c>
      <c r="V58" s="301">
        <f>+U58</f>
        <v>1.0350269999999999E-4</v>
      </c>
      <c r="W58" s="302">
        <f>1000/$R58*VLOOKUP(Q58,G$5:$I116,2)</f>
        <v>4.2218750051751339</v>
      </c>
      <c r="X58" s="293">
        <f>IFERROR(1000/$S58*VLOOKUP($Q58,G$5:$I116,3),"")</f>
        <v>4.2218750051751339</v>
      </c>
      <c r="Y58" s="1451">
        <f t="shared" si="4"/>
        <v>236.86158372150041</v>
      </c>
      <c r="Z58" s="293">
        <f t="shared" si="4"/>
        <v>236.86158372150041</v>
      </c>
      <c r="AA58" s="1454"/>
      <c r="AD58" s="409"/>
      <c r="AE58" s="588"/>
      <c r="AG58" s="1394">
        <v>17</v>
      </c>
      <c r="AH58" s="1395">
        <v>11.163</v>
      </c>
    </row>
    <row r="59" spans="1:34" s="587" customFormat="1">
      <c r="A59" s="264"/>
      <c r="B59" s="294">
        <v>2024</v>
      </c>
      <c r="C59" s="281">
        <v>3535</v>
      </c>
      <c r="D59" s="281">
        <v>3465</v>
      </c>
      <c r="E59" s="281">
        <f t="shared" si="1"/>
        <v>35.35</v>
      </c>
      <c r="F59" s="281">
        <f t="shared" si="2"/>
        <v>4242</v>
      </c>
      <c r="G59" s="295">
        <v>45474</v>
      </c>
      <c r="H59" s="296">
        <v>39.32</v>
      </c>
      <c r="I59" s="297">
        <f>+H59</f>
        <v>39.32</v>
      </c>
      <c r="J59" s="263">
        <v>2024</v>
      </c>
      <c r="K59" s="2288">
        <v>47085</v>
      </c>
      <c r="L59" s="2288">
        <v>44732</v>
      </c>
      <c r="M59" s="2288">
        <f>7550*12</f>
        <v>90600</v>
      </c>
      <c r="N59" s="2288">
        <f>+M59</f>
        <v>90600</v>
      </c>
      <c r="O59" s="295">
        <v>44927</v>
      </c>
      <c r="P59" s="298">
        <v>0.186</v>
      </c>
      <c r="Q59" s="295">
        <v>46388</v>
      </c>
      <c r="R59" s="306"/>
      <c r="S59" s="306"/>
      <c r="T59" s="295">
        <v>46388</v>
      </c>
      <c r="U59" s="266"/>
      <c r="V59" s="266"/>
      <c r="W59" s="303"/>
      <c r="X59" s="299"/>
      <c r="Y59" s="1450"/>
      <c r="Z59" s="299"/>
      <c r="AA59" s="1454"/>
      <c r="AD59" s="409"/>
      <c r="AE59" s="588"/>
      <c r="AG59" s="1394">
        <v>18</v>
      </c>
      <c r="AH59" s="1395">
        <v>11.555</v>
      </c>
    </row>
    <row r="60" spans="1:34" s="587" customFormat="1">
      <c r="A60" s="264"/>
      <c r="B60" s="286">
        <v>2025</v>
      </c>
      <c r="C60" s="287">
        <v>3745</v>
      </c>
      <c r="D60" s="287">
        <v>3745</v>
      </c>
      <c r="E60" s="287">
        <f t="shared" si="1"/>
        <v>37.450000000000003</v>
      </c>
      <c r="F60" s="287">
        <f t="shared" si="2"/>
        <v>4494</v>
      </c>
      <c r="G60" s="288">
        <v>45839</v>
      </c>
      <c r="H60" s="289">
        <v>40.79</v>
      </c>
      <c r="I60" s="290">
        <v>40.79</v>
      </c>
      <c r="J60" s="291">
        <v>2025</v>
      </c>
      <c r="K60" s="1022">
        <f>+L60</f>
        <v>50493</v>
      </c>
      <c r="L60" s="1022">
        <v>50493</v>
      </c>
      <c r="M60" s="1022">
        <v>96600</v>
      </c>
      <c r="N60" s="1022">
        <v>96600</v>
      </c>
      <c r="O60" s="288">
        <v>45292</v>
      </c>
      <c r="P60" s="292">
        <v>0.186</v>
      </c>
      <c r="Q60" s="288">
        <v>46753</v>
      </c>
      <c r="R60" s="305"/>
      <c r="S60" s="305"/>
      <c r="T60" s="288">
        <v>46753</v>
      </c>
      <c r="U60" s="301"/>
      <c r="V60" s="301"/>
      <c r="W60" s="302"/>
      <c r="X60" s="293"/>
      <c r="Y60" s="1451"/>
      <c r="Z60" s="293"/>
      <c r="AA60" s="1454"/>
      <c r="AD60" s="409"/>
      <c r="AE60" s="588"/>
      <c r="AG60" s="1394">
        <v>19</v>
      </c>
      <c r="AH60" s="1395">
        <v>11.927</v>
      </c>
    </row>
    <row r="61" spans="1:34" s="587" customFormat="1">
      <c r="A61" s="264"/>
      <c r="B61" s="294">
        <v>2026</v>
      </c>
      <c r="C61" s="281">
        <v>3955</v>
      </c>
      <c r="D61" s="281">
        <f>+C61</f>
        <v>3955</v>
      </c>
      <c r="E61" s="281">
        <f t="shared" si="1"/>
        <v>39.550000000000004</v>
      </c>
      <c r="F61" s="281">
        <f t="shared" si="2"/>
        <v>4746</v>
      </c>
      <c r="G61" s="295">
        <v>46204</v>
      </c>
      <c r="H61" s="296">
        <v>42.52</v>
      </c>
      <c r="I61" s="297">
        <f>+H61</f>
        <v>42.52</v>
      </c>
      <c r="J61" s="263">
        <v>2026</v>
      </c>
      <c r="K61" s="1021">
        <v>51944</v>
      </c>
      <c r="L61" s="1021">
        <v>51944</v>
      </c>
      <c r="M61" s="1021">
        <v>99600</v>
      </c>
      <c r="N61" s="1021">
        <v>99600</v>
      </c>
      <c r="O61" s="295">
        <v>45658</v>
      </c>
      <c r="P61" s="298">
        <v>0.186</v>
      </c>
      <c r="Q61" s="295">
        <v>47119</v>
      </c>
      <c r="R61" s="306"/>
      <c r="S61" s="306"/>
      <c r="T61" s="295"/>
      <c r="U61" s="266"/>
      <c r="V61" s="266"/>
      <c r="W61" s="303"/>
      <c r="X61" s="299"/>
      <c r="Y61" s="1450"/>
      <c r="Z61" s="299"/>
      <c r="AA61" s="1454"/>
      <c r="AD61" s="409"/>
      <c r="AE61" s="588"/>
      <c r="AG61" s="1394">
        <v>20</v>
      </c>
      <c r="AH61" s="1395">
        <v>12.279</v>
      </c>
    </row>
    <row r="62" spans="1:34" s="587" customFormat="1">
      <c r="A62" s="264"/>
      <c r="B62" s="286">
        <v>2027</v>
      </c>
      <c r="C62" s="287"/>
      <c r="D62" s="287"/>
      <c r="E62" s="287"/>
      <c r="F62" s="287"/>
      <c r="G62" s="288">
        <v>46569</v>
      </c>
      <c r="H62" s="2297"/>
      <c r="I62" s="290"/>
      <c r="J62" s="291">
        <v>2027</v>
      </c>
      <c r="K62" s="287"/>
      <c r="L62" s="287"/>
      <c r="M62" s="287"/>
      <c r="N62" s="287"/>
      <c r="O62" s="288">
        <v>46023</v>
      </c>
      <c r="P62" s="292">
        <v>0.186</v>
      </c>
      <c r="Q62" s="288">
        <v>47484</v>
      </c>
      <c r="R62" s="305"/>
      <c r="S62" s="305"/>
      <c r="T62" s="288"/>
      <c r="U62" s="301"/>
      <c r="V62" s="301"/>
      <c r="W62" s="302"/>
      <c r="X62" s="293"/>
      <c r="Y62" s="1451"/>
      <c r="Z62" s="293"/>
      <c r="AA62" s="1454"/>
      <c r="AD62" s="409"/>
      <c r="AE62" s="588"/>
      <c r="AG62" s="1394">
        <v>21</v>
      </c>
      <c r="AH62" s="1395">
        <v>12.613</v>
      </c>
    </row>
    <row r="63" spans="1:34" s="587" customFormat="1">
      <c r="A63" s="264"/>
      <c r="B63" s="294">
        <v>2028</v>
      </c>
      <c r="C63" s="281"/>
      <c r="D63" s="281"/>
      <c r="E63" s="281"/>
      <c r="F63" s="281"/>
      <c r="G63" s="295">
        <v>46935</v>
      </c>
      <c r="H63" s="296"/>
      <c r="I63" s="297"/>
      <c r="J63" s="263">
        <v>2028</v>
      </c>
      <c r="K63" s="281"/>
      <c r="L63" s="281"/>
      <c r="M63" s="281"/>
      <c r="N63" s="281"/>
      <c r="O63" s="295">
        <v>46388</v>
      </c>
      <c r="P63" s="298"/>
      <c r="Q63" s="295">
        <v>47849</v>
      </c>
      <c r="R63" s="306"/>
      <c r="S63" s="306"/>
      <c r="T63" s="295"/>
      <c r="U63" s="266"/>
      <c r="V63" s="266"/>
      <c r="W63" s="303"/>
      <c r="X63" s="299"/>
      <c r="Y63" s="1450"/>
      <c r="Z63" s="299"/>
      <c r="AA63" s="1454"/>
      <c r="AD63" s="409"/>
      <c r="AE63" s="588"/>
      <c r="AG63" s="1394">
        <v>22</v>
      </c>
      <c r="AH63" s="1395">
        <v>12.929</v>
      </c>
    </row>
    <row r="64" spans="1:34" s="587" customFormat="1">
      <c r="A64" s="264"/>
      <c r="B64" s="286">
        <v>2029</v>
      </c>
      <c r="C64" s="287"/>
      <c r="D64" s="287"/>
      <c r="E64" s="287"/>
      <c r="F64" s="287"/>
      <c r="G64" s="288">
        <v>47300</v>
      </c>
      <c r="H64" s="289"/>
      <c r="I64" s="290"/>
      <c r="J64" s="291">
        <v>2029</v>
      </c>
      <c r="K64" s="287"/>
      <c r="L64" s="287"/>
      <c r="M64" s="287"/>
      <c r="N64" s="287"/>
      <c r="O64" s="288">
        <v>46753</v>
      </c>
      <c r="P64" s="292"/>
      <c r="Q64" s="288">
        <v>48214</v>
      </c>
      <c r="R64" s="305"/>
      <c r="S64" s="305"/>
      <c r="T64" s="288"/>
      <c r="U64" s="301"/>
      <c r="V64" s="301"/>
      <c r="W64" s="302"/>
      <c r="X64" s="293"/>
      <c r="Y64" s="1451"/>
      <c r="Z64" s="293"/>
      <c r="AA64" s="1454"/>
      <c r="AD64" s="409"/>
      <c r="AE64" s="588"/>
      <c r="AG64" s="1394">
        <v>23</v>
      </c>
      <c r="AH64" s="1395">
        <v>13.228999999999999</v>
      </c>
    </row>
    <row r="65" spans="1:34" s="587" customFormat="1">
      <c r="A65" s="264"/>
      <c r="B65" s="294"/>
      <c r="C65" s="281"/>
      <c r="D65" s="281"/>
      <c r="E65" s="281"/>
      <c r="F65" s="281"/>
      <c r="G65" s="295"/>
      <c r="H65" s="296"/>
      <c r="I65" s="297"/>
      <c r="J65" s="263"/>
      <c r="K65" s="281"/>
      <c r="L65" s="281"/>
      <c r="M65" s="281"/>
      <c r="N65" s="281"/>
      <c r="O65" s="295"/>
      <c r="P65" s="298"/>
      <c r="Q65" s="295"/>
      <c r="R65" s="306"/>
      <c r="S65" s="306"/>
      <c r="T65" s="295"/>
      <c r="U65" s="266"/>
      <c r="V65" s="266"/>
      <c r="W65" s="303"/>
      <c r="X65" s="299"/>
      <c r="Y65" s="1450"/>
      <c r="Z65" s="299"/>
      <c r="AA65" s="1454"/>
      <c r="AD65" s="409"/>
      <c r="AE65" s="588"/>
      <c r="AG65" s="1394">
        <v>24</v>
      </c>
      <c r="AH65" s="1395">
        <v>13.513</v>
      </c>
    </row>
    <row r="66" spans="1:34" s="587" customFormat="1">
      <c r="A66" s="264"/>
      <c r="B66" s="263"/>
      <c r="C66" s="264"/>
      <c r="D66" s="264"/>
      <c r="E66" s="264"/>
      <c r="F66" s="281"/>
      <c r="G66" s="264"/>
      <c r="H66" s="264"/>
      <c r="I66" s="264"/>
      <c r="J66" s="263"/>
      <c r="K66" s="264"/>
      <c r="L66" s="264"/>
      <c r="M66" s="264"/>
      <c r="N66" s="264"/>
      <c r="O66" s="264"/>
      <c r="P66" s="264"/>
      <c r="Q66" s="264"/>
      <c r="R66" s="265"/>
      <c r="S66" s="265"/>
      <c r="T66" s="295"/>
      <c r="U66" s="266"/>
      <c r="V66" s="266"/>
      <c r="W66" s="264"/>
      <c r="X66" s="264"/>
      <c r="Y66" s="264"/>
      <c r="Z66" s="264"/>
      <c r="AA66" s="1454"/>
      <c r="AD66" s="409"/>
      <c r="AE66" s="588"/>
      <c r="AG66" s="1394">
        <v>25</v>
      </c>
      <c r="AH66" s="1395">
        <v>13.782999999999999</v>
      </c>
    </row>
    <row r="67" spans="1:34">
      <c r="T67" s="295"/>
      <c r="AD67" s="3"/>
      <c r="AE67" s="146"/>
      <c r="AG67" s="1394">
        <v>26</v>
      </c>
      <c r="AH67" s="1395">
        <v>14.038</v>
      </c>
    </row>
    <row r="68" spans="1:34">
      <c r="T68" s="295"/>
      <c r="AD68" s="3"/>
      <c r="AE68" s="146"/>
      <c r="AG68" s="1394">
        <v>27</v>
      </c>
      <c r="AH68" s="1395">
        <v>14.28</v>
      </c>
    </row>
    <row r="69" spans="1:34">
      <c r="T69" s="295"/>
      <c r="AG69" s="1394">
        <v>28</v>
      </c>
      <c r="AH69" s="1395">
        <v>14.51</v>
      </c>
    </row>
    <row r="70" spans="1:34">
      <c r="AG70" s="1394">
        <v>29</v>
      </c>
      <c r="AH70" s="1395">
        <v>14.727</v>
      </c>
    </row>
    <row r="71" spans="1:34">
      <c r="AG71" s="1394">
        <v>30</v>
      </c>
      <c r="AH71" s="1395">
        <v>14.933</v>
      </c>
    </row>
    <row r="72" spans="1:34">
      <c r="AG72" s="1394">
        <v>31</v>
      </c>
      <c r="AH72" s="1395">
        <v>15.129</v>
      </c>
    </row>
    <row r="73" spans="1:34">
      <c r="AG73" s="1394">
        <v>32</v>
      </c>
      <c r="AH73" s="1395">
        <v>15.314</v>
      </c>
    </row>
    <row r="74" spans="1:34">
      <c r="AG74" s="1394">
        <v>33</v>
      </c>
      <c r="AH74" s="1395">
        <v>15.49</v>
      </c>
    </row>
    <row r="75" spans="1:34">
      <c r="AG75" s="1394">
        <v>34</v>
      </c>
      <c r="AH75" s="1395">
        <v>15.656000000000001</v>
      </c>
    </row>
    <row r="76" spans="1:34">
      <c r="AG76" s="1394">
        <v>35</v>
      </c>
      <c r="AH76" s="1395">
        <v>15.814</v>
      </c>
    </row>
    <row r="77" spans="1:34">
      <c r="AG77" s="1394">
        <v>36</v>
      </c>
      <c r="AH77" s="1395">
        <v>15.962999999999999</v>
      </c>
    </row>
    <row r="78" spans="1:34">
      <c r="AG78" s="1394">
        <v>37</v>
      </c>
      <c r="AH78" s="1395">
        <v>16.105</v>
      </c>
    </row>
    <row r="79" spans="1:34">
      <c r="AG79" s="1394">
        <v>38</v>
      </c>
      <c r="AH79" s="1395">
        <v>16.239000000000001</v>
      </c>
    </row>
    <row r="80" spans="1:34">
      <c r="AG80" s="1394">
        <v>39</v>
      </c>
      <c r="AH80" s="1395">
        <v>16.367000000000001</v>
      </c>
    </row>
    <row r="81" spans="33:34">
      <c r="AG81" s="1394">
        <v>40</v>
      </c>
      <c r="AH81" s="1395">
        <v>16.486999999999998</v>
      </c>
    </row>
    <row r="82" spans="33:34">
      <c r="AG82" s="1394">
        <v>41</v>
      </c>
      <c r="AH82" s="1395">
        <v>16.602</v>
      </c>
    </row>
    <row r="83" spans="33:34">
      <c r="AG83" s="1394">
        <v>42</v>
      </c>
      <c r="AH83" s="1395">
        <v>16.71</v>
      </c>
    </row>
    <row r="84" spans="33:34">
      <c r="AG84" s="1394">
        <v>43</v>
      </c>
      <c r="AH84" s="1395">
        <v>16.812999999999999</v>
      </c>
    </row>
    <row r="85" spans="33:34">
      <c r="AG85" s="1394">
        <v>44</v>
      </c>
      <c r="AH85" s="1395">
        <v>16.91</v>
      </c>
    </row>
    <row r="86" spans="33:34">
      <c r="AG86" s="1394">
        <v>45</v>
      </c>
      <c r="AH86" s="1395">
        <v>17.003</v>
      </c>
    </row>
    <row r="87" spans="33:34">
      <c r="AG87" s="1394">
        <v>46</v>
      </c>
      <c r="AH87" s="1395">
        <v>17.09</v>
      </c>
    </row>
    <row r="88" spans="33:34">
      <c r="AG88" s="1394">
        <v>47</v>
      </c>
      <c r="AH88" s="1395">
        <v>17.172999999999998</v>
      </c>
    </row>
    <row r="89" spans="33:34">
      <c r="AG89" s="1394">
        <v>48</v>
      </c>
      <c r="AH89" s="1395">
        <v>17.251999999999999</v>
      </c>
    </row>
    <row r="90" spans="33:34">
      <c r="AG90" s="1394">
        <v>49</v>
      </c>
      <c r="AH90" s="1395">
        <v>17.326000000000001</v>
      </c>
    </row>
    <row r="91" spans="33:34">
      <c r="AG91" s="1394">
        <v>50</v>
      </c>
      <c r="AH91" s="1395">
        <v>17.396999999999998</v>
      </c>
    </row>
    <row r="92" spans="33:34">
      <c r="AG92" s="1394">
        <v>51</v>
      </c>
      <c r="AH92" s="1395">
        <v>17.463999999999999</v>
      </c>
    </row>
    <row r="93" spans="33:34">
      <c r="AG93" s="1394">
        <v>52</v>
      </c>
      <c r="AH93" s="1395">
        <v>17.527999999999999</v>
      </c>
    </row>
    <row r="94" spans="33:34">
      <c r="AG94" s="1394">
        <v>53</v>
      </c>
      <c r="AH94" s="1395">
        <v>17.588000000000001</v>
      </c>
    </row>
    <row r="95" spans="33:34">
      <c r="AG95" s="1394">
        <v>54</v>
      </c>
      <c r="AH95" s="1395">
        <v>17.645</v>
      </c>
    </row>
    <row r="96" spans="33:34">
      <c r="AG96" s="1394">
        <v>55</v>
      </c>
      <c r="AH96" s="1395">
        <v>17.699000000000002</v>
      </c>
    </row>
    <row r="97" spans="33:34">
      <c r="AG97" s="1394">
        <v>56</v>
      </c>
      <c r="AH97" s="1395">
        <v>17.75</v>
      </c>
    </row>
    <row r="98" spans="33:34">
      <c r="AG98" s="1394">
        <v>57</v>
      </c>
      <c r="AH98" s="1395">
        <v>17.798999999999999</v>
      </c>
    </row>
    <row r="99" spans="33:34">
      <c r="AG99" s="1394">
        <v>58</v>
      </c>
      <c r="AH99" s="1395">
        <v>17.844999999999999</v>
      </c>
    </row>
    <row r="100" spans="33:34">
      <c r="AG100" s="1394">
        <v>59</v>
      </c>
      <c r="AH100" s="1395">
        <v>17.888000000000002</v>
      </c>
    </row>
    <row r="101" spans="33:34">
      <c r="AG101" s="1394">
        <v>60</v>
      </c>
      <c r="AH101" s="1395">
        <v>17.93</v>
      </c>
    </row>
    <row r="102" spans="33:34">
      <c r="AG102" s="1394">
        <v>61</v>
      </c>
      <c r="AH102" s="1395">
        <v>17.969000000000001</v>
      </c>
    </row>
    <row r="103" spans="33:34">
      <c r="AG103" s="1394">
        <v>62</v>
      </c>
      <c r="AH103" s="1395">
        <v>18.006</v>
      </c>
    </row>
    <row r="104" spans="33:34">
      <c r="AG104" s="1394">
        <v>63</v>
      </c>
      <c r="AH104" s="1395">
        <v>18.041</v>
      </c>
    </row>
    <row r="105" spans="33:34">
      <c r="AG105" s="1394">
        <v>64</v>
      </c>
      <c r="AH105" s="1395">
        <v>18.074999999999999</v>
      </c>
    </row>
    <row r="106" spans="33:34">
      <c r="AG106" s="1394">
        <v>65</v>
      </c>
      <c r="AH106" s="1395">
        <v>18.106000000000002</v>
      </c>
    </row>
    <row r="107" spans="33:34">
      <c r="AG107" s="1394">
        <v>66</v>
      </c>
      <c r="AH107" s="1395">
        <v>18.135999999999999</v>
      </c>
    </row>
    <row r="108" spans="33:34">
      <c r="AG108" s="1394">
        <v>67</v>
      </c>
      <c r="AH108" s="1395">
        <v>18.164999999999999</v>
      </c>
    </row>
    <row r="109" spans="33:34">
      <c r="AG109" s="1394">
        <v>68</v>
      </c>
      <c r="AH109" s="1395">
        <v>18.192</v>
      </c>
    </row>
    <row r="110" spans="33:34">
      <c r="AG110" s="1394">
        <v>69</v>
      </c>
      <c r="AH110" s="1395">
        <v>18.216999999999999</v>
      </c>
    </row>
    <row r="111" spans="33:34">
      <c r="AG111" s="1394">
        <v>70</v>
      </c>
      <c r="AH111" s="1395">
        <v>18.242000000000001</v>
      </c>
    </row>
    <row r="112" spans="33:34">
      <c r="AG112" s="1394">
        <v>71</v>
      </c>
      <c r="AH112" s="1395">
        <v>18.263999999999999</v>
      </c>
    </row>
    <row r="113" spans="33:34">
      <c r="AG113" s="1394">
        <v>72</v>
      </c>
      <c r="AH113" s="1395">
        <v>18.286000000000001</v>
      </c>
    </row>
    <row r="114" spans="33:34">
      <c r="AG114" s="1394">
        <v>73</v>
      </c>
      <c r="AH114" s="1395">
        <v>18.306999999999999</v>
      </c>
    </row>
    <row r="115" spans="33:34">
      <c r="AG115" s="1394">
        <v>74</v>
      </c>
      <c r="AH115" s="1395">
        <v>18.326000000000001</v>
      </c>
    </row>
    <row r="116" spans="33:34">
      <c r="AG116" s="1394">
        <v>75</v>
      </c>
      <c r="AH116" s="1395">
        <v>18.344999999999999</v>
      </c>
    </row>
    <row r="117" spans="33:34">
      <c r="AG117" s="1394">
        <v>76</v>
      </c>
      <c r="AH117" s="1395">
        <v>18.361999999999998</v>
      </c>
    </row>
    <row r="118" spans="33:34">
      <c r="AG118" s="1394">
        <v>77</v>
      </c>
      <c r="AH118" s="1395">
        <v>18.379000000000001</v>
      </c>
    </row>
    <row r="119" spans="33:34">
      <c r="AG119" s="1394">
        <v>78</v>
      </c>
      <c r="AH119" s="1395">
        <v>18.395</v>
      </c>
    </row>
    <row r="120" spans="33:34">
      <c r="AG120" s="1394">
        <v>79</v>
      </c>
      <c r="AH120" s="1395">
        <v>18.41</v>
      </c>
    </row>
    <row r="121" spans="33:34">
      <c r="AG121" s="1394">
        <v>80</v>
      </c>
      <c r="AH121" s="1395">
        <v>18.423999999999999</v>
      </c>
    </row>
    <row r="122" spans="33:34">
      <c r="AG122" s="1394">
        <v>81</v>
      </c>
      <c r="AH122" s="1395">
        <v>18.437000000000001</v>
      </c>
    </row>
    <row r="123" spans="33:34">
      <c r="AG123" s="1394">
        <v>82</v>
      </c>
      <c r="AH123" s="1395">
        <v>18.45</v>
      </c>
    </row>
    <row r="124" spans="33:34">
      <c r="AG124" s="1394">
        <v>83</v>
      </c>
      <c r="AH124" s="1395">
        <v>18.462</v>
      </c>
    </row>
    <row r="125" spans="33:34">
      <c r="AG125" s="1394">
        <v>84</v>
      </c>
      <c r="AH125" s="1395">
        <v>18.474</v>
      </c>
    </row>
    <row r="126" spans="33:34">
      <c r="AG126" s="1394">
        <v>85</v>
      </c>
      <c r="AH126" s="1395">
        <v>18.484999999999999</v>
      </c>
    </row>
    <row r="127" spans="33:34">
      <c r="AG127" s="1394">
        <v>86</v>
      </c>
      <c r="AH127" s="1395">
        <v>18.495000000000001</v>
      </c>
    </row>
    <row r="128" spans="33:34">
      <c r="AG128" s="1394">
        <v>87</v>
      </c>
      <c r="AH128" s="1395">
        <v>18.504999999999999</v>
      </c>
    </row>
    <row r="129" spans="33:34">
      <c r="AG129" s="1394">
        <v>88</v>
      </c>
      <c r="AH129" s="1395">
        <v>18.513999999999999</v>
      </c>
    </row>
    <row r="130" spans="33:34">
      <c r="AG130" s="1394">
        <v>89</v>
      </c>
      <c r="AH130" s="1395">
        <v>18.523</v>
      </c>
    </row>
    <row r="131" spans="33:34">
      <c r="AG131" s="1394">
        <v>90</v>
      </c>
      <c r="AH131" s="1395">
        <v>18.530999999999999</v>
      </c>
    </row>
    <row r="132" spans="33:34">
      <c r="AG132" s="1394">
        <v>91</v>
      </c>
      <c r="AH132" s="1395">
        <v>18.539000000000001</v>
      </c>
    </row>
    <row r="133" spans="33:34">
      <c r="AG133" s="1394">
        <v>92</v>
      </c>
      <c r="AH133" s="1395">
        <v>18.545999999999999</v>
      </c>
    </row>
    <row r="134" spans="33:34">
      <c r="AG134" s="1394">
        <v>93</v>
      </c>
      <c r="AH134" s="1395">
        <v>18.553000000000001</v>
      </c>
    </row>
    <row r="135" spans="33:34">
      <c r="AG135" s="1394">
        <v>94</v>
      </c>
      <c r="AH135" s="1395">
        <v>18.559999999999999</v>
      </c>
    </row>
    <row r="136" spans="33:34">
      <c r="AG136" s="1394">
        <v>95</v>
      </c>
      <c r="AH136" s="1395">
        <v>18.565999999999999</v>
      </c>
    </row>
    <row r="137" spans="33:34">
      <c r="AG137" s="1394">
        <v>96</v>
      </c>
      <c r="AH137" s="1395">
        <v>18.571999999999999</v>
      </c>
    </row>
    <row r="138" spans="33:34">
      <c r="AG138" s="1394">
        <v>97</v>
      </c>
      <c r="AH138" s="1395">
        <v>18.577999999999999</v>
      </c>
    </row>
    <row r="139" spans="33:34">
      <c r="AG139" s="1394">
        <v>98</v>
      </c>
      <c r="AH139" s="1395">
        <v>18.582999999999998</v>
      </c>
    </row>
    <row r="140" spans="33:34">
      <c r="AG140" s="1394">
        <v>99</v>
      </c>
      <c r="AH140" s="1395">
        <v>18.588999999999999</v>
      </c>
    </row>
    <row r="141" spans="33:34">
      <c r="AG141" s="1394">
        <v>100</v>
      </c>
      <c r="AH141" s="1395">
        <v>18.593</v>
      </c>
    </row>
    <row r="142" spans="33:34">
      <c r="AG142" s="1394">
        <v>101</v>
      </c>
      <c r="AH142" s="1395">
        <v>18.597999999999999</v>
      </c>
    </row>
  </sheetData>
  <sheetProtection algorithmName="SHA-512" hashValue="dJFbRZLFoKW3d2C9trcMPREqzu7VxyNDLenfRH+kHo4C8ZBlsD+NlvvZzAXiJqn2+QAKZk4Z7QkJThmtyWLeiQ==" saltValue="0xH4834Ka/z0TXGHvQJHag==" spinCount="100000" sheet="1" objects="1" scenarios="1" formatColumns="0" autoFilter="0"/>
  <mergeCells count="15">
    <mergeCell ref="AB3:AC3"/>
    <mergeCell ref="AD3:AE3"/>
    <mergeCell ref="AD4:AE4"/>
    <mergeCell ref="Q3:S3"/>
    <mergeCell ref="U3:V3"/>
    <mergeCell ref="W3:X3"/>
    <mergeCell ref="Y3:Z3"/>
    <mergeCell ref="B2:X2"/>
    <mergeCell ref="S1:X1"/>
    <mergeCell ref="B3:D3"/>
    <mergeCell ref="E3:F3"/>
    <mergeCell ref="G3:I3"/>
    <mergeCell ref="J3:L3"/>
    <mergeCell ref="M3:N3"/>
    <mergeCell ref="O3:P3"/>
  </mergeCells>
  <hyperlinks>
    <hyperlink ref="B1" r:id="rId1" display="https://rvrecht.deutsche-rentenversicherung.de/SiteGlobals/Forms/Suche/DokumentSuche/dokumentSuche_Formular.html?nn=1506092&amp;pathNonRecursive=%2FLitInternet%2FSharedDocs%2FrvRecht+%2FLitInternet%2FSharedDocs%2FrvRecht_Ergaenzungen" xr:uid="{7D010E21-10C8-43C7-85B6-83EA17C9594F}"/>
    <hyperlink ref="M3:N3" r:id="rId2" display="Beitragsbem.Grenze gRV § 159 SGB VI" xr:uid="{3A085A50-3332-478C-BDFC-B2707EAABFC9}"/>
    <hyperlink ref="J3:L3" r:id="rId3" display="Ø-Entgelt ges. Renten-versicherung § 69 II SGB VI" xr:uid="{43F8CF19-BAE8-45BB-AA9F-72E4CF0D19C7}"/>
  </hyperlinks>
  <printOptions horizontalCentered="1" verticalCentered="1"/>
  <pageMargins left="0.11811023622047245" right="0.11811023622047245" top="0.19685039370078741" bottom="0.19685039370078741" header="0.31496062992125984" footer="0.31496062992125984"/>
  <pageSetup paperSize="9" scale="63" orientation="landscape" r:id="rId4"/>
  <drawing r:id="rId5"/>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4">
    <pageSetUpPr fitToPage="1"/>
  </sheetPr>
  <dimension ref="A1:AH1175"/>
  <sheetViews>
    <sheetView showGridLines="0" showRowColHeaders="0" showZeros="0" topLeftCell="C1" zoomScale="85" zoomScaleNormal="85" workbookViewId="0">
      <selection activeCell="N20" sqref="N20:P40"/>
    </sheetView>
  </sheetViews>
  <sheetFormatPr baseColWidth="10" defaultColWidth="0" defaultRowHeight="14.25" zeroHeight="1"/>
  <cols>
    <col min="1" max="1" width="5.125" style="25" customWidth="1"/>
    <col min="2" max="2" width="5.125" style="869" customWidth="1"/>
    <col min="3" max="3" width="30.625" style="4" customWidth="1"/>
    <col min="4" max="4" width="13.625" style="4" customWidth="1"/>
    <col min="5" max="5" width="13.125" style="4" customWidth="1"/>
    <col min="6" max="6" width="3.125" customWidth="1"/>
    <col min="7" max="7" width="11" customWidth="1"/>
    <col min="8" max="8" width="10.5" customWidth="1"/>
    <col min="9" max="9" width="11.625" customWidth="1"/>
    <col min="10" max="10" width="13" customWidth="1"/>
    <col min="11" max="12" width="12.625" customWidth="1"/>
    <col min="13" max="13" width="3.125" customWidth="1"/>
    <col min="14" max="14" width="27.625" style="869" customWidth="1"/>
    <col min="15" max="15" width="13.5" customWidth="1"/>
    <col min="16" max="16" width="13.5" style="616" customWidth="1"/>
    <col min="17" max="17" width="3.125" customWidth="1"/>
    <col min="18" max="18" width="58.125" style="25" customWidth="1"/>
    <col min="19" max="20" width="12.125" style="25" customWidth="1"/>
    <col min="21" max="21" width="4.875" style="25" customWidth="1"/>
    <col min="22" max="26" width="12.625" hidden="1" customWidth="1"/>
    <col min="27" max="28" width="11.125" hidden="1" customWidth="1"/>
    <col min="29" max="29" width="15.625" hidden="1" customWidth="1"/>
    <col min="30" max="30" width="14.625" hidden="1" customWidth="1"/>
    <col min="31" max="31" width="12.625" hidden="1" customWidth="1"/>
    <col min="32" max="32" width="11" hidden="1" customWidth="1"/>
    <col min="33" max="33" width="11.125" hidden="1" customWidth="1"/>
    <col min="34" max="16384" width="11" hidden="1"/>
  </cols>
  <sheetData>
    <row r="1" spans="1:34" s="71" customFormat="1" ht="47.25" customHeight="1" thickBot="1">
      <c r="A1" s="64">
        <v>85</v>
      </c>
      <c r="B1" s="970"/>
      <c r="C1" s="3951" t="s">
        <v>1055</v>
      </c>
      <c r="D1" s="3952"/>
      <c r="E1" s="3952"/>
      <c r="F1" s="3952"/>
      <c r="G1" s="3952"/>
      <c r="H1" s="3952"/>
      <c r="I1" s="3952"/>
      <c r="J1" s="3952"/>
      <c r="K1" s="3952"/>
      <c r="L1" s="3952"/>
      <c r="M1" s="3952"/>
      <c r="N1" s="3952"/>
      <c r="O1" s="3952"/>
      <c r="P1" s="3952"/>
      <c r="Q1" s="2027"/>
      <c r="R1" s="2027"/>
      <c r="S1" s="2027"/>
      <c r="T1" s="2027"/>
      <c r="U1" s="85"/>
      <c r="V1" s="128">
        <f>VLOOKUP(IF(S8&lt;S11,S11,S8),CHOOSE(V3,Lebenserwartung_M_V2,Lebenserwartung_F_V2,Lebenserwartung_N_V2),YEAR(S5)+IF(MONTH(S5)&gt;6,1,0)-1900+2)</f>
        <v>0</v>
      </c>
      <c r="W1" s="875"/>
      <c r="X1" s="128" t="s">
        <v>217</v>
      </c>
      <c r="Y1" s="875"/>
      <c r="Z1" s="875"/>
      <c r="AA1" s="875"/>
      <c r="AB1" s="875"/>
      <c r="AC1" s="875"/>
    </row>
    <row r="2" spans="1:34" s="71" customFormat="1" ht="36" customHeight="1" thickTop="1" thickBot="1">
      <c r="A2" s="3859" t="s">
        <v>1012</v>
      </c>
      <c r="B2" s="3864" t="s">
        <v>392</v>
      </c>
      <c r="C2" s="3865"/>
      <c r="D2" s="3865"/>
      <c r="E2" s="3866"/>
      <c r="F2" s="901"/>
      <c r="G2" s="3914" t="s">
        <v>633</v>
      </c>
      <c r="H2" s="3915"/>
      <c r="I2" s="3915"/>
      <c r="J2" s="3916"/>
      <c r="K2" s="3923" t="s">
        <v>215</v>
      </c>
      <c r="L2" s="3924"/>
      <c r="M2" s="874"/>
      <c r="N2" s="3897" t="s">
        <v>341</v>
      </c>
      <c r="O2" s="3898"/>
      <c r="P2" s="3899"/>
      <c r="Q2" s="1123"/>
      <c r="R2" s="3959" t="s">
        <v>1827</v>
      </c>
      <c r="S2" s="3960"/>
      <c r="T2" s="3961"/>
      <c r="U2" s="64"/>
      <c r="W2" s="846"/>
      <c r="X2" s="128" t="s">
        <v>263</v>
      </c>
      <c r="Y2" s="846"/>
      <c r="Z2" s="846"/>
      <c r="AA2" s="846"/>
      <c r="AB2" s="846"/>
      <c r="AC2" s="846"/>
      <c r="AD2" s="846"/>
      <c r="AE2" s="846"/>
      <c r="AF2" s="846"/>
      <c r="AG2" s="846"/>
      <c r="AH2" s="846"/>
    </row>
    <row r="3" spans="1:34" s="71" customFormat="1" ht="17.100000000000001" customHeight="1">
      <c r="A3" s="3860"/>
      <c r="B3" s="731" t="s">
        <v>56</v>
      </c>
      <c r="C3" s="3869" t="s">
        <v>129</v>
      </c>
      <c r="D3" s="3870"/>
      <c r="E3" s="1736">
        <v>2.5999999999999999E-2</v>
      </c>
      <c r="F3" s="575"/>
      <c r="G3" s="3904" t="s">
        <v>389</v>
      </c>
      <c r="H3" s="3905"/>
      <c r="I3" s="3905"/>
      <c r="J3" s="3906"/>
      <c r="K3" s="411" t="s">
        <v>1179</v>
      </c>
      <c r="L3" s="586" t="s">
        <v>1180</v>
      </c>
      <c r="M3" s="3907"/>
      <c r="N3" s="3920" t="s">
        <v>982</v>
      </c>
      <c r="O3" s="3921"/>
      <c r="P3" s="3922"/>
      <c r="Q3" s="1123"/>
      <c r="R3" s="1773" t="s">
        <v>1947</v>
      </c>
      <c r="S3" s="1054" t="str">
        <f>IFERROR(IF(S5&gt;0,"",IF(Dat_GebDat_M&gt;0,TEXT(Dat_GebDat_M,"TT.MM.JJJ")&amp;männlich,"")),"")</f>
        <v>♂</v>
      </c>
      <c r="T3" s="1774" t="str">
        <f>IFERROR(IF(T5&gt;0,"",IF(Dat_GebDat_F&gt;0,TEXT(Dat_GebDat_F,"TT.MM.JJJ")&amp;weiblich,"")),"")</f>
        <v>♀</v>
      </c>
      <c r="U3" s="64">
        <f>+U2*U1</f>
        <v>0</v>
      </c>
      <c r="V3" s="16">
        <f>IF(S4="m",1,IF(S4="w",2,3))</f>
        <v>3</v>
      </c>
      <c r="W3" s="16">
        <f>IF(T4="m",1,IF(T4="w",2,3))</f>
        <v>3</v>
      </c>
      <c r="X3" s="128" t="s">
        <v>384</v>
      </c>
      <c r="Y3" s="846"/>
      <c r="Z3" s="846"/>
      <c r="AA3" s="846"/>
      <c r="AB3" s="846"/>
      <c r="AC3" s="846"/>
      <c r="AD3" s="846"/>
      <c r="AE3" s="846"/>
      <c r="AF3" s="846"/>
      <c r="AG3" s="846"/>
      <c r="AH3" s="846"/>
    </row>
    <row r="4" spans="1:34" s="71" customFormat="1" ht="17.100000000000001" customHeight="1">
      <c r="A4" s="3860"/>
      <c r="B4" s="879" t="s">
        <v>124</v>
      </c>
      <c r="C4" s="3869" t="s">
        <v>188</v>
      </c>
      <c r="D4" s="3870"/>
      <c r="E4" s="1737">
        <v>7.2999999999999995E-2</v>
      </c>
      <c r="F4" s="64"/>
      <c r="G4" s="3925" t="s">
        <v>635</v>
      </c>
      <c r="H4" s="3926"/>
      <c r="I4" s="3926"/>
      <c r="J4" s="570" t="s">
        <v>391</v>
      </c>
      <c r="K4" s="412">
        <v>8401</v>
      </c>
      <c r="L4" s="633">
        <v>3.5000000000000003E-2</v>
      </c>
      <c r="M4" s="3908"/>
      <c r="N4" s="357"/>
      <c r="O4" s="160" t="s">
        <v>22</v>
      </c>
      <c r="P4" s="310" t="s">
        <v>23</v>
      </c>
      <c r="Q4" s="64"/>
      <c r="R4" s="1775" t="s">
        <v>1948</v>
      </c>
      <c r="S4" s="1766" t="s">
        <v>384</v>
      </c>
      <c r="T4" s="1776" t="s">
        <v>384</v>
      </c>
      <c r="U4" s="64"/>
      <c r="W4" s="71" t="s">
        <v>190</v>
      </c>
      <c r="AD4" s="71" t="s">
        <v>125</v>
      </c>
      <c r="AE4" s="16" t="b">
        <v>1</v>
      </c>
    </row>
    <row r="5" spans="1:34" s="71" customFormat="1" ht="17.100000000000001" customHeight="1">
      <c r="A5" s="3860"/>
      <c r="B5" s="879" t="s">
        <v>134</v>
      </c>
      <c r="C5" s="3869" t="s">
        <v>136</v>
      </c>
      <c r="D5" s="3870"/>
      <c r="E5" s="1738">
        <f>+'Einzel-Bewertung'!J11</f>
        <v>1</v>
      </c>
      <c r="F5" s="64"/>
      <c r="G5" s="891" t="s">
        <v>632</v>
      </c>
      <c r="H5" s="870"/>
      <c r="I5" s="862" t="s">
        <v>966</v>
      </c>
      <c r="J5" s="570" t="s">
        <v>390</v>
      </c>
      <c r="K5" s="412">
        <v>15341</v>
      </c>
      <c r="L5" s="633">
        <v>0.04</v>
      </c>
      <c r="M5" s="3908"/>
      <c r="N5" s="307" t="s">
        <v>915</v>
      </c>
      <c r="O5" s="880"/>
      <c r="P5" s="848"/>
      <c r="Q5" s="64"/>
      <c r="R5" s="1773" t="s">
        <v>1949</v>
      </c>
      <c r="S5" s="880"/>
      <c r="T5" s="1777"/>
      <c r="U5" s="64"/>
      <c r="W5" s="1423" t="s">
        <v>1614</v>
      </c>
      <c r="X5" s="1423">
        <v>33238</v>
      </c>
      <c r="Z5" s="1432" t="e">
        <f>ROUND(IF(O5&gt;X5,VLOOKUP(O5,VPI,3),VLOOKUP(O5,VPI,2)),2)</f>
        <v>#N/A</v>
      </c>
      <c r="AA5" s="1423"/>
    </row>
    <row r="6" spans="1:34" s="71" customFormat="1" ht="17.100000000000001" customHeight="1">
      <c r="A6" s="3860"/>
      <c r="B6" s="879" t="s">
        <v>70</v>
      </c>
      <c r="C6" s="3869" t="s">
        <v>135</v>
      </c>
      <c r="D6" s="3870"/>
      <c r="E6" s="1739">
        <f>+'Einzel-Bewertung'!J12</f>
        <v>0.6</v>
      </c>
      <c r="F6" s="64"/>
      <c r="G6" s="891" t="s">
        <v>967</v>
      </c>
      <c r="H6" s="860"/>
      <c r="I6" s="861" t="s">
        <v>969</v>
      </c>
      <c r="J6" s="863" t="s">
        <v>968</v>
      </c>
      <c r="K6" s="412">
        <v>31593</v>
      </c>
      <c r="L6" s="633">
        <v>0.03</v>
      </c>
      <c r="M6" s="3908"/>
      <c r="N6" s="307" t="s">
        <v>914</v>
      </c>
      <c r="O6" s="3912"/>
      <c r="P6" s="3913"/>
      <c r="Q6" s="64"/>
      <c r="R6" s="1773" t="s">
        <v>1950</v>
      </c>
      <c r="S6" s="880"/>
      <c r="T6" s="1777"/>
      <c r="U6" s="64"/>
      <c r="W6" s="1423"/>
      <c r="X6" s="1424" t="e">
        <f>ROUND(VLOOKUP(P5,VPI,3),2)</f>
        <v>#N/A</v>
      </c>
      <c r="Y6" s="1423"/>
      <c r="Z6" s="1432" t="e">
        <f>ROUND(IF(O5&gt;X5,VLOOKUP(P5,VPI,3),VLOOKUP(P5,VPI,2)),2)</f>
        <v>#N/A</v>
      </c>
      <c r="AA6" s="1423"/>
      <c r="AD6" s="71" t="s">
        <v>173</v>
      </c>
      <c r="AE6" s="847" t="b">
        <v>1</v>
      </c>
    </row>
    <row r="7" spans="1:34" s="71" customFormat="1" ht="17.100000000000001" customHeight="1">
      <c r="A7" s="3860"/>
      <c r="B7" s="879" t="s">
        <v>195</v>
      </c>
      <c r="C7" s="3869" t="s">
        <v>261</v>
      </c>
      <c r="D7" s="3870"/>
      <c r="E7" s="1736">
        <v>0.01</v>
      </c>
      <c r="F7" s="64"/>
      <c r="G7" s="3891" t="s">
        <v>634</v>
      </c>
      <c r="H7" s="3892"/>
      <c r="I7" s="3892"/>
      <c r="J7" s="3893"/>
      <c r="K7" s="412">
        <v>34515</v>
      </c>
      <c r="L7" s="633">
        <v>3.5000000000000003E-2</v>
      </c>
      <c r="M7" s="3908"/>
      <c r="N7" s="1014" t="str">
        <f>IF(P5&gt;Enddatum,"VPI fehlt, letzter VPI","VPI")</f>
        <v>VPI</v>
      </c>
      <c r="O7" s="1124" t="str">
        <f>IFERROR(+Z5,"")</f>
        <v/>
      </c>
      <c r="P7" s="1125" t="str">
        <f>IFERROR(+Z6,"")</f>
        <v/>
      </c>
      <c r="Q7" s="64"/>
      <c r="R7" s="1992" t="s">
        <v>1951</v>
      </c>
      <c r="S7" s="316"/>
      <c r="T7" s="1993"/>
      <c r="U7" s="64"/>
      <c r="W7" s="71" t="s">
        <v>1833</v>
      </c>
      <c r="X7" s="619">
        <f>VLOOKUP(YEAR(S5),Regelaltersgrenze,3)</f>
        <v>65</v>
      </c>
      <c r="Y7" s="619">
        <f>IF(DuD_RAltersgr1&lt;S11,0,ROUND(DuD_RAltersgr1-S11,2))</f>
        <v>65</v>
      </c>
    </row>
    <row r="8" spans="1:34" s="71" customFormat="1" ht="17.100000000000001" customHeight="1">
      <c r="A8" s="3860"/>
      <c r="B8" s="879" t="s">
        <v>196</v>
      </c>
      <c r="C8" s="3869" t="s">
        <v>262</v>
      </c>
      <c r="D8" s="3870"/>
      <c r="E8" s="1740">
        <v>0.01</v>
      </c>
      <c r="F8" s="64"/>
      <c r="G8" s="3968" t="s">
        <v>641</v>
      </c>
      <c r="H8" s="3969"/>
      <c r="I8" s="3969"/>
      <c r="J8" s="3970"/>
      <c r="K8" s="412">
        <v>36707</v>
      </c>
      <c r="L8" s="633">
        <v>0.04</v>
      </c>
      <c r="M8" s="3908"/>
      <c r="N8" s="307" t="s">
        <v>911</v>
      </c>
      <c r="O8" s="3927" t="str">
        <f>IFERROR(+O6*P7/O7,"")</f>
        <v/>
      </c>
      <c r="P8" s="3928"/>
      <c r="Q8" s="64"/>
      <c r="R8" s="1773" t="str">
        <f>"6. Renteneintrittsalter (DRV: "&amp;TEXT(DuD_RAltersgr1,"0,00")&amp;" bzw. "&amp;TEXT(DuD_RAltersgr2,"0,00")&amp;" Jahre):"</f>
        <v>6. Renteneintrittsalter (DRV: 65,00 bzw. 65,00 Jahre):</v>
      </c>
      <c r="S8" s="873"/>
      <c r="T8" s="1778"/>
      <c r="U8" s="64"/>
      <c r="W8" s="71" t="s">
        <v>1834</v>
      </c>
      <c r="X8" s="619">
        <f>VLOOKUP(YEAR(T5),Regelaltersgrenze,3)</f>
        <v>65</v>
      </c>
      <c r="Y8" s="619">
        <f>IF(DuD_RAltersgr2&lt;T11,0,ROUND(DuD_RAltersgr2-T11,2))</f>
        <v>65</v>
      </c>
    </row>
    <row r="9" spans="1:34" s="71" customFormat="1" ht="17.100000000000001" customHeight="1" thickBot="1">
      <c r="A9" s="3860"/>
      <c r="B9" s="732" t="s">
        <v>197</v>
      </c>
      <c r="C9" s="3869" t="s">
        <v>1371</v>
      </c>
      <c r="D9" s="3870"/>
      <c r="E9" s="1741">
        <v>0</v>
      </c>
      <c r="F9" s="64"/>
      <c r="G9" s="3917" t="s">
        <v>638</v>
      </c>
      <c r="H9" s="3918"/>
      <c r="I9" s="3918"/>
      <c r="J9" s="3919"/>
      <c r="K9" s="412">
        <v>37986</v>
      </c>
      <c r="L9" s="633">
        <v>3.2500000000000001E-2</v>
      </c>
      <c r="M9" s="3908"/>
      <c r="N9" s="307" t="s">
        <v>913</v>
      </c>
      <c r="O9" s="3900" t="str">
        <f>IFERROR(+P7/O7-1,"")</f>
        <v/>
      </c>
      <c r="P9" s="3901"/>
      <c r="Q9" s="64"/>
      <c r="R9" s="1773" t="s">
        <v>1952</v>
      </c>
      <c r="S9" s="426"/>
      <c r="T9" s="1779"/>
      <c r="U9" s="64"/>
      <c r="Y9" s="16">
        <v>2</v>
      </c>
      <c r="AA9" s="71" t="e">
        <f>-PV(X13/12-S10/12,S13*12,S14)*S18</f>
        <v>#N/A</v>
      </c>
    </row>
    <row r="10" spans="1:34" s="71" customFormat="1" ht="17.100000000000001" customHeight="1" thickBot="1">
      <c r="A10" s="3861"/>
      <c r="B10" s="1742"/>
      <c r="C10" s="1743"/>
      <c r="D10" s="1743"/>
      <c r="E10" s="1744"/>
      <c r="F10" s="575"/>
      <c r="G10" s="3891" t="s">
        <v>640</v>
      </c>
      <c r="H10" s="3892"/>
      <c r="I10" s="3892"/>
      <c r="J10" s="3893"/>
      <c r="K10" s="412">
        <v>39082</v>
      </c>
      <c r="L10" s="633">
        <v>2.75E-2</v>
      </c>
      <c r="M10" s="3908"/>
      <c r="N10" s="867" t="s">
        <v>871</v>
      </c>
      <c r="O10" s="3902" t="str">
        <f>IFERROR(_xlfn.RRI(YEARFRAC(O5,P5,0),O6,O8),"")</f>
        <v/>
      </c>
      <c r="P10" s="3903"/>
      <c r="Q10" s="64"/>
      <c r="R10" s="1773" t="s">
        <v>1953</v>
      </c>
      <c r="S10" s="426"/>
      <c r="T10" s="1779"/>
      <c r="U10" s="64"/>
      <c r="W10" s="539" t="s">
        <v>192</v>
      </c>
      <c r="X10" s="1332" t="e">
        <f>VLOOKUP(S6,BilmoGZins,16)/100</f>
        <v>#N/A</v>
      </c>
      <c r="Y10" s="539"/>
      <c r="AB10" s="153" t="e">
        <f>S19*VLOOKUP(S6,Umrechnungsfaktoren_BeitraginEP,2)*VLOOKUP(S6,aktRW,2)</f>
        <v>#VALUE!</v>
      </c>
    </row>
    <row r="11" spans="1:34" s="71" customFormat="1" ht="17.100000000000001" customHeight="1" thickTop="1">
      <c r="A11" s="3867" t="s">
        <v>126</v>
      </c>
      <c r="B11" s="3882" t="s">
        <v>965</v>
      </c>
      <c r="C11" s="3883"/>
      <c r="D11" s="3883"/>
      <c r="E11" s="3884"/>
      <c r="F11" s="575"/>
      <c r="G11" s="3891" t="s">
        <v>636</v>
      </c>
      <c r="H11" s="3892"/>
      <c r="I11" s="3892"/>
      <c r="J11" s="3893"/>
      <c r="K11" s="412">
        <v>40908</v>
      </c>
      <c r="L11" s="633">
        <v>2.2499999999999999E-2</v>
      </c>
      <c r="M11" s="3908"/>
      <c r="N11" s="3962" t="s">
        <v>983</v>
      </c>
      <c r="O11" s="3963"/>
      <c r="P11" s="3964"/>
      <c r="Q11" s="64"/>
      <c r="R11" s="1773" t="s">
        <v>1954</v>
      </c>
      <c r="S11" s="217">
        <f>YEARFRAC(S5,S6,0)</f>
        <v>0</v>
      </c>
      <c r="T11" s="1780">
        <f>YEARFRAC(T5,T6,0)</f>
        <v>0</v>
      </c>
      <c r="U11" s="64"/>
      <c r="W11" s="975" t="s">
        <v>193</v>
      </c>
      <c r="X11" s="1332" t="e">
        <f>VLOOKUP(S6,BilMoG10,16)/100</f>
        <v>#N/A</v>
      </c>
      <c r="Y11" s="539"/>
    </row>
    <row r="12" spans="1:34" s="71" customFormat="1" ht="17.100000000000001" customHeight="1">
      <c r="A12" s="3867"/>
      <c r="B12" s="3885"/>
      <c r="C12" s="3886"/>
      <c r="D12" s="3886"/>
      <c r="E12" s="3887"/>
      <c r="F12" s="575"/>
      <c r="G12" s="3891" t="s">
        <v>637</v>
      </c>
      <c r="H12" s="3892"/>
      <c r="I12" s="3892"/>
      <c r="J12" s="3893"/>
      <c r="K12" s="412">
        <v>42004</v>
      </c>
      <c r="L12" s="633">
        <v>1.7500000000000002E-2</v>
      </c>
      <c r="M12" s="3908"/>
      <c r="N12" s="1015" t="s">
        <v>342</v>
      </c>
      <c r="O12" s="1119" t="str">
        <f>IFERROR(VLOOKUP(O5,AktuellerRentenwert,IF(Ost,3,2)),"")</f>
        <v/>
      </c>
      <c r="P12" s="220" t="str">
        <f>IFERROR(VLOOKUP(P5,AktuellerRentenwert,IF(Ost,3,2)),"")</f>
        <v/>
      </c>
      <c r="Q12" s="64"/>
      <c r="R12" s="1773" t="s">
        <v>1958</v>
      </c>
      <c r="S12" s="217">
        <f>IF(S11&lt;S8,S8-S11,0)</f>
        <v>0</v>
      </c>
      <c r="T12" s="1780">
        <f>IF(T11&lt;T8,T8-T11,0)</f>
        <v>0</v>
      </c>
      <c r="U12" s="64"/>
      <c r="W12" s="975" t="s">
        <v>1835</v>
      </c>
      <c r="X12" s="539"/>
      <c r="Y12" s="539"/>
    </row>
    <row r="13" spans="1:34" s="71" customFormat="1" ht="17.100000000000001" customHeight="1">
      <c r="A13" s="3867"/>
      <c r="B13" s="3862" t="str">
        <f>"Ehezeitende: "</f>
        <v xml:space="preserve">Ehezeitende: </v>
      </c>
      <c r="C13" s="3863"/>
      <c r="D13" s="2157"/>
      <c r="E13" s="1727" t="str">
        <f>IFERROR("aktRW: "&amp;TEXT(X15,"0,00 €"),"")</f>
        <v/>
      </c>
      <c r="F13" s="575"/>
      <c r="G13" s="3894" t="s">
        <v>689</v>
      </c>
      <c r="H13" s="3895"/>
      <c r="I13" s="3895"/>
      <c r="J13" s="3896"/>
      <c r="K13" s="412">
        <v>42735</v>
      </c>
      <c r="L13" s="633">
        <v>1.2500000000000001E-2</v>
      </c>
      <c r="M13" s="3908"/>
      <c r="N13" s="307" t="s">
        <v>912</v>
      </c>
      <c r="O13" s="3562" t="str">
        <f>IFERROR(O6*P12/O12,"")</f>
        <v/>
      </c>
      <c r="P13" s="3563"/>
      <c r="Q13" s="64"/>
      <c r="R13" s="1773" t="s">
        <v>1959</v>
      </c>
      <c r="S13" s="217">
        <f>IFERROR(ROUND(VLOOKUP(IF(S8&lt;S11,S11,S8),CHOOSE(V3,Lebenserwartung_M_V2,Lebenserwartung_F_V2,Lebenserwartung_N_V2),YEAR(S5)+IF(MONTH(S5)&gt;6,1,0)-1900+2),3),"")</f>
        <v>0</v>
      </c>
      <c r="T13" s="1780">
        <f>IFERROR(ROUND(VLOOKUP(IF(T8&lt;T11,T11,T8),CHOOSE(W3,Lebenserwartung_M_V2,Lebenserwartung_F_V2,Lebenserwartung_N_V2),YEAR(T5)+IF(MONTH(T5)&gt;6,1,0)-1900+2),3),"")</f>
        <v>0</v>
      </c>
      <c r="U13" s="64"/>
      <c r="W13" s="975" t="s">
        <v>617</v>
      </c>
      <c r="X13" s="1332" t="e">
        <f>IF(S17&gt;0,S17,CHOOSE(Y9,X10,X11,S17))</f>
        <v>#N/A</v>
      </c>
      <c r="Y13" s="1332" t="e">
        <f>IF(T17&gt;0,T17,CHOOSE(Y9,X10,X11,T17))</f>
        <v>#N/A</v>
      </c>
    </row>
    <row r="14" spans="1:34" s="71" customFormat="1" ht="17.100000000000001" customHeight="1" thickBot="1">
      <c r="A14" s="3867"/>
      <c r="B14" s="3862" t="s">
        <v>1702</v>
      </c>
      <c r="C14" s="3863"/>
      <c r="D14" s="1632"/>
      <c r="E14" s="1728"/>
      <c r="F14" s="871"/>
      <c r="G14" s="3894" t="s">
        <v>1008</v>
      </c>
      <c r="H14" s="3895"/>
      <c r="I14" s="3895"/>
      <c r="J14" s="3896"/>
      <c r="K14" s="413">
        <v>44561</v>
      </c>
      <c r="L14" s="633">
        <v>8.9999999999999993E-3</v>
      </c>
      <c r="M14" s="3908"/>
      <c r="N14" s="1016" t="str">
        <f>+N9</f>
        <v>Steigerung in %</v>
      </c>
      <c r="O14" s="3900" t="str">
        <f>IFERROR(+(O13/O6)-1,"")</f>
        <v/>
      </c>
      <c r="P14" s="3901"/>
      <c r="Q14" s="64"/>
      <c r="R14" s="1781" t="s">
        <v>1960</v>
      </c>
      <c r="S14" s="224">
        <f>ROUND(S7*(1+S9)^S12,2)</f>
        <v>0</v>
      </c>
      <c r="T14" s="1782">
        <f>ROUND(T7*(1+T9)^T12,2)</f>
        <v>0</v>
      </c>
      <c r="U14" s="64"/>
      <c r="W14" s="71" t="str">
        <f>+B11</f>
        <v>Umrechnungen Kapital, Rente &amp; Entgeltpunkte</v>
      </c>
    </row>
    <row r="15" spans="1:34" s="71" customFormat="1" ht="17.100000000000001" customHeight="1" thickTop="1" thickBot="1">
      <c r="A15" s="3867"/>
      <c r="B15" s="3877" t="s">
        <v>1013</v>
      </c>
      <c r="C15" s="3878"/>
      <c r="D15" s="3878"/>
      <c r="E15" s="3879"/>
      <c r="F15" s="20"/>
      <c r="G15" s="1375" t="s">
        <v>1321</v>
      </c>
      <c r="H15" s="3967" t="s">
        <v>1581</v>
      </c>
      <c r="I15" s="3967"/>
      <c r="J15" s="25"/>
      <c r="K15" s="413">
        <v>45657</v>
      </c>
      <c r="L15" s="554">
        <v>2.5000000000000001E-3</v>
      </c>
      <c r="M15" s="3908"/>
      <c r="N15" s="1017" t="str">
        <f>N10</f>
        <v>Ø % pro Jahr</v>
      </c>
      <c r="O15" s="3965" t="str">
        <f>IFERROR(_xlfn.RRI(YEARFRAC(O5,P5,0),O12,P12),"")</f>
        <v/>
      </c>
      <c r="P15" s="3966"/>
      <c r="Q15" s="64"/>
      <c r="R15" s="1786" t="str">
        <f>"13. Summe der "&amp;IF(S12=0,"noch erwartbaren","erwartbaren")&amp;" Rentenzahlungen: "</f>
        <v xml:space="preserve">13. Summe der noch erwartbaren Rentenzahlungen: </v>
      </c>
      <c r="S15" s="1787">
        <f>-PV(-S10,S13,S14*12,,1)</f>
        <v>0</v>
      </c>
      <c r="T15" s="1788">
        <f>-PV(-T10,T13,T14*12,,1)</f>
        <v>0</v>
      </c>
      <c r="U15" s="2124"/>
      <c r="W15" s="71" t="s">
        <v>930</v>
      </c>
      <c r="X15" s="64" t="e">
        <f>VLOOKUP(EzE_P,aktRW,IF(Dies_und_Das_Ost,3,2))</f>
        <v>#N/A</v>
      </c>
      <c r="Z15" s="71" t="s">
        <v>1698</v>
      </c>
    </row>
    <row r="16" spans="1:34" s="71" customFormat="1" ht="17.100000000000001" customHeight="1">
      <c r="A16" s="3867"/>
      <c r="B16" s="3862" t="str">
        <f>"Kapital i.H.v.  in EP zum EzE"</f>
        <v>Kapital i.H.v.  in EP zum EzE</v>
      </c>
      <c r="C16" s="3863"/>
      <c r="D16" s="1629" t="s">
        <v>805</v>
      </c>
      <c r="E16" s="1729" t="s">
        <v>61</v>
      </c>
      <c r="F16" s="20"/>
      <c r="G16" s="3888" t="s">
        <v>1424</v>
      </c>
      <c r="H16" s="3889"/>
      <c r="I16" s="3889"/>
      <c r="J16" s="3890"/>
      <c r="K16" s="413" t="s">
        <v>1994</v>
      </c>
      <c r="L16" s="633">
        <v>0.01</v>
      </c>
      <c r="M16" s="3908"/>
      <c r="N16" s="3971" t="s">
        <v>971</v>
      </c>
      <c r="O16" s="3972"/>
      <c r="P16" s="3973"/>
      <c r="Q16" s="64"/>
      <c r="R16" s="1789" t="s">
        <v>1985</v>
      </c>
      <c r="S16" s="1784">
        <f>IFERROR(+S15/12/S13,0)</f>
        <v>0</v>
      </c>
      <c r="T16" s="1785" t="str">
        <f>IFERROR(+T15/T13/12,"")</f>
        <v/>
      </c>
      <c r="U16" s="64"/>
      <c r="W16" s="71" t="s">
        <v>931</v>
      </c>
      <c r="X16" s="64" t="e">
        <f>VLOOKUP(EzE_P,Umrechnungsfaktoren_BeitraginEP,IF(Dies_und_Das_Ost,3,2))</f>
        <v>#N/A</v>
      </c>
      <c r="Z16" s="71" t="s">
        <v>1699</v>
      </c>
    </row>
    <row r="17" spans="1:30" s="71" customFormat="1" ht="17.100000000000001" customHeight="1" thickBot="1">
      <c r="A17" s="3867"/>
      <c r="B17" s="3862"/>
      <c r="C17" s="3863"/>
      <c r="D17" s="1630"/>
      <c r="E17" s="1730" t="str">
        <f>IF(Kapital_P&gt;0,Kapital_P,IF(Rente_P&gt;0,Rente_P/X15/X16,IF(D21&gt;0,D21*X16,"")))</f>
        <v/>
      </c>
      <c r="F17" s="20"/>
      <c r="G17" s="3909" t="s">
        <v>639</v>
      </c>
      <c r="H17" s="3910"/>
      <c r="I17" s="3910"/>
      <c r="J17" s="3911"/>
      <c r="K17" s="569"/>
      <c r="L17" s="634"/>
      <c r="M17" s="3908"/>
      <c r="N17" s="3974"/>
      <c r="O17" s="3975"/>
      <c r="P17" s="3976"/>
      <c r="Q17" s="64"/>
      <c r="R17" s="1790" t="e">
        <f>"15.ReZins f. BW-Berechnung: "&amp;TEXT(X13,"0,00%")</f>
        <v>#N/A</v>
      </c>
      <c r="S17" s="426"/>
      <c r="T17" s="1779"/>
      <c r="U17" s="64"/>
      <c r="W17" s="71" t="s">
        <v>1318</v>
      </c>
      <c r="X17" s="16" t="b">
        <v>0</v>
      </c>
      <c r="Z17" s="71" t="s">
        <v>228</v>
      </c>
    </row>
    <row r="18" spans="1:30" s="71" customFormat="1" ht="17.100000000000001" customHeight="1" thickBot="1">
      <c r="A18" s="3867"/>
      <c r="B18" s="3862" t="str">
        <f>"Rente i.H.v. "&amp;TEXT(IF(D19=0,"…",D19),"###.##0 €")&amp;" in EP zum Ehezeitende "</f>
        <v xml:space="preserve">Rente i.H.v. … in EP zum Ehezeitende </v>
      </c>
      <c r="C18" s="3863"/>
      <c r="D18" s="1629" t="s">
        <v>806</v>
      </c>
      <c r="E18" s="1729" t="s">
        <v>21</v>
      </c>
      <c r="F18" s="20"/>
      <c r="G18" s="64"/>
      <c r="H18" s="872"/>
      <c r="I18" s="872"/>
      <c r="J18" s="573"/>
      <c r="K18" s="573"/>
      <c r="L18" s="574"/>
      <c r="M18" s="864"/>
      <c r="N18" s="3977" t="s">
        <v>1493</v>
      </c>
      <c r="O18" s="3978"/>
      <c r="P18" s="866" t="s">
        <v>979</v>
      </c>
      <c r="Q18" s="64"/>
      <c r="R18" s="1791" t="s">
        <v>1956</v>
      </c>
      <c r="S18" s="1767">
        <f>IFERROR(IF(DuD_VVR1,IF(S11&gt;S8,1,ROUND(VLOOKUP(S8,CHOOSE(V3,G_Kohorte_M,G_Kohorte_F,G_Kohorte_N),YEAR(S5)+IF(MONTH(S5)&gt;6,1,0)-1900+2)/VLOOKUP(S11,CHOOSE(V3,G_Kohorte_M,G_Kohorte_F,G_Kohorte_N),YEAR(S5)+IF(MONTH(S5)&gt;6,1,0)-1900+2),4)),1),"")</f>
        <v>1</v>
      </c>
      <c r="T18" s="1783">
        <f>IFERROR(IF(DuD_VVR1,IF(T11&gt;T8,1,ROUND(VLOOKUP(T8,CHOOSE(W3,G_Kohorte_M,G_Kohorte_F,G_Kohorte_N),YEAR(T5)+IF(MONTH(T5)&gt;6,1,0)-1900+2)/VLOOKUP(T11,CHOOSE(W3,G_Kohorte_M,G_Kohorte_F,G_Kohorte_N),YEAR(T5)+IF(MONTH(T5)&gt;6,1,0)-1900+2),4)),1),"")</f>
        <v>1</v>
      </c>
      <c r="U18" s="64"/>
      <c r="W18" s="71" t="s">
        <v>1829</v>
      </c>
      <c r="X18" s="16" t="b">
        <v>0</v>
      </c>
      <c r="Z18" s="71" t="s">
        <v>269</v>
      </c>
    </row>
    <row r="19" spans="1:30" s="71" customFormat="1" ht="17.100000000000001" customHeight="1" thickBot="1">
      <c r="A19" s="3867"/>
      <c r="B19" s="3862"/>
      <c r="C19" s="3863"/>
      <c r="D19" s="1630"/>
      <c r="E19" s="1731" t="str">
        <f>IFERROR(IF(D19&gt;0,D19,IF(D21&gt;0,D21*X15,IF(Kapital_P&gt;0,Kapital_P*X16*X15,""))),0)</f>
        <v/>
      </c>
      <c r="F19" s="20"/>
      <c r="G19" s="3897" t="s">
        <v>264</v>
      </c>
      <c r="H19" s="3898"/>
      <c r="I19" s="3898"/>
      <c r="J19" s="3898"/>
      <c r="K19" s="3898"/>
      <c r="L19" s="3899"/>
      <c r="M19" s="64"/>
      <c r="N19" s="867" t="s">
        <v>594</v>
      </c>
      <c r="O19" s="561"/>
      <c r="P19" s="868" t="str">
        <f>IF(O19="","",DATE(YEAR(O19)+65,MONTH(O19)+1+VLOOKUP(YEAR(O19),Regelaltersgrenze,2),1))</f>
        <v/>
      </c>
      <c r="Q19" s="64"/>
      <c r="R19" s="2121" t="e">
        <f>"17. BW der Altersrente (AusglWert) berechnet mit "&amp;TEXT(X13,"0,00%")&amp;" bzw. "&amp;TEXT(Y13,"0,00%")&amp;": "</f>
        <v>#N/A</v>
      </c>
      <c r="S19" s="2119" t="str">
        <f>IFERROR(ROUND(-PV(X13/12-S9/12,S12*12,,-PV(X13/12-S10/12,S13*12,S14))*S18,0),"")</f>
        <v/>
      </c>
      <c r="T19" s="2122" t="str">
        <f>IFERROR(ROUND(-PV(Y13/12-T9/12,T12*12,,-PV(Y13/12-T10/12,T13*12,T14))*T18,0),"")</f>
        <v/>
      </c>
      <c r="U19" s="2124"/>
      <c r="AB19" s="539" t="s">
        <v>1700</v>
      </c>
      <c r="AC19" s="539"/>
      <c r="AD19" s="66" t="s">
        <v>126</v>
      </c>
    </row>
    <row r="20" spans="1:30" s="71" customFormat="1" ht="17.100000000000001" customHeight="1">
      <c r="A20" s="3867"/>
      <c r="B20" s="3875" t="str">
        <f>TEXT(E21,"0,0000")&amp;" Entgeltpunkte zum Ehezeitende am "&amp;TEXT(EzE_P,"TT.MM.JJJJ")&amp;Zeichen!B9&amp;IF(Rente_P&gt;0,TEXT(Rente_P,"#.##0,00 €")&amp;" Rente",IF(Kapital_P&gt;0,TEXT(Kapital_P,"#.##0,00€")&amp;" Kapital",""))</f>
        <v xml:space="preserve"> Entgeltpunkte zum Ehezeitende am 00.01.1900≙</v>
      </c>
      <c r="C20" s="3876"/>
      <c r="D20" s="1629" t="s">
        <v>929</v>
      </c>
      <c r="E20" s="1729" t="s">
        <v>929</v>
      </c>
      <c r="F20" s="20"/>
      <c r="G20" s="3984"/>
      <c r="H20" s="3985"/>
      <c r="I20" s="3985"/>
      <c r="J20" s="3985"/>
      <c r="K20" s="3985"/>
      <c r="L20" s="3986"/>
      <c r="M20" s="64"/>
      <c r="N20" s="3979" t="s">
        <v>980</v>
      </c>
      <c r="O20" s="3980"/>
      <c r="P20" s="3981"/>
      <c r="Q20" s="64"/>
      <c r="R20" s="2128" t="s">
        <v>1957</v>
      </c>
      <c r="S20" s="2126"/>
      <c r="T20" s="2129"/>
      <c r="U20" s="64"/>
      <c r="AB20" s="539" t="s">
        <v>255</v>
      </c>
      <c r="AC20" s="539" t="s">
        <v>217</v>
      </c>
      <c r="AD20" s="361" t="b">
        <v>0</v>
      </c>
    </row>
    <row r="21" spans="1:30" s="71" customFormat="1" ht="17.100000000000001" customHeight="1">
      <c r="A21" s="3867"/>
      <c r="B21" s="3875"/>
      <c r="C21" s="3876"/>
      <c r="D21" s="1631"/>
      <c r="E21" s="1732" t="str">
        <f>IFERROR(IF(Kapital2_p&gt;0,Kapital2_p,IF(Rente_P&gt;0,Rente_P/X15,IF(Kapital_P&gt;0,Kapital_P*X16,""))),0)</f>
        <v/>
      </c>
      <c r="F21" s="20"/>
      <c r="G21" s="3840" t="s">
        <v>265</v>
      </c>
      <c r="H21" s="3841"/>
      <c r="I21" s="3841"/>
      <c r="J21" s="3841"/>
      <c r="K21" s="895"/>
      <c r="L21" s="1275" t="str">
        <f>IF(K21&gt;0,K21,IF(K22="m",Dat_GebDat_M,Dat_GebDat_F))</f>
        <v/>
      </c>
      <c r="M21" s="64"/>
      <c r="N21" s="3979"/>
      <c r="O21" s="3980"/>
      <c r="P21" s="3981"/>
      <c r="Q21" s="64"/>
      <c r="R21" s="2120" t="e">
        <f>"19. DRV-Rente zum "&amp;IF(S12=0,TEXT(S6,"TT.MM.JJ"),"Renteneintritt "&amp;TEXT(S8,"0,00"))&amp;" aus "&amp;TEXT(S19,"#.##0 €")&amp; " x "&amp;TEXT(VLOOKUP(S6,Umrechnungsfaktoren_BinEP,2),"0,000000000")&amp;"EP x "&amp;TEXT(VLOOKUP(S6,aktRW,2),"0,00 €")&amp;" im BerZtpkt.: "</f>
        <v>#N/A</v>
      </c>
      <c r="S21" s="2127">
        <f>IFERROR(IF(S20&gt;0,S20,S19)*VLOOKUP(S6,Umrechnungsfaktoren_BeitraginEP,2)*VLOOKUP(S6,aktRW,2)*(1+RententrendDRV)^S12,0)</f>
        <v>0</v>
      </c>
      <c r="T21" s="2130">
        <f>IFERROR(IF(T20&gt;0,T20,T19)*VLOOKUP(T6,Umrechnungsfaktoren_BeitraginEP,2)*VLOOKUP(T6,aktRW,2)*(1+RententrendDRV)^T12,0)</f>
        <v>0</v>
      </c>
      <c r="U21" s="2124"/>
      <c r="W21" s="71" t="s">
        <v>1165</v>
      </c>
      <c r="X21" s="71" t="s">
        <v>1166</v>
      </c>
      <c r="AB21" s="539"/>
      <c r="AC21" s="539" t="s">
        <v>263</v>
      </c>
      <c r="AD21" s="66"/>
    </row>
    <row r="22" spans="1:30" s="71" customFormat="1" ht="17.100000000000001" customHeight="1">
      <c r="A22" s="3867"/>
      <c r="B22" s="3880" t="str">
        <f>IFERROR("mit "&amp;TEXT(RententrendDRV,"#0,0%")&amp;" dynam. Rente i.H.v. "&amp;TEXT(E19,"0,00 €")&amp;" am: ","")</f>
        <v xml:space="preserve">mit 2,6% dynam. Rente i.H.v.  am: </v>
      </c>
      <c r="C22" s="3881"/>
      <c r="D22" s="1632"/>
      <c r="E22" s="1772" t="str">
        <f>IF(D22="","",IFERROR(-FV(RententrendDRV,YEARFRAC(EzE_P,D22,4),,E19),""))</f>
        <v/>
      </c>
      <c r="F22" s="20"/>
      <c r="G22" s="3840" t="s">
        <v>266</v>
      </c>
      <c r="H22" s="3841"/>
      <c r="I22" s="3841"/>
      <c r="J22" s="3841"/>
      <c r="K22" s="1459"/>
      <c r="L22" s="577"/>
      <c r="M22" s="64"/>
      <c r="N22" s="307" t="s">
        <v>978</v>
      </c>
      <c r="O22" s="576"/>
      <c r="P22" s="3982" t="str">
        <f>IF(O23="","",IF(AND(O22&gt;W22,O22&gt;X22),"keine Änderung erwartbar",TEXT(VLOOKUP(YEAR(O23),Regelaltersgrenze,2),"00")&amp;" Monate"))</f>
        <v/>
      </c>
      <c r="Q22" s="64"/>
      <c r="R22" s="2120" t="s">
        <v>1961</v>
      </c>
      <c r="S22" s="2125">
        <f>IFERROR(-PV(X13-RententrendDRV,S13,S21*12),0)</f>
        <v>0</v>
      </c>
      <c r="T22" s="2131">
        <f>IFERROR(-PV(Y13-RententrendDRV,T13,T21*12),0)</f>
        <v>0</v>
      </c>
      <c r="U22" s="2124"/>
      <c r="W22" s="786">
        <v>39856</v>
      </c>
      <c r="X22" s="786">
        <v>37622</v>
      </c>
      <c r="AB22" s="539" t="s">
        <v>275</v>
      </c>
      <c r="AC22" s="1726" t="e">
        <f>ROUND(YEARFRAC(L21,K24,0),2)</f>
        <v>#VALUE!</v>
      </c>
      <c r="AD22" s="1104">
        <f>YEARFRAC(D14,EzE_P,0)</f>
        <v>0</v>
      </c>
    </row>
    <row r="23" spans="1:30" s="71" customFormat="1" ht="17.100000000000001" customHeight="1">
      <c r="A23" s="3867"/>
      <c r="B23" s="3871" t="s">
        <v>1780</v>
      </c>
      <c r="C23" s="3872"/>
      <c r="D23" s="1745" t="str">
        <f>IF(O_BilMoG,"10","7")</f>
        <v>7</v>
      </c>
      <c r="E23" s="1733" t="e">
        <f>AD32</f>
        <v>#N/A</v>
      </c>
      <c r="F23" s="20"/>
      <c r="G23" s="3840" t="s">
        <v>267</v>
      </c>
      <c r="H23" s="3841"/>
      <c r="I23" s="3841"/>
      <c r="J23" s="3841"/>
      <c r="K23" s="1460"/>
      <c r="L23" s="204" t="s">
        <v>7</v>
      </c>
      <c r="M23" s="64"/>
      <c r="N23" s="307" t="s">
        <v>594</v>
      </c>
      <c r="O23" s="576"/>
      <c r="P23" s="3983"/>
      <c r="Q23" s="64"/>
      <c r="R23" s="1905" t="str">
        <f>"21. KoKa DRV zum "&amp;TEXT(S6,"TT.MM.JJJJ")</f>
        <v>21. KoKa DRV zum 00.01.1900</v>
      </c>
      <c r="S23" s="1906" t="str">
        <f>IFERROR(ROUND(S7/VLOOKUP(S6,aktRW,2),4)*VLOOKUP(S6,UmrechnungEP_Kap,2),"")</f>
        <v/>
      </c>
      <c r="T23" s="487" t="str">
        <f>IFERROR(ROUND(T7/VLOOKUP(T6,aktRW,2),4)*VLOOKUP(T6,UmrechnungEP_Kap,2),"")</f>
        <v/>
      </c>
      <c r="U23" s="64"/>
      <c r="AB23" s="539" t="s">
        <v>276</v>
      </c>
      <c r="AC23" s="1726" t="e">
        <f>VLOOKUP(AC22,IF(K22="M",Lebenserwartung_M_V2,Lebenserwartung_F_V2),YEAR(L21)-1900+2)</f>
        <v>#VALUE!</v>
      </c>
      <c r="AD23" s="66"/>
    </row>
    <row r="24" spans="1:30" s="71" customFormat="1" ht="17.100000000000001" customHeight="1" thickBot="1">
      <c r="A24" s="3868"/>
      <c r="B24" s="3873" t="s">
        <v>1781</v>
      </c>
      <c r="C24" s="3874"/>
      <c r="D24" s="1735"/>
      <c r="E24" s="1734" t="str">
        <f>IFERROR(AD33,"")</f>
        <v/>
      </c>
      <c r="F24" s="20"/>
      <c r="G24" s="3840" t="s">
        <v>268</v>
      </c>
      <c r="H24" s="3841"/>
      <c r="I24" s="3841"/>
      <c r="J24" s="3841"/>
      <c r="K24" s="1459"/>
      <c r="L24" s="205" t="str">
        <f>IFERROR(AC22,"")</f>
        <v/>
      </c>
      <c r="M24" s="64"/>
      <c r="N24" s="3854" t="s">
        <v>974</v>
      </c>
      <c r="O24" s="3855"/>
      <c r="P24" s="319"/>
      <c r="Q24" s="64"/>
      <c r="R24" s="3953" t="str">
        <f>"22. "&amp;Summenzeichen&amp;" Rentenzahlung in DRV "</f>
        <v xml:space="preserve">22. ∑ Rentenzahlung in DRV </v>
      </c>
      <c r="S24" s="3955">
        <f>-PV(-RententrendDRV,S13,S21*12)</f>
        <v>0</v>
      </c>
      <c r="T24" s="3957">
        <f>-PV(-RententrendDRV,T13,T21*12)</f>
        <v>0</v>
      </c>
      <c r="U24" s="2123"/>
      <c r="AB24" s="539" t="s">
        <v>277</v>
      </c>
      <c r="AC24" s="1726" t="e">
        <f>VLOOKUP(YEAR(L21),Renteneintrittstabelle,3)</f>
        <v>#VALUE!</v>
      </c>
      <c r="AD24" s="66">
        <f>ROUND(VLOOKUP(YEAR(D14),Renteneintrittstabelle,3),2)</f>
        <v>65</v>
      </c>
    </row>
    <row r="25" spans="1:30" s="71" customFormat="1" ht="17.100000000000001" customHeight="1" thickBot="1">
      <c r="A25" s="571"/>
      <c r="B25" s="571"/>
      <c r="C25" s="85"/>
      <c r="D25" s="85"/>
      <c r="E25" s="85"/>
      <c r="F25" s="64"/>
      <c r="G25" s="3840" t="s">
        <v>269</v>
      </c>
      <c r="H25" s="3841"/>
      <c r="I25" s="3841"/>
      <c r="J25" s="3841"/>
      <c r="K25" s="1461"/>
      <c r="L25" s="204" t="s">
        <v>270</v>
      </c>
      <c r="M25" s="64"/>
      <c r="N25" s="3854" t="s">
        <v>972</v>
      </c>
      <c r="O25" s="3855"/>
      <c r="P25" s="938">
        <f>IF(O23="",0,DATE(YEAR(O23)+IF(P24&gt;0,P24,65),MONTH(O23)+1,1))</f>
        <v>0</v>
      </c>
      <c r="Q25" s="64"/>
      <c r="R25" s="3954"/>
      <c r="S25" s="3956"/>
      <c r="T25" s="3958"/>
      <c r="U25" s="2124"/>
      <c r="AB25" s="539" t="s">
        <v>278</v>
      </c>
      <c r="AC25" s="1723" t="e">
        <f>VLOOKUP(IF(AC24&lt;AC22,AC22,AC24),IF(K22="M",Lebenserwartung_M_V2,Lebenserwartung_F_V2),YEAR(L21)-1900+2)</f>
        <v>#VALUE!</v>
      </c>
      <c r="AD25" s="66">
        <f>ROUND(VLOOKUP(IF(AD24&gt;AD22,AD24,AD22),Lebenserwartung_N_V2,YEAR(D14)+IF(MONTH(D14)&gt;6,1,0)-1900+2),2)</f>
        <v>0</v>
      </c>
    </row>
    <row r="26" spans="1:30" s="71" customFormat="1" ht="17.100000000000001" customHeight="1" thickTop="1" thickBot="1">
      <c r="A26" s="571"/>
      <c r="B26" s="3829" t="str">
        <f>IF(ForderungRente=1,"Barwert einer zukünftigen Forderung","befristete Rente inkl. Vorversterbensrisiko")&amp;", ReZins: "&amp;TEXT(E34,"0,00%")</f>
        <v xml:space="preserve">Barwert einer zukünftigen Forderung, ReZins: </v>
      </c>
      <c r="C26" s="3830"/>
      <c r="D26" s="3830"/>
      <c r="E26" s="3831"/>
      <c r="F26" s="64"/>
      <c r="G26" s="3840" t="s">
        <v>271</v>
      </c>
      <c r="H26" s="3841"/>
      <c r="I26" s="3841"/>
      <c r="J26" s="3841"/>
      <c r="K26" s="578" t="str">
        <f>IFERROR(-PMT(K25/12,AC23*12,K23),"")</f>
        <v/>
      </c>
      <c r="L26" s="206" t="str">
        <f>IFERROR(IF(L21=0,"",+AC23),"")</f>
        <v/>
      </c>
      <c r="M26" s="64"/>
      <c r="N26" s="3854" t="s">
        <v>973</v>
      </c>
      <c r="O26" s="3855"/>
      <c r="P26" s="938">
        <f>IF(O23="",0,DATE(YEAR(O23)++IF(P24&gt;0,P24,65),MONTH(O23)+1+VLOOKUP(YEAR(O23),Regelaltersgrenze,2),1))</f>
        <v>0</v>
      </c>
      <c r="Q26" s="64"/>
      <c r="R26" s="1768"/>
      <c r="S26" s="1768"/>
      <c r="T26" s="1768"/>
      <c r="U26" s="64"/>
      <c r="W26" s="153">
        <f>-PV(4%,10,6000)</f>
        <v>48665.37467613021</v>
      </c>
      <c r="AB26" s="539" t="s">
        <v>257</v>
      </c>
      <c r="AC26" s="1723" t="e">
        <f>+AC24-AC22</f>
        <v>#VALUE!</v>
      </c>
      <c r="AD26" s="66">
        <f>IF(AD24&gt;AD22,AD24-AD22,0)</f>
        <v>65</v>
      </c>
    </row>
    <row r="27" spans="1:30" s="71" customFormat="1" ht="17.100000000000001" customHeight="1" thickBot="1">
      <c r="A27" s="571"/>
      <c r="B27" s="3832"/>
      <c r="C27" s="3833"/>
      <c r="D27" s="3833"/>
      <c r="E27" s="3834"/>
      <c r="F27" s="64"/>
      <c r="G27" s="3840" t="s">
        <v>272</v>
      </c>
      <c r="H27" s="3841"/>
      <c r="I27" s="3841"/>
      <c r="J27" s="3841"/>
      <c r="K27" s="578" t="str">
        <f>IFERROR(-PMT(K25/12,AC25*12,IF(AC26&gt;0,-FV(K25,AC26,,K23),K23)),"")</f>
        <v/>
      </c>
      <c r="L27" s="206" t="str">
        <f>IFERROR(IF(L21=0,"",AC25),"")</f>
        <v/>
      </c>
      <c r="M27" s="64"/>
      <c r="N27" s="3949" t="s">
        <v>975</v>
      </c>
      <c r="O27" s="3950"/>
      <c r="P27" s="319"/>
      <c r="Q27" s="64"/>
      <c r="R27" s="3821" t="s">
        <v>1900</v>
      </c>
      <c r="S27" s="3822"/>
      <c r="T27" s="3823"/>
      <c r="U27" s="64"/>
      <c r="AB27" s="539" t="s">
        <v>280</v>
      </c>
      <c r="AC27" s="1724"/>
      <c r="AD27" s="613" t="e">
        <f>ROUND(VLOOKUP(AD22,CHOOSE(68-AD24,HRIR67,HRIR66,HRIR,HRIR64,HRIR63,HRIR62,HRIR61,HRIR60),25),4)</f>
        <v>#N/A</v>
      </c>
    </row>
    <row r="28" spans="1:30" s="71" customFormat="1" ht="17.100000000000001" customHeight="1" thickBot="1">
      <c r="A28" s="571"/>
      <c r="B28" s="3839" t="s">
        <v>73</v>
      </c>
      <c r="C28" s="3646"/>
      <c r="D28" s="918"/>
      <c r="E28" s="328"/>
      <c r="F28" s="64"/>
      <c r="G28" s="3840" t="s">
        <v>273</v>
      </c>
      <c r="H28" s="3841"/>
      <c r="I28" s="3841"/>
      <c r="J28" s="3841"/>
      <c r="K28" s="579"/>
      <c r="L28" s="204" t="s">
        <v>274</v>
      </c>
      <c r="M28" s="64"/>
      <c r="N28" s="3854" t="s">
        <v>977</v>
      </c>
      <c r="O28" s="3855"/>
      <c r="P28" s="319"/>
      <c r="Q28" s="64"/>
      <c r="R28" s="3824"/>
      <c r="S28" s="3825"/>
      <c r="T28" s="3826"/>
      <c r="U28" s="64"/>
      <c r="AB28" s="539" t="s">
        <v>279</v>
      </c>
      <c r="AC28" s="1724"/>
      <c r="AD28" s="613" t="e">
        <f>ROUND(VLOOKUP(AD22,CHOOSE(68-AD24,HRIR67,HRIR66,HRIR,HRIR64,HRIR63,HRIR62,HRIR61,HRIR60),26)*0.55,4)</f>
        <v>#N/A</v>
      </c>
    </row>
    <row r="29" spans="1:30" s="71" customFormat="1" ht="17.100000000000001" customHeight="1" thickBot="1">
      <c r="A29" s="571"/>
      <c r="B29" s="3839" t="s">
        <v>99</v>
      </c>
      <c r="C29" s="3646"/>
      <c r="D29" s="918"/>
      <c r="E29" s="328"/>
      <c r="F29" s="64"/>
      <c r="G29" s="3840" t="str">
        <f>"Monatsergebnis bei Verrentung über "&amp;TEXT(K28,"0,0")&amp;" Jahre"</f>
        <v>Monatsergebnis bei Verrentung über 0,0 Jahre</v>
      </c>
      <c r="H29" s="3841"/>
      <c r="I29" s="3841"/>
      <c r="J29" s="3841"/>
      <c r="K29" s="578" t="str">
        <f>IFERROR(-PMT(K25/12,K28*12,K23),"")</f>
        <v/>
      </c>
      <c r="L29" s="580"/>
      <c r="M29" s="64"/>
      <c r="N29" s="3854" t="s">
        <v>976</v>
      </c>
      <c r="O29" s="3855"/>
      <c r="P29" s="222" t="str">
        <f>IFERROR(IF(O29&gt;0,O29,+P28/P27),"")</f>
        <v/>
      </c>
      <c r="Q29" s="64"/>
      <c r="R29" s="726" t="s">
        <v>1928</v>
      </c>
      <c r="S29" s="1665"/>
      <c r="T29" s="3538" t="s">
        <v>1903</v>
      </c>
      <c r="U29" s="64"/>
      <c r="AB29" s="539" t="s">
        <v>1782</v>
      </c>
      <c r="AC29" s="1724"/>
      <c r="AD29" s="66">
        <f>VLOOKUP(ROUND(AD24,0),G_Kohorte_N,YEAR(D14)+IF(MONTH(D14)&gt;6,1,0)-1900+2)</f>
        <v>0</v>
      </c>
    </row>
    <row r="30" spans="1:30" s="71" customFormat="1" ht="17.100000000000001" customHeight="1" thickBot="1">
      <c r="A30" s="571"/>
      <c r="B30" s="3839" t="s">
        <v>1627</v>
      </c>
      <c r="C30" s="3646"/>
      <c r="D30" s="858"/>
      <c r="E30" s="998" t="s">
        <v>74</v>
      </c>
      <c r="F30" s="64"/>
      <c r="G30" s="3844" t="s">
        <v>138</v>
      </c>
      <c r="H30" s="3845"/>
      <c r="I30" s="3845"/>
      <c r="J30" s="3845"/>
      <c r="K30" s="3845"/>
      <c r="L30" s="3846"/>
      <c r="M30" s="64"/>
      <c r="N30" s="1003" t="str">
        <f>IFERROR("+ "&amp;TEXT(VLOOKUP(YEAR(O23),Regelaltersgrenze,2)/12,"0,00")&amp;IF(O30&lt;&gt;0,IF(O30&gt;0," + "," ")&amp;TEXT(O30,"0,00")&amp;" Dienstjahre?"," Dienstjahre?"),"")</f>
        <v>+ 0,00 Dienstjahre?</v>
      </c>
      <c r="O30" s="873"/>
      <c r="P30" s="219">
        <f>+P27+VLOOKUP(YEAR(O23),Regelaltersgrenze,2)/12+O30</f>
        <v>0</v>
      </c>
      <c r="Q30" s="64"/>
      <c r="R30" s="726" t="s">
        <v>1929</v>
      </c>
      <c r="S30" s="361"/>
      <c r="T30" s="3540"/>
      <c r="U30" s="64"/>
      <c r="AB30" s="539" t="s">
        <v>1701</v>
      </c>
      <c r="AC30" s="1724"/>
      <c r="AD30" s="66">
        <f>VLOOKUP(ROUND(AD22,0),G_Kohorte_N,YEAR(D14)+IF(MONTH(D14)&gt;6,1,0)-1900+2)</f>
        <v>0</v>
      </c>
    </row>
    <row r="31" spans="1:30" s="71" customFormat="1" ht="17.100000000000001" customHeight="1" thickBot="1">
      <c r="A31" s="571"/>
      <c r="B31" s="1412" t="s">
        <v>71</v>
      </c>
      <c r="C31" s="1413"/>
      <c r="D31" s="918"/>
      <c r="E31" s="999">
        <f>IF(D30="",1,VLOOKUP(YEARFRAC(D28,D31,0),IF(D30="m",G_Kohorte_M,IF(D30="w",G_Kohorte_F,G_Kohorte_N)),YEAR(D28)-1900+2))</f>
        <v>1</v>
      </c>
      <c r="F31" s="64"/>
      <c r="G31" s="3847" t="s">
        <v>1510</v>
      </c>
      <c r="H31" s="3848"/>
      <c r="I31" s="3848"/>
      <c r="J31" s="3848"/>
      <c r="K31" s="3848"/>
      <c r="L31" s="3849"/>
      <c r="M31" s="64"/>
      <c r="N31" s="357" t="s">
        <v>1168</v>
      </c>
      <c r="O31" s="1121"/>
      <c r="P31" s="736"/>
      <c r="Q31" s="64"/>
      <c r="R31" s="726" t="s">
        <v>1902</v>
      </c>
      <c r="S31" s="426"/>
      <c r="T31" s="222">
        <f>ROUND(IFERROR(IF(S31&gt;0,S31,RATE(S30,-S29,T32)),0),4)</f>
        <v>0</v>
      </c>
      <c r="U31" s="64"/>
      <c r="W31" s="71" t="s">
        <v>1167</v>
      </c>
      <c r="X31" s="16" t="b">
        <f>IF(O22&gt;=X22,TRUE,FALSE)</f>
        <v>0</v>
      </c>
      <c r="AB31" s="539" t="s">
        <v>1361</v>
      </c>
      <c r="AC31" s="1724"/>
      <c r="AD31" s="66" t="e">
        <f>ROUND(IF(AD29/AD30&gt;1,1,AD29/AD30),3)</f>
        <v>#DIV/0!</v>
      </c>
    </row>
    <row r="32" spans="1:30" s="71" customFormat="1" ht="17.100000000000001" customHeight="1" thickBot="1">
      <c r="A32" s="571"/>
      <c r="B32" s="1412" t="s">
        <v>72</v>
      </c>
      <c r="C32" s="1413"/>
      <c r="D32" s="918"/>
      <c r="E32" s="999">
        <f>IF(D30="",1,VLOOKUP(YEARFRAC(D28,D32,0),IF(D30="m",G_Kohorte_M,IF(D30="f",G_Kohorte_F,G_Kohorte_N)),YEAR(D28)-1900+2))</f>
        <v>1</v>
      </c>
      <c r="F32" s="64"/>
      <c r="G32" s="3850"/>
      <c r="H32" s="3851"/>
      <c r="I32" s="3851"/>
      <c r="J32" s="3851"/>
      <c r="K32" s="3851"/>
      <c r="L32" s="3852"/>
      <c r="M32" s="64"/>
      <c r="N32" s="726" t="s">
        <v>1053</v>
      </c>
      <c r="O32" s="221">
        <f>IF(O31&gt;0,O31,IF(Alt_Neu,IF(P27*0.7175/40&gt;71.75%,71.75%,P27*0.7175/40),IF(P27*0.75/40&gt;75%,75%,P27*0.75/40)))</f>
        <v>0</v>
      </c>
      <c r="P32" s="222">
        <f>IF(P31&gt;0,P31,IF(P30*0.7175/40&gt;0.7175,0.7175,P30*0.7175/40))</f>
        <v>0</v>
      </c>
      <c r="Q32" s="64"/>
      <c r="R32" s="726" t="s">
        <v>1901</v>
      </c>
      <c r="S32" s="1944"/>
      <c r="T32" s="1057">
        <f>IF(S32&gt;0,S32,-PV(S31,S30,S29))</f>
        <v>0</v>
      </c>
      <c r="U32" s="64"/>
      <c r="AB32" s="71" t="s">
        <v>617</v>
      </c>
      <c r="AC32" s="1725"/>
      <c r="AD32" s="554" t="e">
        <f>IF(D24&gt;0,D24,VLOOKUP(EzE_P,IF(O_BilMoG,BilmoGZins,BilMoG10),16)/100)</f>
        <v>#N/A</v>
      </c>
    </row>
    <row r="33" spans="1:33" s="71" customFormat="1" ht="17.100000000000001" customHeight="1" thickBot="1">
      <c r="A33" s="571"/>
      <c r="B33" s="3839" t="s">
        <v>210</v>
      </c>
      <c r="C33" s="3646"/>
      <c r="D33" s="1047"/>
      <c r="E33" s="1000" t="str">
        <f>IFERROR(IF(ForderungRente=2,-PV(E34,YEARFRAC(D31,D32,0),D33),""),"")</f>
        <v/>
      </c>
      <c r="F33" s="64"/>
      <c r="G33" s="3842" t="s">
        <v>130</v>
      </c>
      <c r="H33" s="3843"/>
      <c r="I33" s="3843"/>
      <c r="J33" s="3843"/>
      <c r="K33" s="581"/>
      <c r="L33" s="582" t="s">
        <v>546</v>
      </c>
      <c r="M33" s="64"/>
      <c r="N33" s="3784" t="str">
        <f>"Ehezeitanteil (neu): "&amp;TEXT(P28,"0,00")&amp;" / "&amp;TEXT(P30,"0,00")</f>
        <v>Ehezeitanteil (neu): 0,00 / 0,00</v>
      </c>
      <c r="O33" s="3636"/>
      <c r="P33" s="222">
        <f>IFERROR(ROUND(P28/P30,4),0)</f>
        <v>0</v>
      </c>
      <c r="Q33" s="64"/>
      <c r="R33" s="3856" t="str">
        <f>IF(AND(S32&gt;0,S31&gt;0),"Achtung! Es kann nur ein Feld in Zeile 3 oder 4 eingegeben werden!","")</f>
        <v/>
      </c>
      <c r="S33" s="3857"/>
      <c r="T33" s="3858"/>
      <c r="U33" s="64"/>
      <c r="AB33" s="539" t="s">
        <v>1498</v>
      </c>
      <c r="AC33" s="539"/>
      <c r="AD33" s="1628" t="e">
        <f>ROUND(-PV(AD32-RententrendDRV,AD26,,-PV(AD32-RententrendDRV,AD25,E19*12)),0)*(1+AD28+AD27)*AD31</f>
        <v>#N/A</v>
      </c>
      <c r="AG33" s="153" t="e">
        <f>-PV(AD32-RententrendDRV,AD25,E19*12)</f>
        <v>#N/A</v>
      </c>
    </row>
    <row r="34" spans="1:33" s="71" customFormat="1" ht="17.100000000000001" customHeight="1" thickBot="1">
      <c r="A34" s="571"/>
      <c r="B34" s="3784" t="s">
        <v>1204</v>
      </c>
      <c r="C34" s="3636"/>
      <c r="D34" s="859"/>
      <c r="E34" s="1001" t="str">
        <f>IF(OR(D31=0,D32=0),"",IFERROR(IF(D34&gt;0,D34,VLOOKUP(D29,IF(BilMoG_10,BilMoG10,BilmoGZins),YEARFRAC(D31,D32,0)+1)/100),""))</f>
        <v/>
      </c>
      <c r="F34" s="64"/>
      <c r="G34" s="2887" t="s">
        <v>1509</v>
      </c>
      <c r="H34" s="2888"/>
      <c r="I34" s="2888"/>
      <c r="J34" s="2888"/>
      <c r="K34" s="583"/>
      <c r="L34" s="1018" t="str">
        <f>IFERROR(VLOOKUP(K34,BilmoGZins,16)/100,"Kein Zins")</f>
        <v>Kein Zins</v>
      </c>
      <c r="M34" s="64"/>
      <c r="N34" s="686" t="s">
        <v>1054</v>
      </c>
      <c r="O34" s="1126"/>
      <c r="P34" s="973" t="str">
        <f>IFERROR(O34*P32/O32*P33/P29,"")</f>
        <v/>
      </c>
      <c r="Q34" s="64"/>
      <c r="R34" s="3821" t="s">
        <v>1922</v>
      </c>
      <c r="S34" s="3822"/>
      <c r="T34" s="3823"/>
      <c r="U34" s="64"/>
      <c r="W34" s="71" t="s">
        <v>1040</v>
      </c>
      <c r="X34" s="16" t="b">
        <v>0</v>
      </c>
      <c r="AD34" s="71" t="s">
        <v>100</v>
      </c>
      <c r="AE34" s="16">
        <v>1</v>
      </c>
    </row>
    <row r="35" spans="1:33" s="71" customFormat="1" ht="17.100000000000001" customHeight="1">
      <c r="A35" s="571"/>
      <c r="B35" s="3056" t="str">
        <f>"Vorversterbensfaktor: "&amp;IF(VVR,TEXT(E32,"#.###")&amp;" / "&amp;TEXT(E31,"#.###")&amp;": ","")</f>
        <v xml:space="preserve">Vorversterbensfaktor: 1 / 1: </v>
      </c>
      <c r="C35" s="3835"/>
      <c r="D35" s="1415">
        <f>IF(VVR,+E32/E31,1)</f>
        <v>1</v>
      </c>
      <c r="E35" s="1002"/>
      <c r="F35" s="64"/>
      <c r="G35" s="2887" t="s">
        <v>1508</v>
      </c>
      <c r="H35" s="2888"/>
      <c r="I35" s="2888"/>
      <c r="J35" s="2888"/>
      <c r="K35" s="583"/>
      <c r="L35" s="1018" t="str">
        <f>IFERROR(VLOOKUP(K35,BilmoGZins,16)/100,"")</f>
        <v/>
      </c>
      <c r="M35" s="865"/>
      <c r="N35" s="684" t="s">
        <v>509</v>
      </c>
      <c r="O35" s="951">
        <f>IFERROR(O34/2,"")</f>
        <v>0</v>
      </c>
      <c r="P35" s="973" t="str">
        <f>IFERROR(P34/2,"")</f>
        <v/>
      </c>
      <c r="Q35" s="64"/>
      <c r="R35" s="3824"/>
      <c r="S35" s="3825"/>
      <c r="T35" s="3826"/>
      <c r="U35" s="64"/>
    </row>
    <row r="36" spans="1:33" s="71" customFormat="1" ht="17.100000000000001" customHeight="1">
      <c r="A36" s="571"/>
      <c r="B36" s="3784" t="str">
        <f>"Forderungsabschlag: "&amp;TEXT(D33,"#.###.##0,00")&amp;" x (1 - "&amp;TEXT(E32,"#.##0")&amp;" / "&amp;TEXT(E31,"#.##0")&amp;")"</f>
        <v>Forderungsabschlag: 0,00 x (1 - 1 / 1)</v>
      </c>
      <c r="C36" s="3853"/>
      <c r="D36" s="3636"/>
      <c r="E36" s="220">
        <f>IFERROR(-(1-D35)*IF(ForderungRente=2,E33,D33),"")</f>
        <v>0</v>
      </c>
      <c r="F36" s="64"/>
      <c r="G36" s="2887" t="s">
        <v>131</v>
      </c>
      <c r="H36" s="2888"/>
      <c r="I36" s="2888"/>
      <c r="J36" s="2888"/>
      <c r="K36" s="584"/>
      <c r="L36" s="1019" t="s">
        <v>133</v>
      </c>
      <c r="M36" s="64"/>
      <c r="N36" s="3934" t="str">
        <f>IF(P36&lt;5%,"Abweichungssoll 5% "&amp;IF(ABS(P36)&gt;=0.05,"über","unter")&amp;"schritten","relative Abweichung:")</f>
        <v>Abweichungssoll 5% unterschritten</v>
      </c>
      <c r="O36" s="3935"/>
      <c r="P36" s="974">
        <f>IFERROR(1-+O35/P35,0)</f>
        <v>0</v>
      </c>
      <c r="Q36" s="64"/>
      <c r="R36" s="726"/>
      <c r="S36" s="1054" t="s">
        <v>1923</v>
      </c>
      <c r="T36" s="328" t="s">
        <v>1924</v>
      </c>
      <c r="U36" s="64"/>
      <c r="W36" s="71">
        <f>ROUND(YEARFRAC(D31,D32,0),0)</f>
        <v>0</v>
      </c>
      <c r="AD36" s="71" t="s">
        <v>207</v>
      </c>
      <c r="AE36" s="16" t="b">
        <v>1</v>
      </c>
    </row>
    <row r="37" spans="1:33" s="71" customFormat="1" ht="17.100000000000001" customHeight="1">
      <c r="A37" s="571"/>
      <c r="B37" s="3836"/>
      <c r="C37" s="3837"/>
      <c r="D37" s="3838"/>
      <c r="E37" s="220"/>
      <c r="F37" s="64"/>
      <c r="G37" s="3946" t="str">
        <f>"Ergebnis der Aufzinsung mit Zinssatz "&amp;TEXT(IF(K36=0,L34,K36),"0,00%")&amp;": "&amp;TEXT(K33,"###.##0,00")&amp;" x (1 + "&amp;TEXT(IF(K36="",L34,K36),"0,00%")&amp;")^"&amp;IF(K34&gt;K35,"-","")&amp;TEXT(YEARFRAC(K34,K35,0),"#0,00")&amp;" ="</f>
        <v>Ergebnis der Aufzinsung mit Zinssatz Kein Zins: 0,00 x (1 + Kein Zins)^0,00 =</v>
      </c>
      <c r="H37" s="3947"/>
      <c r="I37" s="3947"/>
      <c r="J37" s="3947"/>
      <c r="K37" s="3948" t="str">
        <f>IFERROR(-FV(IF(K36&gt;0,K36,L34),YEARFRAC(K34,K35,3),,K33,1),"")</f>
        <v/>
      </c>
      <c r="L37" s="3936" t="str">
        <f>IFERROR(IF(K36&gt;0,K36,L34)*K33*IF(K34&gt;K35,-1,1)*YEARFRAC(K34,K35,0)+K33,"")</f>
        <v/>
      </c>
      <c r="M37" s="64"/>
      <c r="N37" s="1231"/>
      <c r="O37" s="1232"/>
      <c r="P37" s="974"/>
      <c r="Q37" s="64"/>
      <c r="R37" s="2021" t="s">
        <v>1925</v>
      </c>
      <c r="S37" s="2022"/>
      <c r="T37" s="2024"/>
      <c r="U37" s="64"/>
      <c r="AD37" s="71" t="s">
        <v>132</v>
      </c>
    </row>
    <row r="38" spans="1:33" s="71" customFormat="1" ht="17.100000000000001" customHeight="1">
      <c r="A38" s="571"/>
      <c r="B38" s="3827" t="str">
        <f>IFERROR("tatsächlicher "&amp;IF(ForderungRente=2,"Bar","Forderungs")&amp;"wert: "&amp;TEXT(IF(ForderungRente=1,D33,E33),"###.##0,00")&amp;" - "&amp;TEXT(ABS(E36),"###.##0,00"),"")</f>
        <v>tatsächlicher Forderungswert: 0,00 - 0,00</v>
      </c>
      <c r="C38" s="3828"/>
      <c r="D38" s="3828"/>
      <c r="E38" s="1414">
        <f>IFERROR(+IF(ForderungRente=1,D33,E33)+E36,"")</f>
        <v>0</v>
      </c>
      <c r="F38" s="64"/>
      <c r="G38" s="3946"/>
      <c r="H38" s="3947"/>
      <c r="I38" s="3947"/>
      <c r="J38" s="3947"/>
      <c r="K38" s="3948"/>
      <c r="L38" s="3936"/>
      <c r="M38" s="64"/>
      <c r="N38" s="3784" t="str">
        <f>"Wesentlichkeitsgr. § 225 III FamFG:"</f>
        <v>Wesentlichkeitsgr. § 225 III FamFG:</v>
      </c>
      <c r="O38" s="3636"/>
      <c r="P38" s="220">
        <f>IFERROR(VLOOKUP(YEAR(O22),MonatlicheBezugsgroesse,2)/100,0)</f>
        <v>0</v>
      </c>
      <c r="Q38" s="64"/>
      <c r="R38" s="2021" t="s">
        <v>1210</v>
      </c>
      <c r="S38" s="2023"/>
      <c r="T38" s="2025"/>
      <c r="U38" s="64"/>
      <c r="W38" s="16"/>
      <c r="X38" s="16"/>
      <c r="Y38" s="16"/>
      <c r="Z38" s="16"/>
      <c r="AA38" s="16"/>
      <c r="AB38" s="16"/>
      <c r="AC38" s="16"/>
    </row>
    <row r="39" spans="1:33" s="71" customFormat="1" ht="17.100000000000001" customHeight="1" thickBot="1">
      <c r="A39" s="571"/>
      <c r="B39" s="3940" t="str">
        <f>IF(ForderungRente=2,"","mit "&amp;TEXT(E34,"#0,00%")&amp;" abgezinst auf den "&amp;TEXT(D31,"TT.MM.JJJJ")&amp;": "&amp;TEXT(E38,"#.##0,00")&amp;" / (1 + "&amp;TEXT(E34,"0,00%")&amp;")^"&amp;TEXT(-YEARFRAC(D31,D32,0),"0,0"))</f>
        <v>mit  abgezinst auf den 00.01.1900: 0,00 / (1 + )^0,0</v>
      </c>
      <c r="C39" s="3941"/>
      <c r="D39" s="3941"/>
      <c r="E39" s="3944" t="str">
        <f>IFERROR(IF(DiesuDas_AboderAuf=1,-PV(E34,YEARFRAC(D31,D32,0),,E38),-FV(E34,YEARFRAC(D31,D32,0),,D33)),"")</f>
        <v/>
      </c>
      <c r="F39" s="64"/>
      <c r="G39" s="3937"/>
      <c r="H39" s="3938"/>
      <c r="I39" s="3938"/>
      <c r="J39" s="3938"/>
      <c r="K39" s="3938"/>
      <c r="L39" s="3939"/>
      <c r="M39" s="64"/>
      <c r="N39" s="3556" t="str">
        <f>IFERROR("Wesentlichkeitsgrenze "&amp;IF(ABS(P39)&lt;P38,"unterschritten","erreicht"),"")</f>
        <v/>
      </c>
      <c r="O39" s="3557"/>
      <c r="P39" s="220" t="str">
        <f>IFERROR(+P35-O35,"")</f>
        <v/>
      </c>
      <c r="Q39" s="64"/>
      <c r="R39" s="2021" t="s">
        <v>1926</v>
      </c>
      <c r="S39" s="3819" t="str">
        <f>IFERROR(ROUND(_xlfn.RRI(YEARFRAC(S37,T37,3),S38,T38),4),"")</f>
        <v/>
      </c>
      <c r="T39" s="3820"/>
      <c r="U39" s="64"/>
      <c r="W39" s="71" t="s">
        <v>1687</v>
      </c>
      <c r="X39" s="16">
        <v>1</v>
      </c>
    </row>
    <row r="40" spans="1:33" s="71" customFormat="1" ht="17.100000000000001" customHeight="1" thickBot="1">
      <c r="A40" s="571"/>
      <c r="B40" s="3942"/>
      <c r="C40" s="3943"/>
      <c r="D40" s="3943"/>
      <c r="E40" s="3945"/>
      <c r="F40" s="64"/>
      <c r="G40" s="3033" t="s">
        <v>138</v>
      </c>
      <c r="H40" s="3033"/>
      <c r="I40" s="3033"/>
      <c r="J40" s="3033"/>
      <c r="K40" s="3033"/>
      <c r="L40" s="3033"/>
      <c r="M40" s="64"/>
      <c r="N40" s="3931" t="str">
        <f>IFERROR(IF(SUM(P27:P28,O23)=0,"",IF(AND(ABS(P36)&gt;=5%,ABS(P39)&gt;=P38),"Abänderung voraussichtlich möglich","Abänderung voraussichtlich nicht möglich")),"")</f>
        <v/>
      </c>
      <c r="O40" s="3932"/>
      <c r="P40" s="3933"/>
      <c r="Q40" s="64"/>
      <c r="R40" s="2026" t="s">
        <v>1927</v>
      </c>
      <c r="S40" s="3857" t="str">
        <f>"("&amp;TEXT(T38,"0,00")&amp;"/"&amp;TEXT(S38,"0,00")&amp;")^(1/"&amp;TEXT(YEARFRAC(S37,T37,3),"0,00")&amp;") -1)"</f>
        <v>(0,00/0,00)^(1/0,00) -1)</v>
      </c>
      <c r="T40" s="3858"/>
      <c r="U40" s="64"/>
    </row>
    <row r="41" spans="1:33" s="71" customFormat="1" ht="17.100000000000001" customHeight="1" thickBot="1">
      <c r="A41" s="571"/>
      <c r="B41" s="3929" t="s">
        <v>1628</v>
      </c>
      <c r="C41" s="3930"/>
      <c r="D41" s="3930"/>
      <c r="E41" s="1465" t="str">
        <f>IFERROR(VLOOKUP(YEARFRAC(D31,D32,3),Abzinsungstabelle§12BewG,2)*D33,"")</f>
        <v/>
      </c>
      <c r="F41" s="849"/>
      <c r="G41" s="849"/>
      <c r="H41" s="849"/>
      <c r="I41" s="849"/>
      <c r="J41" s="849"/>
      <c r="K41" s="849"/>
      <c r="L41" s="849"/>
      <c r="M41" s="849"/>
      <c r="N41" s="1122"/>
      <c r="O41" s="1122"/>
      <c r="P41" s="572"/>
      <c r="Q41" s="64"/>
      <c r="R41" s="1768"/>
      <c r="S41" s="1768"/>
      <c r="T41" s="1768"/>
      <c r="U41" s="64"/>
    </row>
    <row r="42" spans="1:33" s="71" customFormat="1" hidden="1">
      <c r="B42" s="876"/>
      <c r="C42" s="128"/>
      <c r="D42" s="128"/>
      <c r="E42" s="128"/>
      <c r="N42" s="876"/>
      <c r="P42" s="877"/>
      <c r="R42" s="64"/>
      <c r="S42" s="64"/>
      <c r="T42" s="64"/>
      <c r="U42" s="64"/>
    </row>
    <row r="43" spans="1:33" s="71" customFormat="1" hidden="1">
      <c r="B43" s="876"/>
      <c r="C43" s="128"/>
      <c r="D43" s="128"/>
      <c r="E43" s="128"/>
      <c r="N43" s="876"/>
      <c r="P43" s="877"/>
      <c r="R43" s="64"/>
      <c r="S43" s="64"/>
      <c r="T43" s="64"/>
      <c r="U43" s="64"/>
    </row>
    <row r="44" spans="1:33" s="71" customFormat="1" hidden="1">
      <c r="B44" s="876"/>
      <c r="C44" s="128"/>
      <c r="D44" s="128"/>
      <c r="E44" s="128"/>
      <c r="N44" s="876"/>
      <c r="P44" s="877"/>
      <c r="R44" s="64"/>
      <c r="S44" s="64"/>
      <c r="T44" s="64"/>
      <c r="U44" s="64"/>
    </row>
    <row r="45" spans="1:33" s="71" customFormat="1" hidden="1">
      <c r="B45" s="876"/>
      <c r="C45" s="128"/>
      <c r="D45" s="128"/>
      <c r="E45" s="128"/>
      <c r="N45" s="876"/>
      <c r="P45" s="877"/>
      <c r="R45" s="64"/>
      <c r="S45" s="64"/>
      <c r="T45" s="64"/>
      <c r="U45" s="64"/>
    </row>
    <row r="46" spans="1:33" s="71" customFormat="1" hidden="1">
      <c r="B46" s="876"/>
      <c r="C46" s="128"/>
      <c r="D46" s="128"/>
      <c r="E46" s="128"/>
      <c r="N46" s="876"/>
      <c r="P46" s="877"/>
      <c r="R46" s="64"/>
      <c r="S46" s="64"/>
      <c r="T46" s="64"/>
      <c r="U46" s="64"/>
    </row>
    <row r="47" spans="1:33" s="71" customFormat="1" hidden="1">
      <c r="B47" s="876"/>
      <c r="C47" s="128"/>
      <c r="D47" s="128"/>
      <c r="E47" s="128"/>
      <c r="N47" s="876"/>
      <c r="P47" s="877"/>
      <c r="R47" s="64"/>
      <c r="S47" s="64"/>
      <c r="T47" s="64"/>
      <c r="U47" s="64"/>
    </row>
    <row r="48" spans="1:33" s="71" customFormat="1" hidden="1">
      <c r="B48" s="876"/>
      <c r="C48" s="128"/>
      <c r="D48" s="128"/>
      <c r="E48" s="128"/>
      <c r="N48" s="876"/>
      <c r="P48" s="877"/>
      <c r="R48" s="64"/>
      <c r="S48" s="64"/>
      <c r="T48" s="64"/>
      <c r="U48" s="64"/>
    </row>
    <row r="49" spans="1:21" s="71" customFormat="1" hidden="1">
      <c r="B49" s="876"/>
      <c r="C49" s="128"/>
      <c r="D49" s="128"/>
      <c r="E49" s="128"/>
      <c r="N49" s="876"/>
      <c r="P49" s="877"/>
      <c r="R49" s="64"/>
      <c r="S49" s="64"/>
      <c r="T49" s="64"/>
      <c r="U49" s="64"/>
    </row>
    <row r="50" spans="1:21" s="71" customFormat="1" hidden="1">
      <c r="B50" s="876"/>
      <c r="C50" s="128"/>
      <c r="D50" s="128"/>
      <c r="E50" s="128"/>
      <c r="N50" s="876"/>
      <c r="P50" s="877"/>
      <c r="R50" s="64"/>
      <c r="S50" s="64"/>
      <c r="T50" s="64"/>
      <c r="U50" s="64"/>
    </row>
    <row r="51" spans="1:21" s="71" customFormat="1" hidden="1">
      <c r="A51" s="64"/>
      <c r="B51" s="876"/>
      <c r="C51" s="128"/>
      <c r="D51" s="128"/>
      <c r="E51" s="128"/>
      <c r="N51" s="876"/>
      <c r="P51" s="877"/>
      <c r="R51" s="64"/>
      <c r="S51" s="64"/>
      <c r="T51" s="64"/>
      <c r="U51" s="64"/>
    </row>
    <row r="52" spans="1:21" s="71" customFormat="1" hidden="1">
      <c r="A52" s="64"/>
      <c r="B52" s="876"/>
      <c r="C52" s="128"/>
      <c r="D52" s="128"/>
      <c r="E52" s="128"/>
      <c r="N52" s="876"/>
      <c r="P52" s="877"/>
      <c r="R52" s="64"/>
      <c r="S52" s="64"/>
      <c r="T52" s="64"/>
      <c r="U52" s="64"/>
    </row>
    <row r="53" spans="1:21" s="71" customFormat="1" hidden="1">
      <c r="A53" s="64"/>
      <c r="B53" s="876"/>
      <c r="C53" s="128"/>
      <c r="D53" s="128"/>
      <c r="E53" s="128"/>
      <c r="N53" s="876"/>
      <c r="P53" s="877"/>
      <c r="R53" s="64"/>
      <c r="S53" s="64"/>
      <c r="T53" s="64"/>
      <c r="U53" s="64"/>
    </row>
    <row r="54" spans="1:21" s="71" customFormat="1" hidden="1">
      <c r="A54" s="64"/>
      <c r="B54" s="876"/>
      <c r="C54" s="128"/>
      <c r="D54" s="128"/>
      <c r="E54" s="128"/>
      <c r="N54" s="876"/>
      <c r="P54" s="877"/>
      <c r="R54" s="64"/>
      <c r="S54" s="64"/>
      <c r="T54" s="64"/>
      <c r="U54" s="64"/>
    </row>
    <row r="55" spans="1:21" s="71" customFormat="1" hidden="1">
      <c r="A55" s="64"/>
      <c r="B55" s="876"/>
      <c r="C55" s="128"/>
      <c r="D55" s="128"/>
      <c r="E55" s="128"/>
      <c r="N55" s="876"/>
      <c r="P55" s="877"/>
      <c r="R55" s="64"/>
      <c r="S55" s="64"/>
      <c r="T55" s="64"/>
      <c r="U55" s="64"/>
    </row>
    <row r="56" spans="1:21" s="71" customFormat="1" hidden="1">
      <c r="A56" s="64"/>
      <c r="B56" s="876"/>
      <c r="C56" s="128"/>
      <c r="D56" s="128"/>
      <c r="E56" s="128"/>
      <c r="N56" s="876"/>
      <c r="P56" s="877"/>
      <c r="R56" s="64"/>
      <c r="S56" s="64"/>
      <c r="T56" s="64"/>
      <c r="U56" s="64"/>
    </row>
    <row r="57" spans="1:21" s="71" customFormat="1" hidden="1">
      <c r="A57" s="64"/>
      <c r="B57" s="876"/>
      <c r="C57" s="128"/>
      <c r="D57" s="128"/>
      <c r="E57" s="128"/>
      <c r="N57" s="876"/>
      <c r="P57" s="877"/>
      <c r="R57" s="64"/>
      <c r="S57" s="64"/>
      <c r="T57" s="64"/>
      <c r="U57" s="64"/>
    </row>
    <row r="58" spans="1:21" s="71" customFormat="1" hidden="1">
      <c r="A58" s="64"/>
      <c r="B58" s="876"/>
      <c r="C58" s="128"/>
      <c r="D58" s="128"/>
      <c r="E58" s="128"/>
      <c r="N58" s="876"/>
      <c r="P58" s="877"/>
      <c r="R58" s="64"/>
      <c r="S58" s="64"/>
      <c r="T58" s="64"/>
      <c r="U58" s="64"/>
    </row>
    <row r="59" spans="1:21" s="71" customFormat="1" hidden="1">
      <c r="A59" s="64"/>
      <c r="B59" s="876"/>
      <c r="C59" s="128"/>
      <c r="D59" s="128"/>
      <c r="E59" s="128"/>
      <c r="N59" s="876"/>
      <c r="P59" s="877"/>
      <c r="R59" s="64"/>
      <c r="S59" s="64"/>
      <c r="T59" s="64"/>
      <c r="U59" s="64"/>
    </row>
    <row r="60" spans="1:21" s="71" customFormat="1" hidden="1">
      <c r="A60" s="64"/>
      <c r="B60" s="876"/>
      <c r="C60" s="128"/>
      <c r="D60" s="128"/>
      <c r="E60" s="128"/>
      <c r="N60" s="876"/>
      <c r="P60" s="877"/>
      <c r="R60" s="64"/>
      <c r="S60" s="64"/>
      <c r="T60" s="64"/>
      <c r="U60" s="64"/>
    </row>
    <row r="61" spans="1:21" s="71" customFormat="1" hidden="1">
      <c r="A61" s="64"/>
      <c r="B61" s="876"/>
      <c r="C61" s="128"/>
      <c r="D61" s="128"/>
      <c r="E61" s="128"/>
      <c r="N61" s="876"/>
      <c r="P61" s="877"/>
      <c r="R61" s="64"/>
      <c r="S61" s="64"/>
      <c r="T61" s="64"/>
      <c r="U61" s="64"/>
    </row>
    <row r="62" spans="1:21" s="71" customFormat="1" hidden="1">
      <c r="A62" s="64"/>
      <c r="B62" s="876"/>
      <c r="C62" s="128"/>
      <c r="D62" s="128"/>
      <c r="E62" s="128"/>
      <c r="N62" s="876"/>
      <c r="P62" s="877"/>
      <c r="R62" s="64"/>
      <c r="S62" s="64"/>
      <c r="T62" s="64"/>
      <c r="U62" s="64"/>
    </row>
    <row r="63" spans="1:21" s="71" customFormat="1" hidden="1">
      <c r="A63" s="64"/>
      <c r="B63" s="876"/>
      <c r="C63" s="128"/>
      <c r="D63" s="128"/>
      <c r="E63" s="128"/>
      <c r="N63" s="876"/>
      <c r="P63" s="877"/>
      <c r="R63" s="64"/>
      <c r="S63" s="64"/>
      <c r="T63" s="64"/>
      <c r="U63" s="64"/>
    </row>
    <row r="64" spans="1:21" s="71" customFormat="1" hidden="1">
      <c r="A64" s="64"/>
      <c r="B64" s="876"/>
      <c r="C64" s="128"/>
      <c r="D64" s="128"/>
      <c r="E64" s="128"/>
      <c r="N64" s="876"/>
      <c r="P64" s="877"/>
      <c r="R64" s="64"/>
      <c r="S64" s="64"/>
      <c r="T64" s="64"/>
      <c r="U64" s="64"/>
    </row>
    <row r="65" spans="1:21" s="71" customFormat="1" hidden="1">
      <c r="A65" s="64"/>
      <c r="B65" s="876"/>
      <c r="C65" s="128"/>
      <c r="D65" s="128"/>
      <c r="E65" s="128"/>
      <c r="N65" s="876"/>
      <c r="P65" s="877"/>
      <c r="R65" s="64"/>
      <c r="S65" s="64"/>
      <c r="T65" s="64"/>
      <c r="U65" s="64"/>
    </row>
    <row r="66" spans="1:21" s="71" customFormat="1" hidden="1">
      <c r="A66" s="64"/>
      <c r="B66" s="876"/>
      <c r="C66" s="128"/>
      <c r="D66" s="128"/>
      <c r="E66" s="128"/>
      <c r="N66" s="876"/>
      <c r="P66" s="877"/>
      <c r="R66" s="64"/>
      <c r="S66" s="64"/>
      <c r="T66" s="64"/>
      <c r="U66" s="64"/>
    </row>
    <row r="67" spans="1:21" s="71" customFormat="1" hidden="1">
      <c r="A67" s="64"/>
      <c r="B67" s="876"/>
      <c r="C67" s="128"/>
      <c r="D67" s="128"/>
      <c r="E67" s="128"/>
      <c r="N67" s="876"/>
      <c r="P67" s="877"/>
      <c r="R67" s="64"/>
      <c r="S67" s="64"/>
      <c r="T67" s="64"/>
      <c r="U67" s="64"/>
    </row>
    <row r="68" spans="1:21" s="71" customFormat="1" hidden="1">
      <c r="A68" s="64"/>
      <c r="B68" s="876"/>
      <c r="C68" s="128"/>
      <c r="D68" s="128"/>
      <c r="E68" s="128"/>
      <c r="N68" s="876"/>
      <c r="P68" s="877"/>
      <c r="R68" s="64"/>
      <c r="S68" s="64"/>
      <c r="T68" s="64"/>
      <c r="U68" s="64"/>
    </row>
    <row r="69" spans="1:21" s="71" customFormat="1" hidden="1">
      <c r="A69" s="64"/>
      <c r="B69" s="876"/>
      <c r="C69" s="128"/>
      <c r="D69" s="128"/>
      <c r="E69" s="128"/>
      <c r="N69" s="876"/>
      <c r="P69" s="877"/>
      <c r="R69" s="64"/>
      <c r="S69" s="64"/>
      <c r="T69" s="64"/>
      <c r="U69" s="64"/>
    </row>
    <row r="70" spans="1:21" s="71" customFormat="1" hidden="1">
      <c r="A70" s="64"/>
      <c r="B70" s="876"/>
      <c r="C70" s="128"/>
      <c r="D70" s="128"/>
      <c r="E70" s="128"/>
      <c r="N70" s="876"/>
      <c r="P70" s="877"/>
      <c r="R70" s="64"/>
      <c r="S70" s="64"/>
      <c r="T70" s="64"/>
      <c r="U70" s="64"/>
    </row>
    <row r="71" spans="1:21" s="71" customFormat="1" hidden="1">
      <c r="A71" s="64"/>
      <c r="B71" s="876"/>
      <c r="C71" s="128"/>
      <c r="D71" s="128"/>
      <c r="E71" s="128"/>
      <c r="N71" s="876"/>
      <c r="P71" s="877"/>
      <c r="R71" s="64"/>
      <c r="S71" s="64"/>
      <c r="T71" s="64"/>
      <c r="U71" s="64"/>
    </row>
    <row r="72" spans="1:21" s="71" customFormat="1" hidden="1">
      <c r="A72" s="64"/>
      <c r="B72" s="876"/>
      <c r="C72" s="128"/>
      <c r="D72" s="128"/>
      <c r="E72" s="128"/>
      <c r="N72" s="876"/>
      <c r="P72" s="877"/>
      <c r="R72" s="64"/>
      <c r="S72" s="64"/>
      <c r="T72" s="64"/>
      <c r="U72" s="64"/>
    </row>
    <row r="73" spans="1:21" s="71" customFormat="1" hidden="1">
      <c r="A73" s="64"/>
      <c r="B73" s="876"/>
      <c r="C73" s="128"/>
      <c r="D73" s="128"/>
      <c r="E73" s="128"/>
      <c r="N73" s="876"/>
      <c r="P73" s="877"/>
      <c r="R73" s="64"/>
      <c r="S73" s="64"/>
      <c r="T73" s="64"/>
      <c r="U73" s="64"/>
    </row>
    <row r="74" spans="1:21" s="71" customFormat="1" hidden="1">
      <c r="A74" s="64"/>
      <c r="B74" s="876"/>
      <c r="C74" s="128"/>
      <c r="D74" s="128"/>
      <c r="E74" s="128"/>
      <c r="N74" s="876"/>
      <c r="P74" s="877"/>
      <c r="R74" s="64"/>
      <c r="S74" s="64"/>
      <c r="T74" s="64"/>
      <c r="U74" s="64"/>
    </row>
    <row r="75" spans="1:21" s="71" customFormat="1" hidden="1">
      <c r="A75" s="64"/>
      <c r="B75" s="876"/>
      <c r="C75" s="128"/>
      <c r="D75" s="128"/>
      <c r="E75" s="128"/>
      <c r="N75" s="876"/>
      <c r="P75" s="877"/>
      <c r="R75" s="64"/>
      <c r="S75" s="64"/>
      <c r="T75" s="64"/>
      <c r="U75" s="64"/>
    </row>
    <row r="76" spans="1:21" s="71" customFormat="1" hidden="1">
      <c r="A76" s="64"/>
      <c r="B76" s="876"/>
      <c r="C76" s="128"/>
      <c r="D76" s="128"/>
      <c r="E76" s="128"/>
      <c r="N76" s="876"/>
      <c r="P76" s="877"/>
      <c r="R76" s="64"/>
      <c r="S76" s="64"/>
      <c r="T76" s="64"/>
      <c r="U76" s="64"/>
    </row>
    <row r="77" spans="1:21" s="71" customFormat="1" hidden="1">
      <c r="A77" s="64"/>
      <c r="B77" s="876"/>
      <c r="C77" s="128"/>
      <c r="D77" s="128"/>
      <c r="E77" s="128"/>
      <c r="N77" s="876"/>
      <c r="P77" s="877"/>
      <c r="R77" s="64"/>
      <c r="S77" s="64"/>
      <c r="T77" s="64"/>
      <c r="U77" s="64"/>
    </row>
    <row r="78" spans="1:21" s="71" customFormat="1" hidden="1">
      <c r="A78" s="64"/>
      <c r="B78" s="876"/>
      <c r="C78" s="128"/>
      <c r="D78" s="128"/>
      <c r="E78" s="128"/>
      <c r="N78" s="876"/>
      <c r="P78" s="877"/>
      <c r="R78" s="64"/>
      <c r="S78" s="64"/>
      <c r="T78" s="64"/>
      <c r="U78" s="64"/>
    </row>
    <row r="79" spans="1:21" s="71" customFormat="1" hidden="1">
      <c r="A79" s="64"/>
      <c r="B79" s="876"/>
      <c r="C79" s="128"/>
      <c r="D79" s="128"/>
      <c r="E79" s="128"/>
      <c r="N79" s="876"/>
      <c r="P79" s="877"/>
      <c r="R79" s="64"/>
      <c r="S79" s="64"/>
      <c r="T79" s="64"/>
      <c r="U79" s="64"/>
    </row>
    <row r="80" spans="1:21" s="71" customFormat="1" hidden="1">
      <c r="A80" s="64"/>
      <c r="B80" s="876"/>
      <c r="C80" s="128"/>
      <c r="D80" s="128"/>
      <c r="E80" s="128"/>
      <c r="N80" s="876"/>
      <c r="P80" s="877"/>
      <c r="R80" s="64"/>
      <c r="S80" s="64"/>
      <c r="T80" s="64"/>
      <c r="U80" s="64"/>
    </row>
    <row r="81" spans="1:21" s="71" customFormat="1" hidden="1">
      <c r="A81" s="64"/>
      <c r="B81" s="876"/>
      <c r="C81" s="128"/>
      <c r="D81" s="128"/>
      <c r="E81" s="128"/>
      <c r="N81" s="876"/>
      <c r="P81" s="877"/>
      <c r="R81" s="64"/>
      <c r="S81" s="64"/>
      <c r="T81" s="64"/>
      <c r="U81" s="64"/>
    </row>
    <row r="82" spans="1:21" s="71" customFormat="1" hidden="1">
      <c r="A82" s="64"/>
      <c r="B82" s="876"/>
      <c r="C82" s="128"/>
      <c r="D82" s="128"/>
      <c r="E82" s="128"/>
      <c r="N82" s="876"/>
      <c r="P82" s="877"/>
      <c r="R82" s="64"/>
      <c r="S82" s="64"/>
      <c r="T82" s="64"/>
      <c r="U82" s="64"/>
    </row>
    <row r="83" spans="1:21" s="71" customFormat="1" hidden="1">
      <c r="A83" s="64"/>
      <c r="B83" s="876"/>
      <c r="C83" s="128"/>
      <c r="D83" s="128"/>
      <c r="E83" s="128"/>
      <c r="N83" s="876"/>
      <c r="P83" s="877"/>
      <c r="R83" s="64"/>
      <c r="S83" s="64"/>
      <c r="T83" s="64"/>
      <c r="U83" s="64"/>
    </row>
    <row r="84" spans="1:21" s="71" customFormat="1" hidden="1">
      <c r="A84" s="64"/>
      <c r="B84" s="876"/>
      <c r="C84" s="128"/>
      <c r="D84" s="128"/>
      <c r="E84" s="128"/>
      <c r="N84" s="876"/>
      <c r="P84" s="877"/>
      <c r="R84" s="64"/>
      <c r="S84" s="64"/>
      <c r="T84" s="64"/>
      <c r="U84" s="64"/>
    </row>
    <row r="85" spans="1:21" s="71" customFormat="1" hidden="1">
      <c r="A85" s="64"/>
      <c r="B85" s="876"/>
      <c r="C85" s="128"/>
      <c r="D85" s="128"/>
      <c r="E85" s="128"/>
      <c r="N85" s="876"/>
      <c r="P85" s="877"/>
      <c r="R85" s="64"/>
      <c r="S85" s="64"/>
      <c r="T85" s="64"/>
      <c r="U85" s="64"/>
    </row>
    <row r="86" spans="1:21" s="71" customFormat="1" hidden="1">
      <c r="A86" s="64"/>
      <c r="B86" s="876"/>
      <c r="C86" s="128"/>
      <c r="D86" s="128"/>
      <c r="E86" s="128"/>
      <c r="N86" s="876"/>
      <c r="P86" s="877"/>
      <c r="R86" s="64"/>
      <c r="S86" s="64"/>
      <c r="T86" s="64"/>
      <c r="U86" s="64"/>
    </row>
    <row r="87" spans="1:21" s="71" customFormat="1" hidden="1">
      <c r="A87" s="64"/>
      <c r="B87" s="876"/>
      <c r="C87" s="128"/>
      <c r="D87" s="128"/>
      <c r="E87" s="128"/>
      <c r="N87" s="876"/>
      <c r="P87" s="877"/>
      <c r="R87" s="64"/>
      <c r="S87" s="64"/>
      <c r="T87" s="64"/>
      <c r="U87" s="64"/>
    </row>
    <row r="88" spans="1:21" s="71" customFormat="1" hidden="1">
      <c r="A88" s="64"/>
      <c r="B88" s="876"/>
      <c r="C88" s="128"/>
      <c r="D88" s="128"/>
      <c r="E88" s="128"/>
      <c r="N88" s="876"/>
      <c r="P88" s="877"/>
      <c r="R88" s="64"/>
      <c r="S88" s="64"/>
      <c r="T88" s="64"/>
      <c r="U88" s="64"/>
    </row>
    <row r="89" spans="1:21" s="71" customFormat="1" hidden="1">
      <c r="A89" s="64"/>
      <c r="B89" s="876"/>
      <c r="C89" s="128"/>
      <c r="D89" s="128"/>
      <c r="E89" s="128"/>
      <c r="N89" s="876"/>
      <c r="P89" s="877"/>
      <c r="R89" s="64"/>
      <c r="S89" s="64"/>
      <c r="T89" s="64"/>
      <c r="U89" s="64"/>
    </row>
    <row r="90" spans="1:21" s="71" customFormat="1" hidden="1">
      <c r="A90" s="64"/>
      <c r="B90" s="876"/>
      <c r="C90" s="128"/>
      <c r="D90" s="128"/>
      <c r="E90" s="128"/>
      <c r="N90" s="876"/>
      <c r="P90" s="877"/>
      <c r="R90" s="64"/>
      <c r="S90" s="64"/>
      <c r="T90" s="64"/>
      <c r="U90" s="64"/>
    </row>
    <row r="91" spans="1:21" s="71" customFormat="1" hidden="1">
      <c r="A91" s="64"/>
      <c r="B91" s="876"/>
      <c r="C91" s="128"/>
      <c r="D91" s="128"/>
      <c r="E91" s="128"/>
      <c r="N91" s="876"/>
      <c r="P91" s="877"/>
      <c r="R91" s="64"/>
      <c r="S91" s="64"/>
      <c r="T91" s="64"/>
      <c r="U91" s="64"/>
    </row>
    <row r="92" spans="1:21" s="71" customFormat="1" hidden="1">
      <c r="A92" s="64"/>
      <c r="B92" s="876"/>
      <c r="C92" s="128"/>
      <c r="D92" s="128"/>
      <c r="E92" s="128"/>
      <c r="N92" s="876"/>
      <c r="P92" s="877"/>
      <c r="R92" s="64"/>
      <c r="S92" s="64"/>
      <c r="T92" s="64"/>
      <c r="U92" s="64"/>
    </row>
    <row r="93" spans="1:21" s="71" customFormat="1" hidden="1">
      <c r="A93" s="64"/>
      <c r="B93" s="876"/>
      <c r="C93" s="128"/>
      <c r="D93" s="128"/>
      <c r="E93" s="128"/>
      <c r="N93" s="876"/>
      <c r="P93" s="877"/>
      <c r="R93" s="64"/>
      <c r="S93" s="64"/>
      <c r="T93" s="64"/>
      <c r="U93" s="64"/>
    </row>
    <row r="94" spans="1:21" s="71" customFormat="1" hidden="1">
      <c r="A94" s="64"/>
      <c r="B94" s="876"/>
      <c r="C94" s="128"/>
      <c r="D94" s="128"/>
      <c r="E94" s="128"/>
      <c r="N94" s="876"/>
      <c r="P94" s="877"/>
      <c r="R94" s="64"/>
      <c r="S94" s="64"/>
      <c r="T94" s="64"/>
      <c r="U94" s="64"/>
    </row>
    <row r="95" spans="1:21" s="71" customFormat="1" hidden="1">
      <c r="A95" s="64"/>
      <c r="B95" s="876"/>
      <c r="C95" s="128"/>
      <c r="D95" s="128"/>
      <c r="E95" s="128"/>
      <c r="N95" s="876"/>
      <c r="P95" s="877"/>
      <c r="R95" s="64"/>
      <c r="S95" s="64"/>
      <c r="T95" s="64"/>
      <c r="U95" s="64"/>
    </row>
    <row r="96" spans="1:21" s="71" customFormat="1" hidden="1">
      <c r="A96" s="64"/>
      <c r="B96" s="876"/>
      <c r="C96" s="128"/>
      <c r="D96" s="128"/>
      <c r="E96" s="128"/>
      <c r="N96" s="876"/>
      <c r="P96" s="877"/>
      <c r="R96" s="64"/>
      <c r="S96" s="64"/>
      <c r="T96" s="64"/>
      <c r="U96" s="64"/>
    </row>
    <row r="97" spans="1:21" s="71" customFormat="1" hidden="1">
      <c r="A97" s="64"/>
      <c r="B97" s="876"/>
      <c r="C97" s="128"/>
      <c r="D97" s="128"/>
      <c r="E97" s="128"/>
      <c r="N97" s="876"/>
      <c r="P97" s="877"/>
      <c r="R97" s="64"/>
      <c r="S97" s="64"/>
      <c r="T97" s="64"/>
      <c r="U97" s="64"/>
    </row>
    <row r="98" spans="1:21" s="71" customFormat="1" hidden="1">
      <c r="A98" s="64"/>
      <c r="B98" s="876"/>
      <c r="C98" s="128"/>
      <c r="D98" s="128"/>
      <c r="E98" s="128"/>
      <c r="N98" s="876"/>
      <c r="P98" s="877"/>
      <c r="R98" s="64"/>
      <c r="S98" s="64"/>
      <c r="T98" s="64"/>
      <c r="U98" s="64"/>
    </row>
    <row r="99" spans="1:21" s="71" customFormat="1" hidden="1">
      <c r="A99" s="64"/>
      <c r="B99" s="876"/>
      <c r="C99" s="128"/>
      <c r="D99" s="128"/>
      <c r="E99" s="128"/>
      <c r="N99" s="876"/>
      <c r="P99" s="877"/>
      <c r="R99" s="64"/>
      <c r="S99" s="64"/>
      <c r="T99" s="64"/>
      <c r="U99" s="64"/>
    </row>
    <row r="100" spans="1:21" s="71" customFormat="1" hidden="1">
      <c r="A100" s="64"/>
      <c r="B100" s="876"/>
      <c r="C100" s="128"/>
      <c r="D100" s="128"/>
      <c r="E100" s="128"/>
      <c r="N100" s="876"/>
      <c r="P100" s="877"/>
      <c r="R100" s="64"/>
      <c r="S100" s="64"/>
      <c r="T100" s="64"/>
      <c r="U100" s="64"/>
    </row>
    <row r="101" spans="1:21" s="71" customFormat="1" hidden="1">
      <c r="A101" s="64"/>
      <c r="B101" s="876"/>
      <c r="C101" s="128"/>
      <c r="D101" s="128"/>
      <c r="E101" s="128"/>
      <c r="N101" s="876"/>
      <c r="P101" s="877"/>
      <c r="R101" s="64"/>
      <c r="S101" s="64"/>
      <c r="T101" s="64"/>
      <c r="U101" s="64"/>
    </row>
    <row r="102" spans="1:21" s="71" customFormat="1" hidden="1">
      <c r="A102" s="64"/>
      <c r="B102" s="876"/>
      <c r="C102" s="128"/>
      <c r="D102" s="128"/>
      <c r="E102" s="128"/>
      <c r="N102" s="876"/>
      <c r="P102" s="877"/>
      <c r="R102" s="64"/>
      <c r="S102" s="64"/>
      <c r="T102" s="64"/>
      <c r="U102" s="64"/>
    </row>
    <row r="103" spans="1:21" s="71" customFormat="1" hidden="1">
      <c r="A103" s="64"/>
      <c r="B103" s="876"/>
      <c r="C103" s="128"/>
      <c r="D103" s="128"/>
      <c r="E103" s="128"/>
      <c r="N103" s="876"/>
      <c r="P103" s="877"/>
      <c r="R103" s="64"/>
      <c r="S103" s="64"/>
      <c r="T103" s="64"/>
      <c r="U103" s="64"/>
    </row>
    <row r="104" spans="1:21" s="71" customFormat="1" hidden="1">
      <c r="A104" s="64"/>
      <c r="B104" s="876"/>
      <c r="C104" s="128"/>
      <c r="D104" s="128"/>
      <c r="E104" s="128"/>
      <c r="N104" s="876"/>
      <c r="P104" s="877"/>
      <c r="R104" s="64"/>
      <c r="S104" s="64"/>
      <c r="T104" s="64"/>
      <c r="U104" s="64"/>
    </row>
    <row r="105" spans="1:21" s="71" customFormat="1" hidden="1">
      <c r="A105" s="64"/>
      <c r="B105" s="876"/>
      <c r="C105" s="128"/>
      <c r="D105" s="128"/>
      <c r="E105" s="128"/>
      <c r="N105" s="876"/>
      <c r="P105" s="877"/>
      <c r="R105" s="64"/>
      <c r="S105" s="64"/>
      <c r="T105" s="64"/>
      <c r="U105" s="64"/>
    </row>
    <row r="106" spans="1:21" s="71" customFormat="1" hidden="1">
      <c r="A106" s="64"/>
      <c r="B106" s="876"/>
      <c r="C106" s="128"/>
      <c r="D106" s="128"/>
      <c r="E106" s="128"/>
      <c r="N106" s="876"/>
      <c r="P106" s="877"/>
      <c r="R106" s="64"/>
      <c r="S106" s="64"/>
      <c r="T106" s="64"/>
      <c r="U106" s="64"/>
    </row>
    <row r="107" spans="1:21" s="71" customFormat="1" hidden="1">
      <c r="A107" s="64"/>
      <c r="B107" s="876"/>
      <c r="C107" s="128"/>
      <c r="D107" s="128"/>
      <c r="E107" s="128"/>
      <c r="N107" s="876"/>
      <c r="P107" s="877"/>
      <c r="R107" s="64"/>
      <c r="S107" s="64"/>
      <c r="T107" s="64"/>
      <c r="U107" s="64"/>
    </row>
    <row r="108" spans="1:21" s="71" customFormat="1" hidden="1">
      <c r="A108" s="64"/>
      <c r="B108" s="876"/>
      <c r="C108" s="128"/>
      <c r="D108" s="128"/>
      <c r="E108" s="128"/>
      <c r="N108" s="876"/>
      <c r="P108" s="877"/>
      <c r="R108" s="64"/>
      <c r="S108" s="64"/>
      <c r="T108" s="64"/>
      <c r="U108" s="64"/>
    </row>
    <row r="109" spans="1:21" s="71" customFormat="1" hidden="1">
      <c r="A109" s="64"/>
      <c r="B109" s="876"/>
      <c r="C109" s="128"/>
      <c r="D109" s="128"/>
      <c r="E109" s="128"/>
      <c r="N109" s="876"/>
      <c r="P109" s="877"/>
      <c r="R109" s="64"/>
      <c r="S109" s="64"/>
      <c r="T109" s="64"/>
      <c r="U109" s="64"/>
    </row>
    <row r="110" spans="1:21" s="71" customFormat="1" hidden="1">
      <c r="A110" s="64"/>
      <c r="B110" s="876"/>
      <c r="C110" s="128"/>
      <c r="D110" s="128"/>
      <c r="E110" s="128"/>
      <c r="N110" s="876"/>
      <c r="P110" s="877"/>
      <c r="R110" s="64"/>
      <c r="S110" s="64"/>
      <c r="T110" s="64"/>
      <c r="U110" s="64"/>
    </row>
    <row r="111" spans="1:21" s="71" customFormat="1" hidden="1">
      <c r="A111" s="64"/>
      <c r="B111" s="876"/>
      <c r="C111" s="128"/>
      <c r="D111" s="128"/>
      <c r="E111" s="128"/>
      <c r="N111" s="876"/>
      <c r="P111" s="877"/>
      <c r="R111" s="64"/>
      <c r="S111" s="64"/>
      <c r="T111" s="64"/>
      <c r="U111" s="64"/>
    </row>
    <row r="112" spans="1:21" s="71" customFormat="1" hidden="1">
      <c r="A112" s="64"/>
      <c r="B112" s="876"/>
      <c r="C112" s="128"/>
      <c r="D112" s="128"/>
      <c r="E112" s="128"/>
      <c r="N112" s="876"/>
      <c r="P112" s="877"/>
      <c r="R112" s="64"/>
      <c r="S112" s="64"/>
      <c r="T112" s="64"/>
      <c r="U112" s="64"/>
    </row>
    <row r="113" spans="1:21" s="71" customFormat="1" hidden="1">
      <c r="A113" s="64"/>
      <c r="B113" s="876"/>
      <c r="C113" s="128"/>
      <c r="D113" s="128"/>
      <c r="E113" s="128"/>
      <c r="N113" s="876"/>
      <c r="P113" s="877"/>
      <c r="R113" s="64"/>
      <c r="S113" s="64"/>
      <c r="T113" s="64"/>
      <c r="U113" s="64"/>
    </row>
    <row r="114" spans="1:21" s="71" customFormat="1" hidden="1">
      <c r="A114" s="64"/>
      <c r="B114" s="876"/>
      <c r="C114" s="128"/>
      <c r="D114" s="128"/>
      <c r="E114" s="128"/>
      <c r="N114" s="876"/>
      <c r="P114" s="877"/>
      <c r="R114" s="64"/>
      <c r="S114" s="64"/>
      <c r="T114" s="64"/>
      <c r="U114" s="64"/>
    </row>
    <row r="115" spans="1:21" s="71" customFormat="1" hidden="1">
      <c r="A115" s="64"/>
      <c r="B115" s="876"/>
      <c r="C115" s="128"/>
      <c r="D115" s="128"/>
      <c r="E115" s="128"/>
      <c r="N115" s="876"/>
      <c r="P115" s="877"/>
      <c r="R115" s="64"/>
      <c r="S115" s="64"/>
      <c r="T115" s="64"/>
      <c r="U115" s="64"/>
    </row>
    <row r="116" spans="1:21" s="71" customFormat="1" hidden="1">
      <c r="A116" s="64"/>
      <c r="B116" s="876"/>
      <c r="C116" s="128"/>
      <c r="D116" s="128"/>
      <c r="E116" s="128"/>
      <c r="N116" s="876"/>
      <c r="P116" s="877"/>
      <c r="R116" s="64"/>
      <c r="S116" s="64"/>
      <c r="T116" s="64"/>
      <c r="U116" s="64"/>
    </row>
    <row r="117" spans="1:21" s="71" customFormat="1" hidden="1">
      <c r="A117" s="64"/>
      <c r="B117" s="876"/>
      <c r="C117" s="128"/>
      <c r="D117" s="128"/>
      <c r="E117" s="128"/>
      <c r="N117" s="876"/>
      <c r="P117" s="877"/>
      <c r="R117" s="64"/>
      <c r="S117" s="64"/>
      <c r="T117" s="64"/>
      <c r="U117" s="64"/>
    </row>
    <row r="118" spans="1:21" s="71" customFormat="1" hidden="1">
      <c r="A118" s="64"/>
      <c r="B118" s="876"/>
      <c r="C118" s="128"/>
      <c r="D118" s="128"/>
      <c r="E118" s="128"/>
      <c r="N118" s="876"/>
      <c r="P118" s="877"/>
      <c r="R118" s="64"/>
      <c r="S118" s="64"/>
      <c r="T118" s="64"/>
      <c r="U118" s="64"/>
    </row>
    <row r="119" spans="1:21" s="71" customFormat="1" hidden="1">
      <c r="A119" s="64"/>
      <c r="B119" s="876"/>
      <c r="C119" s="128"/>
      <c r="D119" s="128"/>
      <c r="E119" s="128"/>
      <c r="N119" s="876"/>
      <c r="P119" s="877"/>
      <c r="R119" s="64"/>
      <c r="S119" s="64"/>
      <c r="T119" s="64"/>
      <c r="U119" s="64"/>
    </row>
    <row r="120" spans="1:21" s="71" customFormat="1" hidden="1">
      <c r="A120" s="64"/>
      <c r="B120" s="876"/>
      <c r="C120" s="128"/>
      <c r="D120" s="128"/>
      <c r="E120" s="128"/>
      <c r="N120" s="876"/>
      <c r="P120" s="877"/>
      <c r="R120" s="64"/>
      <c r="S120" s="64"/>
      <c r="T120" s="64"/>
      <c r="U120" s="64"/>
    </row>
    <row r="121" spans="1:21" s="71" customFormat="1" hidden="1">
      <c r="A121" s="64"/>
      <c r="B121" s="876"/>
      <c r="C121" s="128"/>
      <c r="D121" s="128"/>
      <c r="E121" s="128"/>
      <c r="N121" s="876"/>
      <c r="P121" s="877"/>
      <c r="R121" s="64"/>
      <c r="S121" s="64"/>
      <c r="T121" s="64"/>
      <c r="U121" s="64"/>
    </row>
    <row r="122" spans="1:21" s="71" customFormat="1" hidden="1">
      <c r="A122" s="64"/>
      <c r="B122" s="876"/>
      <c r="C122" s="128"/>
      <c r="D122" s="128"/>
      <c r="E122" s="128"/>
      <c r="N122" s="876"/>
      <c r="P122" s="877"/>
      <c r="R122" s="64"/>
      <c r="S122" s="64"/>
      <c r="T122" s="64"/>
      <c r="U122" s="64"/>
    </row>
    <row r="123" spans="1:21" s="71" customFormat="1" hidden="1">
      <c r="A123" s="64"/>
      <c r="B123" s="876"/>
      <c r="C123" s="128"/>
      <c r="D123" s="128"/>
      <c r="E123" s="128"/>
      <c r="N123" s="876"/>
      <c r="P123" s="877"/>
      <c r="R123" s="64"/>
      <c r="S123" s="64"/>
      <c r="T123" s="64"/>
      <c r="U123" s="64"/>
    </row>
    <row r="124" spans="1:21" s="71" customFormat="1" hidden="1">
      <c r="A124" s="64"/>
      <c r="B124" s="876"/>
      <c r="C124" s="128"/>
      <c r="D124" s="128"/>
      <c r="E124" s="128"/>
      <c r="N124" s="876"/>
      <c r="P124" s="877"/>
      <c r="R124" s="64"/>
      <c r="S124" s="64"/>
      <c r="T124" s="64"/>
      <c r="U124" s="64"/>
    </row>
    <row r="125" spans="1:21" s="71" customFormat="1" hidden="1">
      <c r="A125" s="64"/>
      <c r="B125" s="876"/>
      <c r="C125" s="128"/>
      <c r="D125" s="128"/>
      <c r="E125" s="128"/>
      <c r="N125" s="876"/>
      <c r="P125" s="877"/>
      <c r="R125" s="64"/>
      <c r="S125" s="64"/>
      <c r="T125" s="64"/>
      <c r="U125" s="64"/>
    </row>
    <row r="126" spans="1:21" s="71" customFormat="1" hidden="1">
      <c r="A126" s="64"/>
      <c r="B126" s="876"/>
      <c r="C126" s="128"/>
      <c r="D126" s="128"/>
      <c r="E126" s="128"/>
      <c r="N126" s="876"/>
      <c r="P126" s="877"/>
      <c r="R126" s="64"/>
      <c r="S126" s="64"/>
      <c r="T126" s="64"/>
      <c r="U126" s="64"/>
    </row>
    <row r="127" spans="1:21" s="71" customFormat="1" hidden="1">
      <c r="A127" s="64"/>
      <c r="B127" s="876"/>
      <c r="C127" s="128"/>
      <c r="D127" s="128"/>
      <c r="E127" s="128"/>
      <c r="N127" s="876"/>
      <c r="P127" s="877"/>
      <c r="R127" s="64"/>
      <c r="S127" s="64"/>
      <c r="T127" s="64"/>
      <c r="U127" s="64"/>
    </row>
    <row r="128" spans="1:21" s="71" customFormat="1" hidden="1">
      <c r="A128" s="64"/>
      <c r="B128" s="876"/>
      <c r="C128" s="128"/>
      <c r="D128" s="128"/>
      <c r="E128" s="128"/>
      <c r="N128" s="876"/>
      <c r="P128" s="877"/>
      <c r="R128" s="64"/>
      <c r="S128" s="64"/>
      <c r="T128" s="64"/>
      <c r="U128" s="64"/>
    </row>
    <row r="129" spans="1:21" s="71" customFormat="1" hidden="1">
      <c r="A129" s="64"/>
      <c r="B129" s="876"/>
      <c r="C129" s="128"/>
      <c r="D129" s="128"/>
      <c r="E129" s="128"/>
      <c r="N129" s="876"/>
      <c r="P129" s="877"/>
      <c r="R129" s="64"/>
      <c r="S129" s="64"/>
      <c r="T129" s="64"/>
      <c r="U129" s="64"/>
    </row>
    <row r="130" spans="1:21" s="71" customFormat="1" hidden="1">
      <c r="A130" s="64"/>
      <c r="B130" s="876"/>
      <c r="C130" s="128"/>
      <c r="D130" s="128"/>
      <c r="E130" s="128"/>
      <c r="N130" s="876"/>
      <c r="P130" s="877"/>
      <c r="R130" s="64"/>
      <c r="S130" s="64"/>
      <c r="T130" s="64"/>
      <c r="U130" s="64"/>
    </row>
    <row r="131" spans="1:21" s="71" customFormat="1" hidden="1">
      <c r="A131" s="64"/>
      <c r="B131" s="876"/>
      <c r="C131" s="128"/>
      <c r="D131" s="128"/>
      <c r="E131" s="128"/>
      <c r="N131" s="876"/>
      <c r="P131" s="877"/>
      <c r="R131" s="64"/>
      <c r="S131" s="64"/>
      <c r="T131" s="64"/>
      <c r="U131" s="64"/>
    </row>
    <row r="132" spans="1:21" s="71" customFormat="1" hidden="1">
      <c r="A132" s="64"/>
      <c r="B132" s="876"/>
      <c r="C132" s="128"/>
      <c r="D132" s="128"/>
      <c r="E132" s="128"/>
      <c r="N132" s="876"/>
      <c r="P132" s="877"/>
      <c r="R132" s="64"/>
      <c r="S132" s="64"/>
      <c r="T132" s="64"/>
      <c r="U132" s="64"/>
    </row>
    <row r="133" spans="1:21" s="71" customFormat="1" hidden="1">
      <c r="A133" s="64"/>
      <c r="B133" s="876"/>
      <c r="C133" s="128"/>
      <c r="D133" s="128"/>
      <c r="E133" s="128"/>
      <c r="N133" s="876"/>
      <c r="P133" s="877"/>
      <c r="R133" s="64"/>
      <c r="S133" s="64"/>
      <c r="T133" s="64"/>
      <c r="U133" s="64"/>
    </row>
    <row r="134" spans="1:21" s="71" customFormat="1" hidden="1">
      <c r="A134" s="64"/>
      <c r="B134" s="876"/>
      <c r="C134" s="128"/>
      <c r="D134" s="128"/>
      <c r="E134" s="128"/>
      <c r="N134" s="876"/>
      <c r="P134" s="877"/>
      <c r="R134" s="64"/>
      <c r="S134" s="64"/>
      <c r="T134" s="64"/>
      <c r="U134" s="64"/>
    </row>
    <row r="135" spans="1:21" s="71" customFormat="1" hidden="1">
      <c r="A135" s="64"/>
      <c r="B135" s="876"/>
      <c r="C135" s="128"/>
      <c r="D135" s="128"/>
      <c r="E135" s="128"/>
      <c r="N135" s="876"/>
      <c r="P135" s="877"/>
      <c r="R135" s="64"/>
      <c r="S135" s="64"/>
      <c r="T135" s="64"/>
      <c r="U135" s="64"/>
    </row>
    <row r="136" spans="1:21" s="71" customFormat="1" hidden="1">
      <c r="A136" s="64"/>
      <c r="B136" s="876"/>
      <c r="C136" s="128"/>
      <c r="D136" s="128"/>
      <c r="E136" s="128"/>
      <c r="N136" s="876"/>
      <c r="P136" s="877"/>
      <c r="R136" s="64"/>
      <c r="S136" s="64"/>
      <c r="T136" s="64"/>
      <c r="U136" s="64"/>
    </row>
    <row r="137" spans="1:21" s="71" customFormat="1" hidden="1">
      <c r="A137" s="64"/>
      <c r="B137" s="876"/>
      <c r="C137" s="128"/>
      <c r="D137" s="128"/>
      <c r="E137" s="128"/>
      <c r="N137" s="876"/>
      <c r="P137" s="877"/>
      <c r="R137" s="64"/>
      <c r="S137" s="64"/>
      <c r="T137" s="64"/>
      <c r="U137" s="64"/>
    </row>
    <row r="138" spans="1:21" s="71" customFormat="1" hidden="1">
      <c r="A138" s="64"/>
      <c r="B138" s="876"/>
      <c r="C138" s="128"/>
      <c r="D138" s="128"/>
      <c r="E138" s="128"/>
      <c r="N138" s="876"/>
      <c r="P138" s="877"/>
      <c r="R138" s="64"/>
      <c r="S138" s="64"/>
      <c r="T138" s="64"/>
      <c r="U138" s="64"/>
    </row>
    <row r="139" spans="1:21" s="71" customFormat="1" hidden="1">
      <c r="A139" s="64"/>
      <c r="B139" s="876"/>
      <c r="C139" s="128"/>
      <c r="D139" s="128"/>
      <c r="E139" s="128"/>
      <c r="N139" s="876"/>
      <c r="P139" s="877"/>
      <c r="R139" s="64"/>
      <c r="S139" s="64"/>
      <c r="T139" s="64"/>
      <c r="U139" s="64"/>
    </row>
    <row r="140" spans="1:21" s="71" customFormat="1" hidden="1">
      <c r="A140" s="64"/>
      <c r="B140" s="876"/>
      <c r="C140" s="128"/>
      <c r="D140" s="128"/>
      <c r="E140" s="128"/>
      <c r="N140" s="876"/>
      <c r="P140" s="877"/>
      <c r="R140" s="64"/>
      <c r="S140" s="64"/>
      <c r="T140" s="64"/>
      <c r="U140" s="64"/>
    </row>
    <row r="141" spans="1:21" s="71" customFormat="1" hidden="1">
      <c r="A141" s="64"/>
      <c r="B141" s="876"/>
      <c r="C141" s="128"/>
      <c r="D141" s="128"/>
      <c r="E141" s="128"/>
      <c r="N141" s="876"/>
      <c r="P141" s="877"/>
      <c r="R141" s="64"/>
      <c r="S141" s="64"/>
      <c r="T141" s="64"/>
      <c r="U141" s="64"/>
    </row>
    <row r="142" spans="1:21" s="71" customFormat="1" hidden="1">
      <c r="A142" s="64"/>
      <c r="B142" s="876"/>
      <c r="C142" s="128"/>
      <c r="D142" s="128"/>
      <c r="E142" s="128"/>
      <c r="N142" s="876"/>
      <c r="P142" s="877"/>
      <c r="R142" s="64"/>
      <c r="S142" s="64"/>
      <c r="T142" s="64"/>
      <c r="U142" s="64"/>
    </row>
    <row r="143" spans="1:21" s="71" customFormat="1" hidden="1">
      <c r="A143" s="64"/>
      <c r="B143" s="876"/>
      <c r="C143" s="128"/>
      <c r="D143" s="128"/>
      <c r="E143" s="128"/>
      <c r="N143" s="876"/>
      <c r="P143" s="877"/>
      <c r="R143" s="64"/>
      <c r="S143" s="64"/>
      <c r="T143" s="64"/>
      <c r="U143" s="64"/>
    </row>
    <row r="144" spans="1:21" s="71" customFormat="1" hidden="1">
      <c r="A144" s="64"/>
      <c r="B144" s="876"/>
      <c r="C144" s="128"/>
      <c r="D144" s="128"/>
      <c r="E144" s="128"/>
      <c r="N144" s="876"/>
      <c r="P144" s="877"/>
      <c r="R144" s="64"/>
      <c r="S144" s="64"/>
      <c r="T144" s="64"/>
      <c r="U144" s="64"/>
    </row>
    <row r="145" spans="1:21" s="71" customFormat="1" hidden="1">
      <c r="A145" s="64"/>
      <c r="B145" s="876"/>
      <c r="C145" s="128"/>
      <c r="D145" s="128"/>
      <c r="E145" s="128"/>
      <c r="N145" s="876"/>
      <c r="P145" s="877"/>
      <c r="R145" s="64"/>
      <c r="S145" s="64"/>
      <c r="T145" s="64"/>
      <c r="U145" s="64"/>
    </row>
    <row r="146" spans="1:21" s="71" customFormat="1" hidden="1">
      <c r="A146" s="64"/>
      <c r="B146" s="876"/>
      <c r="C146" s="128"/>
      <c r="D146" s="128"/>
      <c r="E146" s="128"/>
      <c r="N146" s="876"/>
      <c r="P146" s="877"/>
      <c r="R146" s="64"/>
      <c r="S146" s="64"/>
      <c r="T146" s="64"/>
      <c r="U146" s="64"/>
    </row>
    <row r="147" spans="1:21" s="71" customFormat="1" hidden="1">
      <c r="A147" s="64"/>
      <c r="B147" s="876"/>
      <c r="C147" s="128"/>
      <c r="D147" s="128"/>
      <c r="E147" s="128"/>
      <c r="N147" s="876"/>
      <c r="P147" s="877"/>
      <c r="R147" s="64"/>
      <c r="S147" s="64"/>
      <c r="T147" s="64"/>
      <c r="U147" s="64"/>
    </row>
    <row r="148" spans="1:21" s="71" customFormat="1" hidden="1">
      <c r="A148" s="64"/>
      <c r="B148" s="876"/>
      <c r="C148" s="128"/>
      <c r="D148" s="128"/>
      <c r="E148" s="128"/>
      <c r="N148" s="876"/>
      <c r="P148" s="877"/>
      <c r="R148" s="64"/>
      <c r="S148" s="64"/>
      <c r="T148" s="64"/>
      <c r="U148" s="64"/>
    </row>
    <row r="149" spans="1:21" s="71" customFormat="1" hidden="1">
      <c r="A149" s="64"/>
      <c r="B149" s="876"/>
      <c r="C149" s="128"/>
      <c r="D149" s="128"/>
      <c r="E149" s="128"/>
      <c r="N149" s="876"/>
      <c r="P149" s="877"/>
      <c r="R149" s="64"/>
      <c r="S149" s="64"/>
      <c r="T149" s="64"/>
      <c r="U149" s="64"/>
    </row>
    <row r="150" spans="1:21" s="71" customFormat="1" hidden="1">
      <c r="A150" s="64"/>
      <c r="B150" s="876"/>
      <c r="C150" s="128"/>
      <c r="D150" s="128"/>
      <c r="E150" s="128"/>
      <c r="N150" s="876"/>
      <c r="P150" s="877"/>
      <c r="R150" s="64"/>
      <c r="S150" s="64"/>
      <c r="T150" s="64"/>
      <c r="U150" s="64"/>
    </row>
    <row r="151" spans="1:21" s="71" customFormat="1" hidden="1">
      <c r="A151" s="64"/>
      <c r="B151" s="876"/>
      <c r="C151" s="128"/>
      <c r="D151" s="128"/>
      <c r="E151" s="128"/>
      <c r="N151" s="876"/>
      <c r="P151" s="877"/>
      <c r="R151" s="64"/>
      <c r="S151" s="64"/>
      <c r="T151" s="64"/>
      <c r="U151" s="64"/>
    </row>
    <row r="152" spans="1:21" s="71" customFormat="1" hidden="1">
      <c r="A152" s="64"/>
      <c r="B152" s="876"/>
      <c r="C152" s="128"/>
      <c r="D152" s="128"/>
      <c r="E152" s="128"/>
      <c r="N152" s="876"/>
      <c r="P152" s="877"/>
      <c r="R152" s="64"/>
      <c r="S152" s="64"/>
      <c r="T152" s="64"/>
      <c r="U152" s="64"/>
    </row>
    <row r="153" spans="1:21" s="71" customFormat="1" hidden="1">
      <c r="A153" s="64"/>
      <c r="B153" s="876"/>
      <c r="C153" s="128"/>
      <c r="D153" s="128"/>
      <c r="E153" s="128"/>
      <c r="N153" s="876"/>
      <c r="P153" s="877"/>
      <c r="R153" s="64"/>
      <c r="S153" s="64"/>
      <c r="T153" s="64"/>
      <c r="U153" s="64"/>
    </row>
    <row r="154" spans="1:21" s="71" customFormat="1" hidden="1">
      <c r="A154" s="64"/>
      <c r="B154" s="876"/>
      <c r="C154" s="128"/>
      <c r="D154" s="128"/>
      <c r="E154" s="128"/>
      <c r="N154" s="876"/>
      <c r="P154" s="877"/>
      <c r="R154" s="64"/>
      <c r="S154" s="64"/>
      <c r="T154" s="64"/>
      <c r="U154" s="64"/>
    </row>
    <row r="155" spans="1:21" s="71" customFormat="1" hidden="1">
      <c r="A155" s="64"/>
      <c r="B155" s="876"/>
      <c r="C155" s="128"/>
      <c r="D155" s="128"/>
      <c r="E155" s="128"/>
      <c r="N155" s="876"/>
      <c r="P155" s="877"/>
      <c r="R155" s="64"/>
      <c r="S155" s="64"/>
      <c r="T155" s="64"/>
      <c r="U155" s="64"/>
    </row>
    <row r="156" spans="1:21" s="71" customFormat="1" hidden="1">
      <c r="A156" s="64"/>
      <c r="B156" s="876"/>
      <c r="C156" s="128"/>
      <c r="D156" s="128"/>
      <c r="E156" s="128"/>
      <c r="N156" s="876"/>
      <c r="P156" s="877"/>
      <c r="R156" s="64"/>
      <c r="S156" s="64"/>
      <c r="T156" s="64"/>
      <c r="U156" s="64"/>
    </row>
    <row r="157" spans="1:21" s="71" customFormat="1" hidden="1">
      <c r="A157" s="64"/>
      <c r="B157" s="876"/>
      <c r="C157" s="128"/>
      <c r="D157" s="128"/>
      <c r="E157" s="128"/>
      <c r="N157" s="876"/>
      <c r="P157" s="877"/>
      <c r="R157" s="64"/>
      <c r="S157" s="64"/>
      <c r="T157" s="64"/>
      <c r="U157" s="64"/>
    </row>
    <row r="158" spans="1:21" s="71" customFormat="1" hidden="1">
      <c r="A158" s="64"/>
      <c r="B158" s="876"/>
      <c r="C158" s="128"/>
      <c r="D158" s="128"/>
      <c r="E158" s="128"/>
      <c r="N158" s="876"/>
      <c r="P158" s="877"/>
      <c r="R158" s="64"/>
      <c r="S158" s="64"/>
      <c r="T158" s="64"/>
      <c r="U158" s="64"/>
    </row>
    <row r="159" spans="1:21" s="71" customFormat="1" hidden="1">
      <c r="A159" s="64"/>
      <c r="B159" s="876"/>
      <c r="C159" s="128"/>
      <c r="D159" s="128"/>
      <c r="E159" s="128"/>
      <c r="N159" s="876"/>
      <c r="P159" s="877"/>
      <c r="R159" s="64"/>
      <c r="S159" s="64"/>
      <c r="T159" s="64"/>
      <c r="U159" s="64"/>
    </row>
    <row r="160" spans="1:21" s="71" customFormat="1" hidden="1">
      <c r="A160" s="64"/>
      <c r="B160" s="876"/>
      <c r="C160" s="128"/>
      <c r="D160" s="128"/>
      <c r="E160" s="128"/>
      <c r="N160" s="876"/>
      <c r="P160" s="877"/>
      <c r="R160" s="64"/>
      <c r="S160" s="64"/>
      <c r="T160" s="64"/>
      <c r="U160" s="64"/>
    </row>
    <row r="161" spans="1:21" s="71" customFormat="1" hidden="1">
      <c r="A161" s="64"/>
      <c r="B161" s="876"/>
      <c r="C161" s="128"/>
      <c r="D161" s="128"/>
      <c r="E161" s="128"/>
      <c r="N161" s="876"/>
      <c r="P161" s="877"/>
      <c r="R161" s="64"/>
      <c r="S161" s="64"/>
      <c r="T161" s="64"/>
      <c r="U161" s="64"/>
    </row>
    <row r="162" spans="1:21" s="71" customFormat="1" hidden="1">
      <c r="A162" s="64"/>
      <c r="B162" s="876"/>
      <c r="C162" s="128"/>
      <c r="D162" s="128"/>
      <c r="E162" s="128"/>
      <c r="N162" s="876"/>
      <c r="P162" s="877"/>
      <c r="R162" s="64"/>
      <c r="S162" s="64"/>
      <c r="T162" s="64"/>
      <c r="U162" s="64"/>
    </row>
    <row r="163" spans="1:21" s="71" customFormat="1" hidden="1">
      <c r="A163" s="64"/>
      <c r="B163" s="876"/>
      <c r="C163" s="128"/>
      <c r="D163" s="128"/>
      <c r="E163" s="128"/>
      <c r="N163" s="876"/>
      <c r="P163" s="877"/>
      <c r="R163" s="64"/>
      <c r="S163" s="64"/>
      <c r="T163" s="64"/>
      <c r="U163" s="64"/>
    </row>
    <row r="164" spans="1:21" s="71" customFormat="1" hidden="1">
      <c r="A164" s="64"/>
      <c r="B164" s="876"/>
      <c r="C164" s="128"/>
      <c r="D164" s="128"/>
      <c r="E164" s="128"/>
      <c r="N164" s="876"/>
      <c r="P164" s="877"/>
      <c r="R164" s="64"/>
      <c r="S164" s="64"/>
      <c r="T164" s="64"/>
      <c r="U164" s="64"/>
    </row>
    <row r="165" spans="1:21" s="71" customFormat="1" hidden="1">
      <c r="A165" s="64"/>
      <c r="B165" s="876"/>
      <c r="C165" s="128"/>
      <c r="D165" s="128"/>
      <c r="E165" s="128"/>
      <c r="N165" s="876"/>
      <c r="P165" s="877"/>
      <c r="R165" s="64"/>
      <c r="S165" s="64"/>
      <c r="T165" s="64"/>
      <c r="U165" s="64"/>
    </row>
    <row r="166" spans="1:21" s="71" customFormat="1" hidden="1">
      <c r="A166" s="64"/>
      <c r="B166" s="876"/>
      <c r="C166" s="128"/>
      <c r="D166" s="128"/>
      <c r="E166" s="128"/>
      <c r="N166" s="876"/>
      <c r="P166" s="877"/>
      <c r="R166" s="64"/>
      <c r="S166" s="64"/>
      <c r="T166" s="64"/>
      <c r="U166" s="64"/>
    </row>
    <row r="167" spans="1:21" s="71" customFormat="1" hidden="1">
      <c r="A167" s="64"/>
      <c r="B167" s="876"/>
      <c r="C167" s="128"/>
      <c r="D167" s="128"/>
      <c r="E167" s="128"/>
      <c r="N167" s="876"/>
      <c r="P167" s="877"/>
      <c r="R167" s="64"/>
      <c r="S167" s="64"/>
      <c r="T167" s="64"/>
      <c r="U167" s="64"/>
    </row>
    <row r="168" spans="1:21" s="71" customFormat="1" hidden="1">
      <c r="A168" s="64"/>
      <c r="B168" s="876"/>
      <c r="C168" s="128"/>
      <c r="D168" s="128"/>
      <c r="E168" s="128"/>
      <c r="N168" s="876"/>
      <c r="P168" s="877"/>
      <c r="R168" s="64"/>
      <c r="S168" s="64"/>
      <c r="T168" s="64"/>
      <c r="U168" s="64"/>
    </row>
    <row r="169" spans="1:21" s="71" customFormat="1" hidden="1">
      <c r="A169" s="64"/>
      <c r="B169" s="876"/>
      <c r="C169" s="128"/>
      <c r="D169" s="128"/>
      <c r="E169" s="128"/>
      <c r="N169" s="876"/>
      <c r="P169" s="877"/>
      <c r="R169" s="64"/>
      <c r="S169" s="64"/>
      <c r="T169" s="64"/>
      <c r="U169" s="64"/>
    </row>
    <row r="170" spans="1:21" s="71" customFormat="1" hidden="1">
      <c r="A170" s="64"/>
      <c r="B170" s="876"/>
      <c r="C170" s="128"/>
      <c r="D170" s="128"/>
      <c r="E170" s="128"/>
      <c r="N170" s="876"/>
      <c r="P170" s="877"/>
      <c r="R170" s="64"/>
      <c r="S170" s="64"/>
      <c r="T170" s="64"/>
      <c r="U170" s="64"/>
    </row>
    <row r="171" spans="1:21" s="71" customFormat="1" hidden="1">
      <c r="A171" s="64"/>
      <c r="B171" s="876"/>
      <c r="C171" s="128"/>
      <c r="D171" s="128"/>
      <c r="E171" s="128"/>
      <c r="N171" s="876"/>
      <c r="P171" s="877"/>
      <c r="R171" s="64"/>
      <c r="S171" s="64"/>
      <c r="T171" s="64"/>
      <c r="U171" s="64"/>
    </row>
    <row r="172" spans="1:21" s="71" customFormat="1" hidden="1">
      <c r="A172" s="64"/>
      <c r="B172" s="876"/>
      <c r="C172" s="128"/>
      <c r="D172" s="128"/>
      <c r="E172" s="128"/>
      <c r="N172" s="876"/>
      <c r="P172" s="877"/>
      <c r="R172" s="64"/>
      <c r="S172" s="64"/>
      <c r="T172" s="64"/>
      <c r="U172" s="64"/>
    </row>
    <row r="173" spans="1:21" s="71" customFormat="1" hidden="1">
      <c r="A173" s="64"/>
      <c r="B173" s="876"/>
      <c r="C173" s="128"/>
      <c r="D173" s="128"/>
      <c r="E173" s="128"/>
      <c r="N173" s="876"/>
      <c r="P173" s="877"/>
      <c r="R173" s="64"/>
      <c r="S173" s="64"/>
      <c r="T173" s="64"/>
      <c r="U173" s="64"/>
    </row>
    <row r="174" spans="1:21" s="71" customFormat="1" hidden="1">
      <c r="A174" s="64"/>
      <c r="B174" s="876"/>
      <c r="C174" s="128"/>
      <c r="D174" s="128"/>
      <c r="E174" s="128"/>
      <c r="N174" s="876"/>
      <c r="P174" s="877"/>
      <c r="R174" s="64"/>
      <c r="S174" s="64"/>
      <c r="T174" s="64"/>
      <c r="U174" s="64"/>
    </row>
    <row r="175" spans="1:21" s="71" customFormat="1" hidden="1">
      <c r="A175" s="64"/>
      <c r="B175" s="876"/>
      <c r="C175" s="128"/>
      <c r="D175" s="128"/>
      <c r="E175" s="128"/>
      <c r="N175" s="876"/>
      <c r="P175" s="877"/>
      <c r="R175" s="64"/>
      <c r="S175" s="64"/>
      <c r="T175" s="64"/>
      <c r="U175" s="64"/>
    </row>
    <row r="176" spans="1:21" s="71" customFormat="1" hidden="1">
      <c r="A176" s="64"/>
      <c r="B176" s="876"/>
      <c r="C176" s="128"/>
      <c r="D176" s="128"/>
      <c r="E176" s="128"/>
      <c r="N176" s="876"/>
      <c r="P176" s="877"/>
      <c r="R176" s="64"/>
      <c r="S176" s="64"/>
      <c r="T176" s="64"/>
      <c r="U176" s="64"/>
    </row>
    <row r="177" spans="1:21" s="71" customFormat="1" hidden="1">
      <c r="A177" s="64"/>
      <c r="B177" s="876"/>
      <c r="C177" s="128"/>
      <c r="D177" s="128"/>
      <c r="E177" s="128"/>
      <c r="N177" s="876"/>
      <c r="P177" s="877"/>
      <c r="R177" s="64"/>
      <c r="S177" s="64"/>
      <c r="T177" s="64"/>
      <c r="U177" s="64"/>
    </row>
    <row r="178" spans="1:21" s="71" customFormat="1" hidden="1">
      <c r="A178" s="64"/>
      <c r="B178" s="876"/>
      <c r="C178" s="128"/>
      <c r="D178" s="128"/>
      <c r="E178" s="128"/>
      <c r="N178" s="876"/>
      <c r="P178" s="877"/>
      <c r="R178" s="64"/>
      <c r="S178" s="64"/>
      <c r="T178" s="64"/>
      <c r="U178" s="64"/>
    </row>
    <row r="179" spans="1:21" s="71" customFormat="1" hidden="1">
      <c r="A179" s="64"/>
      <c r="B179" s="876"/>
      <c r="C179" s="128"/>
      <c r="D179" s="128"/>
      <c r="E179" s="128"/>
      <c r="N179" s="876"/>
      <c r="P179" s="877"/>
      <c r="R179" s="64"/>
      <c r="S179" s="64"/>
      <c r="T179" s="64"/>
      <c r="U179" s="64"/>
    </row>
    <row r="180" spans="1:21" s="71" customFormat="1" hidden="1">
      <c r="A180" s="64"/>
      <c r="B180" s="876"/>
      <c r="C180" s="128"/>
      <c r="D180" s="128"/>
      <c r="E180" s="128"/>
      <c r="N180" s="876"/>
      <c r="P180" s="877"/>
      <c r="R180" s="64"/>
      <c r="S180" s="64"/>
      <c r="T180" s="64"/>
      <c r="U180" s="64"/>
    </row>
    <row r="181" spans="1:21" s="71" customFormat="1" hidden="1">
      <c r="A181" s="64"/>
      <c r="B181" s="876"/>
      <c r="C181" s="128"/>
      <c r="D181" s="128"/>
      <c r="E181" s="128"/>
      <c r="N181" s="876"/>
      <c r="P181" s="877"/>
      <c r="R181" s="64"/>
      <c r="S181" s="64"/>
      <c r="T181" s="64"/>
      <c r="U181" s="64"/>
    </row>
    <row r="182" spans="1:21" s="71" customFormat="1" hidden="1">
      <c r="A182" s="64"/>
      <c r="B182" s="876"/>
      <c r="C182" s="128"/>
      <c r="D182" s="128"/>
      <c r="E182" s="128"/>
      <c r="N182" s="876"/>
      <c r="P182" s="877"/>
      <c r="R182" s="64"/>
      <c r="S182" s="64"/>
      <c r="T182" s="64"/>
      <c r="U182" s="64"/>
    </row>
    <row r="183" spans="1:21" s="71" customFormat="1" hidden="1">
      <c r="A183" s="64"/>
      <c r="B183" s="876"/>
      <c r="C183" s="128"/>
      <c r="D183" s="128"/>
      <c r="E183" s="128"/>
      <c r="N183" s="876"/>
      <c r="P183" s="877"/>
      <c r="R183" s="64"/>
      <c r="S183" s="64"/>
      <c r="T183" s="64"/>
      <c r="U183" s="64"/>
    </row>
    <row r="184" spans="1:21" s="71" customFormat="1" hidden="1">
      <c r="A184" s="64"/>
      <c r="B184" s="876"/>
      <c r="C184" s="128"/>
      <c r="D184" s="128"/>
      <c r="E184" s="128"/>
      <c r="N184" s="876"/>
      <c r="P184" s="877"/>
      <c r="R184" s="64"/>
      <c r="S184" s="64"/>
      <c r="T184" s="64"/>
      <c r="U184" s="64"/>
    </row>
    <row r="185" spans="1:21" s="71" customFormat="1" hidden="1">
      <c r="A185" s="64"/>
      <c r="B185" s="876"/>
      <c r="C185" s="128"/>
      <c r="D185" s="128"/>
      <c r="E185" s="128"/>
      <c r="N185" s="876"/>
      <c r="P185" s="877"/>
      <c r="R185" s="64"/>
      <c r="S185" s="64"/>
      <c r="T185" s="64"/>
      <c r="U185" s="64"/>
    </row>
    <row r="186" spans="1:21" s="71" customFormat="1" hidden="1">
      <c r="A186" s="64"/>
      <c r="B186" s="876"/>
      <c r="C186" s="128"/>
      <c r="D186" s="128"/>
      <c r="E186" s="128"/>
      <c r="N186" s="876"/>
      <c r="P186" s="877"/>
      <c r="R186" s="64"/>
      <c r="S186" s="64"/>
      <c r="T186" s="64"/>
      <c r="U186" s="64"/>
    </row>
    <row r="187" spans="1:21" s="71" customFormat="1" hidden="1">
      <c r="A187" s="64"/>
      <c r="B187" s="876"/>
      <c r="C187" s="128"/>
      <c r="D187" s="128"/>
      <c r="E187" s="128"/>
      <c r="N187" s="876"/>
      <c r="P187" s="877"/>
      <c r="R187" s="64"/>
      <c r="S187" s="64"/>
      <c r="T187" s="64"/>
      <c r="U187" s="64"/>
    </row>
    <row r="188" spans="1:21" s="71" customFormat="1" hidden="1">
      <c r="A188" s="64"/>
      <c r="B188" s="876"/>
      <c r="C188" s="128"/>
      <c r="D188" s="128"/>
      <c r="E188" s="128"/>
      <c r="N188" s="876"/>
      <c r="P188" s="877"/>
      <c r="R188" s="64"/>
      <c r="S188" s="64"/>
      <c r="T188" s="64"/>
      <c r="U188" s="64"/>
    </row>
    <row r="189" spans="1:21" s="71" customFormat="1" hidden="1">
      <c r="A189" s="64"/>
      <c r="B189" s="876"/>
      <c r="C189" s="128"/>
      <c r="D189" s="128"/>
      <c r="E189" s="128"/>
      <c r="N189" s="876"/>
      <c r="P189" s="877"/>
      <c r="R189" s="64"/>
      <c r="S189" s="64"/>
      <c r="T189" s="64"/>
      <c r="U189" s="64"/>
    </row>
    <row r="190" spans="1:21" s="71" customFormat="1" hidden="1">
      <c r="A190" s="64"/>
      <c r="B190" s="876"/>
      <c r="C190" s="128"/>
      <c r="D190" s="128"/>
      <c r="E190" s="128"/>
      <c r="N190" s="876"/>
      <c r="P190" s="877"/>
      <c r="R190" s="64"/>
      <c r="S190" s="64"/>
      <c r="T190" s="64"/>
      <c r="U190" s="64"/>
    </row>
    <row r="191" spans="1:21" s="71" customFormat="1" hidden="1">
      <c r="A191" s="64"/>
      <c r="B191" s="876"/>
      <c r="C191" s="128"/>
      <c r="D191" s="128"/>
      <c r="E191" s="128"/>
      <c r="N191" s="876"/>
      <c r="P191" s="877"/>
      <c r="R191" s="64"/>
      <c r="S191" s="64"/>
      <c r="T191" s="64"/>
      <c r="U191" s="64"/>
    </row>
    <row r="192" spans="1:21" s="71" customFormat="1" hidden="1">
      <c r="A192" s="64"/>
      <c r="B192" s="876"/>
      <c r="C192" s="128"/>
      <c r="D192" s="128"/>
      <c r="E192" s="128"/>
      <c r="N192" s="876"/>
      <c r="P192" s="877"/>
      <c r="R192" s="64"/>
      <c r="S192" s="64"/>
      <c r="T192" s="64"/>
      <c r="U192" s="64"/>
    </row>
    <row r="193" spans="1:21" s="71" customFormat="1" hidden="1">
      <c r="A193" s="64"/>
      <c r="B193" s="876"/>
      <c r="C193" s="128"/>
      <c r="D193" s="128"/>
      <c r="E193" s="128"/>
      <c r="N193" s="876"/>
      <c r="P193" s="877"/>
      <c r="R193" s="64"/>
      <c r="S193" s="64"/>
      <c r="T193" s="64"/>
      <c r="U193" s="64"/>
    </row>
    <row r="194" spans="1:21" s="71" customFormat="1" hidden="1">
      <c r="A194" s="64"/>
      <c r="B194" s="876"/>
      <c r="C194" s="128"/>
      <c r="D194" s="128"/>
      <c r="E194" s="128"/>
      <c r="N194" s="876"/>
      <c r="P194" s="877"/>
      <c r="R194" s="64"/>
      <c r="S194" s="64"/>
      <c r="T194" s="64"/>
      <c r="U194" s="64"/>
    </row>
    <row r="195" spans="1:21" s="71" customFormat="1" hidden="1">
      <c r="A195" s="64"/>
      <c r="B195" s="876"/>
      <c r="C195" s="128"/>
      <c r="D195" s="128"/>
      <c r="E195" s="128"/>
      <c r="N195" s="876"/>
      <c r="P195" s="877"/>
      <c r="R195" s="64"/>
      <c r="S195" s="64"/>
      <c r="T195" s="64"/>
      <c r="U195" s="64"/>
    </row>
    <row r="196" spans="1:21" s="71" customFormat="1" hidden="1">
      <c r="A196" s="64"/>
      <c r="B196" s="876"/>
      <c r="C196" s="128"/>
      <c r="D196" s="128"/>
      <c r="E196" s="128"/>
      <c r="N196" s="876"/>
      <c r="P196" s="877"/>
      <c r="R196" s="64"/>
      <c r="S196" s="64"/>
      <c r="T196" s="64"/>
      <c r="U196" s="64"/>
    </row>
    <row r="197" spans="1:21" s="71" customFormat="1" hidden="1">
      <c r="A197" s="64"/>
      <c r="B197" s="876"/>
      <c r="C197" s="128"/>
      <c r="D197" s="128"/>
      <c r="E197" s="128"/>
      <c r="N197" s="876"/>
      <c r="P197" s="877"/>
      <c r="R197" s="64"/>
      <c r="S197" s="64"/>
      <c r="T197" s="64"/>
      <c r="U197" s="64"/>
    </row>
    <row r="198" spans="1:21" s="71" customFormat="1" hidden="1">
      <c r="A198" s="64"/>
      <c r="B198" s="876"/>
      <c r="C198" s="128"/>
      <c r="D198" s="128"/>
      <c r="E198" s="128"/>
      <c r="N198" s="876"/>
      <c r="P198" s="877"/>
      <c r="R198" s="64"/>
      <c r="S198" s="64"/>
      <c r="T198" s="64"/>
      <c r="U198" s="64"/>
    </row>
    <row r="199" spans="1:21" s="71" customFormat="1" hidden="1">
      <c r="A199" s="64"/>
      <c r="B199" s="876"/>
      <c r="C199" s="128"/>
      <c r="D199" s="128"/>
      <c r="E199" s="128"/>
      <c r="N199" s="876"/>
      <c r="P199" s="877"/>
      <c r="R199" s="64"/>
      <c r="S199" s="64"/>
      <c r="T199" s="64"/>
      <c r="U199" s="64"/>
    </row>
    <row r="200" spans="1:21" s="71" customFormat="1" hidden="1">
      <c r="A200" s="64"/>
      <c r="B200" s="876"/>
      <c r="C200" s="128"/>
      <c r="D200" s="128"/>
      <c r="E200" s="128"/>
      <c r="N200" s="876"/>
      <c r="P200" s="877"/>
      <c r="R200" s="64"/>
      <c r="S200" s="64"/>
      <c r="T200" s="64"/>
      <c r="U200" s="64"/>
    </row>
    <row r="201" spans="1:21" s="71" customFormat="1" hidden="1">
      <c r="A201" s="64"/>
      <c r="B201" s="876"/>
      <c r="C201" s="128"/>
      <c r="D201" s="128"/>
      <c r="E201" s="128"/>
      <c r="N201" s="876"/>
      <c r="P201" s="877"/>
      <c r="R201" s="64"/>
      <c r="S201" s="64"/>
      <c r="T201" s="64"/>
      <c r="U201" s="64"/>
    </row>
    <row r="202" spans="1:21" s="71" customFormat="1" hidden="1">
      <c r="A202" s="64"/>
      <c r="B202" s="876"/>
      <c r="C202" s="128"/>
      <c r="D202" s="128"/>
      <c r="E202" s="128"/>
      <c r="N202" s="876"/>
      <c r="P202" s="877"/>
      <c r="R202" s="64"/>
      <c r="S202" s="64"/>
      <c r="T202" s="64"/>
      <c r="U202" s="64"/>
    </row>
    <row r="203" spans="1:21" s="71" customFormat="1" hidden="1">
      <c r="A203" s="64"/>
      <c r="B203" s="876"/>
      <c r="C203" s="128"/>
      <c r="D203" s="128"/>
      <c r="E203" s="128"/>
      <c r="N203" s="876"/>
      <c r="P203" s="877"/>
      <c r="R203" s="64"/>
      <c r="S203" s="64"/>
      <c r="T203" s="64"/>
      <c r="U203" s="64"/>
    </row>
    <row r="204" spans="1:21" s="71" customFormat="1" hidden="1">
      <c r="A204" s="64"/>
      <c r="B204" s="876"/>
      <c r="C204" s="128"/>
      <c r="D204" s="128"/>
      <c r="E204" s="128"/>
      <c r="N204" s="876"/>
      <c r="P204" s="877"/>
      <c r="R204" s="64"/>
      <c r="S204" s="64"/>
      <c r="T204" s="64"/>
      <c r="U204" s="64"/>
    </row>
    <row r="205" spans="1:21" s="71" customFormat="1" hidden="1">
      <c r="A205" s="64"/>
      <c r="B205" s="876"/>
      <c r="C205" s="128"/>
      <c r="D205" s="128"/>
      <c r="E205" s="128"/>
      <c r="N205" s="876"/>
      <c r="P205" s="877"/>
      <c r="R205" s="64"/>
      <c r="S205" s="64"/>
      <c r="T205" s="64"/>
      <c r="U205" s="64"/>
    </row>
    <row r="206" spans="1:21" s="71" customFormat="1" hidden="1">
      <c r="A206" s="64"/>
      <c r="B206" s="876"/>
      <c r="C206" s="128"/>
      <c r="D206" s="128"/>
      <c r="E206" s="128"/>
      <c r="N206" s="876"/>
      <c r="P206" s="877"/>
      <c r="R206" s="64"/>
      <c r="S206" s="64"/>
      <c r="T206" s="64"/>
      <c r="U206" s="64"/>
    </row>
    <row r="207" spans="1:21" s="71" customFormat="1" hidden="1">
      <c r="A207" s="64"/>
      <c r="B207" s="876"/>
      <c r="C207" s="128"/>
      <c r="D207" s="128"/>
      <c r="E207" s="128"/>
      <c r="N207" s="876"/>
      <c r="P207" s="877"/>
      <c r="R207" s="64"/>
      <c r="S207" s="64"/>
      <c r="T207" s="64"/>
      <c r="U207" s="64"/>
    </row>
    <row r="208" spans="1:21" s="71" customFormat="1" hidden="1">
      <c r="A208" s="64"/>
      <c r="B208" s="876"/>
      <c r="C208" s="128"/>
      <c r="D208" s="128"/>
      <c r="E208" s="128"/>
      <c r="N208" s="876"/>
      <c r="P208" s="877"/>
      <c r="R208" s="64"/>
      <c r="S208" s="64"/>
      <c r="T208" s="64"/>
      <c r="U208" s="64"/>
    </row>
    <row r="209" spans="1:21" s="71" customFormat="1" hidden="1">
      <c r="A209" s="64"/>
      <c r="B209" s="876"/>
      <c r="C209" s="128"/>
      <c r="D209" s="128"/>
      <c r="E209" s="128"/>
      <c r="N209" s="876"/>
      <c r="P209" s="877"/>
      <c r="R209" s="64"/>
      <c r="S209" s="64"/>
      <c r="T209" s="64"/>
      <c r="U209" s="64"/>
    </row>
    <row r="210" spans="1:21" s="71" customFormat="1" hidden="1">
      <c r="A210" s="64"/>
      <c r="B210" s="876"/>
      <c r="C210" s="128"/>
      <c r="D210" s="128"/>
      <c r="E210" s="128"/>
      <c r="N210" s="876"/>
      <c r="P210" s="877"/>
      <c r="R210" s="64"/>
      <c r="S210" s="64"/>
      <c r="T210" s="64"/>
      <c r="U210" s="64"/>
    </row>
    <row r="211" spans="1:21" s="71" customFormat="1" hidden="1">
      <c r="A211" s="64"/>
      <c r="B211" s="876"/>
      <c r="C211" s="128"/>
      <c r="D211" s="128"/>
      <c r="E211" s="128"/>
      <c r="N211" s="876"/>
      <c r="P211" s="877"/>
      <c r="R211" s="64"/>
      <c r="S211" s="64"/>
      <c r="T211" s="64"/>
      <c r="U211" s="64"/>
    </row>
    <row r="212" spans="1:21" s="71" customFormat="1" hidden="1">
      <c r="A212" s="64"/>
      <c r="B212" s="876"/>
      <c r="C212" s="128"/>
      <c r="D212" s="128"/>
      <c r="E212" s="128"/>
      <c r="N212" s="876"/>
      <c r="P212" s="877"/>
      <c r="R212" s="64"/>
      <c r="S212" s="64"/>
      <c r="T212" s="64"/>
      <c r="U212" s="64"/>
    </row>
    <row r="213" spans="1:21" s="71" customFormat="1" hidden="1">
      <c r="A213" s="64"/>
      <c r="B213" s="876"/>
      <c r="C213" s="128"/>
      <c r="D213" s="128"/>
      <c r="E213" s="128"/>
      <c r="N213" s="876"/>
      <c r="P213" s="877"/>
      <c r="R213" s="64"/>
      <c r="S213" s="64"/>
      <c r="T213" s="64"/>
      <c r="U213" s="64"/>
    </row>
    <row r="214" spans="1:21" s="71" customFormat="1" hidden="1">
      <c r="A214" s="64"/>
      <c r="B214" s="876"/>
      <c r="C214" s="128"/>
      <c r="D214" s="128"/>
      <c r="E214" s="128"/>
      <c r="N214" s="876"/>
      <c r="P214" s="877"/>
      <c r="R214" s="64"/>
      <c r="S214" s="64"/>
      <c r="T214" s="64"/>
      <c r="U214" s="64"/>
    </row>
    <row r="215" spans="1:21" s="71" customFormat="1" hidden="1">
      <c r="A215" s="64"/>
      <c r="B215" s="876"/>
      <c r="C215" s="128"/>
      <c r="D215" s="128"/>
      <c r="E215" s="128"/>
      <c r="N215" s="876"/>
      <c r="P215" s="877"/>
      <c r="R215" s="64"/>
      <c r="S215" s="64"/>
      <c r="T215" s="64"/>
      <c r="U215" s="64"/>
    </row>
    <row r="216" spans="1:21" s="71" customFormat="1" hidden="1">
      <c r="A216" s="64"/>
      <c r="B216" s="876"/>
      <c r="C216" s="128"/>
      <c r="D216" s="128"/>
      <c r="E216" s="128"/>
      <c r="N216" s="876"/>
      <c r="P216" s="877"/>
      <c r="R216" s="64"/>
      <c r="S216" s="64"/>
      <c r="T216" s="64"/>
      <c r="U216" s="64"/>
    </row>
    <row r="217" spans="1:21" s="71" customFormat="1" hidden="1">
      <c r="A217" s="64"/>
      <c r="B217" s="876"/>
      <c r="C217" s="128"/>
      <c r="D217" s="128"/>
      <c r="E217" s="128"/>
      <c r="N217" s="876"/>
      <c r="P217" s="877"/>
      <c r="R217" s="64"/>
      <c r="S217" s="64"/>
      <c r="T217" s="64"/>
      <c r="U217" s="64"/>
    </row>
    <row r="218" spans="1:21" s="71" customFormat="1" hidden="1">
      <c r="A218" s="64"/>
      <c r="B218" s="876"/>
      <c r="C218" s="128"/>
      <c r="D218" s="128"/>
      <c r="E218" s="128"/>
      <c r="N218" s="876"/>
      <c r="P218" s="877"/>
      <c r="R218" s="64"/>
      <c r="S218" s="64"/>
      <c r="T218" s="64"/>
      <c r="U218" s="64"/>
    </row>
    <row r="219" spans="1:21" s="71" customFormat="1" hidden="1">
      <c r="A219" s="64"/>
      <c r="B219" s="876"/>
      <c r="C219" s="128"/>
      <c r="D219" s="128"/>
      <c r="E219" s="128"/>
      <c r="N219" s="876"/>
      <c r="P219" s="877"/>
      <c r="R219" s="64"/>
      <c r="S219" s="64"/>
      <c r="T219" s="64"/>
      <c r="U219" s="64"/>
    </row>
    <row r="220" spans="1:21" s="71" customFormat="1" hidden="1">
      <c r="A220" s="64"/>
      <c r="B220" s="876"/>
      <c r="C220" s="128"/>
      <c r="D220" s="128"/>
      <c r="E220" s="128"/>
      <c r="N220" s="876"/>
      <c r="P220" s="877"/>
      <c r="R220" s="64"/>
      <c r="S220" s="64"/>
      <c r="T220" s="64"/>
      <c r="U220" s="64"/>
    </row>
    <row r="221" spans="1:21" s="71" customFormat="1" hidden="1">
      <c r="A221" s="64"/>
      <c r="B221" s="876"/>
      <c r="C221" s="128"/>
      <c r="D221" s="128"/>
      <c r="E221" s="128"/>
      <c r="N221" s="876"/>
      <c r="P221" s="877"/>
      <c r="R221" s="64"/>
      <c r="S221" s="64"/>
      <c r="T221" s="64"/>
      <c r="U221" s="64"/>
    </row>
    <row r="222" spans="1:21" s="71" customFormat="1" hidden="1">
      <c r="A222" s="64"/>
      <c r="B222" s="876"/>
      <c r="C222" s="128"/>
      <c r="D222" s="128"/>
      <c r="E222" s="128"/>
      <c r="N222" s="876"/>
      <c r="P222" s="877"/>
      <c r="R222" s="64"/>
      <c r="S222" s="64"/>
      <c r="T222" s="64"/>
      <c r="U222" s="64"/>
    </row>
    <row r="223" spans="1:21" s="71" customFormat="1" hidden="1">
      <c r="A223" s="64"/>
      <c r="B223" s="876"/>
      <c r="C223" s="128"/>
      <c r="D223" s="128"/>
      <c r="E223" s="128"/>
      <c r="N223" s="876"/>
      <c r="P223" s="877"/>
      <c r="R223" s="64"/>
      <c r="S223" s="64"/>
      <c r="T223" s="64"/>
      <c r="U223" s="64"/>
    </row>
    <row r="224" spans="1:21" s="71" customFormat="1" hidden="1">
      <c r="A224" s="64"/>
      <c r="B224" s="876"/>
      <c r="C224" s="128"/>
      <c r="D224" s="128"/>
      <c r="E224" s="128"/>
      <c r="N224" s="876"/>
      <c r="P224" s="877"/>
      <c r="R224" s="64"/>
      <c r="S224" s="64"/>
      <c r="T224" s="64"/>
      <c r="U224" s="64"/>
    </row>
    <row r="225" spans="1:21" s="71" customFormat="1" hidden="1">
      <c r="A225" s="64"/>
      <c r="B225" s="876"/>
      <c r="C225" s="128"/>
      <c r="D225" s="128"/>
      <c r="E225" s="128"/>
      <c r="N225" s="876"/>
      <c r="P225" s="877"/>
      <c r="R225" s="64"/>
      <c r="S225" s="64"/>
      <c r="T225" s="64"/>
      <c r="U225" s="64"/>
    </row>
    <row r="226" spans="1:21" s="71" customFormat="1" hidden="1">
      <c r="A226" s="64"/>
      <c r="B226" s="876"/>
      <c r="C226" s="128"/>
      <c r="D226" s="128"/>
      <c r="E226" s="128"/>
      <c r="N226" s="876"/>
      <c r="P226" s="877"/>
      <c r="R226" s="64"/>
      <c r="S226" s="64"/>
      <c r="T226" s="64"/>
      <c r="U226" s="64"/>
    </row>
    <row r="227" spans="1:21" s="71" customFormat="1" hidden="1">
      <c r="A227" s="64"/>
      <c r="B227" s="876"/>
      <c r="C227" s="128"/>
      <c r="D227" s="128"/>
      <c r="E227" s="128"/>
      <c r="N227" s="876"/>
      <c r="P227" s="877"/>
      <c r="R227" s="64"/>
      <c r="S227" s="64"/>
      <c r="T227" s="64"/>
      <c r="U227" s="64"/>
    </row>
    <row r="228" spans="1:21" s="71" customFormat="1" hidden="1">
      <c r="A228" s="64"/>
      <c r="B228" s="876"/>
      <c r="C228" s="128"/>
      <c r="D228" s="128"/>
      <c r="E228" s="128"/>
      <c r="N228" s="876"/>
      <c r="P228" s="877"/>
      <c r="R228" s="64"/>
      <c r="S228" s="64"/>
      <c r="T228" s="64"/>
      <c r="U228" s="64"/>
    </row>
    <row r="229" spans="1:21" s="71" customFormat="1" hidden="1">
      <c r="A229" s="64"/>
      <c r="B229" s="876"/>
      <c r="C229" s="128"/>
      <c r="D229" s="128"/>
      <c r="E229" s="128"/>
      <c r="N229" s="876"/>
      <c r="P229" s="877"/>
      <c r="R229" s="64"/>
      <c r="S229" s="64"/>
      <c r="T229" s="64"/>
      <c r="U229" s="64"/>
    </row>
    <row r="230" spans="1:21" s="71" customFormat="1" hidden="1">
      <c r="A230" s="64"/>
      <c r="B230" s="876"/>
      <c r="C230" s="128"/>
      <c r="D230" s="128"/>
      <c r="E230" s="128"/>
      <c r="N230" s="876"/>
      <c r="P230" s="877"/>
      <c r="R230" s="64"/>
      <c r="S230" s="64"/>
      <c r="T230" s="64"/>
      <c r="U230" s="64"/>
    </row>
    <row r="231" spans="1:21" s="71" customFormat="1" hidden="1">
      <c r="A231" s="64"/>
      <c r="B231" s="876"/>
      <c r="C231" s="128"/>
      <c r="D231" s="128"/>
      <c r="E231" s="128"/>
      <c r="N231" s="876"/>
      <c r="P231" s="877"/>
      <c r="R231" s="64"/>
      <c r="S231" s="64"/>
      <c r="T231" s="64"/>
      <c r="U231" s="64"/>
    </row>
    <row r="232" spans="1:21" s="71" customFormat="1" hidden="1">
      <c r="A232" s="64"/>
      <c r="B232" s="876"/>
      <c r="C232" s="128"/>
      <c r="D232" s="128"/>
      <c r="E232" s="128"/>
      <c r="N232" s="876"/>
      <c r="P232" s="877"/>
      <c r="R232" s="64"/>
      <c r="S232" s="64"/>
      <c r="T232" s="64"/>
      <c r="U232" s="64"/>
    </row>
    <row r="233" spans="1:21" s="71" customFormat="1" hidden="1">
      <c r="A233" s="64"/>
      <c r="B233" s="876"/>
      <c r="C233" s="128"/>
      <c r="D233" s="128"/>
      <c r="E233" s="128"/>
      <c r="N233" s="876"/>
      <c r="P233" s="877"/>
      <c r="R233" s="64"/>
      <c r="S233" s="64"/>
      <c r="T233" s="64"/>
      <c r="U233" s="64"/>
    </row>
    <row r="234" spans="1:21" s="71" customFormat="1" hidden="1">
      <c r="A234" s="64"/>
      <c r="B234" s="876"/>
      <c r="C234" s="128"/>
      <c r="D234" s="128"/>
      <c r="E234" s="128"/>
      <c r="N234" s="876"/>
      <c r="P234" s="877"/>
      <c r="R234" s="64"/>
      <c r="S234" s="64"/>
      <c r="T234" s="64"/>
      <c r="U234" s="64"/>
    </row>
    <row r="235" spans="1:21" s="71" customFormat="1" hidden="1">
      <c r="A235" s="64"/>
      <c r="B235" s="876"/>
      <c r="C235" s="128"/>
      <c r="D235" s="128"/>
      <c r="E235" s="128"/>
      <c r="N235" s="876"/>
      <c r="P235" s="877"/>
      <c r="R235" s="64"/>
      <c r="S235" s="64"/>
      <c r="T235" s="64"/>
      <c r="U235" s="64"/>
    </row>
    <row r="236" spans="1:21" s="71" customFormat="1" hidden="1">
      <c r="A236" s="64"/>
      <c r="B236" s="876"/>
      <c r="C236" s="128"/>
      <c r="D236" s="128"/>
      <c r="E236" s="128"/>
      <c r="N236" s="876"/>
      <c r="P236" s="877"/>
      <c r="R236" s="64"/>
      <c r="S236" s="64"/>
      <c r="T236" s="64"/>
      <c r="U236" s="64"/>
    </row>
    <row r="237" spans="1:21" s="71" customFormat="1" hidden="1">
      <c r="A237" s="64"/>
      <c r="B237" s="876"/>
      <c r="C237" s="128"/>
      <c r="D237" s="128"/>
      <c r="E237" s="128"/>
      <c r="N237" s="876"/>
      <c r="P237" s="877"/>
      <c r="R237" s="64"/>
      <c r="S237" s="64"/>
      <c r="T237" s="64"/>
      <c r="U237" s="64"/>
    </row>
    <row r="238" spans="1:21" s="71" customFormat="1" hidden="1">
      <c r="A238" s="64"/>
      <c r="B238" s="876"/>
      <c r="C238" s="128"/>
      <c r="D238" s="128"/>
      <c r="E238" s="128"/>
      <c r="N238" s="876"/>
      <c r="P238" s="877"/>
      <c r="R238" s="64"/>
      <c r="S238" s="64"/>
      <c r="T238" s="64"/>
      <c r="U238" s="64"/>
    </row>
    <row r="239" spans="1:21" s="71" customFormat="1" hidden="1">
      <c r="A239" s="64"/>
      <c r="B239" s="876"/>
      <c r="C239" s="128"/>
      <c r="D239" s="128"/>
      <c r="E239" s="128"/>
      <c r="N239" s="876"/>
      <c r="P239" s="877"/>
      <c r="R239" s="64"/>
      <c r="S239" s="64"/>
      <c r="T239" s="64"/>
      <c r="U239" s="64"/>
    </row>
    <row r="240" spans="1:21" s="71" customFormat="1" hidden="1">
      <c r="A240" s="64"/>
      <c r="B240" s="876"/>
      <c r="C240" s="128"/>
      <c r="D240" s="128"/>
      <c r="E240" s="128"/>
      <c r="N240" s="876"/>
      <c r="P240" s="877"/>
      <c r="R240" s="64"/>
      <c r="S240" s="64"/>
      <c r="T240" s="64"/>
      <c r="U240" s="64"/>
    </row>
    <row r="241" spans="1:21" s="71" customFormat="1" hidden="1">
      <c r="A241" s="64"/>
      <c r="B241" s="876"/>
      <c r="C241" s="128"/>
      <c r="D241" s="128"/>
      <c r="E241" s="128"/>
      <c r="N241" s="876"/>
      <c r="P241" s="877"/>
      <c r="R241" s="64"/>
      <c r="S241" s="64"/>
      <c r="T241" s="64"/>
      <c r="U241" s="64"/>
    </row>
    <row r="242" spans="1:21" s="71" customFormat="1" hidden="1">
      <c r="A242" s="64"/>
      <c r="B242" s="876"/>
      <c r="C242" s="128"/>
      <c r="D242" s="128"/>
      <c r="E242" s="128"/>
      <c r="N242" s="876"/>
      <c r="P242" s="877"/>
      <c r="R242" s="64"/>
      <c r="S242" s="64"/>
      <c r="T242" s="64"/>
      <c r="U242" s="64"/>
    </row>
    <row r="243" spans="1:21" s="71" customFormat="1" hidden="1">
      <c r="A243" s="64"/>
      <c r="B243" s="876"/>
      <c r="C243" s="128"/>
      <c r="D243" s="128"/>
      <c r="E243" s="128"/>
      <c r="N243" s="876"/>
      <c r="P243" s="877"/>
      <c r="R243" s="64"/>
      <c r="S243" s="64"/>
      <c r="T243" s="64"/>
      <c r="U243" s="64"/>
    </row>
    <row r="244" spans="1:21" s="71" customFormat="1" hidden="1">
      <c r="A244" s="64"/>
      <c r="B244" s="876"/>
      <c r="C244" s="128"/>
      <c r="D244" s="128"/>
      <c r="E244" s="128"/>
      <c r="N244" s="876"/>
      <c r="P244" s="877"/>
      <c r="R244" s="64"/>
      <c r="S244" s="64"/>
      <c r="T244" s="64"/>
      <c r="U244" s="64"/>
    </row>
    <row r="245" spans="1:21" s="71" customFormat="1" hidden="1">
      <c r="A245" s="64"/>
      <c r="B245" s="876"/>
      <c r="C245" s="128"/>
      <c r="D245" s="128"/>
      <c r="E245" s="128"/>
      <c r="N245" s="876"/>
      <c r="P245" s="877"/>
      <c r="R245" s="64"/>
      <c r="S245" s="64"/>
      <c r="T245" s="64"/>
      <c r="U245" s="64"/>
    </row>
    <row r="246" spans="1:21" s="71" customFormat="1" hidden="1">
      <c r="A246" s="64"/>
      <c r="B246" s="876"/>
      <c r="C246" s="128"/>
      <c r="D246" s="128"/>
      <c r="E246" s="128"/>
      <c r="N246" s="876"/>
      <c r="P246" s="877"/>
      <c r="R246" s="64"/>
      <c r="S246" s="64"/>
      <c r="T246" s="64"/>
      <c r="U246" s="64"/>
    </row>
    <row r="247" spans="1:21" s="71" customFormat="1" hidden="1">
      <c r="A247" s="64"/>
      <c r="B247" s="876"/>
      <c r="C247" s="128"/>
      <c r="D247" s="128"/>
      <c r="E247" s="128"/>
      <c r="N247" s="876"/>
      <c r="P247" s="877"/>
      <c r="R247" s="64"/>
      <c r="S247" s="64"/>
      <c r="T247" s="64"/>
      <c r="U247" s="64"/>
    </row>
    <row r="248" spans="1:21" s="71" customFormat="1" hidden="1">
      <c r="A248" s="64"/>
      <c r="B248" s="876"/>
      <c r="C248" s="128"/>
      <c r="D248" s="128"/>
      <c r="E248" s="128"/>
      <c r="N248" s="876"/>
      <c r="P248" s="877"/>
      <c r="R248" s="64"/>
      <c r="S248" s="64"/>
      <c r="T248" s="64"/>
      <c r="U248" s="64"/>
    </row>
    <row r="249" spans="1:21" s="71" customFormat="1" hidden="1">
      <c r="A249" s="64"/>
      <c r="B249" s="876"/>
      <c r="C249" s="128"/>
      <c r="D249" s="128"/>
      <c r="E249" s="128"/>
      <c r="N249" s="876"/>
      <c r="P249" s="877"/>
      <c r="R249" s="64"/>
      <c r="S249" s="64"/>
      <c r="T249" s="64"/>
      <c r="U249" s="64"/>
    </row>
    <row r="250" spans="1:21" s="71" customFormat="1" hidden="1">
      <c r="A250" s="64"/>
      <c r="B250" s="876"/>
      <c r="C250" s="128"/>
      <c r="D250" s="128"/>
      <c r="E250" s="128"/>
      <c r="N250" s="876"/>
      <c r="P250" s="877"/>
      <c r="R250" s="64"/>
      <c r="S250" s="64"/>
      <c r="T250" s="64"/>
      <c r="U250" s="64"/>
    </row>
    <row r="251" spans="1:21" s="71" customFormat="1" hidden="1">
      <c r="A251" s="64"/>
      <c r="B251" s="876"/>
      <c r="C251" s="128"/>
      <c r="D251" s="128"/>
      <c r="E251" s="128"/>
      <c r="N251" s="876"/>
      <c r="P251" s="877"/>
      <c r="R251" s="64"/>
      <c r="S251" s="64"/>
      <c r="T251" s="64"/>
      <c r="U251" s="64"/>
    </row>
    <row r="252" spans="1:21" s="71" customFormat="1" hidden="1">
      <c r="A252" s="64"/>
      <c r="B252" s="876"/>
      <c r="C252" s="128"/>
      <c r="D252" s="128"/>
      <c r="E252" s="128"/>
      <c r="N252" s="876"/>
      <c r="P252" s="877"/>
      <c r="R252" s="64"/>
      <c r="S252" s="64"/>
      <c r="T252" s="64"/>
      <c r="U252" s="64"/>
    </row>
    <row r="253" spans="1:21" s="71" customFormat="1" hidden="1">
      <c r="A253" s="64"/>
      <c r="B253" s="876"/>
      <c r="C253" s="128"/>
      <c r="D253" s="128"/>
      <c r="E253" s="128"/>
      <c r="N253" s="876"/>
      <c r="P253" s="877"/>
      <c r="R253" s="64"/>
      <c r="S253" s="64"/>
      <c r="T253" s="64"/>
      <c r="U253" s="64"/>
    </row>
    <row r="254" spans="1:21" s="71" customFormat="1" hidden="1">
      <c r="A254" s="64"/>
      <c r="B254" s="876"/>
      <c r="C254" s="128"/>
      <c r="D254" s="128"/>
      <c r="E254" s="128"/>
      <c r="N254" s="876"/>
      <c r="P254" s="877"/>
      <c r="R254" s="64"/>
      <c r="S254" s="64"/>
      <c r="T254" s="64"/>
      <c r="U254" s="64"/>
    </row>
    <row r="255" spans="1:21" s="71" customFormat="1" hidden="1">
      <c r="A255" s="64"/>
      <c r="B255" s="876"/>
      <c r="C255" s="128"/>
      <c r="D255" s="128"/>
      <c r="E255" s="128"/>
      <c r="N255" s="876"/>
      <c r="P255" s="877"/>
      <c r="R255" s="64"/>
      <c r="S255" s="64"/>
      <c r="T255" s="64"/>
      <c r="U255" s="64"/>
    </row>
    <row r="256" spans="1:21" s="71" customFormat="1" hidden="1">
      <c r="A256" s="64"/>
      <c r="B256" s="876"/>
      <c r="C256" s="128"/>
      <c r="D256" s="128"/>
      <c r="E256" s="128"/>
      <c r="N256" s="876"/>
      <c r="P256" s="877"/>
      <c r="R256" s="64"/>
      <c r="S256" s="64"/>
      <c r="T256" s="64"/>
      <c r="U256" s="64"/>
    </row>
    <row r="257" spans="1:21" s="71" customFormat="1" hidden="1">
      <c r="A257" s="64"/>
      <c r="B257" s="876"/>
      <c r="C257" s="128"/>
      <c r="D257" s="128"/>
      <c r="E257" s="128"/>
      <c r="N257" s="876"/>
      <c r="P257" s="877"/>
      <c r="R257" s="64"/>
      <c r="S257" s="64"/>
      <c r="T257" s="64"/>
      <c r="U257" s="64"/>
    </row>
    <row r="258" spans="1:21" s="71" customFormat="1" hidden="1">
      <c r="A258" s="64"/>
      <c r="B258" s="876"/>
      <c r="C258" s="128"/>
      <c r="D258" s="128"/>
      <c r="E258" s="128"/>
      <c r="N258" s="876"/>
      <c r="P258" s="877"/>
      <c r="R258" s="64"/>
      <c r="S258" s="64"/>
      <c r="T258" s="64"/>
      <c r="U258" s="64"/>
    </row>
    <row r="259" spans="1:21" s="71" customFormat="1" hidden="1">
      <c r="A259" s="64"/>
      <c r="B259" s="876"/>
      <c r="C259" s="128"/>
      <c r="D259" s="128"/>
      <c r="E259" s="128"/>
      <c r="N259" s="876"/>
      <c r="P259" s="877"/>
      <c r="R259" s="64"/>
      <c r="S259" s="64"/>
      <c r="T259" s="64"/>
      <c r="U259" s="64"/>
    </row>
    <row r="260" spans="1:21" s="71" customFormat="1" hidden="1">
      <c r="A260" s="64"/>
      <c r="B260" s="876"/>
      <c r="C260" s="128"/>
      <c r="D260" s="128"/>
      <c r="E260" s="128"/>
      <c r="N260" s="876"/>
      <c r="P260" s="877"/>
      <c r="R260" s="64"/>
      <c r="S260" s="64"/>
      <c r="T260" s="64"/>
      <c r="U260" s="64"/>
    </row>
    <row r="261" spans="1:21" s="71" customFormat="1" hidden="1">
      <c r="A261" s="64"/>
      <c r="B261" s="876"/>
      <c r="C261" s="128"/>
      <c r="D261" s="128"/>
      <c r="E261" s="128"/>
      <c r="N261" s="876"/>
      <c r="P261" s="877"/>
      <c r="R261" s="64"/>
      <c r="S261" s="64"/>
      <c r="T261" s="64"/>
      <c r="U261" s="64"/>
    </row>
    <row r="262" spans="1:21" s="71" customFormat="1" hidden="1">
      <c r="A262" s="64"/>
      <c r="B262" s="876"/>
      <c r="C262" s="128"/>
      <c r="D262" s="128"/>
      <c r="E262" s="128"/>
      <c r="N262" s="876"/>
      <c r="P262" s="877"/>
      <c r="R262" s="64"/>
      <c r="S262" s="64"/>
      <c r="T262" s="64"/>
      <c r="U262" s="64"/>
    </row>
    <row r="263" spans="1:21" s="71" customFormat="1" hidden="1">
      <c r="A263" s="64"/>
      <c r="B263" s="876"/>
      <c r="C263" s="128"/>
      <c r="D263" s="128"/>
      <c r="E263" s="128"/>
      <c r="N263" s="876"/>
      <c r="P263" s="877"/>
      <c r="R263" s="64"/>
      <c r="S263" s="64"/>
      <c r="T263" s="64"/>
      <c r="U263" s="64"/>
    </row>
    <row r="264" spans="1:21" s="71" customFormat="1" hidden="1">
      <c r="A264" s="64"/>
      <c r="B264" s="876"/>
      <c r="C264" s="128"/>
      <c r="D264" s="128"/>
      <c r="E264" s="128"/>
      <c r="N264" s="876"/>
      <c r="P264" s="877"/>
      <c r="R264" s="64"/>
      <c r="S264" s="64"/>
      <c r="T264" s="64"/>
      <c r="U264" s="64"/>
    </row>
    <row r="265" spans="1:21" s="71" customFormat="1" hidden="1">
      <c r="A265" s="64"/>
      <c r="B265" s="876"/>
      <c r="C265" s="128"/>
      <c r="D265" s="128"/>
      <c r="E265" s="128"/>
      <c r="N265" s="876"/>
      <c r="P265" s="877"/>
      <c r="R265" s="64"/>
      <c r="S265" s="64"/>
      <c r="T265" s="64"/>
      <c r="U265" s="64"/>
    </row>
    <row r="266" spans="1:21" s="71" customFormat="1" hidden="1">
      <c r="A266" s="64"/>
      <c r="B266" s="876"/>
      <c r="C266" s="128"/>
      <c r="D266" s="128"/>
      <c r="E266" s="128"/>
      <c r="N266" s="876"/>
      <c r="P266" s="877"/>
      <c r="R266" s="64"/>
      <c r="S266" s="64"/>
      <c r="T266" s="64"/>
      <c r="U266" s="64"/>
    </row>
    <row r="267" spans="1:21" s="71" customFormat="1" hidden="1">
      <c r="A267" s="64"/>
      <c r="B267" s="876"/>
      <c r="C267" s="128"/>
      <c r="D267" s="128"/>
      <c r="E267" s="128"/>
      <c r="N267" s="876"/>
      <c r="P267" s="877"/>
      <c r="R267" s="64"/>
      <c r="S267" s="64"/>
      <c r="T267" s="64"/>
      <c r="U267" s="64"/>
    </row>
    <row r="268" spans="1:21" s="71" customFormat="1" hidden="1">
      <c r="A268" s="64"/>
      <c r="B268" s="876"/>
      <c r="C268" s="128"/>
      <c r="D268" s="128"/>
      <c r="E268" s="128"/>
      <c r="N268" s="876"/>
      <c r="P268" s="877"/>
      <c r="R268" s="64"/>
      <c r="S268" s="64"/>
      <c r="T268" s="64"/>
      <c r="U268" s="64"/>
    </row>
    <row r="269" spans="1:21" s="71" customFormat="1" hidden="1">
      <c r="A269" s="64"/>
      <c r="B269" s="876"/>
      <c r="C269" s="128"/>
      <c r="D269" s="128"/>
      <c r="E269" s="128"/>
      <c r="N269" s="876"/>
      <c r="P269" s="877"/>
      <c r="R269" s="64"/>
      <c r="S269" s="64"/>
      <c r="T269" s="64"/>
      <c r="U269" s="64"/>
    </row>
    <row r="270" spans="1:21" s="71" customFormat="1" hidden="1">
      <c r="A270" s="64"/>
      <c r="B270" s="876"/>
      <c r="C270" s="128"/>
      <c r="D270" s="128"/>
      <c r="E270" s="128"/>
      <c r="N270" s="876"/>
      <c r="P270" s="877"/>
      <c r="R270" s="64"/>
      <c r="S270" s="64"/>
      <c r="T270" s="64"/>
      <c r="U270" s="64"/>
    </row>
    <row r="271" spans="1:21" s="71" customFormat="1" hidden="1">
      <c r="A271" s="64"/>
      <c r="B271" s="876"/>
      <c r="C271" s="128"/>
      <c r="D271" s="128"/>
      <c r="E271" s="128"/>
      <c r="N271" s="876"/>
      <c r="P271" s="877"/>
      <c r="R271" s="64"/>
      <c r="S271" s="64"/>
      <c r="T271" s="64"/>
      <c r="U271" s="64"/>
    </row>
    <row r="272" spans="1:21" s="71" customFormat="1" hidden="1">
      <c r="A272" s="64"/>
      <c r="B272" s="876"/>
      <c r="C272" s="128"/>
      <c r="D272" s="128"/>
      <c r="E272" s="128"/>
      <c r="N272" s="876"/>
      <c r="P272" s="877"/>
      <c r="R272" s="64"/>
      <c r="S272" s="64"/>
      <c r="T272" s="64"/>
      <c r="U272" s="64"/>
    </row>
    <row r="273" spans="1:21" s="71" customFormat="1" hidden="1">
      <c r="A273" s="64"/>
      <c r="B273" s="876"/>
      <c r="C273" s="128"/>
      <c r="D273" s="128"/>
      <c r="E273" s="128"/>
      <c r="N273" s="876"/>
      <c r="P273" s="877"/>
      <c r="R273" s="64"/>
      <c r="S273" s="64"/>
      <c r="T273" s="64"/>
      <c r="U273" s="64"/>
    </row>
    <row r="274" spans="1:21" s="71" customFormat="1" hidden="1">
      <c r="A274" s="64"/>
      <c r="B274" s="876"/>
      <c r="C274" s="128"/>
      <c r="D274" s="128"/>
      <c r="E274" s="128"/>
      <c r="N274" s="876"/>
      <c r="P274" s="877"/>
      <c r="R274" s="64"/>
      <c r="S274" s="64"/>
      <c r="T274" s="64"/>
      <c r="U274" s="64"/>
    </row>
    <row r="275" spans="1:21" s="71" customFormat="1" hidden="1">
      <c r="A275" s="64"/>
      <c r="B275" s="876"/>
      <c r="C275" s="128"/>
      <c r="D275" s="128"/>
      <c r="E275" s="128"/>
      <c r="N275" s="876"/>
      <c r="P275" s="877"/>
      <c r="R275" s="64"/>
      <c r="S275" s="64"/>
      <c r="T275" s="64"/>
      <c r="U275" s="64"/>
    </row>
    <row r="276" spans="1:21" s="71" customFormat="1" hidden="1">
      <c r="A276" s="64"/>
      <c r="B276" s="876"/>
      <c r="C276" s="128"/>
      <c r="D276" s="128"/>
      <c r="E276" s="128"/>
      <c r="N276" s="876"/>
      <c r="P276" s="877"/>
      <c r="R276" s="64"/>
      <c r="S276" s="64"/>
      <c r="T276" s="64"/>
      <c r="U276" s="64"/>
    </row>
    <row r="277" spans="1:21" s="71" customFormat="1" hidden="1">
      <c r="A277" s="64"/>
      <c r="B277" s="876"/>
      <c r="C277" s="128"/>
      <c r="D277" s="128"/>
      <c r="E277" s="128"/>
      <c r="N277" s="876"/>
      <c r="P277" s="877"/>
      <c r="R277" s="64"/>
      <c r="S277" s="64"/>
      <c r="T277" s="64"/>
      <c r="U277" s="64"/>
    </row>
    <row r="278" spans="1:21" s="71" customFormat="1" hidden="1">
      <c r="A278" s="64"/>
      <c r="B278" s="876"/>
      <c r="C278" s="128"/>
      <c r="D278" s="128"/>
      <c r="E278" s="128"/>
      <c r="N278" s="876"/>
      <c r="P278" s="877"/>
      <c r="R278" s="64"/>
      <c r="S278" s="64"/>
      <c r="T278" s="64"/>
      <c r="U278" s="64"/>
    </row>
    <row r="279" spans="1:21" s="71" customFormat="1" hidden="1">
      <c r="A279" s="64"/>
      <c r="B279" s="876"/>
      <c r="C279" s="128"/>
      <c r="D279" s="128"/>
      <c r="E279" s="128"/>
      <c r="N279" s="876"/>
      <c r="P279" s="877"/>
      <c r="R279" s="64"/>
      <c r="S279" s="64"/>
      <c r="T279" s="64"/>
      <c r="U279" s="64"/>
    </row>
    <row r="280" spans="1:21" s="71" customFormat="1" hidden="1">
      <c r="A280" s="64"/>
      <c r="B280" s="876"/>
      <c r="C280" s="128"/>
      <c r="D280" s="128"/>
      <c r="E280" s="128"/>
      <c r="N280" s="876"/>
      <c r="P280" s="877"/>
      <c r="R280" s="64"/>
      <c r="S280" s="64"/>
      <c r="T280" s="64"/>
      <c r="U280" s="64"/>
    </row>
    <row r="281" spans="1:21" s="71" customFormat="1" hidden="1">
      <c r="A281" s="64"/>
      <c r="B281" s="876"/>
      <c r="C281" s="128"/>
      <c r="D281" s="128"/>
      <c r="E281" s="128"/>
      <c r="N281" s="876"/>
      <c r="P281" s="877"/>
      <c r="R281" s="64"/>
      <c r="S281" s="64"/>
      <c r="T281" s="64"/>
      <c r="U281" s="64"/>
    </row>
    <row r="282" spans="1:21" s="71" customFormat="1" hidden="1">
      <c r="A282" s="64"/>
      <c r="B282" s="876"/>
      <c r="C282" s="128"/>
      <c r="D282" s="128"/>
      <c r="E282" s="128"/>
      <c r="N282" s="876"/>
      <c r="P282" s="877"/>
      <c r="R282" s="64"/>
      <c r="S282" s="64"/>
      <c r="T282" s="64"/>
      <c r="U282" s="64"/>
    </row>
    <row r="283" spans="1:21" s="71" customFormat="1" hidden="1">
      <c r="A283" s="64"/>
      <c r="B283" s="876"/>
      <c r="C283" s="128"/>
      <c r="D283" s="128"/>
      <c r="E283" s="128"/>
      <c r="N283" s="876"/>
      <c r="P283" s="877"/>
      <c r="R283" s="64"/>
      <c r="S283" s="64"/>
      <c r="T283" s="64"/>
      <c r="U283" s="64"/>
    </row>
    <row r="284" spans="1:21" s="71" customFormat="1" hidden="1">
      <c r="A284" s="64"/>
      <c r="B284" s="876"/>
      <c r="C284" s="128"/>
      <c r="D284" s="128"/>
      <c r="E284" s="128"/>
      <c r="N284" s="876"/>
      <c r="P284" s="877"/>
      <c r="R284" s="64"/>
      <c r="S284" s="64"/>
      <c r="T284" s="64"/>
      <c r="U284" s="64"/>
    </row>
    <row r="285" spans="1:21" s="71" customFormat="1" hidden="1">
      <c r="A285" s="64"/>
      <c r="B285" s="876"/>
      <c r="C285" s="128"/>
      <c r="D285" s="128"/>
      <c r="E285" s="128"/>
      <c r="N285" s="876"/>
      <c r="P285" s="877"/>
      <c r="R285" s="64"/>
      <c r="S285" s="64"/>
      <c r="T285" s="64"/>
      <c r="U285" s="64"/>
    </row>
    <row r="286" spans="1:21" s="71" customFormat="1" hidden="1">
      <c r="A286" s="64"/>
      <c r="B286" s="876"/>
      <c r="C286" s="128"/>
      <c r="D286" s="128"/>
      <c r="E286" s="128"/>
      <c r="N286" s="876"/>
      <c r="P286" s="877"/>
      <c r="R286" s="64"/>
      <c r="S286" s="64"/>
      <c r="T286" s="64"/>
      <c r="U286" s="64"/>
    </row>
    <row r="287" spans="1:21" s="71" customFormat="1" hidden="1">
      <c r="A287" s="64"/>
      <c r="B287" s="876"/>
      <c r="C287" s="128"/>
      <c r="D287" s="128"/>
      <c r="E287" s="128"/>
      <c r="N287" s="876"/>
      <c r="P287" s="877"/>
      <c r="R287" s="64"/>
      <c r="S287" s="64"/>
      <c r="T287" s="64"/>
      <c r="U287" s="64"/>
    </row>
    <row r="288" spans="1:21" s="71" customFormat="1" hidden="1">
      <c r="A288" s="64"/>
      <c r="B288" s="876"/>
      <c r="C288" s="128"/>
      <c r="D288" s="128"/>
      <c r="E288" s="128"/>
      <c r="N288" s="876"/>
      <c r="P288" s="877"/>
      <c r="R288" s="64"/>
      <c r="S288" s="64"/>
      <c r="T288" s="64"/>
      <c r="U288" s="64"/>
    </row>
    <row r="289" spans="1:21" s="71" customFormat="1" hidden="1">
      <c r="A289" s="64"/>
      <c r="B289" s="876"/>
      <c r="C289" s="128"/>
      <c r="D289" s="128"/>
      <c r="E289" s="128"/>
      <c r="N289" s="876"/>
      <c r="P289" s="877"/>
      <c r="R289" s="64"/>
      <c r="S289" s="64"/>
      <c r="T289" s="64"/>
      <c r="U289" s="64"/>
    </row>
    <row r="290" spans="1:21" s="71" customFormat="1" hidden="1">
      <c r="A290" s="64"/>
      <c r="B290" s="876"/>
      <c r="C290" s="128"/>
      <c r="D290" s="128"/>
      <c r="E290" s="128"/>
      <c r="N290" s="876"/>
      <c r="P290" s="877"/>
      <c r="R290" s="64"/>
      <c r="S290" s="64"/>
      <c r="T290" s="64"/>
      <c r="U290" s="64"/>
    </row>
    <row r="291" spans="1:21" s="71" customFormat="1" hidden="1">
      <c r="A291" s="64"/>
      <c r="B291" s="876"/>
      <c r="C291" s="128"/>
      <c r="D291" s="128"/>
      <c r="E291" s="128"/>
      <c r="N291" s="876"/>
      <c r="P291" s="877"/>
      <c r="R291" s="64"/>
      <c r="S291" s="64"/>
      <c r="T291" s="64"/>
      <c r="U291" s="64"/>
    </row>
    <row r="292" spans="1:21" s="71" customFormat="1" hidden="1">
      <c r="A292" s="64"/>
      <c r="B292" s="876"/>
      <c r="C292" s="128"/>
      <c r="D292" s="128"/>
      <c r="E292" s="128"/>
      <c r="N292" s="876"/>
      <c r="P292" s="877"/>
      <c r="R292" s="64"/>
      <c r="S292" s="64"/>
      <c r="T292" s="64"/>
      <c r="U292" s="64"/>
    </row>
    <row r="293" spans="1:21" s="71" customFormat="1" hidden="1">
      <c r="A293" s="64"/>
      <c r="B293" s="876"/>
      <c r="C293" s="128"/>
      <c r="D293" s="128"/>
      <c r="E293" s="128"/>
      <c r="N293" s="876"/>
      <c r="P293" s="877"/>
      <c r="R293" s="64"/>
      <c r="S293" s="64"/>
      <c r="T293" s="64"/>
      <c r="U293" s="64"/>
    </row>
    <row r="294" spans="1:21" s="71" customFormat="1" hidden="1">
      <c r="A294" s="64"/>
      <c r="B294" s="876"/>
      <c r="C294" s="128"/>
      <c r="D294" s="128"/>
      <c r="E294" s="128"/>
      <c r="N294" s="876"/>
      <c r="P294" s="877"/>
      <c r="R294" s="64"/>
      <c r="S294" s="64"/>
      <c r="T294" s="64"/>
      <c r="U294" s="64"/>
    </row>
    <row r="295" spans="1:21" s="71" customFormat="1" hidden="1">
      <c r="A295" s="64"/>
      <c r="B295" s="876"/>
      <c r="C295" s="128"/>
      <c r="D295" s="128"/>
      <c r="E295" s="128"/>
      <c r="N295" s="876"/>
      <c r="P295" s="877"/>
      <c r="R295" s="64"/>
      <c r="S295" s="64"/>
      <c r="T295" s="64"/>
      <c r="U295" s="64"/>
    </row>
    <row r="296" spans="1:21" s="71" customFormat="1" hidden="1">
      <c r="A296" s="64"/>
      <c r="B296" s="876"/>
      <c r="C296" s="128"/>
      <c r="D296" s="128"/>
      <c r="E296" s="128"/>
      <c r="N296" s="876"/>
      <c r="P296" s="877"/>
      <c r="R296" s="64"/>
      <c r="S296" s="64"/>
      <c r="T296" s="64"/>
      <c r="U296" s="64"/>
    </row>
    <row r="297" spans="1:21" s="71" customFormat="1" hidden="1">
      <c r="A297" s="64"/>
      <c r="B297" s="876"/>
      <c r="C297" s="128"/>
      <c r="D297" s="128"/>
      <c r="E297" s="128"/>
      <c r="N297" s="876"/>
      <c r="P297" s="877"/>
      <c r="R297" s="64"/>
      <c r="S297" s="64"/>
      <c r="T297" s="64"/>
      <c r="U297" s="64"/>
    </row>
    <row r="298" spans="1:21" s="71" customFormat="1" hidden="1">
      <c r="A298" s="64"/>
      <c r="B298" s="876"/>
      <c r="C298" s="128"/>
      <c r="D298" s="128"/>
      <c r="E298" s="128"/>
      <c r="N298" s="876"/>
      <c r="P298" s="877"/>
      <c r="R298" s="64"/>
      <c r="S298" s="64"/>
      <c r="T298" s="64"/>
      <c r="U298" s="64"/>
    </row>
    <row r="299" spans="1:21" s="71" customFormat="1" hidden="1">
      <c r="A299" s="64"/>
      <c r="B299" s="876"/>
      <c r="C299" s="128"/>
      <c r="D299" s="128"/>
      <c r="E299" s="128"/>
      <c r="N299" s="876"/>
      <c r="P299" s="877"/>
      <c r="R299" s="64"/>
      <c r="S299" s="64"/>
      <c r="T299" s="64"/>
      <c r="U299" s="64"/>
    </row>
    <row r="300" spans="1:21" s="71" customFormat="1" hidden="1">
      <c r="A300" s="64"/>
      <c r="B300" s="876"/>
      <c r="C300" s="128"/>
      <c r="D300" s="128"/>
      <c r="E300" s="128"/>
      <c r="N300" s="876"/>
      <c r="P300" s="877"/>
      <c r="R300" s="64"/>
      <c r="S300" s="64"/>
      <c r="T300" s="64"/>
      <c r="U300" s="64"/>
    </row>
    <row r="301" spans="1:21" s="71" customFormat="1" hidden="1">
      <c r="A301" s="64"/>
      <c r="B301" s="876"/>
      <c r="C301" s="128"/>
      <c r="D301" s="128"/>
      <c r="E301" s="128"/>
      <c r="N301" s="876"/>
      <c r="P301" s="877"/>
      <c r="R301" s="64"/>
      <c r="S301" s="64"/>
      <c r="T301" s="64"/>
      <c r="U301" s="64"/>
    </row>
    <row r="302" spans="1:21" s="71" customFormat="1" hidden="1">
      <c r="A302" s="64"/>
      <c r="B302" s="876"/>
      <c r="C302" s="128"/>
      <c r="D302" s="128"/>
      <c r="E302" s="128"/>
      <c r="N302" s="876"/>
      <c r="P302" s="877"/>
      <c r="R302" s="64"/>
      <c r="S302" s="64"/>
      <c r="T302" s="64"/>
      <c r="U302" s="64"/>
    </row>
    <row r="303" spans="1:21" s="71" customFormat="1" hidden="1">
      <c r="A303" s="64"/>
      <c r="B303" s="876"/>
      <c r="C303" s="128"/>
      <c r="D303" s="128"/>
      <c r="E303" s="128"/>
      <c r="N303" s="876"/>
      <c r="P303" s="877"/>
      <c r="R303" s="64"/>
      <c r="S303" s="64"/>
      <c r="T303" s="64"/>
      <c r="U303" s="64"/>
    </row>
    <row r="304" spans="1:21" s="71" customFormat="1" hidden="1">
      <c r="A304" s="64"/>
      <c r="B304" s="876"/>
      <c r="C304" s="128"/>
      <c r="D304" s="128"/>
      <c r="E304" s="128"/>
      <c r="N304" s="876"/>
      <c r="P304" s="877"/>
      <c r="R304" s="64"/>
      <c r="S304" s="64"/>
      <c r="T304" s="64"/>
      <c r="U304" s="64"/>
    </row>
    <row r="305" spans="1:21" s="71" customFormat="1" hidden="1">
      <c r="A305" s="64"/>
      <c r="B305" s="876"/>
      <c r="C305" s="128"/>
      <c r="D305" s="128"/>
      <c r="E305" s="128"/>
      <c r="N305" s="876"/>
      <c r="P305" s="877"/>
      <c r="R305" s="64"/>
      <c r="S305" s="64"/>
      <c r="T305" s="64"/>
      <c r="U305" s="64"/>
    </row>
    <row r="306" spans="1:21" s="71" customFormat="1" hidden="1">
      <c r="A306" s="64"/>
      <c r="B306" s="876"/>
      <c r="C306" s="128"/>
      <c r="D306" s="128"/>
      <c r="E306" s="128"/>
      <c r="N306" s="876"/>
      <c r="P306" s="877"/>
      <c r="R306" s="64"/>
      <c r="S306" s="64"/>
      <c r="T306" s="64"/>
      <c r="U306" s="64"/>
    </row>
    <row r="307" spans="1:21" s="71" customFormat="1" hidden="1">
      <c r="A307" s="64"/>
      <c r="B307" s="876"/>
      <c r="C307" s="128"/>
      <c r="D307" s="128"/>
      <c r="E307" s="128"/>
      <c r="N307" s="876"/>
      <c r="P307" s="877"/>
      <c r="R307" s="64"/>
      <c r="S307" s="64"/>
      <c r="T307" s="64"/>
      <c r="U307" s="64"/>
    </row>
    <row r="308" spans="1:21" s="71" customFormat="1" hidden="1">
      <c r="A308" s="64"/>
      <c r="B308" s="876"/>
      <c r="C308" s="128"/>
      <c r="D308" s="128"/>
      <c r="E308" s="128"/>
      <c r="N308" s="876"/>
      <c r="P308" s="877"/>
      <c r="R308" s="64"/>
      <c r="S308" s="64"/>
      <c r="T308" s="64"/>
      <c r="U308" s="64"/>
    </row>
    <row r="309" spans="1:21" s="71" customFormat="1" hidden="1">
      <c r="A309" s="64"/>
      <c r="B309" s="876"/>
      <c r="C309" s="128"/>
      <c r="D309" s="128"/>
      <c r="E309" s="128"/>
      <c r="N309" s="876"/>
      <c r="P309" s="877"/>
      <c r="R309" s="64"/>
      <c r="S309" s="64"/>
      <c r="T309" s="64"/>
      <c r="U309" s="64"/>
    </row>
    <row r="310" spans="1:21" s="71" customFormat="1" hidden="1">
      <c r="A310" s="64"/>
      <c r="B310" s="876"/>
      <c r="C310" s="128"/>
      <c r="D310" s="128"/>
      <c r="E310" s="128"/>
      <c r="N310" s="876"/>
      <c r="P310" s="877"/>
      <c r="R310" s="64"/>
      <c r="S310" s="64"/>
      <c r="T310" s="64"/>
      <c r="U310" s="64"/>
    </row>
    <row r="311" spans="1:21" s="71" customFormat="1" hidden="1">
      <c r="A311" s="64"/>
      <c r="B311" s="876"/>
      <c r="C311" s="128"/>
      <c r="D311" s="128"/>
      <c r="E311" s="128"/>
      <c r="N311" s="876"/>
      <c r="P311" s="877"/>
      <c r="R311" s="64"/>
      <c r="S311" s="64"/>
      <c r="T311" s="64"/>
      <c r="U311" s="64"/>
    </row>
    <row r="312" spans="1:21" s="71" customFormat="1" hidden="1">
      <c r="A312" s="64"/>
      <c r="B312" s="876"/>
      <c r="C312" s="128"/>
      <c r="D312" s="128"/>
      <c r="E312" s="128"/>
      <c r="N312" s="876"/>
      <c r="P312" s="877"/>
      <c r="R312" s="64"/>
      <c r="S312" s="64"/>
      <c r="T312" s="64"/>
      <c r="U312" s="64"/>
    </row>
    <row r="313" spans="1:21" s="71" customFormat="1" hidden="1">
      <c r="A313" s="64"/>
      <c r="B313" s="876"/>
      <c r="C313" s="128"/>
      <c r="D313" s="128"/>
      <c r="E313" s="128"/>
      <c r="N313" s="876"/>
      <c r="P313" s="877"/>
      <c r="R313" s="64"/>
      <c r="S313" s="64"/>
      <c r="T313" s="64"/>
      <c r="U313" s="64"/>
    </row>
    <row r="314" spans="1:21" s="71" customFormat="1" hidden="1">
      <c r="A314" s="64"/>
      <c r="B314" s="876"/>
      <c r="C314" s="128"/>
      <c r="D314" s="128"/>
      <c r="E314" s="128"/>
      <c r="N314" s="876"/>
      <c r="P314" s="877"/>
      <c r="R314" s="64"/>
      <c r="S314" s="64"/>
      <c r="T314" s="64"/>
      <c r="U314" s="64"/>
    </row>
    <row r="315" spans="1:21" s="71" customFormat="1" hidden="1">
      <c r="A315" s="64"/>
      <c r="B315" s="876"/>
      <c r="C315" s="128"/>
      <c r="D315" s="128"/>
      <c r="E315" s="128"/>
      <c r="N315" s="876"/>
      <c r="P315" s="877"/>
      <c r="R315" s="64"/>
      <c r="S315" s="64"/>
      <c r="T315" s="64"/>
      <c r="U315" s="64"/>
    </row>
    <row r="316" spans="1:21" s="71" customFormat="1" hidden="1">
      <c r="A316" s="64"/>
      <c r="B316" s="876"/>
      <c r="C316" s="128"/>
      <c r="D316" s="128"/>
      <c r="E316" s="128"/>
      <c r="N316" s="876"/>
      <c r="P316" s="877"/>
      <c r="R316" s="64"/>
      <c r="S316" s="64"/>
      <c r="T316" s="64"/>
      <c r="U316" s="64"/>
    </row>
    <row r="317" spans="1:21" s="71" customFormat="1" hidden="1">
      <c r="A317" s="64"/>
      <c r="B317" s="876"/>
      <c r="C317" s="128"/>
      <c r="D317" s="128"/>
      <c r="E317" s="128"/>
      <c r="N317" s="876"/>
      <c r="P317" s="877"/>
      <c r="R317" s="64"/>
      <c r="S317" s="64"/>
      <c r="T317" s="64"/>
      <c r="U317" s="64"/>
    </row>
    <row r="318" spans="1:21" s="71" customFormat="1" hidden="1">
      <c r="A318" s="64"/>
      <c r="B318" s="876"/>
      <c r="C318" s="128"/>
      <c r="D318" s="128"/>
      <c r="E318" s="128"/>
      <c r="N318" s="876"/>
      <c r="P318" s="877"/>
      <c r="R318" s="64"/>
      <c r="S318" s="64"/>
      <c r="T318" s="64"/>
      <c r="U318" s="64"/>
    </row>
    <row r="319" spans="1:21" s="71" customFormat="1" hidden="1">
      <c r="A319" s="64"/>
      <c r="B319" s="876"/>
      <c r="C319" s="128"/>
      <c r="D319" s="128"/>
      <c r="E319" s="128"/>
      <c r="N319" s="876"/>
      <c r="P319" s="877"/>
      <c r="R319" s="64"/>
      <c r="S319" s="64"/>
      <c r="T319" s="64"/>
      <c r="U319" s="64"/>
    </row>
    <row r="320" spans="1:21" s="71" customFormat="1" hidden="1">
      <c r="A320" s="64"/>
      <c r="B320" s="876"/>
      <c r="C320" s="128"/>
      <c r="D320" s="128"/>
      <c r="E320" s="128"/>
      <c r="N320" s="876"/>
      <c r="P320" s="877"/>
      <c r="R320" s="64"/>
      <c r="S320" s="64"/>
      <c r="T320" s="64"/>
      <c r="U320" s="64"/>
    </row>
    <row r="321" spans="1:21" s="71" customFormat="1" hidden="1">
      <c r="A321" s="64"/>
      <c r="B321" s="876"/>
      <c r="C321" s="128"/>
      <c r="D321" s="128"/>
      <c r="E321" s="128"/>
      <c r="N321" s="876"/>
      <c r="P321" s="877"/>
      <c r="R321" s="64"/>
      <c r="S321" s="64"/>
      <c r="T321" s="64"/>
      <c r="U321" s="64"/>
    </row>
    <row r="322" spans="1:21" s="71" customFormat="1" hidden="1">
      <c r="A322" s="64"/>
      <c r="B322" s="876"/>
      <c r="C322" s="128"/>
      <c r="D322" s="128"/>
      <c r="E322" s="128"/>
      <c r="N322" s="876"/>
      <c r="P322" s="877"/>
      <c r="R322" s="64"/>
      <c r="S322" s="64"/>
      <c r="T322" s="64"/>
      <c r="U322" s="64"/>
    </row>
    <row r="323" spans="1:21" s="71" customFormat="1" hidden="1">
      <c r="A323" s="64"/>
      <c r="B323" s="876"/>
      <c r="C323" s="128"/>
      <c r="D323" s="128"/>
      <c r="E323" s="128"/>
      <c r="N323" s="876"/>
      <c r="P323" s="877"/>
      <c r="R323" s="64"/>
      <c r="S323" s="64"/>
      <c r="T323" s="64"/>
      <c r="U323" s="64"/>
    </row>
    <row r="324" spans="1:21" s="71" customFormat="1" hidden="1">
      <c r="A324" s="64"/>
      <c r="B324" s="876"/>
      <c r="C324" s="128"/>
      <c r="D324" s="128"/>
      <c r="E324" s="128"/>
      <c r="N324" s="876"/>
      <c r="P324" s="877"/>
      <c r="R324" s="64"/>
      <c r="S324" s="64"/>
      <c r="T324" s="64"/>
      <c r="U324" s="64"/>
    </row>
    <row r="325" spans="1:21" s="71" customFormat="1" hidden="1">
      <c r="A325" s="64"/>
      <c r="B325" s="876"/>
      <c r="C325" s="128"/>
      <c r="D325" s="128"/>
      <c r="E325" s="128"/>
      <c r="N325" s="876"/>
      <c r="P325" s="877"/>
      <c r="R325" s="64"/>
      <c r="S325" s="64"/>
      <c r="T325" s="64"/>
      <c r="U325" s="64"/>
    </row>
    <row r="326" spans="1:21" s="71" customFormat="1" hidden="1">
      <c r="A326" s="64"/>
      <c r="B326" s="876"/>
      <c r="C326" s="128"/>
      <c r="D326" s="128"/>
      <c r="E326" s="128"/>
      <c r="N326" s="876"/>
      <c r="P326" s="877"/>
      <c r="R326" s="64"/>
      <c r="S326" s="64"/>
      <c r="T326" s="64"/>
      <c r="U326" s="64"/>
    </row>
    <row r="327" spans="1:21" s="71" customFormat="1" hidden="1">
      <c r="A327" s="64"/>
      <c r="B327" s="876"/>
      <c r="C327" s="128"/>
      <c r="D327" s="128"/>
      <c r="E327" s="128"/>
      <c r="N327" s="876"/>
      <c r="P327" s="877"/>
      <c r="R327" s="64"/>
      <c r="S327" s="64"/>
      <c r="T327" s="64"/>
      <c r="U327" s="64"/>
    </row>
    <row r="328" spans="1:21" s="71" customFormat="1" hidden="1">
      <c r="A328" s="64"/>
      <c r="B328" s="876"/>
      <c r="C328" s="128"/>
      <c r="D328" s="128"/>
      <c r="E328" s="128"/>
      <c r="N328" s="876"/>
      <c r="P328" s="877"/>
      <c r="R328" s="64"/>
      <c r="S328" s="64"/>
      <c r="T328" s="64"/>
      <c r="U328" s="64"/>
    </row>
    <row r="329" spans="1:21" s="71" customFormat="1" hidden="1">
      <c r="A329" s="64"/>
      <c r="B329" s="876"/>
      <c r="C329" s="128"/>
      <c r="D329" s="128"/>
      <c r="E329" s="128"/>
      <c r="N329" s="876"/>
      <c r="P329" s="877"/>
      <c r="R329" s="64"/>
      <c r="S329" s="64"/>
      <c r="T329" s="64"/>
      <c r="U329" s="64"/>
    </row>
    <row r="330" spans="1:21" s="71" customFormat="1" hidden="1">
      <c r="A330" s="64"/>
      <c r="B330" s="876"/>
      <c r="C330" s="128"/>
      <c r="D330" s="128"/>
      <c r="E330" s="128"/>
      <c r="N330" s="876"/>
      <c r="P330" s="877"/>
      <c r="R330" s="64"/>
      <c r="S330" s="64"/>
      <c r="T330" s="64"/>
      <c r="U330" s="64"/>
    </row>
    <row r="331" spans="1:21" s="71" customFormat="1" hidden="1">
      <c r="A331" s="64"/>
      <c r="B331" s="876"/>
      <c r="C331" s="128"/>
      <c r="D331" s="128"/>
      <c r="E331" s="128"/>
      <c r="N331" s="876"/>
      <c r="P331" s="877"/>
      <c r="R331" s="64"/>
      <c r="S331" s="64"/>
      <c r="T331" s="64"/>
      <c r="U331" s="64"/>
    </row>
    <row r="332" spans="1:21" s="71" customFormat="1" hidden="1">
      <c r="A332" s="64"/>
      <c r="B332" s="876"/>
      <c r="C332" s="128"/>
      <c r="D332" s="128"/>
      <c r="E332" s="128"/>
      <c r="N332" s="876"/>
      <c r="P332" s="877"/>
      <c r="R332" s="64"/>
      <c r="S332" s="64"/>
      <c r="T332" s="64"/>
      <c r="U332" s="64"/>
    </row>
    <row r="333" spans="1:21" s="71" customFormat="1" hidden="1">
      <c r="A333" s="64"/>
      <c r="B333" s="876"/>
      <c r="C333" s="128"/>
      <c r="D333" s="128"/>
      <c r="E333" s="128"/>
      <c r="N333" s="876"/>
      <c r="P333" s="877"/>
      <c r="R333" s="64"/>
      <c r="S333" s="64"/>
      <c r="T333" s="64"/>
      <c r="U333" s="64"/>
    </row>
    <row r="334" spans="1:21" s="71" customFormat="1" hidden="1">
      <c r="A334" s="64"/>
      <c r="B334" s="876"/>
      <c r="C334" s="128"/>
      <c r="D334" s="128"/>
      <c r="E334" s="128"/>
      <c r="N334" s="876"/>
      <c r="P334" s="877"/>
      <c r="R334" s="64"/>
      <c r="S334" s="64"/>
      <c r="T334" s="64"/>
      <c r="U334" s="64"/>
    </row>
    <row r="335" spans="1:21" s="71" customFormat="1" hidden="1">
      <c r="A335" s="64"/>
      <c r="B335" s="876"/>
      <c r="C335" s="128"/>
      <c r="D335" s="128"/>
      <c r="E335" s="128"/>
      <c r="N335" s="876"/>
      <c r="P335" s="877"/>
      <c r="R335" s="64"/>
      <c r="S335" s="64"/>
      <c r="T335" s="64"/>
      <c r="U335" s="64"/>
    </row>
    <row r="336" spans="1:21" s="71" customFormat="1" hidden="1">
      <c r="A336" s="64"/>
      <c r="B336" s="876"/>
      <c r="C336" s="128"/>
      <c r="D336" s="128"/>
      <c r="E336" s="128"/>
      <c r="N336" s="876"/>
      <c r="P336" s="877"/>
      <c r="R336" s="64"/>
      <c r="S336" s="64"/>
      <c r="T336" s="64"/>
      <c r="U336" s="64"/>
    </row>
    <row r="337" spans="1:21" s="71" customFormat="1" hidden="1">
      <c r="A337" s="64"/>
      <c r="B337" s="876"/>
      <c r="C337" s="128"/>
      <c r="D337" s="128"/>
      <c r="E337" s="128"/>
      <c r="N337" s="876"/>
      <c r="P337" s="877"/>
      <c r="R337" s="64"/>
      <c r="S337" s="64"/>
      <c r="T337" s="64"/>
      <c r="U337" s="64"/>
    </row>
    <row r="338" spans="1:21" s="71" customFormat="1" hidden="1">
      <c r="A338" s="64"/>
      <c r="B338" s="876"/>
      <c r="C338" s="128"/>
      <c r="D338" s="128"/>
      <c r="E338" s="128"/>
      <c r="N338" s="876"/>
      <c r="P338" s="877"/>
      <c r="R338" s="64"/>
      <c r="S338" s="64"/>
      <c r="T338" s="64"/>
      <c r="U338" s="64"/>
    </row>
    <row r="339" spans="1:21" s="71" customFormat="1" hidden="1">
      <c r="A339" s="64"/>
      <c r="B339" s="876"/>
      <c r="C339" s="128"/>
      <c r="D339" s="128"/>
      <c r="E339" s="128"/>
      <c r="N339" s="876"/>
      <c r="P339" s="877"/>
      <c r="R339" s="64"/>
      <c r="S339" s="64"/>
      <c r="T339" s="64"/>
      <c r="U339" s="64"/>
    </row>
    <row r="340" spans="1:21" s="71" customFormat="1" hidden="1">
      <c r="A340" s="64"/>
      <c r="B340" s="876"/>
      <c r="C340" s="128"/>
      <c r="D340" s="128"/>
      <c r="E340" s="128"/>
      <c r="N340" s="876"/>
      <c r="P340" s="877"/>
      <c r="R340" s="64"/>
      <c r="S340" s="64"/>
      <c r="T340" s="64"/>
      <c r="U340" s="64"/>
    </row>
    <row r="341" spans="1:21" s="71" customFormat="1" hidden="1">
      <c r="A341" s="64"/>
      <c r="B341" s="876"/>
      <c r="C341" s="128"/>
      <c r="D341" s="128"/>
      <c r="E341" s="128"/>
      <c r="N341" s="876"/>
      <c r="P341" s="877"/>
      <c r="R341" s="64"/>
      <c r="S341" s="64"/>
      <c r="T341" s="64"/>
      <c r="U341" s="64"/>
    </row>
    <row r="342" spans="1:21" s="71" customFormat="1" hidden="1">
      <c r="A342" s="64"/>
      <c r="B342" s="876"/>
      <c r="C342" s="128"/>
      <c r="D342" s="128"/>
      <c r="E342" s="128"/>
      <c r="N342" s="876"/>
      <c r="P342" s="877"/>
      <c r="R342" s="64"/>
      <c r="S342" s="64"/>
      <c r="T342" s="64"/>
      <c r="U342" s="64"/>
    </row>
    <row r="343" spans="1:21" s="71" customFormat="1" hidden="1">
      <c r="A343" s="64"/>
      <c r="B343" s="876"/>
      <c r="C343" s="128"/>
      <c r="D343" s="128"/>
      <c r="E343" s="128"/>
      <c r="N343" s="876"/>
      <c r="P343" s="877"/>
      <c r="R343" s="64"/>
      <c r="S343" s="64"/>
      <c r="T343" s="64"/>
      <c r="U343" s="64"/>
    </row>
    <row r="344" spans="1:21" s="71" customFormat="1" hidden="1">
      <c r="A344" s="64"/>
      <c r="B344" s="876"/>
      <c r="C344" s="128"/>
      <c r="D344" s="128"/>
      <c r="E344" s="128"/>
      <c r="N344" s="876"/>
      <c r="P344" s="877"/>
      <c r="R344" s="64"/>
      <c r="S344" s="64"/>
      <c r="T344" s="64"/>
      <c r="U344" s="64"/>
    </row>
    <row r="345" spans="1:21" s="71" customFormat="1" hidden="1">
      <c r="A345" s="64"/>
      <c r="B345" s="876"/>
      <c r="C345" s="128"/>
      <c r="D345" s="128"/>
      <c r="E345" s="128"/>
      <c r="N345" s="876"/>
      <c r="P345" s="877"/>
      <c r="R345" s="64"/>
      <c r="S345" s="64"/>
      <c r="T345" s="64"/>
      <c r="U345" s="64"/>
    </row>
    <row r="346" spans="1:21" s="71" customFormat="1" hidden="1">
      <c r="A346" s="64"/>
      <c r="B346" s="876"/>
      <c r="C346" s="128"/>
      <c r="D346" s="128"/>
      <c r="E346" s="128"/>
      <c r="N346" s="876"/>
      <c r="P346" s="877"/>
      <c r="R346" s="64"/>
      <c r="S346" s="64"/>
      <c r="T346" s="64"/>
      <c r="U346" s="64"/>
    </row>
    <row r="347" spans="1:21" s="71" customFormat="1" hidden="1">
      <c r="A347" s="64"/>
      <c r="B347" s="876"/>
      <c r="C347" s="128"/>
      <c r="D347" s="128"/>
      <c r="E347" s="128"/>
      <c r="N347" s="876"/>
      <c r="P347" s="877"/>
      <c r="R347" s="64"/>
      <c r="S347" s="64"/>
      <c r="T347" s="64"/>
      <c r="U347" s="64"/>
    </row>
    <row r="348" spans="1:21" s="71" customFormat="1" hidden="1">
      <c r="A348" s="64"/>
      <c r="B348" s="876"/>
      <c r="C348" s="128"/>
      <c r="D348" s="128"/>
      <c r="E348" s="128"/>
      <c r="N348" s="876"/>
      <c r="P348" s="877"/>
      <c r="R348" s="64"/>
      <c r="S348" s="64"/>
      <c r="T348" s="64"/>
      <c r="U348" s="64"/>
    </row>
    <row r="349" spans="1:21" s="71" customFormat="1" hidden="1">
      <c r="A349" s="64"/>
      <c r="B349" s="876"/>
      <c r="C349" s="128"/>
      <c r="D349" s="128"/>
      <c r="E349" s="128"/>
      <c r="N349" s="876"/>
      <c r="P349" s="877"/>
      <c r="R349" s="64"/>
      <c r="S349" s="64"/>
      <c r="T349" s="64"/>
      <c r="U349" s="64"/>
    </row>
    <row r="350" spans="1:21" s="71" customFormat="1" hidden="1">
      <c r="A350" s="64"/>
      <c r="B350" s="876"/>
      <c r="C350" s="128"/>
      <c r="D350" s="128"/>
      <c r="E350" s="128"/>
      <c r="N350" s="876"/>
      <c r="P350" s="877"/>
      <c r="R350" s="64"/>
      <c r="S350" s="64"/>
      <c r="T350" s="64"/>
      <c r="U350" s="64"/>
    </row>
    <row r="351" spans="1:21" s="71" customFormat="1" hidden="1">
      <c r="A351" s="64"/>
      <c r="B351" s="876"/>
      <c r="C351" s="128"/>
      <c r="D351" s="128"/>
      <c r="E351" s="128"/>
      <c r="N351" s="876"/>
      <c r="P351" s="877"/>
      <c r="R351" s="64"/>
      <c r="S351" s="64"/>
      <c r="T351" s="64"/>
      <c r="U351" s="64"/>
    </row>
    <row r="352" spans="1:21" s="71" customFormat="1" hidden="1">
      <c r="A352" s="64"/>
      <c r="B352" s="876"/>
      <c r="C352" s="128"/>
      <c r="D352" s="128"/>
      <c r="E352" s="128"/>
      <c r="N352" s="876"/>
      <c r="P352" s="877"/>
      <c r="R352" s="64"/>
      <c r="S352" s="64"/>
      <c r="T352" s="64"/>
      <c r="U352" s="64"/>
    </row>
    <row r="353" spans="1:21" s="71" customFormat="1" hidden="1">
      <c r="A353" s="64"/>
      <c r="B353" s="876"/>
      <c r="C353" s="128"/>
      <c r="D353" s="128"/>
      <c r="E353" s="128"/>
      <c r="N353" s="876"/>
      <c r="P353" s="877"/>
      <c r="R353" s="64"/>
      <c r="S353" s="64"/>
      <c r="T353" s="64"/>
      <c r="U353" s="64"/>
    </row>
    <row r="354" spans="1:21" s="71" customFormat="1" hidden="1">
      <c r="A354" s="64"/>
      <c r="B354" s="876"/>
      <c r="C354" s="128"/>
      <c r="D354" s="128"/>
      <c r="E354" s="128"/>
      <c r="N354" s="876"/>
      <c r="P354" s="877"/>
      <c r="R354" s="64"/>
      <c r="S354" s="64"/>
      <c r="T354" s="64"/>
      <c r="U354" s="64"/>
    </row>
    <row r="355" spans="1:21" s="71" customFormat="1" hidden="1">
      <c r="A355" s="64"/>
      <c r="B355" s="876"/>
      <c r="C355" s="128"/>
      <c r="D355" s="128"/>
      <c r="E355" s="128"/>
      <c r="N355" s="876"/>
      <c r="P355" s="877"/>
      <c r="R355" s="64"/>
      <c r="S355" s="64"/>
      <c r="T355" s="64"/>
      <c r="U355" s="64"/>
    </row>
    <row r="356" spans="1:21" s="71" customFormat="1" hidden="1">
      <c r="A356" s="64"/>
      <c r="B356" s="876"/>
      <c r="C356" s="128"/>
      <c r="D356" s="128"/>
      <c r="E356" s="128"/>
      <c r="N356" s="876"/>
      <c r="P356" s="877"/>
      <c r="R356" s="64"/>
      <c r="S356" s="64"/>
      <c r="T356" s="64"/>
      <c r="U356" s="64"/>
    </row>
    <row r="357" spans="1:21" s="71" customFormat="1" hidden="1">
      <c r="A357" s="64"/>
      <c r="B357" s="876"/>
      <c r="C357" s="128"/>
      <c r="D357" s="128"/>
      <c r="E357" s="128"/>
      <c r="N357" s="876"/>
      <c r="P357" s="877"/>
      <c r="R357" s="64"/>
      <c r="S357" s="64"/>
      <c r="T357" s="64"/>
      <c r="U357" s="64"/>
    </row>
    <row r="358" spans="1:21" s="71" customFormat="1" hidden="1">
      <c r="A358" s="64"/>
      <c r="B358" s="876"/>
      <c r="C358" s="128"/>
      <c r="D358" s="128"/>
      <c r="E358" s="128"/>
      <c r="N358" s="876"/>
      <c r="P358" s="877"/>
      <c r="R358" s="64"/>
      <c r="S358" s="64"/>
      <c r="T358" s="64"/>
      <c r="U358" s="64"/>
    </row>
    <row r="359" spans="1:21" s="71" customFormat="1" hidden="1">
      <c r="A359" s="64"/>
      <c r="B359" s="876"/>
      <c r="C359" s="128"/>
      <c r="D359" s="128"/>
      <c r="E359" s="128"/>
      <c r="N359" s="876"/>
      <c r="P359" s="877"/>
      <c r="R359" s="64"/>
      <c r="S359" s="64"/>
      <c r="T359" s="64"/>
      <c r="U359" s="64"/>
    </row>
    <row r="360" spans="1:21" s="71" customFormat="1" hidden="1">
      <c r="A360" s="64"/>
      <c r="B360" s="876"/>
      <c r="C360" s="128"/>
      <c r="D360" s="128"/>
      <c r="E360" s="128"/>
      <c r="N360" s="876"/>
      <c r="P360" s="877"/>
      <c r="R360" s="64"/>
      <c r="S360" s="64"/>
      <c r="T360" s="64"/>
      <c r="U360" s="64"/>
    </row>
    <row r="361" spans="1:21" s="71" customFormat="1" hidden="1">
      <c r="A361" s="64"/>
      <c r="B361" s="876"/>
      <c r="C361" s="128"/>
      <c r="D361" s="128"/>
      <c r="E361" s="128"/>
      <c r="N361" s="876"/>
      <c r="P361" s="877"/>
      <c r="R361" s="64"/>
      <c r="S361" s="64"/>
      <c r="T361" s="64"/>
      <c r="U361" s="64"/>
    </row>
    <row r="362" spans="1:21" s="71" customFormat="1" hidden="1">
      <c r="A362" s="64"/>
      <c r="B362" s="876"/>
      <c r="C362" s="128"/>
      <c r="D362" s="128"/>
      <c r="E362" s="128"/>
      <c r="N362" s="876"/>
      <c r="P362" s="877"/>
      <c r="R362" s="64"/>
      <c r="S362" s="64"/>
      <c r="T362" s="64"/>
      <c r="U362" s="64"/>
    </row>
    <row r="363" spans="1:21" s="71" customFormat="1" hidden="1">
      <c r="A363" s="64"/>
      <c r="B363" s="876"/>
      <c r="C363" s="128"/>
      <c r="D363" s="128"/>
      <c r="E363" s="128"/>
      <c r="N363" s="876"/>
      <c r="P363" s="877"/>
      <c r="R363" s="64"/>
      <c r="S363" s="64"/>
      <c r="T363" s="64"/>
      <c r="U363" s="64"/>
    </row>
    <row r="364" spans="1:21" s="71" customFormat="1" hidden="1">
      <c r="A364" s="64"/>
      <c r="B364" s="876"/>
      <c r="C364" s="128"/>
      <c r="D364" s="128"/>
      <c r="E364" s="128"/>
      <c r="N364" s="876"/>
      <c r="P364" s="877"/>
      <c r="R364" s="64"/>
      <c r="S364" s="64"/>
      <c r="T364" s="64"/>
      <c r="U364" s="64"/>
    </row>
    <row r="365" spans="1:21" s="71" customFormat="1" hidden="1">
      <c r="A365" s="64"/>
      <c r="B365" s="876"/>
      <c r="C365" s="128"/>
      <c r="D365" s="128"/>
      <c r="E365" s="128"/>
      <c r="N365" s="876"/>
      <c r="P365" s="877"/>
      <c r="R365" s="64"/>
      <c r="S365" s="64"/>
      <c r="T365" s="64"/>
      <c r="U365" s="64"/>
    </row>
    <row r="366" spans="1:21" s="71" customFormat="1" hidden="1">
      <c r="A366" s="64"/>
      <c r="B366" s="876"/>
      <c r="C366" s="128"/>
      <c r="D366" s="128"/>
      <c r="E366" s="128"/>
      <c r="N366" s="876"/>
      <c r="P366" s="877"/>
      <c r="R366" s="64"/>
      <c r="S366" s="64"/>
      <c r="T366" s="64"/>
      <c r="U366" s="64"/>
    </row>
    <row r="367" spans="1:21" s="71" customFormat="1" hidden="1">
      <c r="A367" s="64"/>
      <c r="B367" s="876"/>
      <c r="C367" s="128"/>
      <c r="D367" s="128"/>
      <c r="E367" s="128"/>
      <c r="N367" s="876"/>
      <c r="P367" s="877"/>
      <c r="R367" s="64"/>
      <c r="S367" s="64"/>
      <c r="T367" s="64"/>
      <c r="U367" s="64"/>
    </row>
    <row r="368" spans="1:21" s="71" customFormat="1" hidden="1">
      <c r="A368" s="64"/>
      <c r="B368" s="876"/>
      <c r="C368" s="128"/>
      <c r="D368" s="128"/>
      <c r="E368" s="128"/>
      <c r="N368" s="876"/>
      <c r="P368" s="877"/>
      <c r="R368" s="64"/>
      <c r="S368" s="64"/>
      <c r="T368" s="64"/>
      <c r="U368" s="64"/>
    </row>
    <row r="369" spans="1:21" s="71" customFormat="1" hidden="1">
      <c r="A369" s="64"/>
      <c r="B369" s="876"/>
      <c r="C369" s="128"/>
      <c r="D369" s="128"/>
      <c r="E369" s="128"/>
      <c r="N369" s="876"/>
      <c r="P369" s="877"/>
      <c r="R369" s="64"/>
      <c r="S369" s="64"/>
      <c r="T369" s="64"/>
      <c r="U369" s="64"/>
    </row>
    <row r="370" spans="1:21" s="71" customFormat="1" hidden="1">
      <c r="A370" s="64"/>
      <c r="B370" s="876"/>
      <c r="C370" s="128"/>
      <c r="D370" s="128"/>
      <c r="E370" s="128"/>
      <c r="N370" s="876"/>
      <c r="P370" s="877"/>
      <c r="R370" s="64"/>
      <c r="S370" s="64"/>
      <c r="T370" s="64"/>
      <c r="U370" s="64"/>
    </row>
    <row r="371" spans="1:21" s="71" customFormat="1" hidden="1">
      <c r="A371" s="64"/>
      <c r="B371" s="876"/>
      <c r="C371" s="128"/>
      <c r="D371" s="128"/>
      <c r="E371" s="128"/>
      <c r="N371" s="876"/>
      <c r="P371" s="877"/>
      <c r="R371" s="64"/>
      <c r="S371" s="64"/>
      <c r="T371" s="64"/>
      <c r="U371" s="64"/>
    </row>
    <row r="372" spans="1:21" s="71" customFormat="1" hidden="1">
      <c r="A372" s="64"/>
      <c r="B372" s="876"/>
      <c r="C372" s="128"/>
      <c r="D372" s="128"/>
      <c r="E372" s="128"/>
      <c r="N372" s="876"/>
      <c r="P372" s="877"/>
      <c r="R372" s="64"/>
      <c r="S372" s="64"/>
      <c r="T372" s="64"/>
      <c r="U372" s="64"/>
    </row>
    <row r="373" spans="1:21" s="71" customFormat="1" hidden="1">
      <c r="A373" s="64"/>
      <c r="B373" s="876"/>
      <c r="C373" s="128"/>
      <c r="D373" s="128"/>
      <c r="E373" s="128"/>
      <c r="N373" s="876"/>
      <c r="P373" s="877"/>
      <c r="R373" s="64"/>
      <c r="S373" s="64"/>
      <c r="T373" s="64"/>
      <c r="U373" s="64"/>
    </row>
    <row r="374" spans="1:21" s="71" customFormat="1" hidden="1">
      <c r="A374" s="64"/>
      <c r="B374" s="876"/>
      <c r="C374" s="128"/>
      <c r="D374" s="128"/>
      <c r="E374" s="128"/>
      <c r="N374" s="876"/>
      <c r="P374" s="877"/>
      <c r="R374" s="64"/>
      <c r="S374" s="64"/>
      <c r="T374" s="64"/>
      <c r="U374" s="64"/>
    </row>
    <row r="375" spans="1:21" s="71" customFormat="1" hidden="1">
      <c r="A375" s="64"/>
      <c r="B375" s="876"/>
      <c r="C375" s="128"/>
      <c r="D375" s="128"/>
      <c r="E375" s="128"/>
      <c r="N375" s="876"/>
      <c r="P375" s="877"/>
      <c r="R375" s="64"/>
      <c r="S375" s="64"/>
      <c r="T375" s="64"/>
      <c r="U375" s="64"/>
    </row>
    <row r="376" spans="1:21" s="71" customFormat="1" hidden="1">
      <c r="A376" s="64"/>
      <c r="B376" s="876"/>
      <c r="C376" s="128"/>
      <c r="D376" s="128"/>
      <c r="E376" s="128"/>
      <c r="N376" s="876"/>
      <c r="P376" s="877"/>
      <c r="R376" s="64"/>
      <c r="S376" s="64"/>
      <c r="T376" s="64"/>
      <c r="U376" s="64"/>
    </row>
    <row r="377" spans="1:21" s="71" customFormat="1" hidden="1">
      <c r="A377" s="64"/>
      <c r="B377" s="876"/>
      <c r="C377" s="128"/>
      <c r="D377" s="128"/>
      <c r="E377" s="128"/>
      <c r="N377" s="876"/>
      <c r="P377" s="877"/>
      <c r="R377" s="64"/>
      <c r="S377" s="64"/>
      <c r="T377" s="64"/>
      <c r="U377" s="64"/>
    </row>
    <row r="378" spans="1:21" s="71" customFormat="1" hidden="1">
      <c r="A378" s="64"/>
      <c r="B378" s="876"/>
      <c r="C378" s="128"/>
      <c r="D378" s="128"/>
      <c r="E378" s="128"/>
      <c r="N378" s="876"/>
      <c r="P378" s="877"/>
      <c r="R378" s="64"/>
      <c r="S378" s="64"/>
      <c r="T378" s="64"/>
      <c r="U378" s="64"/>
    </row>
    <row r="379" spans="1:21" s="71" customFormat="1" hidden="1">
      <c r="A379" s="64"/>
      <c r="B379" s="876"/>
      <c r="C379" s="128"/>
      <c r="D379" s="128"/>
      <c r="E379" s="128"/>
      <c r="N379" s="876"/>
      <c r="P379" s="877"/>
      <c r="R379" s="64"/>
      <c r="S379" s="64"/>
      <c r="T379" s="64"/>
      <c r="U379" s="64"/>
    </row>
    <row r="380" spans="1:21" s="71" customFormat="1" hidden="1">
      <c r="A380" s="64"/>
      <c r="B380" s="876"/>
      <c r="C380" s="128"/>
      <c r="D380" s="128"/>
      <c r="E380" s="128"/>
      <c r="N380" s="876"/>
      <c r="P380" s="877"/>
      <c r="R380" s="64"/>
      <c r="S380" s="64"/>
      <c r="T380" s="64"/>
      <c r="U380" s="64"/>
    </row>
    <row r="381" spans="1:21" s="71" customFormat="1" hidden="1">
      <c r="A381" s="64"/>
      <c r="B381" s="876"/>
      <c r="C381" s="128"/>
      <c r="D381" s="128"/>
      <c r="E381" s="128"/>
      <c r="N381" s="876"/>
      <c r="P381" s="877"/>
      <c r="R381" s="64"/>
      <c r="S381" s="64"/>
      <c r="T381" s="64"/>
      <c r="U381" s="64"/>
    </row>
    <row r="382" spans="1:21" s="71" customFormat="1" hidden="1">
      <c r="A382" s="64"/>
      <c r="B382" s="876"/>
      <c r="C382" s="128"/>
      <c r="D382" s="128"/>
      <c r="E382" s="128"/>
      <c r="N382" s="876"/>
      <c r="P382" s="877"/>
      <c r="R382" s="64"/>
      <c r="S382" s="64"/>
      <c r="T382" s="64"/>
      <c r="U382" s="64"/>
    </row>
    <row r="383" spans="1:21" s="71" customFormat="1" hidden="1">
      <c r="A383" s="64"/>
      <c r="B383" s="876"/>
      <c r="C383" s="128"/>
      <c r="D383" s="128"/>
      <c r="E383" s="128"/>
      <c r="N383" s="876"/>
      <c r="P383" s="877"/>
      <c r="R383" s="64"/>
      <c r="S383" s="64"/>
      <c r="T383" s="64"/>
      <c r="U383" s="64"/>
    </row>
    <row r="384" spans="1:21" s="71" customFormat="1" hidden="1">
      <c r="A384" s="64"/>
      <c r="B384" s="876"/>
      <c r="C384" s="128"/>
      <c r="D384" s="128"/>
      <c r="E384" s="128"/>
      <c r="N384" s="876"/>
      <c r="P384" s="877"/>
      <c r="R384" s="64"/>
      <c r="S384" s="64"/>
      <c r="T384" s="64"/>
      <c r="U384" s="64"/>
    </row>
    <row r="385" spans="1:21" s="71" customFormat="1" hidden="1">
      <c r="A385" s="64"/>
      <c r="B385" s="876"/>
      <c r="C385" s="128"/>
      <c r="D385" s="128"/>
      <c r="E385" s="128"/>
      <c r="N385" s="876"/>
      <c r="P385" s="877"/>
      <c r="R385" s="64"/>
      <c r="S385" s="64"/>
      <c r="T385" s="64"/>
      <c r="U385" s="64"/>
    </row>
    <row r="386" spans="1:21" s="71" customFormat="1" hidden="1">
      <c r="A386" s="64"/>
      <c r="B386" s="876"/>
      <c r="C386" s="128"/>
      <c r="D386" s="128"/>
      <c r="E386" s="128"/>
      <c r="N386" s="876"/>
      <c r="P386" s="877"/>
      <c r="R386" s="64"/>
      <c r="S386" s="64"/>
      <c r="T386" s="64"/>
      <c r="U386" s="64"/>
    </row>
    <row r="387" spans="1:21" s="71" customFormat="1" hidden="1">
      <c r="A387" s="64"/>
      <c r="B387" s="876"/>
      <c r="C387" s="128"/>
      <c r="D387" s="128"/>
      <c r="E387" s="128"/>
      <c r="N387" s="876"/>
      <c r="P387" s="877"/>
      <c r="R387" s="64"/>
      <c r="S387" s="64"/>
      <c r="T387" s="64"/>
      <c r="U387" s="64"/>
    </row>
    <row r="388" spans="1:21" s="71" customFormat="1" hidden="1">
      <c r="A388" s="64"/>
      <c r="B388" s="876"/>
      <c r="C388" s="128"/>
      <c r="D388" s="128"/>
      <c r="E388" s="128"/>
      <c r="N388" s="876"/>
      <c r="P388" s="877"/>
      <c r="R388" s="64"/>
      <c r="S388" s="64"/>
      <c r="T388" s="64"/>
      <c r="U388" s="64"/>
    </row>
    <row r="389" spans="1:21" s="71" customFormat="1" hidden="1">
      <c r="A389" s="64"/>
      <c r="B389" s="876"/>
      <c r="C389" s="128"/>
      <c r="D389" s="128"/>
      <c r="E389" s="128"/>
      <c r="N389" s="876"/>
      <c r="P389" s="877"/>
      <c r="R389" s="64"/>
      <c r="S389" s="64"/>
      <c r="T389" s="64"/>
      <c r="U389" s="64"/>
    </row>
    <row r="390" spans="1:21" s="71" customFormat="1" hidden="1">
      <c r="A390" s="64"/>
      <c r="B390" s="876"/>
      <c r="C390" s="128"/>
      <c r="D390" s="128"/>
      <c r="E390" s="128"/>
      <c r="N390" s="876"/>
      <c r="P390" s="877"/>
      <c r="R390" s="64"/>
      <c r="S390" s="64"/>
      <c r="T390" s="64"/>
      <c r="U390" s="64"/>
    </row>
    <row r="391" spans="1:21" s="71" customFormat="1" hidden="1">
      <c r="A391" s="64"/>
      <c r="B391" s="876"/>
      <c r="C391" s="128"/>
      <c r="D391" s="128"/>
      <c r="E391" s="128"/>
      <c r="N391" s="876"/>
      <c r="P391" s="877"/>
      <c r="R391" s="64"/>
      <c r="S391" s="64"/>
      <c r="T391" s="64"/>
      <c r="U391" s="64"/>
    </row>
    <row r="392" spans="1:21" s="71" customFormat="1" hidden="1">
      <c r="A392" s="64"/>
      <c r="B392" s="876"/>
      <c r="C392" s="128"/>
      <c r="D392" s="128"/>
      <c r="E392" s="128"/>
      <c r="N392" s="876"/>
      <c r="P392" s="877"/>
      <c r="R392" s="64"/>
      <c r="S392" s="64"/>
      <c r="T392" s="64"/>
      <c r="U392" s="64"/>
    </row>
    <row r="393" spans="1:21" s="71" customFormat="1" hidden="1">
      <c r="A393" s="64"/>
      <c r="B393" s="876"/>
      <c r="C393" s="128"/>
      <c r="D393" s="128"/>
      <c r="E393" s="128"/>
      <c r="N393" s="876"/>
      <c r="P393" s="877"/>
      <c r="R393" s="64"/>
      <c r="S393" s="64"/>
      <c r="T393" s="64"/>
      <c r="U393" s="64"/>
    </row>
    <row r="394" spans="1:21" s="71" customFormat="1" hidden="1">
      <c r="A394" s="64"/>
      <c r="B394" s="876"/>
      <c r="C394" s="128"/>
      <c r="D394" s="128"/>
      <c r="E394" s="128"/>
      <c r="N394" s="876"/>
      <c r="P394" s="877"/>
      <c r="R394" s="64"/>
      <c r="S394" s="64"/>
      <c r="T394" s="64"/>
      <c r="U394" s="64"/>
    </row>
    <row r="395" spans="1:21" s="71" customFormat="1" hidden="1">
      <c r="A395" s="64"/>
      <c r="B395" s="876"/>
      <c r="C395" s="128"/>
      <c r="D395" s="128"/>
      <c r="E395" s="128"/>
      <c r="N395" s="876"/>
      <c r="P395" s="877"/>
      <c r="R395" s="64"/>
      <c r="S395" s="64"/>
      <c r="T395" s="64"/>
      <c r="U395" s="64"/>
    </row>
    <row r="396" spans="1:21" s="71" customFormat="1" hidden="1">
      <c r="A396" s="64"/>
      <c r="B396" s="876"/>
      <c r="C396" s="128"/>
      <c r="D396" s="128"/>
      <c r="E396" s="128"/>
      <c r="N396" s="876"/>
      <c r="P396" s="877"/>
      <c r="R396" s="64"/>
      <c r="S396" s="64"/>
      <c r="T396" s="64"/>
      <c r="U396" s="64"/>
    </row>
    <row r="397" spans="1:21" s="71" customFormat="1" hidden="1">
      <c r="A397" s="64"/>
      <c r="B397" s="876"/>
      <c r="C397" s="128"/>
      <c r="D397" s="128"/>
      <c r="E397" s="128"/>
      <c r="N397" s="876"/>
      <c r="P397" s="877"/>
      <c r="R397" s="64"/>
      <c r="S397" s="64"/>
      <c r="T397" s="64"/>
      <c r="U397" s="64"/>
    </row>
    <row r="398" spans="1:21" s="71" customFormat="1" hidden="1">
      <c r="A398" s="64"/>
      <c r="B398" s="876"/>
      <c r="C398" s="128"/>
      <c r="D398" s="128"/>
      <c r="E398" s="128"/>
      <c r="N398" s="876"/>
      <c r="P398" s="877"/>
      <c r="R398" s="64"/>
      <c r="S398" s="64"/>
      <c r="T398" s="64"/>
      <c r="U398" s="64"/>
    </row>
    <row r="399" spans="1:21" s="71" customFormat="1" hidden="1">
      <c r="A399" s="64"/>
      <c r="B399" s="876"/>
      <c r="C399" s="128"/>
      <c r="D399" s="128"/>
      <c r="E399" s="128"/>
      <c r="N399" s="876"/>
      <c r="P399" s="877"/>
      <c r="R399" s="64"/>
      <c r="S399" s="64"/>
      <c r="T399" s="64"/>
      <c r="U399" s="64"/>
    </row>
    <row r="400" spans="1:21" s="71" customFormat="1" hidden="1">
      <c r="A400" s="64"/>
      <c r="B400" s="876"/>
      <c r="C400" s="128"/>
      <c r="D400" s="128"/>
      <c r="E400" s="128"/>
      <c r="N400" s="876"/>
      <c r="P400" s="877"/>
      <c r="R400" s="64"/>
      <c r="S400" s="64"/>
      <c r="T400" s="64"/>
      <c r="U400" s="64"/>
    </row>
    <row r="401" spans="1:21" s="71" customFormat="1" hidden="1">
      <c r="A401" s="64"/>
      <c r="B401" s="876"/>
      <c r="C401" s="128"/>
      <c r="D401" s="128"/>
      <c r="E401" s="128"/>
      <c r="N401" s="876"/>
      <c r="P401" s="877"/>
      <c r="R401" s="64"/>
      <c r="S401" s="64"/>
      <c r="T401" s="64"/>
      <c r="U401" s="64"/>
    </row>
    <row r="402" spans="1:21" s="71" customFormat="1" hidden="1">
      <c r="A402" s="64"/>
      <c r="B402" s="876"/>
      <c r="C402" s="128"/>
      <c r="D402" s="128"/>
      <c r="E402" s="128"/>
      <c r="N402" s="876"/>
      <c r="P402" s="877"/>
      <c r="R402" s="64"/>
      <c r="S402" s="64"/>
      <c r="T402" s="64"/>
      <c r="U402" s="64"/>
    </row>
    <row r="403" spans="1:21" s="71" customFormat="1" hidden="1">
      <c r="A403" s="64"/>
      <c r="B403" s="876"/>
      <c r="C403" s="128"/>
      <c r="D403" s="128"/>
      <c r="E403" s="128"/>
      <c r="N403" s="876"/>
      <c r="P403" s="877"/>
      <c r="R403" s="64"/>
      <c r="S403" s="64"/>
      <c r="T403" s="64"/>
      <c r="U403" s="64"/>
    </row>
    <row r="404" spans="1:21" s="71" customFormat="1" hidden="1">
      <c r="A404" s="64"/>
      <c r="B404" s="876"/>
      <c r="C404" s="128"/>
      <c r="D404" s="128"/>
      <c r="E404" s="128"/>
      <c r="N404" s="876"/>
      <c r="P404" s="877"/>
      <c r="R404" s="64"/>
      <c r="S404" s="64"/>
      <c r="T404" s="64"/>
      <c r="U404" s="64"/>
    </row>
    <row r="405" spans="1:21" s="71" customFormat="1" hidden="1">
      <c r="A405" s="64"/>
      <c r="B405" s="876"/>
      <c r="C405" s="128"/>
      <c r="D405" s="128"/>
      <c r="E405" s="128"/>
      <c r="N405" s="876"/>
      <c r="P405" s="877"/>
      <c r="R405" s="64"/>
      <c r="S405" s="64"/>
      <c r="T405" s="64"/>
      <c r="U405" s="64"/>
    </row>
    <row r="406" spans="1:21" s="71" customFormat="1" hidden="1">
      <c r="A406" s="64"/>
      <c r="B406" s="876"/>
      <c r="C406" s="128"/>
      <c r="D406" s="128"/>
      <c r="E406" s="128"/>
      <c r="N406" s="876"/>
      <c r="P406" s="877"/>
      <c r="R406" s="64"/>
      <c r="S406" s="64"/>
      <c r="T406" s="64"/>
      <c r="U406" s="64"/>
    </row>
    <row r="407" spans="1:21" s="71" customFormat="1" hidden="1">
      <c r="A407" s="64"/>
      <c r="B407" s="876"/>
      <c r="C407" s="128"/>
      <c r="D407" s="128"/>
      <c r="E407" s="128"/>
      <c r="N407" s="876"/>
      <c r="P407" s="877"/>
      <c r="R407" s="64"/>
      <c r="S407" s="64"/>
      <c r="T407" s="64"/>
      <c r="U407" s="64"/>
    </row>
    <row r="408" spans="1:21" s="71" customFormat="1" hidden="1">
      <c r="A408" s="64"/>
      <c r="B408" s="876"/>
      <c r="C408" s="128"/>
      <c r="D408" s="128"/>
      <c r="E408" s="128"/>
      <c r="N408" s="876"/>
      <c r="P408" s="877"/>
      <c r="R408" s="64"/>
      <c r="S408" s="64"/>
      <c r="T408" s="64"/>
      <c r="U408" s="64"/>
    </row>
    <row r="409" spans="1:21" s="71" customFormat="1" hidden="1">
      <c r="A409" s="64"/>
      <c r="B409" s="876"/>
      <c r="C409" s="128"/>
      <c r="D409" s="128"/>
      <c r="E409" s="128"/>
      <c r="N409" s="876"/>
      <c r="P409" s="877"/>
      <c r="R409" s="64"/>
      <c r="S409" s="64"/>
      <c r="T409" s="64"/>
      <c r="U409" s="64"/>
    </row>
    <row r="410" spans="1:21" s="71" customFormat="1" hidden="1">
      <c r="A410" s="64"/>
      <c r="B410" s="876"/>
      <c r="C410" s="128"/>
      <c r="D410" s="128"/>
      <c r="E410" s="128"/>
      <c r="N410" s="876"/>
      <c r="P410" s="877"/>
      <c r="R410" s="64"/>
      <c r="S410" s="64"/>
      <c r="T410" s="64"/>
      <c r="U410" s="64"/>
    </row>
    <row r="411" spans="1:21" s="71" customFormat="1" hidden="1">
      <c r="A411" s="64"/>
      <c r="B411" s="876"/>
      <c r="C411" s="128"/>
      <c r="D411" s="128"/>
      <c r="E411" s="128"/>
      <c r="N411" s="876"/>
      <c r="P411" s="877"/>
      <c r="R411" s="64"/>
      <c r="S411" s="64"/>
      <c r="T411" s="64"/>
      <c r="U411" s="64"/>
    </row>
    <row r="412" spans="1:21" s="71" customFormat="1" hidden="1">
      <c r="A412" s="64"/>
      <c r="B412" s="876"/>
      <c r="C412" s="128"/>
      <c r="D412" s="128"/>
      <c r="E412" s="128"/>
      <c r="N412" s="876"/>
      <c r="P412" s="877"/>
      <c r="R412" s="64"/>
      <c r="S412" s="64"/>
      <c r="T412" s="64"/>
      <c r="U412" s="64"/>
    </row>
    <row r="413" spans="1:21" s="71" customFormat="1" hidden="1">
      <c r="A413" s="64"/>
      <c r="B413" s="876"/>
      <c r="C413" s="128"/>
      <c r="D413" s="128"/>
      <c r="E413" s="128"/>
      <c r="N413" s="876"/>
      <c r="P413" s="877"/>
      <c r="R413" s="64"/>
      <c r="S413" s="64"/>
      <c r="T413" s="64"/>
      <c r="U413" s="64"/>
    </row>
    <row r="414" spans="1:21" s="71" customFormat="1" hidden="1">
      <c r="A414" s="64"/>
      <c r="B414" s="876"/>
      <c r="C414" s="128"/>
      <c r="D414" s="128"/>
      <c r="E414" s="128"/>
      <c r="N414" s="876"/>
      <c r="P414" s="877"/>
      <c r="R414" s="64"/>
      <c r="S414" s="64"/>
      <c r="T414" s="64"/>
      <c r="U414" s="64"/>
    </row>
    <row r="415" spans="1:21" s="71" customFormat="1" hidden="1">
      <c r="A415" s="64"/>
      <c r="B415" s="876"/>
      <c r="C415" s="128"/>
      <c r="D415" s="128"/>
      <c r="E415" s="128"/>
      <c r="N415" s="876"/>
      <c r="P415" s="877"/>
      <c r="R415" s="64"/>
      <c r="S415" s="64"/>
      <c r="T415" s="64"/>
      <c r="U415" s="64"/>
    </row>
    <row r="416" spans="1:21" s="71" customFormat="1" hidden="1">
      <c r="A416" s="64"/>
      <c r="B416" s="876"/>
      <c r="C416" s="128"/>
      <c r="D416" s="128"/>
      <c r="E416" s="128"/>
      <c r="N416" s="876"/>
      <c r="P416" s="877"/>
      <c r="R416" s="64"/>
      <c r="S416" s="64"/>
      <c r="T416" s="64"/>
      <c r="U416" s="64"/>
    </row>
    <row r="417" spans="1:21" s="71" customFormat="1" hidden="1">
      <c r="A417" s="64"/>
      <c r="B417" s="876"/>
      <c r="C417" s="128"/>
      <c r="D417" s="128"/>
      <c r="E417" s="128"/>
      <c r="N417" s="876"/>
      <c r="P417" s="877"/>
      <c r="R417" s="64"/>
      <c r="S417" s="64"/>
      <c r="T417" s="64"/>
      <c r="U417" s="64"/>
    </row>
    <row r="418" spans="1:21" s="71" customFormat="1" hidden="1">
      <c r="A418" s="64"/>
      <c r="B418" s="876"/>
      <c r="C418" s="128"/>
      <c r="D418" s="128"/>
      <c r="E418" s="128"/>
      <c r="N418" s="876"/>
      <c r="P418" s="877"/>
      <c r="R418" s="64"/>
      <c r="S418" s="64"/>
      <c r="T418" s="64"/>
      <c r="U418" s="64"/>
    </row>
    <row r="419" spans="1:21" s="71" customFormat="1" hidden="1">
      <c r="A419" s="64"/>
      <c r="B419" s="876"/>
      <c r="C419" s="128"/>
      <c r="D419" s="128"/>
      <c r="E419" s="128"/>
      <c r="N419" s="876"/>
      <c r="P419" s="877"/>
      <c r="R419" s="64"/>
      <c r="S419" s="64"/>
      <c r="T419" s="64"/>
      <c r="U419" s="64"/>
    </row>
    <row r="420" spans="1:21" s="71" customFormat="1" hidden="1">
      <c r="A420" s="64"/>
      <c r="B420" s="876"/>
      <c r="C420" s="128"/>
      <c r="D420" s="128"/>
      <c r="E420" s="128"/>
      <c r="N420" s="876"/>
      <c r="P420" s="877"/>
      <c r="R420" s="64"/>
      <c r="S420" s="64"/>
      <c r="T420" s="64"/>
      <c r="U420" s="64"/>
    </row>
    <row r="421" spans="1:21" s="71" customFormat="1" hidden="1">
      <c r="A421" s="64"/>
      <c r="B421" s="876"/>
      <c r="C421" s="128"/>
      <c r="D421" s="128"/>
      <c r="E421" s="128"/>
      <c r="N421" s="876"/>
      <c r="P421" s="877"/>
      <c r="R421" s="64"/>
      <c r="S421" s="64"/>
      <c r="T421" s="64"/>
      <c r="U421" s="64"/>
    </row>
    <row r="422" spans="1:21" s="71" customFormat="1" hidden="1">
      <c r="A422" s="64"/>
      <c r="B422" s="876"/>
      <c r="C422" s="128"/>
      <c r="D422" s="128"/>
      <c r="E422" s="128"/>
      <c r="N422" s="876"/>
      <c r="P422" s="877"/>
      <c r="R422" s="64"/>
      <c r="S422" s="64"/>
      <c r="T422" s="64"/>
      <c r="U422" s="64"/>
    </row>
    <row r="423" spans="1:21" s="71" customFormat="1" hidden="1">
      <c r="A423" s="64"/>
      <c r="B423" s="876"/>
      <c r="C423" s="128"/>
      <c r="D423" s="128"/>
      <c r="E423" s="128"/>
      <c r="N423" s="876"/>
      <c r="P423" s="877"/>
      <c r="R423" s="64"/>
      <c r="S423" s="64"/>
      <c r="T423" s="64"/>
      <c r="U423" s="64"/>
    </row>
    <row r="424" spans="1:21" s="71" customFormat="1" hidden="1">
      <c r="A424" s="64"/>
      <c r="B424" s="876"/>
      <c r="C424" s="128"/>
      <c r="D424" s="128"/>
      <c r="E424" s="128"/>
      <c r="N424" s="876"/>
      <c r="P424" s="877"/>
      <c r="R424" s="64"/>
      <c r="S424" s="64"/>
      <c r="T424" s="64"/>
      <c r="U424" s="64"/>
    </row>
    <row r="425" spans="1:21" s="71" customFormat="1" hidden="1">
      <c r="A425" s="64"/>
      <c r="B425" s="876"/>
      <c r="C425" s="128"/>
      <c r="D425" s="128"/>
      <c r="E425" s="128"/>
      <c r="N425" s="876"/>
      <c r="P425" s="877"/>
      <c r="R425" s="64"/>
      <c r="S425" s="64"/>
      <c r="T425" s="64"/>
      <c r="U425" s="64"/>
    </row>
    <row r="426" spans="1:21" s="71" customFormat="1" hidden="1">
      <c r="A426" s="64"/>
      <c r="B426" s="876"/>
      <c r="C426" s="128"/>
      <c r="D426" s="128"/>
      <c r="E426" s="128"/>
      <c r="N426" s="876"/>
      <c r="P426" s="877"/>
      <c r="R426" s="64"/>
      <c r="S426" s="64"/>
      <c r="T426" s="64"/>
      <c r="U426" s="64"/>
    </row>
    <row r="427" spans="1:21" s="71" customFormat="1" hidden="1">
      <c r="A427" s="64"/>
      <c r="B427" s="876"/>
      <c r="C427" s="128"/>
      <c r="D427" s="128"/>
      <c r="E427" s="128"/>
      <c r="N427" s="876"/>
      <c r="P427" s="877"/>
      <c r="R427" s="64"/>
      <c r="S427" s="64"/>
      <c r="T427" s="64"/>
      <c r="U427" s="64"/>
    </row>
    <row r="428" spans="1:21" s="71" customFormat="1" hidden="1">
      <c r="A428" s="64"/>
      <c r="B428" s="876"/>
      <c r="C428" s="128"/>
      <c r="D428" s="128"/>
      <c r="E428" s="128"/>
      <c r="N428" s="876"/>
      <c r="P428" s="877"/>
      <c r="R428" s="64"/>
      <c r="S428" s="64"/>
      <c r="T428" s="64"/>
      <c r="U428" s="64"/>
    </row>
    <row r="429" spans="1:21" s="71" customFormat="1" hidden="1">
      <c r="A429" s="64"/>
      <c r="B429" s="876"/>
      <c r="C429" s="128"/>
      <c r="D429" s="128"/>
      <c r="E429" s="128"/>
      <c r="N429" s="876"/>
      <c r="P429" s="877"/>
      <c r="R429" s="64"/>
      <c r="S429" s="64"/>
      <c r="T429" s="64"/>
      <c r="U429" s="64"/>
    </row>
    <row r="430" spans="1:21" s="71" customFormat="1" hidden="1">
      <c r="A430" s="64"/>
      <c r="B430" s="876"/>
      <c r="C430" s="128"/>
      <c r="D430" s="128"/>
      <c r="E430" s="128"/>
      <c r="N430" s="876"/>
      <c r="P430" s="877"/>
      <c r="R430" s="64"/>
      <c r="S430" s="64"/>
      <c r="T430" s="64"/>
      <c r="U430" s="64"/>
    </row>
    <row r="431" spans="1:21" s="71" customFormat="1" hidden="1">
      <c r="A431" s="64"/>
      <c r="B431" s="876"/>
      <c r="C431" s="128"/>
      <c r="D431" s="128"/>
      <c r="E431" s="128"/>
      <c r="N431" s="876"/>
      <c r="P431" s="877"/>
      <c r="R431" s="64"/>
      <c r="S431" s="64"/>
      <c r="T431" s="64"/>
      <c r="U431" s="64"/>
    </row>
    <row r="432" spans="1:21" s="71" customFormat="1" hidden="1">
      <c r="A432" s="64"/>
      <c r="B432" s="876"/>
      <c r="C432" s="128"/>
      <c r="D432" s="128"/>
      <c r="E432" s="128"/>
      <c r="N432" s="876"/>
      <c r="P432" s="877"/>
      <c r="R432" s="64"/>
      <c r="S432" s="64"/>
      <c r="T432" s="64"/>
      <c r="U432" s="64"/>
    </row>
    <row r="433" spans="1:21" s="71" customFormat="1" hidden="1">
      <c r="A433" s="64"/>
      <c r="B433" s="876"/>
      <c r="C433" s="128"/>
      <c r="D433" s="128"/>
      <c r="E433" s="128"/>
      <c r="N433" s="876"/>
      <c r="P433" s="877"/>
      <c r="R433" s="64"/>
      <c r="S433" s="64"/>
      <c r="T433" s="64"/>
      <c r="U433" s="64"/>
    </row>
    <row r="434" spans="1:21" s="71" customFormat="1" hidden="1">
      <c r="A434" s="64"/>
      <c r="B434" s="876"/>
      <c r="C434" s="128"/>
      <c r="D434" s="128"/>
      <c r="E434" s="128"/>
      <c r="N434" s="876"/>
      <c r="P434" s="877"/>
      <c r="R434" s="64"/>
      <c r="S434" s="64"/>
      <c r="T434" s="64"/>
      <c r="U434" s="64"/>
    </row>
    <row r="435" spans="1:21" s="71" customFormat="1" hidden="1">
      <c r="A435" s="64"/>
      <c r="B435" s="876"/>
      <c r="C435" s="128"/>
      <c r="D435" s="128"/>
      <c r="E435" s="128"/>
      <c r="N435" s="876"/>
      <c r="P435" s="877"/>
      <c r="R435" s="64"/>
      <c r="S435" s="64"/>
      <c r="T435" s="64"/>
      <c r="U435" s="64"/>
    </row>
    <row r="436" spans="1:21" s="71" customFormat="1" hidden="1">
      <c r="A436" s="64"/>
      <c r="B436" s="876"/>
      <c r="C436" s="128"/>
      <c r="D436" s="128"/>
      <c r="E436" s="128"/>
      <c r="N436" s="876"/>
      <c r="P436" s="877"/>
      <c r="R436" s="64"/>
      <c r="S436" s="64"/>
      <c r="T436" s="64"/>
      <c r="U436" s="64"/>
    </row>
    <row r="437" spans="1:21" s="71" customFormat="1" hidden="1">
      <c r="A437" s="64"/>
      <c r="B437" s="876"/>
      <c r="C437" s="128"/>
      <c r="D437" s="128"/>
      <c r="E437" s="128"/>
      <c r="N437" s="876"/>
      <c r="P437" s="877"/>
      <c r="R437" s="64"/>
      <c r="S437" s="64"/>
      <c r="T437" s="64"/>
      <c r="U437" s="64"/>
    </row>
    <row r="438" spans="1:21" s="71" customFormat="1" hidden="1">
      <c r="A438" s="64"/>
      <c r="B438" s="876"/>
      <c r="C438" s="128"/>
      <c r="D438" s="128"/>
      <c r="E438" s="128"/>
      <c r="N438" s="876"/>
      <c r="P438" s="877"/>
      <c r="R438" s="64"/>
      <c r="S438" s="64"/>
      <c r="T438" s="64"/>
      <c r="U438" s="64"/>
    </row>
    <row r="439" spans="1:21" s="71" customFormat="1" hidden="1">
      <c r="A439" s="64"/>
      <c r="B439" s="876"/>
      <c r="C439" s="128"/>
      <c r="D439" s="128"/>
      <c r="E439" s="128"/>
      <c r="N439" s="876"/>
      <c r="P439" s="877"/>
      <c r="R439" s="64"/>
      <c r="S439" s="64"/>
      <c r="T439" s="64"/>
      <c r="U439" s="64"/>
    </row>
    <row r="440" spans="1:21" s="71" customFormat="1" hidden="1">
      <c r="A440" s="64"/>
      <c r="B440" s="876"/>
      <c r="C440" s="128"/>
      <c r="D440" s="128"/>
      <c r="E440" s="128"/>
      <c r="N440" s="876"/>
      <c r="P440" s="877"/>
      <c r="R440" s="64"/>
      <c r="S440" s="64"/>
      <c r="T440" s="64"/>
      <c r="U440" s="64"/>
    </row>
    <row r="441" spans="1:21" s="71" customFormat="1" hidden="1">
      <c r="A441" s="64"/>
      <c r="B441" s="876"/>
      <c r="C441" s="128"/>
      <c r="D441" s="128"/>
      <c r="E441" s="128"/>
      <c r="N441" s="876"/>
      <c r="P441" s="877"/>
      <c r="R441" s="64"/>
      <c r="S441" s="64"/>
      <c r="T441" s="64"/>
      <c r="U441" s="64"/>
    </row>
    <row r="442" spans="1:21" s="71" customFormat="1" hidden="1">
      <c r="A442" s="64"/>
      <c r="B442" s="876"/>
      <c r="C442" s="128"/>
      <c r="D442" s="128"/>
      <c r="E442" s="128"/>
      <c r="N442" s="876"/>
      <c r="P442" s="877"/>
      <c r="R442" s="64"/>
      <c r="S442" s="64"/>
      <c r="T442" s="64"/>
      <c r="U442" s="64"/>
    </row>
    <row r="443" spans="1:21" s="71" customFormat="1" hidden="1">
      <c r="A443" s="64"/>
      <c r="B443" s="876"/>
      <c r="C443" s="128"/>
      <c r="D443" s="128"/>
      <c r="E443" s="128"/>
      <c r="N443" s="876"/>
      <c r="P443" s="877"/>
      <c r="R443" s="64"/>
      <c r="S443" s="64"/>
      <c r="T443" s="64"/>
      <c r="U443" s="64"/>
    </row>
    <row r="444" spans="1:21" s="71" customFormat="1" hidden="1">
      <c r="A444" s="64"/>
      <c r="B444" s="876"/>
      <c r="C444" s="128"/>
      <c r="D444" s="128"/>
      <c r="E444" s="128"/>
      <c r="N444" s="876"/>
      <c r="P444" s="877"/>
      <c r="R444" s="64"/>
      <c r="S444" s="64"/>
      <c r="T444" s="64"/>
      <c r="U444" s="64"/>
    </row>
    <row r="445" spans="1:21" s="71" customFormat="1" hidden="1">
      <c r="A445" s="64"/>
      <c r="B445" s="876"/>
      <c r="C445" s="128"/>
      <c r="D445" s="128"/>
      <c r="E445" s="128"/>
      <c r="N445" s="876"/>
      <c r="P445" s="877"/>
      <c r="R445" s="64"/>
      <c r="S445" s="64"/>
      <c r="T445" s="64"/>
      <c r="U445" s="64"/>
    </row>
    <row r="446" spans="1:21" s="71" customFormat="1" hidden="1">
      <c r="A446" s="64"/>
      <c r="B446" s="876"/>
      <c r="C446" s="128"/>
      <c r="D446" s="128"/>
      <c r="E446" s="128"/>
      <c r="N446" s="876"/>
      <c r="P446" s="877"/>
      <c r="R446" s="64"/>
      <c r="S446" s="64"/>
      <c r="T446" s="64"/>
      <c r="U446" s="64"/>
    </row>
    <row r="447" spans="1:21" s="71" customFormat="1" hidden="1">
      <c r="A447" s="64"/>
      <c r="B447" s="876"/>
      <c r="C447" s="128"/>
      <c r="D447" s="128"/>
      <c r="E447" s="128"/>
      <c r="N447" s="876"/>
      <c r="P447" s="877"/>
      <c r="R447" s="64"/>
      <c r="S447" s="64"/>
      <c r="T447" s="64"/>
      <c r="U447" s="64"/>
    </row>
    <row r="448" spans="1:21" s="71" customFormat="1" hidden="1">
      <c r="A448" s="64"/>
      <c r="B448" s="876"/>
      <c r="C448" s="128"/>
      <c r="D448" s="128"/>
      <c r="E448" s="128"/>
      <c r="N448" s="876"/>
      <c r="P448" s="877"/>
      <c r="R448" s="64"/>
      <c r="S448" s="64"/>
      <c r="T448" s="64"/>
      <c r="U448" s="64"/>
    </row>
    <row r="449" spans="1:21" s="71" customFormat="1" hidden="1">
      <c r="A449" s="64"/>
      <c r="B449" s="876"/>
      <c r="C449" s="128"/>
      <c r="D449" s="128"/>
      <c r="E449" s="128"/>
      <c r="N449" s="876"/>
      <c r="P449" s="877"/>
      <c r="R449" s="64"/>
      <c r="S449" s="64"/>
      <c r="T449" s="64"/>
      <c r="U449" s="64"/>
    </row>
    <row r="450" spans="1:21" s="71" customFormat="1" hidden="1">
      <c r="A450" s="64"/>
      <c r="B450" s="876"/>
      <c r="C450" s="128"/>
      <c r="D450" s="128"/>
      <c r="E450" s="128"/>
      <c r="N450" s="876"/>
      <c r="P450" s="877"/>
      <c r="R450" s="64"/>
      <c r="S450" s="64"/>
      <c r="T450" s="64"/>
      <c r="U450" s="64"/>
    </row>
    <row r="451" spans="1:21" s="71" customFormat="1" hidden="1">
      <c r="A451" s="64"/>
      <c r="B451" s="876"/>
      <c r="C451" s="128"/>
      <c r="D451" s="128"/>
      <c r="E451" s="128"/>
      <c r="N451" s="876"/>
      <c r="P451" s="877"/>
      <c r="R451" s="64"/>
      <c r="S451" s="64"/>
      <c r="T451" s="64"/>
      <c r="U451" s="64"/>
    </row>
    <row r="452" spans="1:21" s="71" customFormat="1" hidden="1">
      <c r="A452" s="64"/>
      <c r="B452" s="876"/>
      <c r="C452" s="128"/>
      <c r="D452" s="128"/>
      <c r="E452" s="128"/>
      <c r="N452" s="876"/>
      <c r="P452" s="877"/>
      <c r="R452" s="64"/>
      <c r="S452" s="64"/>
      <c r="T452" s="64"/>
      <c r="U452" s="64"/>
    </row>
    <row r="453" spans="1:21" s="71" customFormat="1" hidden="1">
      <c r="A453" s="64"/>
      <c r="B453" s="876"/>
      <c r="C453" s="128"/>
      <c r="D453" s="128"/>
      <c r="E453" s="128"/>
      <c r="N453" s="876"/>
      <c r="P453" s="877"/>
      <c r="R453" s="64"/>
      <c r="S453" s="64"/>
      <c r="T453" s="64"/>
      <c r="U453" s="64"/>
    </row>
    <row r="454" spans="1:21" s="71" customFormat="1" hidden="1">
      <c r="A454" s="64"/>
      <c r="B454" s="876"/>
      <c r="C454" s="128"/>
      <c r="D454" s="128"/>
      <c r="E454" s="128"/>
      <c r="N454" s="876"/>
      <c r="P454" s="877"/>
      <c r="R454" s="64"/>
      <c r="S454" s="64"/>
      <c r="T454" s="64"/>
      <c r="U454" s="64"/>
    </row>
    <row r="455" spans="1:21" s="71" customFormat="1" hidden="1">
      <c r="A455" s="64"/>
      <c r="B455" s="876"/>
      <c r="C455" s="128"/>
      <c r="D455" s="128"/>
      <c r="E455" s="128"/>
      <c r="N455" s="876"/>
      <c r="P455" s="877"/>
      <c r="R455" s="64"/>
      <c r="S455" s="64"/>
      <c r="T455" s="64"/>
      <c r="U455" s="64"/>
    </row>
    <row r="456" spans="1:21" s="71" customFormat="1" hidden="1">
      <c r="A456" s="64"/>
      <c r="B456" s="876"/>
      <c r="C456" s="128"/>
      <c r="D456" s="128"/>
      <c r="E456" s="128"/>
      <c r="N456" s="876"/>
      <c r="P456" s="877"/>
      <c r="R456" s="64"/>
      <c r="S456" s="64"/>
      <c r="T456" s="64"/>
      <c r="U456" s="64"/>
    </row>
    <row r="457" spans="1:21" s="71" customFormat="1" hidden="1">
      <c r="A457" s="64"/>
      <c r="B457" s="876"/>
      <c r="C457" s="128"/>
      <c r="D457" s="128"/>
      <c r="E457" s="128"/>
      <c r="N457" s="876"/>
      <c r="P457" s="877"/>
      <c r="R457" s="64"/>
      <c r="S457" s="64"/>
      <c r="T457" s="64"/>
      <c r="U457" s="64"/>
    </row>
    <row r="458" spans="1:21" s="71" customFormat="1" hidden="1">
      <c r="A458" s="64"/>
      <c r="B458" s="876"/>
      <c r="C458" s="128"/>
      <c r="D458" s="128"/>
      <c r="E458" s="128"/>
      <c r="N458" s="876"/>
      <c r="P458" s="877"/>
      <c r="R458" s="64"/>
      <c r="S458" s="64"/>
      <c r="T458" s="64"/>
      <c r="U458" s="64"/>
    </row>
    <row r="459" spans="1:21" s="71" customFormat="1" hidden="1">
      <c r="A459" s="64"/>
      <c r="B459" s="876"/>
      <c r="C459" s="128"/>
      <c r="D459" s="128"/>
      <c r="E459" s="128"/>
      <c r="N459" s="876"/>
      <c r="P459" s="877"/>
      <c r="R459" s="64"/>
      <c r="S459" s="64"/>
      <c r="T459" s="64"/>
      <c r="U459" s="64"/>
    </row>
    <row r="460" spans="1:21" s="71" customFormat="1" hidden="1">
      <c r="A460" s="64"/>
      <c r="B460" s="876"/>
      <c r="C460" s="128"/>
      <c r="D460" s="128"/>
      <c r="E460" s="128"/>
      <c r="N460" s="876"/>
      <c r="P460" s="877"/>
      <c r="R460" s="64"/>
      <c r="S460" s="64"/>
      <c r="T460" s="64"/>
      <c r="U460" s="64"/>
    </row>
    <row r="461" spans="1:21" s="71" customFormat="1" hidden="1">
      <c r="A461" s="64"/>
      <c r="B461" s="876"/>
      <c r="C461" s="128"/>
      <c r="D461" s="128"/>
      <c r="E461" s="128"/>
      <c r="N461" s="876"/>
      <c r="P461" s="877"/>
      <c r="R461" s="64"/>
      <c r="S461" s="64"/>
      <c r="T461" s="64"/>
      <c r="U461" s="64"/>
    </row>
    <row r="462" spans="1:21" s="71" customFormat="1" hidden="1">
      <c r="A462" s="64"/>
      <c r="B462" s="876"/>
      <c r="C462" s="128"/>
      <c r="D462" s="128"/>
      <c r="E462" s="128"/>
      <c r="N462" s="876"/>
      <c r="P462" s="877"/>
      <c r="R462" s="64"/>
      <c r="S462" s="64"/>
      <c r="T462" s="64"/>
      <c r="U462" s="64"/>
    </row>
    <row r="463" spans="1:21" s="71" customFormat="1" hidden="1">
      <c r="A463" s="64"/>
      <c r="B463" s="876"/>
      <c r="C463" s="128"/>
      <c r="D463" s="128"/>
      <c r="E463" s="128"/>
      <c r="N463" s="876"/>
      <c r="P463" s="877"/>
      <c r="R463" s="64"/>
      <c r="S463" s="64"/>
      <c r="T463" s="64"/>
      <c r="U463" s="64"/>
    </row>
    <row r="464" spans="1:21" s="71" customFormat="1" hidden="1">
      <c r="A464" s="64"/>
      <c r="B464" s="876"/>
      <c r="C464" s="128"/>
      <c r="D464" s="128"/>
      <c r="E464" s="128"/>
      <c r="N464" s="876"/>
      <c r="P464" s="877"/>
      <c r="R464" s="64"/>
      <c r="S464" s="64"/>
      <c r="T464" s="64"/>
      <c r="U464" s="64"/>
    </row>
    <row r="465" spans="1:21" s="71" customFormat="1" hidden="1">
      <c r="A465" s="64"/>
      <c r="B465" s="876"/>
      <c r="C465" s="128"/>
      <c r="D465" s="128"/>
      <c r="E465" s="128"/>
      <c r="N465" s="876"/>
      <c r="P465" s="877"/>
      <c r="R465" s="64"/>
      <c r="S465" s="64"/>
      <c r="T465" s="64"/>
      <c r="U465" s="64"/>
    </row>
    <row r="466" spans="1:21" s="71" customFormat="1" hidden="1">
      <c r="A466" s="64"/>
      <c r="B466" s="876"/>
      <c r="C466" s="128"/>
      <c r="D466" s="128"/>
      <c r="E466" s="128"/>
      <c r="N466" s="876"/>
      <c r="P466" s="877"/>
      <c r="R466" s="64"/>
      <c r="S466" s="64"/>
      <c r="T466" s="64"/>
      <c r="U466" s="64"/>
    </row>
    <row r="467" spans="1:21" s="71" customFormat="1" hidden="1">
      <c r="A467" s="64"/>
      <c r="B467" s="876"/>
      <c r="C467" s="128"/>
      <c r="D467" s="128"/>
      <c r="E467" s="128"/>
      <c r="N467" s="876"/>
      <c r="P467" s="877"/>
      <c r="R467" s="64"/>
      <c r="S467" s="64"/>
      <c r="T467" s="64"/>
      <c r="U467" s="64"/>
    </row>
    <row r="468" spans="1:21" s="71" customFormat="1" hidden="1">
      <c r="A468" s="64"/>
      <c r="B468" s="876"/>
      <c r="C468" s="128"/>
      <c r="D468" s="128"/>
      <c r="E468" s="128"/>
      <c r="N468" s="876"/>
      <c r="P468" s="877"/>
      <c r="R468" s="64"/>
      <c r="S468" s="64"/>
      <c r="T468" s="64"/>
      <c r="U468" s="64"/>
    </row>
    <row r="469" spans="1:21" s="71" customFormat="1" hidden="1">
      <c r="A469" s="64"/>
      <c r="B469" s="876"/>
      <c r="C469" s="128"/>
      <c r="D469" s="128"/>
      <c r="E469" s="128"/>
      <c r="N469" s="876"/>
      <c r="P469" s="877"/>
      <c r="R469" s="64"/>
      <c r="S469" s="64"/>
      <c r="T469" s="64"/>
      <c r="U469" s="64"/>
    </row>
    <row r="470" spans="1:21" s="71" customFormat="1" hidden="1">
      <c r="A470" s="64"/>
      <c r="B470" s="876"/>
      <c r="C470" s="128"/>
      <c r="D470" s="128"/>
      <c r="E470" s="128"/>
      <c r="N470" s="876"/>
      <c r="P470" s="877"/>
      <c r="R470" s="64"/>
      <c r="S470" s="64"/>
      <c r="T470" s="64"/>
      <c r="U470" s="64"/>
    </row>
    <row r="471" spans="1:21" s="71" customFormat="1" hidden="1">
      <c r="A471" s="64"/>
      <c r="B471" s="876"/>
      <c r="C471" s="128"/>
      <c r="D471" s="128"/>
      <c r="E471" s="128"/>
      <c r="N471" s="876"/>
      <c r="P471" s="877"/>
      <c r="R471" s="64"/>
      <c r="S471" s="64"/>
      <c r="T471" s="64"/>
      <c r="U471" s="64"/>
    </row>
    <row r="472" spans="1:21" s="71" customFormat="1" hidden="1">
      <c r="A472" s="64"/>
      <c r="B472" s="876"/>
      <c r="C472" s="128"/>
      <c r="D472" s="128"/>
      <c r="E472" s="128"/>
      <c r="N472" s="876"/>
      <c r="P472" s="877"/>
      <c r="R472" s="64"/>
      <c r="S472" s="64"/>
      <c r="T472" s="64"/>
      <c r="U472" s="64"/>
    </row>
    <row r="473" spans="1:21" s="71" customFormat="1" hidden="1">
      <c r="A473" s="64"/>
      <c r="B473" s="876"/>
      <c r="C473" s="128"/>
      <c r="D473" s="128"/>
      <c r="E473" s="128"/>
      <c r="N473" s="876"/>
      <c r="P473" s="877"/>
      <c r="R473" s="64"/>
      <c r="S473" s="64"/>
      <c r="T473" s="64"/>
      <c r="U473" s="64"/>
    </row>
    <row r="474" spans="1:21" s="71" customFormat="1" hidden="1">
      <c r="A474" s="64"/>
      <c r="B474" s="876"/>
      <c r="C474" s="128"/>
      <c r="D474" s="128"/>
      <c r="E474" s="128"/>
      <c r="N474" s="876"/>
      <c r="P474" s="877"/>
      <c r="R474" s="64"/>
      <c r="S474" s="64"/>
      <c r="T474" s="64"/>
      <c r="U474" s="64"/>
    </row>
    <row r="475" spans="1:21" s="71" customFormat="1" hidden="1">
      <c r="A475" s="64"/>
      <c r="B475" s="876"/>
      <c r="C475" s="128"/>
      <c r="D475" s="128"/>
      <c r="E475" s="128"/>
      <c r="N475" s="876"/>
      <c r="P475" s="877"/>
      <c r="R475" s="64"/>
      <c r="S475" s="64"/>
      <c r="T475" s="64"/>
      <c r="U475" s="64"/>
    </row>
    <row r="476" spans="1:21" s="71" customFormat="1" hidden="1">
      <c r="A476" s="64"/>
      <c r="B476" s="876"/>
      <c r="C476" s="128"/>
      <c r="D476" s="128"/>
      <c r="E476" s="128"/>
      <c r="N476" s="876"/>
      <c r="P476" s="877"/>
      <c r="R476" s="64"/>
      <c r="S476" s="64"/>
      <c r="T476" s="64"/>
      <c r="U476" s="64"/>
    </row>
    <row r="477" spans="1:21" s="71" customFormat="1" hidden="1">
      <c r="A477" s="64"/>
      <c r="B477" s="876"/>
      <c r="C477" s="128"/>
      <c r="D477" s="128"/>
      <c r="E477" s="128"/>
      <c r="N477" s="876"/>
      <c r="P477" s="877"/>
      <c r="R477" s="64"/>
      <c r="S477" s="64"/>
      <c r="T477" s="64"/>
      <c r="U477" s="64"/>
    </row>
    <row r="478" spans="1:21" s="71" customFormat="1" hidden="1">
      <c r="A478" s="64"/>
      <c r="B478" s="876"/>
      <c r="C478" s="128"/>
      <c r="D478" s="128"/>
      <c r="E478" s="128"/>
      <c r="N478" s="876"/>
      <c r="P478" s="877"/>
      <c r="R478" s="64"/>
      <c r="S478" s="64"/>
      <c r="T478" s="64"/>
      <c r="U478" s="64"/>
    </row>
    <row r="479" spans="1:21" s="71" customFormat="1" hidden="1">
      <c r="A479" s="64"/>
      <c r="B479" s="876"/>
      <c r="C479" s="128"/>
      <c r="D479" s="128"/>
      <c r="E479" s="128"/>
      <c r="N479" s="876"/>
      <c r="P479" s="877"/>
      <c r="R479" s="64"/>
      <c r="S479" s="64"/>
      <c r="T479" s="64"/>
      <c r="U479" s="64"/>
    </row>
    <row r="480" spans="1:21" s="71" customFormat="1" hidden="1">
      <c r="A480" s="64"/>
      <c r="B480" s="876"/>
      <c r="C480" s="128"/>
      <c r="D480" s="128"/>
      <c r="E480" s="128"/>
      <c r="N480" s="876"/>
      <c r="P480" s="877"/>
      <c r="R480" s="64"/>
      <c r="S480" s="64"/>
      <c r="T480" s="64"/>
      <c r="U480" s="64"/>
    </row>
    <row r="481" spans="1:21" s="71" customFormat="1" hidden="1">
      <c r="A481" s="64"/>
      <c r="B481" s="876"/>
      <c r="C481" s="128"/>
      <c r="D481" s="128"/>
      <c r="E481" s="128"/>
      <c r="N481" s="876"/>
      <c r="P481" s="877"/>
      <c r="R481" s="64"/>
      <c r="S481" s="64"/>
      <c r="T481" s="64"/>
      <c r="U481" s="64"/>
    </row>
    <row r="482" spans="1:21" s="71" customFormat="1" hidden="1">
      <c r="A482" s="64"/>
      <c r="B482" s="876"/>
      <c r="C482" s="128"/>
      <c r="D482" s="128"/>
      <c r="E482" s="128"/>
      <c r="N482" s="876"/>
      <c r="P482" s="877"/>
      <c r="R482" s="64"/>
      <c r="S482" s="64"/>
      <c r="T482" s="64"/>
      <c r="U482" s="64"/>
    </row>
    <row r="483" spans="1:21" s="71" customFormat="1" hidden="1">
      <c r="A483" s="64"/>
      <c r="B483" s="876"/>
      <c r="C483" s="128"/>
      <c r="D483" s="128"/>
      <c r="E483" s="128"/>
      <c r="N483" s="876"/>
      <c r="P483" s="877"/>
      <c r="R483" s="64"/>
      <c r="S483" s="64"/>
      <c r="T483" s="64"/>
      <c r="U483" s="64"/>
    </row>
    <row r="484" spans="1:21" s="71" customFormat="1" hidden="1">
      <c r="A484" s="64"/>
      <c r="B484" s="876"/>
      <c r="C484" s="128"/>
      <c r="D484" s="128"/>
      <c r="E484" s="128"/>
      <c r="N484" s="876"/>
      <c r="P484" s="877"/>
      <c r="R484" s="64"/>
      <c r="S484" s="64"/>
      <c r="T484" s="64"/>
      <c r="U484" s="64"/>
    </row>
    <row r="485" spans="1:21" s="71" customFormat="1" hidden="1">
      <c r="A485" s="64"/>
      <c r="B485" s="876"/>
      <c r="C485" s="128"/>
      <c r="D485" s="128"/>
      <c r="E485" s="128"/>
      <c r="N485" s="876"/>
      <c r="P485" s="877"/>
      <c r="R485" s="64"/>
      <c r="S485" s="64"/>
      <c r="T485" s="64"/>
      <c r="U485" s="64"/>
    </row>
    <row r="486" spans="1:21" s="71" customFormat="1" hidden="1">
      <c r="A486" s="64"/>
      <c r="B486" s="876"/>
      <c r="C486" s="128"/>
      <c r="D486" s="128"/>
      <c r="E486" s="128"/>
      <c r="N486" s="876"/>
      <c r="P486" s="877"/>
      <c r="R486" s="64"/>
      <c r="S486" s="64"/>
      <c r="T486" s="64"/>
      <c r="U486" s="64"/>
    </row>
    <row r="487" spans="1:21" s="71" customFormat="1" hidden="1">
      <c r="A487" s="64"/>
      <c r="B487" s="876"/>
      <c r="C487" s="128"/>
      <c r="D487" s="128"/>
      <c r="E487" s="128"/>
      <c r="N487" s="876"/>
      <c r="P487" s="877"/>
      <c r="R487" s="64"/>
      <c r="S487" s="64"/>
      <c r="T487" s="64"/>
      <c r="U487" s="64"/>
    </row>
    <row r="488" spans="1:21" s="71" customFormat="1" hidden="1">
      <c r="A488" s="64"/>
      <c r="B488" s="876"/>
      <c r="C488" s="128"/>
      <c r="D488" s="128"/>
      <c r="E488" s="128"/>
      <c r="N488" s="876"/>
      <c r="P488" s="877"/>
      <c r="R488" s="64"/>
      <c r="S488" s="64"/>
      <c r="T488" s="64"/>
      <c r="U488" s="64"/>
    </row>
    <row r="489" spans="1:21" s="71" customFormat="1" hidden="1">
      <c r="A489" s="64"/>
      <c r="B489" s="876"/>
      <c r="C489" s="128"/>
      <c r="D489" s="128"/>
      <c r="E489" s="128"/>
      <c r="N489" s="876"/>
      <c r="P489" s="877"/>
      <c r="R489" s="64"/>
      <c r="S489" s="64"/>
      <c r="T489" s="64"/>
      <c r="U489" s="64"/>
    </row>
    <row r="490" spans="1:21" s="71" customFormat="1" hidden="1">
      <c r="A490" s="64"/>
      <c r="B490" s="876"/>
      <c r="C490" s="128"/>
      <c r="D490" s="128"/>
      <c r="E490" s="128"/>
      <c r="N490" s="876"/>
      <c r="P490" s="877"/>
      <c r="R490" s="64"/>
      <c r="S490" s="64"/>
      <c r="T490" s="64"/>
      <c r="U490" s="64"/>
    </row>
    <row r="491" spans="1:21" s="71" customFormat="1" hidden="1">
      <c r="A491" s="64"/>
      <c r="B491" s="876"/>
      <c r="C491" s="128"/>
      <c r="D491" s="128"/>
      <c r="E491" s="128"/>
      <c r="N491" s="876"/>
      <c r="P491" s="877"/>
      <c r="R491" s="64"/>
      <c r="S491" s="64"/>
      <c r="T491" s="64"/>
      <c r="U491" s="64"/>
    </row>
    <row r="492" spans="1:21" s="71" customFormat="1" hidden="1">
      <c r="A492" s="64"/>
      <c r="B492" s="876"/>
      <c r="C492" s="128"/>
      <c r="D492" s="128"/>
      <c r="E492" s="128"/>
      <c r="N492" s="876"/>
      <c r="P492" s="877"/>
      <c r="R492" s="64"/>
      <c r="S492" s="64"/>
      <c r="T492" s="64"/>
      <c r="U492" s="64"/>
    </row>
    <row r="493" spans="1:21" s="71" customFormat="1" hidden="1">
      <c r="A493" s="64"/>
      <c r="B493" s="876"/>
      <c r="C493" s="128"/>
      <c r="D493" s="128"/>
      <c r="E493" s="128"/>
      <c r="N493" s="876"/>
      <c r="P493" s="877"/>
      <c r="R493" s="64"/>
      <c r="S493" s="64"/>
      <c r="T493" s="64"/>
      <c r="U493" s="64"/>
    </row>
    <row r="494" spans="1:21" s="71" customFormat="1" hidden="1">
      <c r="A494" s="64"/>
      <c r="B494" s="876"/>
      <c r="C494" s="128"/>
      <c r="D494" s="128"/>
      <c r="E494" s="128"/>
      <c r="N494" s="876"/>
      <c r="P494" s="877"/>
      <c r="R494" s="64"/>
      <c r="S494" s="64"/>
      <c r="T494" s="64"/>
      <c r="U494" s="64"/>
    </row>
    <row r="495" spans="1:21" s="71" customFormat="1" hidden="1">
      <c r="A495" s="64"/>
      <c r="B495" s="876"/>
      <c r="C495" s="128"/>
      <c r="D495" s="128"/>
      <c r="E495" s="128"/>
      <c r="N495" s="876"/>
      <c r="P495" s="877"/>
      <c r="R495" s="64"/>
      <c r="S495" s="64"/>
      <c r="T495" s="64"/>
      <c r="U495" s="64"/>
    </row>
    <row r="496" spans="1:21" s="71" customFormat="1" hidden="1">
      <c r="A496" s="64"/>
      <c r="B496" s="876"/>
      <c r="C496" s="128"/>
      <c r="D496" s="128"/>
      <c r="E496" s="128"/>
      <c r="N496" s="876"/>
      <c r="P496" s="877"/>
      <c r="R496" s="64"/>
      <c r="S496" s="64"/>
      <c r="T496" s="64"/>
      <c r="U496" s="64"/>
    </row>
    <row r="497" spans="1:21" s="71" customFormat="1" hidden="1">
      <c r="A497" s="64"/>
      <c r="B497" s="876"/>
      <c r="C497" s="128"/>
      <c r="D497" s="128"/>
      <c r="E497" s="128"/>
      <c r="N497" s="876"/>
      <c r="P497" s="877"/>
      <c r="R497" s="64"/>
      <c r="S497" s="64"/>
      <c r="T497" s="64"/>
      <c r="U497" s="64"/>
    </row>
    <row r="498" spans="1:21" s="71" customFormat="1" hidden="1">
      <c r="A498" s="64"/>
      <c r="B498" s="876"/>
      <c r="C498" s="128"/>
      <c r="D498" s="128"/>
      <c r="E498" s="128"/>
      <c r="N498" s="876"/>
      <c r="P498" s="877"/>
      <c r="R498" s="64"/>
      <c r="S498" s="64"/>
      <c r="T498" s="64"/>
      <c r="U498" s="64"/>
    </row>
    <row r="499" spans="1:21" s="71" customFormat="1" hidden="1">
      <c r="A499" s="64"/>
      <c r="B499" s="876"/>
      <c r="C499" s="128"/>
      <c r="D499" s="128"/>
      <c r="E499" s="128"/>
      <c r="N499" s="876"/>
      <c r="P499" s="877"/>
      <c r="R499" s="64"/>
      <c r="S499" s="64"/>
      <c r="T499" s="64"/>
      <c r="U499" s="64"/>
    </row>
    <row r="500" spans="1:21" s="71" customFormat="1" hidden="1">
      <c r="A500" s="64"/>
      <c r="B500" s="876"/>
      <c r="C500" s="128"/>
      <c r="D500" s="128"/>
      <c r="E500" s="128"/>
      <c r="N500" s="876"/>
      <c r="P500" s="877"/>
      <c r="R500" s="64"/>
      <c r="S500" s="64"/>
      <c r="T500" s="64"/>
      <c r="U500" s="64"/>
    </row>
    <row r="501" spans="1:21" s="71" customFormat="1" hidden="1">
      <c r="A501" s="64"/>
      <c r="B501" s="876"/>
      <c r="C501" s="128"/>
      <c r="D501" s="128"/>
      <c r="E501" s="128"/>
      <c r="N501" s="876"/>
      <c r="P501" s="877"/>
      <c r="R501" s="64"/>
      <c r="S501" s="64"/>
      <c r="T501" s="64"/>
      <c r="U501" s="64"/>
    </row>
    <row r="502" spans="1:21" s="71" customFormat="1" hidden="1">
      <c r="A502" s="64"/>
      <c r="B502" s="876"/>
      <c r="C502" s="128"/>
      <c r="D502" s="128"/>
      <c r="E502" s="128"/>
      <c r="N502" s="876"/>
      <c r="P502" s="877"/>
      <c r="R502" s="64"/>
      <c r="S502" s="64"/>
      <c r="T502" s="64"/>
      <c r="U502" s="64"/>
    </row>
    <row r="503" spans="1:21" s="71" customFormat="1" hidden="1">
      <c r="A503" s="64"/>
      <c r="B503" s="876"/>
      <c r="C503" s="128"/>
      <c r="D503" s="128"/>
      <c r="E503" s="128"/>
      <c r="N503" s="876"/>
      <c r="P503" s="877"/>
      <c r="R503" s="64"/>
      <c r="S503" s="64"/>
      <c r="T503" s="64"/>
      <c r="U503" s="64"/>
    </row>
    <row r="504" spans="1:21" s="71" customFormat="1" hidden="1">
      <c r="A504" s="64"/>
      <c r="B504" s="876"/>
      <c r="C504" s="128"/>
      <c r="D504" s="128"/>
      <c r="E504" s="128"/>
      <c r="N504" s="876"/>
      <c r="P504" s="877"/>
      <c r="R504" s="64"/>
      <c r="S504" s="64"/>
      <c r="T504" s="64"/>
      <c r="U504" s="64"/>
    </row>
    <row r="505" spans="1:21" s="71" customFormat="1" hidden="1">
      <c r="A505" s="64"/>
      <c r="B505" s="876"/>
      <c r="C505" s="128"/>
      <c r="D505" s="128"/>
      <c r="E505" s="128"/>
      <c r="N505" s="876"/>
      <c r="P505" s="877"/>
      <c r="R505" s="64"/>
      <c r="S505" s="64"/>
      <c r="T505" s="64"/>
      <c r="U505" s="64"/>
    </row>
    <row r="506" spans="1:21" s="71" customFormat="1" hidden="1">
      <c r="A506" s="64"/>
      <c r="B506" s="876"/>
      <c r="C506" s="128"/>
      <c r="D506" s="128"/>
      <c r="E506" s="128"/>
      <c r="N506" s="876"/>
      <c r="P506" s="877"/>
      <c r="R506" s="64"/>
      <c r="S506" s="64"/>
      <c r="T506" s="64"/>
      <c r="U506" s="64"/>
    </row>
    <row r="507" spans="1:21" s="71" customFormat="1" hidden="1">
      <c r="A507" s="64"/>
      <c r="B507" s="876"/>
      <c r="C507" s="128"/>
      <c r="D507" s="128"/>
      <c r="E507" s="128"/>
      <c r="N507" s="876"/>
      <c r="P507" s="877"/>
      <c r="R507" s="64"/>
      <c r="S507" s="64"/>
      <c r="T507" s="64"/>
      <c r="U507" s="64"/>
    </row>
    <row r="508" spans="1:21" s="71" customFormat="1" hidden="1">
      <c r="A508" s="64"/>
      <c r="B508" s="876"/>
      <c r="C508" s="128"/>
      <c r="D508" s="128"/>
      <c r="E508" s="128"/>
      <c r="N508" s="876"/>
      <c r="P508" s="877"/>
      <c r="R508" s="64"/>
      <c r="S508" s="64"/>
      <c r="T508" s="64"/>
      <c r="U508" s="64"/>
    </row>
    <row r="509" spans="1:21" s="71" customFormat="1" hidden="1">
      <c r="A509" s="64"/>
      <c r="B509" s="876"/>
      <c r="C509" s="128"/>
      <c r="D509" s="128"/>
      <c r="E509" s="128"/>
      <c r="N509" s="876"/>
      <c r="P509" s="877"/>
      <c r="R509" s="64"/>
      <c r="S509" s="64"/>
      <c r="T509" s="64"/>
      <c r="U509" s="64"/>
    </row>
    <row r="510" spans="1:21" s="71" customFormat="1" hidden="1">
      <c r="A510" s="64"/>
      <c r="B510" s="876"/>
      <c r="C510" s="128"/>
      <c r="D510" s="128"/>
      <c r="E510" s="128"/>
      <c r="N510" s="876"/>
      <c r="P510" s="877"/>
      <c r="R510" s="64"/>
      <c r="S510" s="64"/>
      <c r="T510" s="64"/>
      <c r="U510" s="64"/>
    </row>
    <row r="511" spans="1:21" s="71" customFormat="1" hidden="1">
      <c r="A511" s="64"/>
      <c r="B511" s="876"/>
      <c r="C511" s="128"/>
      <c r="D511" s="128"/>
      <c r="E511" s="128"/>
      <c r="N511" s="876"/>
      <c r="P511" s="877"/>
      <c r="R511" s="64"/>
      <c r="S511" s="64"/>
      <c r="T511" s="64"/>
      <c r="U511" s="64"/>
    </row>
    <row r="512" spans="1:21" s="71" customFormat="1" hidden="1">
      <c r="A512" s="64"/>
      <c r="B512" s="876"/>
      <c r="C512" s="128"/>
      <c r="D512" s="128"/>
      <c r="E512" s="128"/>
      <c r="N512" s="876"/>
      <c r="P512" s="877"/>
      <c r="R512" s="64"/>
      <c r="S512" s="64"/>
      <c r="T512" s="64"/>
      <c r="U512" s="64"/>
    </row>
    <row r="513" spans="1:21" s="71" customFormat="1" hidden="1">
      <c r="A513" s="64"/>
      <c r="B513" s="876"/>
      <c r="C513" s="128"/>
      <c r="D513" s="128"/>
      <c r="E513" s="128"/>
      <c r="N513" s="876"/>
      <c r="P513" s="877"/>
      <c r="R513" s="64"/>
      <c r="S513" s="64"/>
      <c r="T513" s="64"/>
      <c r="U513" s="64"/>
    </row>
    <row r="514" spans="1:21" s="71" customFormat="1" hidden="1">
      <c r="A514" s="64"/>
      <c r="B514" s="876"/>
      <c r="C514" s="128"/>
      <c r="D514" s="128"/>
      <c r="E514" s="128"/>
      <c r="N514" s="876"/>
      <c r="P514" s="877"/>
      <c r="R514" s="64"/>
      <c r="S514" s="64"/>
      <c r="T514" s="64"/>
      <c r="U514" s="64"/>
    </row>
    <row r="515" spans="1:21" s="71" customFormat="1" hidden="1">
      <c r="A515" s="64"/>
      <c r="B515" s="876"/>
      <c r="C515" s="128"/>
      <c r="D515" s="128"/>
      <c r="E515" s="128"/>
      <c r="N515" s="876"/>
      <c r="P515" s="877"/>
      <c r="R515" s="64"/>
      <c r="S515" s="64"/>
      <c r="T515" s="64"/>
      <c r="U515" s="64"/>
    </row>
    <row r="516" spans="1:21" s="71" customFormat="1" hidden="1">
      <c r="A516" s="64"/>
      <c r="B516" s="876"/>
      <c r="C516" s="128"/>
      <c r="D516" s="128"/>
      <c r="E516" s="128"/>
      <c r="N516" s="876"/>
      <c r="P516" s="877"/>
      <c r="R516" s="64"/>
      <c r="S516" s="64"/>
      <c r="T516" s="64"/>
      <c r="U516" s="64"/>
    </row>
    <row r="517" spans="1:21" s="71" customFormat="1" hidden="1">
      <c r="A517" s="64"/>
      <c r="B517" s="876"/>
      <c r="C517" s="128"/>
      <c r="D517" s="128"/>
      <c r="E517" s="128"/>
      <c r="N517" s="876"/>
      <c r="P517" s="877"/>
      <c r="R517" s="64"/>
      <c r="S517" s="64"/>
      <c r="T517" s="64"/>
      <c r="U517" s="64"/>
    </row>
    <row r="518" spans="1:21" s="71" customFormat="1" hidden="1">
      <c r="A518" s="64"/>
      <c r="B518" s="876"/>
      <c r="C518" s="128"/>
      <c r="D518" s="128"/>
      <c r="E518" s="128"/>
      <c r="N518" s="876"/>
      <c r="P518" s="877"/>
      <c r="R518" s="64"/>
      <c r="S518" s="64"/>
      <c r="T518" s="64"/>
      <c r="U518" s="64"/>
    </row>
    <row r="519" spans="1:21" s="71" customFormat="1" hidden="1">
      <c r="A519" s="64"/>
      <c r="B519" s="876"/>
      <c r="C519" s="128"/>
      <c r="D519" s="128"/>
      <c r="E519" s="128"/>
      <c r="N519" s="876"/>
      <c r="P519" s="877"/>
      <c r="R519" s="64"/>
      <c r="S519" s="64"/>
      <c r="T519" s="64"/>
      <c r="U519" s="64"/>
    </row>
    <row r="520" spans="1:21" s="71" customFormat="1" hidden="1">
      <c r="A520" s="64"/>
      <c r="B520" s="876"/>
      <c r="C520" s="128"/>
      <c r="D520" s="128"/>
      <c r="E520" s="128"/>
      <c r="N520" s="876"/>
      <c r="P520" s="877"/>
      <c r="R520" s="64"/>
      <c r="S520" s="64"/>
      <c r="T520" s="64"/>
      <c r="U520" s="64"/>
    </row>
    <row r="521" spans="1:21" s="71" customFormat="1" hidden="1">
      <c r="A521" s="64"/>
      <c r="B521" s="876"/>
      <c r="C521" s="128"/>
      <c r="D521" s="128"/>
      <c r="E521" s="128"/>
      <c r="N521" s="876"/>
      <c r="P521" s="877"/>
      <c r="R521" s="64"/>
      <c r="S521" s="64"/>
      <c r="T521" s="64"/>
      <c r="U521" s="64"/>
    </row>
    <row r="522" spans="1:21" s="71" customFormat="1" hidden="1">
      <c r="A522" s="64"/>
      <c r="B522" s="876"/>
      <c r="C522" s="128"/>
      <c r="D522" s="128"/>
      <c r="E522" s="128"/>
      <c r="N522" s="876"/>
      <c r="P522" s="877"/>
      <c r="R522" s="64"/>
      <c r="S522" s="64"/>
      <c r="T522" s="64"/>
      <c r="U522" s="64"/>
    </row>
    <row r="523" spans="1:21" s="71" customFormat="1" hidden="1">
      <c r="A523" s="64"/>
      <c r="B523" s="876"/>
      <c r="C523" s="128"/>
      <c r="D523" s="128"/>
      <c r="E523" s="128"/>
      <c r="N523" s="876"/>
      <c r="P523" s="877"/>
      <c r="R523" s="64"/>
      <c r="S523" s="64"/>
      <c r="T523" s="64"/>
      <c r="U523" s="64"/>
    </row>
    <row r="524" spans="1:21" s="71" customFormat="1" hidden="1">
      <c r="A524" s="64"/>
      <c r="B524" s="876"/>
      <c r="C524" s="128"/>
      <c r="D524" s="128"/>
      <c r="E524" s="128"/>
      <c r="N524" s="876"/>
      <c r="P524" s="877"/>
      <c r="R524" s="64"/>
      <c r="S524" s="64"/>
      <c r="T524" s="64"/>
      <c r="U524" s="64"/>
    </row>
    <row r="525" spans="1:21" s="71" customFormat="1" hidden="1">
      <c r="A525" s="64"/>
      <c r="B525" s="876"/>
      <c r="C525" s="128"/>
      <c r="D525" s="128"/>
      <c r="E525" s="128"/>
      <c r="N525" s="876"/>
      <c r="P525" s="877"/>
      <c r="R525" s="64"/>
      <c r="S525" s="64"/>
      <c r="T525" s="64"/>
      <c r="U525" s="64"/>
    </row>
    <row r="526" spans="1:21" s="71" customFormat="1" hidden="1">
      <c r="A526" s="64"/>
      <c r="B526" s="876"/>
      <c r="C526" s="128"/>
      <c r="D526" s="128"/>
      <c r="E526" s="128"/>
      <c r="N526" s="876"/>
      <c r="P526" s="877"/>
      <c r="R526" s="64"/>
      <c r="S526" s="64"/>
      <c r="T526" s="64"/>
      <c r="U526" s="64"/>
    </row>
    <row r="527" spans="1:21" s="71" customFormat="1" hidden="1">
      <c r="A527" s="64"/>
      <c r="B527" s="876"/>
      <c r="C527" s="128"/>
      <c r="D527" s="128"/>
      <c r="E527" s="128"/>
      <c r="N527" s="876"/>
      <c r="P527" s="877"/>
      <c r="R527" s="64"/>
      <c r="S527" s="64"/>
      <c r="T527" s="64"/>
      <c r="U527" s="64"/>
    </row>
    <row r="528" spans="1:21" s="71" customFormat="1" hidden="1">
      <c r="A528" s="64"/>
      <c r="B528" s="876"/>
      <c r="C528" s="128"/>
      <c r="D528" s="128"/>
      <c r="E528" s="128"/>
      <c r="N528" s="876"/>
      <c r="P528" s="877"/>
      <c r="R528" s="64"/>
      <c r="S528" s="64"/>
      <c r="T528" s="64"/>
      <c r="U528" s="64"/>
    </row>
    <row r="529" spans="1:21" s="71" customFormat="1" hidden="1">
      <c r="A529" s="64"/>
      <c r="B529" s="876"/>
      <c r="C529" s="128"/>
      <c r="D529" s="128"/>
      <c r="E529" s="128"/>
      <c r="N529" s="876"/>
      <c r="P529" s="877"/>
      <c r="R529" s="64"/>
      <c r="S529" s="64"/>
      <c r="T529" s="64"/>
      <c r="U529" s="64"/>
    </row>
    <row r="530" spans="1:21" s="71" customFormat="1" hidden="1">
      <c r="A530" s="64"/>
      <c r="B530" s="876"/>
      <c r="C530" s="128"/>
      <c r="D530" s="128"/>
      <c r="E530" s="128"/>
      <c r="N530" s="876"/>
      <c r="P530" s="877"/>
      <c r="R530" s="64"/>
      <c r="S530" s="64"/>
      <c r="T530" s="64"/>
      <c r="U530" s="64"/>
    </row>
    <row r="531" spans="1:21" s="71" customFormat="1" hidden="1">
      <c r="A531" s="64"/>
      <c r="B531" s="876"/>
      <c r="C531" s="128"/>
      <c r="D531" s="128"/>
      <c r="E531" s="128"/>
      <c r="N531" s="876"/>
      <c r="P531" s="877"/>
      <c r="R531" s="64"/>
      <c r="S531" s="64"/>
      <c r="T531" s="64"/>
      <c r="U531" s="64"/>
    </row>
    <row r="532" spans="1:21" s="71" customFormat="1" hidden="1">
      <c r="A532" s="64"/>
      <c r="B532" s="876"/>
      <c r="C532" s="128"/>
      <c r="D532" s="128"/>
      <c r="E532" s="128"/>
      <c r="N532" s="876"/>
      <c r="P532" s="877"/>
      <c r="R532" s="64"/>
      <c r="S532" s="64"/>
      <c r="T532" s="64"/>
      <c r="U532" s="64"/>
    </row>
    <row r="533" spans="1:21" s="71" customFormat="1" hidden="1">
      <c r="A533" s="64"/>
      <c r="B533" s="876"/>
      <c r="C533" s="128"/>
      <c r="D533" s="128"/>
      <c r="E533" s="128"/>
      <c r="N533" s="876"/>
      <c r="P533" s="877"/>
      <c r="R533" s="64"/>
      <c r="S533" s="64"/>
      <c r="T533" s="64"/>
      <c r="U533" s="64"/>
    </row>
    <row r="534" spans="1:21" s="71" customFormat="1" hidden="1">
      <c r="A534" s="64"/>
      <c r="B534" s="876"/>
      <c r="C534" s="128"/>
      <c r="D534" s="128"/>
      <c r="E534" s="128"/>
      <c r="N534" s="876"/>
      <c r="P534" s="877"/>
      <c r="R534" s="64"/>
      <c r="S534" s="64"/>
      <c r="T534" s="64"/>
      <c r="U534" s="64"/>
    </row>
    <row r="535" spans="1:21" s="71" customFormat="1" hidden="1">
      <c r="A535" s="64"/>
      <c r="B535" s="876"/>
      <c r="C535" s="128"/>
      <c r="D535" s="128"/>
      <c r="E535" s="128"/>
      <c r="N535" s="876"/>
      <c r="P535" s="877"/>
      <c r="R535" s="64"/>
      <c r="S535" s="64"/>
      <c r="T535" s="64"/>
      <c r="U535" s="64"/>
    </row>
    <row r="536" spans="1:21" s="71" customFormat="1" hidden="1">
      <c r="A536" s="64"/>
      <c r="B536" s="876"/>
      <c r="C536" s="128"/>
      <c r="D536" s="128"/>
      <c r="E536" s="128"/>
      <c r="N536" s="876"/>
      <c r="P536" s="877"/>
      <c r="R536" s="64"/>
      <c r="S536" s="64"/>
      <c r="T536" s="64"/>
      <c r="U536" s="64"/>
    </row>
    <row r="537" spans="1:21" s="71" customFormat="1" hidden="1">
      <c r="A537" s="64"/>
      <c r="B537" s="876"/>
      <c r="C537" s="128"/>
      <c r="D537" s="128"/>
      <c r="E537" s="128"/>
      <c r="N537" s="876"/>
      <c r="P537" s="877"/>
      <c r="R537" s="64"/>
      <c r="S537" s="64"/>
      <c r="T537" s="64"/>
      <c r="U537" s="64"/>
    </row>
    <row r="538" spans="1:21" s="71" customFormat="1" hidden="1">
      <c r="A538" s="64"/>
      <c r="B538" s="876"/>
      <c r="C538" s="128"/>
      <c r="D538" s="128"/>
      <c r="E538" s="128"/>
      <c r="N538" s="876"/>
      <c r="P538" s="877"/>
      <c r="R538" s="64"/>
      <c r="S538" s="64"/>
      <c r="T538" s="64"/>
      <c r="U538" s="64"/>
    </row>
    <row r="539" spans="1:21" s="71" customFormat="1" hidden="1">
      <c r="A539" s="64"/>
      <c r="B539" s="876"/>
      <c r="C539" s="128"/>
      <c r="D539" s="128"/>
      <c r="E539" s="128"/>
      <c r="N539" s="876"/>
      <c r="P539" s="877"/>
      <c r="R539" s="64"/>
      <c r="S539" s="64"/>
      <c r="T539" s="64"/>
      <c r="U539" s="64"/>
    </row>
    <row r="540" spans="1:21" s="71" customFormat="1" hidden="1">
      <c r="A540" s="64"/>
      <c r="B540" s="876"/>
      <c r="C540" s="128"/>
      <c r="D540" s="128"/>
      <c r="E540" s="128"/>
      <c r="N540" s="876"/>
      <c r="P540" s="877"/>
      <c r="R540" s="64"/>
      <c r="S540" s="64"/>
      <c r="T540" s="64"/>
      <c r="U540" s="64"/>
    </row>
    <row r="541" spans="1:21" s="71" customFormat="1" hidden="1">
      <c r="A541" s="64"/>
      <c r="B541" s="876"/>
      <c r="C541" s="128"/>
      <c r="D541" s="128"/>
      <c r="E541" s="128"/>
      <c r="N541" s="876"/>
      <c r="P541" s="877"/>
      <c r="R541" s="64"/>
      <c r="S541" s="64"/>
      <c r="T541" s="64"/>
      <c r="U541" s="64"/>
    </row>
    <row r="542" spans="1:21" s="71" customFormat="1" hidden="1">
      <c r="A542" s="64"/>
      <c r="B542" s="876"/>
      <c r="C542" s="128"/>
      <c r="D542" s="128"/>
      <c r="E542" s="128"/>
      <c r="N542" s="876"/>
      <c r="P542" s="877"/>
      <c r="R542" s="64"/>
      <c r="S542" s="64"/>
      <c r="T542" s="64"/>
      <c r="U542" s="64"/>
    </row>
    <row r="543" spans="1:21" s="71" customFormat="1" hidden="1">
      <c r="A543" s="64"/>
      <c r="B543" s="876"/>
      <c r="C543" s="128"/>
      <c r="D543" s="128"/>
      <c r="E543" s="128"/>
      <c r="N543" s="876"/>
      <c r="P543" s="877"/>
      <c r="R543" s="64"/>
      <c r="S543" s="64"/>
      <c r="T543" s="64"/>
      <c r="U543" s="64"/>
    </row>
    <row r="544" spans="1:21" s="71" customFormat="1" hidden="1">
      <c r="A544" s="64"/>
      <c r="B544" s="876"/>
      <c r="C544" s="128"/>
      <c r="D544" s="128"/>
      <c r="E544" s="128"/>
      <c r="N544" s="876"/>
      <c r="P544" s="877"/>
      <c r="R544" s="64"/>
      <c r="S544" s="64"/>
      <c r="T544" s="64"/>
      <c r="U544" s="64"/>
    </row>
    <row r="545" spans="1:21" s="71" customFormat="1" hidden="1">
      <c r="A545" s="64"/>
      <c r="B545" s="876"/>
      <c r="C545" s="128"/>
      <c r="D545" s="128"/>
      <c r="E545" s="128"/>
      <c r="N545" s="876"/>
      <c r="P545" s="877"/>
      <c r="R545" s="64"/>
      <c r="S545" s="64"/>
      <c r="T545" s="64"/>
      <c r="U545" s="64"/>
    </row>
    <row r="546" spans="1:21" s="71" customFormat="1" hidden="1">
      <c r="A546" s="64"/>
      <c r="B546" s="876"/>
      <c r="C546" s="128"/>
      <c r="D546" s="128"/>
      <c r="E546" s="128"/>
      <c r="N546" s="876"/>
      <c r="P546" s="877"/>
      <c r="R546" s="64"/>
      <c r="S546" s="64"/>
      <c r="T546" s="64"/>
      <c r="U546" s="64"/>
    </row>
    <row r="547" spans="1:21" s="71" customFormat="1" hidden="1">
      <c r="A547" s="64"/>
      <c r="B547" s="876"/>
      <c r="C547" s="128"/>
      <c r="D547" s="128"/>
      <c r="E547" s="128"/>
      <c r="N547" s="876"/>
      <c r="P547" s="877"/>
      <c r="R547" s="64"/>
      <c r="S547" s="64"/>
      <c r="T547" s="64"/>
      <c r="U547" s="64"/>
    </row>
    <row r="548" spans="1:21" s="71" customFormat="1" hidden="1">
      <c r="A548" s="64"/>
      <c r="B548" s="876"/>
      <c r="C548" s="128"/>
      <c r="D548" s="128"/>
      <c r="E548" s="128"/>
      <c r="N548" s="876"/>
      <c r="P548" s="877"/>
      <c r="R548" s="64"/>
      <c r="S548" s="64"/>
      <c r="T548" s="64"/>
      <c r="U548" s="64"/>
    </row>
    <row r="549" spans="1:21" s="71" customFormat="1" hidden="1">
      <c r="A549" s="64"/>
      <c r="B549" s="876"/>
      <c r="C549" s="128"/>
      <c r="D549" s="128"/>
      <c r="E549" s="128"/>
      <c r="N549" s="876"/>
      <c r="P549" s="877"/>
      <c r="R549" s="64"/>
      <c r="S549" s="64"/>
      <c r="T549" s="64"/>
      <c r="U549" s="64"/>
    </row>
    <row r="550" spans="1:21" s="71" customFormat="1" hidden="1">
      <c r="A550" s="64"/>
      <c r="B550" s="876"/>
      <c r="C550" s="128"/>
      <c r="D550" s="128"/>
      <c r="E550" s="128"/>
      <c r="N550" s="876"/>
      <c r="P550" s="877"/>
      <c r="R550" s="64"/>
      <c r="S550" s="64"/>
      <c r="T550" s="64"/>
      <c r="U550" s="64"/>
    </row>
    <row r="551" spans="1:21" s="71" customFormat="1" hidden="1">
      <c r="A551" s="64"/>
      <c r="B551" s="876"/>
      <c r="C551" s="128"/>
      <c r="D551" s="128"/>
      <c r="E551" s="128"/>
      <c r="N551" s="876"/>
      <c r="P551" s="877"/>
      <c r="R551" s="64"/>
      <c r="S551" s="64"/>
      <c r="T551" s="64"/>
      <c r="U551" s="64"/>
    </row>
    <row r="552" spans="1:21" s="71" customFormat="1" hidden="1">
      <c r="A552" s="64"/>
      <c r="B552" s="876"/>
      <c r="C552" s="128"/>
      <c r="D552" s="128"/>
      <c r="E552" s="128"/>
      <c r="N552" s="876"/>
      <c r="P552" s="877"/>
      <c r="R552" s="64"/>
      <c r="S552" s="64"/>
      <c r="T552" s="64"/>
      <c r="U552" s="64"/>
    </row>
    <row r="553" spans="1:21" s="71" customFormat="1" hidden="1">
      <c r="A553" s="64"/>
      <c r="B553" s="876"/>
      <c r="C553" s="128"/>
      <c r="D553" s="128"/>
      <c r="E553" s="128"/>
      <c r="N553" s="876"/>
      <c r="P553" s="877"/>
      <c r="R553" s="64"/>
      <c r="S553" s="64"/>
      <c r="T553" s="64"/>
      <c r="U553" s="64"/>
    </row>
    <row r="554" spans="1:21" s="71" customFormat="1" hidden="1">
      <c r="A554" s="64"/>
      <c r="B554" s="876"/>
      <c r="C554" s="128"/>
      <c r="D554" s="128"/>
      <c r="E554" s="128"/>
      <c r="N554" s="876"/>
      <c r="P554" s="877"/>
      <c r="R554" s="64"/>
      <c r="S554" s="64"/>
      <c r="T554" s="64"/>
      <c r="U554" s="64"/>
    </row>
    <row r="555" spans="1:21" s="71" customFormat="1" hidden="1">
      <c r="A555" s="64"/>
      <c r="B555" s="876"/>
      <c r="C555" s="128"/>
      <c r="D555" s="128"/>
      <c r="E555" s="128"/>
      <c r="N555" s="876"/>
      <c r="P555" s="877"/>
      <c r="R555" s="64"/>
      <c r="S555" s="64"/>
      <c r="T555" s="64"/>
      <c r="U555" s="64"/>
    </row>
    <row r="556" spans="1:21" s="71" customFormat="1" hidden="1">
      <c r="A556" s="64"/>
      <c r="B556" s="876"/>
      <c r="C556" s="128"/>
      <c r="D556" s="128"/>
      <c r="E556" s="128"/>
      <c r="N556" s="876"/>
      <c r="P556" s="877"/>
      <c r="R556" s="64"/>
      <c r="S556" s="64"/>
      <c r="T556" s="64"/>
      <c r="U556" s="64"/>
    </row>
    <row r="557" spans="1:21" s="71" customFormat="1" hidden="1">
      <c r="A557" s="64"/>
      <c r="B557" s="876"/>
      <c r="C557" s="128"/>
      <c r="D557" s="128"/>
      <c r="E557" s="128"/>
      <c r="N557" s="876"/>
      <c r="P557" s="877"/>
      <c r="R557" s="64"/>
      <c r="S557" s="64"/>
      <c r="T557" s="64"/>
      <c r="U557" s="64"/>
    </row>
    <row r="558" spans="1:21" s="71" customFormat="1" hidden="1">
      <c r="A558" s="64"/>
      <c r="B558" s="876"/>
      <c r="C558" s="128"/>
      <c r="D558" s="128"/>
      <c r="E558" s="128"/>
      <c r="N558" s="876"/>
      <c r="P558" s="877"/>
      <c r="R558" s="64"/>
      <c r="S558" s="64"/>
      <c r="T558" s="64"/>
      <c r="U558" s="64"/>
    </row>
    <row r="559" spans="1:21" s="71" customFormat="1" hidden="1">
      <c r="A559" s="64"/>
      <c r="B559" s="876"/>
      <c r="C559" s="128"/>
      <c r="D559" s="128"/>
      <c r="E559" s="128"/>
      <c r="N559" s="876"/>
      <c r="P559" s="877"/>
      <c r="R559" s="64"/>
      <c r="S559" s="64"/>
      <c r="T559" s="64"/>
      <c r="U559" s="64"/>
    </row>
    <row r="560" spans="1:21" s="71" customFormat="1" hidden="1">
      <c r="A560" s="64"/>
      <c r="B560" s="876"/>
      <c r="C560" s="128"/>
      <c r="D560" s="128"/>
      <c r="E560" s="128"/>
      <c r="N560" s="876"/>
      <c r="P560" s="877"/>
      <c r="R560" s="64"/>
      <c r="S560" s="64"/>
      <c r="T560" s="64"/>
      <c r="U560" s="64"/>
    </row>
    <row r="561" spans="1:21" s="71" customFormat="1" hidden="1">
      <c r="A561" s="64"/>
      <c r="B561" s="876"/>
      <c r="C561" s="128"/>
      <c r="D561" s="128"/>
      <c r="E561" s="128"/>
      <c r="N561" s="876"/>
      <c r="P561" s="877"/>
      <c r="R561" s="64"/>
      <c r="S561" s="64"/>
      <c r="T561" s="64"/>
      <c r="U561" s="64"/>
    </row>
    <row r="562" spans="1:21" s="71" customFormat="1" hidden="1">
      <c r="A562" s="64"/>
      <c r="B562" s="876"/>
      <c r="C562" s="128"/>
      <c r="D562" s="128"/>
      <c r="E562" s="128"/>
      <c r="N562" s="876"/>
      <c r="P562" s="877"/>
      <c r="R562" s="64"/>
      <c r="S562" s="64"/>
      <c r="T562" s="64"/>
      <c r="U562" s="64"/>
    </row>
    <row r="563" spans="1:21" s="71" customFormat="1" hidden="1">
      <c r="A563" s="64"/>
      <c r="B563" s="876"/>
      <c r="C563" s="128"/>
      <c r="D563" s="128"/>
      <c r="E563" s="128"/>
      <c r="N563" s="876"/>
      <c r="P563" s="877"/>
      <c r="R563" s="64"/>
      <c r="S563" s="64"/>
      <c r="T563" s="64"/>
      <c r="U563" s="64"/>
    </row>
    <row r="564" spans="1:21" s="71" customFormat="1" hidden="1">
      <c r="A564" s="64"/>
      <c r="B564" s="876"/>
      <c r="C564" s="128"/>
      <c r="D564" s="128"/>
      <c r="E564" s="128"/>
      <c r="N564" s="876"/>
      <c r="P564" s="877"/>
      <c r="R564" s="64"/>
      <c r="S564" s="64"/>
      <c r="T564" s="64"/>
      <c r="U564" s="64"/>
    </row>
    <row r="565" spans="1:21" s="71" customFormat="1" hidden="1">
      <c r="A565" s="64"/>
      <c r="B565" s="876"/>
      <c r="C565" s="128"/>
      <c r="D565" s="128"/>
      <c r="E565" s="128"/>
      <c r="N565" s="876"/>
      <c r="P565" s="877"/>
      <c r="R565" s="64"/>
      <c r="S565" s="64"/>
      <c r="T565" s="64"/>
      <c r="U565" s="64"/>
    </row>
    <row r="566" spans="1:21" s="71" customFormat="1" hidden="1">
      <c r="A566" s="64"/>
      <c r="B566" s="876"/>
      <c r="C566" s="128"/>
      <c r="D566" s="128"/>
      <c r="E566" s="128"/>
      <c r="N566" s="876"/>
      <c r="P566" s="877"/>
      <c r="R566" s="64"/>
      <c r="S566" s="64"/>
      <c r="T566" s="64"/>
      <c r="U566" s="64"/>
    </row>
    <row r="567" spans="1:21" s="71" customFormat="1" hidden="1">
      <c r="A567" s="64"/>
      <c r="B567" s="876"/>
      <c r="C567" s="128"/>
      <c r="D567" s="128"/>
      <c r="E567" s="128"/>
      <c r="N567" s="876"/>
      <c r="P567" s="877"/>
      <c r="R567" s="64"/>
      <c r="S567" s="64"/>
      <c r="T567" s="64"/>
      <c r="U567" s="64"/>
    </row>
    <row r="568" spans="1:21" s="71" customFormat="1" hidden="1">
      <c r="A568" s="64"/>
      <c r="B568" s="876"/>
      <c r="C568" s="128"/>
      <c r="D568" s="128"/>
      <c r="E568" s="128"/>
      <c r="N568" s="876"/>
      <c r="P568" s="877"/>
      <c r="R568" s="64"/>
      <c r="S568" s="64"/>
      <c r="T568" s="64"/>
      <c r="U568" s="64"/>
    </row>
    <row r="569" spans="1:21" s="71" customFormat="1" hidden="1">
      <c r="A569" s="64"/>
      <c r="B569" s="876"/>
      <c r="C569" s="128"/>
      <c r="D569" s="128"/>
      <c r="E569" s="128"/>
      <c r="N569" s="876"/>
      <c r="P569" s="877"/>
      <c r="R569" s="64"/>
      <c r="S569" s="64"/>
      <c r="T569" s="64"/>
      <c r="U569" s="64"/>
    </row>
    <row r="570" spans="1:21" s="71" customFormat="1" hidden="1">
      <c r="A570" s="64"/>
      <c r="B570" s="876"/>
      <c r="C570" s="128"/>
      <c r="D570" s="128"/>
      <c r="E570" s="128"/>
      <c r="N570" s="876"/>
      <c r="P570" s="877"/>
      <c r="R570" s="64"/>
      <c r="S570" s="64"/>
      <c r="T570" s="64"/>
      <c r="U570" s="64"/>
    </row>
    <row r="571" spans="1:21" s="71" customFormat="1" hidden="1">
      <c r="A571" s="64"/>
      <c r="B571" s="876"/>
      <c r="C571" s="128"/>
      <c r="D571" s="128"/>
      <c r="E571" s="128"/>
      <c r="N571" s="876"/>
      <c r="P571" s="877"/>
      <c r="R571" s="64"/>
      <c r="S571" s="64"/>
      <c r="T571" s="64"/>
      <c r="U571" s="64"/>
    </row>
    <row r="572" spans="1:21" s="71" customFormat="1" hidden="1">
      <c r="A572" s="64"/>
      <c r="B572" s="876"/>
      <c r="C572" s="128"/>
      <c r="D572" s="128"/>
      <c r="E572" s="128"/>
      <c r="N572" s="876"/>
      <c r="P572" s="877"/>
      <c r="R572" s="64"/>
      <c r="S572" s="64"/>
      <c r="T572" s="64"/>
      <c r="U572" s="64"/>
    </row>
    <row r="573" spans="1:21" s="71" customFormat="1" hidden="1">
      <c r="A573" s="64"/>
      <c r="B573" s="876"/>
      <c r="C573" s="128"/>
      <c r="D573" s="128"/>
      <c r="E573" s="128"/>
      <c r="N573" s="876"/>
      <c r="P573" s="877"/>
      <c r="R573" s="64"/>
      <c r="S573" s="64"/>
      <c r="T573" s="64"/>
      <c r="U573" s="64"/>
    </row>
    <row r="574" spans="1:21" s="71" customFormat="1" hidden="1">
      <c r="A574" s="64"/>
      <c r="B574" s="876"/>
      <c r="C574" s="128"/>
      <c r="D574" s="128"/>
      <c r="E574" s="128"/>
      <c r="N574" s="876"/>
      <c r="P574" s="877"/>
      <c r="R574" s="64"/>
      <c r="S574" s="64"/>
      <c r="T574" s="64"/>
      <c r="U574" s="64"/>
    </row>
    <row r="575" spans="1:21" s="71" customFormat="1" hidden="1">
      <c r="A575" s="64"/>
      <c r="B575" s="876"/>
      <c r="C575" s="128"/>
      <c r="D575" s="128"/>
      <c r="E575" s="128"/>
      <c r="N575" s="876"/>
      <c r="P575" s="877"/>
      <c r="R575" s="64"/>
      <c r="S575" s="64"/>
      <c r="T575" s="64"/>
      <c r="U575" s="64"/>
    </row>
    <row r="576" spans="1:21" s="71" customFormat="1" hidden="1">
      <c r="A576" s="64"/>
      <c r="B576" s="876"/>
      <c r="C576" s="128"/>
      <c r="D576" s="128"/>
      <c r="E576" s="128"/>
      <c r="N576" s="876"/>
      <c r="P576" s="877"/>
      <c r="R576" s="64"/>
      <c r="S576" s="64"/>
      <c r="T576" s="64"/>
      <c r="U576" s="64"/>
    </row>
    <row r="577" spans="1:21" s="71" customFormat="1" hidden="1">
      <c r="A577" s="64"/>
      <c r="B577" s="876"/>
      <c r="C577" s="128"/>
      <c r="D577" s="128"/>
      <c r="E577" s="128"/>
      <c r="N577" s="876"/>
      <c r="P577" s="877"/>
      <c r="R577" s="64"/>
      <c r="S577" s="64"/>
      <c r="T577" s="64"/>
      <c r="U577" s="64"/>
    </row>
    <row r="578" spans="1:21" s="71" customFormat="1" hidden="1">
      <c r="A578" s="64"/>
      <c r="B578" s="876"/>
      <c r="C578" s="128"/>
      <c r="D578" s="128"/>
      <c r="E578" s="128"/>
      <c r="N578" s="876"/>
      <c r="P578" s="877"/>
      <c r="R578" s="64"/>
      <c r="S578" s="64"/>
      <c r="T578" s="64"/>
      <c r="U578" s="64"/>
    </row>
    <row r="579" spans="1:21" s="71" customFormat="1" hidden="1">
      <c r="A579" s="64"/>
      <c r="B579" s="876"/>
      <c r="C579" s="128"/>
      <c r="D579" s="128"/>
      <c r="E579" s="128"/>
      <c r="N579" s="876"/>
      <c r="P579" s="877"/>
      <c r="R579" s="64"/>
      <c r="S579" s="64"/>
      <c r="T579" s="64"/>
      <c r="U579" s="64"/>
    </row>
    <row r="580" spans="1:21" s="71" customFormat="1" hidden="1">
      <c r="A580" s="64"/>
      <c r="B580" s="876"/>
      <c r="C580" s="128"/>
      <c r="D580" s="128"/>
      <c r="E580" s="128"/>
      <c r="N580" s="876"/>
      <c r="P580" s="877"/>
      <c r="R580" s="64"/>
      <c r="S580" s="64"/>
      <c r="T580" s="64"/>
      <c r="U580" s="64"/>
    </row>
    <row r="581" spans="1:21" s="71" customFormat="1" hidden="1">
      <c r="A581" s="64"/>
      <c r="B581" s="876"/>
      <c r="C581" s="128"/>
      <c r="D581" s="128"/>
      <c r="E581" s="128"/>
      <c r="N581" s="876"/>
      <c r="P581" s="877"/>
      <c r="R581" s="64"/>
      <c r="S581" s="64"/>
      <c r="T581" s="64"/>
      <c r="U581" s="64"/>
    </row>
    <row r="582" spans="1:21" s="71" customFormat="1" hidden="1">
      <c r="A582" s="64"/>
      <c r="B582" s="876"/>
      <c r="C582" s="128"/>
      <c r="D582" s="128"/>
      <c r="E582" s="128"/>
      <c r="N582" s="876"/>
      <c r="P582" s="877"/>
      <c r="R582" s="64"/>
      <c r="S582" s="64"/>
      <c r="T582" s="64"/>
      <c r="U582" s="64"/>
    </row>
    <row r="583" spans="1:21" s="71" customFormat="1" hidden="1">
      <c r="A583" s="64"/>
      <c r="B583" s="876"/>
      <c r="C583" s="128"/>
      <c r="D583" s="128"/>
      <c r="E583" s="128"/>
      <c r="N583" s="876"/>
      <c r="P583" s="877"/>
      <c r="R583" s="64"/>
      <c r="S583" s="64"/>
      <c r="T583" s="64"/>
      <c r="U583" s="64"/>
    </row>
    <row r="584" spans="1:21" s="71" customFormat="1" hidden="1">
      <c r="A584" s="64"/>
      <c r="B584" s="876"/>
      <c r="C584" s="128"/>
      <c r="D584" s="128"/>
      <c r="E584" s="128"/>
      <c r="N584" s="876"/>
      <c r="P584" s="877"/>
      <c r="R584" s="64"/>
      <c r="S584" s="64"/>
      <c r="T584" s="64"/>
      <c r="U584" s="64"/>
    </row>
    <row r="585" spans="1:21" s="71" customFormat="1" hidden="1">
      <c r="A585" s="64"/>
      <c r="B585" s="876"/>
      <c r="C585" s="128"/>
      <c r="D585" s="128"/>
      <c r="E585" s="128"/>
      <c r="N585" s="876"/>
      <c r="P585" s="877"/>
      <c r="R585" s="64"/>
      <c r="S585" s="64"/>
      <c r="T585" s="64"/>
      <c r="U585" s="64"/>
    </row>
    <row r="586" spans="1:21" s="71" customFormat="1" hidden="1">
      <c r="A586" s="64"/>
      <c r="B586" s="876"/>
      <c r="C586" s="128"/>
      <c r="D586" s="128"/>
      <c r="E586" s="128"/>
      <c r="N586" s="876"/>
      <c r="P586" s="877"/>
      <c r="R586" s="64"/>
      <c r="S586" s="64"/>
      <c r="T586" s="64"/>
      <c r="U586" s="64"/>
    </row>
    <row r="587" spans="1:21" s="71" customFormat="1" hidden="1">
      <c r="A587" s="64"/>
      <c r="B587" s="876"/>
      <c r="C587" s="128"/>
      <c r="D587" s="128"/>
      <c r="E587" s="128"/>
      <c r="N587" s="876"/>
      <c r="P587" s="877"/>
      <c r="R587" s="64"/>
      <c r="S587" s="64"/>
      <c r="T587" s="64"/>
      <c r="U587" s="64"/>
    </row>
    <row r="588" spans="1:21" s="71" customFormat="1" hidden="1">
      <c r="A588" s="64"/>
      <c r="B588" s="876"/>
      <c r="C588" s="128"/>
      <c r="D588" s="128"/>
      <c r="E588" s="128"/>
      <c r="N588" s="876"/>
      <c r="P588" s="877"/>
      <c r="R588" s="64"/>
      <c r="S588" s="64"/>
      <c r="T588" s="64"/>
      <c r="U588" s="64"/>
    </row>
    <row r="589" spans="1:21" s="71" customFormat="1" hidden="1">
      <c r="A589" s="64"/>
      <c r="B589" s="876"/>
      <c r="C589" s="128"/>
      <c r="D589" s="128"/>
      <c r="E589" s="128"/>
      <c r="N589" s="876"/>
      <c r="P589" s="877"/>
      <c r="R589" s="64"/>
      <c r="S589" s="64"/>
      <c r="T589" s="64"/>
      <c r="U589" s="64"/>
    </row>
    <row r="590" spans="1:21" s="71" customFormat="1" hidden="1">
      <c r="A590" s="64"/>
      <c r="B590" s="876"/>
      <c r="C590" s="128"/>
      <c r="D590" s="128"/>
      <c r="E590" s="128"/>
      <c r="N590" s="876"/>
      <c r="P590" s="877"/>
      <c r="R590" s="64"/>
      <c r="S590" s="64"/>
      <c r="T590" s="64"/>
      <c r="U590" s="64"/>
    </row>
    <row r="591" spans="1:21" s="71" customFormat="1" hidden="1">
      <c r="A591" s="64"/>
      <c r="B591" s="876"/>
      <c r="C591" s="128"/>
      <c r="D591" s="128"/>
      <c r="E591" s="128"/>
      <c r="N591" s="876"/>
      <c r="P591" s="877"/>
      <c r="R591" s="64"/>
      <c r="S591" s="64"/>
      <c r="T591" s="64"/>
      <c r="U591" s="64"/>
    </row>
    <row r="592" spans="1:21" s="71" customFormat="1" hidden="1">
      <c r="A592" s="64"/>
      <c r="B592" s="876"/>
      <c r="C592" s="128"/>
      <c r="D592" s="128"/>
      <c r="E592" s="128"/>
      <c r="N592" s="876"/>
      <c r="P592" s="877"/>
      <c r="R592" s="64"/>
      <c r="S592" s="64"/>
      <c r="T592" s="64"/>
      <c r="U592" s="64"/>
    </row>
    <row r="593" spans="1:21" s="71" customFormat="1" hidden="1">
      <c r="A593" s="64"/>
      <c r="B593" s="876"/>
      <c r="C593" s="128"/>
      <c r="D593" s="128"/>
      <c r="E593" s="128"/>
      <c r="N593" s="876"/>
      <c r="P593" s="877"/>
      <c r="R593" s="64"/>
      <c r="S593" s="64"/>
      <c r="T593" s="64"/>
      <c r="U593" s="64"/>
    </row>
    <row r="594" spans="1:21" s="71" customFormat="1" hidden="1">
      <c r="A594" s="64"/>
      <c r="B594" s="876"/>
      <c r="C594" s="128"/>
      <c r="D594" s="128"/>
      <c r="E594" s="128"/>
      <c r="N594" s="876"/>
      <c r="P594" s="877"/>
      <c r="R594" s="64"/>
      <c r="S594" s="64"/>
      <c r="T594" s="64"/>
      <c r="U594" s="64"/>
    </row>
    <row r="595" spans="1:21" s="71" customFormat="1" hidden="1">
      <c r="A595" s="64"/>
      <c r="B595" s="876"/>
      <c r="C595" s="128"/>
      <c r="D595" s="128"/>
      <c r="E595" s="128"/>
      <c r="N595" s="876"/>
      <c r="P595" s="877"/>
      <c r="R595" s="64"/>
      <c r="S595" s="64"/>
      <c r="T595" s="64"/>
      <c r="U595" s="64"/>
    </row>
    <row r="596" spans="1:21" s="71" customFormat="1" hidden="1">
      <c r="A596" s="64"/>
      <c r="B596" s="876"/>
      <c r="C596" s="128"/>
      <c r="D596" s="128"/>
      <c r="E596" s="128"/>
      <c r="N596" s="876"/>
      <c r="P596" s="877"/>
      <c r="R596" s="64"/>
      <c r="S596" s="64"/>
      <c r="T596" s="64"/>
      <c r="U596" s="64"/>
    </row>
    <row r="597" spans="1:21" s="71" customFormat="1" hidden="1">
      <c r="A597" s="64"/>
      <c r="B597" s="876"/>
      <c r="C597" s="128"/>
      <c r="D597" s="128"/>
      <c r="E597" s="128"/>
      <c r="N597" s="876"/>
      <c r="P597" s="877"/>
      <c r="R597" s="64"/>
      <c r="S597" s="64"/>
      <c r="T597" s="64"/>
      <c r="U597" s="64"/>
    </row>
    <row r="598" spans="1:21" s="71" customFormat="1" hidden="1">
      <c r="A598" s="64"/>
      <c r="B598" s="876"/>
      <c r="C598" s="128"/>
      <c r="D598" s="128"/>
      <c r="E598" s="128"/>
      <c r="N598" s="876"/>
      <c r="P598" s="877"/>
      <c r="R598" s="64"/>
      <c r="S598" s="64"/>
      <c r="T598" s="64"/>
      <c r="U598" s="64"/>
    </row>
    <row r="599" spans="1:21" s="71" customFormat="1" hidden="1">
      <c r="A599" s="64"/>
      <c r="B599" s="876"/>
      <c r="C599" s="128"/>
      <c r="D599" s="128"/>
      <c r="E599" s="128"/>
      <c r="N599" s="876"/>
      <c r="P599" s="877"/>
      <c r="R599" s="64"/>
      <c r="S599" s="64"/>
      <c r="T599" s="64"/>
      <c r="U599" s="64"/>
    </row>
    <row r="600" spans="1:21" s="71" customFormat="1" hidden="1">
      <c r="A600" s="64"/>
      <c r="B600" s="876"/>
      <c r="C600" s="128"/>
      <c r="D600" s="128"/>
      <c r="E600" s="128"/>
      <c r="N600" s="876"/>
      <c r="P600" s="877"/>
      <c r="R600" s="64"/>
      <c r="S600" s="64"/>
      <c r="T600" s="64"/>
      <c r="U600" s="64"/>
    </row>
    <row r="601" spans="1:21" s="71" customFormat="1" hidden="1">
      <c r="A601" s="64"/>
      <c r="B601" s="876"/>
      <c r="C601" s="128"/>
      <c r="D601" s="128"/>
      <c r="E601" s="128"/>
      <c r="N601" s="876"/>
      <c r="P601" s="877"/>
      <c r="R601" s="64"/>
      <c r="S601" s="64"/>
      <c r="T601" s="64"/>
      <c r="U601" s="64"/>
    </row>
    <row r="602" spans="1:21" s="71" customFormat="1" hidden="1">
      <c r="A602" s="64"/>
      <c r="B602" s="876"/>
      <c r="C602" s="128"/>
      <c r="D602" s="128"/>
      <c r="E602" s="128"/>
      <c r="N602" s="876"/>
      <c r="P602" s="877"/>
      <c r="R602" s="64"/>
      <c r="S602" s="64"/>
      <c r="T602" s="64"/>
      <c r="U602" s="64"/>
    </row>
    <row r="603" spans="1:21" s="71" customFormat="1" hidden="1">
      <c r="A603" s="64"/>
      <c r="B603" s="876"/>
      <c r="C603" s="128"/>
      <c r="D603" s="128"/>
      <c r="E603" s="128"/>
      <c r="N603" s="876"/>
      <c r="P603" s="877"/>
      <c r="R603" s="64"/>
      <c r="S603" s="64"/>
      <c r="T603" s="64"/>
      <c r="U603" s="64"/>
    </row>
    <row r="604" spans="1:21" s="71" customFormat="1" hidden="1">
      <c r="A604" s="64"/>
      <c r="B604" s="876"/>
      <c r="C604" s="128"/>
      <c r="D604" s="128"/>
      <c r="E604" s="128"/>
      <c r="N604" s="876"/>
      <c r="P604" s="877"/>
      <c r="R604" s="64"/>
      <c r="S604" s="64"/>
      <c r="T604" s="64"/>
      <c r="U604" s="64"/>
    </row>
    <row r="605" spans="1:21" s="71" customFormat="1" hidden="1">
      <c r="A605" s="64"/>
      <c r="B605" s="876"/>
      <c r="C605" s="128"/>
      <c r="D605" s="128"/>
      <c r="E605" s="128"/>
      <c r="N605" s="876"/>
      <c r="P605" s="877"/>
      <c r="R605" s="64"/>
      <c r="S605" s="64"/>
      <c r="T605" s="64"/>
      <c r="U605" s="64"/>
    </row>
    <row r="606" spans="1:21" s="71" customFormat="1" hidden="1">
      <c r="A606" s="64"/>
      <c r="B606" s="876"/>
      <c r="C606" s="128"/>
      <c r="D606" s="128"/>
      <c r="E606" s="128"/>
      <c r="N606" s="876"/>
      <c r="P606" s="877"/>
      <c r="R606" s="64"/>
      <c r="S606" s="64"/>
      <c r="T606" s="64"/>
      <c r="U606" s="64"/>
    </row>
    <row r="607" spans="1:21" s="71" customFormat="1" hidden="1">
      <c r="A607" s="64"/>
      <c r="B607" s="876"/>
      <c r="C607" s="128"/>
      <c r="D607" s="128"/>
      <c r="E607" s="128"/>
      <c r="N607" s="876"/>
      <c r="P607" s="877"/>
      <c r="R607" s="64"/>
      <c r="S607" s="64"/>
      <c r="T607" s="64"/>
      <c r="U607" s="64"/>
    </row>
    <row r="608" spans="1:21" s="71" customFormat="1" hidden="1">
      <c r="A608" s="64"/>
      <c r="B608" s="876"/>
      <c r="C608" s="128"/>
      <c r="D608" s="128"/>
      <c r="E608" s="128"/>
      <c r="N608" s="876"/>
      <c r="P608" s="877"/>
      <c r="R608" s="64"/>
      <c r="S608" s="64"/>
      <c r="T608" s="64"/>
      <c r="U608" s="64"/>
    </row>
    <row r="609" spans="1:21" s="71" customFormat="1" hidden="1">
      <c r="A609" s="64"/>
      <c r="B609" s="876"/>
      <c r="C609" s="128"/>
      <c r="D609" s="128"/>
      <c r="E609" s="128"/>
      <c r="N609" s="876"/>
      <c r="P609" s="877"/>
      <c r="R609" s="64"/>
      <c r="S609" s="64"/>
      <c r="T609" s="64"/>
      <c r="U609" s="64"/>
    </row>
    <row r="610" spans="1:21" s="71" customFormat="1" hidden="1">
      <c r="A610" s="64"/>
      <c r="B610" s="876"/>
      <c r="C610" s="128"/>
      <c r="D610" s="128"/>
      <c r="E610" s="128"/>
      <c r="N610" s="876"/>
      <c r="P610" s="877"/>
      <c r="R610" s="64"/>
      <c r="S610" s="64"/>
      <c r="T610" s="64"/>
      <c r="U610" s="64"/>
    </row>
    <row r="611" spans="1:21" s="71" customFormat="1" hidden="1">
      <c r="A611" s="64"/>
      <c r="B611" s="876"/>
      <c r="C611" s="128"/>
      <c r="D611" s="128"/>
      <c r="E611" s="128"/>
      <c r="N611" s="876"/>
      <c r="P611" s="877"/>
      <c r="R611" s="64"/>
      <c r="S611" s="64"/>
      <c r="T611" s="64"/>
      <c r="U611" s="64"/>
    </row>
    <row r="612" spans="1:21" s="71" customFormat="1" hidden="1">
      <c r="A612" s="64"/>
      <c r="B612" s="876"/>
      <c r="C612" s="128"/>
      <c r="D612" s="128"/>
      <c r="E612" s="128"/>
      <c r="N612" s="876"/>
      <c r="P612" s="877"/>
      <c r="R612" s="64"/>
      <c r="S612" s="64"/>
      <c r="T612" s="64"/>
      <c r="U612" s="64"/>
    </row>
    <row r="613" spans="1:21" s="71" customFormat="1" hidden="1">
      <c r="A613" s="64"/>
      <c r="B613" s="876"/>
      <c r="C613" s="128"/>
      <c r="D613" s="128"/>
      <c r="E613" s="128"/>
      <c r="N613" s="876"/>
      <c r="P613" s="877"/>
      <c r="R613" s="64"/>
      <c r="S613" s="64"/>
      <c r="T613" s="64"/>
      <c r="U613" s="64"/>
    </row>
    <row r="614" spans="1:21" s="71" customFormat="1" hidden="1">
      <c r="A614" s="64"/>
      <c r="B614" s="876"/>
      <c r="C614" s="128"/>
      <c r="D614" s="128"/>
      <c r="E614" s="128"/>
      <c r="N614" s="876"/>
      <c r="P614" s="877"/>
      <c r="R614" s="64"/>
      <c r="S614" s="64"/>
      <c r="T614" s="64"/>
      <c r="U614" s="64"/>
    </row>
    <row r="615" spans="1:21" s="71" customFormat="1" hidden="1">
      <c r="A615" s="64"/>
      <c r="B615" s="876"/>
      <c r="C615" s="128"/>
      <c r="D615" s="128"/>
      <c r="E615" s="128"/>
      <c r="N615" s="876"/>
      <c r="P615" s="877"/>
      <c r="R615" s="64"/>
      <c r="S615" s="64"/>
      <c r="T615" s="64"/>
      <c r="U615" s="64"/>
    </row>
    <row r="616" spans="1:21" s="71" customFormat="1" hidden="1">
      <c r="A616" s="64"/>
      <c r="B616" s="876"/>
      <c r="C616" s="128"/>
      <c r="D616" s="128"/>
      <c r="E616" s="128"/>
      <c r="N616" s="876"/>
      <c r="P616" s="877"/>
      <c r="R616" s="64"/>
      <c r="S616" s="64"/>
      <c r="T616" s="64"/>
      <c r="U616" s="64"/>
    </row>
    <row r="617" spans="1:21" s="71" customFormat="1" hidden="1">
      <c r="A617" s="64"/>
      <c r="B617" s="876"/>
      <c r="C617" s="128"/>
      <c r="D617" s="128"/>
      <c r="E617" s="128"/>
      <c r="N617" s="876"/>
      <c r="P617" s="877"/>
      <c r="R617" s="64"/>
      <c r="S617" s="64"/>
      <c r="T617" s="64"/>
      <c r="U617" s="64"/>
    </row>
    <row r="618" spans="1:21" s="71" customFormat="1" hidden="1">
      <c r="A618" s="64"/>
      <c r="B618" s="876"/>
      <c r="C618" s="128"/>
      <c r="D618" s="128"/>
      <c r="E618" s="128"/>
      <c r="N618" s="876"/>
      <c r="P618" s="877"/>
      <c r="R618" s="64"/>
      <c r="S618" s="64"/>
      <c r="T618" s="64"/>
      <c r="U618" s="64"/>
    </row>
    <row r="619" spans="1:21" s="71" customFormat="1" hidden="1">
      <c r="A619" s="64"/>
      <c r="B619" s="876"/>
      <c r="C619" s="128"/>
      <c r="D619" s="128"/>
      <c r="E619" s="128"/>
      <c r="N619" s="876"/>
      <c r="P619" s="877"/>
      <c r="R619" s="64"/>
      <c r="S619" s="64"/>
      <c r="T619" s="64"/>
      <c r="U619" s="64"/>
    </row>
    <row r="620" spans="1:21" s="71" customFormat="1" hidden="1">
      <c r="A620" s="64"/>
      <c r="B620" s="876"/>
      <c r="C620" s="128"/>
      <c r="D620" s="128"/>
      <c r="E620" s="128"/>
      <c r="N620" s="876"/>
      <c r="P620" s="877"/>
      <c r="R620" s="64"/>
      <c r="S620" s="64"/>
      <c r="T620" s="64"/>
      <c r="U620" s="64"/>
    </row>
    <row r="621" spans="1:21" s="71" customFormat="1" hidden="1">
      <c r="A621" s="64"/>
      <c r="B621" s="876"/>
      <c r="C621" s="128"/>
      <c r="D621" s="128"/>
      <c r="E621" s="128"/>
      <c r="N621" s="876"/>
      <c r="P621" s="877"/>
      <c r="R621" s="64"/>
      <c r="S621" s="64"/>
      <c r="T621" s="64"/>
      <c r="U621" s="64"/>
    </row>
    <row r="622" spans="1:21" s="71" customFormat="1" hidden="1">
      <c r="A622" s="64"/>
      <c r="B622" s="876"/>
      <c r="C622" s="128"/>
      <c r="D622" s="128"/>
      <c r="E622" s="128"/>
      <c r="N622" s="876"/>
      <c r="P622" s="877"/>
      <c r="R622" s="64"/>
      <c r="S622" s="64"/>
      <c r="T622" s="64"/>
      <c r="U622" s="64"/>
    </row>
    <row r="623" spans="1:21" s="71" customFormat="1" hidden="1">
      <c r="A623" s="64"/>
      <c r="B623" s="876"/>
      <c r="C623" s="128"/>
      <c r="D623" s="128"/>
      <c r="E623" s="128"/>
      <c r="N623" s="876"/>
      <c r="P623" s="877"/>
      <c r="R623" s="64"/>
      <c r="S623" s="64"/>
      <c r="T623" s="64"/>
      <c r="U623" s="64"/>
    </row>
    <row r="624" spans="1:21" s="71" customFormat="1" hidden="1">
      <c r="A624" s="64"/>
      <c r="B624" s="876"/>
      <c r="C624" s="128"/>
      <c r="D624" s="128"/>
      <c r="E624" s="128"/>
      <c r="N624" s="876"/>
      <c r="P624" s="877"/>
      <c r="R624" s="64"/>
      <c r="S624" s="64"/>
      <c r="T624" s="64"/>
      <c r="U624" s="64"/>
    </row>
    <row r="625" spans="1:21" s="71" customFormat="1" hidden="1">
      <c r="A625" s="64"/>
      <c r="B625" s="876"/>
      <c r="C625" s="128"/>
      <c r="D625" s="128"/>
      <c r="E625" s="128"/>
      <c r="N625" s="876"/>
      <c r="P625" s="877"/>
      <c r="R625" s="64"/>
      <c r="S625" s="64"/>
      <c r="T625" s="64"/>
      <c r="U625" s="64"/>
    </row>
    <row r="626" spans="1:21" s="71" customFormat="1" hidden="1">
      <c r="A626" s="64"/>
      <c r="B626" s="876"/>
      <c r="C626" s="128"/>
      <c r="D626" s="128"/>
      <c r="E626" s="128"/>
      <c r="N626" s="876"/>
      <c r="P626" s="877"/>
      <c r="R626" s="64"/>
      <c r="S626" s="64"/>
      <c r="T626" s="64"/>
      <c r="U626" s="64"/>
    </row>
    <row r="627" spans="1:21" s="71" customFormat="1" hidden="1">
      <c r="A627" s="64"/>
      <c r="B627" s="876"/>
      <c r="C627" s="128"/>
      <c r="D627" s="128"/>
      <c r="E627" s="128"/>
      <c r="N627" s="876"/>
      <c r="P627" s="877"/>
      <c r="R627" s="64"/>
      <c r="S627" s="64"/>
      <c r="T627" s="64"/>
      <c r="U627" s="64"/>
    </row>
    <row r="628" spans="1:21" s="71" customFormat="1" hidden="1">
      <c r="A628" s="64"/>
      <c r="B628" s="876"/>
      <c r="C628" s="128"/>
      <c r="D628" s="128"/>
      <c r="E628" s="128"/>
      <c r="N628" s="876"/>
      <c r="P628" s="877"/>
      <c r="R628" s="64"/>
      <c r="S628" s="64"/>
      <c r="T628" s="64"/>
      <c r="U628" s="64"/>
    </row>
    <row r="629" spans="1:21" s="71" customFormat="1" hidden="1">
      <c r="A629" s="64"/>
      <c r="B629" s="876"/>
      <c r="C629" s="128"/>
      <c r="D629" s="128"/>
      <c r="E629" s="128"/>
      <c r="N629" s="876"/>
      <c r="P629" s="877"/>
      <c r="R629" s="64"/>
      <c r="S629" s="64"/>
      <c r="T629" s="64"/>
      <c r="U629" s="64"/>
    </row>
    <row r="630" spans="1:21" s="71" customFormat="1" hidden="1">
      <c r="A630" s="64"/>
      <c r="B630" s="876"/>
      <c r="C630" s="128"/>
      <c r="D630" s="128"/>
      <c r="E630" s="128"/>
      <c r="N630" s="876"/>
      <c r="P630" s="877"/>
      <c r="R630" s="64"/>
      <c r="S630" s="64"/>
      <c r="T630" s="64"/>
      <c r="U630" s="64"/>
    </row>
    <row r="631" spans="1:21" s="71" customFormat="1" hidden="1">
      <c r="A631" s="64"/>
      <c r="B631" s="876"/>
      <c r="C631" s="128"/>
      <c r="D631" s="128"/>
      <c r="E631" s="128"/>
      <c r="N631" s="876"/>
      <c r="P631" s="877"/>
      <c r="R631" s="64"/>
      <c r="S631" s="64"/>
      <c r="T631" s="64"/>
      <c r="U631" s="64"/>
    </row>
    <row r="632" spans="1:21" s="71" customFormat="1" hidden="1">
      <c r="A632" s="64"/>
      <c r="B632" s="876"/>
      <c r="C632" s="128"/>
      <c r="D632" s="128"/>
      <c r="E632" s="128"/>
      <c r="N632" s="876"/>
      <c r="P632" s="877"/>
      <c r="R632" s="64"/>
      <c r="S632" s="64"/>
      <c r="T632" s="64"/>
      <c r="U632" s="64"/>
    </row>
    <row r="633" spans="1:21" s="71" customFormat="1" hidden="1">
      <c r="A633" s="64"/>
      <c r="B633" s="876"/>
      <c r="C633" s="128"/>
      <c r="D633" s="128"/>
      <c r="E633" s="128"/>
      <c r="N633" s="876"/>
      <c r="P633" s="877"/>
      <c r="R633" s="64"/>
      <c r="S633" s="64"/>
      <c r="T633" s="64"/>
      <c r="U633" s="64"/>
    </row>
    <row r="634" spans="1:21" s="71" customFormat="1" hidden="1">
      <c r="A634" s="64"/>
      <c r="B634" s="876"/>
      <c r="C634" s="128"/>
      <c r="D634" s="128"/>
      <c r="E634" s="128"/>
      <c r="N634" s="876"/>
      <c r="P634" s="877"/>
      <c r="R634" s="64"/>
      <c r="S634" s="64"/>
      <c r="T634" s="64"/>
      <c r="U634" s="64"/>
    </row>
    <row r="635" spans="1:21" s="71" customFormat="1" hidden="1">
      <c r="A635" s="64"/>
      <c r="B635" s="876"/>
      <c r="C635" s="128"/>
      <c r="D635" s="128"/>
      <c r="E635" s="128"/>
      <c r="N635" s="876"/>
      <c r="P635" s="877"/>
      <c r="R635" s="64"/>
      <c r="S635" s="64"/>
      <c r="T635" s="64"/>
      <c r="U635" s="64"/>
    </row>
    <row r="636" spans="1:21" s="71" customFormat="1" hidden="1">
      <c r="A636" s="64"/>
      <c r="B636" s="876"/>
      <c r="C636" s="128"/>
      <c r="D636" s="128"/>
      <c r="E636" s="128"/>
      <c r="N636" s="876"/>
      <c r="P636" s="877"/>
      <c r="R636" s="64"/>
      <c r="S636" s="64"/>
      <c r="T636" s="64"/>
      <c r="U636" s="64"/>
    </row>
    <row r="637" spans="1:21" s="71" customFormat="1" hidden="1">
      <c r="A637" s="64"/>
      <c r="B637" s="876"/>
      <c r="C637" s="128"/>
      <c r="D637" s="128"/>
      <c r="E637" s="128"/>
      <c r="N637" s="876"/>
      <c r="P637" s="877"/>
      <c r="R637" s="64"/>
      <c r="S637" s="64"/>
      <c r="T637" s="64"/>
      <c r="U637" s="64"/>
    </row>
    <row r="638" spans="1:21" s="71" customFormat="1" hidden="1">
      <c r="A638" s="64"/>
      <c r="B638" s="876"/>
      <c r="C638" s="128"/>
      <c r="D638" s="128"/>
      <c r="E638" s="128"/>
      <c r="N638" s="876"/>
      <c r="P638" s="877"/>
      <c r="R638" s="64"/>
      <c r="S638" s="64"/>
      <c r="T638" s="64"/>
      <c r="U638" s="64"/>
    </row>
    <row r="639" spans="1:21" s="71" customFormat="1" hidden="1">
      <c r="A639" s="64"/>
      <c r="B639" s="876"/>
      <c r="C639" s="128"/>
      <c r="D639" s="128"/>
      <c r="E639" s="128"/>
      <c r="N639" s="876"/>
      <c r="P639" s="877"/>
      <c r="R639" s="64"/>
      <c r="S639" s="64"/>
      <c r="T639" s="64"/>
      <c r="U639" s="64"/>
    </row>
    <row r="640" spans="1:21" s="71" customFormat="1" hidden="1">
      <c r="A640" s="64"/>
      <c r="B640" s="876"/>
      <c r="C640" s="128"/>
      <c r="D640" s="128"/>
      <c r="E640" s="128"/>
      <c r="N640" s="876"/>
      <c r="P640" s="877"/>
      <c r="R640" s="64"/>
      <c r="S640" s="64"/>
      <c r="T640" s="64"/>
      <c r="U640" s="64"/>
    </row>
    <row r="641" spans="1:21" s="71" customFormat="1" hidden="1">
      <c r="A641" s="64"/>
      <c r="B641" s="876"/>
      <c r="C641" s="128"/>
      <c r="D641" s="128"/>
      <c r="E641" s="128"/>
      <c r="N641" s="876"/>
      <c r="P641" s="877"/>
      <c r="R641" s="64"/>
      <c r="S641" s="64"/>
      <c r="T641" s="64"/>
      <c r="U641" s="64"/>
    </row>
    <row r="642" spans="1:21" s="71" customFormat="1" hidden="1">
      <c r="A642" s="64"/>
      <c r="B642" s="876"/>
      <c r="C642" s="128"/>
      <c r="D642" s="128"/>
      <c r="E642" s="128"/>
      <c r="N642" s="876"/>
      <c r="P642" s="877"/>
      <c r="R642" s="64"/>
      <c r="S642" s="64"/>
      <c r="T642" s="64"/>
      <c r="U642" s="64"/>
    </row>
    <row r="643" spans="1:21" s="71" customFormat="1" hidden="1">
      <c r="A643" s="64"/>
      <c r="B643" s="876"/>
      <c r="C643" s="128"/>
      <c r="D643" s="128"/>
      <c r="E643" s="128"/>
      <c r="N643" s="876"/>
      <c r="P643" s="877"/>
      <c r="R643" s="64"/>
      <c r="S643" s="64"/>
      <c r="T643" s="64"/>
      <c r="U643" s="64"/>
    </row>
    <row r="644" spans="1:21" s="71" customFormat="1" hidden="1">
      <c r="A644" s="64"/>
      <c r="B644" s="876"/>
      <c r="C644" s="128"/>
      <c r="D644" s="128"/>
      <c r="E644" s="128"/>
      <c r="N644" s="876"/>
      <c r="P644" s="877"/>
      <c r="R644" s="64"/>
      <c r="S644" s="64"/>
      <c r="T644" s="64"/>
      <c r="U644" s="64"/>
    </row>
    <row r="645" spans="1:21" s="71" customFormat="1" hidden="1">
      <c r="A645" s="64"/>
      <c r="B645" s="876"/>
      <c r="C645" s="128"/>
      <c r="D645" s="128"/>
      <c r="E645" s="128"/>
      <c r="N645" s="876"/>
      <c r="P645" s="877"/>
      <c r="R645" s="64"/>
      <c r="S645" s="64"/>
      <c r="T645" s="64"/>
      <c r="U645" s="64"/>
    </row>
    <row r="646" spans="1:21" s="71" customFormat="1" hidden="1">
      <c r="A646" s="64"/>
      <c r="B646" s="876"/>
      <c r="C646" s="128"/>
      <c r="D646" s="128"/>
      <c r="E646" s="128"/>
      <c r="N646" s="876"/>
      <c r="P646" s="877"/>
      <c r="R646" s="64"/>
      <c r="S646" s="64"/>
      <c r="T646" s="64"/>
      <c r="U646" s="64"/>
    </row>
    <row r="647" spans="1:21" s="71" customFormat="1" hidden="1">
      <c r="A647" s="64"/>
      <c r="B647" s="876"/>
      <c r="C647" s="128"/>
      <c r="D647" s="128"/>
      <c r="E647" s="128"/>
      <c r="N647" s="876"/>
      <c r="P647" s="877"/>
      <c r="R647" s="64"/>
      <c r="S647" s="64"/>
      <c r="T647" s="64"/>
      <c r="U647" s="64"/>
    </row>
    <row r="648" spans="1:21" s="71" customFormat="1" hidden="1">
      <c r="A648" s="64"/>
      <c r="B648" s="876"/>
      <c r="C648" s="128"/>
      <c r="D648" s="128"/>
      <c r="E648" s="128"/>
      <c r="N648" s="876"/>
      <c r="P648" s="877"/>
      <c r="R648" s="64"/>
      <c r="S648" s="64"/>
      <c r="T648" s="64"/>
      <c r="U648" s="64"/>
    </row>
    <row r="649" spans="1:21" s="71" customFormat="1" hidden="1">
      <c r="A649" s="64"/>
      <c r="B649" s="876"/>
      <c r="C649" s="128"/>
      <c r="D649" s="128"/>
      <c r="E649" s="128"/>
      <c r="N649" s="876"/>
      <c r="P649" s="877"/>
      <c r="R649" s="64"/>
      <c r="S649" s="64"/>
      <c r="T649" s="64"/>
      <c r="U649" s="64"/>
    </row>
    <row r="650" spans="1:21" s="71" customFormat="1" hidden="1">
      <c r="A650" s="64"/>
      <c r="B650" s="876"/>
      <c r="C650" s="128"/>
      <c r="D650" s="128"/>
      <c r="E650" s="128"/>
      <c r="N650" s="876"/>
      <c r="P650" s="877"/>
      <c r="R650" s="64"/>
      <c r="S650" s="64"/>
      <c r="T650" s="64"/>
      <c r="U650" s="64"/>
    </row>
    <row r="651" spans="1:21" s="71" customFormat="1" hidden="1">
      <c r="A651" s="64"/>
      <c r="B651" s="876"/>
      <c r="C651" s="128"/>
      <c r="D651" s="128"/>
      <c r="E651" s="128"/>
      <c r="N651" s="876"/>
      <c r="P651" s="877"/>
      <c r="R651" s="64"/>
      <c r="S651" s="64"/>
      <c r="T651" s="64"/>
      <c r="U651" s="64"/>
    </row>
    <row r="652" spans="1:21" s="71" customFormat="1" hidden="1">
      <c r="A652" s="64"/>
      <c r="B652" s="876"/>
      <c r="C652" s="128"/>
      <c r="D652" s="128"/>
      <c r="E652" s="128"/>
      <c r="N652" s="876"/>
      <c r="P652" s="877"/>
      <c r="R652" s="64"/>
      <c r="S652" s="64"/>
      <c r="T652" s="64"/>
      <c r="U652" s="64"/>
    </row>
    <row r="653" spans="1:21" s="71" customFormat="1" hidden="1">
      <c r="A653" s="64"/>
      <c r="B653" s="876"/>
      <c r="C653" s="128"/>
      <c r="D653" s="128"/>
      <c r="E653" s="128"/>
      <c r="N653" s="876"/>
      <c r="P653" s="877"/>
      <c r="R653" s="64"/>
      <c r="S653" s="64"/>
      <c r="T653" s="64"/>
      <c r="U653" s="64"/>
    </row>
    <row r="654" spans="1:21" s="71" customFormat="1" hidden="1">
      <c r="A654" s="64"/>
      <c r="B654" s="876"/>
      <c r="C654" s="128"/>
      <c r="D654" s="128"/>
      <c r="E654" s="128"/>
      <c r="N654" s="876"/>
      <c r="P654" s="877"/>
      <c r="R654" s="64"/>
      <c r="S654" s="64"/>
      <c r="T654" s="64"/>
      <c r="U654" s="64"/>
    </row>
    <row r="655" spans="1:21" s="71" customFormat="1" hidden="1">
      <c r="A655" s="64"/>
      <c r="B655" s="876"/>
      <c r="C655" s="128"/>
      <c r="D655" s="128"/>
      <c r="E655" s="128"/>
      <c r="N655" s="876"/>
      <c r="P655" s="877"/>
      <c r="R655" s="64"/>
      <c r="S655" s="64"/>
      <c r="T655" s="64"/>
      <c r="U655" s="64"/>
    </row>
    <row r="656" spans="1:21" s="71" customFormat="1" hidden="1">
      <c r="A656" s="64"/>
      <c r="B656" s="876"/>
      <c r="C656" s="128"/>
      <c r="D656" s="128"/>
      <c r="E656" s="128"/>
      <c r="N656" s="876"/>
      <c r="P656" s="877"/>
      <c r="R656" s="64"/>
      <c r="S656" s="64"/>
      <c r="T656" s="64"/>
      <c r="U656" s="64"/>
    </row>
    <row r="657" spans="1:21" s="71" customFormat="1" hidden="1">
      <c r="A657" s="64"/>
      <c r="B657" s="876"/>
      <c r="C657" s="128"/>
      <c r="D657" s="128"/>
      <c r="E657" s="128"/>
      <c r="N657" s="876"/>
      <c r="P657" s="877"/>
      <c r="R657" s="64"/>
      <c r="S657" s="64"/>
      <c r="T657" s="64"/>
      <c r="U657" s="64"/>
    </row>
    <row r="658" spans="1:21" s="71" customFormat="1" hidden="1">
      <c r="A658" s="64"/>
      <c r="B658" s="876"/>
      <c r="C658" s="128"/>
      <c r="D658" s="128"/>
      <c r="E658" s="128"/>
      <c r="N658" s="876"/>
      <c r="P658" s="877"/>
      <c r="R658" s="64"/>
      <c r="S658" s="64"/>
      <c r="T658" s="64"/>
      <c r="U658" s="64"/>
    </row>
    <row r="659" spans="1:21" s="71" customFormat="1" hidden="1">
      <c r="A659" s="64"/>
      <c r="B659" s="876"/>
      <c r="C659" s="128"/>
      <c r="D659" s="128"/>
      <c r="E659" s="128"/>
      <c r="N659" s="876"/>
      <c r="P659" s="877"/>
      <c r="R659" s="64"/>
      <c r="S659" s="64"/>
      <c r="T659" s="64"/>
      <c r="U659" s="64"/>
    </row>
    <row r="660" spans="1:21" s="71" customFormat="1" hidden="1">
      <c r="A660" s="64"/>
      <c r="B660" s="876"/>
      <c r="C660" s="128"/>
      <c r="D660" s="128"/>
      <c r="E660" s="128"/>
      <c r="N660" s="876"/>
      <c r="P660" s="877"/>
      <c r="R660" s="64"/>
      <c r="S660" s="64"/>
      <c r="T660" s="64"/>
      <c r="U660" s="64"/>
    </row>
    <row r="661" spans="1:21" s="71" customFormat="1" hidden="1">
      <c r="A661" s="64"/>
      <c r="B661" s="876"/>
      <c r="C661" s="128"/>
      <c r="D661" s="128"/>
      <c r="E661" s="128"/>
      <c r="N661" s="876"/>
      <c r="P661" s="877"/>
      <c r="R661" s="64"/>
      <c r="S661" s="64"/>
      <c r="T661" s="64"/>
      <c r="U661" s="64"/>
    </row>
    <row r="662" spans="1:21" s="71" customFormat="1" hidden="1">
      <c r="A662" s="64"/>
      <c r="B662" s="876"/>
      <c r="C662" s="128"/>
      <c r="D662" s="128"/>
      <c r="E662" s="128"/>
      <c r="N662" s="876"/>
      <c r="P662" s="877"/>
      <c r="R662" s="64"/>
      <c r="S662" s="64"/>
      <c r="T662" s="64"/>
      <c r="U662" s="64"/>
    </row>
    <row r="663" spans="1:21" s="71" customFormat="1" hidden="1">
      <c r="A663" s="64"/>
      <c r="B663" s="876"/>
      <c r="C663" s="128"/>
      <c r="D663" s="128"/>
      <c r="E663" s="128"/>
      <c r="N663" s="876"/>
      <c r="P663" s="877"/>
      <c r="R663" s="64"/>
      <c r="S663" s="64"/>
      <c r="T663" s="64"/>
      <c r="U663" s="64"/>
    </row>
    <row r="664" spans="1:21" s="71" customFormat="1" hidden="1">
      <c r="A664" s="64"/>
      <c r="B664" s="876"/>
      <c r="C664" s="128"/>
      <c r="D664" s="128"/>
      <c r="E664" s="128"/>
      <c r="N664" s="876"/>
      <c r="P664" s="877"/>
      <c r="R664" s="64"/>
      <c r="S664" s="64"/>
      <c r="T664" s="64"/>
      <c r="U664" s="64"/>
    </row>
    <row r="665" spans="1:21" s="71" customFormat="1" hidden="1">
      <c r="A665" s="64"/>
      <c r="B665" s="876"/>
      <c r="C665" s="128"/>
      <c r="D665" s="128"/>
      <c r="E665" s="128"/>
      <c r="N665" s="876"/>
      <c r="P665" s="877"/>
      <c r="R665" s="64"/>
      <c r="S665" s="64"/>
      <c r="T665" s="64"/>
      <c r="U665" s="64"/>
    </row>
    <row r="666" spans="1:21" s="71" customFormat="1" hidden="1">
      <c r="A666" s="64"/>
      <c r="B666" s="876"/>
      <c r="C666" s="128"/>
      <c r="D666" s="128"/>
      <c r="E666" s="128"/>
      <c r="N666" s="876"/>
      <c r="P666" s="877"/>
      <c r="R666" s="64"/>
      <c r="S666" s="64"/>
      <c r="T666" s="64"/>
      <c r="U666" s="64"/>
    </row>
    <row r="667" spans="1:21" s="71" customFormat="1" hidden="1">
      <c r="A667" s="64"/>
      <c r="B667" s="876"/>
      <c r="C667" s="128"/>
      <c r="D667" s="128"/>
      <c r="E667" s="128"/>
      <c r="N667" s="876"/>
      <c r="P667" s="877"/>
      <c r="R667" s="64"/>
      <c r="S667" s="64"/>
      <c r="T667" s="64"/>
      <c r="U667" s="64"/>
    </row>
    <row r="668" spans="1:21" s="71" customFormat="1" hidden="1">
      <c r="A668" s="64"/>
      <c r="B668" s="876"/>
      <c r="C668" s="128"/>
      <c r="D668" s="128"/>
      <c r="E668" s="128"/>
      <c r="N668" s="876"/>
      <c r="P668" s="877"/>
      <c r="R668" s="64"/>
      <c r="S668" s="64"/>
      <c r="T668" s="64"/>
      <c r="U668" s="64"/>
    </row>
    <row r="669" spans="1:21" s="71" customFormat="1" hidden="1">
      <c r="A669" s="64"/>
      <c r="B669" s="876"/>
      <c r="C669" s="128"/>
      <c r="D669" s="128"/>
      <c r="E669" s="128"/>
      <c r="N669" s="876"/>
      <c r="P669" s="877"/>
      <c r="R669" s="64"/>
      <c r="S669" s="64"/>
      <c r="T669" s="64"/>
      <c r="U669" s="64"/>
    </row>
    <row r="670" spans="1:21" s="71" customFormat="1" hidden="1">
      <c r="A670" s="64"/>
      <c r="B670" s="876"/>
      <c r="C670" s="128"/>
      <c r="D670" s="128"/>
      <c r="E670" s="128"/>
      <c r="N670" s="876"/>
      <c r="P670" s="877"/>
      <c r="R670" s="64"/>
      <c r="S670" s="64"/>
      <c r="T670" s="64"/>
      <c r="U670" s="64"/>
    </row>
    <row r="671" spans="1:21" s="71" customFormat="1" hidden="1">
      <c r="A671" s="64"/>
      <c r="B671" s="876"/>
      <c r="C671" s="128"/>
      <c r="D671" s="128"/>
      <c r="E671" s="128"/>
      <c r="N671" s="876"/>
      <c r="P671" s="877"/>
      <c r="R671" s="64"/>
      <c r="S671" s="64"/>
      <c r="T671" s="64"/>
      <c r="U671" s="64"/>
    </row>
    <row r="672" spans="1:21" s="71" customFormat="1" hidden="1">
      <c r="A672" s="64"/>
      <c r="B672" s="876"/>
      <c r="C672" s="128"/>
      <c r="D672" s="128"/>
      <c r="E672" s="128"/>
      <c r="N672" s="876"/>
      <c r="P672" s="877"/>
      <c r="R672" s="64"/>
      <c r="S672" s="64"/>
      <c r="T672" s="64"/>
      <c r="U672" s="64"/>
    </row>
    <row r="673" spans="1:21" s="71" customFormat="1" hidden="1">
      <c r="A673" s="64"/>
      <c r="B673" s="876"/>
      <c r="C673" s="128"/>
      <c r="D673" s="128"/>
      <c r="E673" s="128"/>
      <c r="N673" s="876"/>
      <c r="P673" s="877"/>
      <c r="R673" s="64"/>
      <c r="S673" s="64"/>
      <c r="T673" s="64"/>
      <c r="U673" s="64"/>
    </row>
    <row r="674" spans="1:21" s="71" customFormat="1" hidden="1">
      <c r="A674" s="64"/>
      <c r="B674" s="876"/>
      <c r="C674" s="128"/>
      <c r="D674" s="128"/>
      <c r="E674" s="128"/>
      <c r="N674" s="876"/>
      <c r="P674" s="877"/>
      <c r="R674" s="64"/>
      <c r="S674" s="64"/>
      <c r="T674" s="64"/>
      <c r="U674" s="64"/>
    </row>
    <row r="675" spans="1:21" s="71" customFormat="1" hidden="1">
      <c r="A675" s="64"/>
      <c r="B675" s="876"/>
      <c r="C675" s="128"/>
      <c r="D675" s="128"/>
      <c r="E675" s="128"/>
      <c r="N675" s="876"/>
      <c r="P675" s="877"/>
      <c r="R675" s="64"/>
      <c r="S675" s="64"/>
      <c r="T675" s="64"/>
      <c r="U675" s="64"/>
    </row>
    <row r="676" spans="1:21" s="71" customFormat="1" hidden="1">
      <c r="A676" s="64"/>
      <c r="B676" s="876"/>
      <c r="C676" s="128"/>
      <c r="D676" s="128"/>
      <c r="E676" s="128"/>
      <c r="N676" s="876"/>
      <c r="P676" s="877"/>
      <c r="R676" s="64"/>
      <c r="S676" s="64"/>
      <c r="T676" s="64"/>
      <c r="U676" s="64"/>
    </row>
    <row r="677" spans="1:21" s="71" customFormat="1" hidden="1">
      <c r="A677" s="64"/>
      <c r="B677" s="876"/>
      <c r="C677" s="128"/>
      <c r="D677" s="128"/>
      <c r="E677" s="128"/>
      <c r="N677" s="876"/>
      <c r="P677" s="877"/>
      <c r="R677" s="64"/>
      <c r="S677" s="64"/>
      <c r="T677" s="64"/>
      <c r="U677" s="64"/>
    </row>
    <row r="678" spans="1:21" s="71" customFormat="1" hidden="1">
      <c r="A678" s="64"/>
      <c r="B678" s="876"/>
      <c r="C678" s="128"/>
      <c r="D678" s="128"/>
      <c r="E678" s="128"/>
      <c r="N678" s="876"/>
      <c r="P678" s="877"/>
      <c r="R678" s="64"/>
      <c r="S678" s="64"/>
      <c r="T678" s="64"/>
      <c r="U678" s="64"/>
    </row>
    <row r="679" spans="1:21" s="71" customFormat="1" hidden="1">
      <c r="A679" s="64"/>
      <c r="B679" s="876"/>
      <c r="C679" s="128"/>
      <c r="D679" s="128"/>
      <c r="E679" s="128"/>
      <c r="N679" s="876"/>
      <c r="P679" s="877"/>
      <c r="R679" s="64"/>
      <c r="S679" s="64"/>
      <c r="T679" s="64"/>
      <c r="U679" s="64"/>
    </row>
    <row r="680" spans="1:21" s="71" customFormat="1" hidden="1">
      <c r="A680" s="64"/>
      <c r="B680" s="876"/>
      <c r="C680" s="128"/>
      <c r="D680" s="128"/>
      <c r="E680" s="128"/>
      <c r="N680" s="876"/>
      <c r="P680" s="877"/>
      <c r="R680" s="64"/>
      <c r="S680" s="64"/>
      <c r="T680" s="64"/>
      <c r="U680" s="64"/>
    </row>
    <row r="681" spans="1:21" s="71" customFormat="1" hidden="1">
      <c r="A681" s="64"/>
      <c r="B681" s="876"/>
      <c r="C681" s="128"/>
      <c r="D681" s="128"/>
      <c r="E681" s="128"/>
      <c r="N681" s="876"/>
      <c r="P681" s="877"/>
      <c r="R681" s="64"/>
      <c r="S681" s="64"/>
      <c r="T681" s="64"/>
      <c r="U681" s="64"/>
    </row>
    <row r="682" spans="1:21" s="71" customFormat="1" hidden="1">
      <c r="A682" s="64"/>
      <c r="B682" s="876"/>
      <c r="C682" s="128"/>
      <c r="D682" s="128"/>
      <c r="E682" s="128"/>
      <c r="N682" s="876"/>
      <c r="P682" s="877"/>
      <c r="R682" s="64"/>
      <c r="S682" s="64"/>
      <c r="T682" s="64"/>
      <c r="U682" s="64"/>
    </row>
    <row r="683" spans="1:21" s="71" customFormat="1" hidden="1">
      <c r="A683" s="64"/>
      <c r="B683" s="876"/>
      <c r="C683" s="128"/>
      <c r="D683" s="128"/>
      <c r="E683" s="128"/>
      <c r="N683" s="876"/>
      <c r="P683" s="877"/>
      <c r="R683" s="64"/>
      <c r="S683" s="64"/>
      <c r="T683" s="64"/>
      <c r="U683" s="64"/>
    </row>
    <row r="684" spans="1:21" s="71" customFormat="1" hidden="1">
      <c r="A684" s="64"/>
      <c r="B684" s="876"/>
      <c r="C684" s="128"/>
      <c r="D684" s="128"/>
      <c r="E684" s="128"/>
      <c r="N684" s="876"/>
      <c r="P684" s="877"/>
      <c r="R684" s="64"/>
      <c r="S684" s="64"/>
      <c r="T684" s="64"/>
      <c r="U684" s="64"/>
    </row>
    <row r="685" spans="1:21" s="71" customFormat="1" hidden="1">
      <c r="A685" s="64"/>
      <c r="B685" s="876"/>
      <c r="C685" s="128"/>
      <c r="D685" s="128"/>
      <c r="E685" s="128"/>
      <c r="N685" s="876"/>
      <c r="P685" s="877"/>
      <c r="R685" s="64"/>
      <c r="S685" s="64"/>
      <c r="T685" s="64"/>
      <c r="U685" s="64"/>
    </row>
    <row r="686" spans="1:21" s="71" customFormat="1" hidden="1">
      <c r="A686" s="64"/>
      <c r="B686" s="876"/>
      <c r="C686" s="128"/>
      <c r="D686" s="128"/>
      <c r="E686" s="128"/>
      <c r="N686" s="876"/>
      <c r="P686" s="877"/>
      <c r="R686" s="64"/>
      <c r="S686" s="64"/>
      <c r="T686" s="64"/>
      <c r="U686" s="64"/>
    </row>
    <row r="687" spans="1:21" s="71" customFormat="1" hidden="1">
      <c r="A687" s="64"/>
      <c r="B687" s="876"/>
      <c r="C687" s="128"/>
      <c r="D687" s="128"/>
      <c r="E687" s="128"/>
      <c r="N687" s="876"/>
      <c r="P687" s="877"/>
      <c r="R687" s="64"/>
      <c r="S687" s="64"/>
      <c r="T687" s="64"/>
      <c r="U687" s="64"/>
    </row>
    <row r="688" spans="1:21" s="71" customFormat="1" hidden="1">
      <c r="A688" s="64"/>
      <c r="B688" s="876"/>
      <c r="C688" s="128"/>
      <c r="D688" s="128"/>
      <c r="E688" s="128"/>
      <c r="N688" s="876"/>
      <c r="P688" s="877"/>
      <c r="R688" s="64"/>
      <c r="S688" s="64"/>
      <c r="T688" s="64"/>
      <c r="U688" s="64"/>
    </row>
    <row r="689" spans="1:21" s="71" customFormat="1" hidden="1">
      <c r="A689" s="64"/>
      <c r="B689" s="876"/>
      <c r="C689" s="128"/>
      <c r="D689" s="128"/>
      <c r="E689" s="128"/>
      <c r="N689" s="876"/>
      <c r="P689" s="877"/>
      <c r="R689" s="64"/>
      <c r="S689" s="64"/>
      <c r="T689" s="64"/>
      <c r="U689" s="64"/>
    </row>
    <row r="690" spans="1:21" s="71" customFormat="1" hidden="1">
      <c r="A690" s="64"/>
      <c r="B690" s="876"/>
      <c r="C690" s="128"/>
      <c r="D690" s="128"/>
      <c r="E690" s="128"/>
      <c r="N690" s="876"/>
      <c r="P690" s="877"/>
      <c r="R690" s="64"/>
      <c r="S690" s="64"/>
      <c r="T690" s="64"/>
      <c r="U690" s="64"/>
    </row>
    <row r="691" spans="1:21" s="71" customFormat="1" hidden="1">
      <c r="A691" s="64"/>
      <c r="B691" s="876"/>
      <c r="C691" s="128"/>
      <c r="D691" s="128"/>
      <c r="E691" s="128"/>
      <c r="N691" s="876"/>
      <c r="P691" s="877"/>
      <c r="R691" s="64"/>
      <c r="S691" s="64"/>
      <c r="T691" s="64"/>
      <c r="U691" s="64"/>
    </row>
    <row r="692" spans="1:21" s="71" customFormat="1" hidden="1">
      <c r="A692" s="64"/>
      <c r="B692" s="876"/>
      <c r="C692" s="128"/>
      <c r="D692" s="128"/>
      <c r="E692" s="128"/>
      <c r="N692" s="876"/>
      <c r="P692" s="877"/>
      <c r="R692" s="64"/>
      <c r="S692" s="64"/>
      <c r="T692" s="64"/>
      <c r="U692" s="64"/>
    </row>
    <row r="693" spans="1:21" s="71" customFormat="1" hidden="1">
      <c r="A693" s="64"/>
      <c r="B693" s="876"/>
      <c r="C693" s="128"/>
      <c r="D693" s="128"/>
      <c r="E693" s="128"/>
      <c r="N693" s="876"/>
      <c r="P693" s="877"/>
      <c r="R693" s="64"/>
      <c r="S693" s="64"/>
      <c r="T693" s="64"/>
      <c r="U693" s="64"/>
    </row>
    <row r="694" spans="1:21" s="71" customFormat="1" hidden="1">
      <c r="A694" s="64"/>
      <c r="B694" s="876"/>
      <c r="C694" s="128"/>
      <c r="D694" s="128"/>
      <c r="E694" s="128"/>
      <c r="N694" s="876"/>
      <c r="P694" s="877"/>
      <c r="R694" s="64"/>
      <c r="S694" s="64"/>
      <c r="T694" s="64"/>
      <c r="U694" s="64"/>
    </row>
    <row r="695" spans="1:21" s="71" customFormat="1" hidden="1">
      <c r="A695" s="64"/>
      <c r="B695" s="876"/>
      <c r="C695" s="128"/>
      <c r="D695" s="128"/>
      <c r="E695" s="128"/>
      <c r="N695" s="876"/>
      <c r="P695" s="877"/>
      <c r="R695" s="64"/>
      <c r="S695" s="64"/>
      <c r="T695" s="64"/>
      <c r="U695" s="64"/>
    </row>
    <row r="696" spans="1:21" s="71" customFormat="1" hidden="1">
      <c r="A696" s="64"/>
      <c r="B696" s="876"/>
      <c r="C696" s="128"/>
      <c r="D696" s="128"/>
      <c r="E696" s="128"/>
      <c r="N696" s="876"/>
      <c r="P696" s="877"/>
      <c r="R696" s="64"/>
      <c r="S696" s="64"/>
      <c r="T696" s="64"/>
      <c r="U696" s="64"/>
    </row>
    <row r="697" spans="1:21" s="71" customFormat="1" hidden="1">
      <c r="A697" s="64"/>
      <c r="B697" s="876"/>
      <c r="C697" s="128"/>
      <c r="D697" s="128"/>
      <c r="E697" s="128"/>
      <c r="N697" s="876"/>
      <c r="P697" s="877"/>
      <c r="R697" s="64"/>
      <c r="S697" s="64"/>
      <c r="T697" s="64"/>
      <c r="U697" s="64"/>
    </row>
    <row r="698" spans="1:21" s="71" customFormat="1" hidden="1">
      <c r="A698" s="64"/>
      <c r="B698" s="876"/>
      <c r="C698" s="128"/>
      <c r="D698" s="128"/>
      <c r="E698" s="128"/>
      <c r="N698" s="876"/>
      <c r="P698" s="877"/>
      <c r="R698" s="64"/>
      <c r="S698" s="64"/>
      <c r="T698" s="64"/>
      <c r="U698" s="64"/>
    </row>
    <row r="699" spans="1:21" s="71" customFormat="1" hidden="1">
      <c r="A699" s="64"/>
      <c r="B699" s="876"/>
      <c r="C699" s="128"/>
      <c r="D699" s="128"/>
      <c r="E699" s="128"/>
      <c r="N699" s="876"/>
      <c r="P699" s="877"/>
      <c r="R699" s="64"/>
      <c r="S699" s="64"/>
      <c r="T699" s="64"/>
      <c r="U699" s="64"/>
    </row>
    <row r="700" spans="1:21" s="71" customFormat="1" hidden="1">
      <c r="A700" s="64"/>
      <c r="B700" s="876"/>
      <c r="C700" s="128"/>
      <c r="D700" s="128"/>
      <c r="E700" s="128"/>
      <c r="N700" s="876"/>
      <c r="P700" s="877"/>
      <c r="R700" s="64"/>
      <c r="S700" s="64"/>
      <c r="T700" s="64"/>
      <c r="U700" s="64"/>
    </row>
    <row r="701" spans="1:21" s="71" customFormat="1" hidden="1">
      <c r="A701" s="64"/>
      <c r="B701" s="876"/>
      <c r="C701" s="128"/>
      <c r="D701" s="128"/>
      <c r="E701" s="128"/>
      <c r="N701" s="876"/>
      <c r="P701" s="877"/>
      <c r="R701" s="64"/>
      <c r="S701" s="64"/>
      <c r="T701" s="64"/>
      <c r="U701" s="64"/>
    </row>
    <row r="702" spans="1:21" s="71" customFormat="1" hidden="1">
      <c r="A702" s="64"/>
      <c r="B702" s="876"/>
      <c r="C702" s="128"/>
      <c r="D702" s="128"/>
      <c r="E702" s="128"/>
      <c r="N702" s="876"/>
      <c r="P702" s="877"/>
      <c r="R702" s="64"/>
      <c r="S702" s="64"/>
      <c r="T702" s="64"/>
      <c r="U702" s="64"/>
    </row>
    <row r="703" spans="1:21" s="71" customFormat="1" hidden="1">
      <c r="A703" s="64"/>
      <c r="B703" s="876"/>
      <c r="C703" s="128"/>
      <c r="D703" s="128"/>
      <c r="E703" s="128"/>
      <c r="N703" s="876"/>
      <c r="P703" s="877"/>
      <c r="R703" s="64"/>
      <c r="S703" s="64"/>
      <c r="T703" s="64"/>
      <c r="U703" s="64"/>
    </row>
    <row r="704" spans="1:21" s="71" customFormat="1" hidden="1">
      <c r="A704" s="64"/>
      <c r="B704" s="876"/>
      <c r="C704" s="128"/>
      <c r="D704" s="128"/>
      <c r="E704" s="128"/>
      <c r="N704" s="876"/>
      <c r="P704" s="877"/>
      <c r="R704" s="64"/>
      <c r="S704" s="64"/>
      <c r="T704" s="64"/>
      <c r="U704" s="64"/>
    </row>
    <row r="705" spans="1:21" s="71" customFormat="1" hidden="1">
      <c r="A705" s="64"/>
      <c r="B705" s="876"/>
      <c r="C705" s="128"/>
      <c r="D705" s="128"/>
      <c r="E705" s="128"/>
      <c r="N705" s="876"/>
      <c r="P705" s="877"/>
      <c r="R705" s="64"/>
      <c r="S705" s="64"/>
      <c r="T705" s="64"/>
      <c r="U705" s="64"/>
    </row>
    <row r="706" spans="1:21" s="71" customFormat="1" hidden="1">
      <c r="A706" s="64"/>
      <c r="B706" s="876"/>
      <c r="C706" s="128"/>
      <c r="D706" s="128"/>
      <c r="E706" s="128"/>
      <c r="N706" s="876"/>
      <c r="P706" s="877"/>
      <c r="R706" s="64"/>
      <c r="S706" s="64"/>
      <c r="T706" s="64"/>
      <c r="U706" s="64"/>
    </row>
    <row r="707" spans="1:21" s="71" customFormat="1" hidden="1">
      <c r="A707" s="64"/>
      <c r="B707" s="876"/>
      <c r="C707" s="128"/>
      <c r="D707" s="128"/>
      <c r="E707" s="128"/>
      <c r="N707" s="876"/>
      <c r="P707" s="877"/>
      <c r="R707" s="64"/>
      <c r="S707" s="64"/>
      <c r="T707" s="64"/>
      <c r="U707" s="64"/>
    </row>
    <row r="708" spans="1:21" s="71" customFormat="1" hidden="1">
      <c r="A708" s="64"/>
      <c r="B708" s="876"/>
      <c r="C708" s="128"/>
      <c r="D708" s="128"/>
      <c r="E708" s="128"/>
      <c r="N708" s="876"/>
      <c r="P708" s="877"/>
      <c r="R708" s="64"/>
      <c r="S708" s="64"/>
      <c r="T708" s="64"/>
      <c r="U708" s="64"/>
    </row>
    <row r="709" spans="1:21" s="71" customFormat="1" hidden="1">
      <c r="A709" s="64"/>
      <c r="B709" s="876"/>
      <c r="C709" s="128"/>
      <c r="D709" s="128"/>
      <c r="E709" s="128"/>
      <c r="N709" s="876"/>
      <c r="P709" s="877"/>
      <c r="R709" s="64"/>
      <c r="S709" s="64"/>
      <c r="T709" s="64"/>
      <c r="U709" s="64"/>
    </row>
    <row r="710" spans="1:21" s="71" customFormat="1" hidden="1">
      <c r="A710" s="64"/>
      <c r="B710" s="876"/>
      <c r="C710" s="128"/>
      <c r="D710" s="128"/>
      <c r="E710" s="128"/>
      <c r="N710" s="876"/>
      <c r="P710" s="877"/>
      <c r="R710" s="64"/>
      <c r="S710" s="64"/>
      <c r="T710" s="64"/>
      <c r="U710" s="64"/>
    </row>
    <row r="711" spans="1:21" s="71" customFormat="1" hidden="1">
      <c r="A711" s="64"/>
      <c r="B711" s="876"/>
      <c r="C711" s="128"/>
      <c r="D711" s="128"/>
      <c r="E711" s="128"/>
      <c r="N711" s="876"/>
      <c r="P711" s="877"/>
      <c r="R711" s="64"/>
      <c r="S711" s="64"/>
      <c r="T711" s="64"/>
      <c r="U711" s="64"/>
    </row>
    <row r="712" spans="1:21" s="71" customFormat="1" hidden="1">
      <c r="A712" s="64"/>
      <c r="B712" s="876"/>
      <c r="C712" s="128"/>
      <c r="D712" s="128"/>
      <c r="E712" s="128"/>
      <c r="N712" s="876"/>
      <c r="P712" s="877"/>
      <c r="R712" s="64"/>
      <c r="S712" s="64"/>
      <c r="T712" s="64"/>
      <c r="U712" s="64"/>
    </row>
    <row r="713" spans="1:21" s="71" customFormat="1" hidden="1">
      <c r="A713" s="64"/>
      <c r="B713" s="876"/>
      <c r="C713" s="128"/>
      <c r="D713" s="128"/>
      <c r="E713" s="128"/>
      <c r="N713" s="876"/>
      <c r="P713" s="877"/>
      <c r="R713" s="64"/>
      <c r="S713" s="64"/>
      <c r="T713" s="64"/>
      <c r="U713" s="64"/>
    </row>
    <row r="714" spans="1:21" s="71" customFormat="1" hidden="1">
      <c r="A714" s="64"/>
      <c r="B714" s="876"/>
      <c r="C714" s="128"/>
      <c r="D714" s="128"/>
      <c r="E714" s="128"/>
      <c r="N714" s="876"/>
      <c r="P714" s="877"/>
      <c r="R714" s="64"/>
      <c r="S714" s="64"/>
      <c r="T714" s="64"/>
      <c r="U714" s="64"/>
    </row>
    <row r="715" spans="1:21" s="71" customFormat="1" hidden="1">
      <c r="A715" s="64"/>
      <c r="B715" s="876"/>
      <c r="C715" s="128"/>
      <c r="D715" s="128"/>
      <c r="E715" s="128"/>
      <c r="N715" s="876"/>
      <c r="P715" s="877"/>
      <c r="R715" s="64"/>
      <c r="S715" s="64"/>
      <c r="T715" s="64"/>
      <c r="U715" s="64"/>
    </row>
    <row r="716" spans="1:21" s="71" customFormat="1" hidden="1">
      <c r="A716" s="64"/>
      <c r="B716" s="876"/>
      <c r="C716" s="128"/>
      <c r="D716" s="128"/>
      <c r="E716" s="128"/>
      <c r="N716" s="876"/>
      <c r="P716" s="877"/>
      <c r="R716" s="64"/>
      <c r="S716" s="64"/>
      <c r="T716" s="64"/>
      <c r="U716" s="64"/>
    </row>
    <row r="717" spans="1:21" s="71" customFormat="1" hidden="1">
      <c r="A717" s="64"/>
      <c r="B717" s="876"/>
      <c r="C717" s="128"/>
      <c r="D717" s="128"/>
      <c r="E717" s="128"/>
      <c r="N717" s="876"/>
      <c r="P717" s="877"/>
      <c r="R717" s="64"/>
      <c r="S717" s="64"/>
      <c r="T717" s="64"/>
      <c r="U717" s="64"/>
    </row>
    <row r="718" spans="1:21" s="71" customFormat="1" hidden="1">
      <c r="A718" s="64"/>
      <c r="B718" s="876"/>
      <c r="C718" s="128"/>
      <c r="D718" s="128"/>
      <c r="E718" s="128"/>
      <c r="N718" s="876"/>
      <c r="P718" s="877"/>
      <c r="R718" s="64"/>
      <c r="S718" s="64"/>
      <c r="T718" s="64"/>
      <c r="U718" s="64"/>
    </row>
    <row r="719" spans="1:21" s="71" customFormat="1" hidden="1">
      <c r="A719" s="64"/>
      <c r="B719" s="876"/>
      <c r="C719" s="128"/>
      <c r="D719" s="128"/>
      <c r="E719" s="128"/>
      <c r="N719" s="876"/>
      <c r="P719" s="877"/>
      <c r="R719" s="64"/>
      <c r="S719" s="64"/>
      <c r="T719" s="64"/>
      <c r="U719" s="64"/>
    </row>
    <row r="720" spans="1:21" s="71" customFormat="1" hidden="1">
      <c r="A720" s="64"/>
      <c r="B720" s="876"/>
      <c r="C720" s="128"/>
      <c r="D720" s="128"/>
      <c r="E720" s="128"/>
      <c r="N720" s="876"/>
      <c r="P720" s="877"/>
      <c r="R720" s="64"/>
      <c r="S720" s="64"/>
      <c r="T720" s="64"/>
      <c r="U720" s="64"/>
    </row>
    <row r="721" spans="1:21" s="71" customFormat="1" hidden="1">
      <c r="A721" s="64"/>
      <c r="B721" s="876"/>
      <c r="C721" s="128"/>
      <c r="D721" s="128"/>
      <c r="E721" s="128"/>
      <c r="N721" s="876"/>
      <c r="P721" s="877"/>
      <c r="R721" s="64"/>
      <c r="S721" s="64"/>
      <c r="T721" s="64"/>
      <c r="U721" s="64"/>
    </row>
    <row r="722" spans="1:21" s="71" customFormat="1" hidden="1">
      <c r="A722" s="64"/>
      <c r="B722" s="876"/>
      <c r="C722" s="128"/>
      <c r="D722" s="128"/>
      <c r="E722" s="128"/>
      <c r="N722" s="876"/>
      <c r="P722" s="877"/>
      <c r="R722" s="64"/>
      <c r="S722" s="64"/>
      <c r="T722" s="64"/>
      <c r="U722" s="64"/>
    </row>
    <row r="723" spans="1:21" s="71" customFormat="1" hidden="1">
      <c r="A723" s="64"/>
      <c r="B723" s="876"/>
      <c r="C723" s="128"/>
      <c r="D723" s="128"/>
      <c r="E723" s="128"/>
      <c r="N723" s="876"/>
      <c r="P723" s="877"/>
      <c r="R723" s="64"/>
      <c r="S723" s="64"/>
      <c r="T723" s="64"/>
      <c r="U723" s="64"/>
    </row>
    <row r="724" spans="1:21" s="71" customFormat="1" hidden="1">
      <c r="A724" s="64"/>
      <c r="B724" s="876"/>
      <c r="C724" s="128"/>
      <c r="D724" s="128"/>
      <c r="E724" s="128"/>
      <c r="N724" s="876"/>
      <c r="P724" s="877"/>
      <c r="R724" s="64"/>
      <c r="S724" s="64"/>
      <c r="T724" s="64"/>
      <c r="U724" s="64"/>
    </row>
    <row r="725" spans="1:21" s="71" customFormat="1" hidden="1">
      <c r="A725" s="64"/>
      <c r="B725" s="876"/>
      <c r="C725" s="128"/>
      <c r="D725" s="128"/>
      <c r="E725" s="128"/>
      <c r="N725" s="876"/>
      <c r="P725" s="877"/>
      <c r="R725" s="64"/>
      <c r="S725" s="64"/>
      <c r="T725" s="64"/>
      <c r="U725" s="64"/>
    </row>
    <row r="726" spans="1:21" s="71" customFormat="1" hidden="1">
      <c r="A726" s="64"/>
      <c r="B726" s="876"/>
      <c r="C726" s="128"/>
      <c r="D726" s="128"/>
      <c r="E726" s="128"/>
      <c r="N726" s="876"/>
      <c r="P726" s="877"/>
      <c r="R726" s="64"/>
      <c r="S726" s="64"/>
      <c r="T726" s="64"/>
      <c r="U726" s="64"/>
    </row>
    <row r="727" spans="1:21" s="71" customFormat="1" hidden="1">
      <c r="A727" s="64"/>
      <c r="B727" s="876"/>
      <c r="C727" s="128"/>
      <c r="D727" s="128"/>
      <c r="E727" s="128"/>
      <c r="N727" s="876"/>
      <c r="P727" s="877"/>
      <c r="R727" s="64"/>
      <c r="S727" s="64"/>
      <c r="T727" s="64"/>
      <c r="U727" s="64"/>
    </row>
    <row r="728" spans="1:21" s="71" customFormat="1" hidden="1">
      <c r="A728" s="64"/>
      <c r="B728" s="876"/>
      <c r="C728" s="128"/>
      <c r="D728" s="128"/>
      <c r="E728" s="128"/>
      <c r="N728" s="876"/>
      <c r="P728" s="877"/>
      <c r="R728" s="64"/>
      <c r="S728" s="64"/>
      <c r="T728" s="64"/>
      <c r="U728" s="64"/>
    </row>
    <row r="729" spans="1:21" s="71" customFormat="1" hidden="1">
      <c r="A729" s="64"/>
      <c r="B729" s="876"/>
      <c r="C729" s="128"/>
      <c r="D729" s="128"/>
      <c r="E729" s="128"/>
      <c r="N729" s="876"/>
      <c r="P729" s="877"/>
      <c r="R729" s="64"/>
      <c r="S729" s="64"/>
      <c r="T729" s="64"/>
      <c r="U729" s="64"/>
    </row>
    <row r="730" spans="1:21" s="71" customFormat="1" hidden="1">
      <c r="A730" s="64"/>
      <c r="B730" s="876"/>
      <c r="C730" s="128"/>
      <c r="D730" s="128"/>
      <c r="E730" s="128"/>
      <c r="N730" s="876"/>
      <c r="P730" s="877"/>
      <c r="R730" s="64"/>
      <c r="S730" s="64"/>
      <c r="T730" s="64"/>
      <c r="U730" s="64"/>
    </row>
    <row r="731" spans="1:21" s="71" customFormat="1" hidden="1">
      <c r="A731" s="64"/>
      <c r="B731" s="876"/>
      <c r="C731" s="128"/>
      <c r="D731" s="128"/>
      <c r="E731" s="128"/>
      <c r="N731" s="876"/>
      <c r="P731" s="877"/>
      <c r="R731" s="64"/>
      <c r="S731" s="64"/>
      <c r="T731" s="64"/>
      <c r="U731" s="64"/>
    </row>
    <row r="732" spans="1:21" s="71" customFormat="1" hidden="1">
      <c r="A732" s="64"/>
      <c r="B732" s="876"/>
      <c r="C732" s="128"/>
      <c r="D732" s="128"/>
      <c r="E732" s="128"/>
      <c r="N732" s="876"/>
      <c r="P732" s="877"/>
      <c r="R732" s="64"/>
      <c r="S732" s="64"/>
      <c r="T732" s="64"/>
      <c r="U732" s="64"/>
    </row>
    <row r="733" spans="1:21" s="71" customFormat="1" hidden="1">
      <c r="A733" s="64"/>
      <c r="B733" s="876"/>
      <c r="C733" s="128"/>
      <c r="D733" s="128"/>
      <c r="E733" s="128"/>
      <c r="N733" s="876"/>
      <c r="P733" s="877"/>
      <c r="R733" s="64"/>
      <c r="S733" s="64"/>
      <c r="T733" s="64"/>
      <c r="U733" s="64"/>
    </row>
    <row r="734" spans="1:21" s="71" customFormat="1" hidden="1">
      <c r="A734" s="64"/>
      <c r="B734" s="876"/>
      <c r="C734" s="128"/>
      <c r="D734" s="128"/>
      <c r="E734" s="128"/>
      <c r="N734" s="876"/>
      <c r="P734" s="877"/>
      <c r="R734" s="64"/>
      <c r="S734" s="64"/>
      <c r="T734" s="64"/>
      <c r="U734" s="64"/>
    </row>
    <row r="735" spans="1:21" s="71" customFormat="1" hidden="1">
      <c r="A735" s="64"/>
      <c r="B735" s="876"/>
      <c r="C735" s="128"/>
      <c r="D735" s="128"/>
      <c r="E735" s="128"/>
      <c r="N735" s="876"/>
      <c r="P735" s="877"/>
      <c r="R735" s="64"/>
      <c r="S735" s="64"/>
      <c r="T735" s="64"/>
      <c r="U735" s="64"/>
    </row>
    <row r="736" spans="1:21" s="71" customFormat="1" hidden="1">
      <c r="A736" s="64"/>
      <c r="B736" s="876"/>
      <c r="C736" s="128"/>
      <c r="D736" s="128"/>
      <c r="E736" s="128"/>
      <c r="N736" s="876"/>
      <c r="P736" s="877"/>
      <c r="R736" s="64"/>
      <c r="S736" s="64"/>
      <c r="T736" s="64"/>
      <c r="U736" s="64"/>
    </row>
    <row r="737" spans="1:21" s="71" customFormat="1" hidden="1">
      <c r="A737" s="64"/>
      <c r="B737" s="876"/>
      <c r="C737" s="128"/>
      <c r="D737" s="128"/>
      <c r="E737" s="128"/>
      <c r="N737" s="876"/>
      <c r="P737" s="877"/>
      <c r="R737" s="64"/>
      <c r="S737" s="64"/>
      <c r="T737" s="64"/>
      <c r="U737" s="64"/>
    </row>
    <row r="738" spans="1:21" s="71" customFormat="1" hidden="1">
      <c r="A738" s="64"/>
      <c r="B738" s="876"/>
      <c r="C738" s="128"/>
      <c r="D738" s="128"/>
      <c r="E738" s="128"/>
      <c r="N738" s="876"/>
      <c r="P738" s="877"/>
      <c r="R738" s="64"/>
      <c r="S738" s="64"/>
      <c r="T738" s="64"/>
      <c r="U738" s="64"/>
    </row>
    <row r="739" spans="1:21" s="71" customFormat="1" hidden="1">
      <c r="A739" s="64"/>
      <c r="B739" s="876"/>
      <c r="C739" s="128"/>
      <c r="D739" s="128"/>
      <c r="E739" s="128"/>
      <c r="N739" s="876"/>
      <c r="P739" s="877"/>
      <c r="R739" s="64"/>
      <c r="S739" s="64"/>
      <c r="T739" s="64"/>
      <c r="U739" s="64"/>
    </row>
    <row r="740" spans="1:21" s="71" customFormat="1" hidden="1">
      <c r="A740" s="64"/>
      <c r="B740" s="876"/>
      <c r="C740" s="128"/>
      <c r="D740" s="128"/>
      <c r="E740" s="128"/>
      <c r="N740" s="876"/>
      <c r="P740" s="877"/>
      <c r="R740" s="64"/>
      <c r="S740" s="64"/>
      <c r="T740" s="64"/>
      <c r="U740" s="64"/>
    </row>
    <row r="741" spans="1:21" s="71" customFormat="1" hidden="1">
      <c r="A741" s="64"/>
      <c r="B741" s="876"/>
      <c r="C741" s="128"/>
      <c r="D741" s="128"/>
      <c r="E741" s="128"/>
      <c r="N741" s="876"/>
      <c r="P741" s="877"/>
      <c r="R741" s="64"/>
      <c r="S741" s="64"/>
      <c r="T741" s="64"/>
      <c r="U741" s="64"/>
    </row>
    <row r="742" spans="1:21" s="71" customFormat="1" hidden="1">
      <c r="A742" s="64"/>
      <c r="B742" s="876"/>
      <c r="C742" s="128"/>
      <c r="D742" s="128"/>
      <c r="E742" s="128"/>
      <c r="N742" s="876"/>
      <c r="P742" s="877"/>
      <c r="R742" s="64"/>
      <c r="S742" s="64"/>
      <c r="T742" s="64"/>
      <c r="U742" s="64"/>
    </row>
    <row r="743" spans="1:21" s="71" customFormat="1" hidden="1">
      <c r="A743" s="64"/>
      <c r="B743" s="876"/>
      <c r="C743" s="128"/>
      <c r="D743" s="128"/>
      <c r="E743" s="128"/>
      <c r="N743" s="876"/>
      <c r="P743" s="877"/>
      <c r="R743" s="64"/>
      <c r="S743" s="64"/>
      <c r="T743" s="64"/>
      <c r="U743" s="64"/>
    </row>
    <row r="744" spans="1:21" s="71" customFormat="1" hidden="1">
      <c r="A744" s="64"/>
      <c r="B744" s="876"/>
      <c r="C744" s="128"/>
      <c r="D744" s="128"/>
      <c r="E744" s="128"/>
      <c r="N744" s="876"/>
      <c r="P744" s="877"/>
      <c r="R744" s="64"/>
      <c r="S744" s="64"/>
      <c r="T744" s="64"/>
      <c r="U744" s="64"/>
    </row>
    <row r="745" spans="1:21" s="71" customFormat="1" hidden="1">
      <c r="A745" s="64"/>
      <c r="B745" s="876"/>
      <c r="C745" s="128"/>
      <c r="D745" s="128"/>
      <c r="E745" s="128"/>
      <c r="N745" s="876"/>
      <c r="P745" s="877"/>
      <c r="R745" s="64"/>
      <c r="S745" s="64"/>
      <c r="T745" s="64"/>
      <c r="U745" s="64"/>
    </row>
    <row r="746" spans="1:21" s="71" customFormat="1" hidden="1">
      <c r="A746" s="64"/>
      <c r="B746" s="876"/>
      <c r="C746" s="128"/>
      <c r="D746" s="128"/>
      <c r="E746" s="128"/>
      <c r="N746" s="876"/>
      <c r="P746" s="877"/>
      <c r="R746" s="64"/>
      <c r="S746" s="64"/>
      <c r="T746" s="64"/>
      <c r="U746" s="64"/>
    </row>
    <row r="747" spans="1:21" s="71" customFormat="1" hidden="1">
      <c r="A747" s="64"/>
      <c r="B747" s="876"/>
      <c r="C747" s="128"/>
      <c r="D747" s="128"/>
      <c r="E747" s="128"/>
      <c r="N747" s="876"/>
      <c r="P747" s="877"/>
      <c r="R747" s="64"/>
      <c r="S747" s="64"/>
      <c r="T747" s="64"/>
      <c r="U747" s="64"/>
    </row>
    <row r="748" spans="1:21" s="71" customFormat="1" hidden="1">
      <c r="A748" s="64"/>
      <c r="B748" s="876"/>
      <c r="C748" s="128"/>
      <c r="D748" s="128"/>
      <c r="E748" s="128"/>
      <c r="N748" s="876"/>
      <c r="P748" s="877"/>
      <c r="R748" s="64"/>
      <c r="S748" s="64"/>
      <c r="T748" s="64"/>
      <c r="U748" s="64"/>
    </row>
    <row r="749" spans="1:21" s="71" customFormat="1" hidden="1">
      <c r="A749" s="64"/>
      <c r="B749" s="876"/>
      <c r="C749" s="128"/>
      <c r="D749" s="128"/>
      <c r="E749" s="128"/>
      <c r="N749" s="876"/>
      <c r="P749" s="877"/>
      <c r="R749" s="64"/>
      <c r="S749" s="64"/>
      <c r="T749" s="64"/>
      <c r="U749" s="64"/>
    </row>
    <row r="750" spans="1:21" s="71" customFormat="1" hidden="1">
      <c r="A750" s="64"/>
      <c r="B750" s="876"/>
      <c r="C750" s="128"/>
      <c r="D750" s="128"/>
      <c r="E750" s="128"/>
      <c r="N750" s="876"/>
      <c r="P750" s="877"/>
      <c r="R750" s="64"/>
      <c r="S750" s="64"/>
      <c r="T750" s="64"/>
      <c r="U750" s="64"/>
    </row>
    <row r="751" spans="1:21" s="71" customFormat="1" hidden="1">
      <c r="A751" s="64"/>
      <c r="B751" s="876"/>
      <c r="C751" s="128"/>
      <c r="D751" s="128"/>
      <c r="E751" s="128"/>
      <c r="N751" s="876"/>
      <c r="P751" s="877"/>
      <c r="R751" s="64"/>
      <c r="S751" s="64"/>
      <c r="T751" s="64"/>
      <c r="U751" s="64"/>
    </row>
    <row r="752" spans="1:21" s="71" customFormat="1" hidden="1">
      <c r="A752" s="64"/>
      <c r="B752" s="876"/>
      <c r="C752" s="128"/>
      <c r="D752" s="128"/>
      <c r="E752" s="128"/>
      <c r="N752" s="876"/>
      <c r="P752" s="877"/>
      <c r="R752" s="64"/>
      <c r="S752" s="64"/>
      <c r="T752" s="64"/>
      <c r="U752" s="64"/>
    </row>
    <row r="753" spans="1:21" s="71" customFormat="1" hidden="1">
      <c r="A753" s="64"/>
      <c r="B753" s="876"/>
      <c r="C753" s="128"/>
      <c r="D753" s="128"/>
      <c r="E753" s="128"/>
      <c r="N753" s="876"/>
      <c r="P753" s="877"/>
      <c r="R753" s="64"/>
      <c r="S753" s="64"/>
      <c r="T753" s="64"/>
      <c r="U753" s="64"/>
    </row>
    <row r="754" spans="1:21" s="71" customFormat="1" hidden="1">
      <c r="A754" s="64"/>
      <c r="B754" s="876"/>
      <c r="C754" s="128"/>
      <c r="D754" s="128"/>
      <c r="E754" s="128"/>
      <c r="N754" s="876"/>
      <c r="P754" s="877"/>
      <c r="R754" s="64"/>
      <c r="S754" s="64"/>
      <c r="T754" s="64"/>
      <c r="U754" s="64"/>
    </row>
    <row r="755" spans="1:21" s="71" customFormat="1" hidden="1">
      <c r="A755" s="64"/>
      <c r="B755" s="876"/>
      <c r="C755" s="128"/>
      <c r="D755" s="128"/>
      <c r="E755" s="128"/>
      <c r="N755" s="876"/>
      <c r="P755" s="877"/>
      <c r="R755" s="64"/>
      <c r="S755" s="64"/>
      <c r="T755" s="64"/>
      <c r="U755" s="64"/>
    </row>
    <row r="756" spans="1:21" s="71" customFormat="1" hidden="1">
      <c r="A756" s="64"/>
      <c r="B756" s="876"/>
      <c r="C756" s="128"/>
      <c r="D756" s="128"/>
      <c r="E756" s="128"/>
      <c r="N756" s="876"/>
      <c r="P756" s="877"/>
      <c r="R756" s="64"/>
      <c r="S756" s="64"/>
      <c r="T756" s="64"/>
      <c r="U756" s="64"/>
    </row>
    <row r="757" spans="1:21" s="71" customFormat="1" hidden="1">
      <c r="A757" s="64"/>
      <c r="B757" s="876"/>
      <c r="C757" s="128"/>
      <c r="D757" s="128"/>
      <c r="E757" s="128"/>
      <c r="N757" s="876"/>
      <c r="P757" s="877"/>
      <c r="R757" s="64"/>
      <c r="S757" s="64"/>
      <c r="T757" s="64"/>
      <c r="U757" s="64"/>
    </row>
    <row r="758" spans="1:21" s="71" customFormat="1" hidden="1">
      <c r="A758" s="64"/>
      <c r="B758" s="876"/>
      <c r="C758" s="128"/>
      <c r="D758" s="128"/>
      <c r="E758" s="128"/>
      <c r="N758" s="876"/>
      <c r="P758" s="877"/>
      <c r="R758" s="64"/>
      <c r="S758" s="64"/>
      <c r="T758" s="64"/>
      <c r="U758" s="64"/>
    </row>
    <row r="759" spans="1:21" s="71" customFormat="1" hidden="1">
      <c r="A759" s="64"/>
      <c r="B759" s="876"/>
      <c r="C759" s="128"/>
      <c r="D759" s="128"/>
      <c r="E759" s="128"/>
      <c r="N759" s="876"/>
      <c r="P759" s="877"/>
      <c r="R759" s="64"/>
      <c r="S759" s="64"/>
      <c r="T759" s="64"/>
      <c r="U759" s="64"/>
    </row>
    <row r="760" spans="1:21" s="71" customFormat="1" hidden="1">
      <c r="A760" s="64"/>
      <c r="B760" s="876"/>
      <c r="C760" s="128"/>
      <c r="D760" s="128"/>
      <c r="E760" s="128"/>
      <c r="N760" s="876"/>
      <c r="P760" s="877"/>
      <c r="R760" s="64"/>
      <c r="S760" s="64"/>
      <c r="T760" s="64"/>
      <c r="U760" s="64"/>
    </row>
    <row r="761" spans="1:21" s="71" customFormat="1" hidden="1">
      <c r="A761" s="64"/>
      <c r="B761" s="876"/>
      <c r="C761" s="128"/>
      <c r="D761" s="128"/>
      <c r="E761" s="128"/>
      <c r="N761" s="876"/>
      <c r="P761" s="877"/>
      <c r="R761" s="64"/>
      <c r="S761" s="64"/>
      <c r="T761" s="64"/>
      <c r="U761" s="64"/>
    </row>
    <row r="762" spans="1:21" s="71" customFormat="1" hidden="1">
      <c r="A762" s="64"/>
      <c r="B762" s="876"/>
      <c r="C762" s="128"/>
      <c r="D762" s="128"/>
      <c r="E762" s="128"/>
      <c r="N762" s="876"/>
      <c r="P762" s="877"/>
      <c r="R762" s="64"/>
      <c r="S762" s="64"/>
      <c r="T762" s="64"/>
      <c r="U762" s="64"/>
    </row>
    <row r="763" spans="1:21" s="71" customFormat="1" hidden="1">
      <c r="A763" s="64"/>
      <c r="B763" s="876"/>
      <c r="C763" s="128"/>
      <c r="D763" s="128"/>
      <c r="E763" s="128"/>
      <c r="N763" s="876"/>
      <c r="P763" s="877"/>
      <c r="R763" s="64"/>
      <c r="S763" s="64"/>
      <c r="T763" s="64"/>
      <c r="U763" s="64"/>
    </row>
    <row r="764" spans="1:21" s="71" customFormat="1" hidden="1">
      <c r="A764" s="64"/>
      <c r="B764" s="876"/>
      <c r="C764" s="128"/>
      <c r="D764" s="128"/>
      <c r="E764" s="128"/>
      <c r="N764" s="876"/>
      <c r="P764" s="877"/>
      <c r="R764" s="64"/>
      <c r="S764" s="64"/>
      <c r="T764" s="64"/>
      <c r="U764" s="64"/>
    </row>
    <row r="765" spans="1:21" s="71" customFormat="1" hidden="1">
      <c r="A765" s="64"/>
      <c r="B765" s="876"/>
      <c r="C765" s="128"/>
      <c r="D765" s="128"/>
      <c r="E765" s="128"/>
      <c r="N765" s="876"/>
      <c r="P765" s="877"/>
      <c r="R765" s="64"/>
      <c r="S765" s="64"/>
      <c r="T765" s="64"/>
      <c r="U765" s="64"/>
    </row>
    <row r="766" spans="1:21" s="71" customFormat="1" hidden="1">
      <c r="A766" s="64"/>
      <c r="B766" s="876"/>
      <c r="C766" s="128"/>
      <c r="D766" s="128"/>
      <c r="E766" s="128"/>
      <c r="N766" s="876"/>
      <c r="P766" s="877"/>
      <c r="R766" s="64"/>
      <c r="S766" s="64"/>
      <c r="T766" s="64"/>
      <c r="U766" s="64"/>
    </row>
    <row r="767" spans="1:21" s="71" customFormat="1" hidden="1">
      <c r="A767" s="64"/>
      <c r="B767" s="876"/>
      <c r="C767" s="128"/>
      <c r="D767" s="128"/>
      <c r="E767" s="128"/>
      <c r="N767" s="876"/>
      <c r="P767" s="877"/>
      <c r="R767" s="64"/>
      <c r="S767" s="64"/>
      <c r="T767" s="64"/>
      <c r="U767" s="64"/>
    </row>
    <row r="768" spans="1:21" s="71" customFormat="1" hidden="1">
      <c r="A768" s="64"/>
      <c r="B768" s="876"/>
      <c r="C768" s="128"/>
      <c r="D768" s="128"/>
      <c r="E768" s="128"/>
      <c r="N768" s="876"/>
      <c r="P768" s="877"/>
      <c r="R768" s="64"/>
      <c r="S768" s="64"/>
      <c r="T768" s="64"/>
      <c r="U768" s="64"/>
    </row>
    <row r="769" spans="1:21" s="71" customFormat="1" hidden="1">
      <c r="A769" s="64"/>
      <c r="B769" s="876"/>
      <c r="C769" s="128"/>
      <c r="D769" s="128"/>
      <c r="E769" s="128"/>
      <c r="N769" s="876"/>
      <c r="P769" s="877"/>
      <c r="R769" s="64"/>
      <c r="S769" s="64"/>
      <c r="T769" s="64"/>
      <c r="U769" s="64"/>
    </row>
    <row r="770" spans="1:21" s="71" customFormat="1" hidden="1">
      <c r="A770" s="64"/>
      <c r="B770" s="876"/>
      <c r="C770" s="128"/>
      <c r="D770" s="128"/>
      <c r="E770" s="128"/>
      <c r="N770" s="876"/>
      <c r="P770" s="877"/>
      <c r="R770" s="64"/>
      <c r="S770" s="64"/>
      <c r="T770" s="64"/>
      <c r="U770" s="64"/>
    </row>
    <row r="771" spans="1:21" s="71" customFormat="1" hidden="1">
      <c r="A771" s="64"/>
      <c r="B771" s="876"/>
      <c r="C771" s="128"/>
      <c r="D771" s="128"/>
      <c r="E771" s="128"/>
      <c r="N771" s="876"/>
      <c r="P771" s="877"/>
      <c r="R771" s="64"/>
      <c r="S771" s="64"/>
      <c r="T771" s="64"/>
      <c r="U771" s="64"/>
    </row>
    <row r="772" spans="1:21" s="71" customFormat="1" hidden="1">
      <c r="A772" s="64"/>
      <c r="B772" s="876"/>
      <c r="C772" s="128"/>
      <c r="D772" s="128"/>
      <c r="E772" s="128"/>
      <c r="N772" s="876"/>
      <c r="P772" s="877"/>
      <c r="R772" s="64"/>
      <c r="S772" s="64"/>
      <c r="T772" s="64"/>
      <c r="U772" s="64"/>
    </row>
    <row r="773" spans="1:21" s="71" customFormat="1" hidden="1">
      <c r="A773" s="64"/>
      <c r="B773" s="876"/>
      <c r="C773" s="128"/>
      <c r="D773" s="128"/>
      <c r="E773" s="128"/>
      <c r="N773" s="876"/>
      <c r="P773" s="877"/>
      <c r="R773" s="64"/>
      <c r="S773" s="64"/>
      <c r="T773" s="64"/>
      <c r="U773" s="64"/>
    </row>
    <row r="774" spans="1:21" s="71" customFormat="1" hidden="1">
      <c r="A774" s="64"/>
      <c r="B774" s="876"/>
      <c r="C774" s="128"/>
      <c r="D774" s="128"/>
      <c r="E774" s="128"/>
      <c r="N774" s="876"/>
      <c r="P774" s="877"/>
      <c r="R774" s="64"/>
      <c r="S774" s="64"/>
      <c r="T774" s="64"/>
      <c r="U774" s="64"/>
    </row>
    <row r="775" spans="1:21" s="71" customFormat="1" hidden="1">
      <c r="A775" s="64"/>
      <c r="B775" s="876"/>
      <c r="C775" s="128"/>
      <c r="D775" s="128"/>
      <c r="E775" s="128"/>
      <c r="N775" s="876"/>
      <c r="P775" s="877"/>
      <c r="R775" s="64"/>
      <c r="S775" s="64"/>
      <c r="T775" s="64"/>
      <c r="U775" s="64"/>
    </row>
    <row r="776" spans="1:21" s="71" customFormat="1" hidden="1">
      <c r="A776" s="64"/>
      <c r="B776" s="876"/>
      <c r="C776" s="128"/>
      <c r="D776" s="128"/>
      <c r="E776" s="128"/>
      <c r="N776" s="876"/>
      <c r="P776" s="877"/>
      <c r="R776" s="64"/>
      <c r="S776" s="64"/>
      <c r="T776" s="64"/>
      <c r="U776" s="64"/>
    </row>
    <row r="777" spans="1:21" s="71" customFormat="1" hidden="1">
      <c r="A777" s="64"/>
      <c r="B777" s="876"/>
      <c r="C777" s="128"/>
      <c r="D777" s="128"/>
      <c r="E777" s="128"/>
      <c r="N777" s="876"/>
      <c r="P777" s="877"/>
      <c r="R777" s="64"/>
      <c r="S777" s="64"/>
      <c r="T777" s="64"/>
      <c r="U777" s="64"/>
    </row>
    <row r="778" spans="1:21" s="71" customFormat="1" hidden="1">
      <c r="A778" s="64"/>
      <c r="B778" s="876"/>
      <c r="C778" s="128"/>
      <c r="D778" s="128"/>
      <c r="E778" s="128"/>
      <c r="N778" s="876"/>
      <c r="P778" s="877"/>
      <c r="R778" s="64"/>
      <c r="S778" s="64"/>
      <c r="T778" s="64"/>
      <c r="U778" s="64"/>
    </row>
    <row r="779" spans="1:21" s="71" customFormat="1" hidden="1">
      <c r="A779" s="64"/>
      <c r="B779" s="876"/>
      <c r="C779" s="128"/>
      <c r="D779" s="128"/>
      <c r="E779" s="128"/>
      <c r="N779" s="876"/>
      <c r="P779" s="877"/>
      <c r="R779" s="64"/>
      <c r="S779" s="64"/>
      <c r="T779" s="64"/>
      <c r="U779" s="64"/>
    </row>
    <row r="780" spans="1:21" s="71" customFormat="1" hidden="1">
      <c r="A780" s="64"/>
      <c r="B780" s="876"/>
      <c r="C780" s="128"/>
      <c r="D780" s="128"/>
      <c r="E780" s="128"/>
      <c r="N780" s="876"/>
      <c r="P780" s="877"/>
      <c r="R780" s="64"/>
      <c r="S780" s="64"/>
      <c r="T780" s="64"/>
      <c r="U780" s="64"/>
    </row>
    <row r="781" spans="1:21" s="71" customFormat="1" hidden="1">
      <c r="A781" s="64"/>
      <c r="B781" s="876"/>
      <c r="C781" s="128"/>
      <c r="D781" s="128"/>
      <c r="E781" s="128"/>
      <c r="N781" s="876"/>
      <c r="P781" s="877"/>
      <c r="R781" s="64"/>
      <c r="S781" s="64"/>
      <c r="T781" s="64"/>
      <c r="U781" s="64"/>
    </row>
    <row r="782" spans="1:21" s="71" customFormat="1" hidden="1">
      <c r="A782" s="64"/>
      <c r="B782" s="876"/>
      <c r="C782" s="128"/>
      <c r="D782" s="128"/>
      <c r="E782" s="128"/>
      <c r="N782" s="876"/>
      <c r="P782" s="877"/>
      <c r="R782" s="64"/>
      <c r="S782" s="64"/>
      <c r="T782" s="64"/>
      <c r="U782" s="64"/>
    </row>
    <row r="783" spans="1:21" s="71" customFormat="1" hidden="1">
      <c r="A783" s="64"/>
      <c r="B783" s="876"/>
      <c r="C783" s="128"/>
      <c r="D783" s="128"/>
      <c r="E783" s="128"/>
      <c r="N783" s="876"/>
      <c r="P783" s="877"/>
      <c r="R783" s="64"/>
      <c r="S783" s="64"/>
      <c r="T783" s="64"/>
      <c r="U783" s="64"/>
    </row>
    <row r="784" spans="1:21" s="71" customFormat="1" hidden="1">
      <c r="A784" s="64"/>
      <c r="B784" s="876"/>
      <c r="C784" s="128"/>
      <c r="D784" s="128"/>
      <c r="E784" s="128"/>
      <c r="N784" s="876"/>
      <c r="P784" s="877"/>
      <c r="R784" s="64"/>
      <c r="S784" s="64"/>
      <c r="T784" s="64"/>
      <c r="U784" s="64"/>
    </row>
    <row r="785" spans="1:21" s="71" customFormat="1" hidden="1">
      <c r="A785" s="64"/>
      <c r="B785" s="876"/>
      <c r="C785" s="128"/>
      <c r="D785" s="128"/>
      <c r="E785" s="128"/>
      <c r="N785" s="876"/>
      <c r="P785" s="877"/>
      <c r="R785" s="64"/>
      <c r="S785" s="64"/>
      <c r="T785" s="64"/>
      <c r="U785" s="64"/>
    </row>
    <row r="786" spans="1:21" s="71" customFormat="1" hidden="1">
      <c r="A786" s="64"/>
      <c r="B786" s="876"/>
      <c r="C786" s="128"/>
      <c r="D786" s="128"/>
      <c r="E786" s="128"/>
      <c r="N786" s="876"/>
      <c r="P786" s="877"/>
      <c r="R786" s="64"/>
      <c r="S786" s="64"/>
      <c r="T786" s="64"/>
      <c r="U786" s="64"/>
    </row>
    <row r="787" spans="1:21" s="71" customFormat="1" hidden="1">
      <c r="A787" s="64"/>
      <c r="B787" s="876"/>
      <c r="C787" s="128"/>
      <c r="D787" s="128"/>
      <c r="E787" s="128"/>
      <c r="N787" s="876"/>
      <c r="P787" s="877"/>
      <c r="R787" s="64"/>
      <c r="S787" s="64"/>
      <c r="T787" s="64"/>
      <c r="U787" s="64"/>
    </row>
    <row r="788" spans="1:21" s="71" customFormat="1" hidden="1">
      <c r="A788" s="64"/>
      <c r="B788" s="876"/>
      <c r="C788" s="128"/>
      <c r="D788" s="128"/>
      <c r="E788" s="128"/>
      <c r="N788" s="876"/>
      <c r="P788" s="877"/>
      <c r="R788" s="64"/>
      <c r="S788" s="64"/>
      <c r="T788" s="64"/>
      <c r="U788" s="64"/>
    </row>
    <row r="789" spans="1:21" s="71" customFormat="1" hidden="1">
      <c r="A789" s="64"/>
      <c r="B789" s="876"/>
      <c r="C789" s="128"/>
      <c r="D789" s="128"/>
      <c r="E789" s="128"/>
      <c r="N789" s="876"/>
      <c r="P789" s="877"/>
      <c r="R789" s="64"/>
      <c r="S789" s="64"/>
      <c r="T789" s="64"/>
      <c r="U789" s="64"/>
    </row>
    <row r="790" spans="1:21" s="71" customFormat="1" hidden="1">
      <c r="A790" s="64"/>
      <c r="B790" s="876"/>
      <c r="C790" s="128"/>
      <c r="D790" s="128"/>
      <c r="E790" s="128"/>
      <c r="N790" s="876"/>
      <c r="P790" s="877"/>
      <c r="R790" s="64"/>
      <c r="S790" s="64"/>
      <c r="T790" s="64"/>
      <c r="U790" s="64"/>
    </row>
    <row r="791" spans="1:21" s="71" customFormat="1" hidden="1">
      <c r="A791" s="64"/>
      <c r="B791" s="876"/>
      <c r="C791" s="128"/>
      <c r="D791" s="128"/>
      <c r="E791" s="128"/>
      <c r="N791" s="876"/>
      <c r="P791" s="877"/>
      <c r="R791" s="64"/>
      <c r="S791" s="64"/>
      <c r="T791" s="64"/>
      <c r="U791" s="64"/>
    </row>
    <row r="792" spans="1:21" s="71" customFormat="1" hidden="1">
      <c r="A792" s="64"/>
      <c r="B792" s="876"/>
      <c r="C792" s="128"/>
      <c r="D792" s="128"/>
      <c r="E792" s="128"/>
      <c r="N792" s="876"/>
      <c r="P792" s="877"/>
      <c r="R792" s="64"/>
      <c r="S792" s="64"/>
      <c r="T792" s="64"/>
      <c r="U792" s="64"/>
    </row>
    <row r="793" spans="1:21" s="71" customFormat="1" hidden="1">
      <c r="A793" s="64"/>
      <c r="B793" s="876"/>
      <c r="C793" s="128"/>
      <c r="D793" s="128"/>
      <c r="E793" s="128"/>
      <c r="N793" s="876"/>
      <c r="P793" s="877"/>
      <c r="R793" s="64"/>
      <c r="S793" s="64"/>
      <c r="T793" s="64"/>
      <c r="U793" s="64"/>
    </row>
    <row r="794" spans="1:21" s="71" customFormat="1" hidden="1">
      <c r="A794" s="64"/>
      <c r="B794" s="876"/>
      <c r="C794" s="128"/>
      <c r="D794" s="128"/>
      <c r="E794" s="128"/>
      <c r="N794" s="876"/>
      <c r="P794" s="877"/>
      <c r="R794" s="64"/>
      <c r="S794" s="64"/>
      <c r="T794" s="64"/>
      <c r="U794" s="64"/>
    </row>
    <row r="795" spans="1:21" s="71" customFormat="1" hidden="1">
      <c r="A795" s="64"/>
      <c r="B795" s="876"/>
      <c r="C795" s="128"/>
      <c r="D795" s="128"/>
      <c r="E795" s="128"/>
      <c r="N795" s="876"/>
      <c r="P795" s="877"/>
      <c r="R795" s="64"/>
      <c r="S795" s="64"/>
      <c r="T795" s="64"/>
      <c r="U795" s="64"/>
    </row>
    <row r="796" spans="1:21" s="71" customFormat="1" hidden="1">
      <c r="A796" s="64"/>
      <c r="B796" s="876"/>
      <c r="C796" s="128"/>
      <c r="D796" s="128"/>
      <c r="E796" s="128"/>
      <c r="N796" s="876"/>
      <c r="P796" s="877"/>
      <c r="R796" s="64"/>
      <c r="S796" s="64"/>
      <c r="T796" s="64"/>
      <c r="U796" s="64"/>
    </row>
    <row r="797" spans="1:21" s="71" customFormat="1" hidden="1">
      <c r="A797" s="64"/>
      <c r="B797" s="876"/>
      <c r="C797" s="128"/>
      <c r="D797" s="128"/>
      <c r="E797" s="128"/>
      <c r="N797" s="876"/>
      <c r="P797" s="877"/>
      <c r="R797" s="64"/>
      <c r="S797" s="64"/>
      <c r="T797" s="64"/>
      <c r="U797" s="64"/>
    </row>
    <row r="798" spans="1:21" s="71" customFormat="1" hidden="1">
      <c r="A798" s="64"/>
      <c r="B798" s="876"/>
      <c r="C798" s="128"/>
      <c r="D798" s="128"/>
      <c r="E798" s="128"/>
      <c r="N798" s="876"/>
      <c r="P798" s="877"/>
      <c r="R798" s="64"/>
      <c r="S798" s="64"/>
      <c r="T798" s="64"/>
      <c r="U798" s="64"/>
    </row>
    <row r="799" spans="1:21" s="71" customFormat="1" hidden="1">
      <c r="A799" s="64"/>
      <c r="B799" s="876"/>
      <c r="C799" s="128"/>
      <c r="D799" s="128"/>
      <c r="E799" s="128"/>
      <c r="N799" s="876"/>
      <c r="P799" s="877"/>
      <c r="R799" s="64"/>
      <c r="S799" s="64"/>
      <c r="T799" s="64"/>
      <c r="U799" s="64"/>
    </row>
    <row r="800" spans="1:21" s="71" customFormat="1" hidden="1">
      <c r="A800" s="64"/>
      <c r="B800" s="876"/>
      <c r="C800" s="128"/>
      <c r="D800" s="128"/>
      <c r="E800" s="128"/>
      <c r="N800" s="876"/>
      <c r="P800" s="877"/>
      <c r="R800" s="64"/>
      <c r="S800" s="64"/>
      <c r="T800" s="64"/>
      <c r="U800" s="64"/>
    </row>
    <row r="801" spans="1:21" s="71" customFormat="1" hidden="1">
      <c r="A801" s="64"/>
      <c r="B801" s="876"/>
      <c r="C801" s="128"/>
      <c r="D801" s="128"/>
      <c r="E801" s="128"/>
      <c r="N801" s="876"/>
      <c r="P801" s="877"/>
      <c r="R801" s="64"/>
      <c r="S801" s="64"/>
      <c r="T801" s="64"/>
      <c r="U801" s="64"/>
    </row>
    <row r="802" spans="1:21" s="71" customFormat="1" hidden="1">
      <c r="A802" s="64"/>
      <c r="B802" s="876"/>
      <c r="C802" s="128"/>
      <c r="D802" s="128"/>
      <c r="E802" s="128"/>
      <c r="N802" s="876"/>
      <c r="P802" s="877"/>
      <c r="R802" s="64"/>
      <c r="S802" s="64"/>
      <c r="T802" s="64"/>
      <c r="U802" s="64"/>
    </row>
    <row r="803" spans="1:21" s="71" customFormat="1" hidden="1">
      <c r="A803" s="64"/>
      <c r="B803" s="876"/>
      <c r="C803" s="128"/>
      <c r="D803" s="128"/>
      <c r="E803" s="128"/>
      <c r="N803" s="876"/>
      <c r="P803" s="877"/>
      <c r="R803" s="64"/>
      <c r="S803" s="64"/>
      <c r="T803" s="64"/>
      <c r="U803" s="64"/>
    </row>
    <row r="804" spans="1:21" s="71" customFormat="1" hidden="1">
      <c r="A804" s="64"/>
      <c r="B804" s="876"/>
      <c r="C804" s="128"/>
      <c r="D804" s="128"/>
      <c r="E804" s="128"/>
      <c r="N804" s="876"/>
      <c r="P804" s="877"/>
      <c r="R804" s="64"/>
      <c r="S804" s="64"/>
      <c r="T804" s="64"/>
      <c r="U804" s="64"/>
    </row>
    <row r="805" spans="1:21" s="71" customFormat="1" hidden="1">
      <c r="A805" s="64"/>
      <c r="B805" s="876"/>
      <c r="C805" s="128"/>
      <c r="D805" s="128"/>
      <c r="E805" s="128"/>
      <c r="N805" s="876"/>
      <c r="P805" s="877"/>
      <c r="R805" s="64"/>
      <c r="S805" s="64"/>
      <c r="T805" s="64"/>
      <c r="U805" s="64"/>
    </row>
    <row r="806" spans="1:21" s="71" customFormat="1" hidden="1">
      <c r="A806" s="64"/>
      <c r="B806" s="876"/>
      <c r="C806" s="128"/>
      <c r="D806" s="128"/>
      <c r="E806" s="128"/>
      <c r="N806" s="876"/>
      <c r="P806" s="877"/>
      <c r="R806" s="64"/>
      <c r="S806" s="64"/>
      <c r="T806" s="64"/>
      <c r="U806" s="64"/>
    </row>
    <row r="807" spans="1:21" s="71" customFormat="1" hidden="1">
      <c r="A807" s="64"/>
      <c r="B807" s="876"/>
      <c r="C807" s="128"/>
      <c r="D807" s="128"/>
      <c r="E807" s="128"/>
      <c r="N807" s="876"/>
      <c r="P807" s="877"/>
      <c r="R807" s="64"/>
      <c r="S807" s="64"/>
      <c r="T807" s="64"/>
      <c r="U807" s="64"/>
    </row>
    <row r="808" spans="1:21" s="71" customFormat="1" hidden="1">
      <c r="A808" s="64"/>
      <c r="B808" s="876"/>
      <c r="C808" s="128"/>
      <c r="D808" s="128"/>
      <c r="E808" s="128"/>
      <c r="N808" s="876"/>
      <c r="P808" s="877"/>
      <c r="R808" s="64"/>
      <c r="S808" s="64"/>
      <c r="T808" s="64"/>
      <c r="U808" s="64"/>
    </row>
    <row r="809" spans="1:21" s="71" customFormat="1" hidden="1">
      <c r="A809" s="64"/>
      <c r="B809" s="876"/>
      <c r="C809" s="128"/>
      <c r="D809" s="128"/>
      <c r="E809" s="128"/>
      <c r="N809" s="876"/>
      <c r="P809" s="877"/>
      <c r="R809" s="64"/>
      <c r="S809" s="64"/>
      <c r="T809" s="64"/>
      <c r="U809" s="64"/>
    </row>
    <row r="810" spans="1:21" s="71" customFormat="1" hidden="1">
      <c r="A810" s="64"/>
      <c r="B810" s="876"/>
      <c r="C810" s="128"/>
      <c r="D810" s="128"/>
      <c r="E810" s="128"/>
      <c r="N810" s="876"/>
      <c r="P810" s="877"/>
      <c r="R810" s="64"/>
      <c r="S810" s="64"/>
      <c r="T810" s="64"/>
      <c r="U810" s="64"/>
    </row>
    <row r="811" spans="1:21" s="71" customFormat="1" hidden="1">
      <c r="A811" s="64"/>
      <c r="B811" s="876"/>
      <c r="C811" s="128"/>
      <c r="D811" s="128"/>
      <c r="E811" s="128"/>
      <c r="N811" s="876"/>
      <c r="P811" s="877"/>
      <c r="R811" s="64"/>
      <c r="S811" s="64"/>
      <c r="T811" s="64"/>
      <c r="U811" s="64"/>
    </row>
    <row r="812" spans="1:21" s="71" customFormat="1" hidden="1">
      <c r="A812" s="64"/>
      <c r="B812" s="876"/>
      <c r="C812" s="128"/>
      <c r="D812" s="128"/>
      <c r="E812" s="128"/>
      <c r="N812" s="876"/>
      <c r="P812" s="877"/>
      <c r="R812" s="64"/>
      <c r="S812" s="64"/>
      <c r="T812" s="64"/>
      <c r="U812" s="64"/>
    </row>
    <row r="813" spans="1:21" s="71" customFormat="1" hidden="1">
      <c r="A813" s="64"/>
      <c r="B813" s="876"/>
      <c r="C813" s="128"/>
      <c r="D813" s="128"/>
      <c r="E813" s="128"/>
      <c r="N813" s="876"/>
      <c r="P813" s="877"/>
      <c r="R813" s="64"/>
      <c r="S813" s="64"/>
      <c r="T813" s="64"/>
      <c r="U813" s="64"/>
    </row>
    <row r="814" spans="1:21" s="71" customFormat="1" hidden="1">
      <c r="A814" s="64"/>
      <c r="B814" s="876"/>
      <c r="C814" s="128"/>
      <c r="D814" s="128"/>
      <c r="E814" s="128"/>
      <c r="N814" s="876"/>
      <c r="P814" s="877"/>
      <c r="R814" s="64"/>
      <c r="S814" s="64"/>
      <c r="T814" s="64"/>
      <c r="U814" s="64"/>
    </row>
    <row r="815" spans="1:21" s="71" customFormat="1" hidden="1">
      <c r="A815" s="64"/>
      <c r="B815" s="876"/>
      <c r="C815" s="128"/>
      <c r="D815" s="128"/>
      <c r="E815" s="128"/>
      <c r="N815" s="876"/>
      <c r="P815" s="877"/>
      <c r="R815" s="64"/>
      <c r="S815" s="64"/>
      <c r="T815" s="64"/>
      <c r="U815" s="64"/>
    </row>
    <row r="816" spans="1:21" s="71" customFormat="1" hidden="1">
      <c r="A816" s="64"/>
      <c r="B816" s="876"/>
      <c r="C816" s="128"/>
      <c r="D816" s="128"/>
      <c r="E816" s="128"/>
      <c r="N816" s="876"/>
      <c r="P816" s="877"/>
      <c r="R816" s="64"/>
      <c r="S816" s="64"/>
      <c r="T816" s="64"/>
      <c r="U816" s="64"/>
    </row>
    <row r="817" spans="1:21" s="71" customFormat="1" hidden="1">
      <c r="A817" s="64"/>
      <c r="B817" s="876"/>
      <c r="C817" s="128"/>
      <c r="D817" s="128"/>
      <c r="E817" s="128"/>
      <c r="N817" s="876"/>
      <c r="P817" s="877"/>
      <c r="R817" s="64"/>
      <c r="S817" s="64"/>
      <c r="T817" s="64"/>
      <c r="U817" s="64"/>
    </row>
    <row r="818" spans="1:21" s="71" customFormat="1" hidden="1">
      <c r="A818" s="64"/>
      <c r="B818" s="876"/>
      <c r="C818" s="128"/>
      <c r="D818" s="128"/>
      <c r="E818" s="128"/>
      <c r="N818" s="876"/>
      <c r="P818" s="877"/>
      <c r="R818" s="64"/>
      <c r="S818" s="64"/>
      <c r="T818" s="64"/>
      <c r="U818" s="64"/>
    </row>
    <row r="819" spans="1:21" s="71" customFormat="1" hidden="1">
      <c r="A819" s="64"/>
      <c r="B819" s="876"/>
      <c r="C819" s="128"/>
      <c r="D819" s="128"/>
      <c r="E819" s="128"/>
      <c r="N819" s="876"/>
      <c r="P819" s="877"/>
      <c r="R819" s="64"/>
      <c r="S819" s="64"/>
      <c r="T819" s="64"/>
      <c r="U819" s="64"/>
    </row>
    <row r="820" spans="1:21" s="71" customFormat="1" hidden="1">
      <c r="A820" s="64"/>
      <c r="B820" s="876"/>
      <c r="C820" s="128"/>
      <c r="D820" s="128"/>
      <c r="E820" s="128"/>
      <c r="N820" s="876"/>
      <c r="P820" s="877"/>
      <c r="R820" s="64"/>
      <c r="S820" s="64"/>
      <c r="T820" s="64"/>
      <c r="U820" s="64"/>
    </row>
    <row r="821" spans="1:21" s="71" customFormat="1" hidden="1">
      <c r="A821" s="64"/>
      <c r="B821" s="876"/>
      <c r="C821" s="128"/>
      <c r="D821" s="128"/>
      <c r="E821" s="128"/>
      <c r="N821" s="876"/>
      <c r="P821" s="877"/>
      <c r="R821" s="64"/>
      <c r="S821" s="64"/>
      <c r="T821" s="64"/>
      <c r="U821" s="64"/>
    </row>
    <row r="822" spans="1:21" s="71" customFormat="1" hidden="1">
      <c r="A822" s="64"/>
      <c r="B822" s="876"/>
      <c r="C822" s="128"/>
      <c r="D822" s="128"/>
      <c r="E822" s="128"/>
      <c r="N822" s="876"/>
      <c r="P822" s="877"/>
      <c r="R822" s="64"/>
      <c r="S822" s="64"/>
      <c r="T822" s="64"/>
      <c r="U822" s="64"/>
    </row>
    <row r="823" spans="1:21" s="71" customFormat="1" hidden="1">
      <c r="A823" s="64"/>
      <c r="B823" s="876"/>
      <c r="C823" s="128"/>
      <c r="D823" s="128"/>
      <c r="E823" s="128"/>
      <c r="N823" s="876"/>
      <c r="P823" s="877"/>
      <c r="R823" s="64"/>
      <c r="S823" s="64"/>
      <c r="T823" s="64"/>
      <c r="U823" s="64"/>
    </row>
    <row r="824" spans="1:21" s="71" customFormat="1" hidden="1">
      <c r="A824" s="64"/>
      <c r="B824" s="876"/>
      <c r="C824" s="128"/>
      <c r="D824" s="128"/>
      <c r="E824" s="128"/>
      <c r="N824" s="876"/>
      <c r="P824" s="877"/>
      <c r="R824" s="64"/>
      <c r="S824" s="64"/>
      <c r="T824" s="64"/>
      <c r="U824" s="64"/>
    </row>
    <row r="825" spans="1:21" s="71" customFormat="1" hidden="1">
      <c r="A825" s="64"/>
      <c r="B825" s="876"/>
      <c r="C825" s="128"/>
      <c r="D825" s="128"/>
      <c r="E825" s="128"/>
      <c r="N825" s="876"/>
      <c r="P825" s="877"/>
      <c r="R825" s="64"/>
      <c r="S825" s="64"/>
      <c r="T825" s="64"/>
      <c r="U825" s="64"/>
    </row>
    <row r="826" spans="1:21" s="71" customFormat="1" hidden="1">
      <c r="A826" s="64"/>
      <c r="B826" s="876"/>
      <c r="C826" s="128"/>
      <c r="D826" s="128"/>
      <c r="E826" s="128"/>
      <c r="N826" s="876"/>
      <c r="P826" s="877"/>
      <c r="R826" s="64"/>
      <c r="S826" s="64"/>
      <c r="T826" s="64"/>
      <c r="U826" s="64"/>
    </row>
    <row r="827" spans="1:21" s="71" customFormat="1" hidden="1">
      <c r="A827" s="64"/>
      <c r="B827" s="876"/>
      <c r="C827" s="128"/>
      <c r="D827" s="128"/>
      <c r="E827" s="128"/>
      <c r="N827" s="876"/>
      <c r="P827" s="877"/>
      <c r="R827" s="64"/>
      <c r="S827" s="64"/>
      <c r="T827" s="64"/>
      <c r="U827" s="64"/>
    </row>
    <row r="828" spans="1:21" s="71" customFormat="1" hidden="1">
      <c r="A828" s="64"/>
      <c r="B828" s="876"/>
      <c r="C828" s="128"/>
      <c r="D828" s="128"/>
      <c r="E828" s="128"/>
      <c r="N828" s="876"/>
      <c r="P828" s="877"/>
      <c r="R828" s="64"/>
      <c r="S828" s="64"/>
      <c r="T828" s="64"/>
      <c r="U828" s="64"/>
    </row>
    <row r="829" spans="1:21" s="71" customFormat="1" hidden="1">
      <c r="A829" s="64"/>
      <c r="B829" s="876"/>
      <c r="C829" s="128"/>
      <c r="D829" s="128"/>
      <c r="E829" s="128"/>
      <c r="N829" s="876"/>
      <c r="P829" s="877"/>
      <c r="R829" s="64"/>
      <c r="S829" s="64"/>
      <c r="T829" s="64"/>
      <c r="U829" s="64"/>
    </row>
    <row r="830" spans="1:21" s="71" customFormat="1" hidden="1">
      <c r="A830" s="64"/>
      <c r="B830" s="876"/>
      <c r="C830" s="128"/>
      <c r="D830" s="128"/>
      <c r="E830" s="128"/>
      <c r="N830" s="876"/>
      <c r="P830" s="877"/>
      <c r="R830" s="64"/>
      <c r="S830" s="64"/>
      <c r="T830" s="64"/>
      <c r="U830" s="64"/>
    </row>
    <row r="831" spans="1:21" s="71" customFormat="1" hidden="1">
      <c r="A831" s="64"/>
      <c r="B831" s="876"/>
      <c r="C831" s="128"/>
      <c r="D831" s="128"/>
      <c r="E831" s="128"/>
      <c r="N831" s="876"/>
      <c r="P831" s="877"/>
      <c r="R831" s="64"/>
      <c r="S831" s="64"/>
      <c r="T831" s="64"/>
      <c r="U831" s="64"/>
    </row>
    <row r="832" spans="1:21" s="71" customFormat="1" hidden="1">
      <c r="A832" s="64"/>
      <c r="B832" s="876"/>
      <c r="C832" s="128"/>
      <c r="D832" s="128"/>
      <c r="E832" s="128"/>
      <c r="N832" s="876"/>
      <c r="P832" s="877"/>
      <c r="R832" s="64"/>
      <c r="S832" s="64"/>
      <c r="T832" s="64"/>
      <c r="U832" s="64"/>
    </row>
    <row r="833" spans="1:21" s="71" customFormat="1" hidden="1">
      <c r="A833" s="64"/>
      <c r="B833" s="876"/>
      <c r="C833" s="128"/>
      <c r="D833" s="128"/>
      <c r="E833" s="128"/>
      <c r="N833" s="876"/>
      <c r="P833" s="877"/>
      <c r="R833" s="64"/>
      <c r="S833" s="64"/>
      <c r="T833" s="64"/>
      <c r="U833" s="64"/>
    </row>
    <row r="834" spans="1:21" s="71" customFormat="1" hidden="1">
      <c r="A834" s="64"/>
      <c r="B834" s="876"/>
      <c r="C834" s="128"/>
      <c r="D834" s="128"/>
      <c r="E834" s="128"/>
      <c r="N834" s="876"/>
      <c r="P834" s="877"/>
      <c r="R834" s="64"/>
      <c r="S834" s="64"/>
      <c r="T834" s="64"/>
      <c r="U834" s="64"/>
    </row>
    <row r="835" spans="1:21" s="71" customFormat="1" hidden="1">
      <c r="A835" s="64"/>
      <c r="B835" s="876"/>
      <c r="C835" s="128"/>
      <c r="D835" s="128"/>
      <c r="E835" s="128"/>
      <c r="N835" s="876"/>
      <c r="P835" s="877"/>
      <c r="R835" s="64"/>
      <c r="S835" s="64"/>
      <c r="T835" s="64"/>
      <c r="U835" s="64"/>
    </row>
    <row r="836" spans="1:21" s="71" customFormat="1" hidden="1">
      <c r="A836" s="64"/>
      <c r="B836" s="876"/>
      <c r="C836" s="128"/>
      <c r="D836" s="128"/>
      <c r="E836" s="128"/>
      <c r="N836" s="876"/>
      <c r="P836" s="877"/>
      <c r="R836" s="64"/>
      <c r="S836" s="64"/>
      <c r="T836" s="64"/>
      <c r="U836" s="64"/>
    </row>
    <row r="837" spans="1:21" s="71" customFormat="1" hidden="1">
      <c r="A837" s="64"/>
      <c r="B837" s="876"/>
      <c r="C837" s="128"/>
      <c r="D837" s="128"/>
      <c r="E837" s="128"/>
      <c r="N837" s="876"/>
      <c r="P837" s="877"/>
      <c r="R837" s="64"/>
      <c r="S837" s="64"/>
      <c r="T837" s="64"/>
      <c r="U837" s="64"/>
    </row>
    <row r="838" spans="1:21" s="71" customFormat="1" hidden="1">
      <c r="A838" s="64"/>
      <c r="B838" s="876"/>
      <c r="C838" s="128"/>
      <c r="D838" s="128"/>
      <c r="E838" s="128"/>
      <c r="N838" s="876"/>
      <c r="P838" s="877"/>
      <c r="R838" s="64"/>
      <c r="S838" s="64"/>
      <c r="T838" s="64"/>
      <c r="U838" s="64"/>
    </row>
    <row r="839" spans="1:21" s="71" customFormat="1" hidden="1">
      <c r="A839" s="64"/>
      <c r="B839" s="876"/>
      <c r="C839" s="128"/>
      <c r="D839" s="128"/>
      <c r="E839" s="128"/>
      <c r="N839" s="876"/>
      <c r="P839" s="877"/>
      <c r="R839" s="64"/>
      <c r="S839" s="64"/>
      <c r="T839" s="64"/>
      <c r="U839" s="64"/>
    </row>
    <row r="840" spans="1:21" s="71" customFormat="1" hidden="1">
      <c r="A840" s="64"/>
      <c r="B840" s="876"/>
      <c r="C840" s="128"/>
      <c r="D840" s="128"/>
      <c r="E840" s="128"/>
      <c r="N840" s="876"/>
      <c r="P840" s="877"/>
      <c r="R840" s="64"/>
      <c r="S840" s="64"/>
      <c r="T840" s="64"/>
      <c r="U840" s="64"/>
    </row>
    <row r="841" spans="1:21" s="71" customFormat="1" hidden="1">
      <c r="A841" s="64"/>
      <c r="B841" s="876"/>
      <c r="C841" s="128"/>
      <c r="D841" s="128"/>
      <c r="E841" s="128"/>
      <c r="N841" s="876"/>
      <c r="P841" s="877"/>
      <c r="R841" s="64"/>
      <c r="S841" s="64"/>
      <c r="T841" s="64"/>
      <c r="U841" s="64"/>
    </row>
    <row r="842" spans="1:21" s="71" customFormat="1" hidden="1">
      <c r="A842" s="64"/>
      <c r="B842" s="876"/>
      <c r="C842" s="128"/>
      <c r="D842" s="128"/>
      <c r="E842" s="128"/>
      <c r="N842" s="876"/>
      <c r="P842" s="877"/>
      <c r="R842" s="64"/>
      <c r="S842" s="64"/>
      <c r="T842" s="64"/>
      <c r="U842" s="64"/>
    </row>
    <row r="843" spans="1:21" s="71" customFormat="1" hidden="1">
      <c r="A843" s="64"/>
      <c r="B843" s="876"/>
      <c r="C843" s="128"/>
      <c r="D843" s="128"/>
      <c r="E843" s="128"/>
      <c r="N843" s="876"/>
      <c r="P843" s="877"/>
      <c r="R843" s="64"/>
      <c r="S843" s="64"/>
      <c r="T843" s="64"/>
      <c r="U843" s="64"/>
    </row>
    <row r="844" spans="1:21" s="71" customFormat="1" hidden="1">
      <c r="A844" s="64"/>
      <c r="B844" s="876"/>
      <c r="C844" s="128"/>
      <c r="D844" s="128"/>
      <c r="E844" s="128"/>
      <c r="N844" s="876"/>
      <c r="P844" s="877"/>
      <c r="R844" s="64"/>
      <c r="S844" s="64"/>
      <c r="T844" s="64"/>
      <c r="U844" s="64"/>
    </row>
    <row r="845" spans="1:21" s="71" customFormat="1" hidden="1">
      <c r="A845" s="64"/>
      <c r="B845" s="876"/>
      <c r="C845" s="128"/>
      <c r="D845" s="128"/>
      <c r="E845" s="128"/>
      <c r="N845" s="876"/>
      <c r="P845" s="877"/>
      <c r="R845" s="64"/>
      <c r="S845" s="64"/>
      <c r="T845" s="64"/>
      <c r="U845" s="64"/>
    </row>
    <row r="846" spans="1:21" s="71" customFormat="1" hidden="1">
      <c r="A846" s="64"/>
      <c r="B846" s="876"/>
      <c r="C846" s="128"/>
      <c r="D846" s="128"/>
      <c r="E846" s="128"/>
      <c r="N846" s="876"/>
      <c r="P846" s="877"/>
      <c r="R846" s="64"/>
      <c r="S846" s="64"/>
      <c r="T846" s="64"/>
      <c r="U846" s="64"/>
    </row>
    <row r="847" spans="1:21" s="71" customFormat="1" hidden="1">
      <c r="A847" s="64"/>
      <c r="B847" s="876"/>
      <c r="C847" s="128"/>
      <c r="D847" s="128"/>
      <c r="E847" s="128"/>
      <c r="N847" s="876"/>
      <c r="P847" s="877"/>
      <c r="R847" s="64"/>
      <c r="S847" s="64"/>
      <c r="T847" s="64"/>
      <c r="U847" s="64"/>
    </row>
    <row r="848" spans="1:21" s="71" customFormat="1" hidden="1">
      <c r="A848" s="64"/>
      <c r="B848" s="876"/>
      <c r="C848" s="128"/>
      <c r="D848" s="128"/>
      <c r="E848" s="128"/>
      <c r="N848" s="876"/>
      <c r="P848" s="877"/>
      <c r="R848" s="64"/>
      <c r="S848" s="64"/>
      <c r="T848" s="64"/>
      <c r="U848" s="64"/>
    </row>
    <row r="849" spans="1:21" s="71" customFormat="1" hidden="1">
      <c r="A849" s="64"/>
      <c r="B849" s="876"/>
      <c r="C849" s="128"/>
      <c r="D849" s="128"/>
      <c r="E849" s="128"/>
      <c r="N849" s="876"/>
      <c r="P849" s="877"/>
      <c r="R849" s="64"/>
      <c r="S849" s="64"/>
      <c r="T849" s="64"/>
      <c r="U849" s="64"/>
    </row>
    <row r="850" spans="1:21" s="71" customFormat="1" hidden="1">
      <c r="A850" s="64"/>
      <c r="B850" s="876"/>
      <c r="C850" s="128"/>
      <c r="D850" s="128"/>
      <c r="E850" s="128"/>
      <c r="N850" s="876"/>
      <c r="P850" s="877"/>
      <c r="R850" s="64"/>
      <c r="S850" s="64"/>
      <c r="T850" s="64"/>
      <c r="U850" s="64"/>
    </row>
    <row r="851" spans="1:21" s="71" customFormat="1" hidden="1">
      <c r="A851" s="64"/>
      <c r="B851" s="876"/>
      <c r="C851" s="128"/>
      <c r="D851" s="128"/>
      <c r="E851" s="128"/>
      <c r="N851" s="876"/>
      <c r="P851" s="877"/>
      <c r="R851" s="64"/>
      <c r="S851" s="64"/>
      <c r="T851" s="64"/>
      <c r="U851" s="64"/>
    </row>
    <row r="852" spans="1:21" s="71" customFormat="1" hidden="1">
      <c r="A852" s="64"/>
      <c r="B852" s="876"/>
      <c r="C852" s="128"/>
      <c r="D852" s="128"/>
      <c r="E852" s="128"/>
      <c r="N852" s="876"/>
      <c r="P852" s="877"/>
      <c r="R852" s="64"/>
      <c r="S852" s="64"/>
      <c r="T852" s="64"/>
      <c r="U852" s="64"/>
    </row>
    <row r="853" spans="1:21" s="71" customFormat="1" hidden="1">
      <c r="A853" s="64"/>
      <c r="B853" s="876"/>
      <c r="C853" s="128"/>
      <c r="D853" s="128"/>
      <c r="E853" s="128"/>
      <c r="N853" s="876"/>
      <c r="P853" s="877"/>
      <c r="R853" s="64"/>
      <c r="S853" s="64"/>
      <c r="T853" s="64"/>
      <c r="U853" s="64"/>
    </row>
    <row r="854" spans="1:21" s="71" customFormat="1" hidden="1">
      <c r="A854" s="64"/>
      <c r="B854" s="876"/>
      <c r="C854" s="128"/>
      <c r="D854" s="128"/>
      <c r="E854" s="128"/>
      <c r="N854" s="876"/>
      <c r="P854" s="877"/>
      <c r="R854" s="64"/>
      <c r="S854" s="64"/>
      <c r="T854" s="64"/>
      <c r="U854" s="64"/>
    </row>
    <row r="855" spans="1:21" s="71" customFormat="1" hidden="1">
      <c r="A855" s="64"/>
      <c r="B855" s="876"/>
      <c r="C855" s="128"/>
      <c r="D855" s="128"/>
      <c r="E855" s="128"/>
      <c r="N855" s="876"/>
      <c r="P855" s="877"/>
      <c r="R855" s="64"/>
      <c r="S855" s="64"/>
      <c r="T855" s="64"/>
      <c r="U855" s="64"/>
    </row>
    <row r="856" spans="1:21" s="71" customFormat="1" hidden="1">
      <c r="A856" s="64"/>
      <c r="B856" s="876"/>
      <c r="C856" s="128"/>
      <c r="D856" s="128"/>
      <c r="E856" s="128"/>
      <c r="N856" s="876"/>
      <c r="P856" s="877"/>
      <c r="R856" s="64"/>
      <c r="S856" s="64"/>
      <c r="T856" s="64"/>
      <c r="U856" s="64"/>
    </row>
    <row r="857" spans="1:21" s="71" customFormat="1" hidden="1">
      <c r="A857" s="64"/>
      <c r="B857" s="876"/>
      <c r="C857" s="128"/>
      <c r="D857" s="128"/>
      <c r="E857" s="128"/>
      <c r="N857" s="876"/>
      <c r="P857" s="877"/>
      <c r="R857" s="64"/>
      <c r="S857" s="64"/>
      <c r="T857" s="64"/>
      <c r="U857" s="64"/>
    </row>
    <row r="858" spans="1:21" s="71" customFormat="1" hidden="1">
      <c r="A858" s="64"/>
      <c r="B858" s="876"/>
      <c r="C858" s="128"/>
      <c r="D858" s="128"/>
      <c r="E858" s="128"/>
      <c r="N858" s="876"/>
      <c r="P858" s="877"/>
      <c r="R858" s="64"/>
      <c r="S858" s="64"/>
      <c r="T858" s="64"/>
      <c r="U858" s="64"/>
    </row>
    <row r="859" spans="1:21" s="71" customFormat="1" hidden="1">
      <c r="A859" s="64"/>
      <c r="B859" s="876"/>
      <c r="C859" s="128"/>
      <c r="D859" s="128"/>
      <c r="E859" s="128"/>
      <c r="N859" s="876"/>
      <c r="P859" s="877"/>
      <c r="R859" s="64"/>
      <c r="S859" s="64"/>
      <c r="T859" s="64"/>
      <c r="U859" s="64"/>
    </row>
    <row r="860" spans="1:21" s="71" customFormat="1" hidden="1">
      <c r="A860" s="64"/>
      <c r="B860" s="876"/>
      <c r="C860" s="128"/>
      <c r="D860" s="128"/>
      <c r="E860" s="128"/>
      <c r="N860" s="876"/>
      <c r="P860" s="877"/>
      <c r="R860" s="64"/>
      <c r="S860" s="64"/>
      <c r="T860" s="64"/>
      <c r="U860" s="64"/>
    </row>
    <row r="861" spans="1:21" s="71" customFormat="1" hidden="1">
      <c r="A861" s="64"/>
      <c r="B861" s="876"/>
      <c r="C861" s="128"/>
      <c r="D861" s="128"/>
      <c r="E861" s="128"/>
      <c r="N861" s="876"/>
      <c r="P861" s="877"/>
      <c r="R861" s="64"/>
      <c r="S861" s="64"/>
      <c r="T861" s="64"/>
      <c r="U861" s="64"/>
    </row>
    <row r="862" spans="1:21" s="71" customFormat="1" hidden="1">
      <c r="A862" s="64"/>
      <c r="B862" s="876"/>
      <c r="C862" s="128"/>
      <c r="D862" s="128"/>
      <c r="E862" s="128"/>
      <c r="N862" s="876"/>
      <c r="P862" s="877"/>
      <c r="R862" s="64"/>
      <c r="S862" s="64"/>
      <c r="T862" s="64"/>
      <c r="U862" s="64"/>
    </row>
    <row r="863" spans="1:21" s="71" customFormat="1" hidden="1">
      <c r="A863" s="64"/>
      <c r="B863" s="876"/>
      <c r="C863" s="128"/>
      <c r="D863" s="128"/>
      <c r="E863" s="128"/>
      <c r="N863" s="876"/>
      <c r="P863" s="877"/>
      <c r="R863" s="64"/>
      <c r="S863" s="64"/>
      <c r="T863" s="64"/>
      <c r="U863" s="64"/>
    </row>
    <row r="864" spans="1:21" s="71" customFormat="1" hidden="1">
      <c r="A864" s="64"/>
      <c r="B864" s="876"/>
      <c r="C864" s="128"/>
      <c r="D864" s="128"/>
      <c r="E864" s="128"/>
      <c r="N864" s="876"/>
      <c r="P864" s="877"/>
      <c r="R864" s="64"/>
      <c r="S864" s="64"/>
      <c r="T864" s="64"/>
      <c r="U864" s="64"/>
    </row>
    <row r="865" spans="1:21" s="71" customFormat="1" hidden="1">
      <c r="A865" s="64"/>
      <c r="B865" s="876"/>
      <c r="C865" s="128"/>
      <c r="D865" s="128"/>
      <c r="E865" s="128"/>
      <c r="N865" s="876"/>
      <c r="P865" s="877"/>
      <c r="R865" s="64"/>
      <c r="S865" s="64"/>
      <c r="T865" s="64"/>
      <c r="U865" s="64"/>
    </row>
    <row r="866" spans="1:21" s="71" customFormat="1" hidden="1">
      <c r="A866" s="64"/>
      <c r="B866" s="876"/>
      <c r="C866" s="128"/>
      <c r="D866" s="128"/>
      <c r="E866" s="128"/>
      <c r="N866" s="876"/>
      <c r="P866" s="877"/>
      <c r="R866" s="64"/>
      <c r="S866" s="64"/>
      <c r="T866" s="64"/>
      <c r="U866" s="64"/>
    </row>
    <row r="867" spans="1:21" s="71" customFormat="1" hidden="1">
      <c r="A867" s="64"/>
      <c r="B867" s="876"/>
      <c r="C867" s="128"/>
      <c r="D867" s="128"/>
      <c r="E867" s="128"/>
      <c r="N867" s="876"/>
      <c r="P867" s="877"/>
      <c r="R867" s="64"/>
      <c r="S867" s="64"/>
      <c r="T867" s="64"/>
      <c r="U867" s="64"/>
    </row>
    <row r="868" spans="1:21" s="71" customFormat="1" hidden="1">
      <c r="A868" s="64"/>
      <c r="B868" s="876"/>
      <c r="C868" s="128"/>
      <c r="D868" s="128"/>
      <c r="E868" s="128"/>
      <c r="N868" s="876"/>
      <c r="P868" s="877"/>
      <c r="R868" s="64"/>
      <c r="S868" s="64"/>
      <c r="T868" s="64"/>
      <c r="U868" s="64"/>
    </row>
    <row r="869" spans="1:21" s="71" customFormat="1" hidden="1">
      <c r="A869" s="64"/>
      <c r="B869" s="876"/>
      <c r="C869" s="128"/>
      <c r="D869" s="128"/>
      <c r="E869" s="128"/>
      <c r="N869" s="876"/>
      <c r="P869" s="877"/>
      <c r="R869" s="64"/>
      <c r="S869" s="64"/>
      <c r="T869" s="64"/>
      <c r="U869" s="64"/>
    </row>
    <row r="870" spans="1:21" s="71" customFormat="1" hidden="1">
      <c r="A870" s="64"/>
      <c r="B870" s="876"/>
      <c r="C870" s="128"/>
      <c r="D870" s="128"/>
      <c r="E870" s="128"/>
      <c r="N870" s="876"/>
      <c r="P870" s="877"/>
      <c r="R870" s="64"/>
      <c r="S870" s="64"/>
      <c r="T870" s="64"/>
      <c r="U870" s="64"/>
    </row>
    <row r="871" spans="1:21" s="71" customFormat="1" hidden="1">
      <c r="A871" s="64"/>
      <c r="B871" s="876"/>
      <c r="C871" s="128"/>
      <c r="D871" s="128"/>
      <c r="E871" s="128"/>
      <c r="N871" s="876"/>
      <c r="P871" s="877"/>
      <c r="R871" s="64"/>
      <c r="S871" s="64"/>
      <c r="T871" s="64"/>
      <c r="U871" s="64"/>
    </row>
    <row r="872" spans="1:21" s="71" customFormat="1" hidden="1">
      <c r="A872" s="64"/>
      <c r="B872" s="876"/>
      <c r="C872" s="128"/>
      <c r="D872" s="128"/>
      <c r="E872" s="128"/>
      <c r="N872" s="876"/>
      <c r="P872" s="877"/>
      <c r="R872" s="64"/>
      <c r="S872" s="64"/>
      <c r="T872" s="64"/>
      <c r="U872" s="64"/>
    </row>
    <row r="873" spans="1:21" s="71" customFormat="1" hidden="1">
      <c r="A873" s="64"/>
      <c r="B873" s="876"/>
      <c r="C873" s="128"/>
      <c r="D873" s="128"/>
      <c r="E873" s="128"/>
      <c r="N873" s="876"/>
      <c r="P873" s="877"/>
      <c r="R873" s="64"/>
      <c r="S873" s="64"/>
      <c r="T873" s="64"/>
      <c r="U873" s="64"/>
    </row>
    <row r="874" spans="1:21" s="71" customFormat="1" hidden="1">
      <c r="A874" s="64"/>
      <c r="B874" s="876"/>
      <c r="C874" s="128"/>
      <c r="D874" s="128"/>
      <c r="E874" s="128"/>
      <c r="N874" s="876"/>
      <c r="P874" s="877"/>
      <c r="R874" s="64"/>
      <c r="S874" s="64"/>
      <c r="T874" s="64"/>
      <c r="U874" s="64"/>
    </row>
    <row r="875" spans="1:21" s="71" customFormat="1" hidden="1">
      <c r="A875" s="64"/>
      <c r="B875" s="876"/>
      <c r="C875" s="128"/>
      <c r="D875" s="128"/>
      <c r="E875" s="128"/>
      <c r="N875" s="876"/>
      <c r="P875" s="877"/>
      <c r="R875" s="64"/>
      <c r="S875" s="64"/>
      <c r="T875" s="64"/>
      <c r="U875" s="64"/>
    </row>
    <row r="876" spans="1:21" s="71" customFormat="1" hidden="1">
      <c r="A876" s="64"/>
      <c r="B876" s="876"/>
      <c r="C876" s="128"/>
      <c r="D876" s="128"/>
      <c r="E876" s="128"/>
      <c r="N876" s="876"/>
      <c r="P876" s="877"/>
      <c r="R876" s="64"/>
      <c r="S876" s="64"/>
      <c r="T876" s="64"/>
      <c r="U876" s="64"/>
    </row>
    <row r="877" spans="1:21" s="71" customFormat="1" hidden="1">
      <c r="A877" s="64"/>
      <c r="B877" s="876"/>
      <c r="C877" s="128"/>
      <c r="D877" s="128"/>
      <c r="E877" s="128"/>
      <c r="N877" s="876"/>
      <c r="P877" s="877"/>
      <c r="R877" s="64"/>
      <c r="S877" s="64"/>
      <c r="T877" s="64"/>
      <c r="U877" s="64"/>
    </row>
    <row r="878" spans="1:21" s="71" customFormat="1" hidden="1">
      <c r="A878" s="64"/>
      <c r="B878" s="876"/>
      <c r="C878" s="128"/>
      <c r="D878" s="128"/>
      <c r="E878" s="128"/>
      <c r="N878" s="876"/>
      <c r="P878" s="877"/>
      <c r="R878" s="64"/>
      <c r="S878" s="64"/>
      <c r="T878" s="64"/>
      <c r="U878" s="64"/>
    </row>
    <row r="879" spans="1:21" s="71" customFormat="1" hidden="1">
      <c r="A879" s="64"/>
      <c r="B879" s="876"/>
      <c r="C879" s="128"/>
      <c r="D879" s="128"/>
      <c r="E879" s="128"/>
      <c r="N879" s="876"/>
      <c r="P879" s="877"/>
      <c r="R879" s="64"/>
      <c r="S879" s="64"/>
      <c r="T879" s="64"/>
      <c r="U879" s="64"/>
    </row>
    <row r="880" spans="1:21" s="71" customFormat="1" hidden="1">
      <c r="A880" s="64"/>
      <c r="B880" s="876"/>
      <c r="C880" s="128"/>
      <c r="D880" s="128"/>
      <c r="E880" s="128"/>
      <c r="N880" s="876"/>
      <c r="P880" s="877"/>
      <c r="R880" s="64"/>
      <c r="S880" s="64"/>
      <c r="T880" s="64"/>
      <c r="U880" s="64"/>
    </row>
    <row r="881" spans="1:21" s="71" customFormat="1" hidden="1">
      <c r="A881" s="64"/>
      <c r="B881" s="876"/>
      <c r="C881" s="128"/>
      <c r="D881" s="128"/>
      <c r="E881" s="128"/>
      <c r="N881" s="876"/>
      <c r="P881" s="877"/>
      <c r="R881" s="64"/>
      <c r="S881" s="64"/>
      <c r="T881" s="64"/>
      <c r="U881" s="64"/>
    </row>
    <row r="882" spans="1:21" s="71" customFormat="1" hidden="1">
      <c r="A882" s="64"/>
      <c r="B882" s="876"/>
      <c r="C882" s="128"/>
      <c r="D882" s="128"/>
      <c r="E882" s="128"/>
      <c r="N882" s="876"/>
      <c r="P882" s="877"/>
      <c r="R882" s="64"/>
      <c r="S882" s="64"/>
      <c r="T882" s="64"/>
      <c r="U882" s="64"/>
    </row>
    <row r="883" spans="1:21" s="71" customFormat="1" hidden="1">
      <c r="A883" s="64"/>
      <c r="B883" s="876"/>
      <c r="C883" s="128"/>
      <c r="D883" s="128"/>
      <c r="E883" s="128"/>
      <c r="N883" s="876"/>
      <c r="P883" s="877"/>
      <c r="R883" s="64"/>
      <c r="S883" s="64"/>
      <c r="T883" s="64"/>
      <c r="U883" s="64"/>
    </row>
    <row r="884" spans="1:21" s="71" customFormat="1" hidden="1">
      <c r="A884" s="64"/>
      <c r="B884" s="876"/>
      <c r="C884" s="128"/>
      <c r="D884" s="128"/>
      <c r="E884" s="128"/>
      <c r="N884" s="876"/>
      <c r="P884" s="877"/>
      <c r="R884" s="64"/>
      <c r="S884" s="64"/>
      <c r="T884" s="64"/>
      <c r="U884" s="64"/>
    </row>
    <row r="885" spans="1:21" s="71" customFormat="1" hidden="1">
      <c r="A885" s="64"/>
      <c r="B885" s="876"/>
      <c r="C885" s="128"/>
      <c r="D885" s="128"/>
      <c r="E885" s="128"/>
      <c r="N885" s="876"/>
      <c r="P885" s="877"/>
      <c r="R885" s="64"/>
      <c r="S885" s="64"/>
      <c r="T885" s="64"/>
      <c r="U885" s="64"/>
    </row>
    <row r="886" spans="1:21" s="71" customFormat="1" hidden="1">
      <c r="A886" s="64"/>
      <c r="B886" s="876"/>
      <c r="C886" s="128"/>
      <c r="D886" s="128"/>
      <c r="E886" s="128"/>
      <c r="N886" s="876"/>
      <c r="P886" s="877"/>
      <c r="R886" s="64"/>
      <c r="S886" s="64"/>
      <c r="T886" s="64"/>
      <c r="U886" s="64"/>
    </row>
    <row r="887" spans="1:21" s="71" customFormat="1" hidden="1">
      <c r="A887" s="64"/>
      <c r="B887" s="876"/>
      <c r="C887" s="128"/>
      <c r="D887" s="128"/>
      <c r="E887" s="128"/>
      <c r="N887" s="876"/>
      <c r="P887" s="877"/>
      <c r="R887" s="64"/>
      <c r="S887" s="64"/>
      <c r="T887" s="64"/>
      <c r="U887" s="64"/>
    </row>
    <row r="888" spans="1:21" s="71" customFormat="1" hidden="1">
      <c r="A888" s="64"/>
      <c r="B888" s="876"/>
      <c r="C888" s="128"/>
      <c r="D888" s="128"/>
      <c r="E888" s="128"/>
      <c r="N888" s="876"/>
      <c r="P888" s="877"/>
      <c r="R888" s="64"/>
      <c r="S888" s="64"/>
      <c r="T888" s="64"/>
      <c r="U888" s="64"/>
    </row>
    <row r="889" spans="1:21" s="71" customFormat="1" hidden="1">
      <c r="A889" s="64"/>
      <c r="B889" s="876"/>
      <c r="C889" s="128"/>
      <c r="D889" s="128"/>
      <c r="E889" s="128"/>
      <c r="N889" s="876"/>
      <c r="P889" s="877"/>
      <c r="R889" s="64"/>
      <c r="S889" s="64"/>
      <c r="T889" s="64"/>
      <c r="U889" s="64"/>
    </row>
    <row r="890" spans="1:21" s="71" customFormat="1" hidden="1">
      <c r="A890" s="64"/>
      <c r="B890" s="876"/>
      <c r="C890" s="128"/>
      <c r="D890" s="128"/>
      <c r="E890" s="128"/>
      <c r="N890" s="876"/>
      <c r="P890" s="877"/>
      <c r="R890" s="64"/>
      <c r="S890" s="64"/>
      <c r="T890" s="64"/>
      <c r="U890" s="64"/>
    </row>
    <row r="891" spans="1:21" s="71" customFormat="1" hidden="1">
      <c r="A891" s="64"/>
      <c r="B891" s="876"/>
      <c r="C891" s="128"/>
      <c r="D891" s="128"/>
      <c r="E891" s="128"/>
      <c r="N891" s="876"/>
      <c r="P891" s="877"/>
      <c r="R891" s="64"/>
      <c r="S891" s="64"/>
      <c r="T891" s="64"/>
      <c r="U891" s="64"/>
    </row>
    <row r="892" spans="1:21" s="71" customFormat="1" hidden="1">
      <c r="A892" s="64"/>
      <c r="B892" s="876"/>
      <c r="C892" s="128"/>
      <c r="D892" s="128"/>
      <c r="E892" s="128"/>
      <c r="N892" s="876"/>
      <c r="P892" s="877"/>
      <c r="R892" s="64"/>
      <c r="S892" s="64"/>
      <c r="T892" s="64"/>
      <c r="U892" s="64"/>
    </row>
    <row r="893" spans="1:21" s="71" customFormat="1" hidden="1">
      <c r="A893" s="64"/>
      <c r="B893" s="876"/>
      <c r="C893" s="128"/>
      <c r="D893" s="128"/>
      <c r="E893" s="128"/>
      <c r="N893" s="876"/>
      <c r="P893" s="877"/>
      <c r="R893" s="64"/>
      <c r="S893" s="64"/>
      <c r="T893" s="64"/>
      <c r="U893" s="64"/>
    </row>
    <row r="894" spans="1:21" s="71" customFormat="1" hidden="1">
      <c r="A894" s="64"/>
      <c r="B894" s="876"/>
      <c r="C894" s="128"/>
      <c r="D894" s="128"/>
      <c r="E894" s="128"/>
      <c r="N894" s="876"/>
      <c r="P894" s="877"/>
      <c r="R894" s="64"/>
      <c r="S894" s="64"/>
      <c r="T894" s="64"/>
      <c r="U894" s="64"/>
    </row>
    <row r="895" spans="1:21" s="71" customFormat="1" hidden="1">
      <c r="A895" s="64"/>
      <c r="B895" s="876"/>
      <c r="C895" s="128"/>
      <c r="D895" s="128"/>
      <c r="E895" s="128"/>
      <c r="N895" s="876"/>
      <c r="P895" s="877"/>
      <c r="R895" s="64"/>
      <c r="S895" s="64"/>
      <c r="T895" s="64"/>
      <c r="U895" s="64"/>
    </row>
    <row r="896" spans="1:21" s="71" customFormat="1" hidden="1">
      <c r="A896" s="64"/>
      <c r="B896" s="876"/>
      <c r="C896" s="128"/>
      <c r="D896" s="128"/>
      <c r="E896" s="128"/>
      <c r="N896" s="876"/>
      <c r="P896" s="877"/>
      <c r="R896" s="64"/>
      <c r="S896" s="64"/>
      <c r="T896" s="64"/>
      <c r="U896" s="64"/>
    </row>
    <row r="897" spans="1:21" s="71" customFormat="1" hidden="1">
      <c r="A897" s="64"/>
      <c r="B897" s="876"/>
      <c r="C897" s="128"/>
      <c r="D897" s="128"/>
      <c r="E897" s="128"/>
      <c r="N897" s="876"/>
      <c r="P897" s="877"/>
      <c r="R897" s="64"/>
      <c r="S897" s="64"/>
      <c r="T897" s="64"/>
      <c r="U897" s="64"/>
    </row>
    <row r="898" spans="1:21" s="71" customFormat="1" hidden="1">
      <c r="A898" s="64"/>
      <c r="B898" s="876"/>
      <c r="C898" s="128"/>
      <c r="D898" s="128"/>
      <c r="E898" s="128"/>
      <c r="N898" s="876"/>
      <c r="P898" s="877"/>
      <c r="R898" s="64"/>
      <c r="S898" s="64"/>
      <c r="T898" s="64"/>
      <c r="U898" s="64"/>
    </row>
    <row r="899" spans="1:21" s="71" customFormat="1" hidden="1">
      <c r="A899" s="64"/>
      <c r="B899" s="876"/>
      <c r="C899" s="128"/>
      <c r="D899" s="128"/>
      <c r="E899" s="128"/>
      <c r="N899" s="876"/>
      <c r="P899" s="877"/>
      <c r="R899" s="64"/>
      <c r="S899" s="64"/>
      <c r="T899" s="64"/>
      <c r="U899" s="64"/>
    </row>
    <row r="900" spans="1:21" s="71" customFormat="1" hidden="1">
      <c r="A900" s="64"/>
      <c r="B900" s="876"/>
      <c r="C900" s="128"/>
      <c r="D900" s="128"/>
      <c r="E900" s="128"/>
      <c r="N900" s="876"/>
      <c r="P900" s="877"/>
      <c r="R900" s="64"/>
      <c r="S900" s="64"/>
      <c r="T900" s="64"/>
      <c r="U900" s="64"/>
    </row>
    <row r="901" spans="1:21" s="71" customFormat="1" hidden="1">
      <c r="A901" s="64"/>
      <c r="B901" s="876"/>
      <c r="C901" s="128"/>
      <c r="D901" s="128"/>
      <c r="E901" s="128"/>
      <c r="N901" s="876"/>
      <c r="P901" s="877"/>
      <c r="R901" s="64"/>
      <c r="S901" s="64"/>
      <c r="T901" s="64"/>
      <c r="U901" s="64"/>
    </row>
    <row r="902" spans="1:21" s="71" customFormat="1" hidden="1">
      <c r="A902" s="64"/>
      <c r="B902" s="876"/>
      <c r="C902" s="128"/>
      <c r="D902" s="128"/>
      <c r="E902" s="128"/>
      <c r="N902" s="876"/>
      <c r="P902" s="877"/>
      <c r="R902" s="64"/>
      <c r="S902" s="64"/>
      <c r="T902" s="64"/>
      <c r="U902" s="64"/>
    </row>
    <row r="903" spans="1:21" s="71" customFormat="1" hidden="1">
      <c r="A903" s="64"/>
      <c r="B903" s="876"/>
      <c r="C903" s="128"/>
      <c r="D903" s="128"/>
      <c r="E903" s="128"/>
      <c r="N903" s="876"/>
      <c r="P903" s="877"/>
      <c r="R903" s="64"/>
      <c r="S903" s="64"/>
      <c r="T903" s="64"/>
      <c r="U903" s="64"/>
    </row>
    <row r="904" spans="1:21" s="71" customFormat="1" hidden="1">
      <c r="A904" s="64"/>
      <c r="B904" s="876"/>
      <c r="C904" s="128"/>
      <c r="D904" s="128"/>
      <c r="E904" s="128"/>
      <c r="N904" s="876"/>
      <c r="P904" s="877"/>
      <c r="R904" s="64"/>
      <c r="S904" s="64"/>
      <c r="T904" s="64"/>
      <c r="U904" s="64"/>
    </row>
    <row r="905" spans="1:21" s="71" customFormat="1" hidden="1">
      <c r="A905" s="64"/>
      <c r="B905" s="876"/>
      <c r="C905" s="128"/>
      <c r="D905" s="128"/>
      <c r="E905" s="128"/>
      <c r="N905" s="876"/>
      <c r="P905" s="877"/>
      <c r="R905" s="64"/>
      <c r="S905" s="64"/>
      <c r="T905" s="64"/>
      <c r="U905" s="64"/>
    </row>
    <row r="906" spans="1:21" s="71" customFormat="1" hidden="1">
      <c r="A906" s="64"/>
      <c r="B906" s="876"/>
      <c r="C906" s="128"/>
      <c r="D906" s="128"/>
      <c r="E906" s="128"/>
      <c r="N906" s="876"/>
      <c r="P906" s="877"/>
      <c r="R906" s="64"/>
      <c r="S906" s="64"/>
      <c r="T906" s="64"/>
      <c r="U906" s="64"/>
    </row>
    <row r="907" spans="1:21" s="71" customFormat="1" hidden="1">
      <c r="A907" s="64"/>
      <c r="B907" s="876"/>
      <c r="C907" s="128"/>
      <c r="D907" s="128"/>
      <c r="E907" s="128"/>
      <c r="N907" s="876"/>
      <c r="P907" s="877"/>
      <c r="R907" s="64"/>
      <c r="S907" s="64"/>
      <c r="T907" s="64"/>
      <c r="U907" s="64"/>
    </row>
    <row r="908" spans="1:21" s="71" customFormat="1" hidden="1">
      <c r="A908" s="64"/>
      <c r="B908" s="876"/>
      <c r="C908" s="128"/>
      <c r="D908" s="128"/>
      <c r="E908" s="128"/>
      <c r="N908" s="876"/>
      <c r="P908" s="877"/>
      <c r="R908" s="64"/>
      <c r="S908" s="64"/>
      <c r="T908" s="64"/>
      <c r="U908" s="64"/>
    </row>
    <row r="909" spans="1:21" s="71" customFormat="1" hidden="1">
      <c r="A909" s="64"/>
      <c r="B909" s="876"/>
      <c r="C909" s="128"/>
      <c r="D909" s="128"/>
      <c r="E909" s="128"/>
      <c r="N909" s="876"/>
      <c r="P909" s="877"/>
      <c r="R909" s="64"/>
      <c r="S909" s="64"/>
      <c r="T909" s="64"/>
      <c r="U909" s="64"/>
    </row>
    <row r="910" spans="1:21" s="71" customFormat="1" hidden="1">
      <c r="A910" s="64"/>
      <c r="B910" s="876"/>
      <c r="C910" s="128"/>
      <c r="D910" s="128"/>
      <c r="E910" s="128"/>
      <c r="N910" s="876"/>
      <c r="P910" s="877"/>
      <c r="R910" s="64"/>
      <c r="S910" s="64"/>
      <c r="T910" s="64"/>
      <c r="U910" s="64"/>
    </row>
    <row r="911" spans="1:21" s="71" customFormat="1" hidden="1">
      <c r="A911" s="64"/>
      <c r="B911" s="876"/>
      <c r="C911" s="128"/>
      <c r="D911" s="128"/>
      <c r="E911" s="128"/>
      <c r="N911" s="876"/>
      <c r="P911" s="877"/>
      <c r="R911" s="64"/>
      <c r="S911" s="64"/>
      <c r="T911" s="64"/>
      <c r="U911" s="64"/>
    </row>
    <row r="912" spans="1:21" s="71" customFormat="1" hidden="1">
      <c r="A912" s="64"/>
      <c r="B912" s="876"/>
      <c r="C912" s="128"/>
      <c r="D912" s="128"/>
      <c r="E912" s="128"/>
      <c r="N912" s="876"/>
      <c r="P912" s="877"/>
      <c r="R912" s="64"/>
      <c r="S912" s="64"/>
      <c r="T912" s="64"/>
      <c r="U912" s="64"/>
    </row>
    <row r="913" spans="1:21" s="71" customFormat="1" hidden="1">
      <c r="A913" s="64"/>
      <c r="B913" s="876"/>
      <c r="C913" s="128"/>
      <c r="D913" s="128"/>
      <c r="E913" s="128"/>
      <c r="N913" s="876"/>
      <c r="P913" s="877"/>
      <c r="R913" s="64"/>
      <c r="S913" s="64"/>
      <c r="T913" s="64"/>
      <c r="U913" s="64"/>
    </row>
    <row r="914" spans="1:21" s="71" customFormat="1" hidden="1">
      <c r="A914" s="64"/>
      <c r="B914" s="876"/>
      <c r="C914" s="128"/>
      <c r="D914" s="128"/>
      <c r="E914" s="128"/>
      <c r="N914" s="876"/>
      <c r="P914" s="877"/>
      <c r="R914" s="64"/>
      <c r="S914" s="64"/>
      <c r="T914" s="64"/>
      <c r="U914" s="64"/>
    </row>
    <row r="915" spans="1:21" s="71" customFormat="1" hidden="1">
      <c r="A915" s="64"/>
      <c r="B915" s="876"/>
      <c r="C915" s="128"/>
      <c r="D915" s="128"/>
      <c r="E915" s="128"/>
      <c r="N915" s="876"/>
      <c r="P915" s="877"/>
      <c r="R915" s="64"/>
      <c r="S915" s="64"/>
      <c r="T915" s="64"/>
      <c r="U915" s="64"/>
    </row>
    <row r="916" spans="1:21" s="71" customFormat="1" hidden="1">
      <c r="A916" s="64"/>
      <c r="B916" s="876"/>
      <c r="C916" s="128"/>
      <c r="D916" s="128"/>
      <c r="E916" s="128"/>
      <c r="N916" s="876"/>
      <c r="P916" s="877"/>
      <c r="R916" s="64"/>
      <c r="S916" s="64"/>
      <c r="T916" s="64"/>
      <c r="U916" s="64"/>
    </row>
    <row r="917" spans="1:21" s="71" customFormat="1" hidden="1">
      <c r="A917" s="64"/>
      <c r="B917" s="876"/>
      <c r="C917" s="128"/>
      <c r="D917" s="128"/>
      <c r="E917" s="128"/>
      <c r="N917" s="876"/>
      <c r="P917" s="877"/>
      <c r="R917" s="64"/>
      <c r="S917" s="64"/>
      <c r="T917" s="64"/>
      <c r="U917" s="64"/>
    </row>
    <row r="918" spans="1:21" s="71" customFormat="1" hidden="1">
      <c r="A918" s="64"/>
      <c r="B918" s="876"/>
      <c r="C918" s="128"/>
      <c r="D918" s="128"/>
      <c r="E918" s="128"/>
      <c r="N918" s="876"/>
      <c r="P918" s="877"/>
      <c r="R918" s="64"/>
      <c r="S918" s="64"/>
      <c r="T918" s="64"/>
      <c r="U918" s="64"/>
    </row>
    <row r="919" spans="1:21" s="71" customFormat="1" hidden="1">
      <c r="A919" s="64"/>
      <c r="B919" s="876"/>
      <c r="C919" s="128"/>
      <c r="D919" s="128"/>
      <c r="E919" s="128"/>
      <c r="N919" s="876"/>
      <c r="P919" s="877"/>
      <c r="R919" s="64"/>
      <c r="S919" s="64"/>
      <c r="T919" s="64"/>
      <c r="U919" s="64"/>
    </row>
    <row r="920" spans="1:21" s="71" customFormat="1" hidden="1">
      <c r="A920" s="64"/>
      <c r="B920" s="876"/>
      <c r="C920" s="128"/>
      <c r="D920" s="128"/>
      <c r="E920" s="128"/>
      <c r="N920" s="876"/>
      <c r="P920" s="877"/>
      <c r="R920" s="64"/>
      <c r="S920" s="64"/>
      <c r="T920" s="64"/>
      <c r="U920" s="64"/>
    </row>
    <row r="921" spans="1:21" s="71" customFormat="1" hidden="1">
      <c r="A921" s="64"/>
      <c r="B921" s="876"/>
      <c r="C921" s="128"/>
      <c r="D921" s="128"/>
      <c r="E921" s="128"/>
      <c r="N921" s="876"/>
      <c r="P921" s="877"/>
      <c r="R921" s="64"/>
      <c r="S921" s="64"/>
      <c r="T921" s="64"/>
      <c r="U921" s="64"/>
    </row>
    <row r="922" spans="1:21" s="71" customFormat="1" hidden="1">
      <c r="A922" s="64"/>
      <c r="B922" s="876"/>
      <c r="C922" s="128"/>
      <c r="D922" s="128"/>
      <c r="E922" s="128"/>
      <c r="N922" s="876"/>
      <c r="P922" s="877"/>
      <c r="R922" s="64"/>
      <c r="S922" s="64"/>
      <c r="T922" s="64"/>
      <c r="U922" s="64"/>
    </row>
    <row r="923" spans="1:21" s="71" customFormat="1" hidden="1">
      <c r="A923" s="64"/>
      <c r="B923" s="876"/>
      <c r="C923" s="128"/>
      <c r="D923" s="128"/>
      <c r="E923" s="128"/>
      <c r="N923" s="876"/>
      <c r="P923" s="877"/>
      <c r="R923" s="64"/>
      <c r="S923" s="64"/>
      <c r="T923" s="64"/>
      <c r="U923" s="64"/>
    </row>
    <row r="924" spans="1:21" s="71" customFormat="1" hidden="1">
      <c r="A924" s="64"/>
      <c r="B924" s="876"/>
      <c r="C924" s="128"/>
      <c r="D924" s="128"/>
      <c r="E924" s="128"/>
      <c r="N924" s="876"/>
      <c r="P924" s="877"/>
      <c r="R924" s="64"/>
      <c r="S924" s="64"/>
      <c r="T924" s="64"/>
      <c r="U924" s="64"/>
    </row>
    <row r="925" spans="1:21" s="71" customFormat="1" hidden="1">
      <c r="A925" s="64"/>
      <c r="B925" s="876"/>
      <c r="C925" s="128"/>
      <c r="D925" s="128"/>
      <c r="E925" s="128"/>
      <c r="N925" s="876"/>
      <c r="P925" s="877"/>
      <c r="R925" s="64"/>
      <c r="S925" s="64"/>
      <c r="T925" s="64"/>
      <c r="U925" s="64"/>
    </row>
    <row r="926" spans="1:21" s="71" customFormat="1" hidden="1">
      <c r="A926" s="64"/>
      <c r="B926" s="876"/>
      <c r="C926" s="128"/>
      <c r="D926" s="128"/>
      <c r="E926" s="128"/>
      <c r="N926" s="876"/>
      <c r="P926" s="877"/>
      <c r="R926" s="64"/>
      <c r="S926" s="64"/>
      <c r="T926" s="64"/>
      <c r="U926" s="64"/>
    </row>
    <row r="927" spans="1:21" s="71" customFormat="1" hidden="1">
      <c r="A927" s="64"/>
      <c r="B927" s="876"/>
      <c r="C927" s="128"/>
      <c r="D927" s="128"/>
      <c r="E927" s="128"/>
      <c r="N927" s="876"/>
      <c r="P927" s="877"/>
      <c r="R927" s="64"/>
      <c r="S927" s="64"/>
      <c r="T927" s="64"/>
      <c r="U927" s="64"/>
    </row>
    <row r="928" spans="1:21" s="71" customFormat="1" hidden="1">
      <c r="A928" s="64"/>
      <c r="B928" s="876"/>
      <c r="C928" s="128"/>
      <c r="D928" s="128"/>
      <c r="E928" s="128"/>
      <c r="N928" s="876"/>
      <c r="P928" s="877"/>
      <c r="R928" s="64"/>
      <c r="S928" s="64"/>
      <c r="T928" s="64"/>
      <c r="U928" s="64"/>
    </row>
    <row r="929" spans="1:21" s="71" customFormat="1" hidden="1">
      <c r="A929" s="64"/>
      <c r="B929" s="876"/>
      <c r="C929" s="128"/>
      <c r="D929" s="128"/>
      <c r="E929" s="128"/>
      <c r="N929" s="876"/>
      <c r="P929" s="877"/>
      <c r="R929" s="64"/>
      <c r="S929" s="64"/>
      <c r="T929" s="64"/>
      <c r="U929" s="64"/>
    </row>
    <row r="930" spans="1:21" s="71" customFormat="1" hidden="1">
      <c r="A930" s="64"/>
      <c r="B930" s="876"/>
      <c r="C930" s="128"/>
      <c r="D930" s="128"/>
      <c r="E930" s="128"/>
      <c r="N930" s="876"/>
      <c r="P930" s="877"/>
      <c r="R930" s="64"/>
      <c r="S930" s="64"/>
      <c r="T930" s="64"/>
      <c r="U930" s="64"/>
    </row>
    <row r="931" spans="1:21" s="71" customFormat="1" hidden="1">
      <c r="A931" s="64"/>
      <c r="B931" s="876"/>
      <c r="C931" s="128"/>
      <c r="D931" s="128"/>
      <c r="E931" s="128"/>
      <c r="N931" s="876"/>
      <c r="P931" s="877"/>
      <c r="R931" s="64"/>
      <c r="S931" s="64"/>
      <c r="T931" s="64"/>
      <c r="U931" s="64"/>
    </row>
    <row r="932" spans="1:21" s="71" customFormat="1" hidden="1">
      <c r="A932" s="64"/>
      <c r="B932" s="876"/>
      <c r="C932" s="128"/>
      <c r="D932" s="128"/>
      <c r="E932" s="128"/>
      <c r="N932" s="876"/>
      <c r="P932" s="877"/>
      <c r="R932" s="64"/>
      <c r="S932" s="64"/>
      <c r="T932" s="64"/>
      <c r="U932" s="64"/>
    </row>
    <row r="933" spans="1:21" s="71" customFormat="1" hidden="1">
      <c r="A933" s="64"/>
      <c r="B933" s="876"/>
      <c r="C933" s="128"/>
      <c r="D933" s="128"/>
      <c r="E933" s="128"/>
      <c r="N933" s="876"/>
      <c r="P933" s="877"/>
      <c r="R933" s="64"/>
      <c r="S933" s="64"/>
      <c r="T933" s="64"/>
      <c r="U933" s="64"/>
    </row>
    <row r="934" spans="1:21" s="71" customFormat="1" hidden="1">
      <c r="A934" s="64"/>
      <c r="B934" s="876"/>
      <c r="C934" s="128"/>
      <c r="D934" s="128"/>
      <c r="E934" s="128"/>
      <c r="N934" s="876"/>
      <c r="P934" s="877"/>
      <c r="R934" s="64"/>
      <c r="S934" s="64"/>
      <c r="T934" s="64"/>
      <c r="U934" s="64"/>
    </row>
    <row r="935" spans="1:21" s="71" customFormat="1" hidden="1">
      <c r="A935" s="64"/>
      <c r="B935" s="876"/>
      <c r="C935" s="128"/>
      <c r="D935" s="128"/>
      <c r="E935" s="128"/>
      <c r="N935" s="876"/>
      <c r="P935" s="877"/>
      <c r="R935" s="64"/>
      <c r="S935" s="64"/>
      <c r="T935" s="64"/>
      <c r="U935" s="64"/>
    </row>
    <row r="936" spans="1:21" s="71" customFormat="1" hidden="1">
      <c r="A936" s="64"/>
      <c r="B936" s="876"/>
      <c r="C936" s="128"/>
      <c r="D936" s="128"/>
      <c r="E936" s="128"/>
      <c r="N936" s="876"/>
      <c r="P936" s="877"/>
      <c r="R936" s="64"/>
      <c r="S936" s="64"/>
      <c r="T936" s="64"/>
      <c r="U936" s="64"/>
    </row>
    <row r="937" spans="1:21" s="71" customFormat="1" hidden="1">
      <c r="A937" s="64"/>
      <c r="B937" s="876"/>
      <c r="C937" s="128"/>
      <c r="D937" s="128"/>
      <c r="E937" s="128"/>
      <c r="N937" s="876"/>
      <c r="P937" s="877"/>
      <c r="R937" s="64"/>
      <c r="S937" s="64"/>
      <c r="T937" s="64"/>
      <c r="U937" s="64"/>
    </row>
    <row r="938" spans="1:21" s="71" customFormat="1" hidden="1">
      <c r="A938" s="64"/>
      <c r="B938" s="876"/>
      <c r="C938" s="128"/>
      <c r="D938" s="128"/>
      <c r="E938" s="128"/>
      <c r="N938" s="876"/>
      <c r="P938" s="877"/>
      <c r="R938" s="64"/>
      <c r="S938" s="64"/>
      <c r="T938" s="64"/>
      <c r="U938" s="64"/>
    </row>
    <row r="939" spans="1:21" s="71" customFormat="1" hidden="1">
      <c r="A939" s="64"/>
      <c r="B939" s="876"/>
      <c r="C939" s="128"/>
      <c r="D939" s="128"/>
      <c r="E939" s="128"/>
      <c r="N939" s="876"/>
      <c r="P939" s="877"/>
      <c r="R939" s="64"/>
      <c r="S939" s="64"/>
      <c r="T939" s="64"/>
      <c r="U939" s="64"/>
    </row>
    <row r="940" spans="1:21" s="71" customFormat="1" hidden="1">
      <c r="A940" s="64"/>
      <c r="B940" s="876"/>
      <c r="C940" s="128"/>
      <c r="D940" s="128"/>
      <c r="E940" s="128"/>
      <c r="N940" s="876"/>
      <c r="P940" s="877"/>
      <c r="R940" s="64"/>
      <c r="S940" s="64"/>
      <c r="T940" s="64"/>
      <c r="U940" s="64"/>
    </row>
    <row r="941" spans="1:21" s="71" customFormat="1" hidden="1">
      <c r="A941" s="64"/>
      <c r="B941" s="876"/>
      <c r="C941" s="128"/>
      <c r="D941" s="128"/>
      <c r="E941" s="128"/>
      <c r="N941" s="876"/>
      <c r="P941" s="877"/>
      <c r="R941" s="64"/>
      <c r="S941" s="64"/>
      <c r="T941" s="64"/>
      <c r="U941" s="64"/>
    </row>
    <row r="942" spans="1:21" s="71" customFormat="1" hidden="1">
      <c r="A942" s="64"/>
      <c r="B942" s="876"/>
      <c r="C942" s="128"/>
      <c r="D942" s="128"/>
      <c r="E942" s="128"/>
      <c r="N942" s="876"/>
      <c r="P942" s="877"/>
      <c r="R942" s="64"/>
      <c r="S942" s="64"/>
      <c r="T942" s="64"/>
      <c r="U942" s="64"/>
    </row>
    <row r="943" spans="1:21" s="71" customFormat="1" hidden="1">
      <c r="A943" s="64"/>
      <c r="B943" s="876"/>
      <c r="C943" s="128"/>
      <c r="D943" s="128"/>
      <c r="E943" s="128"/>
      <c r="N943" s="876"/>
      <c r="P943" s="877"/>
      <c r="R943" s="64"/>
      <c r="S943" s="64"/>
      <c r="T943" s="64"/>
      <c r="U943" s="64"/>
    </row>
    <row r="944" spans="1:21" s="71" customFormat="1" hidden="1">
      <c r="A944" s="64"/>
      <c r="B944" s="876"/>
      <c r="C944" s="128"/>
      <c r="D944" s="128"/>
      <c r="E944" s="128"/>
      <c r="N944" s="876"/>
      <c r="P944" s="877"/>
      <c r="R944" s="64"/>
      <c r="S944" s="64"/>
      <c r="T944" s="64"/>
      <c r="U944" s="64"/>
    </row>
    <row r="945" spans="1:21" s="71" customFormat="1" hidden="1">
      <c r="A945" s="64"/>
      <c r="B945" s="876"/>
      <c r="C945" s="128"/>
      <c r="D945" s="128"/>
      <c r="E945" s="128"/>
      <c r="N945" s="876"/>
      <c r="P945" s="877"/>
      <c r="R945" s="64"/>
      <c r="S945" s="64"/>
      <c r="T945" s="64"/>
      <c r="U945" s="64"/>
    </row>
    <row r="946" spans="1:21" s="71" customFormat="1" hidden="1">
      <c r="A946" s="64"/>
      <c r="B946" s="876"/>
      <c r="C946" s="128"/>
      <c r="D946" s="128"/>
      <c r="E946" s="128"/>
      <c r="N946" s="876"/>
      <c r="P946" s="877"/>
      <c r="R946" s="64"/>
      <c r="S946" s="64"/>
      <c r="T946" s="64"/>
      <c r="U946" s="64"/>
    </row>
    <row r="947" spans="1:21" s="71" customFormat="1" hidden="1">
      <c r="A947" s="64"/>
      <c r="B947" s="876"/>
      <c r="C947" s="128"/>
      <c r="D947" s="128"/>
      <c r="E947" s="128"/>
      <c r="N947" s="876"/>
      <c r="P947" s="877"/>
      <c r="R947" s="64"/>
      <c r="S947" s="64"/>
      <c r="T947" s="64"/>
      <c r="U947" s="64"/>
    </row>
    <row r="948" spans="1:21" s="71" customFormat="1" hidden="1">
      <c r="A948" s="64"/>
      <c r="B948" s="876"/>
      <c r="C948" s="128"/>
      <c r="D948" s="128"/>
      <c r="E948" s="128"/>
      <c r="N948" s="876"/>
      <c r="P948" s="877"/>
      <c r="R948" s="64"/>
      <c r="S948" s="64"/>
      <c r="T948" s="64"/>
      <c r="U948" s="64"/>
    </row>
    <row r="949" spans="1:21" s="71" customFormat="1" hidden="1">
      <c r="A949" s="64"/>
      <c r="B949" s="876"/>
      <c r="C949" s="128"/>
      <c r="D949" s="128"/>
      <c r="E949" s="128"/>
      <c r="N949" s="876"/>
      <c r="P949" s="877"/>
      <c r="R949" s="64"/>
      <c r="S949" s="64"/>
      <c r="T949" s="64"/>
      <c r="U949" s="64"/>
    </row>
    <row r="950" spans="1:21" s="71" customFormat="1" hidden="1">
      <c r="A950" s="64"/>
      <c r="B950" s="876"/>
      <c r="C950" s="128"/>
      <c r="D950" s="128"/>
      <c r="E950" s="128"/>
      <c r="N950" s="876"/>
      <c r="P950" s="877"/>
      <c r="R950" s="64"/>
      <c r="S950" s="64"/>
      <c r="T950" s="64"/>
      <c r="U950" s="64"/>
    </row>
    <row r="951" spans="1:21" s="71" customFormat="1" hidden="1">
      <c r="A951" s="64"/>
      <c r="B951" s="876"/>
      <c r="C951" s="128"/>
      <c r="D951" s="128"/>
      <c r="E951" s="128"/>
      <c r="N951" s="876"/>
      <c r="P951" s="877"/>
      <c r="R951" s="64"/>
      <c r="S951" s="64"/>
      <c r="T951" s="64"/>
      <c r="U951" s="64"/>
    </row>
    <row r="952" spans="1:21" s="71" customFormat="1" hidden="1">
      <c r="A952" s="64"/>
      <c r="B952" s="876"/>
      <c r="C952" s="128"/>
      <c r="D952" s="128"/>
      <c r="E952" s="128"/>
      <c r="N952" s="876"/>
      <c r="P952" s="877"/>
      <c r="R952" s="64"/>
      <c r="S952" s="64"/>
      <c r="T952" s="64"/>
      <c r="U952" s="64"/>
    </row>
    <row r="953" spans="1:21" s="71" customFormat="1" hidden="1">
      <c r="A953" s="64"/>
      <c r="B953" s="876"/>
      <c r="C953" s="128"/>
      <c r="D953" s="128"/>
      <c r="E953" s="128"/>
      <c r="N953" s="876"/>
      <c r="P953" s="877"/>
      <c r="R953" s="64"/>
      <c r="S953" s="64"/>
      <c r="T953" s="64"/>
      <c r="U953" s="64"/>
    </row>
    <row r="954" spans="1:21" s="71" customFormat="1" hidden="1">
      <c r="A954" s="64"/>
      <c r="B954" s="876"/>
      <c r="C954" s="128"/>
      <c r="D954" s="128"/>
      <c r="E954" s="128"/>
      <c r="N954" s="876"/>
      <c r="P954" s="877"/>
      <c r="R954" s="64"/>
      <c r="S954" s="64"/>
      <c r="T954" s="64"/>
      <c r="U954" s="64"/>
    </row>
    <row r="955" spans="1:21" s="71" customFormat="1" hidden="1">
      <c r="A955" s="64"/>
      <c r="B955" s="876"/>
      <c r="C955" s="128"/>
      <c r="D955" s="128"/>
      <c r="E955" s="128"/>
      <c r="N955" s="876"/>
      <c r="P955" s="877"/>
      <c r="R955" s="64"/>
      <c r="S955" s="64"/>
      <c r="T955" s="64"/>
      <c r="U955" s="64"/>
    </row>
    <row r="956" spans="1:21" s="71" customFormat="1" hidden="1">
      <c r="A956" s="64"/>
      <c r="B956" s="876"/>
      <c r="C956" s="128"/>
      <c r="D956" s="128"/>
      <c r="E956" s="128"/>
      <c r="N956" s="876"/>
      <c r="P956" s="877"/>
      <c r="R956" s="64"/>
      <c r="S956" s="64"/>
      <c r="T956" s="64"/>
      <c r="U956" s="64"/>
    </row>
    <row r="957" spans="1:21" s="71" customFormat="1" hidden="1">
      <c r="A957" s="64"/>
      <c r="B957" s="876"/>
      <c r="C957" s="128"/>
      <c r="D957" s="128"/>
      <c r="E957" s="128"/>
      <c r="N957" s="876"/>
      <c r="P957" s="877"/>
      <c r="R957" s="64"/>
      <c r="S957" s="64"/>
      <c r="T957" s="64"/>
      <c r="U957" s="64"/>
    </row>
    <row r="958" spans="1:21" s="71" customFormat="1" hidden="1">
      <c r="A958" s="64"/>
      <c r="B958" s="876"/>
      <c r="C958" s="128"/>
      <c r="D958" s="128"/>
      <c r="E958" s="128"/>
      <c r="N958" s="876"/>
      <c r="P958" s="877"/>
      <c r="R958" s="64"/>
      <c r="S958" s="64"/>
      <c r="T958" s="64"/>
      <c r="U958" s="64"/>
    </row>
    <row r="959" spans="1:21" s="71" customFormat="1" hidden="1">
      <c r="A959" s="64"/>
      <c r="B959" s="876"/>
      <c r="C959" s="128"/>
      <c r="D959" s="128"/>
      <c r="E959" s="128"/>
      <c r="N959" s="876"/>
      <c r="P959" s="877"/>
      <c r="R959" s="64"/>
      <c r="S959" s="64"/>
      <c r="T959" s="64"/>
      <c r="U959" s="64"/>
    </row>
    <row r="960" spans="1:21" s="71" customFormat="1" hidden="1">
      <c r="A960" s="64"/>
      <c r="B960" s="876"/>
      <c r="C960" s="128"/>
      <c r="D960" s="128"/>
      <c r="E960" s="128"/>
      <c r="N960" s="876"/>
      <c r="P960" s="877"/>
      <c r="R960" s="64"/>
      <c r="S960" s="64"/>
      <c r="T960" s="64"/>
      <c r="U960" s="64"/>
    </row>
    <row r="961" spans="1:21" s="71" customFormat="1" hidden="1">
      <c r="A961" s="64"/>
      <c r="B961" s="876"/>
      <c r="C961" s="128"/>
      <c r="D961" s="128"/>
      <c r="E961" s="128"/>
      <c r="N961" s="876"/>
      <c r="P961" s="877"/>
      <c r="R961" s="64"/>
      <c r="S961" s="64"/>
      <c r="T961" s="64"/>
      <c r="U961" s="64"/>
    </row>
    <row r="962" spans="1:21" s="71" customFormat="1" hidden="1">
      <c r="A962" s="64"/>
      <c r="B962" s="876"/>
      <c r="C962" s="128"/>
      <c r="D962" s="128"/>
      <c r="E962" s="128"/>
      <c r="N962" s="876"/>
      <c r="P962" s="877"/>
      <c r="R962" s="64"/>
      <c r="S962" s="64"/>
      <c r="T962" s="64"/>
      <c r="U962" s="64"/>
    </row>
    <row r="963" spans="1:21" s="71" customFormat="1" hidden="1">
      <c r="A963" s="64"/>
      <c r="B963" s="876"/>
      <c r="C963" s="128"/>
      <c r="D963" s="128"/>
      <c r="E963" s="128"/>
      <c r="N963" s="876"/>
      <c r="P963" s="877"/>
      <c r="R963" s="64"/>
      <c r="S963" s="64"/>
      <c r="T963" s="64"/>
      <c r="U963" s="64"/>
    </row>
    <row r="964" spans="1:21" s="71" customFormat="1" hidden="1">
      <c r="A964" s="64"/>
      <c r="B964" s="876"/>
      <c r="C964" s="128"/>
      <c r="D964" s="128"/>
      <c r="E964" s="128"/>
      <c r="N964" s="876"/>
      <c r="P964" s="877"/>
      <c r="R964" s="64"/>
      <c r="S964" s="64"/>
      <c r="T964" s="64"/>
      <c r="U964" s="64"/>
    </row>
    <row r="965" spans="1:21" s="71" customFormat="1" hidden="1">
      <c r="A965" s="64"/>
      <c r="B965" s="876"/>
      <c r="C965" s="128"/>
      <c r="D965" s="128"/>
      <c r="E965" s="128"/>
      <c r="N965" s="876"/>
      <c r="P965" s="877"/>
      <c r="R965" s="64"/>
      <c r="S965" s="64"/>
      <c r="T965" s="64"/>
      <c r="U965" s="64"/>
    </row>
    <row r="966" spans="1:21" s="71" customFormat="1" hidden="1">
      <c r="A966" s="64"/>
      <c r="B966" s="876"/>
      <c r="C966" s="128"/>
      <c r="D966" s="128"/>
      <c r="E966" s="128"/>
      <c r="N966" s="876"/>
      <c r="P966" s="877"/>
      <c r="R966" s="64"/>
      <c r="S966" s="64"/>
      <c r="T966" s="64"/>
      <c r="U966" s="64"/>
    </row>
    <row r="967" spans="1:21" s="71" customFormat="1" hidden="1">
      <c r="A967" s="64"/>
      <c r="B967" s="876"/>
      <c r="C967" s="128"/>
      <c r="D967" s="128"/>
      <c r="E967" s="128"/>
      <c r="N967" s="876"/>
      <c r="P967" s="877"/>
      <c r="R967" s="64"/>
      <c r="S967" s="64"/>
      <c r="T967" s="64"/>
      <c r="U967" s="64"/>
    </row>
    <row r="968" spans="1:21" s="71" customFormat="1" hidden="1">
      <c r="A968" s="64"/>
      <c r="B968" s="876"/>
      <c r="C968" s="128"/>
      <c r="D968" s="128"/>
      <c r="E968" s="128"/>
      <c r="N968" s="876"/>
      <c r="P968" s="877"/>
      <c r="R968" s="64"/>
      <c r="S968" s="64"/>
      <c r="T968" s="64"/>
      <c r="U968" s="64"/>
    </row>
    <row r="969" spans="1:21" s="71" customFormat="1" hidden="1">
      <c r="A969" s="64"/>
      <c r="B969" s="876"/>
      <c r="C969" s="128"/>
      <c r="D969" s="128"/>
      <c r="E969" s="128"/>
      <c r="N969" s="876"/>
      <c r="P969" s="877"/>
      <c r="R969" s="64"/>
      <c r="S969" s="64"/>
      <c r="T969" s="64"/>
      <c r="U969" s="64"/>
    </row>
    <row r="970" spans="1:21" s="71" customFormat="1" hidden="1">
      <c r="A970" s="64"/>
      <c r="B970" s="876"/>
      <c r="C970" s="128"/>
      <c r="D970" s="128"/>
      <c r="E970" s="128"/>
      <c r="N970" s="876"/>
      <c r="P970" s="877"/>
      <c r="R970" s="64"/>
      <c r="S970" s="64"/>
      <c r="T970" s="64"/>
      <c r="U970" s="64"/>
    </row>
    <row r="971" spans="1:21" s="71" customFormat="1" hidden="1">
      <c r="A971" s="64"/>
      <c r="B971" s="876"/>
      <c r="C971" s="128"/>
      <c r="D971" s="128"/>
      <c r="E971" s="128"/>
      <c r="N971" s="876"/>
      <c r="P971" s="877"/>
      <c r="R971" s="64"/>
      <c r="S971" s="64"/>
      <c r="T971" s="64"/>
      <c r="U971" s="64"/>
    </row>
    <row r="972" spans="1:21" s="71" customFormat="1" hidden="1">
      <c r="A972" s="64"/>
      <c r="B972" s="876"/>
      <c r="C972" s="128"/>
      <c r="D972" s="128"/>
      <c r="E972" s="128"/>
      <c r="N972" s="876"/>
      <c r="P972" s="877"/>
      <c r="R972" s="64"/>
      <c r="S972" s="64"/>
      <c r="T972" s="64"/>
      <c r="U972" s="64"/>
    </row>
    <row r="973" spans="1:21" s="71" customFormat="1" hidden="1">
      <c r="A973" s="64"/>
      <c r="B973" s="876"/>
      <c r="C973" s="128"/>
      <c r="D973" s="128"/>
      <c r="E973" s="128"/>
      <c r="N973" s="876"/>
      <c r="P973" s="877"/>
      <c r="R973" s="64"/>
      <c r="S973" s="64"/>
      <c r="T973" s="64"/>
      <c r="U973" s="64"/>
    </row>
    <row r="974" spans="1:21" s="71" customFormat="1" hidden="1">
      <c r="A974" s="64"/>
      <c r="B974" s="876"/>
      <c r="C974" s="128"/>
      <c r="D974" s="128"/>
      <c r="E974" s="128"/>
      <c r="N974" s="876"/>
      <c r="P974" s="877"/>
      <c r="R974" s="64"/>
      <c r="S974" s="64"/>
      <c r="T974" s="64"/>
      <c r="U974" s="64"/>
    </row>
    <row r="975" spans="1:21" s="71" customFormat="1" hidden="1">
      <c r="A975" s="64"/>
      <c r="B975" s="876"/>
      <c r="C975" s="128"/>
      <c r="D975" s="128"/>
      <c r="E975" s="128"/>
      <c r="N975" s="876"/>
      <c r="P975" s="877"/>
      <c r="R975" s="64"/>
      <c r="S975" s="64"/>
      <c r="T975" s="64"/>
      <c r="U975" s="64"/>
    </row>
    <row r="976" spans="1:21" s="71" customFormat="1" hidden="1">
      <c r="A976" s="64"/>
      <c r="B976" s="876"/>
      <c r="C976" s="128"/>
      <c r="D976" s="128"/>
      <c r="E976" s="128"/>
      <c r="N976" s="876"/>
      <c r="P976" s="877"/>
      <c r="R976" s="64"/>
      <c r="S976" s="64"/>
      <c r="T976" s="64"/>
      <c r="U976" s="64"/>
    </row>
    <row r="977" spans="1:21" s="71" customFormat="1" hidden="1">
      <c r="A977" s="64"/>
      <c r="B977" s="876"/>
      <c r="C977" s="128"/>
      <c r="D977" s="128"/>
      <c r="E977" s="128"/>
      <c r="N977" s="876"/>
      <c r="P977" s="877"/>
      <c r="R977" s="64"/>
      <c r="S977" s="64"/>
      <c r="T977" s="64"/>
      <c r="U977" s="64"/>
    </row>
    <row r="978" spans="1:21" s="71" customFormat="1" hidden="1">
      <c r="A978" s="64"/>
      <c r="B978" s="876"/>
      <c r="C978" s="128"/>
      <c r="D978" s="128"/>
      <c r="E978" s="128"/>
      <c r="N978" s="876"/>
      <c r="P978" s="877"/>
      <c r="R978" s="64"/>
      <c r="S978" s="64"/>
      <c r="T978" s="64"/>
      <c r="U978" s="64"/>
    </row>
    <row r="979" spans="1:21" s="71" customFormat="1" hidden="1">
      <c r="A979" s="64"/>
      <c r="B979" s="876"/>
      <c r="C979" s="128"/>
      <c r="D979" s="128"/>
      <c r="E979" s="128"/>
      <c r="N979" s="876"/>
      <c r="P979" s="877"/>
      <c r="R979" s="64"/>
      <c r="S979" s="64"/>
      <c r="T979" s="64"/>
      <c r="U979" s="64"/>
    </row>
    <row r="980" spans="1:21" s="71" customFormat="1" hidden="1">
      <c r="A980" s="64"/>
      <c r="B980" s="876"/>
      <c r="C980" s="128"/>
      <c r="D980" s="128"/>
      <c r="E980" s="128"/>
      <c r="N980" s="876"/>
      <c r="P980" s="877"/>
      <c r="R980" s="64"/>
      <c r="S980" s="64"/>
      <c r="T980" s="64"/>
      <c r="U980" s="64"/>
    </row>
    <row r="981" spans="1:21" s="71" customFormat="1" hidden="1">
      <c r="A981" s="64"/>
      <c r="B981" s="876"/>
      <c r="C981" s="128"/>
      <c r="D981" s="128"/>
      <c r="E981" s="128"/>
      <c r="N981" s="876"/>
      <c r="P981" s="877"/>
      <c r="R981" s="64"/>
      <c r="S981" s="64"/>
      <c r="T981" s="64"/>
      <c r="U981" s="64"/>
    </row>
    <row r="982" spans="1:21" s="71" customFormat="1" hidden="1">
      <c r="A982" s="64"/>
      <c r="B982" s="876"/>
      <c r="C982" s="128"/>
      <c r="D982" s="128"/>
      <c r="E982" s="128"/>
      <c r="N982" s="876"/>
      <c r="P982" s="877"/>
      <c r="R982" s="64"/>
      <c r="S982" s="64"/>
      <c r="T982" s="64"/>
      <c r="U982" s="64"/>
    </row>
    <row r="983" spans="1:21" s="71" customFormat="1" hidden="1">
      <c r="A983" s="64"/>
      <c r="B983" s="876"/>
      <c r="C983" s="128"/>
      <c r="D983" s="128"/>
      <c r="E983" s="128"/>
      <c r="N983" s="876"/>
      <c r="P983" s="877"/>
      <c r="R983" s="64"/>
      <c r="S983" s="64"/>
      <c r="T983" s="64"/>
      <c r="U983" s="64"/>
    </row>
    <row r="984" spans="1:21" s="71" customFormat="1" hidden="1">
      <c r="A984" s="64"/>
      <c r="B984" s="876"/>
      <c r="C984" s="128"/>
      <c r="D984" s="128"/>
      <c r="E984" s="128"/>
      <c r="N984" s="876"/>
      <c r="P984" s="877"/>
      <c r="R984" s="64"/>
      <c r="S984" s="64"/>
      <c r="T984" s="64"/>
      <c r="U984" s="64"/>
    </row>
    <row r="985" spans="1:21" s="71" customFormat="1" hidden="1">
      <c r="A985" s="64"/>
      <c r="B985" s="876"/>
      <c r="C985" s="128"/>
      <c r="D985" s="128"/>
      <c r="E985" s="128"/>
      <c r="N985" s="876"/>
      <c r="P985" s="877"/>
      <c r="R985" s="64"/>
      <c r="S985" s="64"/>
      <c r="T985" s="64"/>
      <c r="U985" s="64"/>
    </row>
    <row r="986" spans="1:21" s="71" customFormat="1" hidden="1">
      <c r="A986" s="64"/>
      <c r="B986" s="876"/>
      <c r="C986" s="128"/>
      <c r="D986" s="128"/>
      <c r="E986" s="128"/>
      <c r="N986" s="876"/>
      <c r="P986" s="877"/>
      <c r="R986" s="64"/>
      <c r="S986" s="64"/>
      <c r="T986" s="64"/>
      <c r="U986" s="64"/>
    </row>
    <row r="987" spans="1:21" s="71" customFormat="1" hidden="1">
      <c r="A987" s="64"/>
      <c r="B987" s="876"/>
      <c r="C987" s="128"/>
      <c r="D987" s="128"/>
      <c r="E987" s="128"/>
      <c r="N987" s="876"/>
      <c r="P987" s="877"/>
      <c r="R987" s="64"/>
      <c r="S987" s="64"/>
      <c r="T987" s="64"/>
      <c r="U987" s="64"/>
    </row>
    <row r="988" spans="1:21" s="71" customFormat="1" hidden="1">
      <c r="A988" s="64"/>
      <c r="B988" s="876"/>
      <c r="C988" s="128"/>
      <c r="D988" s="128"/>
      <c r="E988" s="128"/>
      <c r="N988" s="876"/>
      <c r="P988" s="877"/>
      <c r="R988" s="64"/>
      <c r="S988" s="64"/>
      <c r="T988" s="64"/>
      <c r="U988" s="64"/>
    </row>
    <row r="989" spans="1:21" s="71" customFormat="1" hidden="1">
      <c r="A989" s="64"/>
      <c r="B989" s="876"/>
      <c r="C989" s="128"/>
      <c r="D989" s="128"/>
      <c r="E989" s="128"/>
      <c r="N989" s="876"/>
      <c r="P989" s="877"/>
      <c r="R989" s="64"/>
      <c r="S989" s="64"/>
      <c r="T989" s="64"/>
      <c r="U989" s="64"/>
    </row>
    <row r="990" spans="1:21" s="71" customFormat="1" hidden="1">
      <c r="A990" s="64"/>
      <c r="B990" s="876"/>
      <c r="C990" s="128"/>
      <c r="D990" s="128"/>
      <c r="E990" s="128"/>
      <c r="N990" s="876"/>
      <c r="P990" s="877"/>
      <c r="R990" s="64"/>
      <c r="S990" s="64"/>
      <c r="T990" s="64"/>
      <c r="U990" s="64"/>
    </row>
    <row r="991" spans="1:21" s="71" customFormat="1" hidden="1">
      <c r="A991" s="64"/>
      <c r="B991" s="876"/>
      <c r="C991" s="128"/>
      <c r="D991" s="128"/>
      <c r="E991" s="128"/>
      <c r="N991" s="876"/>
      <c r="P991" s="877"/>
      <c r="R991" s="64"/>
      <c r="S991" s="64"/>
      <c r="T991" s="64"/>
      <c r="U991" s="64"/>
    </row>
    <row r="992" spans="1:21" s="71" customFormat="1" hidden="1">
      <c r="A992" s="64"/>
      <c r="B992" s="876"/>
      <c r="C992" s="128"/>
      <c r="D992" s="128"/>
      <c r="E992" s="128"/>
      <c r="N992" s="876"/>
      <c r="P992" s="877"/>
      <c r="R992" s="64"/>
      <c r="S992" s="64"/>
      <c r="T992" s="64"/>
      <c r="U992" s="64"/>
    </row>
    <row r="993" spans="1:21" s="71" customFormat="1" hidden="1">
      <c r="A993" s="64"/>
      <c r="B993" s="876"/>
      <c r="C993" s="128"/>
      <c r="D993" s="128"/>
      <c r="E993" s="128"/>
      <c r="N993" s="876"/>
      <c r="P993" s="877"/>
      <c r="R993" s="64"/>
      <c r="S993" s="64"/>
      <c r="T993" s="64"/>
      <c r="U993" s="64"/>
    </row>
    <row r="994" spans="1:21" s="71" customFormat="1" hidden="1">
      <c r="A994" s="64"/>
      <c r="B994" s="876"/>
      <c r="C994" s="128"/>
      <c r="D994" s="128"/>
      <c r="E994" s="128"/>
      <c r="N994" s="876"/>
      <c r="P994" s="877"/>
      <c r="R994" s="64"/>
      <c r="S994" s="64"/>
      <c r="T994" s="64"/>
      <c r="U994" s="64"/>
    </row>
    <row r="995" spans="1:21" s="71" customFormat="1" hidden="1">
      <c r="A995" s="64"/>
      <c r="B995" s="876"/>
      <c r="C995" s="128"/>
      <c r="D995" s="128"/>
      <c r="E995" s="128"/>
      <c r="N995" s="876"/>
      <c r="P995" s="877"/>
      <c r="R995" s="64"/>
      <c r="S995" s="64"/>
      <c r="T995" s="64"/>
      <c r="U995" s="64"/>
    </row>
    <row r="996" spans="1:21" s="71" customFormat="1" hidden="1">
      <c r="A996" s="64"/>
      <c r="B996" s="876"/>
      <c r="C996" s="128"/>
      <c r="D996" s="128"/>
      <c r="E996" s="128"/>
      <c r="N996" s="876"/>
      <c r="P996" s="877"/>
      <c r="R996" s="64"/>
      <c r="S996" s="64"/>
      <c r="T996" s="64"/>
      <c r="U996" s="64"/>
    </row>
    <row r="997" spans="1:21" s="71" customFormat="1" hidden="1">
      <c r="A997" s="64"/>
      <c r="B997" s="876"/>
      <c r="C997" s="128"/>
      <c r="D997" s="128"/>
      <c r="E997" s="128"/>
      <c r="N997" s="876"/>
      <c r="P997" s="877"/>
      <c r="R997" s="64"/>
      <c r="S997" s="64"/>
      <c r="T997" s="64"/>
      <c r="U997" s="64"/>
    </row>
    <row r="998" spans="1:21" s="71" customFormat="1" hidden="1">
      <c r="A998" s="64"/>
      <c r="B998" s="876"/>
      <c r="C998" s="128"/>
      <c r="D998" s="128"/>
      <c r="E998" s="128"/>
      <c r="N998" s="876"/>
      <c r="P998" s="877"/>
      <c r="R998" s="64"/>
      <c r="S998" s="64"/>
      <c r="T998" s="64"/>
      <c r="U998" s="64"/>
    </row>
    <row r="999" spans="1:21" s="71" customFormat="1" hidden="1">
      <c r="A999" s="64"/>
      <c r="B999" s="876"/>
      <c r="C999" s="128"/>
      <c r="D999" s="128"/>
      <c r="E999" s="128"/>
      <c r="N999" s="876"/>
      <c r="P999" s="877"/>
      <c r="R999" s="64"/>
      <c r="S999" s="64"/>
      <c r="T999" s="64"/>
      <c r="U999" s="64"/>
    </row>
    <row r="1000" spans="1:21" s="71" customFormat="1" hidden="1">
      <c r="A1000" s="64"/>
      <c r="B1000" s="876"/>
      <c r="C1000" s="128"/>
      <c r="D1000" s="128"/>
      <c r="E1000" s="128"/>
      <c r="N1000" s="876"/>
      <c r="P1000" s="877"/>
      <c r="R1000" s="64"/>
      <c r="S1000" s="64"/>
      <c r="T1000" s="64"/>
      <c r="U1000" s="64"/>
    </row>
    <row r="1001" spans="1:21" s="71" customFormat="1" hidden="1">
      <c r="A1001" s="64"/>
      <c r="B1001" s="876"/>
      <c r="C1001" s="128"/>
      <c r="D1001" s="128"/>
      <c r="E1001" s="128"/>
      <c r="N1001" s="876"/>
      <c r="P1001" s="877"/>
      <c r="R1001" s="64"/>
      <c r="S1001" s="64"/>
      <c r="T1001" s="64"/>
      <c r="U1001" s="64"/>
    </row>
    <row r="1002" spans="1:21" s="71" customFormat="1" hidden="1">
      <c r="A1002" s="64"/>
      <c r="B1002" s="876"/>
      <c r="C1002" s="128"/>
      <c r="D1002" s="128"/>
      <c r="E1002" s="128"/>
      <c r="N1002" s="876"/>
      <c r="P1002" s="877"/>
      <c r="R1002" s="64"/>
      <c r="S1002" s="64"/>
      <c r="T1002" s="64"/>
      <c r="U1002" s="64"/>
    </row>
    <row r="1003" spans="1:21" s="71" customFormat="1" hidden="1">
      <c r="A1003" s="64"/>
      <c r="B1003" s="876"/>
      <c r="C1003" s="128"/>
      <c r="D1003" s="128"/>
      <c r="E1003" s="128"/>
      <c r="N1003" s="876"/>
      <c r="P1003" s="877"/>
      <c r="R1003" s="64"/>
      <c r="S1003" s="64"/>
      <c r="T1003" s="64"/>
      <c r="U1003" s="64"/>
    </row>
    <row r="1004" spans="1:21" s="71" customFormat="1" hidden="1">
      <c r="A1004" s="64"/>
      <c r="B1004" s="876"/>
      <c r="C1004" s="128"/>
      <c r="D1004" s="128"/>
      <c r="E1004" s="128"/>
      <c r="N1004" s="876"/>
      <c r="P1004" s="877"/>
      <c r="R1004" s="64"/>
      <c r="S1004" s="64"/>
      <c r="T1004" s="64"/>
      <c r="U1004" s="64"/>
    </row>
    <row r="1005" spans="1:21" s="71" customFormat="1" hidden="1">
      <c r="A1005" s="64"/>
      <c r="B1005" s="876"/>
      <c r="C1005" s="128"/>
      <c r="D1005" s="128"/>
      <c r="E1005" s="128"/>
      <c r="N1005" s="876"/>
      <c r="P1005" s="877"/>
      <c r="R1005" s="64"/>
      <c r="S1005" s="64"/>
      <c r="T1005" s="64"/>
      <c r="U1005" s="64"/>
    </row>
    <row r="1006" spans="1:21" s="71" customFormat="1" hidden="1">
      <c r="A1006" s="64"/>
      <c r="B1006" s="876"/>
      <c r="C1006" s="128"/>
      <c r="D1006" s="128"/>
      <c r="E1006" s="128"/>
      <c r="N1006" s="876"/>
      <c r="P1006" s="877"/>
      <c r="R1006" s="64"/>
      <c r="S1006" s="64"/>
      <c r="T1006" s="64"/>
      <c r="U1006" s="64"/>
    </row>
    <row r="1007" spans="1:21" s="71" customFormat="1" hidden="1">
      <c r="A1007" s="64"/>
      <c r="B1007" s="876"/>
      <c r="C1007" s="128"/>
      <c r="D1007" s="128"/>
      <c r="E1007" s="128"/>
      <c r="N1007" s="876"/>
      <c r="P1007" s="877"/>
      <c r="R1007" s="64"/>
      <c r="S1007" s="64"/>
      <c r="T1007" s="64"/>
      <c r="U1007" s="64"/>
    </row>
    <row r="1008" spans="1:21" s="71" customFormat="1" hidden="1">
      <c r="A1008" s="64"/>
      <c r="B1008" s="876"/>
      <c r="C1008" s="128"/>
      <c r="D1008" s="128"/>
      <c r="E1008" s="128"/>
      <c r="N1008" s="876"/>
      <c r="P1008" s="877"/>
      <c r="R1008" s="64"/>
      <c r="S1008" s="64"/>
      <c r="T1008" s="64"/>
      <c r="U1008" s="64"/>
    </row>
    <row r="1009" spans="1:21" s="71" customFormat="1" hidden="1">
      <c r="A1009" s="64"/>
      <c r="B1009" s="876"/>
      <c r="C1009" s="128"/>
      <c r="D1009" s="128"/>
      <c r="E1009" s="128"/>
      <c r="N1009" s="876"/>
      <c r="P1009" s="877"/>
      <c r="R1009" s="64"/>
      <c r="S1009" s="64"/>
      <c r="T1009" s="64"/>
      <c r="U1009" s="64"/>
    </row>
    <row r="1010" spans="1:21" s="71" customFormat="1" hidden="1">
      <c r="A1010" s="64"/>
      <c r="B1010" s="876"/>
      <c r="C1010" s="128"/>
      <c r="D1010" s="128"/>
      <c r="E1010" s="128"/>
      <c r="N1010" s="876"/>
      <c r="P1010" s="877"/>
      <c r="R1010" s="64"/>
      <c r="S1010" s="64"/>
      <c r="T1010" s="64"/>
      <c r="U1010" s="64"/>
    </row>
    <row r="1011" spans="1:21" s="71" customFormat="1" hidden="1">
      <c r="A1011" s="64"/>
      <c r="B1011" s="876"/>
      <c r="C1011" s="128"/>
      <c r="D1011" s="128"/>
      <c r="E1011" s="128"/>
      <c r="N1011" s="876"/>
      <c r="P1011" s="877"/>
      <c r="R1011" s="64"/>
      <c r="S1011" s="64"/>
      <c r="T1011" s="64"/>
      <c r="U1011" s="64"/>
    </row>
    <row r="1012" spans="1:21" s="71" customFormat="1" hidden="1">
      <c r="A1012" s="64"/>
      <c r="B1012" s="876"/>
      <c r="C1012" s="128"/>
      <c r="D1012" s="128"/>
      <c r="E1012" s="128"/>
      <c r="N1012" s="876"/>
      <c r="P1012" s="877"/>
      <c r="R1012" s="64"/>
      <c r="S1012" s="64"/>
      <c r="T1012" s="64"/>
      <c r="U1012" s="64"/>
    </row>
    <row r="1013" spans="1:21" s="71" customFormat="1" hidden="1">
      <c r="A1013" s="64"/>
      <c r="B1013" s="876"/>
      <c r="C1013" s="128"/>
      <c r="D1013" s="128"/>
      <c r="E1013" s="128"/>
      <c r="N1013" s="876"/>
      <c r="P1013" s="877"/>
      <c r="R1013" s="64"/>
      <c r="S1013" s="64"/>
      <c r="T1013" s="64"/>
      <c r="U1013" s="64"/>
    </row>
    <row r="1014" spans="1:21" s="71" customFormat="1" hidden="1">
      <c r="A1014" s="64"/>
      <c r="B1014" s="876"/>
      <c r="C1014" s="128"/>
      <c r="D1014" s="128"/>
      <c r="E1014" s="128"/>
      <c r="N1014" s="876"/>
      <c r="P1014" s="877"/>
      <c r="R1014" s="64"/>
      <c r="S1014" s="64"/>
      <c r="T1014" s="64"/>
      <c r="U1014" s="64"/>
    </row>
    <row r="1015" spans="1:21" s="71" customFormat="1" hidden="1">
      <c r="A1015" s="64"/>
      <c r="B1015" s="876"/>
      <c r="C1015" s="128"/>
      <c r="D1015" s="128"/>
      <c r="E1015" s="128"/>
      <c r="N1015" s="876"/>
      <c r="P1015" s="877"/>
      <c r="R1015" s="64"/>
      <c r="S1015" s="64"/>
      <c r="T1015" s="64"/>
      <c r="U1015" s="64"/>
    </row>
    <row r="1016" spans="1:21" s="71" customFormat="1" hidden="1">
      <c r="A1016" s="64"/>
      <c r="B1016" s="876"/>
      <c r="C1016" s="128"/>
      <c r="D1016" s="128"/>
      <c r="E1016" s="128"/>
      <c r="N1016" s="876"/>
      <c r="P1016" s="877"/>
      <c r="R1016" s="64"/>
      <c r="S1016" s="64"/>
      <c r="T1016" s="64"/>
      <c r="U1016" s="64"/>
    </row>
    <row r="1017" spans="1:21" s="71" customFormat="1" hidden="1">
      <c r="A1017" s="64"/>
      <c r="B1017" s="876"/>
      <c r="C1017" s="128"/>
      <c r="D1017" s="128"/>
      <c r="E1017" s="128"/>
      <c r="N1017" s="876"/>
      <c r="P1017" s="877"/>
      <c r="R1017" s="64"/>
      <c r="S1017" s="64"/>
      <c r="T1017" s="64"/>
      <c r="U1017" s="64"/>
    </row>
    <row r="1018" spans="1:21" s="71" customFormat="1" hidden="1">
      <c r="A1018" s="64"/>
      <c r="B1018" s="876"/>
      <c r="C1018" s="128"/>
      <c r="D1018" s="128"/>
      <c r="E1018" s="128"/>
      <c r="N1018" s="876"/>
      <c r="P1018" s="877"/>
      <c r="R1018" s="64"/>
      <c r="S1018" s="64"/>
      <c r="T1018" s="64"/>
      <c r="U1018" s="64"/>
    </row>
    <row r="1019" spans="1:21" s="71" customFormat="1" hidden="1">
      <c r="A1019" s="64"/>
      <c r="B1019" s="876"/>
      <c r="C1019" s="128"/>
      <c r="D1019" s="128"/>
      <c r="E1019" s="128"/>
      <c r="N1019" s="876"/>
      <c r="P1019" s="877"/>
      <c r="R1019" s="64"/>
      <c r="S1019" s="64"/>
      <c r="T1019" s="64"/>
      <c r="U1019" s="64"/>
    </row>
    <row r="1020" spans="1:21" s="71" customFormat="1" hidden="1">
      <c r="A1020" s="64"/>
      <c r="B1020" s="876"/>
      <c r="C1020" s="128"/>
      <c r="D1020" s="128"/>
      <c r="E1020" s="128"/>
      <c r="N1020" s="876"/>
      <c r="P1020" s="877"/>
      <c r="R1020" s="64"/>
      <c r="S1020" s="64"/>
      <c r="T1020" s="64"/>
      <c r="U1020" s="64"/>
    </row>
    <row r="1021" spans="1:21" s="71" customFormat="1" hidden="1">
      <c r="A1021" s="64"/>
      <c r="B1021" s="876"/>
      <c r="C1021" s="128"/>
      <c r="D1021" s="128"/>
      <c r="E1021" s="128"/>
      <c r="N1021" s="876"/>
      <c r="P1021" s="877"/>
      <c r="R1021" s="64"/>
      <c r="S1021" s="64"/>
      <c r="T1021" s="64"/>
      <c r="U1021" s="64"/>
    </row>
    <row r="1022" spans="1:21" s="71" customFormat="1" hidden="1">
      <c r="A1022" s="64"/>
      <c r="B1022" s="876"/>
      <c r="C1022" s="128"/>
      <c r="D1022" s="128"/>
      <c r="E1022" s="128"/>
      <c r="N1022" s="876"/>
      <c r="P1022" s="877"/>
      <c r="R1022" s="64"/>
      <c r="S1022" s="64"/>
      <c r="T1022" s="64"/>
      <c r="U1022" s="64"/>
    </row>
    <row r="1023" spans="1:21" s="71" customFormat="1" hidden="1">
      <c r="A1023" s="64"/>
      <c r="B1023" s="876"/>
      <c r="C1023" s="128"/>
      <c r="D1023" s="128"/>
      <c r="E1023" s="128"/>
      <c r="N1023" s="876"/>
      <c r="P1023" s="877"/>
      <c r="R1023" s="64"/>
      <c r="S1023" s="64"/>
      <c r="T1023" s="64"/>
      <c r="U1023" s="64"/>
    </row>
    <row r="1024" spans="1:21" s="71" customFormat="1" hidden="1">
      <c r="A1024" s="64"/>
      <c r="B1024" s="876"/>
      <c r="C1024" s="128"/>
      <c r="D1024" s="128"/>
      <c r="E1024" s="128"/>
      <c r="N1024" s="876"/>
      <c r="P1024" s="877"/>
      <c r="R1024" s="64"/>
      <c r="S1024" s="64"/>
      <c r="T1024" s="64"/>
      <c r="U1024" s="64"/>
    </row>
    <row r="1025" spans="1:21" s="71" customFormat="1" hidden="1">
      <c r="A1025" s="64"/>
      <c r="B1025" s="876"/>
      <c r="C1025" s="128"/>
      <c r="D1025" s="128"/>
      <c r="E1025" s="128"/>
      <c r="N1025" s="876"/>
      <c r="P1025" s="877"/>
      <c r="R1025" s="64"/>
      <c r="S1025" s="64"/>
      <c r="T1025" s="64"/>
      <c r="U1025" s="64"/>
    </row>
    <row r="1026" spans="1:21" s="71" customFormat="1" hidden="1">
      <c r="A1026" s="64"/>
      <c r="B1026" s="876"/>
      <c r="C1026" s="128"/>
      <c r="D1026" s="128"/>
      <c r="E1026" s="128"/>
      <c r="N1026" s="876"/>
      <c r="P1026" s="877"/>
      <c r="R1026" s="64"/>
      <c r="S1026" s="64"/>
      <c r="T1026" s="64"/>
      <c r="U1026" s="64"/>
    </row>
    <row r="1027" spans="1:21" s="71" customFormat="1" hidden="1">
      <c r="A1027" s="64"/>
      <c r="B1027" s="876"/>
      <c r="C1027" s="128"/>
      <c r="D1027" s="128"/>
      <c r="E1027" s="128"/>
      <c r="N1027" s="876"/>
      <c r="P1027" s="877"/>
      <c r="R1027" s="64"/>
      <c r="S1027" s="64"/>
      <c r="T1027" s="64"/>
      <c r="U1027" s="64"/>
    </row>
    <row r="1028" spans="1:21" s="71" customFormat="1" hidden="1">
      <c r="A1028" s="64"/>
      <c r="B1028" s="876"/>
      <c r="C1028" s="128"/>
      <c r="D1028" s="128"/>
      <c r="E1028" s="128"/>
      <c r="N1028" s="876"/>
      <c r="P1028" s="877"/>
      <c r="R1028" s="64"/>
      <c r="S1028" s="64"/>
      <c r="T1028" s="64"/>
      <c r="U1028" s="64"/>
    </row>
    <row r="1029" spans="1:21" s="71" customFormat="1" hidden="1">
      <c r="A1029" s="64"/>
      <c r="B1029" s="876"/>
      <c r="C1029" s="128"/>
      <c r="D1029" s="128"/>
      <c r="E1029" s="128"/>
      <c r="N1029" s="876"/>
      <c r="P1029" s="877"/>
      <c r="R1029" s="64"/>
      <c r="S1029" s="64"/>
      <c r="T1029" s="64"/>
      <c r="U1029" s="64"/>
    </row>
    <row r="1030" spans="1:21" s="71" customFormat="1" hidden="1">
      <c r="A1030" s="64"/>
      <c r="B1030" s="876"/>
      <c r="C1030" s="128"/>
      <c r="D1030" s="128"/>
      <c r="E1030" s="128"/>
      <c r="N1030" s="876"/>
      <c r="P1030" s="877"/>
      <c r="R1030" s="64"/>
      <c r="S1030" s="64"/>
      <c r="T1030" s="64"/>
      <c r="U1030" s="64"/>
    </row>
    <row r="1031" spans="1:21" s="71" customFormat="1" hidden="1">
      <c r="A1031" s="64"/>
      <c r="B1031" s="876"/>
      <c r="C1031" s="128"/>
      <c r="D1031" s="128"/>
      <c r="E1031" s="128"/>
      <c r="N1031" s="876"/>
      <c r="P1031" s="877"/>
      <c r="R1031" s="64"/>
      <c r="S1031" s="64"/>
      <c r="T1031" s="64"/>
      <c r="U1031" s="64"/>
    </row>
    <row r="1032" spans="1:21" s="71" customFormat="1" hidden="1">
      <c r="A1032" s="64"/>
      <c r="B1032" s="876"/>
      <c r="C1032" s="128"/>
      <c r="D1032" s="128"/>
      <c r="E1032" s="128"/>
      <c r="N1032" s="876"/>
      <c r="P1032" s="877"/>
      <c r="R1032" s="64"/>
      <c r="S1032" s="64"/>
      <c r="T1032" s="64"/>
      <c r="U1032" s="64"/>
    </row>
    <row r="1033" spans="1:21" s="71" customFormat="1" hidden="1">
      <c r="A1033" s="64"/>
      <c r="B1033" s="876"/>
      <c r="C1033" s="128"/>
      <c r="D1033" s="128"/>
      <c r="E1033" s="128"/>
      <c r="N1033" s="876"/>
      <c r="P1033" s="877"/>
      <c r="R1033" s="64"/>
      <c r="S1033" s="64"/>
      <c r="T1033" s="64"/>
      <c r="U1033" s="64"/>
    </row>
    <row r="1034" spans="1:21" s="71" customFormat="1" hidden="1">
      <c r="A1034" s="64"/>
      <c r="B1034" s="876"/>
      <c r="C1034" s="128"/>
      <c r="D1034" s="128"/>
      <c r="E1034" s="128"/>
      <c r="N1034" s="876"/>
      <c r="P1034" s="877"/>
      <c r="R1034" s="64"/>
      <c r="S1034" s="64"/>
      <c r="T1034" s="64"/>
      <c r="U1034" s="64"/>
    </row>
    <row r="1035" spans="1:21" s="71" customFormat="1" hidden="1">
      <c r="A1035" s="64"/>
      <c r="B1035" s="876"/>
      <c r="C1035" s="128"/>
      <c r="D1035" s="128"/>
      <c r="E1035" s="128"/>
      <c r="N1035" s="876"/>
      <c r="P1035" s="877"/>
      <c r="R1035" s="64"/>
      <c r="S1035" s="64"/>
      <c r="T1035" s="64"/>
      <c r="U1035" s="64"/>
    </row>
    <row r="1036" spans="1:21" s="71" customFormat="1" hidden="1">
      <c r="A1036" s="64"/>
      <c r="B1036" s="876"/>
      <c r="C1036" s="128"/>
      <c r="D1036" s="128"/>
      <c r="E1036" s="128"/>
      <c r="N1036" s="876"/>
      <c r="P1036" s="877"/>
      <c r="R1036" s="64"/>
      <c r="S1036" s="64"/>
      <c r="T1036" s="64"/>
      <c r="U1036" s="64"/>
    </row>
    <row r="1037" spans="1:21" s="71" customFormat="1" hidden="1">
      <c r="A1037" s="64"/>
      <c r="B1037" s="876"/>
      <c r="C1037" s="128"/>
      <c r="D1037" s="128"/>
      <c r="E1037" s="128"/>
      <c r="N1037" s="876"/>
      <c r="P1037" s="877"/>
      <c r="R1037" s="64"/>
      <c r="S1037" s="64"/>
      <c r="T1037" s="64"/>
      <c r="U1037" s="64"/>
    </row>
    <row r="1038" spans="1:21" s="71" customFormat="1" hidden="1">
      <c r="A1038" s="64"/>
      <c r="B1038" s="876"/>
      <c r="C1038" s="128"/>
      <c r="D1038" s="128"/>
      <c r="E1038" s="128"/>
      <c r="N1038" s="876"/>
      <c r="P1038" s="877"/>
      <c r="R1038" s="64"/>
      <c r="S1038" s="64"/>
      <c r="T1038" s="64"/>
      <c r="U1038" s="64"/>
    </row>
    <row r="1039" spans="1:21" s="71" customFormat="1" hidden="1">
      <c r="A1039" s="64"/>
      <c r="B1039" s="876"/>
      <c r="C1039" s="128"/>
      <c r="D1039" s="128"/>
      <c r="E1039" s="128"/>
      <c r="N1039" s="876"/>
      <c r="P1039" s="877"/>
      <c r="R1039" s="64"/>
      <c r="S1039" s="64"/>
      <c r="T1039" s="64"/>
      <c r="U1039" s="64"/>
    </row>
    <row r="1040" spans="1:21" s="71" customFormat="1" hidden="1">
      <c r="A1040" s="64"/>
      <c r="B1040" s="876"/>
      <c r="C1040" s="128"/>
      <c r="D1040" s="128"/>
      <c r="E1040" s="128"/>
      <c r="N1040" s="876"/>
      <c r="P1040" s="877"/>
      <c r="R1040" s="64"/>
      <c r="S1040" s="64"/>
      <c r="T1040" s="64"/>
      <c r="U1040" s="64"/>
    </row>
    <row r="1041" spans="1:21" s="71" customFormat="1" hidden="1">
      <c r="A1041" s="64"/>
      <c r="B1041" s="876"/>
      <c r="C1041" s="128"/>
      <c r="D1041" s="128"/>
      <c r="E1041" s="128"/>
      <c r="N1041" s="876"/>
      <c r="P1041" s="877"/>
      <c r="R1041" s="64"/>
      <c r="S1041" s="64"/>
      <c r="T1041" s="64"/>
      <c r="U1041" s="64"/>
    </row>
    <row r="1042" spans="1:21" s="71" customFormat="1" hidden="1">
      <c r="A1042" s="64"/>
      <c r="B1042" s="876"/>
      <c r="C1042" s="128"/>
      <c r="D1042" s="128"/>
      <c r="E1042" s="128"/>
      <c r="N1042" s="876"/>
      <c r="P1042" s="877"/>
      <c r="R1042" s="64"/>
      <c r="S1042" s="64"/>
      <c r="T1042" s="64"/>
      <c r="U1042" s="64"/>
    </row>
    <row r="1043" spans="1:21" s="71" customFormat="1" hidden="1">
      <c r="A1043" s="64"/>
      <c r="B1043" s="876"/>
      <c r="C1043" s="128"/>
      <c r="D1043" s="128"/>
      <c r="E1043" s="128"/>
      <c r="N1043" s="876"/>
      <c r="P1043" s="877"/>
      <c r="R1043" s="64"/>
      <c r="S1043" s="64"/>
      <c r="T1043" s="64"/>
      <c r="U1043" s="64"/>
    </row>
    <row r="1044" spans="1:21" s="71" customFormat="1" hidden="1">
      <c r="A1044" s="64"/>
      <c r="B1044" s="876"/>
      <c r="C1044" s="128"/>
      <c r="D1044" s="128"/>
      <c r="E1044" s="128"/>
      <c r="N1044" s="876"/>
      <c r="P1044" s="877"/>
      <c r="R1044" s="64"/>
      <c r="S1044" s="64"/>
      <c r="T1044" s="64"/>
      <c r="U1044" s="64"/>
    </row>
    <row r="1045" spans="1:21" s="71" customFormat="1" hidden="1">
      <c r="A1045" s="64"/>
      <c r="B1045" s="876"/>
      <c r="C1045" s="128"/>
      <c r="D1045" s="128"/>
      <c r="E1045" s="128"/>
      <c r="N1045" s="876"/>
      <c r="P1045" s="877"/>
      <c r="R1045" s="64"/>
      <c r="S1045" s="64"/>
      <c r="T1045" s="64"/>
      <c r="U1045" s="64"/>
    </row>
    <row r="1046" spans="1:21" s="71" customFormat="1" hidden="1">
      <c r="A1046" s="64"/>
      <c r="B1046" s="876"/>
      <c r="C1046" s="128"/>
      <c r="D1046" s="128"/>
      <c r="E1046" s="128"/>
      <c r="N1046" s="876"/>
      <c r="P1046" s="877"/>
      <c r="R1046" s="64"/>
      <c r="S1046" s="64"/>
      <c r="T1046" s="64"/>
      <c r="U1046" s="64"/>
    </row>
    <row r="1047" spans="1:21" s="71" customFormat="1" hidden="1">
      <c r="A1047" s="64"/>
      <c r="B1047" s="876"/>
      <c r="C1047" s="128"/>
      <c r="D1047" s="128"/>
      <c r="E1047" s="128"/>
      <c r="N1047" s="876"/>
      <c r="P1047" s="877"/>
      <c r="R1047" s="64"/>
      <c r="S1047" s="64"/>
      <c r="T1047" s="64"/>
      <c r="U1047" s="64"/>
    </row>
    <row r="1048" spans="1:21" s="71" customFormat="1" hidden="1">
      <c r="A1048" s="64"/>
      <c r="B1048" s="876"/>
      <c r="C1048" s="128"/>
      <c r="D1048" s="128"/>
      <c r="E1048" s="128"/>
      <c r="N1048" s="876"/>
      <c r="P1048" s="877"/>
      <c r="R1048" s="64"/>
      <c r="S1048" s="64"/>
      <c r="T1048" s="64"/>
      <c r="U1048" s="64"/>
    </row>
    <row r="1049" spans="1:21" s="71" customFormat="1" hidden="1">
      <c r="A1049" s="64"/>
      <c r="B1049" s="876"/>
      <c r="C1049" s="128"/>
      <c r="D1049" s="128"/>
      <c r="E1049" s="128"/>
      <c r="N1049" s="876"/>
      <c r="P1049" s="877"/>
      <c r="R1049" s="64"/>
      <c r="S1049" s="64"/>
      <c r="T1049" s="64"/>
      <c r="U1049" s="64"/>
    </row>
    <row r="1050" spans="1:21" s="71" customFormat="1" hidden="1">
      <c r="A1050" s="64"/>
      <c r="B1050" s="876"/>
      <c r="C1050" s="128"/>
      <c r="D1050" s="128"/>
      <c r="E1050" s="128"/>
      <c r="N1050" s="876"/>
      <c r="P1050" s="877"/>
      <c r="R1050" s="64"/>
      <c r="S1050" s="64"/>
      <c r="T1050" s="64"/>
      <c r="U1050" s="64"/>
    </row>
    <row r="1051" spans="1:21" s="71" customFormat="1" hidden="1">
      <c r="A1051" s="64"/>
      <c r="B1051" s="876"/>
      <c r="C1051" s="128"/>
      <c r="D1051" s="128"/>
      <c r="E1051" s="128"/>
      <c r="N1051" s="876"/>
      <c r="P1051" s="877"/>
      <c r="R1051" s="64"/>
      <c r="S1051" s="64"/>
      <c r="T1051" s="64"/>
      <c r="U1051" s="64"/>
    </row>
    <row r="1052" spans="1:21" s="71" customFormat="1" hidden="1">
      <c r="A1052" s="64"/>
      <c r="B1052" s="876"/>
      <c r="C1052" s="128"/>
      <c r="D1052" s="128"/>
      <c r="E1052" s="128"/>
      <c r="N1052" s="876"/>
      <c r="P1052" s="877"/>
      <c r="R1052" s="64"/>
      <c r="S1052" s="64"/>
      <c r="T1052" s="64"/>
      <c r="U1052" s="64"/>
    </row>
    <row r="1053" spans="1:21" s="71" customFormat="1" hidden="1">
      <c r="A1053" s="64"/>
      <c r="B1053" s="876"/>
      <c r="C1053" s="128"/>
      <c r="D1053" s="128"/>
      <c r="E1053" s="128"/>
      <c r="N1053" s="876"/>
      <c r="P1053" s="877"/>
      <c r="R1053" s="64"/>
      <c r="S1053" s="64"/>
      <c r="T1053" s="64"/>
      <c r="U1053" s="64"/>
    </row>
    <row r="1054" spans="1:21" s="71" customFormat="1" hidden="1">
      <c r="A1054" s="64"/>
      <c r="B1054" s="876"/>
      <c r="C1054" s="128"/>
      <c r="D1054" s="128"/>
      <c r="E1054" s="128"/>
      <c r="N1054" s="876"/>
      <c r="P1054" s="877"/>
      <c r="R1054" s="64"/>
      <c r="S1054" s="64"/>
      <c r="T1054" s="64"/>
      <c r="U1054" s="64"/>
    </row>
    <row r="1055" spans="1:21" s="71" customFormat="1" hidden="1">
      <c r="A1055" s="64"/>
      <c r="B1055" s="876"/>
      <c r="C1055" s="128"/>
      <c r="D1055" s="128"/>
      <c r="E1055" s="128"/>
      <c r="N1055" s="876"/>
      <c r="P1055" s="877"/>
      <c r="R1055" s="64"/>
      <c r="S1055" s="64"/>
      <c r="T1055" s="64"/>
      <c r="U1055" s="64"/>
    </row>
    <row r="1056" spans="1:21" s="71" customFormat="1" hidden="1">
      <c r="A1056" s="64"/>
      <c r="B1056" s="876"/>
      <c r="C1056" s="128"/>
      <c r="D1056" s="128"/>
      <c r="E1056" s="128"/>
      <c r="N1056" s="876"/>
      <c r="P1056" s="877"/>
      <c r="R1056" s="64"/>
      <c r="S1056" s="64"/>
      <c r="T1056" s="64"/>
      <c r="U1056" s="64"/>
    </row>
    <row r="1057" spans="1:21" s="71" customFormat="1" hidden="1">
      <c r="A1057" s="64"/>
      <c r="B1057" s="876"/>
      <c r="C1057" s="128"/>
      <c r="D1057" s="128"/>
      <c r="E1057" s="128"/>
      <c r="N1057" s="876"/>
      <c r="P1057" s="877"/>
      <c r="R1057" s="64"/>
      <c r="S1057" s="64"/>
      <c r="T1057" s="64"/>
      <c r="U1057" s="64"/>
    </row>
    <row r="1058" spans="1:21" s="71" customFormat="1" hidden="1">
      <c r="A1058" s="64"/>
      <c r="B1058" s="876"/>
      <c r="C1058" s="128"/>
      <c r="D1058" s="128"/>
      <c r="E1058" s="128"/>
      <c r="N1058" s="876"/>
      <c r="P1058" s="877"/>
      <c r="R1058" s="64"/>
      <c r="S1058" s="64"/>
      <c r="T1058" s="64"/>
      <c r="U1058" s="64"/>
    </row>
    <row r="1059" spans="1:21" s="71" customFormat="1" hidden="1">
      <c r="A1059" s="64"/>
      <c r="B1059" s="876"/>
      <c r="C1059" s="128"/>
      <c r="D1059" s="128"/>
      <c r="E1059" s="128"/>
      <c r="N1059" s="876"/>
      <c r="P1059" s="877"/>
      <c r="R1059" s="64"/>
      <c r="S1059" s="64"/>
      <c r="T1059" s="64"/>
      <c r="U1059" s="64"/>
    </row>
    <row r="1060" spans="1:21" s="71" customFormat="1" hidden="1">
      <c r="A1060" s="64"/>
      <c r="B1060" s="876"/>
      <c r="C1060" s="128"/>
      <c r="D1060" s="128"/>
      <c r="E1060" s="128"/>
      <c r="N1060" s="876"/>
      <c r="P1060" s="877"/>
      <c r="R1060" s="64"/>
      <c r="S1060" s="64"/>
      <c r="T1060" s="64"/>
      <c r="U1060" s="64"/>
    </row>
    <row r="1061" spans="1:21" s="71" customFormat="1" hidden="1">
      <c r="A1061" s="64"/>
      <c r="B1061" s="876"/>
      <c r="C1061" s="128"/>
      <c r="D1061" s="128"/>
      <c r="E1061" s="128"/>
      <c r="N1061" s="876"/>
      <c r="P1061" s="877"/>
      <c r="R1061" s="64"/>
      <c r="S1061" s="64"/>
      <c r="T1061" s="64"/>
      <c r="U1061" s="64"/>
    </row>
    <row r="1062" spans="1:21" s="71" customFormat="1" hidden="1">
      <c r="A1062" s="64"/>
      <c r="B1062" s="876"/>
      <c r="C1062" s="128"/>
      <c r="D1062" s="128"/>
      <c r="E1062" s="128"/>
      <c r="N1062" s="876"/>
      <c r="P1062" s="877"/>
      <c r="R1062" s="64"/>
      <c r="S1062" s="64"/>
      <c r="T1062" s="64"/>
      <c r="U1062" s="64"/>
    </row>
    <row r="1063" spans="1:21" s="71" customFormat="1" hidden="1">
      <c r="A1063" s="64"/>
      <c r="B1063" s="876"/>
      <c r="C1063" s="128"/>
      <c r="D1063" s="128"/>
      <c r="E1063" s="128"/>
      <c r="N1063" s="876"/>
      <c r="P1063" s="877"/>
      <c r="R1063" s="64"/>
      <c r="S1063" s="64"/>
      <c r="T1063" s="64"/>
      <c r="U1063" s="64"/>
    </row>
    <row r="1064" spans="1:21" s="71" customFormat="1" hidden="1">
      <c r="A1064" s="64"/>
      <c r="B1064" s="876"/>
      <c r="C1064" s="128"/>
      <c r="D1064" s="128"/>
      <c r="E1064" s="128"/>
      <c r="N1064" s="876"/>
      <c r="P1064" s="877"/>
      <c r="R1064" s="64"/>
      <c r="S1064" s="64"/>
      <c r="T1064" s="64"/>
      <c r="U1064" s="64"/>
    </row>
    <row r="1065" spans="1:21" s="71" customFormat="1" hidden="1">
      <c r="A1065" s="64"/>
      <c r="B1065" s="876"/>
      <c r="C1065" s="128"/>
      <c r="D1065" s="128"/>
      <c r="E1065" s="128"/>
      <c r="N1065" s="876"/>
      <c r="P1065" s="877"/>
      <c r="R1065" s="64"/>
      <c r="S1065" s="64"/>
      <c r="T1065" s="64"/>
      <c r="U1065" s="64"/>
    </row>
    <row r="1066" spans="1:21" s="71" customFormat="1" hidden="1">
      <c r="A1066" s="64"/>
      <c r="B1066" s="876"/>
      <c r="C1066" s="128"/>
      <c r="D1066" s="128"/>
      <c r="E1066" s="128"/>
      <c r="N1066" s="876"/>
      <c r="P1066" s="877"/>
      <c r="R1066" s="64"/>
      <c r="S1066" s="64"/>
      <c r="T1066" s="64"/>
      <c r="U1066" s="64"/>
    </row>
    <row r="1067" spans="1:21" s="71" customFormat="1" hidden="1">
      <c r="A1067" s="64"/>
      <c r="B1067" s="876"/>
      <c r="C1067" s="128"/>
      <c r="D1067" s="128"/>
      <c r="E1067" s="128"/>
      <c r="N1067" s="876"/>
      <c r="P1067" s="877"/>
      <c r="R1067" s="64"/>
      <c r="S1067" s="64"/>
      <c r="T1067" s="64"/>
      <c r="U1067" s="64"/>
    </row>
    <row r="1068" spans="1:21" s="71" customFormat="1" hidden="1">
      <c r="A1068" s="64"/>
      <c r="B1068" s="876"/>
      <c r="C1068" s="128"/>
      <c r="D1068" s="128"/>
      <c r="E1068" s="128"/>
      <c r="N1068" s="876"/>
      <c r="P1068" s="877"/>
      <c r="R1068" s="64"/>
      <c r="S1068" s="64"/>
      <c r="T1068" s="64"/>
      <c r="U1068" s="64"/>
    </row>
    <row r="1069" spans="1:21" s="71" customFormat="1" hidden="1">
      <c r="A1069" s="64"/>
      <c r="B1069" s="876"/>
      <c r="C1069" s="128"/>
      <c r="D1069" s="128"/>
      <c r="E1069" s="128"/>
      <c r="N1069" s="876"/>
      <c r="P1069" s="877"/>
      <c r="R1069" s="64"/>
      <c r="S1069" s="64"/>
      <c r="T1069" s="64"/>
      <c r="U1069" s="64"/>
    </row>
    <row r="1070" spans="1:21" s="71" customFormat="1" hidden="1">
      <c r="A1070" s="64"/>
      <c r="B1070" s="876"/>
      <c r="C1070" s="128"/>
      <c r="D1070" s="128"/>
      <c r="E1070" s="128"/>
      <c r="N1070" s="876"/>
      <c r="P1070" s="877"/>
      <c r="R1070" s="64"/>
      <c r="S1070" s="64"/>
      <c r="T1070" s="64"/>
      <c r="U1070" s="64"/>
    </row>
    <row r="1071" spans="1:21" s="71" customFormat="1" hidden="1">
      <c r="A1071" s="64"/>
      <c r="B1071" s="876"/>
      <c r="C1071" s="128"/>
      <c r="D1071" s="128"/>
      <c r="E1071" s="128"/>
      <c r="N1071" s="876"/>
      <c r="P1071" s="877"/>
      <c r="R1071" s="64"/>
      <c r="S1071" s="64"/>
      <c r="T1071" s="64"/>
      <c r="U1071" s="64"/>
    </row>
    <row r="1072" spans="1:21" s="71" customFormat="1" hidden="1">
      <c r="A1072" s="64"/>
      <c r="B1072" s="876"/>
      <c r="C1072" s="128"/>
      <c r="D1072" s="128"/>
      <c r="E1072" s="128"/>
      <c r="N1072" s="876"/>
      <c r="P1072" s="877"/>
      <c r="R1072" s="64"/>
      <c r="S1072" s="64"/>
      <c r="T1072" s="64"/>
      <c r="U1072" s="64"/>
    </row>
    <row r="1073" spans="1:21" s="71" customFormat="1" hidden="1">
      <c r="A1073" s="64"/>
      <c r="B1073" s="876"/>
      <c r="C1073" s="128"/>
      <c r="D1073" s="128"/>
      <c r="E1073" s="128"/>
      <c r="N1073" s="876"/>
      <c r="P1073" s="877"/>
      <c r="R1073" s="64"/>
      <c r="S1073" s="64"/>
      <c r="T1073" s="64"/>
      <c r="U1073" s="64"/>
    </row>
    <row r="1074" spans="1:21" s="71" customFormat="1" hidden="1">
      <c r="A1074" s="64"/>
      <c r="B1074" s="876"/>
      <c r="C1074" s="128"/>
      <c r="D1074" s="128"/>
      <c r="E1074" s="128"/>
      <c r="N1074" s="876"/>
      <c r="P1074" s="877"/>
      <c r="R1074" s="64"/>
      <c r="S1074" s="64"/>
      <c r="T1074" s="64"/>
      <c r="U1074" s="64"/>
    </row>
    <row r="1075" spans="1:21" s="71" customFormat="1" hidden="1">
      <c r="A1075" s="64"/>
      <c r="B1075" s="876"/>
      <c r="C1075" s="128"/>
      <c r="D1075" s="128"/>
      <c r="E1075" s="128"/>
      <c r="N1075" s="876"/>
      <c r="P1075" s="877"/>
      <c r="R1075" s="64"/>
      <c r="S1075" s="64"/>
      <c r="T1075" s="64"/>
      <c r="U1075" s="64"/>
    </row>
    <row r="1076" spans="1:21" s="71" customFormat="1" hidden="1">
      <c r="A1076" s="64"/>
      <c r="B1076" s="876"/>
      <c r="C1076" s="128"/>
      <c r="D1076" s="128"/>
      <c r="E1076" s="128"/>
      <c r="N1076" s="876"/>
      <c r="P1076" s="877"/>
      <c r="R1076" s="64"/>
      <c r="S1076" s="64"/>
      <c r="T1076" s="64"/>
      <c r="U1076" s="64"/>
    </row>
    <row r="1077" spans="1:21" s="71" customFormat="1" hidden="1">
      <c r="A1077" s="64"/>
      <c r="B1077" s="876"/>
      <c r="C1077" s="128"/>
      <c r="D1077" s="128"/>
      <c r="E1077" s="128"/>
      <c r="N1077" s="876"/>
      <c r="P1077" s="877"/>
      <c r="R1077" s="64"/>
      <c r="S1077" s="64"/>
      <c r="T1077" s="64"/>
      <c r="U1077" s="64"/>
    </row>
    <row r="1078" spans="1:21" s="71" customFormat="1" hidden="1">
      <c r="A1078" s="64"/>
      <c r="B1078" s="876"/>
      <c r="C1078" s="128"/>
      <c r="D1078" s="128"/>
      <c r="E1078" s="128"/>
      <c r="N1078" s="876"/>
      <c r="P1078" s="877"/>
      <c r="R1078" s="64"/>
      <c r="S1078" s="64"/>
      <c r="T1078" s="64"/>
      <c r="U1078" s="64"/>
    </row>
    <row r="1079" spans="1:21" s="71" customFormat="1" hidden="1">
      <c r="A1079" s="64"/>
      <c r="B1079" s="876"/>
      <c r="C1079" s="128"/>
      <c r="D1079" s="128"/>
      <c r="E1079" s="128"/>
      <c r="N1079" s="876"/>
      <c r="P1079" s="877"/>
      <c r="R1079" s="64"/>
      <c r="S1079" s="64"/>
      <c r="T1079" s="64"/>
      <c r="U1079" s="64"/>
    </row>
    <row r="1080" spans="1:21" s="71" customFormat="1" hidden="1">
      <c r="A1080" s="64"/>
      <c r="B1080" s="876"/>
      <c r="C1080" s="128"/>
      <c r="D1080" s="128"/>
      <c r="E1080" s="128"/>
      <c r="N1080" s="876"/>
      <c r="P1080" s="877"/>
      <c r="R1080" s="64"/>
      <c r="S1080" s="64"/>
      <c r="T1080" s="64"/>
      <c r="U1080" s="64"/>
    </row>
    <row r="1081" spans="1:21" s="71" customFormat="1" hidden="1">
      <c r="A1081" s="64"/>
      <c r="B1081" s="876"/>
      <c r="C1081" s="128"/>
      <c r="D1081" s="128"/>
      <c r="E1081" s="128"/>
      <c r="N1081" s="876"/>
      <c r="P1081" s="877"/>
      <c r="R1081" s="64"/>
      <c r="S1081" s="64"/>
      <c r="T1081" s="64"/>
      <c r="U1081" s="64"/>
    </row>
    <row r="1082" spans="1:21" s="71" customFormat="1" hidden="1">
      <c r="A1082" s="64"/>
      <c r="B1082" s="876"/>
      <c r="C1082" s="128"/>
      <c r="D1082" s="128"/>
      <c r="E1082" s="128"/>
      <c r="N1082" s="876"/>
      <c r="P1082" s="877"/>
      <c r="R1082" s="64"/>
      <c r="S1082" s="64"/>
      <c r="T1082" s="64"/>
      <c r="U1082" s="64"/>
    </row>
    <row r="1083" spans="1:21" s="71" customFormat="1" hidden="1">
      <c r="A1083" s="64"/>
      <c r="B1083" s="876"/>
      <c r="C1083" s="128"/>
      <c r="D1083" s="128"/>
      <c r="E1083" s="128"/>
      <c r="N1083" s="876"/>
      <c r="P1083" s="877"/>
      <c r="R1083" s="64"/>
      <c r="S1083" s="64"/>
      <c r="T1083" s="64"/>
      <c r="U1083" s="64"/>
    </row>
    <row r="1084" spans="1:21" s="71" customFormat="1" hidden="1">
      <c r="A1084" s="64"/>
      <c r="B1084" s="876"/>
      <c r="C1084" s="128"/>
      <c r="D1084" s="128"/>
      <c r="E1084" s="128"/>
      <c r="N1084" s="876"/>
      <c r="P1084" s="877"/>
      <c r="R1084" s="64"/>
      <c r="S1084" s="64"/>
      <c r="T1084" s="64"/>
      <c r="U1084" s="64"/>
    </row>
    <row r="1085" spans="1:21" s="71" customFormat="1" hidden="1">
      <c r="A1085" s="64"/>
      <c r="B1085" s="876"/>
      <c r="C1085" s="128"/>
      <c r="D1085" s="128"/>
      <c r="E1085" s="128"/>
      <c r="N1085" s="876"/>
      <c r="P1085" s="877"/>
      <c r="R1085" s="64"/>
      <c r="S1085" s="64"/>
      <c r="T1085" s="64"/>
      <c r="U1085" s="64"/>
    </row>
    <row r="1086" spans="1:21" s="71" customFormat="1" hidden="1">
      <c r="A1086" s="64"/>
      <c r="B1086" s="876"/>
      <c r="C1086" s="128"/>
      <c r="D1086" s="128"/>
      <c r="E1086" s="128"/>
      <c r="N1086" s="876"/>
      <c r="P1086" s="877"/>
      <c r="R1086" s="64"/>
      <c r="S1086" s="64"/>
      <c r="T1086" s="64"/>
      <c r="U1086" s="64"/>
    </row>
    <row r="1087" spans="1:21" s="71" customFormat="1" hidden="1">
      <c r="A1087" s="64"/>
      <c r="B1087" s="876"/>
      <c r="C1087" s="128"/>
      <c r="D1087" s="128"/>
      <c r="E1087" s="128"/>
      <c r="N1087" s="876"/>
      <c r="P1087" s="877"/>
      <c r="R1087" s="64"/>
      <c r="S1087" s="64"/>
      <c r="T1087" s="64"/>
      <c r="U1087" s="64"/>
    </row>
    <row r="1088" spans="1:21" s="71" customFormat="1" hidden="1">
      <c r="A1088" s="64"/>
      <c r="B1088" s="876"/>
      <c r="C1088" s="128"/>
      <c r="D1088" s="128"/>
      <c r="E1088" s="128"/>
      <c r="N1088" s="876"/>
      <c r="P1088" s="877"/>
      <c r="R1088" s="64"/>
      <c r="S1088" s="64"/>
      <c r="T1088" s="64"/>
      <c r="U1088" s="64"/>
    </row>
    <row r="1089" spans="1:21" s="71" customFormat="1" hidden="1">
      <c r="A1089" s="64"/>
      <c r="B1089" s="876"/>
      <c r="C1089" s="128"/>
      <c r="D1089" s="128"/>
      <c r="E1089" s="128"/>
      <c r="N1089" s="876"/>
      <c r="P1089" s="877"/>
      <c r="R1089" s="64"/>
      <c r="S1089" s="64"/>
      <c r="T1089" s="64"/>
      <c r="U1089" s="64"/>
    </row>
    <row r="1090" spans="1:21" s="71" customFormat="1" hidden="1">
      <c r="A1090" s="64"/>
      <c r="B1090" s="876"/>
      <c r="C1090" s="128"/>
      <c r="D1090" s="128"/>
      <c r="E1090" s="128"/>
      <c r="N1090" s="876"/>
      <c r="P1090" s="877"/>
      <c r="R1090" s="64"/>
      <c r="S1090" s="64"/>
      <c r="T1090" s="64"/>
      <c r="U1090" s="64"/>
    </row>
    <row r="1091" spans="1:21" s="71" customFormat="1" hidden="1">
      <c r="A1091" s="64"/>
      <c r="B1091" s="876"/>
      <c r="C1091" s="128"/>
      <c r="D1091" s="128"/>
      <c r="E1091" s="128"/>
      <c r="N1091" s="876"/>
      <c r="P1091" s="877"/>
      <c r="R1091" s="64"/>
      <c r="S1091" s="64"/>
      <c r="T1091" s="64"/>
      <c r="U1091" s="64"/>
    </row>
    <row r="1092" spans="1:21" s="71" customFormat="1" hidden="1">
      <c r="A1092" s="64"/>
      <c r="B1092" s="876"/>
      <c r="C1092" s="128"/>
      <c r="D1092" s="128"/>
      <c r="E1092" s="128"/>
      <c r="N1092" s="876"/>
      <c r="P1092" s="877"/>
      <c r="R1092" s="64"/>
      <c r="S1092" s="64"/>
      <c r="T1092" s="64"/>
      <c r="U1092" s="64"/>
    </row>
    <row r="1093" spans="1:21" s="71" customFormat="1" hidden="1">
      <c r="A1093" s="64"/>
      <c r="B1093" s="876"/>
      <c r="C1093" s="128"/>
      <c r="D1093" s="128"/>
      <c r="E1093" s="128"/>
      <c r="N1093" s="876"/>
      <c r="P1093" s="877"/>
      <c r="R1093" s="64"/>
      <c r="S1093" s="64"/>
      <c r="T1093" s="64"/>
      <c r="U1093" s="64"/>
    </row>
    <row r="1094" spans="1:21" s="71" customFormat="1" hidden="1">
      <c r="A1094" s="64"/>
      <c r="B1094" s="876"/>
      <c r="C1094" s="128"/>
      <c r="D1094" s="128"/>
      <c r="E1094" s="128"/>
      <c r="N1094" s="876"/>
      <c r="P1094" s="877"/>
      <c r="R1094" s="64"/>
      <c r="S1094" s="64"/>
      <c r="T1094" s="64"/>
      <c r="U1094" s="64"/>
    </row>
    <row r="1095" spans="1:21" s="71" customFormat="1" hidden="1">
      <c r="A1095" s="64"/>
      <c r="B1095" s="876"/>
      <c r="C1095" s="128"/>
      <c r="D1095" s="128"/>
      <c r="E1095" s="128"/>
      <c r="N1095" s="876"/>
      <c r="P1095" s="877"/>
      <c r="R1095" s="64"/>
      <c r="S1095" s="64"/>
      <c r="T1095" s="64"/>
      <c r="U1095" s="64"/>
    </row>
    <row r="1096" spans="1:21" s="71" customFormat="1" hidden="1">
      <c r="A1096" s="64"/>
      <c r="B1096" s="876"/>
      <c r="C1096" s="128"/>
      <c r="D1096" s="128"/>
      <c r="E1096" s="128"/>
      <c r="N1096" s="876"/>
      <c r="P1096" s="877"/>
      <c r="R1096" s="64"/>
      <c r="S1096" s="64"/>
      <c r="T1096" s="64"/>
      <c r="U1096" s="64"/>
    </row>
    <row r="1097" spans="1:21" s="71" customFormat="1" hidden="1">
      <c r="A1097" s="64"/>
      <c r="B1097" s="876"/>
      <c r="C1097" s="128"/>
      <c r="D1097" s="128"/>
      <c r="E1097" s="128"/>
      <c r="N1097" s="876"/>
      <c r="P1097" s="877"/>
      <c r="R1097" s="64"/>
      <c r="S1097" s="64"/>
      <c r="T1097" s="64"/>
      <c r="U1097" s="64"/>
    </row>
    <row r="1098" spans="1:21" s="71" customFormat="1" hidden="1">
      <c r="A1098" s="64"/>
      <c r="B1098" s="876"/>
      <c r="C1098" s="128"/>
      <c r="D1098" s="128"/>
      <c r="E1098" s="128"/>
      <c r="N1098" s="876"/>
      <c r="P1098" s="877"/>
      <c r="R1098" s="64"/>
      <c r="S1098" s="64"/>
      <c r="T1098" s="64"/>
      <c r="U1098" s="64"/>
    </row>
    <row r="1099" spans="1:21" s="71" customFormat="1" hidden="1">
      <c r="A1099" s="64"/>
      <c r="B1099" s="876"/>
      <c r="C1099" s="128"/>
      <c r="D1099" s="128"/>
      <c r="E1099" s="128"/>
      <c r="N1099" s="876"/>
      <c r="P1099" s="877"/>
      <c r="R1099" s="64"/>
      <c r="S1099" s="64"/>
      <c r="T1099" s="64"/>
      <c r="U1099" s="64"/>
    </row>
    <row r="1100" spans="1:21" s="71" customFormat="1" hidden="1">
      <c r="A1100" s="64"/>
      <c r="B1100" s="876"/>
      <c r="C1100" s="128"/>
      <c r="D1100" s="128"/>
      <c r="E1100" s="128"/>
      <c r="N1100" s="876"/>
      <c r="P1100" s="877"/>
      <c r="R1100" s="64"/>
      <c r="S1100" s="64"/>
      <c r="T1100" s="64"/>
      <c r="U1100" s="64"/>
    </row>
    <row r="1101" spans="1:21" s="71" customFormat="1" hidden="1">
      <c r="A1101" s="64"/>
      <c r="B1101" s="876"/>
      <c r="C1101" s="128"/>
      <c r="D1101" s="128"/>
      <c r="E1101" s="128"/>
      <c r="N1101" s="876"/>
      <c r="P1101" s="877"/>
      <c r="R1101" s="64"/>
      <c r="S1101" s="64"/>
      <c r="T1101" s="64"/>
      <c r="U1101" s="64"/>
    </row>
    <row r="1102" spans="1:21" s="71" customFormat="1" hidden="1">
      <c r="A1102" s="64"/>
      <c r="B1102" s="876"/>
      <c r="C1102" s="128"/>
      <c r="D1102" s="128"/>
      <c r="E1102" s="128"/>
      <c r="N1102" s="876"/>
      <c r="P1102" s="877"/>
      <c r="R1102" s="64"/>
      <c r="S1102" s="64"/>
      <c r="T1102" s="64"/>
      <c r="U1102" s="64"/>
    </row>
    <row r="1103" spans="1:21" s="71" customFormat="1" hidden="1">
      <c r="A1103" s="64"/>
      <c r="B1103" s="876"/>
      <c r="C1103" s="128"/>
      <c r="D1103" s="128"/>
      <c r="E1103" s="128"/>
      <c r="N1103" s="876"/>
      <c r="P1103" s="877"/>
      <c r="R1103" s="64"/>
      <c r="S1103" s="64"/>
      <c r="T1103" s="64"/>
      <c r="U1103" s="64"/>
    </row>
    <row r="1104" spans="1:21" s="71" customFormat="1" hidden="1">
      <c r="A1104" s="64"/>
      <c r="B1104" s="876"/>
      <c r="C1104" s="128"/>
      <c r="D1104" s="128"/>
      <c r="E1104" s="128"/>
      <c r="N1104" s="876"/>
      <c r="P1104" s="877"/>
      <c r="R1104" s="64"/>
      <c r="S1104" s="64"/>
      <c r="T1104" s="64"/>
      <c r="U1104" s="64"/>
    </row>
    <row r="1105" spans="1:21" s="71" customFormat="1" hidden="1">
      <c r="A1105" s="64"/>
      <c r="B1105" s="876"/>
      <c r="C1105" s="128"/>
      <c r="D1105" s="128"/>
      <c r="E1105" s="128"/>
      <c r="N1105" s="876"/>
      <c r="P1105" s="877"/>
      <c r="R1105" s="64"/>
      <c r="S1105" s="64"/>
      <c r="T1105" s="64"/>
      <c r="U1105" s="64"/>
    </row>
    <row r="1106" spans="1:21" s="71" customFormat="1" hidden="1">
      <c r="A1106" s="64"/>
      <c r="B1106" s="876"/>
      <c r="C1106" s="128"/>
      <c r="D1106" s="128"/>
      <c r="E1106" s="128"/>
      <c r="N1106" s="876"/>
      <c r="P1106" s="877"/>
      <c r="R1106" s="64"/>
      <c r="S1106" s="64"/>
      <c r="T1106" s="64"/>
      <c r="U1106" s="64"/>
    </row>
    <row r="1107" spans="1:21" s="71" customFormat="1" hidden="1">
      <c r="A1107" s="64"/>
      <c r="B1107" s="876"/>
      <c r="C1107" s="128"/>
      <c r="D1107" s="128"/>
      <c r="E1107" s="128"/>
      <c r="N1107" s="876"/>
      <c r="P1107" s="877"/>
      <c r="R1107" s="64"/>
      <c r="S1107" s="64"/>
      <c r="T1107" s="64"/>
      <c r="U1107" s="64"/>
    </row>
    <row r="1108" spans="1:21" s="71" customFormat="1" hidden="1">
      <c r="A1108" s="64"/>
      <c r="B1108" s="876"/>
      <c r="C1108" s="128"/>
      <c r="D1108" s="128"/>
      <c r="E1108" s="128"/>
      <c r="N1108" s="876"/>
      <c r="P1108" s="877"/>
      <c r="R1108" s="64"/>
      <c r="S1108" s="64"/>
      <c r="T1108" s="64"/>
      <c r="U1108" s="64"/>
    </row>
    <row r="1109" spans="1:21" s="71" customFormat="1" hidden="1">
      <c r="A1109" s="64"/>
      <c r="B1109" s="876"/>
      <c r="C1109" s="128"/>
      <c r="D1109" s="128"/>
      <c r="E1109" s="128"/>
      <c r="N1109" s="876"/>
      <c r="P1109" s="877"/>
      <c r="R1109" s="64"/>
      <c r="S1109" s="64"/>
      <c r="T1109" s="64"/>
      <c r="U1109" s="64"/>
    </row>
    <row r="1110" spans="1:21" s="71" customFormat="1" hidden="1">
      <c r="A1110" s="64"/>
      <c r="B1110" s="876"/>
      <c r="C1110" s="128"/>
      <c r="D1110" s="128"/>
      <c r="E1110" s="128"/>
      <c r="N1110" s="876"/>
      <c r="P1110" s="877"/>
      <c r="R1110" s="64"/>
      <c r="S1110" s="64"/>
      <c r="T1110" s="64"/>
      <c r="U1110" s="64"/>
    </row>
    <row r="1111" spans="1:21" s="71" customFormat="1" hidden="1">
      <c r="A1111" s="64"/>
      <c r="B1111" s="876"/>
      <c r="C1111" s="128"/>
      <c r="D1111" s="128"/>
      <c r="E1111" s="128"/>
      <c r="N1111" s="876"/>
      <c r="P1111" s="877"/>
      <c r="R1111" s="64"/>
      <c r="S1111" s="64"/>
      <c r="T1111" s="64"/>
      <c r="U1111" s="64"/>
    </row>
    <row r="1112" spans="1:21" s="71" customFormat="1" hidden="1">
      <c r="A1112" s="64"/>
      <c r="B1112" s="876"/>
      <c r="C1112" s="128"/>
      <c r="D1112" s="128"/>
      <c r="E1112" s="128"/>
      <c r="N1112" s="876"/>
      <c r="P1112" s="877"/>
      <c r="R1112" s="64"/>
      <c r="S1112" s="64"/>
      <c r="T1112" s="64"/>
      <c r="U1112" s="64"/>
    </row>
    <row r="1113" spans="1:21" s="71" customFormat="1" hidden="1">
      <c r="A1113" s="64"/>
      <c r="B1113" s="876"/>
      <c r="C1113" s="128"/>
      <c r="D1113" s="128"/>
      <c r="E1113" s="128"/>
      <c r="N1113" s="876"/>
      <c r="P1113" s="877"/>
      <c r="R1113" s="64"/>
      <c r="S1113" s="64"/>
      <c r="T1113" s="64"/>
      <c r="U1113" s="64"/>
    </row>
    <row r="1114" spans="1:21" s="71" customFormat="1" hidden="1">
      <c r="A1114" s="64"/>
      <c r="B1114" s="876"/>
      <c r="C1114" s="128"/>
      <c r="D1114" s="128"/>
      <c r="E1114" s="128"/>
      <c r="N1114" s="876"/>
      <c r="P1114" s="877"/>
      <c r="R1114" s="64"/>
      <c r="S1114" s="64"/>
      <c r="T1114" s="64"/>
      <c r="U1114" s="64"/>
    </row>
    <row r="1115" spans="1:21" s="71" customFormat="1" hidden="1">
      <c r="A1115" s="64"/>
      <c r="B1115" s="876"/>
      <c r="C1115" s="128"/>
      <c r="D1115" s="128"/>
      <c r="E1115" s="128"/>
      <c r="N1115" s="876"/>
      <c r="P1115" s="877"/>
      <c r="R1115" s="64"/>
      <c r="S1115" s="64"/>
      <c r="T1115" s="64"/>
      <c r="U1115" s="64"/>
    </row>
    <row r="1116" spans="1:21" s="71" customFormat="1" hidden="1">
      <c r="A1116" s="64"/>
      <c r="B1116" s="876"/>
      <c r="C1116" s="128"/>
      <c r="D1116" s="128"/>
      <c r="E1116" s="128"/>
      <c r="N1116" s="876"/>
      <c r="P1116" s="877"/>
      <c r="R1116" s="64"/>
      <c r="S1116" s="64"/>
      <c r="T1116" s="64"/>
      <c r="U1116" s="64"/>
    </row>
    <row r="1117" spans="1:21" s="71" customFormat="1" hidden="1">
      <c r="A1117" s="64"/>
      <c r="B1117" s="876"/>
      <c r="C1117" s="128"/>
      <c r="D1117" s="128"/>
      <c r="E1117" s="128"/>
      <c r="N1117" s="876"/>
      <c r="P1117" s="877"/>
      <c r="R1117" s="64"/>
      <c r="S1117" s="64"/>
      <c r="T1117" s="64"/>
      <c r="U1117" s="64"/>
    </row>
    <row r="1118" spans="1:21" s="71" customFormat="1" hidden="1">
      <c r="A1118" s="64"/>
      <c r="B1118" s="876"/>
      <c r="C1118" s="128"/>
      <c r="D1118" s="128"/>
      <c r="E1118" s="128"/>
      <c r="N1118" s="876"/>
      <c r="P1118" s="877"/>
      <c r="R1118" s="64"/>
      <c r="S1118" s="64"/>
      <c r="T1118" s="64"/>
      <c r="U1118" s="64"/>
    </row>
    <row r="1119" spans="1:21" s="71" customFormat="1" hidden="1">
      <c r="A1119" s="64"/>
      <c r="B1119" s="876"/>
      <c r="C1119" s="128"/>
      <c r="D1119" s="128"/>
      <c r="E1119" s="128"/>
      <c r="N1119" s="876"/>
      <c r="P1119" s="877"/>
      <c r="R1119" s="64"/>
      <c r="S1119" s="64"/>
      <c r="T1119" s="64"/>
      <c r="U1119" s="64"/>
    </row>
    <row r="1120" spans="1:21" s="71" customFormat="1" hidden="1">
      <c r="A1120" s="64"/>
      <c r="B1120" s="876"/>
      <c r="C1120" s="128"/>
      <c r="D1120" s="128"/>
      <c r="E1120" s="128"/>
      <c r="N1120" s="876"/>
      <c r="P1120" s="877"/>
      <c r="R1120" s="64"/>
      <c r="S1120" s="64"/>
      <c r="T1120" s="64"/>
      <c r="U1120" s="64"/>
    </row>
    <row r="1121" spans="1:21" s="71" customFormat="1" hidden="1">
      <c r="A1121" s="64"/>
      <c r="B1121" s="876"/>
      <c r="C1121" s="128"/>
      <c r="D1121" s="128"/>
      <c r="E1121" s="128"/>
      <c r="N1121" s="876"/>
      <c r="P1121" s="877"/>
      <c r="R1121" s="64"/>
      <c r="S1121" s="64"/>
      <c r="T1121" s="64"/>
      <c r="U1121" s="64"/>
    </row>
    <row r="1122" spans="1:21" s="71" customFormat="1" hidden="1">
      <c r="A1122" s="64"/>
      <c r="B1122" s="876"/>
      <c r="C1122" s="128"/>
      <c r="D1122" s="128"/>
      <c r="E1122" s="128"/>
      <c r="N1122" s="876"/>
      <c r="P1122" s="877"/>
      <c r="R1122" s="64"/>
      <c r="S1122" s="64"/>
      <c r="T1122" s="64"/>
      <c r="U1122" s="64"/>
    </row>
    <row r="1123" spans="1:21" s="71" customFormat="1" hidden="1">
      <c r="A1123" s="64"/>
      <c r="B1123" s="876"/>
      <c r="C1123" s="128"/>
      <c r="D1123" s="128"/>
      <c r="E1123" s="128"/>
      <c r="N1123" s="876"/>
      <c r="P1123" s="877"/>
      <c r="R1123" s="64"/>
      <c r="S1123" s="64"/>
      <c r="T1123" s="64"/>
      <c r="U1123" s="64"/>
    </row>
    <row r="1124" spans="1:21" s="71" customFormat="1" hidden="1">
      <c r="A1124" s="64"/>
      <c r="B1124" s="876"/>
      <c r="C1124" s="128"/>
      <c r="D1124" s="128"/>
      <c r="E1124" s="128"/>
      <c r="N1124" s="876"/>
      <c r="P1124" s="877"/>
      <c r="R1124" s="64"/>
      <c r="S1124" s="64"/>
      <c r="T1124" s="64"/>
      <c r="U1124" s="64"/>
    </row>
    <row r="1125" spans="1:21" s="71" customFormat="1" hidden="1">
      <c r="A1125" s="64"/>
      <c r="B1125" s="876"/>
      <c r="C1125" s="128"/>
      <c r="D1125" s="128"/>
      <c r="E1125" s="128"/>
      <c r="N1125" s="876"/>
      <c r="P1125" s="877"/>
      <c r="R1125" s="64"/>
      <c r="S1125" s="64"/>
      <c r="T1125" s="64"/>
      <c r="U1125" s="64"/>
    </row>
    <row r="1126" spans="1:21" s="71" customFormat="1" hidden="1">
      <c r="A1126" s="64"/>
      <c r="B1126" s="876"/>
      <c r="C1126" s="128"/>
      <c r="D1126" s="128"/>
      <c r="E1126" s="128"/>
      <c r="N1126" s="876"/>
      <c r="P1126" s="877"/>
      <c r="R1126" s="64"/>
      <c r="S1126" s="64"/>
      <c r="T1126" s="64"/>
      <c r="U1126" s="64"/>
    </row>
    <row r="1127" spans="1:21" s="71" customFormat="1" hidden="1">
      <c r="A1127" s="64"/>
      <c r="B1127" s="876"/>
      <c r="C1127" s="128"/>
      <c r="D1127" s="128"/>
      <c r="E1127" s="128"/>
      <c r="N1127" s="876"/>
      <c r="P1127" s="877"/>
      <c r="R1127" s="64"/>
      <c r="S1127" s="64"/>
      <c r="T1127" s="64"/>
      <c r="U1127" s="64"/>
    </row>
    <row r="1128" spans="1:21" s="71" customFormat="1" hidden="1">
      <c r="A1128" s="64"/>
      <c r="B1128" s="876"/>
      <c r="C1128" s="128"/>
      <c r="D1128" s="128"/>
      <c r="E1128" s="128"/>
      <c r="N1128" s="876"/>
      <c r="P1128" s="877"/>
      <c r="R1128" s="64"/>
      <c r="S1128" s="64"/>
      <c r="T1128" s="64"/>
      <c r="U1128" s="64"/>
    </row>
    <row r="1129" spans="1:21" s="71" customFormat="1" hidden="1">
      <c r="A1129" s="64"/>
      <c r="B1129" s="876"/>
      <c r="C1129" s="128"/>
      <c r="D1129" s="128"/>
      <c r="E1129" s="128"/>
      <c r="N1129" s="876"/>
      <c r="P1129" s="877"/>
      <c r="R1129" s="64"/>
      <c r="S1129" s="64"/>
      <c r="T1129" s="64"/>
      <c r="U1129" s="64"/>
    </row>
    <row r="1130" spans="1:21" s="71" customFormat="1" hidden="1">
      <c r="A1130" s="64"/>
      <c r="B1130" s="876"/>
      <c r="C1130" s="128"/>
      <c r="D1130" s="128"/>
      <c r="E1130" s="128"/>
      <c r="N1130" s="876"/>
      <c r="P1130" s="877"/>
      <c r="R1130" s="64"/>
      <c r="S1130" s="64"/>
      <c r="T1130" s="64"/>
      <c r="U1130" s="64"/>
    </row>
    <row r="1131" spans="1:21" s="71" customFormat="1" hidden="1">
      <c r="A1131" s="64"/>
      <c r="B1131" s="876"/>
      <c r="C1131" s="128"/>
      <c r="D1131" s="128"/>
      <c r="E1131" s="128"/>
      <c r="N1131" s="876"/>
      <c r="P1131" s="877"/>
      <c r="R1131" s="64"/>
      <c r="S1131" s="64"/>
      <c r="T1131" s="64"/>
      <c r="U1131" s="64"/>
    </row>
    <row r="1132" spans="1:21" s="71" customFormat="1" hidden="1">
      <c r="A1132" s="64"/>
      <c r="B1132" s="876"/>
      <c r="C1132" s="128"/>
      <c r="D1132" s="128"/>
      <c r="E1132" s="128"/>
      <c r="N1132" s="876"/>
      <c r="P1132" s="877"/>
      <c r="R1132" s="64"/>
      <c r="S1132" s="64"/>
      <c r="T1132" s="64"/>
      <c r="U1132" s="64"/>
    </row>
    <row r="1133" spans="1:21" s="71" customFormat="1" hidden="1">
      <c r="A1133" s="64"/>
      <c r="B1133" s="876"/>
      <c r="C1133" s="128"/>
      <c r="D1133" s="128"/>
      <c r="E1133" s="128"/>
      <c r="N1133" s="876"/>
      <c r="P1133" s="877"/>
      <c r="R1133" s="64"/>
      <c r="S1133" s="64"/>
      <c r="T1133" s="64"/>
      <c r="U1133" s="64"/>
    </row>
    <row r="1134" spans="1:21" s="71" customFormat="1" hidden="1">
      <c r="A1134" s="64"/>
      <c r="B1134" s="876"/>
      <c r="C1134" s="128"/>
      <c r="D1134" s="128"/>
      <c r="E1134" s="128"/>
      <c r="N1134" s="876"/>
      <c r="P1134" s="877"/>
      <c r="R1134" s="64"/>
      <c r="S1134" s="64"/>
      <c r="T1134" s="64"/>
      <c r="U1134" s="64"/>
    </row>
    <row r="1135" spans="1:21" s="71" customFormat="1" hidden="1">
      <c r="A1135" s="64"/>
      <c r="B1135" s="876"/>
      <c r="C1135" s="128"/>
      <c r="D1135" s="128"/>
      <c r="E1135" s="128"/>
      <c r="N1135" s="876"/>
      <c r="P1135" s="877"/>
      <c r="R1135" s="64"/>
      <c r="S1135" s="64"/>
      <c r="T1135" s="64"/>
      <c r="U1135" s="64"/>
    </row>
    <row r="1136" spans="1:21" s="71" customFormat="1" hidden="1">
      <c r="A1136" s="64"/>
      <c r="B1136" s="876"/>
      <c r="C1136" s="128"/>
      <c r="D1136" s="128"/>
      <c r="E1136" s="128"/>
      <c r="N1136" s="876"/>
      <c r="P1136" s="877"/>
      <c r="R1136" s="64"/>
      <c r="S1136" s="64"/>
      <c r="T1136" s="64"/>
      <c r="U1136" s="64"/>
    </row>
    <row r="1137" spans="1:21" s="71" customFormat="1" hidden="1">
      <c r="A1137" s="64"/>
      <c r="B1137" s="876"/>
      <c r="C1137" s="128"/>
      <c r="D1137" s="128"/>
      <c r="E1137" s="128"/>
      <c r="N1137" s="876"/>
      <c r="P1137" s="877"/>
      <c r="R1137" s="64"/>
      <c r="S1137" s="64"/>
      <c r="T1137" s="64"/>
      <c r="U1137" s="64"/>
    </row>
    <row r="1138" spans="1:21" s="71" customFormat="1" hidden="1">
      <c r="A1138" s="64"/>
      <c r="B1138" s="876"/>
      <c r="C1138" s="128"/>
      <c r="D1138" s="128"/>
      <c r="E1138" s="128"/>
      <c r="N1138" s="876"/>
      <c r="P1138" s="877"/>
      <c r="R1138" s="64"/>
      <c r="S1138" s="64"/>
      <c r="T1138" s="64"/>
      <c r="U1138" s="64"/>
    </row>
    <row r="1139" spans="1:21" s="71" customFormat="1" hidden="1">
      <c r="A1139" s="64"/>
      <c r="B1139" s="876"/>
      <c r="C1139" s="128"/>
      <c r="D1139" s="128"/>
      <c r="E1139" s="128"/>
      <c r="N1139" s="876"/>
      <c r="P1139" s="877"/>
      <c r="R1139" s="64"/>
      <c r="S1139" s="64"/>
      <c r="T1139" s="64"/>
      <c r="U1139" s="64"/>
    </row>
    <row r="1140" spans="1:21" s="71" customFormat="1" hidden="1">
      <c r="A1140" s="64"/>
      <c r="B1140" s="876"/>
      <c r="C1140" s="128"/>
      <c r="D1140" s="128"/>
      <c r="E1140" s="128"/>
      <c r="N1140" s="876"/>
      <c r="P1140" s="877"/>
      <c r="R1140" s="64"/>
      <c r="S1140" s="64"/>
      <c r="T1140" s="64"/>
      <c r="U1140" s="64"/>
    </row>
    <row r="1141" spans="1:21" s="71" customFormat="1" hidden="1">
      <c r="A1141" s="64"/>
      <c r="B1141" s="876"/>
      <c r="C1141" s="128"/>
      <c r="D1141" s="128"/>
      <c r="E1141" s="128"/>
      <c r="N1141" s="876"/>
      <c r="P1141" s="877"/>
      <c r="R1141" s="64"/>
      <c r="S1141" s="64"/>
      <c r="T1141" s="64"/>
      <c r="U1141" s="64"/>
    </row>
    <row r="1142" spans="1:21" s="71" customFormat="1" hidden="1">
      <c r="A1142" s="64"/>
      <c r="B1142" s="876"/>
      <c r="C1142" s="128"/>
      <c r="D1142" s="128"/>
      <c r="E1142" s="128"/>
      <c r="N1142" s="876"/>
      <c r="P1142" s="877"/>
      <c r="R1142" s="64"/>
      <c r="S1142" s="64"/>
      <c r="T1142" s="64"/>
      <c r="U1142" s="64"/>
    </row>
    <row r="1143" spans="1:21" s="71" customFormat="1" hidden="1">
      <c r="A1143" s="64"/>
      <c r="B1143" s="876"/>
      <c r="C1143" s="128"/>
      <c r="D1143" s="128"/>
      <c r="E1143" s="128"/>
      <c r="N1143" s="876"/>
      <c r="P1143" s="877"/>
      <c r="R1143" s="64"/>
      <c r="S1143" s="64"/>
      <c r="T1143" s="64"/>
      <c r="U1143" s="64"/>
    </row>
    <row r="1144" spans="1:21" s="71" customFormat="1" hidden="1">
      <c r="A1144" s="64"/>
      <c r="B1144" s="876"/>
      <c r="C1144" s="128"/>
      <c r="D1144" s="128"/>
      <c r="E1144" s="128"/>
      <c r="N1144" s="876"/>
      <c r="P1144" s="877"/>
      <c r="R1144" s="64"/>
      <c r="S1144" s="64"/>
      <c r="T1144" s="64"/>
      <c r="U1144" s="64"/>
    </row>
    <row r="1145" spans="1:21" s="71" customFormat="1" hidden="1">
      <c r="A1145" s="64"/>
      <c r="B1145" s="876"/>
      <c r="C1145" s="128"/>
      <c r="D1145" s="128"/>
      <c r="E1145" s="128"/>
      <c r="N1145" s="876"/>
      <c r="P1145" s="877"/>
      <c r="R1145" s="64"/>
      <c r="S1145" s="64"/>
      <c r="T1145" s="64"/>
      <c r="U1145" s="64"/>
    </row>
    <row r="1146" spans="1:21" s="71" customFormat="1" hidden="1">
      <c r="A1146" s="64"/>
      <c r="B1146" s="876"/>
      <c r="C1146" s="128"/>
      <c r="D1146" s="128"/>
      <c r="E1146" s="128"/>
      <c r="N1146" s="876"/>
      <c r="P1146" s="877"/>
      <c r="R1146" s="64"/>
      <c r="S1146" s="64"/>
      <c r="T1146" s="64"/>
      <c r="U1146" s="64"/>
    </row>
    <row r="1147" spans="1:21" s="71" customFormat="1" hidden="1">
      <c r="A1147" s="64"/>
      <c r="B1147" s="876"/>
      <c r="C1147" s="128"/>
      <c r="D1147" s="128"/>
      <c r="E1147" s="128"/>
      <c r="N1147" s="876"/>
      <c r="P1147" s="877"/>
      <c r="R1147" s="64"/>
      <c r="S1147" s="64"/>
      <c r="T1147" s="64"/>
      <c r="U1147" s="64"/>
    </row>
    <row r="1148" spans="1:21" s="71" customFormat="1" hidden="1">
      <c r="A1148" s="64"/>
      <c r="B1148" s="876"/>
      <c r="C1148" s="128"/>
      <c r="D1148" s="128"/>
      <c r="E1148" s="128"/>
      <c r="N1148" s="876"/>
      <c r="P1148" s="877"/>
      <c r="R1148" s="64"/>
      <c r="S1148" s="64"/>
      <c r="T1148" s="64"/>
      <c r="U1148" s="64"/>
    </row>
    <row r="1149" spans="1:21" s="71" customFormat="1" hidden="1">
      <c r="A1149" s="64"/>
      <c r="B1149" s="876"/>
      <c r="C1149" s="128"/>
      <c r="D1149" s="128"/>
      <c r="E1149" s="128"/>
      <c r="N1149" s="876"/>
      <c r="P1149" s="877"/>
      <c r="R1149" s="64"/>
      <c r="S1149" s="64"/>
      <c r="T1149" s="64"/>
      <c r="U1149" s="64"/>
    </row>
    <row r="1150" spans="1:21" s="71" customFormat="1" hidden="1">
      <c r="A1150" s="64"/>
      <c r="B1150" s="876"/>
      <c r="C1150" s="128"/>
      <c r="D1150" s="128"/>
      <c r="E1150" s="128"/>
      <c r="N1150" s="876"/>
      <c r="P1150" s="877"/>
      <c r="R1150" s="64"/>
      <c r="S1150" s="64"/>
      <c r="T1150" s="64"/>
      <c r="U1150" s="64"/>
    </row>
    <row r="1151" spans="1:21" s="71" customFormat="1" hidden="1">
      <c r="A1151" s="64"/>
      <c r="B1151" s="876"/>
      <c r="C1151" s="128"/>
      <c r="D1151" s="128"/>
      <c r="E1151" s="128"/>
      <c r="N1151" s="876"/>
      <c r="P1151" s="877"/>
      <c r="R1151" s="64"/>
      <c r="S1151" s="64"/>
      <c r="T1151" s="64"/>
      <c r="U1151" s="64"/>
    </row>
    <row r="1152" spans="1:21" s="71" customFormat="1" hidden="1">
      <c r="A1152" s="64"/>
      <c r="B1152" s="876"/>
      <c r="C1152" s="128"/>
      <c r="D1152" s="128"/>
      <c r="E1152" s="128"/>
      <c r="N1152" s="876"/>
      <c r="P1152" s="877"/>
      <c r="R1152" s="64"/>
      <c r="S1152" s="64"/>
      <c r="T1152" s="64"/>
      <c r="U1152" s="64"/>
    </row>
    <row r="1153" spans="1:21" s="71" customFormat="1" hidden="1">
      <c r="A1153" s="64"/>
      <c r="B1153" s="876"/>
      <c r="C1153" s="128"/>
      <c r="D1153" s="128"/>
      <c r="E1153" s="128"/>
      <c r="N1153" s="876"/>
      <c r="P1153" s="877"/>
      <c r="R1153" s="64"/>
      <c r="S1153" s="64"/>
      <c r="T1153" s="64"/>
      <c r="U1153" s="64"/>
    </row>
    <row r="1154" spans="1:21" s="71" customFormat="1" hidden="1">
      <c r="A1154" s="64"/>
      <c r="B1154" s="876"/>
      <c r="C1154" s="128"/>
      <c r="D1154" s="128"/>
      <c r="E1154" s="128"/>
      <c r="N1154" s="876"/>
      <c r="P1154" s="877"/>
      <c r="R1154" s="64"/>
      <c r="S1154" s="64"/>
      <c r="T1154" s="64"/>
      <c r="U1154" s="64"/>
    </row>
    <row r="1155" spans="1:21" s="71" customFormat="1" hidden="1">
      <c r="A1155" s="64"/>
      <c r="B1155" s="876"/>
      <c r="C1155" s="128"/>
      <c r="D1155" s="128"/>
      <c r="E1155" s="128"/>
      <c r="N1155" s="876"/>
      <c r="P1155" s="877"/>
      <c r="R1155" s="64"/>
      <c r="S1155" s="64"/>
      <c r="T1155" s="64"/>
      <c r="U1155" s="64"/>
    </row>
    <row r="1156" spans="1:21" s="71" customFormat="1" hidden="1">
      <c r="A1156" s="64"/>
      <c r="B1156" s="876"/>
      <c r="C1156" s="128"/>
      <c r="D1156" s="128"/>
      <c r="E1156" s="128"/>
      <c r="N1156" s="876"/>
      <c r="P1156" s="877"/>
      <c r="R1156" s="64"/>
      <c r="S1156" s="64"/>
      <c r="T1156" s="64"/>
      <c r="U1156" s="64"/>
    </row>
    <row r="1157" spans="1:21" s="71" customFormat="1" hidden="1">
      <c r="A1157" s="64"/>
      <c r="B1157" s="876"/>
      <c r="C1157" s="128"/>
      <c r="D1157" s="128"/>
      <c r="E1157" s="128"/>
      <c r="N1157" s="876"/>
      <c r="P1157" s="877"/>
      <c r="R1157" s="64"/>
      <c r="S1157" s="64"/>
      <c r="T1157" s="64"/>
      <c r="U1157" s="64"/>
    </row>
    <row r="1158" spans="1:21" s="71" customFormat="1" hidden="1">
      <c r="A1158" s="64"/>
      <c r="B1158" s="876"/>
      <c r="C1158" s="128"/>
      <c r="D1158" s="128"/>
      <c r="E1158" s="128"/>
      <c r="N1158" s="876"/>
      <c r="P1158" s="877"/>
      <c r="R1158" s="64"/>
      <c r="S1158" s="64"/>
      <c r="T1158" s="64"/>
      <c r="U1158" s="64"/>
    </row>
    <row r="1159" spans="1:21" s="71" customFormat="1" hidden="1">
      <c r="A1159" s="64"/>
      <c r="B1159" s="876"/>
      <c r="C1159" s="128"/>
      <c r="D1159" s="128"/>
      <c r="E1159" s="128"/>
      <c r="N1159" s="876"/>
      <c r="P1159" s="877"/>
      <c r="R1159" s="64"/>
      <c r="S1159" s="64"/>
      <c r="T1159" s="64"/>
      <c r="U1159" s="64"/>
    </row>
    <row r="1160" spans="1:21" s="71" customFormat="1" hidden="1">
      <c r="A1160" s="64"/>
      <c r="B1160" s="876"/>
      <c r="C1160" s="128"/>
      <c r="D1160" s="128"/>
      <c r="E1160" s="128"/>
      <c r="N1160" s="876"/>
      <c r="P1160" s="877"/>
      <c r="R1160" s="64"/>
      <c r="S1160" s="64"/>
      <c r="T1160" s="64"/>
      <c r="U1160" s="64"/>
    </row>
    <row r="1161" spans="1:21" s="71" customFormat="1" hidden="1">
      <c r="A1161" s="64"/>
      <c r="B1161" s="876"/>
      <c r="C1161" s="128"/>
      <c r="D1161" s="128"/>
      <c r="E1161" s="128"/>
      <c r="N1161" s="876"/>
      <c r="P1161" s="877"/>
      <c r="R1161" s="64"/>
      <c r="S1161" s="64"/>
      <c r="T1161" s="64"/>
      <c r="U1161" s="64"/>
    </row>
    <row r="1162" spans="1:21" s="71" customFormat="1" hidden="1">
      <c r="A1162" s="64"/>
      <c r="B1162" s="876"/>
      <c r="C1162" s="128"/>
      <c r="D1162" s="128"/>
      <c r="E1162" s="128"/>
      <c r="N1162" s="876"/>
      <c r="P1162" s="877"/>
      <c r="R1162" s="64"/>
      <c r="S1162" s="64"/>
      <c r="T1162" s="64"/>
      <c r="U1162" s="64"/>
    </row>
    <row r="1163" spans="1:21" s="71" customFormat="1" hidden="1">
      <c r="A1163" s="64"/>
      <c r="B1163" s="876"/>
      <c r="C1163" s="128"/>
      <c r="D1163" s="128"/>
      <c r="E1163" s="128"/>
      <c r="N1163" s="876"/>
      <c r="P1163" s="877"/>
      <c r="R1163" s="64"/>
      <c r="S1163" s="64"/>
      <c r="T1163" s="64"/>
      <c r="U1163" s="64"/>
    </row>
    <row r="1164" spans="1:21" s="71" customFormat="1" hidden="1">
      <c r="A1164" s="64"/>
      <c r="B1164" s="876"/>
      <c r="C1164" s="128"/>
      <c r="D1164" s="128"/>
      <c r="E1164" s="128"/>
      <c r="N1164" s="876"/>
      <c r="P1164" s="877"/>
      <c r="R1164" s="64"/>
      <c r="S1164" s="64"/>
      <c r="T1164" s="64"/>
      <c r="U1164" s="64"/>
    </row>
    <row r="1165" spans="1:21" s="71" customFormat="1" hidden="1">
      <c r="A1165" s="64"/>
      <c r="B1165" s="876"/>
      <c r="C1165" s="128"/>
      <c r="D1165" s="128"/>
      <c r="E1165" s="128"/>
      <c r="N1165" s="876"/>
      <c r="P1165" s="877"/>
      <c r="R1165" s="64"/>
      <c r="S1165" s="64"/>
      <c r="T1165" s="64"/>
      <c r="U1165" s="64"/>
    </row>
    <row r="1166" spans="1:21" s="71" customFormat="1" hidden="1">
      <c r="A1166" s="64"/>
      <c r="B1166" s="876"/>
      <c r="C1166" s="128"/>
      <c r="D1166" s="128"/>
      <c r="E1166" s="128"/>
      <c r="N1166" s="876"/>
      <c r="P1166" s="877"/>
      <c r="R1166" s="64"/>
      <c r="S1166" s="64"/>
      <c r="T1166" s="64"/>
      <c r="U1166" s="64"/>
    </row>
    <row r="1167" spans="1:21" s="71" customFormat="1" hidden="1">
      <c r="A1167" s="64"/>
      <c r="B1167" s="876"/>
      <c r="C1167" s="128"/>
      <c r="D1167" s="128"/>
      <c r="E1167" s="128"/>
      <c r="N1167" s="876"/>
      <c r="P1167" s="877"/>
      <c r="R1167" s="64"/>
      <c r="S1167" s="64"/>
      <c r="T1167" s="64"/>
      <c r="U1167" s="64"/>
    </row>
    <row r="1168" spans="1:21" s="71" customFormat="1" hidden="1">
      <c r="A1168" s="64"/>
      <c r="B1168" s="876"/>
      <c r="C1168" s="128"/>
      <c r="D1168" s="128"/>
      <c r="E1168" s="128"/>
      <c r="N1168" s="876"/>
      <c r="P1168" s="877"/>
      <c r="R1168" s="64"/>
      <c r="S1168" s="64"/>
      <c r="T1168" s="64"/>
      <c r="U1168" s="64"/>
    </row>
    <row r="1169" spans="1:21" s="71" customFormat="1" hidden="1">
      <c r="A1169" s="64"/>
      <c r="B1169" s="876"/>
      <c r="C1169" s="128"/>
      <c r="D1169" s="128"/>
      <c r="E1169" s="128"/>
      <c r="N1169" s="876"/>
      <c r="P1169" s="877"/>
      <c r="R1169" s="64"/>
      <c r="S1169" s="64"/>
      <c r="T1169" s="64"/>
      <c r="U1169" s="64"/>
    </row>
    <row r="1170" spans="1:21" s="71" customFormat="1" hidden="1">
      <c r="A1170" s="64"/>
      <c r="B1170" s="876"/>
      <c r="C1170" s="128"/>
      <c r="D1170" s="128"/>
      <c r="E1170" s="128"/>
      <c r="N1170" s="876"/>
      <c r="P1170" s="877"/>
      <c r="R1170" s="64"/>
      <c r="S1170" s="64"/>
      <c r="T1170" s="64"/>
      <c r="U1170" s="64"/>
    </row>
    <row r="1171" spans="1:21" s="71" customFormat="1" hidden="1">
      <c r="A1171" s="64"/>
      <c r="B1171" s="876"/>
      <c r="C1171" s="128"/>
      <c r="D1171" s="128"/>
      <c r="E1171" s="128"/>
      <c r="N1171" s="876"/>
      <c r="P1171" s="877"/>
      <c r="R1171" s="64"/>
      <c r="S1171" s="64"/>
      <c r="T1171" s="64"/>
      <c r="U1171" s="64"/>
    </row>
    <row r="1172" spans="1:21" s="71" customFormat="1" hidden="1">
      <c r="A1172" s="64"/>
      <c r="B1172" s="876"/>
      <c r="C1172" s="128"/>
      <c r="D1172" s="128"/>
      <c r="E1172" s="128"/>
      <c r="N1172" s="876"/>
      <c r="P1172" s="877"/>
      <c r="R1172" s="64"/>
      <c r="S1172" s="64"/>
      <c r="T1172" s="64"/>
      <c r="U1172" s="64"/>
    </row>
    <row r="1173" spans="1:21" s="71" customFormat="1" hidden="1">
      <c r="A1173" s="64"/>
      <c r="B1173" s="876"/>
      <c r="C1173" s="128"/>
      <c r="D1173" s="128"/>
      <c r="E1173" s="128"/>
      <c r="N1173" s="876"/>
      <c r="P1173" s="877"/>
      <c r="R1173" s="64"/>
      <c r="S1173" s="64"/>
      <c r="T1173" s="64"/>
      <c r="U1173" s="64"/>
    </row>
    <row r="1174" spans="1:21" s="71" customFormat="1" hidden="1">
      <c r="A1174" s="64"/>
      <c r="B1174" s="876"/>
      <c r="C1174" s="128"/>
      <c r="D1174" s="128"/>
      <c r="E1174" s="128"/>
      <c r="N1174" s="876"/>
      <c r="P1174" s="877"/>
      <c r="R1174" s="64"/>
      <c r="S1174" s="64"/>
      <c r="T1174" s="64"/>
      <c r="U1174" s="64"/>
    </row>
    <row r="1175" spans="1:21" hidden="1">
      <c r="A1175" s="64"/>
      <c r="B1175" s="876"/>
      <c r="C1175" s="128"/>
      <c r="D1175" s="128"/>
      <c r="E1175" s="128"/>
      <c r="F1175" s="71"/>
      <c r="G1175" s="71"/>
      <c r="H1175" s="71"/>
      <c r="I1175" s="71"/>
      <c r="J1175" s="71"/>
    </row>
  </sheetData>
  <sheetProtection algorithmName="SHA-512" hashValue="VW1a26rvcXVBV/x/Eh+ZkdCAPljRvgLn6L4/OX+vuV9IuXVEw7rHlxfX9yq024+dOPiH86mFlmDnKmYCh7wIfw==" saltValue="PENwHc+T7oonOwf7Ra3bSA==" spinCount="100000" sheet="1" objects="1" scenarios="1" formatColumns="0" autoFilter="0"/>
  <mergeCells count="106">
    <mergeCell ref="C1:P1"/>
    <mergeCell ref="T29:T30"/>
    <mergeCell ref="R24:R25"/>
    <mergeCell ref="S24:S25"/>
    <mergeCell ref="T24:T25"/>
    <mergeCell ref="R2:T2"/>
    <mergeCell ref="S40:T40"/>
    <mergeCell ref="N11:P11"/>
    <mergeCell ref="O13:P13"/>
    <mergeCell ref="O14:P14"/>
    <mergeCell ref="O15:P15"/>
    <mergeCell ref="H15:I15"/>
    <mergeCell ref="G14:J14"/>
    <mergeCell ref="G8:J8"/>
    <mergeCell ref="N16:P17"/>
    <mergeCell ref="N18:O18"/>
    <mergeCell ref="N20:P21"/>
    <mergeCell ref="P22:P23"/>
    <mergeCell ref="N24:O24"/>
    <mergeCell ref="G24:J24"/>
    <mergeCell ref="G19:L20"/>
    <mergeCell ref="G21:J21"/>
    <mergeCell ref="G22:J22"/>
    <mergeCell ref="G23:J23"/>
    <mergeCell ref="B41:D41"/>
    <mergeCell ref="N40:P40"/>
    <mergeCell ref="N38:O38"/>
    <mergeCell ref="N25:O25"/>
    <mergeCell ref="N39:O39"/>
    <mergeCell ref="N26:O26"/>
    <mergeCell ref="N28:O28"/>
    <mergeCell ref="N36:O36"/>
    <mergeCell ref="N33:O33"/>
    <mergeCell ref="L37:L38"/>
    <mergeCell ref="G39:L39"/>
    <mergeCell ref="G40:L40"/>
    <mergeCell ref="B39:D40"/>
    <mergeCell ref="E39:E40"/>
    <mergeCell ref="G37:J38"/>
    <mergeCell ref="K37:K38"/>
    <mergeCell ref="N27:O27"/>
    <mergeCell ref="G25:J25"/>
    <mergeCell ref="G26:J26"/>
    <mergeCell ref="G16:J16"/>
    <mergeCell ref="G11:J11"/>
    <mergeCell ref="G12:J12"/>
    <mergeCell ref="G13:J13"/>
    <mergeCell ref="N2:P2"/>
    <mergeCell ref="O9:P9"/>
    <mergeCell ref="O10:P10"/>
    <mergeCell ref="G3:J3"/>
    <mergeCell ref="M3:M17"/>
    <mergeCell ref="G17:J17"/>
    <mergeCell ref="O6:P6"/>
    <mergeCell ref="G2:J2"/>
    <mergeCell ref="G9:J9"/>
    <mergeCell ref="N3:P3"/>
    <mergeCell ref="K2:L2"/>
    <mergeCell ref="G4:I4"/>
    <mergeCell ref="G7:J7"/>
    <mergeCell ref="O8:P8"/>
    <mergeCell ref="G10:J10"/>
    <mergeCell ref="A2:A10"/>
    <mergeCell ref="B14:C14"/>
    <mergeCell ref="B2:E2"/>
    <mergeCell ref="B16:C17"/>
    <mergeCell ref="B18:C19"/>
    <mergeCell ref="A11:A24"/>
    <mergeCell ref="C8:D8"/>
    <mergeCell ref="C9:D9"/>
    <mergeCell ref="C3:D3"/>
    <mergeCell ref="C4:D4"/>
    <mergeCell ref="C5:D5"/>
    <mergeCell ref="C6:D6"/>
    <mergeCell ref="C7:D7"/>
    <mergeCell ref="B23:C23"/>
    <mergeCell ref="B24:C24"/>
    <mergeCell ref="B20:C21"/>
    <mergeCell ref="B13:C13"/>
    <mergeCell ref="B15:E15"/>
    <mergeCell ref="B22:C22"/>
    <mergeCell ref="B11:E12"/>
    <mergeCell ref="S39:T39"/>
    <mergeCell ref="R34:T35"/>
    <mergeCell ref="B38:D38"/>
    <mergeCell ref="B26:E27"/>
    <mergeCell ref="B35:C35"/>
    <mergeCell ref="B37:D37"/>
    <mergeCell ref="G34:J34"/>
    <mergeCell ref="G35:J35"/>
    <mergeCell ref="B33:C33"/>
    <mergeCell ref="B29:C29"/>
    <mergeCell ref="B28:C28"/>
    <mergeCell ref="B30:C30"/>
    <mergeCell ref="G27:J27"/>
    <mergeCell ref="G33:J33"/>
    <mergeCell ref="G30:L30"/>
    <mergeCell ref="G31:L32"/>
    <mergeCell ref="G28:J28"/>
    <mergeCell ref="G36:J36"/>
    <mergeCell ref="G29:J29"/>
    <mergeCell ref="B36:D36"/>
    <mergeCell ref="B34:C34"/>
    <mergeCell ref="N29:O29"/>
    <mergeCell ref="R27:T28"/>
    <mergeCell ref="R33:T33"/>
  </mergeCells>
  <phoneticPr fontId="61" type="noConversion"/>
  <conditionalFormatting sqref="D13">
    <cfRule type="expression" dxfId="42" priority="75">
      <formula>$D$13=""</formula>
    </cfRule>
  </conditionalFormatting>
  <conditionalFormatting sqref="D17">
    <cfRule type="expression" dxfId="41" priority="1821">
      <formula>OR($D$19&gt;0,$D$21&gt;0)</formula>
    </cfRule>
  </conditionalFormatting>
  <conditionalFormatting sqref="D19">
    <cfRule type="expression" dxfId="40" priority="1826">
      <formula>OR($D$17&gt;0,$D$21&gt;0)</formula>
    </cfRule>
  </conditionalFormatting>
  <conditionalFormatting sqref="D21">
    <cfRule type="expression" dxfId="39" priority="1827">
      <formula>OR(D19&gt;0,D17&gt;0)</formula>
    </cfRule>
  </conditionalFormatting>
  <conditionalFormatting sqref="D28">
    <cfRule type="expression" dxfId="38" priority="74">
      <formula>$D$28=""</formula>
    </cfRule>
  </conditionalFormatting>
  <conditionalFormatting sqref="D29">
    <cfRule type="expression" dxfId="37" priority="73">
      <formula>$D$29=""</formula>
    </cfRule>
  </conditionalFormatting>
  <conditionalFormatting sqref="D30:D34">
    <cfRule type="expression" dxfId="36" priority="67">
      <formula>D30=""</formula>
    </cfRule>
  </conditionalFormatting>
  <conditionalFormatting sqref="K21">
    <cfRule type="expression" dxfId="35" priority="26">
      <formula>AND($K$21="",$L$21="")</formula>
    </cfRule>
  </conditionalFormatting>
  <conditionalFormatting sqref="K22:K25">
    <cfRule type="expression" dxfId="34" priority="62">
      <formula>K22=""</formula>
    </cfRule>
  </conditionalFormatting>
  <conditionalFormatting sqref="K33:K35">
    <cfRule type="expression" dxfId="33" priority="23">
      <formula>K33=""</formula>
    </cfRule>
  </conditionalFormatting>
  <conditionalFormatting sqref="L21">
    <cfRule type="expression" dxfId="32" priority="4">
      <formula>K22="w"</formula>
    </cfRule>
    <cfRule type="expression" dxfId="31" priority="27">
      <formula>K22="m"</formula>
    </cfRule>
  </conditionalFormatting>
  <conditionalFormatting sqref="N36:N37">
    <cfRule type="expression" dxfId="30" priority="39">
      <formula>ABS($P$36)&lt;5%</formula>
    </cfRule>
    <cfRule type="expression" dxfId="29" priority="35">
      <formula>P36=0</formula>
    </cfRule>
    <cfRule type="expression" dxfId="28" priority="36">
      <formula>ABS(P36)&gt;=5%</formula>
    </cfRule>
  </conditionalFormatting>
  <conditionalFormatting sqref="N39">
    <cfRule type="expression" dxfId="27" priority="487">
      <formula>P39=0</formula>
    </cfRule>
    <cfRule type="expression" dxfId="26" priority="488">
      <formula>ABS($P$39)&lt;$P$38</formula>
    </cfRule>
  </conditionalFormatting>
  <conditionalFormatting sqref="N39:O39">
    <cfRule type="expression" dxfId="25" priority="40">
      <formula>ABS($P$39)&gt;=$P$38</formula>
    </cfRule>
  </conditionalFormatting>
  <conditionalFormatting sqref="N40:P40">
    <cfRule type="expression" dxfId="24" priority="480">
      <formula>N40="Abänderung voraussichtlich nicht möglich"</formula>
    </cfRule>
    <cfRule type="expression" dxfId="23" priority="479">
      <formula>N40="Abänderung voraussichtlich möglich"</formula>
    </cfRule>
    <cfRule type="expression" dxfId="22" priority="478">
      <formula>$P$39=0</formula>
    </cfRule>
  </conditionalFormatting>
  <conditionalFormatting sqref="O19">
    <cfRule type="expression" dxfId="21" priority="41">
      <formula>O19=""</formula>
    </cfRule>
  </conditionalFormatting>
  <conditionalFormatting sqref="O22:O23">
    <cfRule type="expression" dxfId="20" priority="44">
      <formula>O22=""</formula>
    </cfRule>
  </conditionalFormatting>
  <conditionalFormatting sqref="O34">
    <cfRule type="expression" dxfId="19" priority="29">
      <formula>O34=""</formula>
    </cfRule>
  </conditionalFormatting>
  <conditionalFormatting sqref="O39">
    <cfRule type="expression" dxfId="18" priority="485">
      <formula>Q40=0</formula>
    </cfRule>
    <cfRule type="expression" dxfId="17" priority="486">
      <formula>ABS($P$39)&lt;$P$38</formula>
    </cfRule>
  </conditionalFormatting>
  <conditionalFormatting sqref="O5:P6">
    <cfRule type="expression" dxfId="16" priority="79">
      <formula>O5=""</formula>
    </cfRule>
  </conditionalFormatting>
  <conditionalFormatting sqref="P27:P28">
    <cfRule type="expression" dxfId="15" priority="54">
      <formula>P27=""</formula>
    </cfRule>
  </conditionalFormatting>
  <conditionalFormatting sqref="R33:T33">
    <cfRule type="expression" dxfId="14" priority="10">
      <formula>AND(S31&gt;0,S32&gt;0)</formula>
    </cfRule>
  </conditionalFormatting>
  <conditionalFormatting sqref="S17">
    <cfRule type="expression" dxfId="13" priority="12">
      <formula>AND($Y$9=3,$S$17="")</formula>
    </cfRule>
  </conditionalFormatting>
  <conditionalFormatting sqref="S21">
    <cfRule type="iconSet" priority="5">
      <iconSet iconSet="3Arrows">
        <cfvo type="percent" val="0"/>
        <cfvo type="num" val="$S$14*0.9"/>
        <cfvo type="num" val="$S$14"/>
      </iconSet>
    </cfRule>
  </conditionalFormatting>
  <conditionalFormatting sqref="S22">
    <cfRule type="iconSet" priority="2">
      <iconSet iconSet="3Arrows">
        <cfvo type="percent" val="0"/>
        <cfvo type="num" val="$S$19*0.9"/>
        <cfvo type="num" val="$S$19"/>
      </iconSet>
    </cfRule>
  </conditionalFormatting>
  <conditionalFormatting sqref="S4:T4">
    <cfRule type="expression" dxfId="12" priority="18">
      <formula>S4="m"</formula>
    </cfRule>
    <cfRule type="expression" dxfId="11" priority="17">
      <formula>S4="w"</formula>
    </cfRule>
    <cfRule type="expression" dxfId="10" priority="16">
      <formula>S4="d"</formula>
    </cfRule>
  </conditionalFormatting>
  <conditionalFormatting sqref="S4:T10">
    <cfRule type="expression" dxfId="9" priority="13">
      <formula>S4=""</formula>
    </cfRule>
  </conditionalFormatting>
  <conditionalFormatting sqref="S18:T18">
    <cfRule type="expression" dxfId="8" priority="14">
      <formula>S18=1</formula>
    </cfRule>
  </conditionalFormatting>
  <conditionalFormatting sqref="T17">
    <cfRule type="expression" dxfId="7" priority="11">
      <formula>AND(Y9=3,T17="")</formula>
    </cfRule>
  </conditionalFormatting>
  <conditionalFormatting sqref="T21">
    <cfRule type="iconSet" priority="1">
      <iconSet iconSet="3Arrows">
        <cfvo type="percent" val="0"/>
        <cfvo type="num" val="$T$14*0.9"/>
        <cfvo type="num" val="$T$14"/>
      </iconSet>
    </cfRule>
  </conditionalFormatting>
  <conditionalFormatting sqref="T22">
    <cfRule type="iconSet" priority="6">
      <iconSet iconSet="3Arrows">
        <cfvo type="percent" val="0"/>
        <cfvo type="num" val="$T$19*0.9"/>
        <cfvo type="num" val="$T$19"/>
      </iconSet>
    </cfRule>
  </conditionalFormatting>
  <conditionalFormatting sqref="T24">
    <cfRule type="iconSet" priority="3">
      <iconSet iconSet="3Arrows">
        <cfvo type="percent" val="0"/>
        <cfvo type="num" val="$T$19*0.9"/>
        <cfvo type="num" val="$T$19"/>
      </iconSet>
    </cfRule>
  </conditionalFormatting>
  <dataValidations count="4">
    <dataValidation type="decimal" allowBlank="1" showInputMessage="1" showErrorMessage="1" sqref="K36" xr:uid="{8F1F9A53-136D-4CDC-9606-0030085E7BD9}">
      <formula1>0</formula1>
      <formula2>0.1</formula2>
    </dataValidation>
    <dataValidation type="list" allowBlank="1" showInputMessage="1" showErrorMessage="1" errorTitle="Fehleingabe" error="Es sind nur die Eingaben m / f / d zulässig." sqref="D30" xr:uid="{960457E5-7F06-45B7-A98B-BFB472D9C80C}">
      <formula1>$X$1:$X$3</formula1>
    </dataValidation>
    <dataValidation type="list" allowBlank="1" showInputMessage="1" showErrorMessage="1" sqref="K22" xr:uid="{00000000-0002-0000-1800-000001000000}">
      <formula1>$AC$20:$AC$21</formula1>
    </dataValidation>
    <dataValidation type="list" allowBlank="1" showInputMessage="1" showErrorMessage="1" sqref="S4:T4" xr:uid="{C6307EFC-1165-46B7-A047-05FC3976EC1A}">
      <formula1>$X$1:$X$3</formula1>
    </dataValidation>
  </dataValidations>
  <hyperlinks>
    <hyperlink ref="G3:J3" r:id="rId1" display="Rentenbericht der BuReg 2020 S. 37" xr:uid="{2750E6A7-E146-4E63-ACBC-B22435F8FF6E}"/>
    <hyperlink ref="J4" r:id="rId2" xr:uid="{C4872979-E47B-44C0-9DD9-3F31A46C5602}"/>
    <hyperlink ref="N12" location="aktRW" display="AktRW" xr:uid="{DA9DA43F-4B7E-4763-BFF7-7EE243ECAAF2}"/>
    <hyperlink ref="J5" r:id="rId3" xr:uid="{3DA575D9-253B-481F-BD66-130586F745FE}"/>
    <hyperlink ref="G7:J7" r:id="rId4" display="Versorgungsausgleichskasse - Rechner" xr:uid="{9335EA69-AE6D-4529-A195-99CF65DE904E}"/>
    <hyperlink ref="G9:J9" r:id="rId5" display="Podcast rund um das FamR" xr:uid="{A0FAEE27-97D4-46B7-86EC-B6CA1E604569}"/>
    <hyperlink ref="G10:J10" r:id="rId6" display="Tabelle BMF zur Bewertung lebenslanger Nutzungen" xr:uid="{82E140BF-9E23-44D9-8F75-FCA7E2765AA4}"/>
    <hyperlink ref="G11:J11" r:id="rId7" display="Generationensterbetafeln DESTATIS" xr:uid="{B5A1FCFB-E464-42CC-BAE1-350A8552B5BB}"/>
    <hyperlink ref="G12:J12" r:id="rId8" display="Periodensterbetafeln 2018/2020" xr:uid="{B6804630-DDA0-4C19-9FF5-D9E487543A34}"/>
    <hyperlink ref="G17:J17" r:id="rId9" display="Email an RA Hauß" xr:uid="{2F23C1C5-FDEE-47AD-AC14-66C21BD98E80}"/>
    <hyperlink ref="G8:J9" r:id="rId10" display="FamRB / Rechenhilfen &amp; Blog" xr:uid="{FFEB3527-858F-4D17-992C-CC827E42A559}"/>
    <hyperlink ref="G8:J8" r:id="rId11" display="                 FamRB / Rechenhilfen &amp; Blog" xr:uid="{6E80F6B9-F831-41F0-9029-C5A4CF3B778C}"/>
    <hyperlink ref="G13:J13" r:id="rId12" display="rvRecht - Rechtsportal der DRV" xr:uid="{82F6E69B-918C-462F-A318-844FEAB0920C}"/>
    <hyperlink ref="K2:L2" r:id="rId13" display="Höchstrechnungszins" xr:uid="{F9085F60-FF53-4D11-8447-190728F2615C}"/>
    <hyperlink ref="N7" r:id="rId14" display="VPI" xr:uid="{B041F405-51F4-4E12-8EC6-41294196ED77}"/>
    <hyperlink ref="I5" r:id="rId15" xr:uid="{73F88360-1D67-4DA2-8D28-8AB242D5832C}"/>
    <hyperlink ref="I6" r:id="rId16" xr:uid="{F6596EC8-F212-4739-9576-CA1132737752}"/>
    <hyperlink ref="J6" r:id="rId17" xr:uid="{52ADFFD5-F084-40AB-87BB-1AD0DA411A91}"/>
    <hyperlink ref="G14:J14" r:id="rId18" display="Sozialkompass Europa Elternunterhalt-Kommission" xr:uid="{62CD815A-6B8C-449F-9143-DF852E607F0F}"/>
    <hyperlink ref="G16:J16" r:id="rId19" display="Bemessungsfaktoren AHV/IV Schweiz Skala44" xr:uid="{9100357F-BCEE-4948-B51D-14E70163E168}"/>
    <hyperlink ref="G15" r:id="rId20" xr:uid="{9DA17DBF-6D0C-470E-95A8-7560731366C0}"/>
    <hyperlink ref="H15:I15" r:id="rId21" display="historische Aktienkurse" xr:uid="{32EA6E31-E229-42D7-A98A-CEA400626137}"/>
  </hyperlinks>
  <printOptions horizontalCentered="1" verticalCentered="1"/>
  <pageMargins left="0.11811023622047245" right="0.11811023622047245" top="0.19685039370078741" bottom="0.19685039370078741" header="0.31496062992125984" footer="0.31496062992125984"/>
  <pageSetup paperSize="9" scale="68" orientation="landscape" r:id="rId22"/>
  <drawing r:id="rId23"/>
  <legacyDrawing r:id="rId24"/>
  <mc:AlternateContent xmlns:mc="http://schemas.openxmlformats.org/markup-compatibility/2006">
    <mc:Choice Requires="x14">
      <controls>
        <mc:AlternateContent xmlns:mc="http://schemas.openxmlformats.org/markup-compatibility/2006">
          <mc:Choice Requires="x14">
            <control shapeId="4101" r:id="rId25" name="Kontrollkästchen 5">
              <controlPr defaultSize="0" autoFill="0" autoLine="0" autoPict="0">
                <anchor moveWithCells="1">
                  <from>
                    <xdr:col>1</xdr:col>
                    <xdr:colOff>66675</xdr:colOff>
                    <xdr:row>12</xdr:row>
                    <xdr:rowOff>28575</xdr:rowOff>
                  </from>
                  <to>
                    <xdr:col>2</xdr:col>
                    <xdr:colOff>28575</xdr:colOff>
                    <xdr:row>12</xdr:row>
                    <xdr:rowOff>190500</xdr:rowOff>
                  </to>
                </anchor>
              </controlPr>
            </control>
          </mc:Choice>
        </mc:AlternateContent>
        <mc:AlternateContent xmlns:mc="http://schemas.openxmlformats.org/markup-compatibility/2006">
          <mc:Choice Requires="x14">
            <control shapeId="4105" r:id="rId26" name="Vorversterben">
              <controlPr defaultSize="0" autoFill="0" autoLine="0" autoPict="0">
                <anchor moveWithCells="1">
                  <from>
                    <xdr:col>1</xdr:col>
                    <xdr:colOff>28575</xdr:colOff>
                    <xdr:row>33</xdr:row>
                    <xdr:rowOff>219075</xdr:rowOff>
                  </from>
                  <to>
                    <xdr:col>1</xdr:col>
                    <xdr:colOff>257175</xdr:colOff>
                    <xdr:row>34</xdr:row>
                    <xdr:rowOff>219075</xdr:rowOff>
                  </to>
                </anchor>
              </controlPr>
            </control>
          </mc:Choice>
        </mc:AlternateContent>
        <mc:AlternateContent xmlns:mc="http://schemas.openxmlformats.org/markup-compatibility/2006">
          <mc:Choice Requires="x14">
            <control shapeId="4106" r:id="rId27" name="Check Box 10">
              <controlPr defaultSize="0" autoFill="0" autoLine="0" autoPict="0">
                <anchor moveWithCells="1">
                  <from>
                    <xdr:col>13</xdr:col>
                    <xdr:colOff>523875</xdr:colOff>
                    <xdr:row>11</xdr:row>
                    <xdr:rowOff>28575</xdr:rowOff>
                  </from>
                  <to>
                    <xdr:col>13</xdr:col>
                    <xdr:colOff>866775</xdr:colOff>
                    <xdr:row>12</xdr:row>
                    <xdr:rowOff>0</xdr:rowOff>
                  </to>
                </anchor>
              </controlPr>
            </control>
          </mc:Choice>
        </mc:AlternateContent>
        <mc:AlternateContent xmlns:mc="http://schemas.openxmlformats.org/markup-compatibility/2006">
          <mc:Choice Requires="x14">
            <control shapeId="4107" r:id="rId28" name="Check Box 11">
              <controlPr defaultSize="0" autoFill="0" autoLine="0" autoPict="0">
                <anchor moveWithCells="1">
                  <from>
                    <xdr:col>2</xdr:col>
                    <xdr:colOff>1400175</xdr:colOff>
                    <xdr:row>32</xdr:row>
                    <xdr:rowOff>219075</xdr:rowOff>
                  </from>
                  <to>
                    <xdr:col>2</xdr:col>
                    <xdr:colOff>2314575</xdr:colOff>
                    <xdr:row>33</xdr:row>
                    <xdr:rowOff>219075</xdr:rowOff>
                  </to>
                </anchor>
              </controlPr>
            </control>
          </mc:Choice>
        </mc:AlternateContent>
        <mc:AlternateContent xmlns:mc="http://schemas.openxmlformats.org/markup-compatibility/2006">
          <mc:Choice Requires="x14">
            <control shapeId="4109" r:id="rId29" name="Option Button 13">
              <controlPr defaultSize="0" autoFill="0" autoLine="0" autoPict="0">
                <anchor moveWithCells="1">
                  <from>
                    <xdr:col>4</xdr:col>
                    <xdr:colOff>0</xdr:colOff>
                    <xdr:row>26</xdr:row>
                    <xdr:rowOff>219075</xdr:rowOff>
                  </from>
                  <to>
                    <xdr:col>4</xdr:col>
                    <xdr:colOff>942975</xdr:colOff>
                    <xdr:row>28</xdr:row>
                    <xdr:rowOff>0</xdr:rowOff>
                  </to>
                </anchor>
              </controlPr>
            </control>
          </mc:Choice>
        </mc:AlternateContent>
        <mc:AlternateContent xmlns:mc="http://schemas.openxmlformats.org/markup-compatibility/2006">
          <mc:Choice Requires="x14">
            <control shapeId="4110" r:id="rId30" name="Option Button 14">
              <controlPr defaultSize="0" autoFill="0" autoLine="0" autoPict="0">
                <anchor moveWithCells="1">
                  <from>
                    <xdr:col>4</xdr:col>
                    <xdr:colOff>28575</xdr:colOff>
                    <xdr:row>27</xdr:row>
                    <xdr:rowOff>190500</xdr:rowOff>
                  </from>
                  <to>
                    <xdr:col>4</xdr:col>
                    <xdr:colOff>942975</xdr:colOff>
                    <xdr:row>28</xdr:row>
                    <xdr:rowOff>219075</xdr:rowOff>
                  </to>
                </anchor>
              </controlPr>
            </control>
          </mc:Choice>
        </mc:AlternateContent>
        <mc:AlternateContent xmlns:mc="http://schemas.openxmlformats.org/markup-compatibility/2006">
          <mc:Choice Requires="x14">
            <control shapeId="4117" r:id="rId31" name="Check Box 21">
              <controlPr defaultSize="0" autoFill="0" autoLine="0" autoPict="0">
                <anchor moveWithCells="1">
                  <from>
                    <xdr:col>2</xdr:col>
                    <xdr:colOff>2333625</xdr:colOff>
                    <xdr:row>22</xdr:row>
                    <xdr:rowOff>0</xdr:rowOff>
                  </from>
                  <to>
                    <xdr:col>3</xdr:col>
                    <xdr:colOff>771525</xdr:colOff>
                    <xdr:row>22</xdr:row>
                    <xdr:rowOff>190500</xdr:rowOff>
                  </to>
                </anchor>
              </controlPr>
            </control>
          </mc:Choice>
        </mc:AlternateContent>
        <mc:AlternateContent xmlns:mc="http://schemas.openxmlformats.org/markup-compatibility/2006">
          <mc:Choice Requires="x14">
            <control shapeId="4139" r:id="rId32" name="Check Box 43">
              <controlPr defaultSize="0" autoFill="0" autoLine="0" autoPict="0">
                <anchor moveWithCells="1">
                  <from>
                    <xdr:col>17</xdr:col>
                    <xdr:colOff>142875</xdr:colOff>
                    <xdr:row>16</xdr:row>
                    <xdr:rowOff>200025</xdr:rowOff>
                  </from>
                  <to>
                    <xdr:col>17</xdr:col>
                    <xdr:colOff>1247775</xdr:colOff>
                    <xdr:row>18</xdr:row>
                    <xdr:rowOff>9525</xdr:rowOff>
                  </to>
                </anchor>
              </controlPr>
            </control>
          </mc:Choice>
        </mc:AlternateContent>
        <mc:AlternateContent xmlns:mc="http://schemas.openxmlformats.org/markup-compatibility/2006">
          <mc:Choice Requires="x14">
            <control shapeId="4147" r:id="rId33" name="Drop Down 51">
              <controlPr defaultSize="0" autoLine="0" autoPict="0">
                <anchor moveWithCells="1">
                  <from>
                    <xdr:col>17</xdr:col>
                    <xdr:colOff>2486025</xdr:colOff>
                    <xdr:row>16</xdr:row>
                    <xdr:rowOff>28575</xdr:rowOff>
                  </from>
                  <to>
                    <xdr:col>17</xdr:col>
                    <xdr:colOff>3476625</xdr:colOff>
                    <xdr:row>16</xdr:row>
                    <xdr:rowOff>190500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7" id="{8AFD1779-4CBF-4DB0-AFC8-97396A7E85B4}">
            <x14:iconSet iconSet="3Arrows" custom="1">
              <x14:cfvo type="percent">
                <xm:f>0</xm:f>
              </x14:cfvo>
              <x14:cfvo type="num">
                <xm:f>$S$15*0.9</xm:f>
              </x14:cfvo>
              <x14:cfvo type="num" gte="0">
                <xm:f>$S$15</xm:f>
              </x14:cfvo>
              <x14:cfIcon iconSet="3Arrows" iconId="0"/>
              <x14:cfIcon iconSet="3Arrows" iconId="1"/>
              <x14:cfIcon iconSet="3Arrows" iconId="2"/>
            </x14:iconSet>
          </x14:cfRule>
          <xm:sqref>S24:S25</xm:sqref>
        </x14:conditionalFormatting>
      </x14:conditionalFormatting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9BAE-E57D-49FA-AC30-4613DFBCB6BC}">
  <sheetPr codeName="Tabelle42"/>
  <dimension ref="A1:T51"/>
  <sheetViews>
    <sheetView zoomScale="90" zoomScaleNormal="90" workbookViewId="0">
      <selection activeCell="G19" sqref="G19"/>
    </sheetView>
  </sheetViews>
  <sheetFormatPr baseColWidth="10" defaultColWidth="11" defaultRowHeight="14.25"/>
  <cols>
    <col min="1" max="1" width="4.625" customWidth="1"/>
    <col min="2" max="2" width="49.625" customWidth="1"/>
    <col min="3" max="3" width="12.625" customWidth="1"/>
    <col min="4" max="4" width="7.125" customWidth="1"/>
    <col min="5" max="5" width="12.625" customWidth="1"/>
    <col min="6" max="6" width="7.125" customWidth="1"/>
    <col min="7" max="7" width="12.375" customWidth="1"/>
    <col min="8" max="8" width="13.625" customWidth="1"/>
    <col min="9" max="9" width="12.375" customWidth="1"/>
    <col min="10" max="11" width="11.125" customWidth="1"/>
    <col min="12" max="12" width="14.125" customWidth="1"/>
    <col min="13" max="15" width="11.125" customWidth="1"/>
    <col min="16" max="17" width="11.625" customWidth="1"/>
    <col min="18" max="18" width="13.625" customWidth="1"/>
    <col min="19" max="19" width="11" customWidth="1"/>
  </cols>
  <sheetData>
    <row r="1" spans="1:18" ht="32.25" customHeight="1" thickTop="1" thickBot="1">
      <c r="B1" s="3959" t="s">
        <v>1827</v>
      </c>
      <c r="C1" s="3960"/>
      <c r="D1" s="3960"/>
      <c r="E1" s="3960"/>
      <c r="F1" s="3960"/>
      <c r="G1" s="3960"/>
      <c r="H1" s="3960"/>
      <c r="I1" s="3961"/>
      <c r="J1" s="64"/>
      <c r="K1" s="71"/>
      <c r="L1" s="846"/>
      <c r="M1" t="s">
        <v>217</v>
      </c>
      <c r="N1" s="846"/>
      <c r="O1" s="846"/>
    </row>
    <row r="2" spans="1:18" s="71" customFormat="1" ht="18" customHeight="1">
      <c r="A2" s="4007" t="s">
        <v>1983</v>
      </c>
      <c r="B2" s="4004" t="s">
        <v>1947</v>
      </c>
      <c r="C2" s="4005"/>
      <c r="D2" s="4005"/>
      <c r="E2" s="4005"/>
      <c r="F2" s="4006"/>
      <c r="G2" s="2173" t="str">
        <f>IFERROR(IF(G4&gt;0,"",IF(Dat_GebDat_M&gt;0,TEXT(Dat_GebDat_M,"TT.MM.JJJ")&amp;männlich,"")),"")</f>
        <v/>
      </c>
      <c r="H2" s="2133"/>
      <c r="I2" s="1774" t="str">
        <f>IFERROR(IF(I4&gt;0,"",IF(Dat_GebDat_F&gt;0,TEXT(Dat_GebDat_F,"TT.MM.JJJ")&amp;weiblich,"")),"")</f>
        <v/>
      </c>
      <c r="J2" s="64"/>
      <c r="K2" s="16">
        <f>IF(G3="m",1,IF(G3="w",2,3))</f>
        <v>1</v>
      </c>
      <c r="L2" s="16">
        <f>IF(I3="m",1,IF(I3="w",2,3))</f>
        <v>1</v>
      </c>
      <c r="M2" s="128" t="s">
        <v>263</v>
      </c>
      <c r="N2" s="846"/>
      <c r="O2" s="846"/>
    </row>
    <row r="3" spans="1:18" s="71" customFormat="1" ht="18" customHeight="1">
      <c r="A3" s="4007"/>
      <c r="B3" s="3470" t="s">
        <v>1948</v>
      </c>
      <c r="C3" s="3471"/>
      <c r="D3" s="3471"/>
      <c r="E3" s="3471"/>
      <c r="F3" s="3472"/>
      <c r="G3" s="1766" t="s">
        <v>217</v>
      </c>
      <c r="H3" s="2140"/>
      <c r="I3" s="1776" t="s">
        <v>217</v>
      </c>
      <c r="J3" s="64"/>
      <c r="L3" s="71" t="s">
        <v>190</v>
      </c>
      <c r="M3" s="128" t="s">
        <v>384</v>
      </c>
    </row>
    <row r="4" spans="1:18" s="71" customFormat="1" ht="18" customHeight="1">
      <c r="A4" s="4007"/>
      <c r="B4" s="3470" t="s">
        <v>1949</v>
      </c>
      <c r="C4" s="3471"/>
      <c r="D4" s="3471"/>
      <c r="E4" s="3471"/>
      <c r="F4" s="3472"/>
      <c r="G4" s="880">
        <v>27333</v>
      </c>
      <c r="H4" s="2132"/>
      <c r="I4" s="1777">
        <f>+G4</f>
        <v>27333</v>
      </c>
      <c r="J4" s="64"/>
      <c r="L4" s="1423" t="s">
        <v>1614</v>
      </c>
      <c r="M4" s="1423">
        <v>33238</v>
      </c>
      <c r="O4" s="1432" t="e">
        <f>ROUND(IF(#REF!&gt;M4,VLOOKUP(#REF!,VPI,3),VLOOKUP(#REF!,VPI,2)),2)</f>
        <v>#REF!</v>
      </c>
    </row>
    <row r="5" spans="1:18" s="71" customFormat="1" ht="18" customHeight="1">
      <c r="A5" s="4007"/>
      <c r="B5" s="3470" t="s">
        <v>1950</v>
      </c>
      <c r="C5" s="3471"/>
      <c r="D5" s="3471"/>
      <c r="E5" s="3471"/>
      <c r="F5" s="3472"/>
      <c r="G5" s="880">
        <v>45596</v>
      </c>
      <c r="H5" s="2132"/>
      <c r="I5" s="1777">
        <f>+G5</f>
        <v>45596</v>
      </c>
      <c r="J5" s="64"/>
      <c r="L5" s="1423"/>
      <c r="M5" s="1424" t="e">
        <f>ROUND(VLOOKUP(#REF!,VPI,3),2)</f>
        <v>#REF!</v>
      </c>
      <c r="N5" s="1423"/>
      <c r="O5" s="1432" t="e">
        <f>ROUND(IF(#REF!&gt;M4,VLOOKUP(#REF!,VPI,3),VLOOKUP(#REF!,VPI,2)),2)</f>
        <v>#REF!</v>
      </c>
    </row>
    <row r="6" spans="1:18" s="71" customFormat="1" ht="18" customHeight="1">
      <c r="A6" s="4007"/>
      <c r="B6" s="3470" t="s">
        <v>1951</v>
      </c>
      <c r="C6" s="3471"/>
      <c r="D6" s="3471"/>
      <c r="E6" s="3471"/>
      <c r="F6" s="3472"/>
      <c r="G6" s="316">
        <v>500</v>
      </c>
      <c r="H6" s="2141" t="s">
        <v>1968</v>
      </c>
      <c r="I6" s="1993">
        <v>7821</v>
      </c>
      <c r="J6" s="64"/>
      <c r="L6" s="71" t="s">
        <v>1833</v>
      </c>
      <c r="M6" s="619">
        <f>VLOOKUP(YEAR(G4),Regelaltersgrenze,3)</f>
        <v>67</v>
      </c>
      <c r="N6" s="619">
        <f>IF(DuD_RAltersgr1&lt;G11,0,ROUND(DuD_RAltersgr1-G11,2))</f>
        <v>15</v>
      </c>
      <c r="Q6" s="71">
        <f>VLOOKUP(G5,aktRW,2)</f>
        <v>39.32</v>
      </c>
    </row>
    <row r="7" spans="1:18" s="71" customFormat="1" ht="18" customHeight="1">
      <c r="A7" s="4007"/>
      <c r="B7" s="3470" t="str">
        <f>"6. Renteneintrittsalter (DRV: "&amp;TEXT(DuD_RAltersgr1,"0,00")&amp;" bzw. "&amp;TEXT(DuD_RAltersgr2,"0,00")&amp;" Jahre:"</f>
        <v>6. Renteneintrittsalter (DRV: 65,00 bzw. 65,00 Jahre:</v>
      </c>
      <c r="C7" s="3471"/>
      <c r="D7" s="3471"/>
      <c r="E7" s="3471"/>
      <c r="F7" s="3472"/>
      <c r="G7" s="873">
        <v>67</v>
      </c>
      <c r="H7" s="2142"/>
      <c r="I7" s="1778">
        <v>63</v>
      </c>
      <c r="J7" s="64"/>
      <c r="M7" s="619"/>
      <c r="N7" s="619"/>
      <c r="Q7" s="71">
        <f>VLOOKUP(G5,Umrechnungsfaktoren_BeitraginEP,2)</f>
        <v>1.185313E-4</v>
      </c>
    </row>
    <row r="8" spans="1:18" s="71" customFormat="1" ht="18" customHeight="1">
      <c r="A8" s="4007"/>
      <c r="B8" s="3470" t="s">
        <v>1952</v>
      </c>
      <c r="C8" s="3471"/>
      <c r="D8" s="3471"/>
      <c r="E8" s="3471"/>
      <c r="F8" s="3472"/>
      <c r="G8" s="426">
        <v>2.5999999999999999E-2</v>
      </c>
      <c r="H8" s="2143"/>
      <c r="I8" s="1779">
        <v>2.5999999999999999E-2</v>
      </c>
      <c r="J8" s="64"/>
      <c r="N8" s="16">
        <v>2</v>
      </c>
      <c r="Q8" s="71">
        <f>VLOOKUP(G5,UmrechnungEP_Kap,2)</f>
        <v>8436.5879999999997</v>
      </c>
    </row>
    <row r="9" spans="1:18" s="71" customFormat="1" ht="18" customHeight="1">
      <c r="A9" s="4007"/>
      <c r="B9" s="3470" t="s">
        <v>1953</v>
      </c>
      <c r="C9" s="3471"/>
      <c r="D9" s="3471"/>
      <c r="E9" s="3471"/>
      <c r="F9" s="3472"/>
      <c r="G9" s="426">
        <v>2.5999999999999999E-2</v>
      </c>
      <c r="H9" s="2143"/>
      <c r="I9" s="1779">
        <v>2.5999999999999999E-2</v>
      </c>
      <c r="J9" s="64"/>
      <c r="L9" s="539" t="s">
        <v>192</v>
      </c>
      <c r="M9" s="1332">
        <f>VLOOKUP(G5,BilmoGZins,16)/100</f>
        <v>1.9299999999999998E-2</v>
      </c>
      <c r="N9" s="539"/>
    </row>
    <row r="10" spans="1:18" s="71" customFormat="1" ht="18" customHeight="1">
      <c r="A10" s="4007"/>
      <c r="B10" s="2169" t="s">
        <v>1981</v>
      </c>
      <c r="C10" s="1660" t="s">
        <v>1970</v>
      </c>
      <c r="D10" s="1625">
        <v>1</v>
      </c>
      <c r="E10" s="1660" t="s">
        <v>1969</v>
      </c>
      <c r="F10" s="1625">
        <v>0.6</v>
      </c>
      <c r="G10" s="426"/>
      <c r="H10" s="2143"/>
      <c r="I10" s="1779"/>
      <c r="J10" s="64"/>
      <c r="L10" s="539"/>
      <c r="M10" s="1332"/>
      <c r="N10" s="539"/>
    </row>
    <row r="11" spans="1:18" s="71" customFormat="1" ht="18" customHeight="1">
      <c r="A11" s="4007"/>
      <c r="B11" s="3470" t="s">
        <v>1954</v>
      </c>
      <c r="C11" s="3471"/>
      <c r="D11" s="3471"/>
      <c r="E11" s="3471"/>
      <c r="F11" s="3472"/>
      <c r="G11" s="2174">
        <f>YEARFRAC(G4,G5,0)</f>
        <v>50</v>
      </c>
      <c r="H11" s="2144"/>
      <c r="I11" s="1780">
        <f>YEARFRAC(I4,I5,0)</f>
        <v>50</v>
      </c>
      <c r="J11" s="64"/>
      <c r="L11" s="975" t="s">
        <v>193</v>
      </c>
      <c r="M11" s="1332">
        <f>VLOOKUP(G5,BilMoG10,16)/100</f>
        <v>1.8799999999999997E-2</v>
      </c>
      <c r="N11" s="539"/>
      <c r="Q11" s="71">
        <f>VLOOKUP(G5,aktRW,2)*(1-(DuD_RAltersgr1-G7)*12*0.003)</f>
        <v>42.151040000000002</v>
      </c>
    </row>
    <row r="12" spans="1:18" s="71" customFormat="1" ht="18" customHeight="1">
      <c r="A12" s="4007"/>
      <c r="B12" s="3470" t="s">
        <v>1958</v>
      </c>
      <c r="C12" s="3471"/>
      <c r="D12" s="3471"/>
      <c r="E12" s="3471"/>
      <c r="F12" s="3472"/>
      <c r="G12" s="2174">
        <f>ROUND(IF(G11&lt;G7,G7-G11,0),2)</f>
        <v>17</v>
      </c>
      <c r="H12" s="2144"/>
      <c r="I12" s="1780">
        <f>IF(I11&lt;I7,I7-I11,0)</f>
        <v>13</v>
      </c>
      <c r="J12" s="64"/>
      <c r="L12" s="975" t="s">
        <v>1835</v>
      </c>
      <c r="M12" s="539"/>
      <c r="N12" s="539"/>
    </row>
    <row r="13" spans="1:18" s="71" customFormat="1" ht="18" customHeight="1">
      <c r="A13" s="4007"/>
      <c r="B13" s="3470" t="s">
        <v>1959</v>
      </c>
      <c r="C13" s="3471"/>
      <c r="D13" s="3471"/>
      <c r="E13" s="3471"/>
      <c r="F13" s="3472"/>
      <c r="G13" s="2174">
        <f>IFERROR(ROUND(VLOOKUP(IF(G7&lt;G11,G11,G7),CHOOSE(K2,Lebenserwartung_M_V2,Lebenserwartung_F_V2,Lebenserwartung_N_V2),YEAR(G4)+IF(MONTH(G4)&gt;6,1,0)-1900+2),2),"")</f>
        <v>20.07</v>
      </c>
      <c r="H13" s="2144"/>
      <c r="I13" s="1780">
        <f>IFERROR(ROUND(VLOOKUP(IF(I7&lt;I11,I11,I7),CHOOSE(L2,Lebenserwartung_M_V2,Lebenserwartung_F_V2,Lebenserwartung_N_V2),YEAR(I4)+IF(MONTH(I4)&gt;6,1,0)-1900+2),3),"")</f>
        <v>23.138000000000002</v>
      </c>
      <c r="J13" s="64"/>
      <c r="L13" s="975" t="s">
        <v>617</v>
      </c>
      <c r="M13" s="1332">
        <f>IF(G17&gt;0,G17,CHOOSE(N8,M9,M11,G17))</f>
        <v>1.8700000000000001E-2</v>
      </c>
      <c r="N13" s="1332">
        <f>IF(I17&gt;0,I17,CHOOSE(N8,M9,M11,I17))</f>
        <v>0.06</v>
      </c>
      <c r="Q13" s="71">
        <f>DuD_RAltersgr1</f>
        <v>65</v>
      </c>
    </row>
    <row r="14" spans="1:18" s="71" customFormat="1" ht="18" customHeight="1" thickBot="1">
      <c r="A14" s="4007"/>
      <c r="B14" s="3470" t="s">
        <v>1962</v>
      </c>
      <c r="C14" s="3471"/>
      <c r="D14" s="3471"/>
      <c r="E14" s="3471"/>
      <c r="F14" s="3472"/>
      <c r="G14" s="2175">
        <f>ROUND(G6*(1+G8)^(G12),2)</f>
        <v>773.53</v>
      </c>
      <c r="H14" s="2145"/>
      <c r="I14" s="1782">
        <f>-PMT(I17-I9,I13,I6*(1+I17)^I12)/12</f>
        <v>87.745279011252066</v>
      </c>
      <c r="J14" s="64"/>
      <c r="L14" s="71" t="e">
        <f>+#REF!</f>
        <v>#REF!</v>
      </c>
    </row>
    <row r="15" spans="1:18" s="71" customFormat="1" ht="24" customHeight="1" thickTop="1" thickBot="1">
      <c r="A15" s="4007"/>
      <c r="B15" s="4008" t="s">
        <v>1971</v>
      </c>
      <c r="C15" s="4009"/>
      <c r="D15" s="4009"/>
      <c r="E15" s="4009"/>
      <c r="F15" s="4010"/>
      <c r="G15" s="253">
        <f>-PV(-G9,G13,G14*12,,1)</f>
        <v>242287.18091465105</v>
      </c>
      <c r="H15" s="2146"/>
      <c r="I15" s="1788">
        <f>-PV(-I9,I13,I14*12,,1)</f>
        <v>33117.828259175942</v>
      </c>
      <c r="J15" s="2124"/>
      <c r="K15" s="71">
        <f>+I6*G15/I15</f>
        <v>57217.762804493643</v>
      </c>
      <c r="L15" s="71" t="s">
        <v>930</v>
      </c>
      <c r="M15" s="64" t="e">
        <f>VLOOKUP(EzE_P,aktRW,IF(Dies_und_Das_Ost,3,2))</f>
        <v>#N/A</v>
      </c>
      <c r="O15" s="71" t="s">
        <v>1698</v>
      </c>
      <c r="Q15" s="71">
        <f>+(1-(DuD_RAltersgr1-G7)*12*0.003)</f>
        <v>1.0720000000000001</v>
      </c>
      <c r="R15" s="153">
        <f>(((1+G9)^G13-1)/G9)*G14*12</f>
        <v>240588.90830895567</v>
      </c>
    </row>
    <row r="16" spans="1:18" s="71" customFormat="1" ht="18" customHeight="1">
      <c r="A16" s="4007"/>
      <c r="B16" s="3470" t="s">
        <v>1955</v>
      </c>
      <c r="C16" s="3471"/>
      <c r="D16" s="3471"/>
      <c r="E16" s="3471"/>
      <c r="F16" s="3472"/>
      <c r="G16" s="2176">
        <f>+G15/12/G13</f>
        <v>1006.0088893649355</v>
      </c>
      <c r="H16" s="2147"/>
      <c r="I16" s="1785">
        <f>IFERROR(+I15/I13/12,"")</f>
        <v>119.27647253859431</v>
      </c>
      <c r="J16" s="64"/>
      <c r="L16" s="71" t="s">
        <v>931</v>
      </c>
      <c r="M16" s="64" t="e">
        <f>VLOOKUP(EzE_P,Umrechnungsfaktoren_BeitraginEP,IF(Dies_und_Das_Ost,3,2))</f>
        <v>#N/A</v>
      </c>
      <c r="O16" s="71" t="s">
        <v>1699</v>
      </c>
    </row>
    <row r="17" spans="1:20" s="71" customFormat="1" ht="18" customHeight="1">
      <c r="A17" s="4007"/>
      <c r="B17" s="3381" t="str">
        <f>"15.ReZins f. BW-Berechnung: "&amp;TEXT(M13,"0,00%")</f>
        <v>15.ReZins f. BW-Berechnung: 1,87%</v>
      </c>
      <c r="C17" s="4011"/>
      <c r="D17" s="4011"/>
      <c r="E17" s="4011"/>
      <c r="F17" s="3382"/>
      <c r="G17" s="426">
        <v>1.8700000000000001E-2</v>
      </c>
      <c r="H17" s="2143"/>
      <c r="I17" s="1779">
        <v>0.06</v>
      </c>
      <c r="J17" s="64"/>
      <c r="L17" s="71" t="s">
        <v>1318</v>
      </c>
      <c r="M17" s="16" t="b">
        <v>0</v>
      </c>
      <c r="O17" s="71" t="s">
        <v>228</v>
      </c>
    </row>
    <row r="18" spans="1:20" s="71" customFormat="1" ht="18" customHeight="1">
      <c r="A18" s="4007"/>
      <c r="B18" s="3381" t="s">
        <v>1956</v>
      </c>
      <c r="C18" s="4011"/>
      <c r="D18" s="4011"/>
      <c r="E18" s="4011"/>
      <c r="F18" s="3382"/>
      <c r="G18" s="2177">
        <f>+N29</f>
        <v>0.89049999999999996</v>
      </c>
      <c r="H18" s="2143"/>
      <c r="I18" s="1779"/>
      <c r="J18" s="64"/>
      <c r="M18" s="16"/>
    </row>
    <row r="19" spans="1:20" s="2161" customFormat="1" ht="24" customHeight="1">
      <c r="A19" s="4007"/>
      <c r="B19" s="4012" t="str">
        <f>"17. Barwert der Altersrente der Quellversorgung (AusglWert) berechnet mit "&amp;TEXT(M13,"0,00%")&amp;": "</f>
        <v xml:space="preserve">17. Barwert der Altersrente der Quellversorgung (AusglWert) berechnet mit 1,87%: </v>
      </c>
      <c r="C19" s="4013"/>
      <c r="D19" s="4013"/>
      <c r="E19" s="4013"/>
      <c r="F19" s="4014"/>
      <c r="G19" s="2178">
        <f>IFERROR(ROUND(-PV(G17-G8,G12,,-PV(G17-G9,G13,G14*12)),)*(1+N33)*N29,"")</f>
        <v>263197.82519875001</v>
      </c>
      <c r="H19" s="2158"/>
      <c r="I19" s="2159">
        <f>IFERROR(IF(DuD_VVR1,IF(I11&gt;I7,1,ROUND(VLOOKUP(I7,CHOOSE(L2,G_Kohorte_M,G_Kohorte_F,G_Kohorte_N),YEAR(I4)+IF(MONTH(I4)&gt;6,1,0)-1900+2)/VLOOKUP(I11,CHOOSE(L2,G_Kohorte_M,G_Kohorte_F,G_Kohorte_N),YEAR(I4)+IF(MONTH(I4)&gt;6,1,0)-1900+2),4)),1),"")</f>
        <v>1</v>
      </c>
      <c r="J19" s="2160"/>
      <c r="L19" s="2161" t="s">
        <v>1829</v>
      </c>
      <c r="M19" s="2162" t="b">
        <v>1</v>
      </c>
      <c r="O19" s="2161" t="s">
        <v>269</v>
      </c>
      <c r="Q19" s="2171">
        <f>-PV(G17-G9,G13,G14*12)</f>
        <v>201427.22201264903</v>
      </c>
      <c r="R19" s="314"/>
      <c r="S19" s="71"/>
      <c r="T19" s="71"/>
    </row>
    <row r="20" spans="1:20" s="71" customFormat="1" ht="18" customHeight="1">
      <c r="A20" s="4007"/>
      <c r="B20" s="3999" t="s">
        <v>1957</v>
      </c>
      <c r="C20" s="3423"/>
      <c r="D20" s="3423"/>
      <c r="E20" s="3423"/>
      <c r="F20" s="3424"/>
      <c r="G20" s="2126"/>
      <c r="H20" s="2148"/>
      <c r="I20" s="2122" t="str">
        <f>IFERROR(ROUND(-PV(N13-I8,I12,,-PV(N13-I9,I13,#REF!*12))*(1+N33)*N29,0),"")</f>
        <v/>
      </c>
      <c r="J20" s="2124"/>
      <c r="Q20" s="153"/>
      <c r="R20" s="153"/>
    </row>
    <row r="21" spans="1:20" s="71" customFormat="1" ht="18" customHeight="1">
      <c r="B21" s="3999"/>
      <c r="C21" s="3423"/>
      <c r="D21" s="3423"/>
      <c r="E21" s="3423"/>
      <c r="F21" s="3424"/>
      <c r="G21" s="2188">
        <f>IF(G20=0,+G19,G20)</f>
        <v>263197.82519875001</v>
      </c>
      <c r="H21" s="2153"/>
      <c r="I21" s="2129"/>
      <c r="J21" s="64"/>
      <c r="K21" s="2152">
        <f>+G20/G19</f>
        <v>0</v>
      </c>
      <c r="L21" t="s">
        <v>255</v>
      </c>
      <c r="M21" s="4" t="s">
        <v>217</v>
      </c>
      <c r="N21" s="4">
        <f>IF(M21="m",1,IF(M21="w",2,3))</f>
        <v>1</v>
      </c>
      <c r="O21" s="153">
        <f>+G19*G15/G28</f>
        <v>107282.11418227617</v>
      </c>
      <c r="Q21" s="153"/>
      <c r="R21" s="153"/>
    </row>
    <row r="22" spans="1:20" s="71" customFormat="1" ht="18" customHeight="1">
      <c r="B22" s="3323" t="str">
        <f>"19. DRV-Rente zum Berechnungszeitpunkt "&amp;TEXT(G5,"TT.MM.JJJJ")&amp;IF(G7&lt;DuD_RAltersgr1,", ","")</f>
        <v>19. DRV-Rente zum Berechnungszeitpunkt 31.10.2024</v>
      </c>
      <c r="C22" s="3309"/>
      <c r="D22" s="3309"/>
      <c r="E22" s="3309"/>
      <c r="F22" s="3310"/>
      <c r="G22" s="2179">
        <f>ROUND(G21*VLOOKUP(G5,Umrechnungsfaktoren_BeitraginEP,2)*VLOOKUP(G5,aktRW,2),2)</f>
        <v>1226.67</v>
      </c>
      <c r="H22" s="2153"/>
      <c r="I22" s="2129"/>
      <c r="J22" s="64"/>
      <c r="K22" s="2152"/>
      <c r="L22" t="s">
        <v>1963</v>
      </c>
      <c r="M22" s="4">
        <f>ROUND(YEARFRAC(G4,G5,3),2)</f>
        <v>50.04</v>
      </c>
      <c r="N22" s="4" t="s">
        <v>217</v>
      </c>
      <c r="O22" s="153"/>
      <c r="Q22" s="153"/>
      <c r="R22" s="153"/>
    </row>
    <row r="23" spans="1:20" s="71" customFormat="1" ht="18" customHeight="1">
      <c r="B23" s="2170" t="str">
        <f>"Regel-Renteneintrittsalter: "</f>
        <v xml:space="preserve">Regel-Renteneintrittsalter: </v>
      </c>
      <c r="C23" s="2186">
        <f>+M6</f>
        <v>67</v>
      </c>
      <c r="D23" s="3309" t="s">
        <v>1984</v>
      </c>
      <c r="E23" s="3309"/>
      <c r="F23" s="2187"/>
      <c r="G23" s="2189">
        <f>IF(F23&gt;0,F23,M6)</f>
        <v>67</v>
      </c>
      <c r="H23" s="2153"/>
      <c r="I23" s="2129"/>
      <c r="J23" s="64"/>
      <c r="K23" s="2152"/>
      <c r="L23"/>
      <c r="M23" s="4"/>
      <c r="N23" s="4"/>
      <c r="O23" s="153"/>
      <c r="Q23" s="153"/>
      <c r="R23" s="153"/>
    </row>
    <row r="24" spans="1:20" s="71" customFormat="1" ht="18" customHeight="1">
      <c r="B24" s="3323" t="str">
        <f>"20. DRV-Rente zum Zeitpunkt des Renteneintritt, Dynamik: "&amp;TEXT(IF(F24&gt;0,F24,RententrendDRV),"0,00%")</f>
        <v>20. DRV-Rente zum Zeitpunkt des Renteneintritt, Dynamik: 2,60%</v>
      </c>
      <c r="C24" s="3309"/>
      <c r="D24" s="3309"/>
      <c r="E24" s="3310"/>
      <c r="F24" s="2165"/>
      <c r="G24" s="2179">
        <f>ROUND(G22*(1+IF(F24&gt;0,F24,K24))^IF(G23&lt;G11,0,G23-G11),2)</f>
        <v>1897.72</v>
      </c>
      <c r="H24" s="2149"/>
      <c r="I24" s="2130" t="e">
        <f>IF(I21&gt;0,I21,I20)*VLOOKUP(I5,Umrechnungsfaktoren_BeitraginEP,2)*VLOOKUP(I5,aktRW,2)*(1-(DuD_RAltersgr1-I7)*12*0.003)*(1+RententrendDRV)^I12</f>
        <v>#VALUE!</v>
      </c>
      <c r="J24" s="2124"/>
      <c r="K24" s="71">
        <f>IF(F24&gt;0,F24,RententrendDRV)</f>
        <v>2.5999999999999999E-2</v>
      </c>
      <c r="L24" t="s">
        <v>1409</v>
      </c>
      <c r="M24" s="4"/>
      <c r="N24" s="4" t="s">
        <v>263</v>
      </c>
      <c r="Q24" s="153"/>
      <c r="R24" s="153"/>
    </row>
    <row r="25" spans="1:20" s="71" customFormat="1" ht="18" customHeight="1">
      <c r="B25" s="3308" t="str">
        <f>IF(G23&lt;G11,"","Verminderung wg.vorzeitigem Renteneintrittsalter ("&amp;TEXT(G24,"0,00")&amp;" x (1 - "&amp;TEXT((M6-G7)*12,"0")&amp;" x 0,3%) - § 77 SGB VI ")</f>
        <v xml:space="preserve">Verminderung wg.vorzeitigem Renteneintrittsalter (1897,72 x (1 - 0 x 0,3%) - § 77 SGB VI </v>
      </c>
      <c r="C25" s="4015"/>
      <c r="D25" s="4015"/>
      <c r="E25" s="4015"/>
      <c r="F25" s="4016"/>
      <c r="G25" s="2180">
        <f>ROUND(+(1-(M6-G7)*12*0.003)*G24,2)</f>
        <v>1897.72</v>
      </c>
      <c r="H25" s="2149"/>
      <c r="I25" s="2130"/>
      <c r="J25" s="2124"/>
      <c r="M25" s="128"/>
      <c r="N25" s="4" t="s">
        <v>1378</v>
      </c>
      <c r="O25" s="2152"/>
      <c r="Q25" s="1709"/>
      <c r="R25" s="153"/>
    </row>
    <row r="26" spans="1:20" s="2161" customFormat="1" ht="24" customHeight="1">
      <c r="B26" s="3464" t="s">
        <v>1961</v>
      </c>
      <c r="C26" s="3465"/>
      <c r="D26" s="3465"/>
      <c r="E26" s="3465"/>
      <c r="F26" s="3466"/>
      <c r="G26" s="2181">
        <f>-PV(G17-K24,G12,,-PV(G17-K24,G13,G22*12))*(1+N33)*N29</f>
        <v>417381.99902711192</v>
      </c>
      <c r="I26" s="2166"/>
      <c r="J26" s="2167"/>
      <c r="O26" s="2168"/>
      <c r="P26" s="2172">
        <f>-PV(G17-K24,G13,G25*12)</f>
        <v>494166.31256427575</v>
      </c>
      <c r="Q26" s="1709"/>
      <c r="S26" s="71"/>
      <c r="T26" s="71"/>
    </row>
    <row r="27" spans="1:20" s="71" customFormat="1" ht="18" customHeight="1">
      <c r="B27" s="4017" t="str">
        <f>"21. KoKa DRV zum "&amp;TEXT(G5,"TT.MM.JJJJ")</f>
        <v>21. KoKa DRV zum 31.10.2024</v>
      </c>
      <c r="C27" s="4018"/>
      <c r="D27" s="4018"/>
      <c r="E27" s="4018"/>
      <c r="F27" s="4019"/>
      <c r="G27" s="2182">
        <f>IFERROR(ROUND(G22/VLOOKUP(G5,aktRW,2),4)*VLOOKUP(G5,UmrechnungEP_Kap,2),"")</f>
        <v>263197.07949480001</v>
      </c>
      <c r="H27" s="2150"/>
      <c r="I27" s="2131" t="e">
        <f>-PV(N13-RententrendDRV,I13,I24*12)</f>
        <v>#VALUE!</v>
      </c>
      <c r="J27" s="2124"/>
      <c r="L27" s="2644" t="s">
        <v>1482</v>
      </c>
      <c r="M27" s="2644" t="s">
        <v>1483</v>
      </c>
      <c r="N27" s="2644" t="s">
        <v>1361</v>
      </c>
      <c r="P27" s="153"/>
    </row>
    <row r="28" spans="1:20" s="799" customFormat="1" ht="24" customHeight="1">
      <c r="B28" s="3464" t="s">
        <v>1972</v>
      </c>
      <c r="C28" s="3465"/>
      <c r="D28" s="3465"/>
      <c r="E28" s="3465"/>
      <c r="F28" s="3466"/>
      <c r="G28" s="2183">
        <f>-PV(-RententrendDRV,G13,G25*12,,1)</f>
        <v>594409.04549965938</v>
      </c>
      <c r="I28" s="2163">
        <f>IFERROR(ROUND(I6/VLOOKUP(I5,aktRW,2),4)*VLOOKUP(I5,UmrechnungEP_Kap,2),"")</f>
        <v>1678091.3473631998</v>
      </c>
      <c r="J28" s="2164"/>
      <c r="L28" s="2645"/>
      <c r="M28" s="2645"/>
      <c r="N28" s="2645"/>
      <c r="S28" s="71"/>
      <c r="T28" s="71"/>
    </row>
    <row r="29" spans="1:20" s="71" customFormat="1" ht="18" customHeight="1">
      <c r="B29" s="3990" t="s">
        <v>1973</v>
      </c>
      <c r="C29" s="3990"/>
      <c r="D29" s="3990"/>
      <c r="E29" s="3990"/>
      <c r="F29" s="3990"/>
      <c r="G29" s="3991"/>
      <c r="H29" s="2149"/>
      <c r="I29" s="4002" t="e">
        <f>-PV(-RententrendDRV,I13,I24*12)</f>
        <v>#VALUE!</v>
      </c>
      <c r="J29" s="2123"/>
      <c r="K29" s="71" t="s">
        <v>1977</v>
      </c>
      <c r="L29" s="1522">
        <f>IFERROR(VLOOKUP(ROUND(G7,0),CHOOSE(N21,G_Kohorte_M,G_Kohorte_F,G_Kohorte_N),YEAR(G4)+IF(MONTH(G4)&gt;6,1,0)-1900+2),0)</f>
        <v>83237.14047117329</v>
      </c>
      <c r="M29" s="1522">
        <f>IFERROR(VLOOKUP(ROUND(G11,0),CHOOSE(N21,G_Kohorte_M,G_Kohorte_F,G_Kohorte_N),YEAR(G4)+IF(MONTH(G4)&gt;6,1,0)-1900+2),0)</f>
        <v>93470.847683939166</v>
      </c>
      <c r="N29" s="1521">
        <f>+IFERROR(ROUND(IF(L29/M29&gt;1,1,L29/M29),4),0)</f>
        <v>0.89049999999999996</v>
      </c>
      <c r="P29" s="153"/>
    </row>
    <row r="30" spans="1:20" s="71" customFormat="1" ht="18" customHeight="1" thickBot="1">
      <c r="B30" s="3992" t="str">
        <f>"Der vom Versorgungsträger mitgeteilte Ausgleichswert in Höhe von "&amp;TEXT(G21,"#.##0 €")&amp;" führt bei externer Teilung der Versorgung in die gesetzliche Rentenversicherung zu folgenden Ergebnissen:"</f>
        <v>Der vom Versorgungsträger mitgeteilte Ausgleichswert in Höhe von 263.198 € führt bei externer Teilung der Versorgung in die gesetzliche Rentenversicherung zu folgenden Ergebnissen:</v>
      </c>
      <c r="C30" s="3993"/>
      <c r="D30" s="3993"/>
      <c r="E30" s="3993"/>
      <c r="F30" s="3993"/>
      <c r="G30" s="3994"/>
      <c r="H30" s="2151"/>
      <c r="I30" s="4003"/>
      <c r="J30" s="2124"/>
      <c r="K30" s="71" t="s">
        <v>1979</v>
      </c>
      <c r="L30" s="1522">
        <f>IFERROR(VLOOKUP(ROUND(G7,0),CHOOSE(N21,G_Kohorte_M,G_Kohorte_F,G_Kohorte_N),YEAR(G4)+IF(MONTH(G4)&gt;6,1,0)-1900+2),0)</f>
        <v>83237.14047117329</v>
      </c>
      <c r="M30" s="1522">
        <f>+M29</f>
        <v>93470.847683939166</v>
      </c>
      <c r="N30" s="1521">
        <f>IFERROR(+L30/M30,"")</f>
        <v>0.89051444951724446</v>
      </c>
    </row>
    <row r="31" spans="1:20" ht="15" customHeight="1" thickTop="1">
      <c r="B31" s="3992"/>
      <c r="C31" s="3993"/>
      <c r="D31" s="3993"/>
      <c r="E31" s="3993"/>
      <c r="F31" s="3993"/>
      <c r="G31" s="3994"/>
      <c r="H31" s="2139"/>
      <c r="I31" s="2139"/>
      <c r="J31" s="2124"/>
      <c r="K31" s="71"/>
      <c r="L31" s="2644" t="s">
        <v>1964</v>
      </c>
      <c r="M31" s="2644" t="s">
        <v>1965</v>
      </c>
      <c r="N31" s="2644" t="s">
        <v>1966</v>
      </c>
      <c r="O31" s="71"/>
      <c r="S31" s="71"/>
      <c r="T31" s="71"/>
    </row>
    <row r="32" spans="1:20" ht="15" customHeight="1">
      <c r="B32" s="3995" t="s">
        <v>1974</v>
      </c>
      <c r="C32" s="2979" t="s">
        <v>559</v>
      </c>
      <c r="D32" s="2979"/>
      <c r="E32" s="4000"/>
      <c r="F32" s="2979" t="s">
        <v>1976</v>
      </c>
      <c r="G32" s="3997"/>
      <c r="L32" s="2645"/>
      <c r="M32" s="2645"/>
      <c r="N32" s="2645"/>
      <c r="S32" s="71"/>
      <c r="T32" s="71"/>
    </row>
    <row r="33" spans="2:20">
      <c r="B33" s="3995"/>
      <c r="C33" s="3996">
        <f>IF(G26&gt;G21,G26/G21,G21/G26)-1</f>
        <v>0.58581097207749333</v>
      </c>
      <c r="D33" s="3996"/>
      <c r="E33" s="4001"/>
      <c r="F33" s="3996">
        <f>G15/G28</f>
        <v>0.40761018485340311</v>
      </c>
      <c r="G33" s="3998"/>
      <c r="H33" s="1476"/>
      <c r="K33" t="s">
        <v>1977</v>
      </c>
      <c r="L33" s="1520">
        <f>ROUND(VLOOKUP(G11,CHOOSE(IF(G7&lt;60,60,IF(G7&gt;67,67,G7))-59,HRIR60,HRIR61,HRIR62,HRIR63,HRIR64,HRIR,HRIR66,HRIR67),CHOOSE(N21,7,16,25))*D10,4)</f>
        <v>9.4299999999999995E-2</v>
      </c>
      <c r="M33" s="1520">
        <f>ROUND(VLOOKUP(G11,CHOOSE(IF(G7&lt;60,60,IF(G7&gt;67,67,G7))-59,HRIR60,HRIR61,HRIR62,HRIR63,HRIR64,HRIR,HRIR66,HRIR67),CHOOSE(N21,8,17,26))*F10,4)</f>
        <v>0.20119999999999999</v>
      </c>
      <c r="N33" s="1520">
        <f>+M33+L33</f>
        <v>0.29549999999999998</v>
      </c>
      <c r="S33" s="71"/>
      <c r="T33" s="71"/>
    </row>
    <row r="34" spans="2:20" ht="16.5" customHeight="1">
      <c r="B34" s="2184" t="str">
        <f>"Der Ausgleichswert von "&amp;TEXT(G21,"#.##0")&amp;" ist daher zu erhöhen auf:"</f>
        <v>Der Ausgleichswert von 263.198 ist daher zu erhöhen auf:</v>
      </c>
      <c r="C34" s="3987">
        <f>+G21*G19/G26</f>
        <v>165970.4907035341</v>
      </c>
      <c r="D34" s="3987"/>
      <c r="E34" s="2185" t="s">
        <v>1975</v>
      </c>
      <c r="F34" s="3988">
        <f>G21*G15/G28</f>
        <v>107282.11418227617</v>
      </c>
      <c r="G34" s="3989"/>
      <c r="H34" s="58"/>
      <c r="K34" t="s">
        <v>1978</v>
      </c>
      <c r="L34" s="1520">
        <f>ROUND(VLOOKUP(G11,CHOOSE(IF(G7&lt;60,60,IF(G7&gt;67,67,G7))-59,HRIR60,HRIR61,HRIR62,HRIR63,HRIR64,HRIR,HRIR66,HRIR67),CHOOSE(N21,7,16,25)),4)</f>
        <v>9.4299999999999995E-2</v>
      </c>
      <c r="M34" s="1520">
        <f>ROUND(VLOOKUP(G11,CHOOSE(IF(G7&lt;60,60,IF(G7&gt;67,67,G7))-59,HRIR60,HRIR61,HRIR62,HRIR63,HRIR64,HRIR,HRIR66,HRIR67),CHOOSE(N21,8,17,26))*0.55,4)</f>
        <v>0.18440000000000001</v>
      </c>
      <c r="N34" s="1520">
        <f>+M34+L34</f>
        <v>0.2787</v>
      </c>
    </row>
    <row r="35" spans="2:20" ht="15">
      <c r="B35" s="2184" t="s">
        <v>1980</v>
      </c>
      <c r="C35" s="3987">
        <f>+C34-G21</f>
        <v>-97227.33449521591</v>
      </c>
      <c r="D35" s="3987"/>
      <c r="E35" s="2185"/>
      <c r="F35" s="3988">
        <f>+F34-G21</f>
        <v>-155915.71101647383</v>
      </c>
      <c r="G35" s="3989"/>
      <c r="H35" s="58"/>
      <c r="M35" s="148"/>
    </row>
    <row r="36" spans="2:20" ht="15">
      <c r="B36" s="2184" t="s">
        <v>1982</v>
      </c>
      <c r="C36" s="3987">
        <f>+G21</f>
        <v>263197.82519875001</v>
      </c>
      <c r="D36" s="3987"/>
      <c r="E36" s="2185"/>
      <c r="F36" s="3988">
        <f>+G21</f>
        <v>263197.82519875001</v>
      </c>
      <c r="G36" s="3989"/>
      <c r="H36" s="4"/>
      <c r="M36" s="148"/>
    </row>
    <row r="37" spans="2:20">
      <c r="G37" s="1476"/>
      <c r="H37" s="1476"/>
    </row>
    <row r="38" spans="2:20">
      <c r="G38" s="1476"/>
      <c r="H38" s="1476"/>
    </row>
    <row r="39" spans="2:20">
      <c r="G39" s="1476"/>
      <c r="H39" s="1476"/>
    </row>
    <row r="40" spans="2:20">
      <c r="G40" s="1474"/>
      <c r="H40" s="1474"/>
    </row>
    <row r="41" spans="2:20" ht="15">
      <c r="B41" s="403"/>
      <c r="C41" s="403"/>
      <c r="D41" s="403"/>
      <c r="E41" s="403"/>
      <c r="F41" s="403"/>
      <c r="G41" s="2014"/>
      <c r="H41" s="2014"/>
    </row>
    <row r="42" spans="2:20">
      <c r="G42" s="2134"/>
      <c r="H42" s="2134"/>
    </row>
    <row r="43" spans="2:20">
      <c r="G43" s="2134"/>
      <c r="H43" s="2134"/>
      <c r="P43" s="1139" t="s">
        <v>1967</v>
      </c>
      <c r="Q43" s="1139" t="e">
        <f>VLOOKUP(YEAR(#REF!),Regelaltersgrenze,2)</f>
        <v>#REF!</v>
      </c>
      <c r="R43" s="2138" t="e">
        <f>DATE(YEAR(#REF!)+65,MONTH(#REF!+Q43)+1,1)</f>
        <v>#REF!</v>
      </c>
    </row>
    <row r="44" spans="2:20">
      <c r="I44" s="1709"/>
      <c r="P44" s="1139"/>
      <c r="Q44" s="1139"/>
      <c r="R44" s="2135"/>
    </row>
    <row r="45" spans="2:20">
      <c r="I45" s="1709"/>
      <c r="P45" s="2136"/>
      <c r="Q45" s="2136"/>
      <c r="R45" s="2137"/>
    </row>
    <row r="47" spans="2:20">
      <c r="G47" s="1709"/>
      <c r="H47" s="1709"/>
    </row>
    <row r="48" spans="2:20">
      <c r="G48" s="1171"/>
      <c r="H48" s="1171"/>
    </row>
    <row r="49" spans="7:8">
      <c r="G49" s="1709"/>
      <c r="H49" s="1709"/>
    </row>
    <row r="50" spans="7:8">
      <c r="G50" s="1709"/>
      <c r="H50" s="1709"/>
    </row>
    <row r="51" spans="7:8">
      <c r="G51" s="1709"/>
      <c r="H51" s="1709"/>
    </row>
  </sheetData>
  <sheetProtection algorithmName="SHA-512" hashValue="g1Hj5E3Bg7qdjT+7u3YT3kD5hKFyALIgphdLBP5hV7/2/v6iFd2bTk9VreGpXsJDcyhSpBSwM6/flkXNKVVm6w==" saltValue="rtt5JTWmyBRFK1p6M06K1A==" spinCount="100000" sheet="1" objects="1" scenarios="1" formatColumns="0" autoFilter="0"/>
  <mergeCells count="49">
    <mergeCell ref="A2:A20"/>
    <mergeCell ref="D23:E23"/>
    <mergeCell ref="N31:N32"/>
    <mergeCell ref="M27:M28"/>
    <mergeCell ref="L31:L32"/>
    <mergeCell ref="M31:M32"/>
    <mergeCell ref="B15:F15"/>
    <mergeCell ref="B17:F17"/>
    <mergeCell ref="B18:F18"/>
    <mergeCell ref="B19:F19"/>
    <mergeCell ref="B25:F25"/>
    <mergeCell ref="B26:F26"/>
    <mergeCell ref="B28:F28"/>
    <mergeCell ref="B20:F20"/>
    <mergeCell ref="B14:F14"/>
    <mergeCell ref="B27:F27"/>
    <mergeCell ref="B1:I1"/>
    <mergeCell ref="I29:I30"/>
    <mergeCell ref="L27:L28"/>
    <mergeCell ref="B2:F2"/>
    <mergeCell ref="B3:F3"/>
    <mergeCell ref="B4:F4"/>
    <mergeCell ref="B5:F5"/>
    <mergeCell ref="B6:F6"/>
    <mergeCell ref="B7:F7"/>
    <mergeCell ref="B8:F8"/>
    <mergeCell ref="B9:F9"/>
    <mergeCell ref="B11:F11"/>
    <mergeCell ref="B12:F12"/>
    <mergeCell ref="B13:F13"/>
    <mergeCell ref="B22:F22"/>
    <mergeCell ref="B16:F16"/>
    <mergeCell ref="B24:E24"/>
    <mergeCell ref="C36:D36"/>
    <mergeCell ref="F36:G36"/>
    <mergeCell ref="B21:F21"/>
    <mergeCell ref="E32:E33"/>
    <mergeCell ref="N27:N28"/>
    <mergeCell ref="C35:D35"/>
    <mergeCell ref="F35:G35"/>
    <mergeCell ref="B29:G29"/>
    <mergeCell ref="C34:D34"/>
    <mergeCell ref="B30:G31"/>
    <mergeCell ref="B32:B33"/>
    <mergeCell ref="C32:D32"/>
    <mergeCell ref="C33:D33"/>
    <mergeCell ref="F32:G32"/>
    <mergeCell ref="F33:G33"/>
    <mergeCell ref="F34:G34"/>
  </mergeCells>
  <conditionalFormatting sqref="G18 I19">
    <cfRule type="expression" dxfId="6" priority="7">
      <formula>G18=1</formula>
    </cfRule>
  </conditionalFormatting>
  <conditionalFormatting sqref="G17:H18">
    <cfRule type="expression" dxfId="5" priority="5">
      <formula>AND($AE$9=3,$Y$19="")</formula>
    </cfRule>
  </conditionalFormatting>
  <conditionalFormatting sqref="G3:I3">
    <cfRule type="expression" dxfId="4" priority="8">
      <formula>G3="d"</formula>
    </cfRule>
    <cfRule type="expression" dxfId="3" priority="9">
      <formula>G3="w"</formula>
    </cfRule>
    <cfRule type="expression" dxfId="2" priority="10">
      <formula>G3="m"</formula>
    </cfRule>
  </conditionalFormatting>
  <conditionalFormatting sqref="G3:I10">
    <cfRule type="expression" dxfId="1" priority="6">
      <formula>G3=""</formula>
    </cfRule>
  </conditionalFormatting>
  <conditionalFormatting sqref="I17:I18">
    <cfRule type="expression" dxfId="0" priority="4">
      <formula>AND(N8=3,I17="")</formula>
    </cfRule>
  </conditionalFormatting>
  <dataValidations count="2">
    <dataValidation type="list" allowBlank="1" showInputMessage="1" showErrorMessage="1" sqref="G3:I3" xr:uid="{2B3A6064-0899-4400-95D0-32935C96C2B6}">
      <formula1>$AD$1:$AD$3</formula1>
    </dataValidation>
    <dataValidation type="list" allowBlank="1" showInputMessage="1" showErrorMessage="1" sqref="M21" xr:uid="{6EA6D37D-1366-42D1-BDCB-AE6AA8E16155}">
      <formula1>$N$22:$N$25</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0292" r:id="rId4" name="Drop Down 4">
              <controlPr defaultSize="0" autoLine="0" autoPict="0">
                <anchor moveWithCells="1">
                  <from>
                    <xdr:col>6</xdr:col>
                    <xdr:colOff>2486025</xdr:colOff>
                    <xdr:row>16</xdr:row>
                    <xdr:rowOff>28575</xdr:rowOff>
                  </from>
                  <to>
                    <xdr:col>7</xdr:col>
                    <xdr:colOff>152400</xdr:colOff>
                    <xdr:row>16</xdr:row>
                    <xdr:rowOff>190500</xdr:rowOff>
                  </to>
                </anchor>
              </controlPr>
            </control>
          </mc:Choice>
        </mc:AlternateContent>
        <mc:AlternateContent xmlns:mc="http://schemas.openxmlformats.org/markup-compatibility/2006">
          <mc:Choice Requires="x14">
            <control shapeId="2060294" r:id="rId5" name="Drop Down 6">
              <controlPr defaultSize="0" autoLine="0" autoPict="0">
                <anchor moveWithCells="1">
                  <from>
                    <xdr:col>1</xdr:col>
                    <xdr:colOff>5857875</xdr:colOff>
                    <xdr:row>16</xdr:row>
                    <xdr:rowOff>28575</xdr:rowOff>
                  </from>
                  <to>
                    <xdr:col>3</xdr:col>
                    <xdr:colOff>28575</xdr:colOff>
                    <xdr:row>16</xdr:row>
                    <xdr:rowOff>190500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2712" id="{C57C4D9F-9AC8-403B-BA37-4E22AB291A77}">
            <x14:iconSet iconSet="3Arrows" custom="1">
              <x14:cfvo type="percent">
                <xm:f>0</xm:f>
              </x14:cfvo>
              <x14:cfvo type="num">
                <xm:f>$G$15*0.9</xm:f>
              </x14:cfvo>
              <x14:cfvo type="num" gte="0">
                <xm:f>$G$15</xm:f>
              </x14:cfvo>
              <x14:cfIcon iconSet="3Arrows" iconId="0"/>
              <x14:cfIcon iconSet="3Arrows" iconId="1"/>
              <x14:cfIcon iconSet="3Arrows" iconId="2"/>
            </x14:iconSet>
          </x14:cfRule>
          <xm:sqref>H31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2"/>
  <dimension ref="A1:BB201"/>
  <sheetViews>
    <sheetView topLeftCell="A26" workbookViewId="0">
      <pane ySplit="2655" topLeftCell="A134" activePane="bottomLeft"/>
      <selection activeCell="P1" sqref="P1:P1048576"/>
      <selection pane="bottomLeft" activeCell="C153" sqref="C153"/>
    </sheetView>
  </sheetViews>
  <sheetFormatPr baseColWidth="10" defaultColWidth="11.125" defaultRowHeight="14.25"/>
  <cols>
    <col min="2" max="15" width="5.625" style="128" customWidth="1"/>
    <col min="16" max="16" width="5.25" style="437" customWidth="1"/>
    <col min="17" max="51" width="5.625" style="128" customWidth="1"/>
  </cols>
  <sheetData>
    <row r="1" spans="1:54" ht="15">
      <c r="A1" s="116"/>
      <c r="B1" s="117"/>
      <c r="C1" s="117"/>
      <c r="D1" s="117"/>
      <c r="E1" s="117"/>
      <c r="F1" s="117"/>
      <c r="G1" s="117"/>
      <c r="H1" s="117"/>
      <c r="I1" s="117"/>
      <c r="J1" s="117"/>
      <c r="K1" s="117"/>
      <c r="L1" s="117"/>
      <c r="M1" s="117"/>
      <c r="N1" s="117"/>
      <c r="O1" s="117"/>
      <c r="P1" s="432"/>
      <c r="Q1" s="118"/>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row>
    <row r="2" spans="1:54" ht="15">
      <c r="A2" s="116"/>
      <c r="B2" s="117"/>
      <c r="C2" s="117"/>
      <c r="D2" s="117"/>
      <c r="E2" s="117"/>
      <c r="F2" s="117"/>
      <c r="G2" s="117"/>
      <c r="H2" s="117"/>
      <c r="I2" s="117"/>
      <c r="J2" s="117"/>
      <c r="K2" s="117"/>
      <c r="L2" s="117"/>
      <c r="M2" s="117"/>
      <c r="N2" s="117"/>
      <c r="O2" s="117"/>
      <c r="P2" s="432"/>
      <c r="Q2" s="118"/>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row>
    <row r="3" spans="1:54" ht="15">
      <c r="A3" s="116"/>
      <c r="B3" s="117"/>
      <c r="C3" s="117"/>
      <c r="D3" s="117"/>
      <c r="E3" s="117"/>
      <c r="F3" s="117"/>
      <c r="G3" s="117"/>
      <c r="H3" s="117"/>
      <c r="I3" s="117"/>
      <c r="J3" s="117"/>
      <c r="K3" s="117"/>
      <c r="L3" s="117"/>
      <c r="M3" s="117"/>
      <c r="N3" s="117"/>
      <c r="O3" s="117"/>
      <c r="P3" s="432"/>
      <c r="Q3" s="118"/>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row>
    <row r="4" spans="1:54" ht="15">
      <c r="A4" s="116"/>
      <c r="B4" s="117"/>
      <c r="C4" s="117"/>
      <c r="D4" s="117"/>
      <c r="E4" s="117"/>
      <c r="F4" s="117"/>
      <c r="G4" s="117"/>
      <c r="H4" s="117"/>
      <c r="I4" s="117"/>
      <c r="J4" s="117"/>
      <c r="K4" s="117"/>
      <c r="L4" s="117"/>
      <c r="M4" s="117"/>
      <c r="N4" s="117"/>
      <c r="O4" s="117"/>
      <c r="P4" s="432"/>
      <c r="Q4" s="118"/>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row>
    <row r="5" spans="1:54" ht="15.75">
      <c r="A5" s="119"/>
      <c r="B5" s="120"/>
      <c r="C5" s="120"/>
      <c r="D5" s="120"/>
      <c r="E5" s="120"/>
      <c r="F5" s="120"/>
      <c r="G5" s="120"/>
      <c r="H5" s="120"/>
      <c r="I5" s="120"/>
      <c r="J5" s="120"/>
      <c r="K5" s="120"/>
      <c r="L5" s="117"/>
      <c r="M5" s="117"/>
      <c r="N5" s="117"/>
      <c r="O5" s="117"/>
      <c r="P5" s="433"/>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row>
    <row r="6" spans="1:54" ht="15">
      <c r="A6" s="121">
        <f>MIN(A9:A302)</f>
        <v>42035</v>
      </c>
      <c r="B6" s="122" t="s">
        <v>30</v>
      </c>
      <c r="C6" s="122"/>
      <c r="D6" s="122"/>
      <c r="E6" s="122"/>
      <c r="F6" s="122"/>
      <c r="G6" s="122"/>
      <c r="H6" s="122"/>
      <c r="I6" s="122"/>
      <c r="J6" s="122"/>
      <c r="K6" s="122"/>
      <c r="L6" s="122" t="s">
        <v>30</v>
      </c>
      <c r="M6" s="117"/>
      <c r="N6" s="117"/>
      <c r="O6" s="117"/>
      <c r="P6" s="433"/>
      <c r="Q6" s="117"/>
      <c r="R6" s="117"/>
      <c r="S6" s="117"/>
      <c r="T6" s="117"/>
      <c r="U6" s="117"/>
      <c r="V6" s="122" t="s">
        <v>30</v>
      </c>
      <c r="W6" s="117"/>
      <c r="X6" s="117"/>
      <c r="Y6" s="117"/>
      <c r="Z6" s="118"/>
      <c r="AA6" s="117"/>
      <c r="AB6" s="117"/>
      <c r="AC6" s="117"/>
      <c r="AD6" s="117"/>
      <c r="AE6" s="117"/>
      <c r="AF6" s="122" t="s">
        <v>30</v>
      </c>
      <c r="AG6" s="117"/>
      <c r="AH6" s="117"/>
      <c r="AI6" s="117"/>
      <c r="AJ6" s="118"/>
      <c r="AK6" s="117"/>
      <c r="AL6" s="117"/>
      <c r="AM6" s="117"/>
      <c r="AN6" s="117"/>
      <c r="AO6" s="117"/>
      <c r="AP6" s="122" t="s">
        <v>30</v>
      </c>
      <c r="AQ6" s="117"/>
      <c r="AR6" s="117"/>
      <c r="AS6" s="117"/>
      <c r="AT6" s="118"/>
      <c r="AU6" s="117"/>
      <c r="AV6" s="117"/>
      <c r="AW6" s="117"/>
      <c r="AX6" s="117"/>
      <c r="AY6" s="117"/>
    </row>
    <row r="7" spans="1:54">
      <c r="A7" s="123">
        <f>MAX(A9:A302)</f>
        <v>46234</v>
      </c>
      <c r="B7" s="122" t="s">
        <v>127</v>
      </c>
      <c r="C7" s="122"/>
      <c r="D7" s="122"/>
      <c r="E7" s="122"/>
      <c r="F7" s="122"/>
      <c r="G7" s="122"/>
      <c r="H7" s="122"/>
      <c r="I7" s="122"/>
      <c r="J7" s="122"/>
      <c r="K7" s="122"/>
      <c r="L7" s="122" t="s">
        <v>127</v>
      </c>
      <c r="M7" s="122"/>
      <c r="N7" s="122"/>
      <c r="O7" s="122"/>
      <c r="P7" s="434"/>
      <c r="Q7" s="122"/>
      <c r="R7" s="122"/>
      <c r="S7" s="122"/>
      <c r="T7" s="122"/>
      <c r="U7" s="122"/>
      <c r="V7" s="122" t="s">
        <v>127</v>
      </c>
      <c r="W7" s="122"/>
      <c r="X7" s="122"/>
      <c r="Y7" s="122"/>
      <c r="Z7" s="122"/>
      <c r="AA7" s="122"/>
      <c r="AB7" s="122"/>
      <c r="AC7" s="122"/>
      <c r="AD7" s="122"/>
      <c r="AE7" s="122"/>
      <c r="AF7" s="122" t="s">
        <v>127</v>
      </c>
      <c r="AG7" s="122"/>
      <c r="AH7" s="122"/>
      <c r="AI7" s="122"/>
      <c r="AJ7" s="122"/>
      <c r="AK7" s="122"/>
      <c r="AL7" s="122"/>
      <c r="AM7" s="122"/>
      <c r="AN7" s="122"/>
      <c r="AO7" s="122"/>
      <c r="AP7" s="122" t="s">
        <v>127</v>
      </c>
      <c r="AQ7" s="122"/>
      <c r="AR7" s="122"/>
      <c r="AS7" s="122"/>
      <c r="AT7" s="122"/>
      <c r="AU7" s="122"/>
      <c r="AV7" s="122"/>
      <c r="AW7" s="122"/>
      <c r="AX7" s="122"/>
      <c r="AY7" s="122"/>
    </row>
    <row r="8" spans="1:54">
      <c r="A8" s="124"/>
      <c r="B8" s="122">
        <v>1</v>
      </c>
      <c r="C8" s="122">
        <v>2</v>
      </c>
      <c r="D8" s="122">
        <v>3</v>
      </c>
      <c r="E8" s="122">
        <v>4</v>
      </c>
      <c r="F8" s="122">
        <v>5</v>
      </c>
      <c r="G8" s="122">
        <v>6</v>
      </c>
      <c r="H8" s="122">
        <v>7</v>
      </c>
      <c r="I8" s="122">
        <v>8</v>
      </c>
      <c r="J8" s="122">
        <v>9</v>
      </c>
      <c r="K8" s="122">
        <v>10</v>
      </c>
      <c r="L8" s="122">
        <v>11</v>
      </c>
      <c r="M8" s="122">
        <v>12</v>
      </c>
      <c r="N8" s="122">
        <v>13</v>
      </c>
      <c r="O8" s="122">
        <v>14</v>
      </c>
      <c r="P8" s="434">
        <v>15</v>
      </c>
      <c r="Q8" s="122">
        <v>16</v>
      </c>
      <c r="R8" s="122">
        <v>17</v>
      </c>
      <c r="S8" s="122">
        <v>18</v>
      </c>
      <c r="T8" s="122">
        <v>19</v>
      </c>
      <c r="U8" s="122">
        <v>20</v>
      </c>
      <c r="V8" s="122">
        <v>21</v>
      </c>
      <c r="W8" s="122">
        <v>22</v>
      </c>
      <c r="X8" s="122">
        <v>23</v>
      </c>
      <c r="Y8" s="122">
        <v>24</v>
      </c>
      <c r="Z8" s="122">
        <v>25</v>
      </c>
      <c r="AA8" s="122">
        <v>26</v>
      </c>
      <c r="AB8" s="122">
        <v>27</v>
      </c>
      <c r="AC8" s="122">
        <v>28</v>
      </c>
      <c r="AD8" s="122">
        <v>29</v>
      </c>
      <c r="AE8" s="122">
        <v>30</v>
      </c>
      <c r="AF8" s="122">
        <v>31</v>
      </c>
      <c r="AG8" s="122">
        <v>32</v>
      </c>
      <c r="AH8" s="122">
        <v>33</v>
      </c>
      <c r="AI8" s="122">
        <v>34</v>
      </c>
      <c r="AJ8" s="122">
        <v>35</v>
      </c>
      <c r="AK8" s="122">
        <v>36</v>
      </c>
      <c r="AL8" s="122">
        <v>37</v>
      </c>
      <c r="AM8" s="122">
        <v>38</v>
      </c>
      <c r="AN8" s="122">
        <v>39</v>
      </c>
      <c r="AO8" s="122">
        <v>40</v>
      </c>
      <c r="AP8" s="122">
        <v>41</v>
      </c>
      <c r="AQ8" s="122">
        <v>42</v>
      </c>
      <c r="AR8" s="122">
        <v>43</v>
      </c>
      <c r="AS8" s="122">
        <v>44</v>
      </c>
      <c r="AT8" s="122">
        <v>45</v>
      </c>
      <c r="AU8" s="122">
        <v>46</v>
      </c>
      <c r="AV8" s="122">
        <v>47</v>
      </c>
      <c r="AW8" s="122">
        <v>48</v>
      </c>
      <c r="AX8" s="122">
        <v>49</v>
      </c>
      <c r="AY8" s="122">
        <v>50</v>
      </c>
    </row>
    <row r="9" spans="1:54">
      <c r="A9" s="125">
        <v>42035</v>
      </c>
      <c r="B9" s="675">
        <v>3.07</v>
      </c>
      <c r="C9" s="675">
        <v>3.17</v>
      </c>
      <c r="D9" s="675">
        <v>3.31</v>
      </c>
      <c r="E9" s="675">
        <v>3.46</v>
      </c>
      <c r="F9" s="675">
        <v>3.6</v>
      </c>
      <c r="G9" s="675">
        <v>3.74</v>
      </c>
      <c r="H9" s="675">
        <v>3.87</v>
      </c>
      <c r="I9" s="675">
        <v>3.98</v>
      </c>
      <c r="J9" s="675">
        <v>4.09</v>
      </c>
      <c r="K9" s="675">
        <v>4.18</v>
      </c>
      <c r="L9" s="675">
        <v>4.2699999999999996</v>
      </c>
      <c r="M9" s="675">
        <v>4.34</v>
      </c>
      <c r="N9" s="675">
        <v>4.41</v>
      </c>
      <c r="O9" s="675">
        <v>4.46</v>
      </c>
      <c r="P9" s="2204">
        <v>4.51</v>
      </c>
      <c r="Q9" s="675">
        <v>4.53</v>
      </c>
      <c r="R9" s="675">
        <v>4.5599999999999996</v>
      </c>
      <c r="S9" s="675">
        <v>4.57</v>
      </c>
      <c r="T9" s="675">
        <v>4.59</v>
      </c>
      <c r="U9" s="675">
        <v>4.6100000000000003</v>
      </c>
      <c r="V9" s="675">
        <v>4.5999999999999996</v>
      </c>
      <c r="W9" s="675">
        <v>4.59</v>
      </c>
      <c r="X9" s="675">
        <v>4.59</v>
      </c>
      <c r="Y9" s="675">
        <v>4.58</v>
      </c>
      <c r="Z9" s="675">
        <v>4.58</v>
      </c>
      <c r="AA9" s="675">
        <v>4.5599999999999996</v>
      </c>
      <c r="AB9" s="675">
        <v>4.55</v>
      </c>
      <c r="AC9" s="675">
        <v>4.54</v>
      </c>
      <c r="AD9" s="675">
        <v>4.53</v>
      </c>
      <c r="AE9" s="675">
        <v>4.5199999999999996</v>
      </c>
      <c r="AF9" s="675">
        <v>4.5</v>
      </c>
      <c r="AG9" s="675">
        <v>4.49</v>
      </c>
      <c r="AH9" s="675">
        <v>4.4800000000000004</v>
      </c>
      <c r="AI9" s="675">
        <v>4.47</v>
      </c>
      <c r="AJ9" s="675">
        <v>4.46</v>
      </c>
      <c r="AK9" s="675">
        <v>4.46</v>
      </c>
      <c r="AL9" s="675">
        <v>4.45</v>
      </c>
      <c r="AM9" s="675">
        <v>4.4400000000000004</v>
      </c>
      <c r="AN9" s="675">
        <v>4.43</v>
      </c>
      <c r="AO9" s="675">
        <v>4.43</v>
      </c>
      <c r="AP9" s="675">
        <v>4.42</v>
      </c>
      <c r="AQ9" s="675">
        <v>4.42</v>
      </c>
      <c r="AR9" s="675">
        <v>4.41</v>
      </c>
      <c r="AS9" s="675">
        <v>4.41</v>
      </c>
      <c r="AT9" s="675">
        <v>4.4000000000000004</v>
      </c>
      <c r="AU9" s="675">
        <v>4.4000000000000004</v>
      </c>
      <c r="AV9" s="675">
        <v>4.4000000000000004</v>
      </c>
      <c r="AW9" s="675">
        <v>4.3899999999999997</v>
      </c>
      <c r="AX9" s="675">
        <v>4.3899999999999997</v>
      </c>
      <c r="AY9" s="675">
        <v>4.38</v>
      </c>
      <c r="BB9" s="348">
        <v>4.4800000000000004</v>
      </c>
    </row>
    <row r="10" spans="1:54">
      <c r="A10" s="111">
        <v>42063</v>
      </c>
      <c r="B10" s="348">
        <v>3.05</v>
      </c>
      <c r="C10" s="348">
        <v>3.15</v>
      </c>
      <c r="D10" s="348">
        <v>3.29</v>
      </c>
      <c r="E10" s="348">
        <v>3.44</v>
      </c>
      <c r="F10" s="348">
        <v>3.58</v>
      </c>
      <c r="G10" s="348">
        <v>3.72</v>
      </c>
      <c r="H10" s="348">
        <v>3.84</v>
      </c>
      <c r="I10" s="348">
        <v>3.96</v>
      </c>
      <c r="J10" s="348">
        <v>4.0599999999999996</v>
      </c>
      <c r="K10" s="348">
        <v>4.16</v>
      </c>
      <c r="L10" s="348">
        <v>4.24</v>
      </c>
      <c r="M10" s="348">
        <v>4.32</v>
      </c>
      <c r="N10" s="348">
        <v>4.38</v>
      </c>
      <c r="O10" s="348">
        <v>4.4400000000000004</v>
      </c>
      <c r="P10" s="2205">
        <v>4.4800000000000004</v>
      </c>
      <c r="Q10" s="348">
        <v>4.51</v>
      </c>
      <c r="R10" s="348">
        <v>4.53</v>
      </c>
      <c r="S10" s="348">
        <v>4.55</v>
      </c>
      <c r="T10" s="348">
        <v>4.5599999999999996</v>
      </c>
      <c r="U10" s="348">
        <v>4.58</v>
      </c>
      <c r="V10" s="348">
        <v>4.57</v>
      </c>
      <c r="W10" s="348">
        <v>4.57</v>
      </c>
      <c r="X10" s="348">
        <v>4.5599999999999996</v>
      </c>
      <c r="Y10" s="348">
        <v>4.5599999999999996</v>
      </c>
      <c r="Z10" s="348">
        <v>4.55</v>
      </c>
      <c r="AA10" s="348">
        <v>4.54</v>
      </c>
      <c r="AB10" s="348">
        <v>4.5199999999999996</v>
      </c>
      <c r="AC10" s="348">
        <v>4.51</v>
      </c>
      <c r="AD10" s="348">
        <v>4.5</v>
      </c>
      <c r="AE10" s="348">
        <v>4.49</v>
      </c>
      <c r="AF10" s="348">
        <v>4.4800000000000004</v>
      </c>
      <c r="AG10" s="348">
        <v>4.47</v>
      </c>
      <c r="AH10" s="348">
        <v>4.46</v>
      </c>
      <c r="AI10" s="348">
        <v>4.45</v>
      </c>
      <c r="AJ10" s="348">
        <v>4.4400000000000004</v>
      </c>
      <c r="AK10" s="348">
        <v>4.43</v>
      </c>
      <c r="AL10" s="348">
        <v>4.42</v>
      </c>
      <c r="AM10" s="348">
        <v>4.41</v>
      </c>
      <c r="AN10" s="348">
        <v>4.41</v>
      </c>
      <c r="AO10" s="348">
        <v>4.4000000000000004</v>
      </c>
      <c r="AP10" s="348">
        <v>4.3899999999999997</v>
      </c>
      <c r="AQ10" s="348">
        <v>4.3899999999999997</v>
      </c>
      <c r="AR10" s="348">
        <v>4.3899999999999997</v>
      </c>
      <c r="AS10" s="348">
        <v>4.38</v>
      </c>
      <c r="AT10" s="348">
        <v>4.38</v>
      </c>
      <c r="AU10" s="348">
        <v>4.37</v>
      </c>
      <c r="AV10" s="348">
        <v>4.37</v>
      </c>
      <c r="AW10" s="348">
        <v>4.37</v>
      </c>
      <c r="AX10" s="348">
        <v>4.3600000000000003</v>
      </c>
      <c r="AY10" s="348">
        <v>4.3600000000000003</v>
      </c>
      <c r="BB10" s="348">
        <v>4.43</v>
      </c>
    </row>
    <row r="11" spans="1:54">
      <c r="A11" s="111">
        <v>42094</v>
      </c>
      <c r="B11" s="348">
        <v>3.03</v>
      </c>
      <c r="C11" s="348">
        <v>3.13</v>
      </c>
      <c r="D11" s="348">
        <v>3.26</v>
      </c>
      <c r="E11" s="348">
        <v>3.41</v>
      </c>
      <c r="F11" s="348">
        <v>3.56</v>
      </c>
      <c r="G11" s="348">
        <v>3.69</v>
      </c>
      <c r="H11" s="348">
        <v>3.82</v>
      </c>
      <c r="I11" s="348">
        <v>3.93</v>
      </c>
      <c r="J11" s="348">
        <v>4.04</v>
      </c>
      <c r="K11" s="348">
        <v>4.13</v>
      </c>
      <c r="L11" s="348">
        <v>4.22</v>
      </c>
      <c r="M11" s="348">
        <v>4.29</v>
      </c>
      <c r="N11" s="348">
        <v>4.3499999999999996</v>
      </c>
      <c r="O11" s="348">
        <v>4.41</v>
      </c>
      <c r="P11" s="2205">
        <v>4.46</v>
      </c>
      <c r="Q11" s="348">
        <v>4.4800000000000004</v>
      </c>
      <c r="R11" s="348">
        <v>4.5</v>
      </c>
      <c r="S11" s="348">
        <v>4.5199999999999996</v>
      </c>
      <c r="T11" s="348">
        <v>4.54</v>
      </c>
      <c r="U11" s="348">
        <v>4.55</v>
      </c>
      <c r="V11" s="348">
        <v>4.54</v>
      </c>
      <c r="W11" s="348">
        <v>4.54</v>
      </c>
      <c r="X11" s="348">
        <v>4.53</v>
      </c>
      <c r="Y11" s="348">
        <v>4.53</v>
      </c>
      <c r="Z11" s="348">
        <v>4.5199999999999996</v>
      </c>
      <c r="AA11" s="348">
        <v>4.51</v>
      </c>
      <c r="AB11" s="348">
        <v>4.5</v>
      </c>
      <c r="AC11" s="348">
        <v>4.4800000000000004</v>
      </c>
      <c r="AD11" s="348">
        <v>4.47</v>
      </c>
      <c r="AE11" s="348">
        <v>4.46</v>
      </c>
      <c r="AF11" s="348">
        <v>4.45</v>
      </c>
      <c r="AG11" s="348">
        <v>4.4400000000000004</v>
      </c>
      <c r="AH11" s="348">
        <v>4.43</v>
      </c>
      <c r="AI11" s="348">
        <v>4.42</v>
      </c>
      <c r="AJ11" s="348">
        <v>4.41</v>
      </c>
      <c r="AK11" s="348">
        <v>4.4000000000000004</v>
      </c>
      <c r="AL11" s="348">
        <v>4.3899999999999997</v>
      </c>
      <c r="AM11" s="348">
        <v>4.38</v>
      </c>
      <c r="AN11" s="348">
        <v>4.38</v>
      </c>
      <c r="AO11" s="348">
        <v>4.37</v>
      </c>
      <c r="AP11" s="348">
        <v>4.37</v>
      </c>
      <c r="AQ11" s="348">
        <v>4.3600000000000003</v>
      </c>
      <c r="AR11" s="348">
        <v>4.3600000000000003</v>
      </c>
      <c r="AS11" s="348">
        <v>4.3499999999999996</v>
      </c>
      <c r="AT11" s="348">
        <v>4.3499999999999996</v>
      </c>
      <c r="AU11" s="348">
        <v>4.34</v>
      </c>
      <c r="AV11" s="348">
        <v>4.34</v>
      </c>
      <c r="AW11" s="348">
        <v>4.34</v>
      </c>
      <c r="AX11" s="348">
        <v>4.33</v>
      </c>
      <c r="AY11" s="348">
        <v>4.33</v>
      </c>
      <c r="BB11" s="348">
        <v>4.37</v>
      </c>
    </row>
    <row r="12" spans="1:54">
      <c r="A12" s="111">
        <v>42124</v>
      </c>
      <c r="B12" s="348">
        <v>3.02</v>
      </c>
      <c r="C12" s="348">
        <v>3.11</v>
      </c>
      <c r="D12" s="348">
        <v>3.24</v>
      </c>
      <c r="E12" s="348">
        <v>3.39</v>
      </c>
      <c r="F12" s="348">
        <v>3.53</v>
      </c>
      <c r="G12" s="348">
        <v>3.67</v>
      </c>
      <c r="H12" s="348">
        <v>3.8</v>
      </c>
      <c r="I12" s="348">
        <v>3.91</v>
      </c>
      <c r="J12" s="348">
        <v>4.01</v>
      </c>
      <c r="K12" s="348">
        <v>4.0999999999999996</v>
      </c>
      <c r="L12" s="348">
        <v>4.1900000000000004</v>
      </c>
      <c r="M12" s="348">
        <v>4.26</v>
      </c>
      <c r="N12" s="348">
        <v>4.33</v>
      </c>
      <c r="O12" s="348">
        <v>4.38</v>
      </c>
      <c r="P12" s="2205">
        <v>4.43</v>
      </c>
      <c r="Q12" s="348">
        <v>4.45</v>
      </c>
      <c r="R12" s="348">
        <v>4.47</v>
      </c>
      <c r="S12" s="348">
        <v>4.49</v>
      </c>
      <c r="T12" s="348">
        <v>4.51</v>
      </c>
      <c r="U12" s="348">
        <v>4.53</v>
      </c>
      <c r="V12" s="348">
        <v>4.5199999999999996</v>
      </c>
      <c r="W12" s="348">
        <v>4.51</v>
      </c>
      <c r="X12" s="348">
        <v>4.51</v>
      </c>
      <c r="Y12" s="348">
        <v>4.5</v>
      </c>
      <c r="Z12" s="348">
        <v>4.5</v>
      </c>
      <c r="AA12" s="348">
        <v>4.4800000000000004</v>
      </c>
      <c r="AB12" s="348">
        <v>4.47</v>
      </c>
      <c r="AC12" s="348">
        <v>4.46</v>
      </c>
      <c r="AD12" s="348">
        <v>4.4400000000000004</v>
      </c>
      <c r="AE12" s="348">
        <v>4.43</v>
      </c>
      <c r="AF12" s="348">
        <v>4.42</v>
      </c>
      <c r="AG12" s="348">
        <v>4.41</v>
      </c>
      <c r="AH12" s="348">
        <v>4.4000000000000004</v>
      </c>
      <c r="AI12" s="348">
        <v>4.3899999999999997</v>
      </c>
      <c r="AJ12" s="348">
        <v>4.38</v>
      </c>
      <c r="AK12" s="348">
        <v>4.37</v>
      </c>
      <c r="AL12" s="348">
        <v>4.37</v>
      </c>
      <c r="AM12" s="348">
        <v>4.3600000000000003</v>
      </c>
      <c r="AN12" s="348">
        <v>4.3499999999999996</v>
      </c>
      <c r="AO12" s="348">
        <v>4.34</v>
      </c>
      <c r="AP12" s="348">
        <v>4.34</v>
      </c>
      <c r="AQ12" s="348">
        <v>4.33</v>
      </c>
      <c r="AR12" s="348">
        <v>4.33</v>
      </c>
      <c r="AS12" s="348">
        <v>4.32</v>
      </c>
      <c r="AT12" s="348">
        <v>4.32</v>
      </c>
      <c r="AU12" s="348">
        <v>4.32</v>
      </c>
      <c r="AV12" s="348">
        <v>4.3099999999999996</v>
      </c>
      <c r="AW12" s="348">
        <v>4.3099999999999996</v>
      </c>
      <c r="AX12" s="348">
        <v>4.3</v>
      </c>
      <c r="AY12" s="348">
        <v>4.3</v>
      </c>
      <c r="BB12" s="348">
        <v>4.3099999999999996</v>
      </c>
    </row>
    <row r="13" spans="1:54">
      <c r="A13" s="111">
        <v>42155</v>
      </c>
      <c r="B13" s="348">
        <v>3</v>
      </c>
      <c r="C13" s="348">
        <v>3.09</v>
      </c>
      <c r="D13" s="348">
        <v>3.23</v>
      </c>
      <c r="E13" s="348">
        <v>3.37</v>
      </c>
      <c r="F13" s="348">
        <v>3.51</v>
      </c>
      <c r="G13" s="348">
        <v>3.65</v>
      </c>
      <c r="H13" s="348">
        <v>3.78</v>
      </c>
      <c r="I13" s="348">
        <v>3.89</v>
      </c>
      <c r="J13" s="348">
        <v>3.99</v>
      </c>
      <c r="K13" s="348">
        <v>4.08</v>
      </c>
      <c r="L13" s="348">
        <v>4.17</v>
      </c>
      <c r="M13" s="348">
        <v>4.24</v>
      </c>
      <c r="N13" s="348">
        <v>4.3099999999999996</v>
      </c>
      <c r="O13" s="348">
        <v>4.3600000000000003</v>
      </c>
      <c r="P13" s="2205">
        <v>4.41</v>
      </c>
      <c r="Q13" s="348">
        <v>4.43</v>
      </c>
      <c r="R13" s="348">
        <v>4.45</v>
      </c>
      <c r="S13" s="348">
        <v>4.47</v>
      </c>
      <c r="T13" s="348">
        <v>4.49</v>
      </c>
      <c r="U13" s="348">
        <v>4.5</v>
      </c>
      <c r="V13" s="348">
        <v>4.5</v>
      </c>
      <c r="W13" s="348">
        <v>4.49</v>
      </c>
      <c r="X13" s="348">
        <v>4.4800000000000004</v>
      </c>
      <c r="Y13" s="348">
        <v>4.4800000000000004</v>
      </c>
      <c r="Z13" s="348">
        <v>4.47</v>
      </c>
      <c r="AA13" s="348">
        <v>4.46</v>
      </c>
      <c r="AB13" s="348">
        <v>4.45</v>
      </c>
      <c r="AC13" s="348">
        <v>4.43</v>
      </c>
      <c r="AD13" s="348">
        <v>4.42</v>
      </c>
      <c r="AE13" s="348">
        <v>4.41</v>
      </c>
      <c r="AF13" s="348">
        <v>4.4000000000000004</v>
      </c>
      <c r="AG13" s="348">
        <v>4.3899999999999997</v>
      </c>
      <c r="AH13" s="348">
        <v>4.38</v>
      </c>
      <c r="AI13" s="348">
        <v>4.37</v>
      </c>
      <c r="AJ13" s="348">
        <v>4.3600000000000003</v>
      </c>
      <c r="AK13" s="348">
        <v>4.3499999999999996</v>
      </c>
      <c r="AL13" s="348">
        <v>4.34</v>
      </c>
      <c r="AM13" s="348">
        <v>4.34</v>
      </c>
      <c r="AN13" s="348">
        <v>4.33</v>
      </c>
      <c r="AO13" s="348">
        <v>4.32</v>
      </c>
      <c r="AP13" s="348">
        <v>4.32</v>
      </c>
      <c r="AQ13" s="348">
        <v>4.3099999999999996</v>
      </c>
      <c r="AR13" s="348">
        <v>4.3099999999999996</v>
      </c>
      <c r="AS13" s="348">
        <v>4.3</v>
      </c>
      <c r="AT13" s="348">
        <v>4.3</v>
      </c>
      <c r="AU13" s="348">
        <v>4.29</v>
      </c>
      <c r="AV13" s="348">
        <v>4.29</v>
      </c>
      <c r="AW13" s="348">
        <v>4.29</v>
      </c>
      <c r="AX13" s="348">
        <v>4.28</v>
      </c>
      <c r="AY13" s="348">
        <v>4.28</v>
      </c>
      <c r="BB13" s="348">
        <v>4.26</v>
      </c>
    </row>
    <row r="14" spans="1:54">
      <c r="A14" s="111">
        <v>42185</v>
      </c>
      <c r="B14" s="348">
        <v>2.99</v>
      </c>
      <c r="C14" s="348">
        <v>3.08</v>
      </c>
      <c r="D14" s="348">
        <v>3.21</v>
      </c>
      <c r="E14" s="348">
        <v>3.36</v>
      </c>
      <c r="F14" s="348">
        <v>3.5</v>
      </c>
      <c r="G14" s="348">
        <v>3.64</v>
      </c>
      <c r="H14" s="348">
        <v>3.76</v>
      </c>
      <c r="I14" s="348">
        <v>3.87</v>
      </c>
      <c r="J14" s="348">
        <v>3.98</v>
      </c>
      <c r="K14" s="348">
        <v>4.07</v>
      </c>
      <c r="L14" s="348">
        <v>4.16</v>
      </c>
      <c r="M14" s="348">
        <v>4.2300000000000004</v>
      </c>
      <c r="N14" s="348">
        <v>4.29</v>
      </c>
      <c r="O14" s="348">
        <v>4.3499999999999996</v>
      </c>
      <c r="P14" s="2205">
        <v>4.3899999999999997</v>
      </c>
      <c r="Q14" s="348">
        <v>4.42</v>
      </c>
      <c r="R14" s="348">
        <v>4.4400000000000004</v>
      </c>
      <c r="S14" s="348">
        <v>4.46</v>
      </c>
      <c r="T14" s="348">
        <v>4.47</v>
      </c>
      <c r="U14" s="348">
        <v>4.49</v>
      </c>
      <c r="V14" s="348">
        <v>4.4800000000000004</v>
      </c>
      <c r="W14" s="348">
        <v>4.4800000000000004</v>
      </c>
      <c r="X14" s="348">
        <v>4.47</v>
      </c>
      <c r="Y14" s="348">
        <v>4.46</v>
      </c>
      <c r="Z14" s="348">
        <v>4.46</v>
      </c>
      <c r="AA14" s="348">
        <v>4.4400000000000004</v>
      </c>
      <c r="AB14" s="348">
        <v>4.43</v>
      </c>
      <c r="AC14" s="348">
        <v>4.42</v>
      </c>
      <c r="AD14" s="348">
        <v>4.41</v>
      </c>
      <c r="AE14" s="348">
        <v>4.3899999999999997</v>
      </c>
      <c r="AF14" s="348">
        <v>4.38</v>
      </c>
      <c r="AG14" s="348">
        <v>4.37</v>
      </c>
      <c r="AH14" s="348">
        <v>4.3600000000000003</v>
      </c>
      <c r="AI14" s="348">
        <v>4.3499999999999996</v>
      </c>
      <c r="AJ14" s="348">
        <v>4.34</v>
      </c>
      <c r="AK14" s="348">
        <v>4.34</v>
      </c>
      <c r="AL14" s="348">
        <v>4.33</v>
      </c>
      <c r="AM14" s="348">
        <v>4.32</v>
      </c>
      <c r="AN14" s="348">
        <v>4.3099999999999996</v>
      </c>
      <c r="AO14" s="348">
        <v>4.3099999999999996</v>
      </c>
      <c r="AP14" s="348">
        <v>4.3</v>
      </c>
      <c r="AQ14" s="348">
        <v>4.3</v>
      </c>
      <c r="AR14" s="348">
        <v>4.29</v>
      </c>
      <c r="AS14" s="348">
        <v>4.29</v>
      </c>
      <c r="AT14" s="348">
        <v>4.28</v>
      </c>
      <c r="AU14" s="348">
        <v>4.28</v>
      </c>
      <c r="AV14" s="348">
        <v>4.2699999999999996</v>
      </c>
      <c r="AW14" s="348">
        <v>4.2699999999999996</v>
      </c>
      <c r="AX14" s="348">
        <v>4.2699999999999996</v>
      </c>
      <c r="AY14" s="348">
        <v>4.26</v>
      </c>
      <c r="BB14" s="348">
        <v>4.21</v>
      </c>
    </row>
    <row r="15" spans="1:54">
      <c r="A15" s="111">
        <v>42216</v>
      </c>
      <c r="B15" s="348">
        <v>2.97</v>
      </c>
      <c r="C15" s="348">
        <v>3.06</v>
      </c>
      <c r="D15" s="348">
        <v>3.19</v>
      </c>
      <c r="E15" s="348">
        <v>3.34</v>
      </c>
      <c r="F15" s="348">
        <v>3.48</v>
      </c>
      <c r="G15" s="348">
        <v>3.62</v>
      </c>
      <c r="H15" s="348">
        <v>3.74</v>
      </c>
      <c r="I15" s="348">
        <v>3.86</v>
      </c>
      <c r="J15" s="348">
        <v>3.96</v>
      </c>
      <c r="K15" s="348">
        <v>4.05</v>
      </c>
      <c r="L15" s="348">
        <v>4.1399999999999997</v>
      </c>
      <c r="M15" s="348">
        <v>4.21</v>
      </c>
      <c r="N15" s="348">
        <v>4.28</v>
      </c>
      <c r="O15" s="348">
        <v>4.33</v>
      </c>
      <c r="P15" s="2205">
        <v>4.38</v>
      </c>
      <c r="Q15" s="348">
        <v>4.4000000000000004</v>
      </c>
      <c r="R15" s="348">
        <v>4.42</v>
      </c>
      <c r="S15" s="348">
        <v>4.4400000000000004</v>
      </c>
      <c r="T15" s="348">
        <v>4.46</v>
      </c>
      <c r="U15" s="348">
        <v>4.47</v>
      </c>
      <c r="V15" s="348">
        <v>4.46</v>
      </c>
      <c r="W15" s="348">
        <v>4.46</v>
      </c>
      <c r="X15" s="348">
        <v>4.45</v>
      </c>
      <c r="Y15" s="348">
        <v>4.45</v>
      </c>
      <c r="Z15" s="348">
        <v>4.4400000000000004</v>
      </c>
      <c r="AA15" s="348">
        <v>4.43</v>
      </c>
      <c r="AB15" s="348">
        <v>4.41</v>
      </c>
      <c r="AC15" s="348">
        <v>4.4000000000000004</v>
      </c>
      <c r="AD15" s="348">
        <v>4.3899999999999997</v>
      </c>
      <c r="AE15" s="348">
        <v>4.38</v>
      </c>
      <c r="AF15" s="348">
        <v>4.37</v>
      </c>
      <c r="AG15" s="348">
        <v>4.3499999999999996</v>
      </c>
      <c r="AH15" s="348">
        <v>4.34</v>
      </c>
      <c r="AI15" s="348">
        <v>4.33</v>
      </c>
      <c r="AJ15" s="348">
        <v>4.33</v>
      </c>
      <c r="AK15" s="348">
        <v>4.32</v>
      </c>
      <c r="AL15" s="348">
        <v>4.3099999999999996</v>
      </c>
      <c r="AM15" s="348">
        <v>4.3</v>
      </c>
      <c r="AN15" s="348">
        <v>4.29</v>
      </c>
      <c r="AO15" s="348">
        <v>4.29</v>
      </c>
      <c r="AP15" s="348">
        <v>4.28</v>
      </c>
      <c r="AQ15" s="348">
        <v>4.28</v>
      </c>
      <c r="AR15" s="348">
        <v>4.2699999999999996</v>
      </c>
      <c r="AS15" s="348">
        <v>4.2699999999999996</v>
      </c>
      <c r="AT15" s="348">
        <v>4.26</v>
      </c>
      <c r="AU15" s="348">
        <v>4.26</v>
      </c>
      <c r="AV15" s="348">
        <v>4.25</v>
      </c>
      <c r="AW15" s="348">
        <v>4.25</v>
      </c>
      <c r="AX15" s="348">
        <v>4.25</v>
      </c>
      <c r="AY15" s="348">
        <v>4.24</v>
      </c>
      <c r="BB15" s="348">
        <v>4.17</v>
      </c>
    </row>
    <row r="16" spans="1:54">
      <c r="A16" s="111">
        <v>42247</v>
      </c>
      <c r="B16" s="348">
        <v>2.95</v>
      </c>
      <c r="C16" s="348">
        <v>3.05</v>
      </c>
      <c r="D16" s="348">
        <v>3.18</v>
      </c>
      <c r="E16" s="348">
        <v>3.33</v>
      </c>
      <c r="F16" s="348">
        <v>3.47</v>
      </c>
      <c r="G16" s="348">
        <v>3.61</v>
      </c>
      <c r="H16" s="348">
        <v>3.73</v>
      </c>
      <c r="I16" s="348">
        <v>3.84</v>
      </c>
      <c r="J16" s="348">
        <v>3.94</v>
      </c>
      <c r="K16" s="348">
        <v>4.04</v>
      </c>
      <c r="L16" s="348">
        <v>4.13</v>
      </c>
      <c r="M16" s="348">
        <v>4.2</v>
      </c>
      <c r="N16" s="348">
        <v>4.26</v>
      </c>
      <c r="O16" s="348">
        <v>4.32</v>
      </c>
      <c r="P16" s="2205">
        <v>4.3600000000000003</v>
      </c>
      <c r="Q16" s="348">
        <v>4.3899999999999997</v>
      </c>
      <c r="R16" s="348">
        <v>4.41</v>
      </c>
      <c r="S16" s="348">
        <v>4.43</v>
      </c>
      <c r="T16" s="348">
        <v>4.4400000000000004</v>
      </c>
      <c r="U16" s="348">
        <v>4.46</v>
      </c>
      <c r="V16" s="348">
        <v>4.45</v>
      </c>
      <c r="W16" s="348">
        <v>4.4400000000000004</v>
      </c>
      <c r="X16" s="348">
        <v>4.4400000000000004</v>
      </c>
      <c r="Y16" s="348">
        <v>4.43</v>
      </c>
      <c r="Z16" s="348">
        <v>4.43</v>
      </c>
      <c r="AA16" s="348">
        <v>4.41</v>
      </c>
      <c r="AB16" s="348">
        <v>4.4000000000000004</v>
      </c>
      <c r="AC16" s="348">
        <v>4.3899999999999997</v>
      </c>
      <c r="AD16" s="348">
        <v>4.37</v>
      </c>
      <c r="AE16" s="348">
        <v>4.3600000000000003</v>
      </c>
      <c r="AF16" s="348">
        <v>4.3499999999999996</v>
      </c>
      <c r="AG16" s="348">
        <v>4.34</v>
      </c>
      <c r="AH16" s="348">
        <v>4.33</v>
      </c>
      <c r="AI16" s="348">
        <v>4.32</v>
      </c>
      <c r="AJ16" s="348">
        <v>4.3099999999999996</v>
      </c>
      <c r="AK16" s="348">
        <v>4.3</v>
      </c>
      <c r="AL16" s="348">
        <v>4.29</v>
      </c>
      <c r="AM16" s="348">
        <v>4.29</v>
      </c>
      <c r="AN16" s="348">
        <v>4.28</v>
      </c>
      <c r="AO16" s="348">
        <v>4.2699999999999996</v>
      </c>
      <c r="AP16" s="348">
        <v>4.2699999999999996</v>
      </c>
      <c r="AQ16" s="348">
        <v>4.26</v>
      </c>
      <c r="AR16" s="348">
        <v>4.26</v>
      </c>
      <c r="AS16" s="348">
        <v>4.25</v>
      </c>
      <c r="AT16" s="348">
        <v>4.25</v>
      </c>
      <c r="AU16" s="348">
        <v>4.24</v>
      </c>
      <c r="AV16" s="348">
        <v>4.24</v>
      </c>
      <c r="AW16" s="348">
        <v>4.24</v>
      </c>
      <c r="AX16" s="348">
        <v>4.2300000000000004</v>
      </c>
      <c r="AY16" s="348">
        <v>4.2300000000000004</v>
      </c>
      <c r="BB16" s="348">
        <v>4.12</v>
      </c>
    </row>
    <row r="17" spans="1:54">
      <c r="A17" s="111">
        <v>42277</v>
      </c>
      <c r="B17" s="348">
        <v>2.94</v>
      </c>
      <c r="C17" s="348">
        <v>3.03</v>
      </c>
      <c r="D17" s="348">
        <v>3.16</v>
      </c>
      <c r="E17" s="348">
        <v>3.31</v>
      </c>
      <c r="F17" s="348">
        <v>3.45</v>
      </c>
      <c r="G17" s="348">
        <v>3.59</v>
      </c>
      <c r="H17" s="348">
        <v>3.71</v>
      </c>
      <c r="I17" s="348">
        <v>3.83</v>
      </c>
      <c r="J17" s="348">
        <v>3.93</v>
      </c>
      <c r="K17" s="348">
        <v>4.0199999999999996</v>
      </c>
      <c r="L17" s="348">
        <v>4.1100000000000003</v>
      </c>
      <c r="M17" s="348">
        <v>4.1900000000000004</v>
      </c>
      <c r="N17" s="348">
        <v>4.25</v>
      </c>
      <c r="O17" s="348">
        <v>4.3</v>
      </c>
      <c r="P17" s="2205">
        <v>4.3499999999999996</v>
      </c>
      <c r="Q17" s="348">
        <v>4.37</v>
      </c>
      <c r="R17" s="348">
        <v>4.3899999999999997</v>
      </c>
      <c r="S17" s="348">
        <v>4.41</v>
      </c>
      <c r="T17" s="348">
        <v>4.43</v>
      </c>
      <c r="U17" s="348">
        <v>4.4400000000000004</v>
      </c>
      <c r="V17" s="348">
        <v>4.4400000000000004</v>
      </c>
      <c r="W17" s="348">
        <v>4.43</v>
      </c>
      <c r="X17" s="348">
        <v>4.42</v>
      </c>
      <c r="Y17" s="348">
        <v>4.42</v>
      </c>
      <c r="Z17" s="348">
        <v>4.41</v>
      </c>
      <c r="AA17" s="348">
        <v>4.4000000000000004</v>
      </c>
      <c r="AB17" s="348">
        <v>4.38</v>
      </c>
      <c r="AC17" s="348">
        <v>4.37</v>
      </c>
      <c r="AD17" s="348">
        <v>4.3600000000000003</v>
      </c>
      <c r="AE17" s="348">
        <v>4.3499999999999996</v>
      </c>
      <c r="AF17" s="348">
        <v>4.34</v>
      </c>
      <c r="AG17" s="348">
        <v>4.33</v>
      </c>
      <c r="AH17" s="348">
        <v>4.32</v>
      </c>
      <c r="AI17" s="348">
        <v>4.3099999999999996</v>
      </c>
      <c r="AJ17" s="348">
        <v>4.3</v>
      </c>
      <c r="AK17" s="348">
        <v>4.29</v>
      </c>
      <c r="AL17" s="348">
        <v>4.28</v>
      </c>
      <c r="AM17" s="348">
        <v>4.2699999999999996</v>
      </c>
      <c r="AN17" s="348">
        <v>4.2699999999999996</v>
      </c>
      <c r="AO17" s="348">
        <v>4.26</v>
      </c>
      <c r="AP17" s="348">
        <v>4.25</v>
      </c>
      <c r="AQ17" s="348">
        <v>4.25</v>
      </c>
      <c r="AR17" s="348">
        <v>4.24</v>
      </c>
      <c r="AS17" s="348">
        <v>4.24</v>
      </c>
      <c r="AT17" s="348">
        <v>4.2300000000000004</v>
      </c>
      <c r="AU17" s="348">
        <v>4.2300000000000004</v>
      </c>
      <c r="AV17" s="348">
        <v>4.2300000000000004</v>
      </c>
      <c r="AW17" s="348">
        <v>4.22</v>
      </c>
      <c r="AX17" s="348">
        <v>4.22</v>
      </c>
      <c r="AY17" s="348">
        <v>4.21</v>
      </c>
      <c r="BB17" s="348">
        <v>4.07</v>
      </c>
    </row>
    <row r="18" spans="1:54">
      <c r="A18" s="111">
        <v>42308</v>
      </c>
      <c r="B18" s="348">
        <v>2.92</v>
      </c>
      <c r="C18" s="348">
        <v>3.01</v>
      </c>
      <c r="D18" s="348">
        <v>3.14</v>
      </c>
      <c r="E18" s="348">
        <v>3.29</v>
      </c>
      <c r="F18" s="348">
        <v>3.43</v>
      </c>
      <c r="G18" s="348">
        <v>3.57</v>
      </c>
      <c r="H18" s="348">
        <v>3.7</v>
      </c>
      <c r="I18" s="348">
        <v>3.81</v>
      </c>
      <c r="J18" s="348">
        <v>3.91</v>
      </c>
      <c r="K18" s="348">
        <v>4.01</v>
      </c>
      <c r="L18" s="348">
        <v>4.0999999999999996</v>
      </c>
      <c r="M18" s="348">
        <v>4.17</v>
      </c>
      <c r="N18" s="348">
        <v>4.2300000000000004</v>
      </c>
      <c r="O18" s="348">
        <v>4.29</v>
      </c>
      <c r="P18" s="2205">
        <v>4.33</v>
      </c>
      <c r="Q18" s="348">
        <v>4.3600000000000003</v>
      </c>
      <c r="R18" s="348">
        <v>4.38</v>
      </c>
      <c r="S18" s="348">
        <v>4.4000000000000004</v>
      </c>
      <c r="T18" s="348">
        <v>4.41</v>
      </c>
      <c r="U18" s="348">
        <v>4.43</v>
      </c>
      <c r="V18" s="348">
        <v>4.42</v>
      </c>
      <c r="W18" s="348">
        <v>4.41</v>
      </c>
      <c r="X18" s="348">
        <v>4.41</v>
      </c>
      <c r="Y18" s="348">
        <v>4.4000000000000004</v>
      </c>
      <c r="Z18" s="348">
        <v>4.4000000000000004</v>
      </c>
      <c r="AA18" s="348">
        <v>4.38</v>
      </c>
      <c r="AB18" s="348">
        <v>4.37</v>
      </c>
      <c r="AC18" s="348">
        <v>4.3600000000000003</v>
      </c>
      <c r="AD18" s="348">
        <v>4.34</v>
      </c>
      <c r="AE18" s="348">
        <v>4.33</v>
      </c>
      <c r="AF18" s="348">
        <v>4.32</v>
      </c>
      <c r="AG18" s="348">
        <v>4.3099999999999996</v>
      </c>
      <c r="AH18" s="348">
        <v>4.3</v>
      </c>
      <c r="AI18" s="348">
        <v>4.29</v>
      </c>
      <c r="AJ18" s="348">
        <v>4.28</v>
      </c>
      <c r="AK18" s="348">
        <v>4.2699999999999996</v>
      </c>
      <c r="AL18" s="348">
        <v>4.26</v>
      </c>
      <c r="AM18" s="348">
        <v>4.26</v>
      </c>
      <c r="AN18" s="348">
        <v>4.25</v>
      </c>
      <c r="AO18" s="348">
        <v>4.24</v>
      </c>
      <c r="AP18" s="348">
        <v>4.24</v>
      </c>
      <c r="AQ18" s="348">
        <v>4.2300000000000004</v>
      </c>
      <c r="AR18" s="348">
        <v>4.2300000000000004</v>
      </c>
      <c r="AS18" s="348">
        <v>4.22</v>
      </c>
      <c r="AT18" s="348">
        <v>4.22</v>
      </c>
      <c r="AU18" s="348">
        <v>4.21</v>
      </c>
      <c r="AV18" s="348">
        <v>4.21</v>
      </c>
      <c r="AW18" s="348">
        <v>4.21</v>
      </c>
      <c r="AX18" s="348">
        <v>4.2</v>
      </c>
      <c r="AY18" s="348">
        <v>4.2</v>
      </c>
      <c r="BB18" s="348">
        <v>4</v>
      </c>
    </row>
    <row r="19" spans="1:54">
      <c r="A19" s="111">
        <v>42338</v>
      </c>
      <c r="B19" s="348">
        <v>2.9</v>
      </c>
      <c r="C19" s="348">
        <v>2.99</v>
      </c>
      <c r="D19" s="348">
        <v>3.12</v>
      </c>
      <c r="E19" s="348">
        <v>3.27</v>
      </c>
      <c r="F19" s="348">
        <v>3.41</v>
      </c>
      <c r="G19" s="348">
        <v>3.55</v>
      </c>
      <c r="H19" s="348">
        <v>3.68</v>
      </c>
      <c r="I19" s="348">
        <v>3.79</v>
      </c>
      <c r="J19" s="348">
        <v>3.89</v>
      </c>
      <c r="K19" s="348">
        <v>3.99</v>
      </c>
      <c r="L19" s="348">
        <v>4.08</v>
      </c>
      <c r="M19" s="348">
        <v>4.1500000000000004</v>
      </c>
      <c r="N19" s="348">
        <v>4.22</v>
      </c>
      <c r="O19" s="348">
        <v>4.2699999999999996</v>
      </c>
      <c r="P19" s="2205">
        <v>4.32</v>
      </c>
      <c r="Q19" s="348">
        <v>4.34</v>
      </c>
      <c r="R19" s="348">
        <v>4.3600000000000003</v>
      </c>
      <c r="S19" s="348">
        <v>4.38</v>
      </c>
      <c r="T19" s="348">
        <v>4.4000000000000004</v>
      </c>
      <c r="U19" s="348">
        <v>4.41</v>
      </c>
      <c r="V19" s="348">
        <v>4.41</v>
      </c>
      <c r="W19" s="348">
        <v>4.4000000000000004</v>
      </c>
      <c r="X19" s="348">
        <v>4.3899999999999997</v>
      </c>
      <c r="Y19" s="348">
        <v>4.3899999999999997</v>
      </c>
      <c r="Z19" s="348">
        <v>4.38</v>
      </c>
      <c r="AA19" s="348">
        <v>4.37</v>
      </c>
      <c r="AB19" s="348">
        <v>4.3499999999999996</v>
      </c>
      <c r="AC19" s="348">
        <v>4.34</v>
      </c>
      <c r="AD19" s="348">
        <v>4.33</v>
      </c>
      <c r="AE19" s="348">
        <v>4.32</v>
      </c>
      <c r="AF19" s="348">
        <v>4.3</v>
      </c>
      <c r="AG19" s="348">
        <v>4.29</v>
      </c>
      <c r="AH19" s="348">
        <v>4.28</v>
      </c>
      <c r="AI19" s="348">
        <v>4.2699999999999996</v>
      </c>
      <c r="AJ19" s="348">
        <v>4.2699999999999996</v>
      </c>
      <c r="AK19" s="348">
        <v>4.26</v>
      </c>
      <c r="AL19" s="348">
        <v>4.25</v>
      </c>
      <c r="AM19" s="348">
        <v>4.24</v>
      </c>
      <c r="AN19" s="348">
        <v>4.2300000000000004</v>
      </c>
      <c r="AO19" s="348">
        <v>4.2300000000000004</v>
      </c>
      <c r="AP19" s="348">
        <v>4.22</v>
      </c>
      <c r="AQ19" s="348">
        <v>4.22</v>
      </c>
      <c r="AR19" s="348">
        <v>4.21</v>
      </c>
      <c r="AS19" s="348">
        <v>4.21</v>
      </c>
      <c r="AT19" s="348">
        <v>4.2</v>
      </c>
      <c r="AU19" s="348">
        <v>4.2</v>
      </c>
      <c r="AV19" s="348">
        <v>4.1900000000000004</v>
      </c>
      <c r="AW19" s="348">
        <v>4.1900000000000004</v>
      </c>
      <c r="AX19" s="348">
        <v>4.1900000000000004</v>
      </c>
      <c r="AY19" s="348">
        <v>4.18</v>
      </c>
      <c r="BB19" s="348">
        <v>3.94</v>
      </c>
    </row>
    <row r="20" spans="1:54">
      <c r="A20" s="111">
        <v>42369</v>
      </c>
      <c r="B20" s="348">
        <v>2.89</v>
      </c>
      <c r="C20" s="348">
        <v>2.97</v>
      </c>
      <c r="D20" s="348">
        <v>3.1</v>
      </c>
      <c r="E20" s="348">
        <v>3.25</v>
      </c>
      <c r="F20" s="348">
        <v>3.39</v>
      </c>
      <c r="G20" s="348">
        <v>3.53</v>
      </c>
      <c r="H20" s="348">
        <v>3.66</v>
      </c>
      <c r="I20" s="348">
        <v>3.78</v>
      </c>
      <c r="J20" s="348">
        <v>3.88</v>
      </c>
      <c r="K20" s="348">
        <v>3.97</v>
      </c>
      <c r="L20" s="348">
        <v>4.0599999999999996</v>
      </c>
      <c r="M20" s="348">
        <v>4.1399999999999997</v>
      </c>
      <c r="N20" s="348">
        <v>4.2</v>
      </c>
      <c r="O20" s="348">
        <v>4.26</v>
      </c>
      <c r="P20" s="2205">
        <v>4.3099999999999996</v>
      </c>
      <c r="Q20" s="348">
        <v>4.33</v>
      </c>
      <c r="R20" s="348">
        <v>4.3499999999999996</v>
      </c>
      <c r="S20" s="348">
        <v>4.37</v>
      </c>
      <c r="T20" s="348">
        <v>4.3899999999999997</v>
      </c>
      <c r="U20" s="348">
        <v>4.4000000000000004</v>
      </c>
      <c r="V20" s="348">
        <v>4.3899999999999997</v>
      </c>
      <c r="W20" s="348">
        <v>4.3899999999999997</v>
      </c>
      <c r="X20" s="348">
        <v>4.38</v>
      </c>
      <c r="Y20" s="348">
        <v>4.37</v>
      </c>
      <c r="Z20" s="348">
        <v>4.37</v>
      </c>
      <c r="AA20" s="348">
        <v>4.3499999999999996</v>
      </c>
      <c r="AB20" s="348">
        <v>4.34</v>
      </c>
      <c r="AC20" s="348">
        <v>4.33</v>
      </c>
      <c r="AD20" s="348">
        <v>4.32</v>
      </c>
      <c r="AE20" s="348">
        <v>4.3</v>
      </c>
      <c r="AF20" s="348">
        <v>4.29</v>
      </c>
      <c r="AG20" s="348">
        <v>4.28</v>
      </c>
      <c r="AH20" s="348">
        <v>4.2699999999999996</v>
      </c>
      <c r="AI20" s="348">
        <v>4.26</v>
      </c>
      <c r="AJ20" s="348">
        <v>4.25</v>
      </c>
      <c r="AK20" s="348">
        <v>4.24</v>
      </c>
      <c r="AL20" s="348">
        <v>4.24</v>
      </c>
      <c r="AM20" s="348">
        <v>4.2300000000000004</v>
      </c>
      <c r="AN20" s="348">
        <v>4.22</v>
      </c>
      <c r="AO20" s="348">
        <v>4.21</v>
      </c>
      <c r="AP20" s="348">
        <v>4.21</v>
      </c>
      <c r="AQ20" s="348">
        <v>4.2</v>
      </c>
      <c r="AR20" s="348">
        <v>4.2</v>
      </c>
      <c r="AS20" s="348">
        <v>4.1900000000000004</v>
      </c>
      <c r="AT20" s="348">
        <v>4.1900000000000004</v>
      </c>
      <c r="AU20" s="348">
        <v>4.18</v>
      </c>
      <c r="AV20" s="348">
        <v>4.18</v>
      </c>
      <c r="AW20" s="348">
        <v>4.18</v>
      </c>
      <c r="AX20" s="348">
        <v>4.17</v>
      </c>
      <c r="AY20" s="348">
        <v>4.17</v>
      </c>
      <c r="BB20" s="348">
        <v>3.89</v>
      </c>
    </row>
    <row r="21" spans="1:54">
      <c r="A21" s="111">
        <v>42400</v>
      </c>
      <c r="B21" s="348">
        <v>2.87</v>
      </c>
      <c r="C21" s="348">
        <v>2.95</v>
      </c>
      <c r="D21" s="348">
        <v>3.08</v>
      </c>
      <c r="E21" s="348">
        <v>3.23</v>
      </c>
      <c r="F21" s="348">
        <v>3.37</v>
      </c>
      <c r="G21" s="348">
        <v>3.51</v>
      </c>
      <c r="H21" s="348">
        <v>3.64</v>
      </c>
      <c r="I21" s="348">
        <v>3.75</v>
      </c>
      <c r="J21" s="348">
        <v>3.86</v>
      </c>
      <c r="K21" s="348">
        <v>3.96</v>
      </c>
      <c r="L21" s="348">
        <v>4.04</v>
      </c>
      <c r="M21" s="348">
        <v>4.12</v>
      </c>
      <c r="N21" s="348">
        <v>4.18</v>
      </c>
      <c r="O21" s="348">
        <v>4.24</v>
      </c>
      <c r="P21" s="2205">
        <v>4.29</v>
      </c>
      <c r="Q21" s="348">
        <v>4.3099999999999996</v>
      </c>
      <c r="R21" s="348">
        <v>4.33</v>
      </c>
      <c r="S21" s="348">
        <v>4.3499999999999996</v>
      </c>
      <c r="T21" s="348">
        <v>4.37</v>
      </c>
      <c r="U21" s="348">
        <v>4.38</v>
      </c>
      <c r="V21" s="348">
        <v>4.38</v>
      </c>
      <c r="W21" s="348">
        <v>4.37</v>
      </c>
      <c r="X21" s="348">
        <v>4.3600000000000003</v>
      </c>
      <c r="Y21" s="348">
        <v>4.3600000000000003</v>
      </c>
      <c r="Z21" s="348">
        <v>4.3499999999999996</v>
      </c>
      <c r="AA21" s="348">
        <v>4.34</v>
      </c>
      <c r="AB21" s="348">
        <v>4.32</v>
      </c>
      <c r="AC21" s="348">
        <v>4.3099999999999996</v>
      </c>
      <c r="AD21" s="348">
        <v>4.3</v>
      </c>
      <c r="AE21" s="348">
        <v>4.29</v>
      </c>
      <c r="AF21" s="348">
        <v>4.28</v>
      </c>
      <c r="AG21" s="348">
        <v>4.26</v>
      </c>
      <c r="AH21" s="348">
        <v>4.25</v>
      </c>
      <c r="AI21" s="348">
        <v>4.24</v>
      </c>
      <c r="AJ21" s="348">
        <v>4.24</v>
      </c>
      <c r="AK21" s="348">
        <v>4.2300000000000004</v>
      </c>
      <c r="AL21" s="348">
        <v>4.22</v>
      </c>
      <c r="AM21" s="348">
        <v>4.21</v>
      </c>
      <c r="AN21" s="348">
        <v>4.2</v>
      </c>
      <c r="AO21" s="348">
        <v>4.2</v>
      </c>
      <c r="AP21" s="348">
        <v>4.1900000000000004</v>
      </c>
      <c r="AQ21" s="348">
        <v>4.1900000000000004</v>
      </c>
      <c r="AR21" s="348">
        <v>4.18</v>
      </c>
      <c r="AS21" s="348">
        <v>4.18</v>
      </c>
      <c r="AT21" s="348">
        <v>4.17</v>
      </c>
      <c r="AU21" s="348">
        <v>4.17</v>
      </c>
      <c r="AV21" s="348">
        <v>4.16</v>
      </c>
      <c r="AW21" s="348">
        <v>4.16</v>
      </c>
      <c r="AX21" s="348">
        <v>4.16</v>
      </c>
      <c r="AY21" s="348">
        <v>4.1500000000000004</v>
      </c>
      <c r="BB21" s="348">
        <v>3.83</v>
      </c>
    </row>
    <row r="22" spans="1:54">
      <c r="A22" s="111">
        <v>42429</v>
      </c>
      <c r="B22" s="348">
        <v>2.84</v>
      </c>
      <c r="C22" s="348">
        <v>2.93</v>
      </c>
      <c r="D22" s="348">
        <v>3.06</v>
      </c>
      <c r="E22" s="348">
        <v>3.2</v>
      </c>
      <c r="F22" s="348">
        <v>3.35</v>
      </c>
      <c r="G22" s="348">
        <v>3.49</v>
      </c>
      <c r="H22" s="348">
        <v>3.62</v>
      </c>
      <c r="I22" s="348">
        <v>3.73</v>
      </c>
      <c r="J22" s="348">
        <v>3.84</v>
      </c>
      <c r="K22" s="348">
        <v>3.93</v>
      </c>
      <c r="L22" s="348">
        <v>4.0199999999999996</v>
      </c>
      <c r="M22" s="348">
        <v>4.0999999999999996</v>
      </c>
      <c r="N22" s="348">
        <v>4.16</v>
      </c>
      <c r="O22" s="348">
        <v>4.22</v>
      </c>
      <c r="P22" s="2205">
        <v>4.2699999999999996</v>
      </c>
      <c r="Q22" s="348">
        <v>4.29</v>
      </c>
      <c r="R22" s="348">
        <v>4.3099999999999996</v>
      </c>
      <c r="S22" s="348">
        <v>4.33</v>
      </c>
      <c r="T22" s="348">
        <v>4.3499999999999996</v>
      </c>
      <c r="U22" s="348">
        <v>4.3600000000000003</v>
      </c>
      <c r="V22" s="348">
        <v>4.3600000000000003</v>
      </c>
      <c r="W22" s="348">
        <v>4.3499999999999996</v>
      </c>
      <c r="X22" s="348">
        <v>4.34</v>
      </c>
      <c r="Y22" s="348">
        <v>4.34</v>
      </c>
      <c r="Z22" s="348">
        <v>4.33</v>
      </c>
      <c r="AA22" s="348">
        <v>4.32</v>
      </c>
      <c r="AB22" s="348">
        <v>4.3</v>
      </c>
      <c r="AC22" s="348">
        <v>4.29</v>
      </c>
      <c r="AD22" s="348">
        <v>4.28</v>
      </c>
      <c r="AE22" s="348">
        <v>4.2699999999999996</v>
      </c>
      <c r="AF22" s="348">
        <v>4.26</v>
      </c>
      <c r="AG22" s="348">
        <v>4.24</v>
      </c>
      <c r="AH22" s="348">
        <v>4.2300000000000004</v>
      </c>
      <c r="AI22" s="348">
        <v>4.2300000000000004</v>
      </c>
      <c r="AJ22" s="348">
        <v>4.22</v>
      </c>
      <c r="AK22" s="348">
        <v>4.21</v>
      </c>
      <c r="AL22" s="348">
        <v>4.2</v>
      </c>
      <c r="AM22" s="348">
        <v>4.1900000000000004</v>
      </c>
      <c r="AN22" s="348">
        <v>4.18</v>
      </c>
      <c r="AO22" s="348">
        <v>4.18</v>
      </c>
      <c r="AP22" s="348">
        <v>4.17</v>
      </c>
      <c r="AQ22" s="348">
        <v>4.17</v>
      </c>
      <c r="AR22" s="348">
        <v>4.16</v>
      </c>
      <c r="AS22" s="348">
        <v>4.16</v>
      </c>
      <c r="AT22" s="348">
        <v>4.1500000000000004</v>
      </c>
      <c r="AU22" s="348">
        <v>4.1500000000000004</v>
      </c>
      <c r="AV22" s="348">
        <v>4.1399999999999997</v>
      </c>
      <c r="AW22" s="348">
        <v>4.1399999999999997</v>
      </c>
      <c r="AX22" s="348">
        <v>4.1399999999999997</v>
      </c>
      <c r="AY22" s="348">
        <v>4.13</v>
      </c>
      <c r="BB22" s="348">
        <v>3.76</v>
      </c>
    </row>
    <row r="23" spans="1:54">
      <c r="A23" s="111">
        <v>42460</v>
      </c>
      <c r="B23" s="348">
        <v>2.82</v>
      </c>
      <c r="C23" s="348">
        <v>2.9</v>
      </c>
      <c r="D23" s="348">
        <v>3.03</v>
      </c>
      <c r="E23" s="348">
        <v>3.18</v>
      </c>
      <c r="F23" s="348">
        <v>3.32</v>
      </c>
      <c r="G23" s="348">
        <v>3.46</v>
      </c>
      <c r="H23" s="348">
        <v>3.59</v>
      </c>
      <c r="I23" s="348">
        <v>3.71</v>
      </c>
      <c r="J23" s="348">
        <v>3.81</v>
      </c>
      <c r="K23" s="348">
        <v>3.91</v>
      </c>
      <c r="L23" s="348">
        <v>4</v>
      </c>
      <c r="M23" s="348">
        <v>4.08</v>
      </c>
      <c r="N23" s="348">
        <v>4.1399999999999997</v>
      </c>
      <c r="O23" s="348">
        <v>4.2</v>
      </c>
      <c r="P23" s="2205">
        <v>4.24</v>
      </c>
      <c r="Q23" s="348">
        <v>4.2699999999999996</v>
      </c>
      <c r="R23" s="348">
        <v>4.29</v>
      </c>
      <c r="S23" s="348">
        <v>4.3099999999999996</v>
      </c>
      <c r="T23" s="348">
        <v>4.33</v>
      </c>
      <c r="U23" s="348">
        <v>4.34</v>
      </c>
      <c r="V23" s="348">
        <v>4.33</v>
      </c>
      <c r="W23" s="348">
        <v>4.33</v>
      </c>
      <c r="X23" s="348">
        <v>4.32</v>
      </c>
      <c r="Y23" s="348">
        <v>4.32</v>
      </c>
      <c r="Z23" s="348">
        <v>4.3099999999999996</v>
      </c>
      <c r="AA23" s="348">
        <v>4.3</v>
      </c>
      <c r="AB23" s="348">
        <v>4.28</v>
      </c>
      <c r="AC23" s="348">
        <v>4.2699999999999996</v>
      </c>
      <c r="AD23" s="348">
        <v>4.26</v>
      </c>
      <c r="AE23" s="348">
        <v>4.24</v>
      </c>
      <c r="AF23" s="348">
        <v>4.2300000000000004</v>
      </c>
      <c r="AG23" s="348">
        <v>4.22</v>
      </c>
      <c r="AH23" s="348">
        <v>4.21</v>
      </c>
      <c r="AI23" s="348">
        <v>4.2</v>
      </c>
      <c r="AJ23" s="348">
        <v>4.1900000000000004</v>
      </c>
      <c r="AK23" s="348">
        <v>4.18</v>
      </c>
      <c r="AL23" s="348">
        <v>4.18</v>
      </c>
      <c r="AM23" s="348">
        <v>4.17</v>
      </c>
      <c r="AN23" s="348">
        <v>4.16</v>
      </c>
      <c r="AO23" s="348">
        <v>4.1500000000000004</v>
      </c>
      <c r="AP23" s="348">
        <v>4.1500000000000004</v>
      </c>
      <c r="AQ23" s="348">
        <v>4.1399999999999997</v>
      </c>
      <c r="AR23" s="348">
        <v>4.1399999999999997</v>
      </c>
      <c r="AS23" s="348">
        <v>4.13</v>
      </c>
      <c r="AT23" s="348">
        <v>4.13</v>
      </c>
      <c r="AU23" s="348">
        <v>4.12</v>
      </c>
      <c r="AV23" s="348">
        <v>4.12</v>
      </c>
      <c r="AW23" s="348">
        <v>4.12</v>
      </c>
      <c r="AX23" s="348">
        <v>4.1100000000000003</v>
      </c>
      <c r="AY23" s="348">
        <v>4.1100000000000003</v>
      </c>
      <c r="BB23" s="348">
        <v>3.7</v>
      </c>
    </row>
    <row r="24" spans="1:54">
      <c r="A24" s="111">
        <v>42490</v>
      </c>
      <c r="B24" s="348">
        <v>2.79</v>
      </c>
      <c r="C24" s="348">
        <v>2.87</v>
      </c>
      <c r="D24" s="348">
        <v>3</v>
      </c>
      <c r="E24" s="348">
        <v>3.15</v>
      </c>
      <c r="F24" s="348">
        <v>3.29</v>
      </c>
      <c r="G24" s="348">
        <v>3.44</v>
      </c>
      <c r="H24" s="348">
        <v>3.56</v>
      </c>
      <c r="I24" s="348">
        <v>3.68</v>
      </c>
      <c r="J24" s="348">
        <v>3.79</v>
      </c>
      <c r="K24" s="348">
        <v>3.88</v>
      </c>
      <c r="L24" s="348">
        <v>3.97</v>
      </c>
      <c r="M24" s="348">
        <v>4.05</v>
      </c>
      <c r="N24" s="348">
        <v>4.12</v>
      </c>
      <c r="O24" s="348">
        <v>4.17</v>
      </c>
      <c r="P24" s="2205">
        <v>4.22</v>
      </c>
      <c r="Q24" s="348">
        <v>4.24</v>
      </c>
      <c r="R24" s="348">
        <v>4.2699999999999996</v>
      </c>
      <c r="S24" s="348">
        <v>4.29</v>
      </c>
      <c r="T24" s="348">
        <v>4.3</v>
      </c>
      <c r="U24" s="348">
        <v>4.32</v>
      </c>
      <c r="V24" s="348">
        <v>4.3099999999999996</v>
      </c>
      <c r="W24" s="348">
        <v>4.3</v>
      </c>
      <c r="X24" s="348">
        <v>4.3</v>
      </c>
      <c r="Y24" s="348">
        <v>4.29</v>
      </c>
      <c r="Z24" s="348">
        <v>4.29</v>
      </c>
      <c r="AA24" s="348">
        <v>4.2699999999999996</v>
      </c>
      <c r="AB24" s="348">
        <v>4.26</v>
      </c>
      <c r="AC24" s="348">
        <v>4.24</v>
      </c>
      <c r="AD24" s="348">
        <v>4.2300000000000004</v>
      </c>
      <c r="AE24" s="348">
        <v>4.22</v>
      </c>
      <c r="AF24" s="348">
        <v>4.21</v>
      </c>
      <c r="AG24" s="348">
        <v>4.2</v>
      </c>
      <c r="AH24" s="348">
        <v>4.1900000000000004</v>
      </c>
      <c r="AI24" s="348">
        <v>4.18</v>
      </c>
      <c r="AJ24" s="348">
        <v>4.17</v>
      </c>
      <c r="AK24" s="348">
        <v>4.16</v>
      </c>
      <c r="AL24" s="348">
        <v>4.1500000000000004</v>
      </c>
      <c r="AM24" s="348">
        <v>4.1500000000000004</v>
      </c>
      <c r="AN24" s="348">
        <v>4.1399999999999997</v>
      </c>
      <c r="AO24" s="348">
        <v>4.13</v>
      </c>
      <c r="AP24" s="348">
        <v>4.13</v>
      </c>
      <c r="AQ24" s="348">
        <v>4.12</v>
      </c>
      <c r="AR24" s="348">
        <v>4.12</v>
      </c>
      <c r="AS24" s="348">
        <v>4.1100000000000003</v>
      </c>
      <c r="AT24" s="348">
        <v>4.1100000000000003</v>
      </c>
      <c r="AU24" s="348">
        <v>4.0999999999999996</v>
      </c>
      <c r="AV24" s="348">
        <v>4.0999999999999996</v>
      </c>
      <c r="AW24" s="348">
        <v>4.09</v>
      </c>
      <c r="AX24" s="348">
        <v>4.09</v>
      </c>
      <c r="AY24" s="348">
        <v>4.09</v>
      </c>
      <c r="BB24" s="348">
        <v>3.64</v>
      </c>
    </row>
    <row r="25" spans="1:54">
      <c r="A25" s="111">
        <v>42521</v>
      </c>
      <c r="B25" s="348">
        <v>2.77</v>
      </c>
      <c r="C25" s="348">
        <v>2.84</v>
      </c>
      <c r="D25" s="348">
        <v>2.97</v>
      </c>
      <c r="E25" s="348">
        <v>3.12</v>
      </c>
      <c r="F25" s="348">
        <v>3.26</v>
      </c>
      <c r="G25" s="348">
        <v>3.41</v>
      </c>
      <c r="H25" s="348">
        <v>3.53</v>
      </c>
      <c r="I25" s="348">
        <v>3.65</v>
      </c>
      <c r="J25" s="348">
        <v>3.76</v>
      </c>
      <c r="K25" s="348">
        <v>3.86</v>
      </c>
      <c r="L25" s="348">
        <v>3.95</v>
      </c>
      <c r="M25" s="348">
        <v>4.0199999999999996</v>
      </c>
      <c r="N25" s="348">
        <v>4.09</v>
      </c>
      <c r="O25" s="348">
        <v>4.1500000000000004</v>
      </c>
      <c r="P25" s="2205">
        <v>4.2</v>
      </c>
      <c r="Q25" s="348">
        <v>4.22</v>
      </c>
      <c r="R25" s="348">
        <v>4.24</v>
      </c>
      <c r="S25" s="348">
        <v>4.26</v>
      </c>
      <c r="T25" s="348">
        <v>4.28</v>
      </c>
      <c r="U25" s="348">
        <v>4.29</v>
      </c>
      <c r="V25" s="348">
        <v>4.28</v>
      </c>
      <c r="W25" s="348">
        <v>4.28</v>
      </c>
      <c r="X25" s="348">
        <v>4.2699999999999996</v>
      </c>
      <c r="Y25" s="348">
        <v>4.2699999999999996</v>
      </c>
      <c r="Z25" s="348">
        <v>4.26</v>
      </c>
      <c r="AA25" s="348">
        <v>4.25</v>
      </c>
      <c r="AB25" s="348">
        <v>4.2300000000000004</v>
      </c>
      <c r="AC25" s="348">
        <v>4.22</v>
      </c>
      <c r="AD25" s="348">
        <v>4.21</v>
      </c>
      <c r="AE25" s="348">
        <v>4.2</v>
      </c>
      <c r="AF25" s="348">
        <v>4.18</v>
      </c>
      <c r="AG25" s="348">
        <v>4.17</v>
      </c>
      <c r="AH25" s="348">
        <v>4.16</v>
      </c>
      <c r="AI25" s="348">
        <v>4.1500000000000004</v>
      </c>
      <c r="AJ25" s="348">
        <v>4.1399999999999997</v>
      </c>
      <c r="AK25" s="348">
        <v>4.1399999999999997</v>
      </c>
      <c r="AL25" s="348">
        <v>4.13</v>
      </c>
      <c r="AM25" s="348">
        <v>4.12</v>
      </c>
      <c r="AN25" s="348">
        <v>4.1100000000000003</v>
      </c>
      <c r="AO25" s="348">
        <v>4.1100000000000003</v>
      </c>
      <c r="AP25" s="348">
        <v>4.0999999999999996</v>
      </c>
      <c r="AQ25" s="348">
        <v>4.09</v>
      </c>
      <c r="AR25" s="348">
        <v>4.09</v>
      </c>
      <c r="AS25" s="348">
        <v>4.08</v>
      </c>
      <c r="AT25" s="348">
        <v>4.08</v>
      </c>
      <c r="AU25" s="348">
        <v>4.08</v>
      </c>
      <c r="AV25" s="348">
        <v>4.07</v>
      </c>
      <c r="AW25" s="348">
        <v>4.07</v>
      </c>
      <c r="AX25" s="348">
        <v>4.0599999999999996</v>
      </c>
      <c r="AY25" s="348">
        <v>4.0599999999999996</v>
      </c>
      <c r="BB25" s="348">
        <v>3.58</v>
      </c>
    </row>
    <row r="26" spans="1:54">
      <c r="A26" s="111">
        <v>42551</v>
      </c>
      <c r="B26" s="348">
        <v>2.74</v>
      </c>
      <c r="C26" s="348">
        <v>2.81</v>
      </c>
      <c r="D26" s="348">
        <v>2.94</v>
      </c>
      <c r="E26" s="348">
        <v>3.09</v>
      </c>
      <c r="F26" s="348">
        <v>3.23</v>
      </c>
      <c r="G26" s="348">
        <v>3.37</v>
      </c>
      <c r="H26" s="348">
        <v>3.5</v>
      </c>
      <c r="I26" s="348">
        <v>3.62</v>
      </c>
      <c r="J26" s="348">
        <v>3.73</v>
      </c>
      <c r="K26" s="348">
        <v>3.83</v>
      </c>
      <c r="L26" s="348">
        <v>3.92</v>
      </c>
      <c r="M26" s="348">
        <v>3.99</v>
      </c>
      <c r="N26" s="348">
        <v>4.0599999999999996</v>
      </c>
      <c r="O26" s="348">
        <v>4.12</v>
      </c>
      <c r="P26" s="2205">
        <v>4.17</v>
      </c>
      <c r="Q26" s="348">
        <v>4.1900000000000004</v>
      </c>
      <c r="R26" s="348">
        <v>4.21</v>
      </c>
      <c r="S26" s="348">
        <v>4.2300000000000004</v>
      </c>
      <c r="T26" s="348">
        <v>4.25</v>
      </c>
      <c r="U26" s="348">
        <v>4.26</v>
      </c>
      <c r="V26" s="348">
        <v>4.26</v>
      </c>
      <c r="W26" s="348">
        <v>4.25</v>
      </c>
      <c r="X26" s="348">
        <v>4.24</v>
      </c>
      <c r="Y26" s="348">
        <v>4.24</v>
      </c>
      <c r="Z26" s="348">
        <v>4.2300000000000004</v>
      </c>
      <c r="AA26" s="348">
        <v>4.22</v>
      </c>
      <c r="AB26" s="348">
        <v>4.2</v>
      </c>
      <c r="AC26" s="348">
        <v>4.1900000000000004</v>
      </c>
      <c r="AD26" s="348">
        <v>4.18</v>
      </c>
      <c r="AE26" s="348">
        <v>4.17</v>
      </c>
      <c r="AF26" s="348">
        <v>4.16</v>
      </c>
      <c r="AG26" s="348">
        <v>4.1399999999999997</v>
      </c>
      <c r="AH26" s="348">
        <v>4.13</v>
      </c>
      <c r="AI26" s="348">
        <v>4.12</v>
      </c>
      <c r="AJ26" s="348">
        <v>4.12</v>
      </c>
      <c r="AK26" s="348">
        <v>4.1100000000000003</v>
      </c>
      <c r="AL26" s="348">
        <v>4.0999999999999996</v>
      </c>
      <c r="AM26" s="348">
        <v>4.09</v>
      </c>
      <c r="AN26" s="348">
        <v>4.08</v>
      </c>
      <c r="AO26" s="348">
        <v>4.08</v>
      </c>
      <c r="AP26" s="348">
        <v>4.07</v>
      </c>
      <c r="AQ26" s="348">
        <v>4.07</v>
      </c>
      <c r="AR26" s="348">
        <v>4.0599999999999996</v>
      </c>
      <c r="AS26" s="348">
        <v>4.0599999999999996</v>
      </c>
      <c r="AT26" s="348">
        <v>4.05</v>
      </c>
      <c r="AU26" s="348">
        <v>4.05</v>
      </c>
      <c r="AV26" s="348">
        <v>4.04</v>
      </c>
      <c r="AW26" s="348">
        <v>4.04</v>
      </c>
      <c r="AX26" s="348">
        <v>4.04</v>
      </c>
      <c r="AY26" s="348">
        <v>4.03</v>
      </c>
      <c r="BB26" s="348">
        <v>3.52</v>
      </c>
    </row>
    <row r="27" spans="1:54">
      <c r="A27" s="111">
        <v>42582</v>
      </c>
      <c r="B27" s="348">
        <v>2.71</v>
      </c>
      <c r="C27" s="348">
        <v>2.78</v>
      </c>
      <c r="D27" s="348">
        <v>2.91</v>
      </c>
      <c r="E27" s="348">
        <v>3.06</v>
      </c>
      <c r="F27" s="348">
        <v>3.2</v>
      </c>
      <c r="G27" s="348">
        <v>3.34</v>
      </c>
      <c r="H27" s="348">
        <v>3.47</v>
      </c>
      <c r="I27" s="348">
        <v>3.59</v>
      </c>
      <c r="J27" s="348">
        <v>3.7</v>
      </c>
      <c r="K27" s="348">
        <v>3.8</v>
      </c>
      <c r="L27" s="348">
        <v>3.89</v>
      </c>
      <c r="M27" s="348">
        <v>3.96</v>
      </c>
      <c r="N27" s="348">
        <v>4.03</v>
      </c>
      <c r="O27" s="348">
        <v>4.09</v>
      </c>
      <c r="P27" s="2205">
        <v>4.1399999999999997</v>
      </c>
      <c r="Q27" s="348">
        <v>4.16</v>
      </c>
      <c r="R27" s="348">
        <v>4.18</v>
      </c>
      <c r="S27" s="348">
        <v>4.2</v>
      </c>
      <c r="T27" s="348">
        <v>4.22</v>
      </c>
      <c r="U27" s="348">
        <v>4.2300000000000004</v>
      </c>
      <c r="V27" s="348">
        <v>4.2300000000000004</v>
      </c>
      <c r="W27" s="348">
        <v>4.22</v>
      </c>
      <c r="X27" s="348">
        <v>4.21</v>
      </c>
      <c r="Y27" s="348">
        <v>4.21</v>
      </c>
      <c r="Z27" s="348">
        <v>4.2</v>
      </c>
      <c r="AA27" s="348">
        <v>4.1900000000000004</v>
      </c>
      <c r="AB27" s="348">
        <v>4.17</v>
      </c>
      <c r="AC27" s="348">
        <v>4.16</v>
      </c>
      <c r="AD27" s="348">
        <v>4.1500000000000004</v>
      </c>
      <c r="AE27" s="348">
        <v>4.1399999999999997</v>
      </c>
      <c r="AF27" s="348">
        <v>4.12</v>
      </c>
      <c r="AG27" s="348">
        <v>4.1100000000000003</v>
      </c>
      <c r="AH27" s="348">
        <v>4.0999999999999996</v>
      </c>
      <c r="AI27" s="348">
        <v>4.09</v>
      </c>
      <c r="AJ27" s="348">
        <v>4.08</v>
      </c>
      <c r="AK27" s="348">
        <v>4.08</v>
      </c>
      <c r="AL27" s="348">
        <v>4.07</v>
      </c>
      <c r="AM27" s="348">
        <v>4.0599999999999996</v>
      </c>
      <c r="AN27" s="348">
        <v>4.05</v>
      </c>
      <c r="AO27" s="348">
        <v>4.05</v>
      </c>
      <c r="AP27" s="348">
        <v>4.04</v>
      </c>
      <c r="AQ27" s="348">
        <v>4.04</v>
      </c>
      <c r="AR27" s="348">
        <v>4.03</v>
      </c>
      <c r="AS27" s="348">
        <v>4.03</v>
      </c>
      <c r="AT27" s="348">
        <v>4.0199999999999996</v>
      </c>
      <c r="AU27" s="348">
        <v>4.0199999999999996</v>
      </c>
      <c r="AV27" s="348">
        <v>4.01</v>
      </c>
      <c r="AW27" s="348">
        <v>4.01</v>
      </c>
      <c r="AX27" s="348">
        <v>4</v>
      </c>
      <c r="AY27" s="348">
        <v>4</v>
      </c>
      <c r="BB27" s="348">
        <v>3.47</v>
      </c>
    </row>
    <row r="28" spans="1:54">
      <c r="A28" s="111">
        <v>42613</v>
      </c>
      <c r="B28" s="348">
        <v>2.68</v>
      </c>
      <c r="C28" s="348">
        <v>2.75</v>
      </c>
      <c r="D28" s="348">
        <v>2.88</v>
      </c>
      <c r="E28" s="348">
        <v>3.02</v>
      </c>
      <c r="F28" s="348">
        <v>3.17</v>
      </c>
      <c r="G28" s="348">
        <v>3.31</v>
      </c>
      <c r="H28" s="348">
        <v>3.44</v>
      </c>
      <c r="I28" s="348">
        <v>3.56</v>
      </c>
      <c r="J28" s="348">
        <v>3.67</v>
      </c>
      <c r="K28" s="348">
        <v>3.77</v>
      </c>
      <c r="L28" s="348">
        <v>3.86</v>
      </c>
      <c r="M28" s="348">
        <v>3.93</v>
      </c>
      <c r="N28" s="348">
        <v>4</v>
      </c>
      <c r="O28" s="348">
        <v>4.0599999999999996</v>
      </c>
      <c r="P28" s="2205">
        <v>4.1100000000000003</v>
      </c>
      <c r="Q28" s="348">
        <v>4.13</v>
      </c>
      <c r="R28" s="348">
        <v>4.1500000000000004</v>
      </c>
      <c r="S28" s="348">
        <v>4.17</v>
      </c>
      <c r="T28" s="348">
        <v>4.1900000000000004</v>
      </c>
      <c r="U28" s="348">
        <v>4.2</v>
      </c>
      <c r="V28" s="348">
        <v>4.2</v>
      </c>
      <c r="W28" s="348">
        <v>4.1900000000000004</v>
      </c>
      <c r="X28" s="348">
        <v>4.18</v>
      </c>
      <c r="Y28" s="348">
        <v>4.18</v>
      </c>
      <c r="Z28" s="348">
        <v>4.17</v>
      </c>
      <c r="AA28" s="348">
        <v>4.16</v>
      </c>
      <c r="AB28" s="348">
        <v>4.1399999999999997</v>
      </c>
      <c r="AC28" s="348">
        <v>4.13</v>
      </c>
      <c r="AD28" s="348">
        <v>4.12</v>
      </c>
      <c r="AE28" s="348">
        <v>4.1100000000000003</v>
      </c>
      <c r="AF28" s="348">
        <v>4.0999999999999996</v>
      </c>
      <c r="AG28" s="348">
        <v>4.09</v>
      </c>
      <c r="AH28" s="348">
        <v>4.08</v>
      </c>
      <c r="AI28" s="348">
        <v>4.07</v>
      </c>
      <c r="AJ28" s="348">
        <v>4.0599999999999996</v>
      </c>
      <c r="AK28" s="348">
        <v>4.05</v>
      </c>
      <c r="AL28" s="348">
        <v>4.04</v>
      </c>
      <c r="AM28" s="348">
        <v>4.03</v>
      </c>
      <c r="AN28" s="348">
        <v>4.0199999999999996</v>
      </c>
      <c r="AO28" s="348">
        <v>4.0199999999999996</v>
      </c>
      <c r="AP28" s="348">
        <v>4.01</v>
      </c>
      <c r="AQ28" s="348">
        <v>4.01</v>
      </c>
      <c r="AR28" s="348">
        <v>4</v>
      </c>
      <c r="AS28" s="348">
        <v>4</v>
      </c>
      <c r="AT28" s="348">
        <v>3.99</v>
      </c>
      <c r="AU28" s="348">
        <v>3.99</v>
      </c>
      <c r="AV28" s="348">
        <v>3.98</v>
      </c>
      <c r="AW28" s="348">
        <v>3.98</v>
      </c>
      <c r="AX28" s="348">
        <v>3.98</v>
      </c>
      <c r="AY28" s="348">
        <v>3.97</v>
      </c>
      <c r="BB28" s="348">
        <v>3.42</v>
      </c>
    </row>
    <row r="29" spans="1:54">
      <c r="A29" s="111">
        <v>42643</v>
      </c>
      <c r="B29" s="348">
        <v>2.65</v>
      </c>
      <c r="C29" s="348">
        <v>2.72</v>
      </c>
      <c r="D29" s="348">
        <v>2.85</v>
      </c>
      <c r="E29" s="348">
        <v>2.99</v>
      </c>
      <c r="F29" s="348">
        <v>3.14</v>
      </c>
      <c r="G29" s="348">
        <v>3.28</v>
      </c>
      <c r="H29" s="348">
        <v>3.41</v>
      </c>
      <c r="I29" s="348">
        <v>3.53</v>
      </c>
      <c r="J29" s="348">
        <v>3.64</v>
      </c>
      <c r="K29" s="348">
        <v>3.74</v>
      </c>
      <c r="L29" s="348">
        <v>3.83</v>
      </c>
      <c r="M29" s="348">
        <v>3.91</v>
      </c>
      <c r="N29" s="348">
        <v>3.97</v>
      </c>
      <c r="O29" s="348">
        <v>4.03</v>
      </c>
      <c r="P29" s="2205">
        <v>4.08</v>
      </c>
      <c r="Q29" s="348">
        <v>4.0999999999999996</v>
      </c>
      <c r="R29" s="348">
        <v>4.13</v>
      </c>
      <c r="S29" s="348">
        <v>4.1399999999999997</v>
      </c>
      <c r="T29" s="348">
        <v>4.16</v>
      </c>
      <c r="U29" s="348">
        <v>4.18</v>
      </c>
      <c r="V29" s="348">
        <v>4.17</v>
      </c>
      <c r="W29" s="348">
        <v>4.16</v>
      </c>
      <c r="X29" s="348">
        <v>4.16</v>
      </c>
      <c r="Y29" s="348">
        <v>4.1500000000000004</v>
      </c>
      <c r="Z29" s="348">
        <v>4.1500000000000004</v>
      </c>
      <c r="AA29" s="348">
        <v>4.13</v>
      </c>
      <c r="AB29" s="348">
        <v>4.12</v>
      </c>
      <c r="AC29" s="348">
        <v>4.1100000000000003</v>
      </c>
      <c r="AD29" s="348">
        <v>4.09</v>
      </c>
      <c r="AE29" s="348">
        <v>4.08</v>
      </c>
      <c r="AF29" s="348">
        <v>4.07</v>
      </c>
      <c r="AG29" s="348">
        <v>4.0599999999999996</v>
      </c>
      <c r="AH29" s="348">
        <v>4.05</v>
      </c>
      <c r="AI29" s="348">
        <v>4.04</v>
      </c>
      <c r="AJ29" s="348">
        <v>4.03</v>
      </c>
      <c r="AK29" s="348">
        <v>4.0199999999999996</v>
      </c>
      <c r="AL29" s="348">
        <v>4.01</v>
      </c>
      <c r="AM29" s="348">
        <v>4.01</v>
      </c>
      <c r="AN29" s="348">
        <v>4</v>
      </c>
      <c r="AO29" s="348">
        <v>3.99</v>
      </c>
      <c r="AP29" s="348">
        <v>3.99</v>
      </c>
      <c r="AQ29" s="348">
        <v>3.98</v>
      </c>
      <c r="AR29" s="348">
        <v>3.98</v>
      </c>
      <c r="AS29" s="348">
        <v>3.97</v>
      </c>
      <c r="AT29" s="348">
        <v>3.97</v>
      </c>
      <c r="AU29" s="348">
        <v>3.96</v>
      </c>
      <c r="AV29" s="348">
        <v>3.96</v>
      </c>
      <c r="AW29" s="348">
        <v>3.95</v>
      </c>
      <c r="AX29" s="348">
        <v>3.95</v>
      </c>
      <c r="AY29" s="348">
        <v>3.95</v>
      </c>
      <c r="BB29" s="348">
        <v>3.37</v>
      </c>
    </row>
    <row r="30" spans="1:54">
      <c r="A30" s="111">
        <v>42674</v>
      </c>
      <c r="B30" s="348">
        <v>2.61</v>
      </c>
      <c r="C30" s="348">
        <v>2.69</v>
      </c>
      <c r="D30" s="348">
        <v>2.82</v>
      </c>
      <c r="E30" s="348">
        <v>2.96</v>
      </c>
      <c r="F30" s="348">
        <v>3.11</v>
      </c>
      <c r="G30" s="348">
        <v>3.25</v>
      </c>
      <c r="H30" s="348">
        <v>3.38</v>
      </c>
      <c r="I30" s="348">
        <v>3.5</v>
      </c>
      <c r="J30" s="348">
        <v>3.61</v>
      </c>
      <c r="K30" s="348">
        <v>3.71</v>
      </c>
      <c r="L30" s="348">
        <v>3.8</v>
      </c>
      <c r="M30" s="348">
        <v>3.88</v>
      </c>
      <c r="N30" s="348">
        <v>3.95</v>
      </c>
      <c r="O30" s="348">
        <v>4.01</v>
      </c>
      <c r="P30" s="2205">
        <v>4.0599999999999996</v>
      </c>
      <c r="Q30" s="348">
        <v>4.08</v>
      </c>
      <c r="R30" s="348">
        <v>4.0999999999999996</v>
      </c>
      <c r="S30" s="348">
        <v>4.12</v>
      </c>
      <c r="T30" s="348">
        <v>4.1399999999999997</v>
      </c>
      <c r="U30" s="348">
        <v>4.1500000000000004</v>
      </c>
      <c r="V30" s="348">
        <v>4.1500000000000004</v>
      </c>
      <c r="W30" s="348">
        <v>4.1399999999999997</v>
      </c>
      <c r="X30" s="348">
        <v>4.13</v>
      </c>
      <c r="Y30" s="348">
        <v>4.13</v>
      </c>
      <c r="Z30" s="348">
        <v>4.12</v>
      </c>
      <c r="AA30" s="348">
        <v>4.1100000000000003</v>
      </c>
      <c r="AB30" s="348">
        <v>4.09</v>
      </c>
      <c r="AC30" s="348">
        <v>4.08</v>
      </c>
      <c r="AD30" s="348">
        <v>4.07</v>
      </c>
      <c r="AE30" s="348">
        <v>4.0599999999999996</v>
      </c>
      <c r="AF30" s="348">
        <v>4.05</v>
      </c>
      <c r="AG30" s="348">
        <v>4.04</v>
      </c>
      <c r="AH30" s="348">
        <v>4.03</v>
      </c>
      <c r="AI30" s="348">
        <v>4.0199999999999996</v>
      </c>
      <c r="AJ30" s="348">
        <v>4.01</v>
      </c>
      <c r="AK30" s="348">
        <v>4</v>
      </c>
      <c r="AL30" s="348">
        <v>3.99</v>
      </c>
      <c r="AM30" s="348">
        <v>3.98</v>
      </c>
      <c r="AN30" s="348">
        <v>3.98</v>
      </c>
      <c r="AO30" s="348">
        <v>3.97</v>
      </c>
      <c r="AP30" s="348">
        <v>3.96</v>
      </c>
      <c r="AQ30" s="348">
        <v>3.96</v>
      </c>
      <c r="AR30" s="348">
        <v>3.95</v>
      </c>
      <c r="AS30" s="348">
        <v>3.95</v>
      </c>
      <c r="AT30" s="348">
        <v>3.94</v>
      </c>
      <c r="AU30" s="348">
        <v>3.94</v>
      </c>
      <c r="AV30" s="348">
        <v>3.93</v>
      </c>
      <c r="AW30" s="348">
        <v>3.93</v>
      </c>
      <c r="AX30" s="348">
        <v>3.93</v>
      </c>
      <c r="AY30" s="348">
        <v>3.92</v>
      </c>
      <c r="BB30" s="348">
        <v>3.32</v>
      </c>
    </row>
    <row r="31" spans="1:54">
      <c r="A31" s="111">
        <v>42704</v>
      </c>
      <c r="B31" s="348">
        <v>2.58</v>
      </c>
      <c r="C31" s="348">
        <v>2.66</v>
      </c>
      <c r="D31" s="348">
        <v>2.79</v>
      </c>
      <c r="E31" s="348">
        <v>2.93</v>
      </c>
      <c r="F31" s="348">
        <v>3.08</v>
      </c>
      <c r="G31" s="348">
        <v>3.22</v>
      </c>
      <c r="H31" s="348">
        <v>3.35</v>
      </c>
      <c r="I31" s="348">
        <v>3.48</v>
      </c>
      <c r="J31" s="348">
        <v>3.59</v>
      </c>
      <c r="K31" s="348">
        <v>3.69</v>
      </c>
      <c r="L31" s="348">
        <v>3.78</v>
      </c>
      <c r="M31" s="348">
        <v>3.86</v>
      </c>
      <c r="N31" s="348">
        <v>3.93</v>
      </c>
      <c r="O31" s="348">
        <v>3.98</v>
      </c>
      <c r="P31" s="2205">
        <v>4.03</v>
      </c>
      <c r="Q31" s="348">
        <v>4.0599999999999996</v>
      </c>
      <c r="R31" s="348">
        <v>4.08</v>
      </c>
      <c r="S31" s="348">
        <v>4.0999999999999996</v>
      </c>
      <c r="T31" s="348">
        <v>4.12</v>
      </c>
      <c r="U31" s="348">
        <v>4.13</v>
      </c>
      <c r="V31" s="348">
        <v>4.13</v>
      </c>
      <c r="W31" s="348">
        <v>4.12</v>
      </c>
      <c r="X31" s="348">
        <v>4.1100000000000003</v>
      </c>
      <c r="Y31" s="348">
        <v>4.1100000000000003</v>
      </c>
      <c r="Z31" s="348">
        <v>4.0999999999999996</v>
      </c>
      <c r="AA31" s="348">
        <v>4.09</v>
      </c>
      <c r="AB31" s="348">
        <v>4.07</v>
      </c>
      <c r="AC31" s="348">
        <v>4.0599999999999996</v>
      </c>
      <c r="AD31" s="348">
        <v>4.05</v>
      </c>
      <c r="AE31" s="348">
        <v>4.04</v>
      </c>
      <c r="AF31" s="348">
        <v>4.03</v>
      </c>
      <c r="AG31" s="348">
        <v>4.0199999999999996</v>
      </c>
      <c r="AH31" s="348">
        <v>4.01</v>
      </c>
      <c r="AI31" s="348">
        <v>4</v>
      </c>
      <c r="AJ31" s="348">
        <v>3.99</v>
      </c>
      <c r="AK31" s="348">
        <v>3.98</v>
      </c>
      <c r="AL31" s="348">
        <v>3.97</v>
      </c>
      <c r="AM31" s="348">
        <v>3.96</v>
      </c>
      <c r="AN31" s="348">
        <v>3.96</v>
      </c>
      <c r="AO31" s="348">
        <v>3.95</v>
      </c>
      <c r="AP31" s="348">
        <v>3.94</v>
      </c>
      <c r="AQ31" s="348">
        <v>3.94</v>
      </c>
      <c r="AR31" s="348">
        <v>3.93</v>
      </c>
      <c r="AS31" s="348">
        <v>3.93</v>
      </c>
      <c r="AT31" s="348">
        <v>3.92</v>
      </c>
      <c r="AU31" s="348">
        <v>3.92</v>
      </c>
      <c r="AV31" s="348">
        <v>3.92</v>
      </c>
      <c r="AW31" s="348">
        <v>3.91</v>
      </c>
      <c r="AX31" s="348">
        <v>3.91</v>
      </c>
      <c r="AY31" s="348">
        <v>3.9</v>
      </c>
      <c r="BB31" s="348">
        <v>3.28</v>
      </c>
    </row>
    <row r="32" spans="1:54">
      <c r="A32" s="111">
        <v>42735</v>
      </c>
      <c r="B32" s="348">
        <v>2.5499999999999998</v>
      </c>
      <c r="C32" s="348">
        <v>2.62</v>
      </c>
      <c r="D32" s="348">
        <v>2.75</v>
      </c>
      <c r="E32" s="348">
        <v>2.9</v>
      </c>
      <c r="F32" s="348">
        <v>3.05</v>
      </c>
      <c r="G32" s="348">
        <v>3.19</v>
      </c>
      <c r="H32" s="348">
        <v>3.33</v>
      </c>
      <c r="I32" s="348">
        <v>3.45</v>
      </c>
      <c r="J32" s="348">
        <v>3.56</v>
      </c>
      <c r="K32" s="348">
        <v>3.66</v>
      </c>
      <c r="L32" s="348">
        <v>3.75</v>
      </c>
      <c r="M32" s="348">
        <v>3.83</v>
      </c>
      <c r="N32" s="348">
        <v>3.9</v>
      </c>
      <c r="O32" s="348">
        <v>3.96</v>
      </c>
      <c r="P32" s="2205">
        <v>4.01</v>
      </c>
      <c r="Q32" s="348">
        <v>4.04</v>
      </c>
      <c r="R32" s="348">
        <v>4.0599999999999996</v>
      </c>
      <c r="S32" s="348">
        <v>4.08</v>
      </c>
      <c r="T32" s="348">
        <v>4.09</v>
      </c>
      <c r="U32" s="348">
        <v>4.1100000000000003</v>
      </c>
      <c r="V32" s="348">
        <v>4.0999999999999996</v>
      </c>
      <c r="W32" s="348">
        <v>4.0999999999999996</v>
      </c>
      <c r="X32" s="348">
        <v>4.09</v>
      </c>
      <c r="Y32" s="348">
        <v>4.09</v>
      </c>
      <c r="Z32" s="348">
        <v>4.08</v>
      </c>
      <c r="AA32" s="348">
        <v>4.07</v>
      </c>
      <c r="AB32" s="348">
        <v>4.05</v>
      </c>
      <c r="AC32" s="348">
        <v>4.04</v>
      </c>
      <c r="AD32" s="348">
        <v>4.03</v>
      </c>
      <c r="AE32" s="348">
        <v>4.0199999999999996</v>
      </c>
      <c r="AF32" s="348">
        <v>4</v>
      </c>
      <c r="AG32" s="348">
        <v>3.99</v>
      </c>
      <c r="AH32" s="348">
        <v>3.98</v>
      </c>
      <c r="AI32" s="348">
        <v>3.97</v>
      </c>
      <c r="AJ32" s="348">
        <v>3.97</v>
      </c>
      <c r="AK32" s="348">
        <v>3.96</v>
      </c>
      <c r="AL32" s="348">
        <v>3.95</v>
      </c>
      <c r="AM32" s="348">
        <v>3.94</v>
      </c>
      <c r="AN32" s="348">
        <v>3.93</v>
      </c>
      <c r="AO32" s="348">
        <v>3.93</v>
      </c>
      <c r="AP32" s="348">
        <v>3.92</v>
      </c>
      <c r="AQ32" s="348">
        <v>3.92</v>
      </c>
      <c r="AR32" s="348">
        <v>3.91</v>
      </c>
      <c r="AS32" s="348">
        <v>3.91</v>
      </c>
      <c r="AT32" s="348">
        <v>3.9</v>
      </c>
      <c r="AU32" s="348">
        <v>3.9</v>
      </c>
      <c r="AV32" s="348">
        <v>3.89</v>
      </c>
      <c r="AW32" s="348">
        <v>3.89</v>
      </c>
      <c r="AX32" s="348">
        <v>3.89</v>
      </c>
      <c r="AY32" s="348">
        <v>3.88</v>
      </c>
      <c r="BB32" s="348">
        <v>3.24</v>
      </c>
    </row>
    <row r="33" spans="1:54">
      <c r="A33" s="111">
        <v>42766</v>
      </c>
      <c r="B33" s="348">
        <v>2.52</v>
      </c>
      <c r="C33" s="348">
        <v>2.59</v>
      </c>
      <c r="D33" s="348">
        <v>2.72</v>
      </c>
      <c r="E33" s="348">
        <v>2.87</v>
      </c>
      <c r="F33" s="348">
        <v>3.02</v>
      </c>
      <c r="G33" s="348">
        <v>3.16</v>
      </c>
      <c r="H33" s="348">
        <v>3.3</v>
      </c>
      <c r="I33" s="348">
        <v>3.42</v>
      </c>
      <c r="J33" s="348">
        <v>3.53</v>
      </c>
      <c r="K33" s="348">
        <v>3.63</v>
      </c>
      <c r="L33" s="348">
        <v>3.73</v>
      </c>
      <c r="M33" s="348">
        <v>3.81</v>
      </c>
      <c r="N33" s="348">
        <v>3.88</v>
      </c>
      <c r="O33" s="348">
        <v>3.94</v>
      </c>
      <c r="P33" s="2205">
        <v>3.99</v>
      </c>
      <c r="Q33" s="348">
        <v>4.01</v>
      </c>
      <c r="R33" s="348">
        <v>4.03</v>
      </c>
      <c r="S33" s="348">
        <v>4.05</v>
      </c>
      <c r="T33" s="348">
        <v>4.07</v>
      </c>
      <c r="U33" s="348">
        <v>4.09</v>
      </c>
      <c r="V33" s="348">
        <v>4.08</v>
      </c>
      <c r="W33" s="348">
        <v>4.07</v>
      </c>
      <c r="X33" s="348">
        <v>4.07</v>
      </c>
      <c r="Y33" s="348">
        <v>4.0599999999999996</v>
      </c>
      <c r="Z33" s="348">
        <v>4.0599999999999996</v>
      </c>
      <c r="AA33" s="348">
        <v>4.04</v>
      </c>
      <c r="AB33" s="348">
        <v>4.03</v>
      </c>
      <c r="AC33" s="348">
        <v>4.0199999999999996</v>
      </c>
      <c r="AD33" s="348">
        <v>4.01</v>
      </c>
      <c r="AE33" s="348">
        <v>4</v>
      </c>
      <c r="AF33" s="348">
        <v>3.98</v>
      </c>
      <c r="AG33" s="348">
        <v>3.97</v>
      </c>
      <c r="AH33" s="348">
        <v>3.96</v>
      </c>
      <c r="AI33" s="348">
        <v>3.95</v>
      </c>
      <c r="AJ33" s="348">
        <v>3.94</v>
      </c>
      <c r="AK33" s="348">
        <v>3.94</v>
      </c>
      <c r="AL33" s="348">
        <v>3.93</v>
      </c>
      <c r="AM33" s="348">
        <v>3.92</v>
      </c>
      <c r="AN33" s="348">
        <v>3.91</v>
      </c>
      <c r="AO33" s="348">
        <v>3.91</v>
      </c>
      <c r="AP33" s="348">
        <v>3.9</v>
      </c>
      <c r="AQ33" s="348">
        <v>3.9</v>
      </c>
      <c r="AR33" s="348">
        <v>3.89</v>
      </c>
      <c r="AS33" s="348">
        <v>3.89</v>
      </c>
      <c r="AT33" s="348">
        <v>3.88</v>
      </c>
      <c r="AU33" s="348">
        <v>3.88</v>
      </c>
      <c r="AV33" s="348">
        <v>3.87</v>
      </c>
      <c r="AW33" s="348">
        <v>3.87</v>
      </c>
      <c r="AX33" s="348">
        <v>3.87</v>
      </c>
      <c r="AY33" s="348">
        <v>3.86</v>
      </c>
      <c r="BB33" s="348">
        <v>3.2</v>
      </c>
    </row>
    <row r="34" spans="1:54" s="127" customFormat="1" ht="12.75">
      <c r="A34" s="109">
        <v>42794</v>
      </c>
      <c r="B34" s="348">
        <v>2.48</v>
      </c>
      <c r="C34" s="348">
        <v>2.56</v>
      </c>
      <c r="D34" s="348">
        <v>2.69</v>
      </c>
      <c r="E34" s="348">
        <v>2.84</v>
      </c>
      <c r="F34" s="348">
        <v>2.99</v>
      </c>
      <c r="G34" s="348">
        <v>3.13</v>
      </c>
      <c r="H34" s="348">
        <v>3.27</v>
      </c>
      <c r="I34" s="348">
        <v>3.39</v>
      </c>
      <c r="J34" s="348">
        <v>3.5</v>
      </c>
      <c r="K34" s="348">
        <v>3.61</v>
      </c>
      <c r="L34" s="348">
        <v>3.7</v>
      </c>
      <c r="M34" s="348">
        <v>3.78</v>
      </c>
      <c r="N34" s="348">
        <v>3.85</v>
      </c>
      <c r="O34" s="348">
        <v>3.91</v>
      </c>
      <c r="P34" s="2205">
        <v>3.96</v>
      </c>
      <c r="Q34" s="348">
        <v>3.99</v>
      </c>
      <c r="R34" s="348">
        <v>4.01</v>
      </c>
      <c r="S34" s="348">
        <v>4.03</v>
      </c>
      <c r="T34" s="348">
        <v>4.05</v>
      </c>
      <c r="U34" s="348">
        <v>4.0599999999999996</v>
      </c>
      <c r="V34" s="348">
        <v>4.0599999999999996</v>
      </c>
      <c r="W34" s="348">
        <v>4.05</v>
      </c>
      <c r="X34" s="348">
        <v>4.05</v>
      </c>
      <c r="Y34" s="348">
        <v>4.04</v>
      </c>
      <c r="Z34" s="348">
        <v>4.04</v>
      </c>
      <c r="AA34" s="348">
        <v>4.0199999999999996</v>
      </c>
      <c r="AB34" s="348">
        <v>4.01</v>
      </c>
      <c r="AC34" s="348">
        <v>4</v>
      </c>
      <c r="AD34" s="348">
        <v>3.98</v>
      </c>
      <c r="AE34" s="348">
        <v>3.97</v>
      </c>
      <c r="AF34" s="348">
        <v>3.96</v>
      </c>
      <c r="AG34" s="348">
        <v>3.95</v>
      </c>
      <c r="AH34" s="348">
        <v>3.94</v>
      </c>
      <c r="AI34" s="348">
        <v>3.93</v>
      </c>
      <c r="AJ34" s="348">
        <v>3.92</v>
      </c>
      <c r="AK34" s="348">
        <v>3.91</v>
      </c>
      <c r="AL34" s="348">
        <v>3.91</v>
      </c>
      <c r="AM34" s="348">
        <v>3.9</v>
      </c>
      <c r="AN34" s="348">
        <v>3.89</v>
      </c>
      <c r="AO34" s="348">
        <v>3.89</v>
      </c>
      <c r="AP34" s="348">
        <v>3.88</v>
      </c>
      <c r="AQ34" s="348">
        <v>3.87</v>
      </c>
      <c r="AR34" s="348">
        <v>3.87</v>
      </c>
      <c r="AS34" s="348">
        <v>3.86</v>
      </c>
      <c r="AT34" s="348">
        <v>3.86</v>
      </c>
      <c r="AU34" s="348">
        <v>3.86</v>
      </c>
      <c r="AV34" s="348">
        <v>3.85</v>
      </c>
      <c r="AW34" s="348">
        <v>3.85</v>
      </c>
      <c r="AX34" s="348">
        <v>3.84</v>
      </c>
      <c r="AY34" s="348">
        <v>3.84</v>
      </c>
      <c r="BB34" s="348">
        <v>3.16</v>
      </c>
    </row>
    <row r="35" spans="1:54">
      <c r="A35" s="111">
        <v>42825</v>
      </c>
      <c r="B35" s="348">
        <v>2.4500000000000002</v>
      </c>
      <c r="C35" s="348">
        <v>2.52</v>
      </c>
      <c r="D35" s="348">
        <v>2.65</v>
      </c>
      <c r="E35" s="348">
        <v>2.81</v>
      </c>
      <c r="F35" s="348">
        <v>2.96</v>
      </c>
      <c r="G35" s="348">
        <v>3.1</v>
      </c>
      <c r="H35" s="348">
        <v>3.24</v>
      </c>
      <c r="I35" s="348">
        <v>3.36</v>
      </c>
      <c r="J35" s="348">
        <v>3.48</v>
      </c>
      <c r="K35" s="348">
        <v>3.58</v>
      </c>
      <c r="L35" s="348">
        <v>3.68</v>
      </c>
      <c r="M35" s="348">
        <v>3.76</v>
      </c>
      <c r="N35" s="348">
        <v>3.83</v>
      </c>
      <c r="O35" s="348">
        <v>3.89</v>
      </c>
      <c r="P35" s="2205">
        <v>3.94</v>
      </c>
      <c r="Q35" s="348">
        <v>3.96</v>
      </c>
      <c r="R35" s="348">
        <v>3.99</v>
      </c>
      <c r="S35" s="348">
        <v>4.01</v>
      </c>
      <c r="T35" s="348">
        <v>4.0199999999999996</v>
      </c>
      <c r="U35" s="348">
        <v>4.04</v>
      </c>
      <c r="V35" s="348">
        <v>4.03</v>
      </c>
      <c r="W35" s="348">
        <v>4.03</v>
      </c>
      <c r="X35" s="348">
        <v>4.0199999999999996</v>
      </c>
      <c r="Y35" s="348">
        <v>4.0199999999999996</v>
      </c>
      <c r="Z35" s="348">
        <v>4.01</v>
      </c>
      <c r="AA35" s="348">
        <v>4</v>
      </c>
      <c r="AB35" s="348">
        <v>3.98</v>
      </c>
      <c r="AC35" s="348">
        <v>3.97</v>
      </c>
      <c r="AD35" s="348">
        <v>3.96</v>
      </c>
      <c r="AE35" s="348">
        <v>3.95</v>
      </c>
      <c r="AF35" s="348">
        <v>3.94</v>
      </c>
      <c r="AG35" s="348">
        <v>3.93</v>
      </c>
      <c r="AH35" s="348">
        <v>3.92</v>
      </c>
      <c r="AI35" s="348">
        <v>3.91</v>
      </c>
      <c r="AJ35" s="348">
        <v>3.9</v>
      </c>
      <c r="AK35" s="348">
        <v>3.89</v>
      </c>
      <c r="AL35" s="348">
        <v>3.88</v>
      </c>
      <c r="AM35" s="348">
        <v>3.88</v>
      </c>
      <c r="AN35" s="348">
        <v>3.87</v>
      </c>
      <c r="AO35" s="348">
        <v>3.86</v>
      </c>
      <c r="AP35" s="348">
        <v>3.86</v>
      </c>
      <c r="AQ35" s="348">
        <v>3.85</v>
      </c>
      <c r="AR35" s="348">
        <v>3.85</v>
      </c>
      <c r="AS35" s="348">
        <v>3.84</v>
      </c>
      <c r="AT35" s="348">
        <v>3.84</v>
      </c>
      <c r="AU35" s="348">
        <v>3.83</v>
      </c>
      <c r="AV35" s="348">
        <v>3.83</v>
      </c>
      <c r="AW35" s="348">
        <v>3.83</v>
      </c>
      <c r="AX35" s="348">
        <v>3.82</v>
      </c>
      <c r="AY35" s="348">
        <v>3.82</v>
      </c>
      <c r="BB35" s="348">
        <v>3.12</v>
      </c>
    </row>
    <row r="36" spans="1:54">
      <c r="A36" s="111">
        <v>42855</v>
      </c>
      <c r="B36" s="348">
        <v>2.41</v>
      </c>
      <c r="C36" s="348">
        <v>2.4900000000000002</v>
      </c>
      <c r="D36" s="348">
        <v>2.62</v>
      </c>
      <c r="E36" s="348">
        <v>2.77</v>
      </c>
      <c r="F36" s="348">
        <v>2.92</v>
      </c>
      <c r="G36" s="348">
        <v>3.07</v>
      </c>
      <c r="H36" s="348">
        <v>3.21</v>
      </c>
      <c r="I36" s="348">
        <v>3.33</v>
      </c>
      <c r="J36" s="348">
        <v>3.45</v>
      </c>
      <c r="K36" s="348">
        <v>3.55</v>
      </c>
      <c r="L36" s="348">
        <v>3.65</v>
      </c>
      <c r="M36" s="348">
        <v>3.73</v>
      </c>
      <c r="N36" s="348">
        <v>3.8</v>
      </c>
      <c r="O36" s="348">
        <v>3.86</v>
      </c>
      <c r="P36" s="2205">
        <v>3.91</v>
      </c>
      <c r="Q36" s="348">
        <v>3.94</v>
      </c>
      <c r="R36" s="348">
        <v>3.96</v>
      </c>
      <c r="S36" s="348">
        <v>3.98</v>
      </c>
      <c r="T36" s="348">
        <v>4</v>
      </c>
      <c r="U36" s="348">
        <v>4.0199999999999996</v>
      </c>
      <c r="V36" s="348">
        <v>4.01</v>
      </c>
      <c r="W36" s="348">
        <v>4</v>
      </c>
      <c r="X36" s="348">
        <v>4</v>
      </c>
      <c r="Y36" s="348">
        <v>3.99</v>
      </c>
      <c r="Z36" s="348">
        <v>3.99</v>
      </c>
      <c r="AA36" s="348">
        <v>3.97</v>
      </c>
      <c r="AB36" s="348">
        <v>3.96</v>
      </c>
      <c r="AC36" s="348">
        <v>3.95</v>
      </c>
      <c r="AD36" s="348">
        <v>3.94</v>
      </c>
      <c r="AE36" s="348">
        <v>3.93</v>
      </c>
      <c r="AF36" s="348">
        <v>3.91</v>
      </c>
      <c r="AG36" s="348">
        <v>3.9</v>
      </c>
      <c r="AH36" s="348">
        <v>3.89</v>
      </c>
      <c r="AI36" s="348">
        <v>3.89</v>
      </c>
      <c r="AJ36" s="348">
        <v>3.88</v>
      </c>
      <c r="AK36" s="348">
        <v>3.87</v>
      </c>
      <c r="AL36" s="348">
        <v>3.86</v>
      </c>
      <c r="AM36" s="348">
        <v>3.85</v>
      </c>
      <c r="AN36" s="348">
        <v>3.85</v>
      </c>
      <c r="AO36" s="348">
        <v>3.84</v>
      </c>
      <c r="AP36" s="348">
        <v>3.83</v>
      </c>
      <c r="AQ36" s="348">
        <v>3.83</v>
      </c>
      <c r="AR36" s="348">
        <v>3.82</v>
      </c>
      <c r="AS36" s="348">
        <v>3.82</v>
      </c>
      <c r="AT36" s="348">
        <v>3.82</v>
      </c>
      <c r="AU36" s="348">
        <v>3.81</v>
      </c>
      <c r="AV36" s="348">
        <v>3.81</v>
      </c>
      <c r="AW36" s="348">
        <v>3.8</v>
      </c>
      <c r="AX36" s="348">
        <v>3.8</v>
      </c>
      <c r="AY36" s="348">
        <v>3.8</v>
      </c>
      <c r="BB36" s="348">
        <v>3.08</v>
      </c>
    </row>
    <row r="37" spans="1:54" s="127" customFormat="1" ht="12.75">
      <c r="A37" s="109">
        <v>42886</v>
      </c>
      <c r="B37" s="348">
        <v>2.38</v>
      </c>
      <c r="C37" s="348">
        <v>2.4500000000000002</v>
      </c>
      <c r="D37" s="348">
        <v>2.58</v>
      </c>
      <c r="E37" s="348">
        <v>2.74</v>
      </c>
      <c r="F37" s="348">
        <v>2.89</v>
      </c>
      <c r="G37" s="348">
        <v>3.04</v>
      </c>
      <c r="H37" s="348">
        <v>3.18</v>
      </c>
      <c r="I37" s="348">
        <v>3.3</v>
      </c>
      <c r="J37" s="348">
        <v>3.42</v>
      </c>
      <c r="K37" s="348">
        <v>3.52</v>
      </c>
      <c r="L37" s="348">
        <v>3.62</v>
      </c>
      <c r="M37" s="348">
        <v>3.7</v>
      </c>
      <c r="N37" s="348">
        <v>3.77</v>
      </c>
      <c r="O37" s="348">
        <v>3.83</v>
      </c>
      <c r="P37" s="2205">
        <v>3.88</v>
      </c>
      <c r="Q37" s="348">
        <v>3.91</v>
      </c>
      <c r="R37" s="348">
        <v>3.93</v>
      </c>
      <c r="S37" s="348">
        <v>3.95</v>
      </c>
      <c r="T37" s="348">
        <v>3.97</v>
      </c>
      <c r="U37" s="348">
        <v>3.99</v>
      </c>
      <c r="V37" s="348">
        <v>3.98</v>
      </c>
      <c r="W37" s="348">
        <v>3.98</v>
      </c>
      <c r="X37" s="348">
        <v>3.97</v>
      </c>
      <c r="Y37" s="348">
        <v>3.97</v>
      </c>
      <c r="Z37" s="348">
        <v>3.96</v>
      </c>
      <c r="AA37" s="348">
        <v>3.95</v>
      </c>
      <c r="AB37" s="348">
        <v>3.94</v>
      </c>
      <c r="AC37" s="348">
        <v>3.92</v>
      </c>
      <c r="AD37" s="348">
        <v>3.91</v>
      </c>
      <c r="AE37" s="348">
        <v>3.9</v>
      </c>
      <c r="AF37" s="348">
        <v>3.89</v>
      </c>
      <c r="AG37" s="348">
        <v>3.88</v>
      </c>
      <c r="AH37" s="348">
        <v>3.87</v>
      </c>
      <c r="AI37" s="348">
        <v>3.86</v>
      </c>
      <c r="AJ37" s="348">
        <v>3.85</v>
      </c>
      <c r="AK37" s="348">
        <v>3.84</v>
      </c>
      <c r="AL37" s="348">
        <v>3.84</v>
      </c>
      <c r="AM37" s="348">
        <v>3.83</v>
      </c>
      <c r="AN37" s="348">
        <v>3.82</v>
      </c>
      <c r="AO37" s="348">
        <v>3.82</v>
      </c>
      <c r="AP37" s="348">
        <v>3.81</v>
      </c>
      <c r="AQ37" s="348">
        <v>3.81</v>
      </c>
      <c r="AR37" s="348">
        <v>3.8</v>
      </c>
      <c r="AS37" s="348">
        <v>3.8</v>
      </c>
      <c r="AT37" s="348">
        <v>3.79</v>
      </c>
      <c r="AU37" s="348">
        <v>3.79</v>
      </c>
      <c r="AV37" s="348">
        <v>3.78</v>
      </c>
      <c r="AW37" s="348">
        <v>3.78</v>
      </c>
      <c r="AX37" s="348">
        <v>3.78</v>
      </c>
      <c r="AY37" s="348">
        <v>3.77</v>
      </c>
      <c r="BB37" s="348">
        <v>3.04</v>
      </c>
    </row>
    <row r="38" spans="1:54" s="127" customFormat="1" ht="12.75">
      <c r="A38" s="109">
        <v>42916</v>
      </c>
      <c r="B38" s="348">
        <v>2.34</v>
      </c>
      <c r="C38" s="348">
        <v>2.41</v>
      </c>
      <c r="D38" s="348">
        <v>2.5499999999999998</v>
      </c>
      <c r="E38" s="348">
        <v>2.7</v>
      </c>
      <c r="F38" s="348">
        <v>2.85</v>
      </c>
      <c r="G38" s="348">
        <v>3</v>
      </c>
      <c r="H38" s="348">
        <v>3.14</v>
      </c>
      <c r="I38" s="348">
        <v>3.27</v>
      </c>
      <c r="J38" s="348">
        <v>3.39</v>
      </c>
      <c r="K38" s="348">
        <v>3.49</v>
      </c>
      <c r="L38" s="348">
        <v>3.59</v>
      </c>
      <c r="M38" s="348">
        <v>3.67</v>
      </c>
      <c r="N38" s="348">
        <v>3.74</v>
      </c>
      <c r="O38" s="348">
        <v>3.8</v>
      </c>
      <c r="P38" s="2205">
        <v>3.86</v>
      </c>
      <c r="Q38" s="348">
        <v>3.88</v>
      </c>
      <c r="R38" s="348">
        <v>3.91</v>
      </c>
      <c r="S38" s="348">
        <v>3.93</v>
      </c>
      <c r="T38" s="348">
        <v>3.95</v>
      </c>
      <c r="U38" s="348">
        <v>3.96</v>
      </c>
      <c r="V38" s="348">
        <v>3.96</v>
      </c>
      <c r="W38" s="348">
        <v>3.95</v>
      </c>
      <c r="X38" s="348">
        <v>3.95</v>
      </c>
      <c r="Y38" s="348">
        <v>3.94</v>
      </c>
      <c r="Z38" s="348">
        <v>3.94</v>
      </c>
      <c r="AA38" s="348">
        <v>3.92</v>
      </c>
      <c r="AB38" s="348">
        <v>3.91</v>
      </c>
      <c r="AC38" s="348">
        <v>3.9</v>
      </c>
      <c r="AD38" s="348">
        <v>3.89</v>
      </c>
      <c r="AE38" s="348">
        <v>3.88</v>
      </c>
      <c r="AF38" s="348">
        <v>3.87</v>
      </c>
      <c r="AG38" s="348">
        <v>3.86</v>
      </c>
      <c r="AH38" s="348">
        <v>3.85</v>
      </c>
      <c r="AI38" s="348">
        <v>3.84</v>
      </c>
      <c r="AJ38" s="348">
        <v>3.83</v>
      </c>
      <c r="AK38" s="348">
        <v>3.82</v>
      </c>
      <c r="AL38" s="348">
        <v>3.81</v>
      </c>
      <c r="AM38" s="348">
        <v>3.81</v>
      </c>
      <c r="AN38" s="348">
        <v>3.8</v>
      </c>
      <c r="AO38" s="348">
        <v>3.79</v>
      </c>
      <c r="AP38" s="348">
        <v>3.79</v>
      </c>
      <c r="AQ38" s="348">
        <v>3.78</v>
      </c>
      <c r="AR38" s="348">
        <v>3.78</v>
      </c>
      <c r="AS38" s="348">
        <v>3.77</v>
      </c>
      <c r="AT38" s="348">
        <v>3.77</v>
      </c>
      <c r="AU38" s="348">
        <v>3.76</v>
      </c>
      <c r="AV38" s="348">
        <v>3.76</v>
      </c>
      <c r="AW38" s="348">
        <v>3.76</v>
      </c>
      <c r="AX38" s="348">
        <v>3.75</v>
      </c>
      <c r="AY38" s="348">
        <v>3.75</v>
      </c>
      <c r="BB38" s="348">
        <v>3</v>
      </c>
    </row>
    <row r="39" spans="1:54">
      <c r="A39" s="111">
        <v>42947</v>
      </c>
      <c r="B39" s="348">
        <v>2.2999999999999998</v>
      </c>
      <c r="C39" s="348">
        <v>2.38</v>
      </c>
      <c r="D39" s="348">
        <v>2.5099999999999998</v>
      </c>
      <c r="E39" s="348">
        <v>2.67</v>
      </c>
      <c r="F39" s="348">
        <v>2.82</v>
      </c>
      <c r="G39" s="348">
        <v>2.97</v>
      </c>
      <c r="H39" s="348">
        <v>3.11</v>
      </c>
      <c r="I39" s="348">
        <v>3.24</v>
      </c>
      <c r="J39" s="348">
        <v>3.36</v>
      </c>
      <c r="K39" s="348">
        <v>3.46</v>
      </c>
      <c r="L39" s="348">
        <v>3.56</v>
      </c>
      <c r="M39" s="348">
        <v>3.64</v>
      </c>
      <c r="N39" s="348">
        <v>3.72</v>
      </c>
      <c r="O39" s="348">
        <v>3.78</v>
      </c>
      <c r="P39" s="2205">
        <v>3.83</v>
      </c>
      <c r="Q39" s="348">
        <v>3.86</v>
      </c>
      <c r="R39" s="348">
        <v>3.88</v>
      </c>
      <c r="S39" s="348">
        <v>3.9</v>
      </c>
      <c r="T39" s="348">
        <v>3.92</v>
      </c>
      <c r="U39" s="348">
        <v>3.94</v>
      </c>
      <c r="V39" s="348">
        <v>3.93</v>
      </c>
      <c r="W39" s="348">
        <v>3.93</v>
      </c>
      <c r="X39" s="348">
        <v>3.92</v>
      </c>
      <c r="Y39" s="348">
        <v>3.92</v>
      </c>
      <c r="Z39" s="348">
        <v>3.91</v>
      </c>
      <c r="AA39" s="348">
        <v>3.9</v>
      </c>
      <c r="AB39" s="348">
        <v>3.89</v>
      </c>
      <c r="AC39" s="348">
        <v>3.87</v>
      </c>
      <c r="AD39" s="348">
        <v>3.86</v>
      </c>
      <c r="AE39" s="348">
        <v>3.85</v>
      </c>
      <c r="AF39" s="348">
        <v>3.84</v>
      </c>
      <c r="AG39" s="348">
        <v>3.83</v>
      </c>
      <c r="AH39" s="348">
        <v>3.82</v>
      </c>
      <c r="AI39" s="348">
        <v>3.81</v>
      </c>
      <c r="AJ39" s="348">
        <v>3.8</v>
      </c>
      <c r="AK39" s="348">
        <v>3.8</v>
      </c>
      <c r="AL39" s="348">
        <v>3.79</v>
      </c>
      <c r="AM39" s="348">
        <v>3.78</v>
      </c>
      <c r="AN39" s="348">
        <v>3.77</v>
      </c>
      <c r="AO39" s="348">
        <v>3.77</v>
      </c>
      <c r="AP39" s="348">
        <v>3.76</v>
      </c>
      <c r="AQ39" s="348">
        <v>3.76</v>
      </c>
      <c r="AR39" s="348">
        <v>3.75</v>
      </c>
      <c r="AS39" s="348">
        <v>3.75</v>
      </c>
      <c r="AT39" s="348">
        <v>3.74</v>
      </c>
      <c r="AU39" s="348">
        <v>3.74</v>
      </c>
      <c r="AV39" s="348">
        <v>3.74</v>
      </c>
      <c r="AW39" s="348">
        <v>3.73</v>
      </c>
      <c r="AX39" s="348">
        <v>3.73</v>
      </c>
      <c r="AY39" s="348">
        <v>3.72</v>
      </c>
      <c r="BB39" s="348">
        <v>2.97</v>
      </c>
    </row>
    <row r="40" spans="1:54">
      <c r="A40" s="111">
        <v>42978</v>
      </c>
      <c r="B40" s="348">
        <v>2.2599999999999998</v>
      </c>
      <c r="C40" s="348">
        <v>2.34</v>
      </c>
      <c r="D40" s="348">
        <v>2.4700000000000002</v>
      </c>
      <c r="E40" s="348">
        <v>2.63</v>
      </c>
      <c r="F40" s="348">
        <v>2.78</v>
      </c>
      <c r="G40" s="348">
        <v>2.94</v>
      </c>
      <c r="H40" s="348">
        <v>3.08</v>
      </c>
      <c r="I40" s="348">
        <v>3.21</v>
      </c>
      <c r="J40" s="348">
        <v>3.32</v>
      </c>
      <c r="K40" s="348">
        <v>3.43</v>
      </c>
      <c r="L40" s="348">
        <v>3.53</v>
      </c>
      <c r="M40" s="348">
        <v>3.61</v>
      </c>
      <c r="N40" s="348">
        <v>3.69</v>
      </c>
      <c r="O40" s="348">
        <v>3.75</v>
      </c>
      <c r="P40" s="2205">
        <v>3.8</v>
      </c>
      <c r="Q40" s="348">
        <v>3.83</v>
      </c>
      <c r="R40" s="348">
        <v>3.85</v>
      </c>
      <c r="S40" s="348">
        <v>3.87</v>
      </c>
      <c r="T40" s="348">
        <v>3.89</v>
      </c>
      <c r="U40" s="348">
        <v>3.91</v>
      </c>
      <c r="V40" s="348">
        <v>3.9</v>
      </c>
      <c r="W40" s="348">
        <v>3.9</v>
      </c>
      <c r="X40" s="348">
        <v>3.89</v>
      </c>
      <c r="Y40" s="348">
        <v>3.89</v>
      </c>
      <c r="Z40" s="348">
        <v>3.89</v>
      </c>
      <c r="AA40" s="348">
        <v>3.87</v>
      </c>
      <c r="AB40" s="348">
        <v>3.86</v>
      </c>
      <c r="AC40" s="348">
        <v>3.85</v>
      </c>
      <c r="AD40" s="348">
        <v>3.84</v>
      </c>
      <c r="AE40" s="348">
        <v>3.82</v>
      </c>
      <c r="AF40" s="348">
        <v>3.81</v>
      </c>
      <c r="AG40" s="348">
        <v>3.8</v>
      </c>
      <c r="AH40" s="348">
        <v>3.79</v>
      </c>
      <c r="AI40" s="348">
        <v>3.79</v>
      </c>
      <c r="AJ40" s="348">
        <v>3.78</v>
      </c>
      <c r="AK40" s="348">
        <v>3.77</v>
      </c>
      <c r="AL40" s="348">
        <v>3.76</v>
      </c>
      <c r="AM40" s="348">
        <v>3.76</v>
      </c>
      <c r="AN40" s="348">
        <v>3.75</v>
      </c>
      <c r="AO40" s="348">
        <v>3.74</v>
      </c>
      <c r="AP40" s="348">
        <v>3.74</v>
      </c>
      <c r="AQ40" s="348">
        <v>3.73</v>
      </c>
      <c r="AR40" s="348">
        <v>3.73</v>
      </c>
      <c r="AS40" s="348">
        <v>3.72</v>
      </c>
      <c r="AT40" s="348">
        <v>3.72</v>
      </c>
      <c r="AU40" s="348">
        <v>3.71</v>
      </c>
      <c r="AV40" s="348">
        <v>3.71</v>
      </c>
      <c r="AW40" s="348">
        <v>3.71</v>
      </c>
      <c r="AX40" s="348">
        <v>3.7</v>
      </c>
      <c r="AY40" s="348">
        <v>3.7</v>
      </c>
      <c r="BB40" s="348">
        <v>2.94</v>
      </c>
    </row>
    <row r="41" spans="1:54">
      <c r="A41" s="111">
        <v>43008</v>
      </c>
      <c r="B41" s="348">
        <v>2.2200000000000002</v>
      </c>
      <c r="C41" s="348">
        <v>2.2999999999999998</v>
      </c>
      <c r="D41" s="348">
        <v>2.4300000000000002</v>
      </c>
      <c r="E41" s="348">
        <v>2.59</v>
      </c>
      <c r="F41" s="348">
        <v>2.75</v>
      </c>
      <c r="G41" s="348">
        <v>2.9</v>
      </c>
      <c r="H41" s="348">
        <v>3.04</v>
      </c>
      <c r="I41" s="348">
        <v>3.17</v>
      </c>
      <c r="J41" s="348">
        <v>3.29</v>
      </c>
      <c r="K41" s="348">
        <v>3.4</v>
      </c>
      <c r="L41" s="348">
        <v>3.5</v>
      </c>
      <c r="M41" s="348">
        <v>3.58</v>
      </c>
      <c r="N41" s="348">
        <v>3.66</v>
      </c>
      <c r="O41" s="348">
        <v>3.72</v>
      </c>
      <c r="P41" s="2205">
        <v>3.77</v>
      </c>
      <c r="Q41" s="348">
        <v>3.8</v>
      </c>
      <c r="R41" s="348">
        <v>3.82</v>
      </c>
      <c r="S41" s="348">
        <v>3.84</v>
      </c>
      <c r="T41" s="348">
        <v>3.86</v>
      </c>
      <c r="U41" s="348">
        <v>3.88</v>
      </c>
      <c r="V41" s="348">
        <v>3.88</v>
      </c>
      <c r="W41" s="348">
        <v>3.87</v>
      </c>
      <c r="X41" s="348">
        <v>3.87</v>
      </c>
      <c r="Y41" s="348">
        <v>3.86</v>
      </c>
      <c r="Z41" s="348">
        <v>3.86</v>
      </c>
      <c r="AA41" s="348">
        <v>3.84</v>
      </c>
      <c r="AB41" s="348">
        <v>3.83</v>
      </c>
      <c r="AC41" s="348">
        <v>3.82</v>
      </c>
      <c r="AD41" s="348">
        <v>3.81</v>
      </c>
      <c r="AE41" s="348">
        <v>3.8</v>
      </c>
      <c r="AF41" s="348">
        <v>3.79</v>
      </c>
      <c r="AG41" s="348">
        <v>3.78</v>
      </c>
      <c r="AH41" s="348">
        <v>3.77</v>
      </c>
      <c r="AI41" s="348">
        <v>3.76</v>
      </c>
      <c r="AJ41" s="348">
        <v>3.75</v>
      </c>
      <c r="AK41" s="348">
        <v>3.74</v>
      </c>
      <c r="AL41" s="348">
        <v>3.74</v>
      </c>
      <c r="AM41" s="348">
        <v>3.73</v>
      </c>
      <c r="AN41" s="348">
        <v>3.72</v>
      </c>
      <c r="AO41" s="348">
        <v>3.72</v>
      </c>
      <c r="AP41" s="348">
        <v>3.71</v>
      </c>
      <c r="AQ41" s="348">
        <v>3.71</v>
      </c>
      <c r="AR41" s="348">
        <v>3.7</v>
      </c>
      <c r="AS41" s="348">
        <v>3.7</v>
      </c>
      <c r="AT41" s="348">
        <v>3.69</v>
      </c>
      <c r="AU41" s="348">
        <v>3.69</v>
      </c>
      <c r="AV41" s="348">
        <v>3.68</v>
      </c>
      <c r="AW41" s="348">
        <v>3.68</v>
      </c>
      <c r="AX41" s="348">
        <v>3.68</v>
      </c>
      <c r="AY41" s="348">
        <v>3.67</v>
      </c>
      <c r="BB41" s="348">
        <v>2.91</v>
      </c>
    </row>
    <row r="42" spans="1:54">
      <c r="A42" s="111">
        <v>43039</v>
      </c>
      <c r="B42" s="348">
        <v>2.1800000000000002</v>
      </c>
      <c r="C42" s="348">
        <v>2.2599999999999998</v>
      </c>
      <c r="D42" s="348">
        <v>2.4</v>
      </c>
      <c r="E42" s="348">
        <v>2.5499999999999998</v>
      </c>
      <c r="F42" s="348">
        <v>2.71</v>
      </c>
      <c r="G42" s="348">
        <v>2.87</v>
      </c>
      <c r="H42" s="348">
        <v>3.01</v>
      </c>
      <c r="I42" s="348">
        <v>3.14</v>
      </c>
      <c r="J42" s="348">
        <v>3.26</v>
      </c>
      <c r="K42" s="348">
        <v>3.37</v>
      </c>
      <c r="L42" s="348">
        <v>3.47</v>
      </c>
      <c r="M42" s="348">
        <v>3.55</v>
      </c>
      <c r="N42" s="348">
        <v>3.62</v>
      </c>
      <c r="O42" s="348">
        <v>3.69</v>
      </c>
      <c r="P42" s="2205">
        <v>3.74</v>
      </c>
      <c r="Q42" s="348">
        <v>3.77</v>
      </c>
      <c r="R42" s="348">
        <v>3.79</v>
      </c>
      <c r="S42" s="348">
        <v>3.82</v>
      </c>
      <c r="T42" s="348">
        <v>3.84</v>
      </c>
      <c r="U42" s="348">
        <v>3.85</v>
      </c>
      <c r="V42" s="348">
        <v>3.85</v>
      </c>
      <c r="W42" s="348">
        <v>3.84</v>
      </c>
      <c r="X42" s="348">
        <v>3.84</v>
      </c>
      <c r="Y42" s="348">
        <v>3.83</v>
      </c>
      <c r="Z42" s="348">
        <v>3.83</v>
      </c>
      <c r="AA42" s="348">
        <v>3.82</v>
      </c>
      <c r="AB42" s="348">
        <v>3.8</v>
      </c>
      <c r="AC42" s="348">
        <v>3.79</v>
      </c>
      <c r="AD42" s="348">
        <v>3.78</v>
      </c>
      <c r="AE42" s="348">
        <v>3.77</v>
      </c>
      <c r="AF42" s="348">
        <v>3.76</v>
      </c>
      <c r="AG42" s="348">
        <v>3.75</v>
      </c>
      <c r="AH42" s="348">
        <v>3.74</v>
      </c>
      <c r="AI42" s="348">
        <v>3.73</v>
      </c>
      <c r="AJ42" s="348">
        <v>3.72</v>
      </c>
      <c r="AK42" s="348">
        <v>3.72</v>
      </c>
      <c r="AL42" s="348">
        <v>3.71</v>
      </c>
      <c r="AM42" s="348">
        <v>3.7</v>
      </c>
      <c r="AN42" s="348">
        <v>3.7</v>
      </c>
      <c r="AO42" s="348">
        <v>3.69</v>
      </c>
      <c r="AP42" s="348">
        <v>3.68</v>
      </c>
      <c r="AQ42" s="348">
        <v>3.68</v>
      </c>
      <c r="AR42" s="348">
        <v>3.67</v>
      </c>
      <c r="AS42" s="348">
        <v>3.67</v>
      </c>
      <c r="AT42" s="348">
        <v>3.67</v>
      </c>
      <c r="AU42" s="348">
        <v>3.66</v>
      </c>
      <c r="AV42" s="348">
        <v>3.66</v>
      </c>
      <c r="AW42" s="348">
        <v>3.65</v>
      </c>
      <c r="AX42" s="348">
        <v>3.65</v>
      </c>
      <c r="AY42" s="348">
        <v>3.65</v>
      </c>
      <c r="BB42" s="348">
        <v>2.88</v>
      </c>
    </row>
    <row r="43" spans="1:54">
      <c r="A43" s="110">
        <v>43069</v>
      </c>
      <c r="B43" s="348">
        <v>2.13</v>
      </c>
      <c r="C43" s="348">
        <v>2.2200000000000002</v>
      </c>
      <c r="D43" s="348">
        <v>2.36</v>
      </c>
      <c r="E43" s="348">
        <v>2.52</v>
      </c>
      <c r="F43" s="348">
        <v>2.67</v>
      </c>
      <c r="G43" s="348">
        <v>2.83</v>
      </c>
      <c r="H43" s="348">
        <v>2.97</v>
      </c>
      <c r="I43" s="348">
        <v>3.1</v>
      </c>
      <c r="J43" s="348">
        <v>3.22</v>
      </c>
      <c r="K43" s="348">
        <v>3.33</v>
      </c>
      <c r="L43" s="348">
        <v>3.43</v>
      </c>
      <c r="M43" s="348">
        <v>3.52</v>
      </c>
      <c r="N43" s="348">
        <v>3.59</v>
      </c>
      <c r="O43" s="348">
        <v>3.65</v>
      </c>
      <c r="P43" s="2205">
        <v>3.71</v>
      </c>
      <c r="Q43" s="348">
        <v>3.74</v>
      </c>
      <c r="R43" s="348">
        <v>3.76</v>
      </c>
      <c r="S43" s="348">
        <v>3.78</v>
      </c>
      <c r="T43" s="348">
        <v>3.8</v>
      </c>
      <c r="U43" s="348">
        <v>3.82</v>
      </c>
      <c r="V43" s="348">
        <v>3.82</v>
      </c>
      <c r="W43" s="348">
        <v>3.81</v>
      </c>
      <c r="X43" s="348">
        <v>3.81</v>
      </c>
      <c r="Y43" s="348">
        <v>3.8</v>
      </c>
      <c r="Z43" s="348">
        <v>3.8</v>
      </c>
      <c r="AA43" s="348">
        <v>3.79</v>
      </c>
      <c r="AB43" s="348">
        <v>3.77</v>
      </c>
      <c r="AC43" s="348">
        <v>3.76</v>
      </c>
      <c r="AD43" s="348">
        <v>3.75</v>
      </c>
      <c r="AE43" s="348">
        <v>3.74</v>
      </c>
      <c r="AF43" s="348">
        <v>3.73</v>
      </c>
      <c r="AG43" s="348">
        <v>3.72</v>
      </c>
      <c r="AH43" s="348">
        <v>3.71</v>
      </c>
      <c r="AI43" s="348">
        <v>3.7</v>
      </c>
      <c r="AJ43" s="348">
        <v>3.69</v>
      </c>
      <c r="AK43" s="348">
        <v>3.69</v>
      </c>
      <c r="AL43" s="348">
        <v>3.68</v>
      </c>
      <c r="AM43" s="348">
        <v>3.67</v>
      </c>
      <c r="AN43" s="348">
        <v>3.67</v>
      </c>
      <c r="AO43" s="348">
        <v>3.66</v>
      </c>
      <c r="AP43" s="348">
        <v>3.65</v>
      </c>
      <c r="AQ43" s="348">
        <v>3.65</v>
      </c>
      <c r="AR43" s="348">
        <v>3.64</v>
      </c>
      <c r="AS43" s="348">
        <v>3.64</v>
      </c>
      <c r="AT43" s="348">
        <v>3.64</v>
      </c>
      <c r="AU43" s="348">
        <v>3.63</v>
      </c>
      <c r="AV43" s="348">
        <v>3.63</v>
      </c>
      <c r="AW43" s="348">
        <v>3.62</v>
      </c>
      <c r="AX43" s="348">
        <v>3.62</v>
      </c>
      <c r="AY43" s="348">
        <v>3.62</v>
      </c>
      <c r="BB43" s="348">
        <v>2.84</v>
      </c>
    </row>
    <row r="44" spans="1:54" s="127" customFormat="1" ht="12.75">
      <c r="A44" s="109">
        <v>43100</v>
      </c>
      <c r="B44" s="348">
        <v>2.09</v>
      </c>
      <c r="C44" s="348">
        <v>2.17</v>
      </c>
      <c r="D44" s="348">
        <v>2.3199999999999998</v>
      </c>
      <c r="E44" s="348">
        <v>2.48</v>
      </c>
      <c r="F44" s="348">
        <v>2.63</v>
      </c>
      <c r="G44" s="348">
        <v>2.79</v>
      </c>
      <c r="H44" s="348">
        <v>2.93</v>
      </c>
      <c r="I44" s="348">
        <v>3.07</v>
      </c>
      <c r="J44" s="348">
        <v>3.19</v>
      </c>
      <c r="K44" s="348">
        <v>3.3</v>
      </c>
      <c r="L44" s="348">
        <v>3.4</v>
      </c>
      <c r="M44" s="348">
        <v>3.48</v>
      </c>
      <c r="N44" s="348">
        <v>3.56</v>
      </c>
      <c r="O44" s="348">
        <v>3.62</v>
      </c>
      <c r="P44" s="2205">
        <v>3.68</v>
      </c>
      <c r="Q44" s="348">
        <v>3.7</v>
      </c>
      <c r="R44" s="348">
        <v>3.73</v>
      </c>
      <c r="S44" s="348">
        <v>3.75</v>
      </c>
      <c r="T44" s="348">
        <v>3.77</v>
      </c>
      <c r="U44" s="348">
        <v>3.79</v>
      </c>
      <c r="V44" s="348">
        <v>3.78</v>
      </c>
      <c r="W44" s="348">
        <v>3.78</v>
      </c>
      <c r="X44" s="348">
        <v>3.77</v>
      </c>
      <c r="Y44" s="348">
        <v>3.77</v>
      </c>
      <c r="Z44" s="348">
        <v>3.77</v>
      </c>
      <c r="AA44" s="348">
        <v>3.75</v>
      </c>
      <c r="AB44" s="348">
        <v>3.74</v>
      </c>
      <c r="AC44" s="348">
        <v>3.73</v>
      </c>
      <c r="AD44" s="348">
        <v>3.72</v>
      </c>
      <c r="AE44" s="348">
        <v>3.71</v>
      </c>
      <c r="AF44" s="348">
        <v>3.7</v>
      </c>
      <c r="AG44" s="348">
        <v>3.69</v>
      </c>
      <c r="AH44" s="348">
        <v>3.68</v>
      </c>
      <c r="AI44" s="348">
        <v>3.67</v>
      </c>
      <c r="AJ44" s="348">
        <v>3.66</v>
      </c>
      <c r="AK44" s="348">
        <v>3.66</v>
      </c>
      <c r="AL44" s="348">
        <v>3.65</v>
      </c>
      <c r="AM44" s="348">
        <v>3.64</v>
      </c>
      <c r="AN44" s="348">
        <v>3.64</v>
      </c>
      <c r="AO44" s="348">
        <v>3.63</v>
      </c>
      <c r="AP44" s="348">
        <v>3.62</v>
      </c>
      <c r="AQ44" s="348">
        <v>3.62</v>
      </c>
      <c r="AR44" s="348">
        <v>3.62</v>
      </c>
      <c r="AS44" s="348">
        <v>3.61</v>
      </c>
      <c r="AT44" s="348">
        <v>3.61</v>
      </c>
      <c r="AU44" s="348">
        <v>3.6</v>
      </c>
      <c r="AV44" s="348">
        <v>3.6</v>
      </c>
      <c r="AW44" s="348">
        <v>3.6</v>
      </c>
      <c r="AX44" s="348">
        <v>3.59</v>
      </c>
      <c r="AY44" s="348">
        <v>3.59</v>
      </c>
      <c r="BB44" s="348">
        <v>2.8</v>
      </c>
    </row>
    <row r="45" spans="1:54">
      <c r="A45" s="111">
        <v>43131</v>
      </c>
      <c r="B45" s="348">
        <v>2.04</v>
      </c>
      <c r="C45" s="348">
        <v>2.13</v>
      </c>
      <c r="D45" s="348">
        <v>2.2799999999999998</v>
      </c>
      <c r="E45" s="348">
        <v>2.44</v>
      </c>
      <c r="F45" s="348">
        <v>2.6</v>
      </c>
      <c r="G45" s="348">
        <v>2.75</v>
      </c>
      <c r="H45" s="348">
        <v>2.9</v>
      </c>
      <c r="I45" s="348">
        <v>3.03</v>
      </c>
      <c r="J45" s="348">
        <v>3.15</v>
      </c>
      <c r="K45" s="348">
        <v>3.26</v>
      </c>
      <c r="L45" s="348">
        <v>3.37</v>
      </c>
      <c r="M45" s="348">
        <v>3.45</v>
      </c>
      <c r="N45" s="348">
        <v>3.52</v>
      </c>
      <c r="O45" s="348">
        <v>3.59</v>
      </c>
      <c r="P45" s="2205">
        <v>3.64</v>
      </c>
      <c r="Q45" s="348">
        <v>3.67</v>
      </c>
      <c r="R45" s="348">
        <v>3.69</v>
      </c>
      <c r="S45" s="348">
        <v>3.72</v>
      </c>
      <c r="T45" s="348">
        <v>3.74</v>
      </c>
      <c r="U45" s="348">
        <v>3.75</v>
      </c>
      <c r="V45" s="348">
        <v>3.75</v>
      </c>
      <c r="W45" s="348">
        <v>3.74</v>
      </c>
      <c r="X45" s="348">
        <v>3.74</v>
      </c>
      <c r="Y45" s="348">
        <v>3.74</v>
      </c>
      <c r="Z45" s="348">
        <v>3.73</v>
      </c>
      <c r="AA45" s="348">
        <v>3.72</v>
      </c>
      <c r="AB45" s="348">
        <v>3.71</v>
      </c>
      <c r="AC45" s="348">
        <v>3.7</v>
      </c>
      <c r="AD45" s="348">
        <v>3.68</v>
      </c>
      <c r="AE45" s="348">
        <v>3.67</v>
      </c>
      <c r="AF45" s="348">
        <v>3.66</v>
      </c>
      <c r="AG45" s="348">
        <v>3.66</v>
      </c>
      <c r="AH45" s="348">
        <v>3.65</v>
      </c>
      <c r="AI45" s="348">
        <v>3.64</v>
      </c>
      <c r="AJ45" s="348">
        <v>3.63</v>
      </c>
      <c r="AK45" s="348">
        <v>3.62</v>
      </c>
      <c r="AL45" s="348">
        <v>3.62</v>
      </c>
      <c r="AM45" s="348">
        <v>3.61</v>
      </c>
      <c r="AN45" s="348">
        <v>3.6</v>
      </c>
      <c r="AO45" s="348">
        <v>3.6</v>
      </c>
      <c r="AP45" s="348">
        <v>3.59</v>
      </c>
      <c r="AQ45" s="348">
        <v>3.59</v>
      </c>
      <c r="AR45" s="348">
        <v>3.58</v>
      </c>
      <c r="AS45" s="348">
        <v>3.58</v>
      </c>
      <c r="AT45" s="348">
        <v>3.57</v>
      </c>
      <c r="AU45" s="348">
        <v>3.57</v>
      </c>
      <c r="AV45" s="348">
        <v>3.57</v>
      </c>
      <c r="AW45" s="348">
        <v>3.56</v>
      </c>
      <c r="AX45" s="348">
        <v>3.56</v>
      </c>
      <c r="AY45" s="348">
        <v>3.56</v>
      </c>
      <c r="BB45" s="348">
        <v>2.76</v>
      </c>
    </row>
    <row r="46" spans="1:54" s="127" customFormat="1" ht="12.75">
      <c r="A46" s="109">
        <v>43159</v>
      </c>
      <c r="B46" s="348">
        <v>2</v>
      </c>
      <c r="C46" s="348">
        <v>2.09</v>
      </c>
      <c r="D46" s="348">
        <v>2.2400000000000002</v>
      </c>
      <c r="E46" s="348">
        <v>2.4</v>
      </c>
      <c r="F46" s="348">
        <v>2.56</v>
      </c>
      <c r="G46" s="348">
        <v>2.72</v>
      </c>
      <c r="H46" s="348">
        <v>2.86</v>
      </c>
      <c r="I46" s="348">
        <v>3</v>
      </c>
      <c r="J46" s="348">
        <v>3.12</v>
      </c>
      <c r="K46" s="348">
        <v>3.23</v>
      </c>
      <c r="L46" s="348">
        <v>3.33</v>
      </c>
      <c r="M46" s="348">
        <v>3.41</v>
      </c>
      <c r="N46" s="348">
        <v>3.49</v>
      </c>
      <c r="O46" s="348">
        <v>3.55</v>
      </c>
      <c r="P46" s="2205">
        <v>3.61</v>
      </c>
      <c r="Q46" s="348">
        <v>3.63</v>
      </c>
      <c r="R46" s="348">
        <v>3.66</v>
      </c>
      <c r="S46" s="348">
        <v>3.68</v>
      </c>
      <c r="T46" s="348">
        <v>3.7</v>
      </c>
      <c r="U46" s="348">
        <v>3.72</v>
      </c>
      <c r="V46" s="348">
        <v>3.72</v>
      </c>
      <c r="W46" s="348">
        <v>3.71</v>
      </c>
      <c r="X46" s="348">
        <v>3.71</v>
      </c>
      <c r="Y46" s="348">
        <v>3.7</v>
      </c>
      <c r="Z46" s="348">
        <v>3.7</v>
      </c>
      <c r="AA46" s="348">
        <v>3.69</v>
      </c>
      <c r="AB46" s="348">
        <v>3.67</v>
      </c>
      <c r="AC46" s="348">
        <v>3.66</v>
      </c>
      <c r="AD46" s="348">
        <v>3.65</v>
      </c>
      <c r="AE46" s="348">
        <v>3.64</v>
      </c>
      <c r="AF46" s="348">
        <v>3.63</v>
      </c>
      <c r="AG46" s="348">
        <v>3.62</v>
      </c>
      <c r="AH46" s="348">
        <v>3.61</v>
      </c>
      <c r="AI46" s="348">
        <v>3.6</v>
      </c>
      <c r="AJ46" s="348">
        <v>3.6</v>
      </c>
      <c r="AK46" s="348">
        <v>3.59</v>
      </c>
      <c r="AL46" s="348">
        <v>3.58</v>
      </c>
      <c r="AM46" s="348">
        <v>3.58</v>
      </c>
      <c r="AN46" s="348">
        <v>3.57</v>
      </c>
      <c r="AO46" s="348">
        <v>3.56</v>
      </c>
      <c r="AP46" s="348">
        <v>3.56</v>
      </c>
      <c r="AQ46" s="348">
        <v>3.55</v>
      </c>
      <c r="AR46" s="348">
        <v>3.55</v>
      </c>
      <c r="AS46" s="348">
        <v>3.55</v>
      </c>
      <c r="AT46" s="348">
        <v>3.54</v>
      </c>
      <c r="AU46" s="348">
        <v>3.54</v>
      </c>
      <c r="AV46" s="348">
        <v>3.53</v>
      </c>
      <c r="AW46" s="348">
        <v>3.53</v>
      </c>
      <c r="AX46" s="348">
        <v>3.53</v>
      </c>
      <c r="AY46" s="348">
        <v>3.52</v>
      </c>
      <c r="BB46" s="348">
        <v>2.72</v>
      </c>
    </row>
    <row r="47" spans="1:54">
      <c r="A47" s="111">
        <v>43190</v>
      </c>
      <c r="B47" s="348">
        <v>1.95</v>
      </c>
      <c r="C47" s="348">
        <v>2.0499999999999998</v>
      </c>
      <c r="D47" s="348">
        <v>2.19</v>
      </c>
      <c r="E47" s="348">
        <v>2.36</v>
      </c>
      <c r="F47" s="348">
        <v>2.52</v>
      </c>
      <c r="G47" s="348">
        <v>2.68</v>
      </c>
      <c r="H47" s="348">
        <v>2.82</v>
      </c>
      <c r="I47" s="348">
        <v>2.96</v>
      </c>
      <c r="J47" s="348">
        <v>3.08</v>
      </c>
      <c r="K47" s="348">
        <v>3.19</v>
      </c>
      <c r="L47" s="348">
        <v>3.29</v>
      </c>
      <c r="M47" s="348">
        <v>3.38</v>
      </c>
      <c r="N47" s="348">
        <v>3.45</v>
      </c>
      <c r="O47" s="348">
        <v>3.51</v>
      </c>
      <c r="P47" s="2205">
        <v>3.57</v>
      </c>
      <c r="Q47" s="348">
        <v>3.6</v>
      </c>
      <c r="R47" s="348">
        <v>3.62</v>
      </c>
      <c r="S47" s="348">
        <v>3.65</v>
      </c>
      <c r="T47" s="348">
        <v>3.67</v>
      </c>
      <c r="U47" s="348">
        <v>3.68</v>
      </c>
      <c r="V47" s="348">
        <v>3.68</v>
      </c>
      <c r="W47" s="348">
        <v>3.67</v>
      </c>
      <c r="X47" s="348">
        <v>3.67</v>
      </c>
      <c r="Y47" s="348">
        <v>3.67</v>
      </c>
      <c r="Z47" s="348">
        <v>3.66</v>
      </c>
      <c r="AA47" s="348">
        <v>3.65</v>
      </c>
      <c r="AB47" s="348">
        <v>3.64</v>
      </c>
      <c r="AC47" s="348">
        <v>3.63</v>
      </c>
      <c r="AD47" s="348">
        <v>3.61</v>
      </c>
      <c r="AE47" s="348">
        <v>3.6</v>
      </c>
      <c r="AF47" s="348">
        <v>3.59</v>
      </c>
      <c r="AG47" s="348">
        <v>3.59</v>
      </c>
      <c r="AH47" s="348">
        <v>3.58</v>
      </c>
      <c r="AI47" s="348">
        <v>3.57</v>
      </c>
      <c r="AJ47" s="348">
        <v>3.56</v>
      </c>
      <c r="AK47" s="348">
        <v>3.55</v>
      </c>
      <c r="AL47" s="348">
        <v>3.55</v>
      </c>
      <c r="AM47" s="348">
        <v>3.54</v>
      </c>
      <c r="AN47" s="348">
        <v>3.53</v>
      </c>
      <c r="AO47" s="348">
        <v>3.53</v>
      </c>
      <c r="AP47" s="348">
        <v>3.52</v>
      </c>
      <c r="AQ47" s="348">
        <v>3.52</v>
      </c>
      <c r="AR47" s="348">
        <v>3.51</v>
      </c>
      <c r="AS47" s="348">
        <v>3.51</v>
      </c>
      <c r="AT47" s="348">
        <v>3.51</v>
      </c>
      <c r="AU47" s="348">
        <v>3.5</v>
      </c>
      <c r="AV47" s="348">
        <v>3.5</v>
      </c>
      <c r="AW47" s="348">
        <v>3.5</v>
      </c>
      <c r="AX47" s="348">
        <v>3.49</v>
      </c>
      <c r="AY47" s="348">
        <v>3.49</v>
      </c>
      <c r="BB47" s="348">
        <v>2.68</v>
      </c>
    </row>
    <row r="48" spans="1:54">
      <c r="A48" s="111">
        <v>43220</v>
      </c>
      <c r="B48" s="348">
        <v>1.9</v>
      </c>
      <c r="C48" s="348">
        <v>2</v>
      </c>
      <c r="D48" s="348">
        <v>2.15</v>
      </c>
      <c r="E48" s="348">
        <v>2.3199999999999998</v>
      </c>
      <c r="F48" s="348">
        <v>2.48</v>
      </c>
      <c r="G48" s="348">
        <v>2.64</v>
      </c>
      <c r="H48" s="348">
        <v>2.78</v>
      </c>
      <c r="I48" s="348">
        <v>2.92</v>
      </c>
      <c r="J48" s="348">
        <v>3.04</v>
      </c>
      <c r="K48" s="348">
        <v>3.15</v>
      </c>
      <c r="L48" s="348">
        <v>3.25</v>
      </c>
      <c r="M48" s="348">
        <v>3.34</v>
      </c>
      <c r="N48" s="348">
        <v>3.41</v>
      </c>
      <c r="O48" s="348">
        <v>3.48</v>
      </c>
      <c r="P48" s="2205">
        <v>3.53</v>
      </c>
      <c r="Q48" s="348">
        <v>3.56</v>
      </c>
      <c r="R48" s="348">
        <v>3.59</v>
      </c>
      <c r="S48" s="348">
        <v>3.61</v>
      </c>
      <c r="T48" s="348">
        <v>3.63</v>
      </c>
      <c r="U48" s="348">
        <v>3.65</v>
      </c>
      <c r="V48" s="348">
        <v>3.64</v>
      </c>
      <c r="W48" s="348">
        <v>3.64</v>
      </c>
      <c r="X48" s="348">
        <v>3.63</v>
      </c>
      <c r="Y48" s="348">
        <v>3.63</v>
      </c>
      <c r="Z48" s="348">
        <v>3.63</v>
      </c>
      <c r="AA48" s="348">
        <v>3.61</v>
      </c>
      <c r="AB48" s="348">
        <v>3.6</v>
      </c>
      <c r="AC48" s="348">
        <v>3.59</v>
      </c>
      <c r="AD48" s="348">
        <v>3.58</v>
      </c>
      <c r="AE48" s="348">
        <v>3.57</v>
      </c>
      <c r="AF48" s="348">
        <v>3.56</v>
      </c>
      <c r="AG48" s="348">
        <v>3.55</v>
      </c>
      <c r="AH48" s="348">
        <v>3.54</v>
      </c>
      <c r="AI48" s="348">
        <v>3.53</v>
      </c>
      <c r="AJ48" s="348">
        <v>3.53</v>
      </c>
      <c r="AK48" s="348">
        <v>3.52</v>
      </c>
      <c r="AL48" s="348">
        <v>3.51</v>
      </c>
      <c r="AM48" s="348">
        <v>3.51</v>
      </c>
      <c r="AN48" s="348">
        <v>3.5</v>
      </c>
      <c r="AO48" s="348">
        <v>3.49</v>
      </c>
      <c r="AP48" s="348">
        <v>3.49</v>
      </c>
      <c r="AQ48" s="348">
        <v>3.49</v>
      </c>
      <c r="AR48" s="348">
        <v>3.48</v>
      </c>
      <c r="AS48" s="348">
        <v>3.48</v>
      </c>
      <c r="AT48" s="348">
        <v>3.47</v>
      </c>
      <c r="AU48" s="348">
        <v>3.47</v>
      </c>
      <c r="AV48" s="348">
        <v>3.47</v>
      </c>
      <c r="AW48" s="348">
        <v>3.46</v>
      </c>
      <c r="AX48" s="348">
        <v>3.46</v>
      </c>
      <c r="AY48" s="348">
        <v>3.46</v>
      </c>
      <c r="BB48" s="348">
        <v>2.64</v>
      </c>
    </row>
    <row r="49" spans="1:54">
      <c r="A49" s="111">
        <v>43251</v>
      </c>
      <c r="B49" s="348">
        <v>1.85</v>
      </c>
      <c r="C49" s="348">
        <v>1.95</v>
      </c>
      <c r="D49" s="348">
        <v>2.1</v>
      </c>
      <c r="E49" s="348">
        <v>2.27</v>
      </c>
      <c r="F49" s="348">
        <v>2.44</v>
      </c>
      <c r="G49" s="348">
        <v>2.6</v>
      </c>
      <c r="H49" s="348">
        <v>2.74</v>
      </c>
      <c r="I49" s="348">
        <v>2.88</v>
      </c>
      <c r="J49" s="348">
        <v>3</v>
      </c>
      <c r="K49" s="348">
        <v>3.11</v>
      </c>
      <c r="L49" s="348">
        <v>3.22</v>
      </c>
      <c r="M49" s="348">
        <v>3.3</v>
      </c>
      <c r="N49" s="348">
        <v>3.38</v>
      </c>
      <c r="O49" s="348">
        <v>3.44</v>
      </c>
      <c r="P49" s="2205">
        <v>3.5</v>
      </c>
      <c r="Q49" s="348">
        <v>3.52</v>
      </c>
      <c r="R49" s="348">
        <v>3.55</v>
      </c>
      <c r="S49" s="348">
        <v>3.57</v>
      </c>
      <c r="T49" s="348">
        <v>3.59</v>
      </c>
      <c r="U49" s="348">
        <v>3.61</v>
      </c>
      <c r="V49" s="348">
        <v>3.61</v>
      </c>
      <c r="W49" s="348">
        <v>3.6</v>
      </c>
      <c r="X49" s="348">
        <v>3.6</v>
      </c>
      <c r="Y49" s="348">
        <v>3.6</v>
      </c>
      <c r="Z49" s="348">
        <v>3.59</v>
      </c>
      <c r="AA49" s="348">
        <v>3.58</v>
      </c>
      <c r="AB49" s="348">
        <v>3.57</v>
      </c>
      <c r="AC49" s="348">
        <v>3.56</v>
      </c>
      <c r="AD49" s="348">
        <v>3.55</v>
      </c>
      <c r="AE49" s="348">
        <v>3.54</v>
      </c>
      <c r="AF49" s="348">
        <v>3.53</v>
      </c>
      <c r="AG49" s="348">
        <v>3.52</v>
      </c>
      <c r="AH49" s="348">
        <v>3.51</v>
      </c>
      <c r="AI49" s="348">
        <v>3.5</v>
      </c>
      <c r="AJ49" s="348">
        <v>3.49</v>
      </c>
      <c r="AK49" s="348">
        <v>3.49</v>
      </c>
      <c r="AL49" s="348">
        <v>3.48</v>
      </c>
      <c r="AM49" s="348">
        <v>3.47</v>
      </c>
      <c r="AN49" s="348">
        <v>3.47</v>
      </c>
      <c r="AO49" s="348">
        <v>3.46</v>
      </c>
      <c r="AP49" s="348">
        <v>3.46</v>
      </c>
      <c r="AQ49" s="348">
        <v>3.45</v>
      </c>
      <c r="AR49" s="348">
        <v>3.45</v>
      </c>
      <c r="AS49" s="348">
        <v>3.44</v>
      </c>
      <c r="AT49" s="348">
        <v>3.44</v>
      </c>
      <c r="AU49" s="348">
        <v>3.44</v>
      </c>
      <c r="AV49" s="348">
        <v>3.43</v>
      </c>
      <c r="AW49" s="348">
        <v>3.43</v>
      </c>
      <c r="AX49" s="348">
        <v>3.43</v>
      </c>
      <c r="AY49" s="348">
        <v>3.42</v>
      </c>
      <c r="BB49" s="348">
        <v>2.6</v>
      </c>
    </row>
    <row r="50" spans="1:54" s="127" customFormat="1" ht="12.75">
      <c r="A50" s="109">
        <v>43281</v>
      </c>
      <c r="B50" s="348">
        <v>1.8</v>
      </c>
      <c r="C50" s="348">
        <v>1.9</v>
      </c>
      <c r="D50" s="348">
        <v>2.0499999999999998</v>
      </c>
      <c r="E50" s="348">
        <v>2.2200000000000002</v>
      </c>
      <c r="F50" s="348">
        <v>2.39</v>
      </c>
      <c r="G50" s="348">
        <v>2.5499999999999998</v>
      </c>
      <c r="H50" s="348">
        <v>2.7</v>
      </c>
      <c r="I50" s="348">
        <v>2.84</v>
      </c>
      <c r="J50" s="348">
        <v>2.96</v>
      </c>
      <c r="K50" s="348">
        <v>3.07</v>
      </c>
      <c r="L50" s="348">
        <v>3.18</v>
      </c>
      <c r="M50" s="348">
        <v>3.26</v>
      </c>
      <c r="N50" s="348">
        <v>3.34</v>
      </c>
      <c r="O50" s="348">
        <v>3.4</v>
      </c>
      <c r="P50" s="2205">
        <v>3.46</v>
      </c>
      <c r="Q50" s="348">
        <v>3.49</v>
      </c>
      <c r="R50" s="348">
        <v>3.51</v>
      </c>
      <c r="S50" s="348">
        <v>3.54</v>
      </c>
      <c r="T50" s="348">
        <v>3.56</v>
      </c>
      <c r="U50" s="348">
        <v>3.58</v>
      </c>
      <c r="V50" s="348">
        <v>3.57</v>
      </c>
      <c r="W50" s="348">
        <v>3.57</v>
      </c>
      <c r="X50" s="348">
        <v>3.56</v>
      </c>
      <c r="Y50" s="348">
        <v>3.56</v>
      </c>
      <c r="Z50" s="348">
        <v>3.56</v>
      </c>
      <c r="AA50" s="348">
        <v>3.54</v>
      </c>
      <c r="AB50" s="348">
        <v>3.53</v>
      </c>
      <c r="AC50" s="348">
        <v>3.52</v>
      </c>
      <c r="AD50" s="348">
        <v>3.51</v>
      </c>
      <c r="AE50" s="348">
        <v>3.5</v>
      </c>
      <c r="AF50" s="348">
        <v>3.49</v>
      </c>
      <c r="AG50" s="348">
        <v>3.48</v>
      </c>
      <c r="AH50" s="348">
        <v>3.48</v>
      </c>
      <c r="AI50" s="348">
        <v>3.47</v>
      </c>
      <c r="AJ50" s="348">
        <v>3.46</v>
      </c>
      <c r="AK50" s="348">
        <v>3.45</v>
      </c>
      <c r="AL50" s="348">
        <v>3.45</v>
      </c>
      <c r="AM50" s="348">
        <v>3.44</v>
      </c>
      <c r="AN50" s="348">
        <v>3.43</v>
      </c>
      <c r="AO50" s="348">
        <v>3.43</v>
      </c>
      <c r="AP50" s="348">
        <v>3.42</v>
      </c>
      <c r="AQ50" s="348">
        <v>3.42</v>
      </c>
      <c r="AR50" s="348">
        <v>3.42</v>
      </c>
      <c r="AS50" s="348">
        <v>3.41</v>
      </c>
      <c r="AT50" s="348">
        <v>3.41</v>
      </c>
      <c r="AU50" s="348">
        <v>3.4</v>
      </c>
      <c r="AV50" s="348">
        <v>3.4</v>
      </c>
      <c r="AW50" s="348">
        <v>3.4</v>
      </c>
      <c r="AX50" s="348">
        <v>3.39</v>
      </c>
      <c r="AY50" s="348">
        <v>3.39</v>
      </c>
      <c r="BB50" s="348">
        <v>2.56</v>
      </c>
    </row>
    <row r="51" spans="1:54">
      <c r="A51" s="112">
        <v>43312</v>
      </c>
      <c r="B51" s="348">
        <v>1.75</v>
      </c>
      <c r="C51" s="348">
        <v>1.85</v>
      </c>
      <c r="D51" s="348">
        <v>2</v>
      </c>
      <c r="E51" s="348">
        <v>2.1800000000000002</v>
      </c>
      <c r="F51" s="348">
        <v>2.35</v>
      </c>
      <c r="G51" s="348">
        <v>2.5099999999999998</v>
      </c>
      <c r="H51" s="348">
        <v>2.66</v>
      </c>
      <c r="I51" s="348">
        <v>2.8</v>
      </c>
      <c r="J51" s="348">
        <v>2.92</v>
      </c>
      <c r="K51" s="348">
        <v>3.04</v>
      </c>
      <c r="L51" s="348">
        <v>3.14</v>
      </c>
      <c r="M51" s="348">
        <v>3.23</v>
      </c>
      <c r="N51" s="348">
        <v>3.3</v>
      </c>
      <c r="O51" s="348">
        <v>3.37</v>
      </c>
      <c r="P51" s="2205">
        <v>3.42</v>
      </c>
      <c r="Q51" s="348">
        <v>3.45</v>
      </c>
      <c r="R51" s="348">
        <v>3.48</v>
      </c>
      <c r="S51" s="348">
        <v>3.5</v>
      </c>
      <c r="T51" s="348">
        <v>3.52</v>
      </c>
      <c r="U51" s="348">
        <v>3.54</v>
      </c>
      <c r="V51" s="348">
        <v>3.54</v>
      </c>
      <c r="W51" s="348">
        <v>3.53</v>
      </c>
      <c r="X51" s="348">
        <v>3.53</v>
      </c>
      <c r="Y51" s="348">
        <v>3.53</v>
      </c>
      <c r="Z51" s="348">
        <v>3.52</v>
      </c>
      <c r="AA51" s="348">
        <v>3.51</v>
      </c>
      <c r="AB51" s="348">
        <v>3.5</v>
      </c>
      <c r="AC51" s="348">
        <v>3.49</v>
      </c>
      <c r="AD51" s="348">
        <v>3.48</v>
      </c>
      <c r="AE51" s="348">
        <v>3.47</v>
      </c>
      <c r="AF51" s="348">
        <v>3.46</v>
      </c>
      <c r="AG51" s="348">
        <v>3.45</v>
      </c>
      <c r="AH51" s="348">
        <v>3.44</v>
      </c>
      <c r="AI51" s="348">
        <v>3.44</v>
      </c>
      <c r="AJ51" s="348">
        <v>3.43</v>
      </c>
      <c r="AK51" s="348">
        <v>3.42</v>
      </c>
      <c r="AL51" s="348">
        <v>3.41</v>
      </c>
      <c r="AM51" s="348">
        <v>3.41</v>
      </c>
      <c r="AN51" s="348">
        <v>3.4</v>
      </c>
      <c r="AO51" s="348">
        <v>3.4</v>
      </c>
      <c r="AP51" s="348">
        <v>3.39</v>
      </c>
      <c r="AQ51" s="348">
        <v>3.39</v>
      </c>
      <c r="AR51" s="348">
        <v>3.38</v>
      </c>
      <c r="AS51" s="348">
        <v>3.38</v>
      </c>
      <c r="AT51" s="348">
        <v>3.38</v>
      </c>
      <c r="AU51" s="348">
        <v>3.37</v>
      </c>
      <c r="AV51" s="348">
        <v>3.37</v>
      </c>
      <c r="AW51" s="348">
        <v>3.37</v>
      </c>
      <c r="AX51" s="348">
        <v>3.36</v>
      </c>
      <c r="AY51" s="348">
        <v>3.36</v>
      </c>
      <c r="BB51" s="348">
        <v>2.52</v>
      </c>
    </row>
    <row r="52" spans="1:54">
      <c r="A52" s="109">
        <v>43343</v>
      </c>
      <c r="B52" s="348">
        <v>1.69</v>
      </c>
      <c r="C52" s="348">
        <v>1.8</v>
      </c>
      <c r="D52" s="348">
        <v>1.96</v>
      </c>
      <c r="E52" s="348">
        <v>2.13</v>
      </c>
      <c r="F52" s="348">
        <v>2.2999999999999998</v>
      </c>
      <c r="G52" s="348">
        <v>2.4700000000000002</v>
      </c>
      <c r="H52" s="348">
        <v>2.62</v>
      </c>
      <c r="I52" s="348">
        <v>2.76</v>
      </c>
      <c r="J52" s="348">
        <v>2.88</v>
      </c>
      <c r="K52" s="348">
        <v>3</v>
      </c>
      <c r="L52" s="348">
        <v>3.1</v>
      </c>
      <c r="M52" s="348">
        <v>3.19</v>
      </c>
      <c r="N52" s="348">
        <v>3.26</v>
      </c>
      <c r="O52" s="348">
        <v>3.33</v>
      </c>
      <c r="P52" s="2205">
        <v>3.39</v>
      </c>
      <c r="Q52" s="348">
        <v>3.42</v>
      </c>
      <c r="R52" s="348">
        <v>3.44</v>
      </c>
      <c r="S52" s="348">
        <v>3.47</v>
      </c>
      <c r="T52" s="348">
        <v>3.49</v>
      </c>
      <c r="U52" s="348">
        <v>3.51</v>
      </c>
      <c r="V52" s="348">
        <v>3.5</v>
      </c>
      <c r="W52" s="348">
        <v>3.5</v>
      </c>
      <c r="X52" s="348">
        <v>3.5</v>
      </c>
      <c r="Y52" s="348">
        <v>3.49</v>
      </c>
      <c r="Z52" s="348">
        <v>3.49</v>
      </c>
      <c r="AA52" s="348">
        <v>3.48</v>
      </c>
      <c r="AB52" s="348">
        <v>3.47</v>
      </c>
      <c r="AC52" s="348">
        <v>3.46</v>
      </c>
      <c r="AD52" s="348">
        <v>3.45</v>
      </c>
      <c r="AE52" s="348">
        <v>3.44</v>
      </c>
      <c r="AF52" s="348">
        <v>3.43</v>
      </c>
      <c r="AG52" s="348">
        <v>3.42</v>
      </c>
      <c r="AH52" s="348">
        <v>3.41</v>
      </c>
      <c r="AI52" s="348">
        <v>3.4</v>
      </c>
      <c r="AJ52" s="348">
        <v>3.4</v>
      </c>
      <c r="AK52" s="348">
        <v>3.39</v>
      </c>
      <c r="AL52" s="348">
        <v>3.38</v>
      </c>
      <c r="AM52" s="348">
        <v>3.38</v>
      </c>
      <c r="AN52" s="348">
        <v>3.37</v>
      </c>
      <c r="AO52" s="348">
        <v>3.37</v>
      </c>
      <c r="AP52" s="348">
        <v>3.36</v>
      </c>
      <c r="AQ52" s="348">
        <v>3.36</v>
      </c>
      <c r="AR52" s="348">
        <v>3.35</v>
      </c>
      <c r="AS52" s="348">
        <v>3.35</v>
      </c>
      <c r="AT52" s="348">
        <v>3.35</v>
      </c>
      <c r="AU52" s="348">
        <v>3.34</v>
      </c>
      <c r="AV52" s="348">
        <v>3.34</v>
      </c>
      <c r="AW52" s="348">
        <v>3.34</v>
      </c>
      <c r="AX52" s="348">
        <v>3.33</v>
      </c>
      <c r="AY52" s="348">
        <v>3.33</v>
      </c>
      <c r="BB52" s="348">
        <v>2.48</v>
      </c>
    </row>
    <row r="53" spans="1:54" s="127" customFormat="1" ht="12.75">
      <c r="A53" s="112">
        <v>43373</v>
      </c>
      <c r="B53" s="348">
        <v>1.63</v>
      </c>
      <c r="C53" s="348">
        <v>1.75</v>
      </c>
      <c r="D53" s="348">
        <v>1.9</v>
      </c>
      <c r="E53" s="348">
        <v>2.08</v>
      </c>
      <c r="F53" s="348">
        <v>2.25</v>
      </c>
      <c r="G53" s="348">
        <v>2.42</v>
      </c>
      <c r="H53" s="348">
        <v>2.57</v>
      </c>
      <c r="I53" s="348">
        <v>2.71</v>
      </c>
      <c r="J53" s="348">
        <v>2.83</v>
      </c>
      <c r="K53" s="348">
        <v>2.95</v>
      </c>
      <c r="L53" s="348">
        <v>3.06</v>
      </c>
      <c r="M53" s="348">
        <v>3.14</v>
      </c>
      <c r="N53" s="348">
        <v>3.22</v>
      </c>
      <c r="O53" s="348">
        <v>3.28</v>
      </c>
      <c r="P53" s="2205">
        <v>3.34</v>
      </c>
      <c r="Q53" s="348">
        <v>3.37</v>
      </c>
      <c r="R53" s="348">
        <v>3.4</v>
      </c>
      <c r="S53" s="348">
        <v>3.42</v>
      </c>
      <c r="T53" s="348">
        <v>3.44</v>
      </c>
      <c r="U53" s="348">
        <v>3.46</v>
      </c>
      <c r="V53" s="348">
        <v>3.46</v>
      </c>
      <c r="W53" s="348">
        <v>3.46</v>
      </c>
      <c r="X53" s="348">
        <v>3.45</v>
      </c>
      <c r="Y53" s="348">
        <v>3.45</v>
      </c>
      <c r="Z53" s="348">
        <v>3.45</v>
      </c>
      <c r="AA53" s="348">
        <v>3.44</v>
      </c>
      <c r="AB53" s="348">
        <v>3.43</v>
      </c>
      <c r="AC53" s="348">
        <v>3.42</v>
      </c>
      <c r="AD53" s="348">
        <v>3.41</v>
      </c>
      <c r="AE53" s="348">
        <v>3.4</v>
      </c>
      <c r="AF53" s="348">
        <v>3.39</v>
      </c>
      <c r="AG53" s="348">
        <v>3.38</v>
      </c>
      <c r="AH53" s="348">
        <v>3.37</v>
      </c>
      <c r="AI53" s="348">
        <v>3.36</v>
      </c>
      <c r="AJ53" s="348">
        <v>3.36</v>
      </c>
      <c r="AK53" s="348">
        <v>3.35</v>
      </c>
      <c r="AL53" s="348">
        <v>3.34</v>
      </c>
      <c r="AM53" s="348">
        <v>3.34</v>
      </c>
      <c r="AN53" s="348">
        <v>3.33</v>
      </c>
      <c r="AO53" s="348">
        <v>3.33</v>
      </c>
      <c r="AP53" s="348">
        <v>3.32</v>
      </c>
      <c r="AQ53" s="348">
        <v>3.32</v>
      </c>
      <c r="AR53" s="348">
        <v>3.32</v>
      </c>
      <c r="AS53" s="348">
        <v>3.31</v>
      </c>
      <c r="AT53" s="348">
        <v>3.31</v>
      </c>
      <c r="AU53" s="348">
        <v>3.31</v>
      </c>
      <c r="AV53" s="348">
        <v>3.3</v>
      </c>
      <c r="AW53" s="348">
        <v>3.3</v>
      </c>
      <c r="AX53" s="348">
        <v>3.3</v>
      </c>
      <c r="AY53" s="348">
        <v>3.29</v>
      </c>
      <c r="BB53" s="348">
        <v>2.4300000000000002</v>
      </c>
    </row>
    <row r="54" spans="1:54" s="127" customFormat="1" ht="12.75">
      <c r="A54" s="109">
        <v>43404</v>
      </c>
      <c r="B54" s="348">
        <v>1.58</v>
      </c>
      <c r="C54" s="348">
        <v>1.7</v>
      </c>
      <c r="D54" s="348">
        <v>1.85</v>
      </c>
      <c r="E54" s="348">
        <v>2.0299999999999998</v>
      </c>
      <c r="F54" s="348">
        <v>2.2000000000000002</v>
      </c>
      <c r="G54" s="348">
        <v>2.37</v>
      </c>
      <c r="H54" s="348">
        <v>2.52</v>
      </c>
      <c r="I54" s="348">
        <v>2.66</v>
      </c>
      <c r="J54" s="348">
        <v>2.78</v>
      </c>
      <c r="K54" s="348">
        <v>2.9</v>
      </c>
      <c r="L54" s="348">
        <v>3.01</v>
      </c>
      <c r="M54" s="348">
        <v>3.09</v>
      </c>
      <c r="N54" s="348">
        <v>3.17</v>
      </c>
      <c r="O54" s="348">
        <v>3.24</v>
      </c>
      <c r="P54" s="2205">
        <v>3.29</v>
      </c>
      <c r="Q54" s="348">
        <v>3.32</v>
      </c>
      <c r="R54" s="348">
        <v>3.35</v>
      </c>
      <c r="S54" s="348">
        <v>3.38</v>
      </c>
      <c r="T54" s="348">
        <v>3.4</v>
      </c>
      <c r="U54" s="348">
        <v>3.42</v>
      </c>
      <c r="V54" s="348">
        <v>3.42</v>
      </c>
      <c r="W54" s="348">
        <v>3.41</v>
      </c>
      <c r="X54" s="348">
        <v>3.41</v>
      </c>
      <c r="Y54" s="348">
        <v>3.41</v>
      </c>
      <c r="Z54" s="348">
        <v>3.41</v>
      </c>
      <c r="AA54" s="348">
        <v>3.39</v>
      </c>
      <c r="AB54" s="348">
        <v>3.38</v>
      </c>
      <c r="AC54" s="348">
        <v>3.37</v>
      </c>
      <c r="AD54" s="348">
        <v>3.36</v>
      </c>
      <c r="AE54" s="348">
        <v>3.36</v>
      </c>
      <c r="AF54" s="348">
        <v>3.35</v>
      </c>
      <c r="AG54" s="348">
        <v>3.34</v>
      </c>
      <c r="AH54" s="348">
        <v>3.33</v>
      </c>
      <c r="AI54" s="348">
        <v>3.32</v>
      </c>
      <c r="AJ54" s="348">
        <v>3.32</v>
      </c>
      <c r="AK54" s="348">
        <v>3.31</v>
      </c>
      <c r="AL54" s="348">
        <v>3.3</v>
      </c>
      <c r="AM54" s="348">
        <v>3.3</v>
      </c>
      <c r="AN54" s="348">
        <v>3.29</v>
      </c>
      <c r="AO54" s="348">
        <v>3.29</v>
      </c>
      <c r="AP54" s="348">
        <v>3.28</v>
      </c>
      <c r="AQ54" s="348">
        <v>3.28</v>
      </c>
      <c r="AR54" s="348">
        <v>3.28</v>
      </c>
      <c r="AS54" s="348">
        <v>3.27</v>
      </c>
      <c r="AT54" s="348">
        <v>3.27</v>
      </c>
      <c r="AU54" s="348">
        <v>3.27</v>
      </c>
      <c r="AV54" s="348">
        <v>3.26</v>
      </c>
      <c r="AW54" s="348">
        <v>3.26</v>
      </c>
      <c r="AX54" s="348">
        <v>3.26</v>
      </c>
      <c r="AY54" s="348">
        <v>3.25</v>
      </c>
      <c r="BB54" s="348">
        <v>2.4</v>
      </c>
    </row>
    <row r="55" spans="1:54" s="127" customFormat="1" ht="12.75">
      <c r="A55" s="112">
        <v>43434</v>
      </c>
      <c r="B55" s="348">
        <v>1.53</v>
      </c>
      <c r="C55" s="348">
        <v>1.65</v>
      </c>
      <c r="D55" s="348">
        <v>1.81</v>
      </c>
      <c r="E55" s="348">
        <v>1.98</v>
      </c>
      <c r="F55" s="348">
        <v>2.15</v>
      </c>
      <c r="G55" s="348">
        <v>2.3199999999999998</v>
      </c>
      <c r="H55" s="348">
        <v>2.4700000000000002</v>
      </c>
      <c r="I55" s="348">
        <v>2.61</v>
      </c>
      <c r="J55" s="348">
        <v>2.74</v>
      </c>
      <c r="K55" s="348">
        <v>2.86</v>
      </c>
      <c r="L55" s="348">
        <v>2.96</v>
      </c>
      <c r="M55" s="348">
        <v>3.05</v>
      </c>
      <c r="N55" s="348">
        <v>3.13</v>
      </c>
      <c r="O55" s="348">
        <v>3.19</v>
      </c>
      <c r="P55" s="2205">
        <v>3.25</v>
      </c>
      <c r="Q55" s="348">
        <v>3.28</v>
      </c>
      <c r="R55" s="348">
        <v>3.31</v>
      </c>
      <c r="S55" s="348">
        <v>3.33</v>
      </c>
      <c r="T55" s="348">
        <v>3.36</v>
      </c>
      <c r="U55" s="348">
        <v>3.38</v>
      </c>
      <c r="V55" s="348">
        <v>3.38</v>
      </c>
      <c r="W55" s="348">
        <v>3.37</v>
      </c>
      <c r="X55" s="348">
        <v>3.37</v>
      </c>
      <c r="Y55" s="348">
        <v>3.37</v>
      </c>
      <c r="Z55" s="348">
        <v>3.37</v>
      </c>
      <c r="AA55" s="348">
        <v>3.36</v>
      </c>
      <c r="AB55" s="348">
        <v>3.35</v>
      </c>
      <c r="AC55" s="348">
        <v>3.34</v>
      </c>
      <c r="AD55" s="348">
        <v>3.33</v>
      </c>
      <c r="AE55" s="348">
        <v>3.32</v>
      </c>
      <c r="AF55" s="348">
        <v>3.31</v>
      </c>
      <c r="AG55" s="348">
        <v>3.3</v>
      </c>
      <c r="AH55" s="348">
        <v>3.3</v>
      </c>
      <c r="AI55" s="348">
        <v>3.29</v>
      </c>
      <c r="AJ55" s="348">
        <v>3.28</v>
      </c>
      <c r="AK55" s="348">
        <v>3.28</v>
      </c>
      <c r="AL55" s="348">
        <v>3.27</v>
      </c>
      <c r="AM55" s="348">
        <v>3.26</v>
      </c>
      <c r="AN55" s="348">
        <v>3.26</v>
      </c>
      <c r="AO55" s="348">
        <v>3.25</v>
      </c>
      <c r="AP55" s="348">
        <v>3.25</v>
      </c>
      <c r="AQ55" s="348">
        <v>3.25</v>
      </c>
      <c r="AR55" s="348">
        <v>3.24</v>
      </c>
      <c r="AS55" s="348">
        <v>3.24</v>
      </c>
      <c r="AT55" s="348">
        <v>3.24</v>
      </c>
      <c r="AU55" s="348">
        <v>3.23</v>
      </c>
      <c r="AV55" s="348">
        <v>3.23</v>
      </c>
      <c r="AW55" s="348">
        <v>3.23</v>
      </c>
      <c r="AX55" s="348">
        <v>3.22</v>
      </c>
      <c r="AY55" s="348">
        <v>3.22</v>
      </c>
      <c r="BB55" s="348">
        <v>2.36</v>
      </c>
    </row>
    <row r="56" spans="1:54">
      <c r="A56" s="109">
        <v>43465</v>
      </c>
      <c r="B56" s="348">
        <v>1.49</v>
      </c>
      <c r="C56" s="348">
        <v>1.61</v>
      </c>
      <c r="D56" s="348">
        <v>1.76</v>
      </c>
      <c r="E56" s="348">
        <v>1.94</v>
      </c>
      <c r="F56" s="348">
        <v>2.11</v>
      </c>
      <c r="G56" s="348">
        <v>2.2799999999999998</v>
      </c>
      <c r="H56" s="348">
        <v>2.4300000000000002</v>
      </c>
      <c r="I56" s="348">
        <v>2.57</v>
      </c>
      <c r="J56" s="348">
        <v>2.7</v>
      </c>
      <c r="K56" s="348">
        <v>2.81</v>
      </c>
      <c r="L56" s="348">
        <v>2.92</v>
      </c>
      <c r="M56" s="348">
        <v>3.01</v>
      </c>
      <c r="N56" s="348">
        <v>3.08</v>
      </c>
      <c r="O56" s="348">
        <v>3.15</v>
      </c>
      <c r="P56" s="2205">
        <v>3.21</v>
      </c>
      <c r="Q56" s="348">
        <v>3.24</v>
      </c>
      <c r="R56" s="348">
        <v>3.27</v>
      </c>
      <c r="S56" s="348">
        <v>3.29</v>
      </c>
      <c r="T56" s="348">
        <v>3.32</v>
      </c>
      <c r="U56" s="348">
        <v>3.34</v>
      </c>
      <c r="V56" s="348">
        <v>3.34</v>
      </c>
      <c r="W56" s="348">
        <v>3.33</v>
      </c>
      <c r="X56" s="348">
        <v>3.33</v>
      </c>
      <c r="Y56" s="348">
        <v>3.33</v>
      </c>
      <c r="Z56" s="348">
        <v>3.33</v>
      </c>
      <c r="AA56" s="348">
        <v>3.32</v>
      </c>
      <c r="AB56" s="348">
        <v>3.31</v>
      </c>
      <c r="AC56" s="348">
        <v>3.3</v>
      </c>
      <c r="AD56" s="348">
        <v>3.29</v>
      </c>
      <c r="AE56" s="348">
        <v>3.28</v>
      </c>
      <c r="AF56" s="348">
        <v>3.28</v>
      </c>
      <c r="AG56" s="348">
        <v>3.27</v>
      </c>
      <c r="AH56" s="348">
        <v>3.26</v>
      </c>
      <c r="AI56" s="348">
        <v>3.25</v>
      </c>
      <c r="AJ56" s="348">
        <v>3.25</v>
      </c>
      <c r="AK56" s="348">
        <v>3.24</v>
      </c>
      <c r="AL56" s="348">
        <v>3.24</v>
      </c>
      <c r="AM56" s="348">
        <v>3.23</v>
      </c>
      <c r="AN56" s="348">
        <v>3.23</v>
      </c>
      <c r="AO56" s="348">
        <v>3.22</v>
      </c>
      <c r="AP56" s="348">
        <v>3.22</v>
      </c>
      <c r="AQ56" s="348">
        <v>3.21</v>
      </c>
      <c r="AR56" s="348">
        <v>3.21</v>
      </c>
      <c r="AS56" s="348">
        <v>3.21</v>
      </c>
      <c r="AT56" s="348">
        <v>3.2</v>
      </c>
      <c r="AU56" s="348">
        <v>3.2</v>
      </c>
      <c r="AV56" s="348">
        <v>3.2</v>
      </c>
      <c r="AW56" s="348">
        <v>3.2</v>
      </c>
      <c r="AX56" s="348">
        <v>3.19</v>
      </c>
      <c r="AY56" s="348">
        <v>3.19</v>
      </c>
      <c r="BB56" s="348">
        <v>2.3199999999999998</v>
      </c>
    </row>
    <row r="57" spans="1:54">
      <c r="A57" s="112">
        <v>43496</v>
      </c>
      <c r="B57" s="348">
        <v>1.45</v>
      </c>
      <c r="C57" s="348">
        <v>1.57</v>
      </c>
      <c r="D57" s="348">
        <v>1.72</v>
      </c>
      <c r="E57" s="348">
        <v>1.9</v>
      </c>
      <c r="F57" s="348">
        <v>2.0699999999999998</v>
      </c>
      <c r="G57" s="348">
        <v>2.23</v>
      </c>
      <c r="H57" s="348">
        <v>2.39</v>
      </c>
      <c r="I57" s="348">
        <v>2.5299999999999998</v>
      </c>
      <c r="J57" s="348">
        <v>2.65</v>
      </c>
      <c r="K57" s="348">
        <v>2.77</v>
      </c>
      <c r="L57" s="348">
        <v>2.87</v>
      </c>
      <c r="M57" s="348">
        <v>2.96</v>
      </c>
      <c r="N57" s="348">
        <v>3.04</v>
      </c>
      <c r="O57" s="348">
        <v>3.11</v>
      </c>
      <c r="P57" s="2205">
        <v>3.16</v>
      </c>
      <c r="Q57" s="348">
        <v>3.2</v>
      </c>
      <c r="R57" s="348">
        <v>3.23</v>
      </c>
      <c r="S57" s="348">
        <v>3.25</v>
      </c>
      <c r="T57" s="348">
        <v>3.27</v>
      </c>
      <c r="U57" s="348">
        <v>3.3</v>
      </c>
      <c r="V57" s="348">
        <v>3.29</v>
      </c>
      <c r="W57" s="348">
        <v>3.29</v>
      </c>
      <c r="X57" s="348">
        <v>3.29</v>
      </c>
      <c r="Y57" s="348">
        <v>3.29</v>
      </c>
      <c r="Z57" s="348">
        <v>3.29</v>
      </c>
      <c r="AA57" s="348">
        <v>3.28</v>
      </c>
      <c r="AB57" s="348">
        <v>3.27</v>
      </c>
      <c r="AC57" s="348">
        <v>3.26</v>
      </c>
      <c r="AD57" s="348">
        <v>3.25</v>
      </c>
      <c r="AE57" s="348">
        <v>3.25</v>
      </c>
      <c r="AF57" s="348">
        <v>3.24</v>
      </c>
      <c r="AG57" s="348">
        <v>3.23</v>
      </c>
      <c r="AH57" s="348">
        <v>3.22</v>
      </c>
      <c r="AI57" s="348">
        <v>3.22</v>
      </c>
      <c r="AJ57" s="348">
        <v>3.21</v>
      </c>
      <c r="AK57" s="348">
        <v>3.21</v>
      </c>
      <c r="AL57" s="348">
        <v>3.2</v>
      </c>
      <c r="AM57" s="348">
        <v>3.2</v>
      </c>
      <c r="AN57" s="348">
        <v>3.19</v>
      </c>
      <c r="AO57" s="348">
        <v>3.19</v>
      </c>
      <c r="AP57" s="348">
        <v>3.18</v>
      </c>
      <c r="AQ57" s="348">
        <v>3.18</v>
      </c>
      <c r="AR57" s="348">
        <v>3.18</v>
      </c>
      <c r="AS57" s="348">
        <v>3.17</v>
      </c>
      <c r="AT57" s="348">
        <v>3.17</v>
      </c>
      <c r="AU57" s="348">
        <v>3.17</v>
      </c>
      <c r="AV57" s="348">
        <v>3.16</v>
      </c>
      <c r="AW57" s="348">
        <v>3.16</v>
      </c>
      <c r="AX57" s="348">
        <v>3.16</v>
      </c>
      <c r="AY57" s="348">
        <v>3.16</v>
      </c>
      <c r="BB57" s="348">
        <v>2.29</v>
      </c>
    </row>
    <row r="58" spans="1:54">
      <c r="A58" s="109">
        <v>43524</v>
      </c>
      <c r="B58" s="348">
        <v>1.41</v>
      </c>
      <c r="C58" s="348">
        <v>1.53</v>
      </c>
      <c r="D58" s="348">
        <v>1.68</v>
      </c>
      <c r="E58" s="348">
        <v>1.85</v>
      </c>
      <c r="F58" s="348">
        <v>2.02</v>
      </c>
      <c r="G58" s="348">
        <v>2.19</v>
      </c>
      <c r="H58" s="348">
        <v>2.34</v>
      </c>
      <c r="I58" s="348">
        <v>2.48</v>
      </c>
      <c r="J58" s="348">
        <v>2.61</v>
      </c>
      <c r="K58" s="348">
        <v>2.72</v>
      </c>
      <c r="L58" s="348">
        <v>2.83</v>
      </c>
      <c r="M58" s="348">
        <v>2.92</v>
      </c>
      <c r="N58" s="348">
        <v>2.99</v>
      </c>
      <c r="O58" s="348">
        <v>3.06</v>
      </c>
      <c r="P58" s="2205">
        <v>3.12</v>
      </c>
      <c r="Q58" s="348">
        <v>3.15</v>
      </c>
      <c r="R58" s="348">
        <v>3.18</v>
      </c>
      <c r="S58" s="348">
        <v>3.21</v>
      </c>
      <c r="T58" s="348">
        <v>3.23</v>
      </c>
      <c r="U58" s="348">
        <v>3.25</v>
      </c>
      <c r="V58" s="348">
        <v>3.25</v>
      </c>
      <c r="W58" s="348">
        <v>3.25</v>
      </c>
      <c r="X58" s="348">
        <v>3.25</v>
      </c>
      <c r="Y58" s="348">
        <v>3.25</v>
      </c>
      <c r="Z58" s="348">
        <v>3.25</v>
      </c>
      <c r="AA58" s="348">
        <v>3.24</v>
      </c>
      <c r="AB58" s="348">
        <v>3.23</v>
      </c>
      <c r="AC58" s="348">
        <v>3.22</v>
      </c>
      <c r="AD58" s="348">
        <v>3.22</v>
      </c>
      <c r="AE58" s="348">
        <v>3.21</v>
      </c>
      <c r="AF58" s="348">
        <v>3.2</v>
      </c>
      <c r="AG58" s="348">
        <v>3.19</v>
      </c>
      <c r="AH58" s="348">
        <v>3.19</v>
      </c>
      <c r="AI58" s="348">
        <v>3.18</v>
      </c>
      <c r="AJ58" s="348">
        <v>3.18</v>
      </c>
      <c r="AK58" s="348">
        <v>3.17</v>
      </c>
      <c r="AL58" s="348">
        <v>3.17</v>
      </c>
      <c r="AM58" s="348">
        <v>3.16</v>
      </c>
      <c r="AN58" s="348">
        <v>3.16</v>
      </c>
      <c r="AO58" s="348">
        <v>3.15</v>
      </c>
      <c r="AP58" s="348">
        <v>3.15</v>
      </c>
      <c r="AQ58" s="348">
        <v>3.15</v>
      </c>
      <c r="AR58" s="348">
        <v>3.14</v>
      </c>
      <c r="AS58" s="348">
        <v>3.14</v>
      </c>
      <c r="AT58" s="348">
        <v>3.14</v>
      </c>
      <c r="AU58" s="348">
        <v>3.13</v>
      </c>
      <c r="AV58" s="348">
        <v>3.13</v>
      </c>
      <c r="AW58" s="348">
        <v>3.13</v>
      </c>
      <c r="AX58" s="348">
        <v>3.13</v>
      </c>
      <c r="AY58" s="348">
        <v>3.12</v>
      </c>
      <c r="BB58" s="348">
        <v>2.2599999999999998</v>
      </c>
    </row>
    <row r="59" spans="1:54">
      <c r="A59" s="112">
        <v>43555</v>
      </c>
      <c r="B59" s="348">
        <v>1.37</v>
      </c>
      <c r="C59" s="348">
        <v>1.49</v>
      </c>
      <c r="D59" s="348">
        <v>1.64</v>
      </c>
      <c r="E59" s="348">
        <v>1.81</v>
      </c>
      <c r="F59" s="348">
        <v>1.98</v>
      </c>
      <c r="G59" s="348">
        <v>2.14</v>
      </c>
      <c r="H59" s="348">
        <v>2.2999999999999998</v>
      </c>
      <c r="I59" s="348">
        <v>2.4300000000000002</v>
      </c>
      <c r="J59" s="348">
        <v>2.56</v>
      </c>
      <c r="K59" s="348">
        <v>2.68</v>
      </c>
      <c r="L59" s="348">
        <v>2.78</v>
      </c>
      <c r="M59" s="348">
        <v>2.87</v>
      </c>
      <c r="N59" s="348">
        <v>2.95</v>
      </c>
      <c r="O59" s="348">
        <v>3.01</v>
      </c>
      <c r="P59" s="2205">
        <v>3.07</v>
      </c>
      <c r="Q59" s="348">
        <v>3.1</v>
      </c>
      <c r="R59" s="348">
        <v>3.13</v>
      </c>
      <c r="S59" s="348">
        <v>3.16</v>
      </c>
      <c r="T59" s="348">
        <v>3.18</v>
      </c>
      <c r="U59" s="348">
        <v>3.2</v>
      </c>
      <c r="V59" s="348">
        <v>3.2</v>
      </c>
      <c r="W59" s="348">
        <v>3.21</v>
      </c>
      <c r="X59" s="348">
        <v>3.21</v>
      </c>
      <c r="Y59" s="348">
        <v>3.21</v>
      </c>
      <c r="Z59" s="348">
        <v>3.21</v>
      </c>
      <c r="AA59" s="348">
        <v>3.2</v>
      </c>
      <c r="AB59" s="348">
        <v>3.19</v>
      </c>
      <c r="AC59" s="348">
        <v>3.18</v>
      </c>
      <c r="AD59" s="348">
        <v>3.17</v>
      </c>
      <c r="AE59" s="348">
        <v>3.17</v>
      </c>
      <c r="AF59" s="348">
        <v>3.16</v>
      </c>
      <c r="AG59" s="348">
        <v>3.15</v>
      </c>
      <c r="AH59" s="348">
        <v>3.15</v>
      </c>
      <c r="AI59" s="348">
        <v>3.14</v>
      </c>
      <c r="AJ59" s="348">
        <v>3.13</v>
      </c>
      <c r="AK59" s="348">
        <v>3.13</v>
      </c>
      <c r="AL59" s="348">
        <v>3.12</v>
      </c>
      <c r="AM59" s="348">
        <v>3.12</v>
      </c>
      <c r="AN59" s="348">
        <v>3.11</v>
      </c>
      <c r="AO59" s="348">
        <v>3.11</v>
      </c>
      <c r="AP59" s="348">
        <v>3.11</v>
      </c>
      <c r="AQ59" s="348">
        <v>3.1</v>
      </c>
      <c r="AR59" s="348">
        <v>3.1</v>
      </c>
      <c r="AS59" s="348">
        <v>3.1</v>
      </c>
      <c r="AT59" s="348">
        <v>3.09</v>
      </c>
      <c r="AU59" s="348">
        <v>3.09</v>
      </c>
      <c r="AV59" s="348">
        <v>3.09</v>
      </c>
      <c r="AW59" s="348">
        <v>3.09</v>
      </c>
      <c r="AX59" s="348">
        <v>3.08</v>
      </c>
      <c r="AY59" s="348">
        <v>3.08</v>
      </c>
      <c r="BB59" s="348">
        <v>2.23</v>
      </c>
    </row>
    <row r="60" spans="1:54" s="127" customFormat="1" ht="12.75">
      <c r="A60" s="109">
        <v>43585</v>
      </c>
      <c r="B60" s="348">
        <v>1.34</v>
      </c>
      <c r="C60" s="348">
        <v>1.45</v>
      </c>
      <c r="D60" s="348">
        <v>1.6</v>
      </c>
      <c r="E60" s="348">
        <v>1.77</v>
      </c>
      <c r="F60" s="348">
        <v>1.94</v>
      </c>
      <c r="G60" s="348">
        <v>2.1</v>
      </c>
      <c r="H60" s="348">
        <v>2.25</v>
      </c>
      <c r="I60" s="348">
        <v>2.39</v>
      </c>
      <c r="J60" s="348">
        <v>2.52</v>
      </c>
      <c r="K60" s="348">
        <v>2.63</v>
      </c>
      <c r="L60" s="348">
        <v>2.74</v>
      </c>
      <c r="M60" s="348">
        <v>2.82</v>
      </c>
      <c r="N60" s="348">
        <v>2.9</v>
      </c>
      <c r="O60" s="348">
        <v>2.97</v>
      </c>
      <c r="P60" s="2205">
        <v>3.03</v>
      </c>
      <c r="Q60" s="348">
        <v>3.06</v>
      </c>
      <c r="R60" s="348">
        <v>3.09</v>
      </c>
      <c r="S60" s="348">
        <v>3.12</v>
      </c>
      <c r="T60" s="348">
        <v>3.14</v>
      </c>
      <c r="U60" s="348">
        <v>3.16</v>
      </c>
      <c r="V60" s="348">
        <v>3.16</v>
      </c>
      <c r="W60" s="348">
        <v>3.16</v>
      </c>
      <c r="X60" s="348">
        <v>3.16</v>
      </c>
      <c r="Y60" s="348">
        <v>3.16</v>
      </c>
      <c r="Z60" s="348">
        <v>3.16</v>
      </c>
      <c r="AA60" s="348">
        <v>3.15</v>
      </c>
      <c r="AB60" s="348">
        <v>3.15</v>
      </c>
      <c r="AC60" s="348">
        <v>3.14</v>
      </c>
      <c r="AD60" s="348">
        <v>3.13</v>
      </c>
      <c r="AE60" s="348">
        <v>3.12</v>
      </c>
      <c r="AF60" s="348">
        <v>3.12</v>
      </c>
      <c r="AG60" s="348">
        <v>3.11</v>
      </c>
      <c r="AH60" s="348">
        <v>3.11</v>
      </c>
      <c r="AI60" s="348">
        <v>3.1</v>
      </c>
      <c r="AJ60" s="348">
        <v>3.09</v>
      </c>
      <c r="AK60" s="348">
        <v>3.09</v>
      </c>
      <c r="AL60" s="348">
        <v>3.08</v>
      </c>
      <c r="AM60" s="348">
        <v>3.08</v>
      </c>
      <c r="AN60" s="348">
        <v>3.08</v>
      </c>
      <c r="AO60" s="348">
        <v>3.07</v>
      </c>
      <c r="AP60" s="348">
        <v>3.07</v>
      </c>
      <c r="AQ60" s="348">
        <v>3.07</v>
      </c>
      <c r="AR60" s="348">
        <v>3.06</v>
      </c>
      <c r="AS60" s="348">
        <v>3.06</v>
      </c>
      <c r="AT60" s="348">
        <v>3.06</v>
      </c>
      <c r="AU60" s="348">
        <v>3.05</v>
      </c>
      <c r="AV60" s="348">
        <v>3.05</v>
      </c>
      <c r="AW60" s="348">
        <v>3.05</v>
      </c>
      <c r="AX60" s="348">
        <v>3.05</v>
      </c>
      <c r="AY60" s="348">
        <v>3.04</v>
      </c>
      <c r="BB60" s="348">
        <v>2.2000000000000002</v>
      </c>
    </row>
    <row r="61" spans="1:54" s="127" customFormat="1" ht="12.75">
      <c r="A61" s="112">
        <v>43616</v>
      </c>
      <c r="B61" s="348">
        <v>1.31</v>
      </c>
      <c r="C61" s="348">
        <v>1.42</v>
      </c>
      <c r="D61" s="348">
        <v>1.57</v>
      </c>
      <c r="E61" s="348">
        <v>1.73</v>
      </c>
      <c r="F61" s="348">
        <v>1.9</v>
      </c>
      <c r="G61" s="348">
        <v>2.06</v>
      </c>
      <c r="H61" s="348">
        <v>2.21</v>
      </c>
      <c r="I61" s="348">
        <v>2.35</v>
      </c>
      <c r="J61" s="348">
        <v>2.4700000000000002</v>
      </c>
      <c r="K61" s="348">
        <v>2.59</v>
      </c>
      <c r="L61" s="348">
        <v>2.69</v>
      </c>
      <c r="M61" s="348">
        <v>2.78</v>
      </c>
      <c r="N61" s="348">
        <v>2.86</v>
      </c>
      <c r="O61" s="348">
        <v>2.93</v>
      </c>
      <c r="P61" s="2205">
        <v>2.98</v>
      </c>
      <c r="Q61" s="348">
        <v>3.02</v>
      </c>
      <c r="R61" s="348">
        <v>3.05</v>
      </c>
      <c r="S61" s="348">
        <v>3.07</v>
      </c>
      <c r="T61" s="348">
        <v>3.1</v>
      </c>
      <c r="U61" s="348">
        <v>3.12</v>
      </c>
      <c r="V61" s="348">
        <v>3.12</v>
      </c>
      <c r="W61" s="348">
        <v>3.12</v>
      </c>
      <c r="X61" s="348">
        <v>3.12</v>
      </c>
      <c r="Y61" s="348">
        <v>3.12</v>
      </c>
      <c r="Z61" s="348">
        <v>3.12</v>
      </c>
      <c r="AA61" s="348">
        <v>3.11</v>
      </c>
      <c r="AB61" s="348">
        <v>3.11</v>
      </c>
      <c r="AC61" s="348">
        <v>3.1</v>
      </c>
      <c r="AD61" s="348">
        <v>3.09</v>
      </c>
      <c r="AE61" s="348">
        <v>3.09</v>
      </c>
      <c r="AF61" s="348">
        <v>3.08</v>
      </c>
      <c r="AG61" s="348">
        <v>3.07</v>
      </c>
      <c r="AH61" s="348">
        <v>3.07</v>
      </c>
      <c r="AI61" s="348">
        <v>3.06</v>
      </c>
      <c r="AJ61" s="348">
        <v>3.06</v>
      </c>
      <c r="AK61" s="348">
        <v>3.05</v>
      </c>
      <c r="AL61" s="348">
        <v>3.05</v>
      </c>
      <c r="AM61" s="348">
        <v>3.04</v>
      </c>
      <c r="AN61" s="348">
        <v>3.04</v>
      </c>
      <c r="AO61" s="348">
        <v>3.04</v>
      </c>
      <c r="AP61" s="348">
        <v>3.03</v>
      </c>
      <c r="AQ61" s="348">
        <v>3.03</v>
      </c>
      <c r="AR61" s="348">
        <v>3.03</v>
      </c>
      <c r="AS61" s="348">
        <v>3.02</v>
      </c>
      <c r="AT61" s="348">
        <v>3.02</v>
      </c>
      <c r="AU61" s="348">
        <v>3.02</v>
      </c>
      <c r="AV61" s="348">
        <v>3.02</v>
      </c>
      <c r="AW61" s="348">
        <v>3.01</v>
      </c>
      <c r="AX61" s="348">
        <v>3.01</v>
      </c>
      <c r="AY61" s="348">
        <v>3.01</v>
      </c>
      <c r="BB61" s="348">
        <v>2.1800000000000002</v>
      </c>
    </row>
    <row r="62" spans="1:54" s="127" customFormat="1" ht="12.75">
      <c r="A62" s="109">
        <v>43646</v>
      </c>
      <c r="B62" s="348">
        <v>1.29</v>
      </c>
      <c r="C62" s="348">
        <v>1.39</v>
      </c>
      <c r="D62" s="348">
        <v>1.53</v>
      </c>
      <c r="E62" s="348">
        <v>1.7</v>
      </c>
      <c r="F62" s="348">
        <v>1.86</v>
      </c>
      <c r="G62" s="348">
        <v>2.02</v>
      </c>
      <c r="H62" s="348">
        <v>2.17</v>
      </c>
      <c r="I62" s="348">
        <v>2.31</v>
      </c>
      <c r="J62" s="348">
        <v>2.4300000000000002</v>
      </c>
      <c r="K62" s="348">
        <v>2.5499999999999998</v>
      </c>
      <c r="L62" s="348">
        <v>2.65</v>
      </c>
      <c r="M62" s="348">
        <v>2.74</v>
      </c>
      <c r="N62" s="348">
        <v>2.82</v>
      </c>
      <c r="O62" s="348">
        <v>2.88</v>
      </c>
      <c r="P62" s="2205">
        <v>2.94</v>
      </c>
      <c r="Q62" s="348">
        <v>2.98</v>
      </c>
      <c r="R62" s="348">
        <v>3.01</v>
      </c>
      <c r="S62" s="348">
        <v>3.03</v>
      </c>
      <c r="T62" s="348">
        <v>3.06</v>
      </c>
      <c r="U62" s="348">
        <v>3.08</v>
      </c>
      <c r="V62" s="348">
        <v>3.08</v>
      </c>
      <c r="W62" s="348">
        <v>3.08</v>
      </c>
      <c r="X62" s="348">
        <v>3.08</v>
      </c>
      <c r="Y62" s="348">
        <v>3.08</v>
      </c>
      <c r="Z62" s="348">
        <v>3.08</v>
      </c>
      <c r="AA62" s="348">
        <v>3.08</v>
      </c>
      <c r="AB62" s="348">
        <v>3.07</v>
      </c>
      <c r="AC62" s="348">
        <v>3.06</v>
      </c>
      <c r="AD62" s="348">
        <v>3.05</v>
      </c>
      <c r="AE62" s="348">
        <v>3.05</v>
      </c>
      <c r="AF62" s="348">
        <v>3.04</v>
      </c>
      <c r="AG62" s="348">
        <v>3.04</v>
      </c>
      <c r="AH62" s="348">
        <v>3.03</v>
      </c>
      <c r="AI62" s="348">
        <v>3.02</v>
      </c>
      <c r="AJ62" s="348">
        <v>3.02</v>
      </c>
      <c r="AK62" s="348">
        <v>3.02</v>
      </c>
      <c r="AL62" s="348">
        <v>3.01</v>
      </c>
      <c r="AM62" s="348">
        <v>3.01</v>
      </c>
      <c r="AN62" s="348">
        <v>3</v>
      </c>
      <c r="AO62" s="348">
        <v>3</v>
      </c>
      <c r="AP62" s="348">
        <v>3</v>
      </c>
      <c r="AQ62" s="348">
        <v>2.99</v>
      </c>
      <c r="AR62" s="348">
        <v>2.99</v>
      </c>
      <c r="AS62" s="348">
        <v>2.99</v>
      </c>
      <c r="AT62" s="348">
        <v>2.98</v>
      </c>
      <c r="AU62" s="348">
        <v>2.98</v>
      </c>
      <c r="AV62" s="348">
        <v>2.98</v>
      </c>
      <c r="AW62" s="348">
        <v>2.98</v>
      </c>
      <c r="AX62" s="348">
        <v>2.98</v>
      </c>
      <c r="AY62" s="348">
        <v>2.97</v>
      </c>
      <c r="BB62" s="348">
        <v>2.15</v>
      </c>
    </row>
    <row r="63" spans="1:54" s="127" customFormat="1" ht="12.75">
      <c r="A63" s="112">
        <v>43677</v>
      </c>
      <c r="B63" s="348">
        <v>1.27</v>
      </c>
      <c r="C63" s="348">
        <v>1.37</v>
      </c>
      <c r="D63" s="348">
        <v>1.5</v>
      </c>
      <c r="E63" s="348">
        <v>1.67</v>
      </c>
      <c r="F63" s="348">
        <v>1.83</v>
      </c>
      <c r="G63" s="348">
        <v>1.99</v>
      </c>
      <c r="H63" s="348">
        <v>2.14</v>
      </c>
      <c r="I63" s="348">
        <v>2.27</v>
      </c>
      <c r="J63" s="348">
        <v>2.4</v>
      </c>
      <c r="K63" s="348">
        <v>2.5099999999999998</v>
      </c>
      <c r="L63" s="348">
        <v>2.62</v>
      </c>
      <c r="M63" s="348">
        <v>2.7</v>
      </c>
      <c r="N63" s="348">
        <v>2.78</v>
      </c>
      <c r="O63" s="348">
        <v>2.85</v>
      </c>
      <c r="P63" s="2205">
        <v>2.9</v>
      </c>
      <c r="Q63" s="348">
        <v>2.94</v>
      </c>
      <c r="R63" s="348">
        <v>2.97</v>
      </c>
      <c r="S63" s="348">
        <v>2.99</v>
      </c>
      <c r="T63" s="348">
        <v>3.02</v>
      </c>
      <c r="U63" s="348">
        <v>3.04</v>
      </c>
      <c r="V63" s="348">
        <v>3.04</v>
      </c>
      <c r="W63" s="348">
        <v>3.04</v>
      </c>
      <c r="X63" s="348">
        <v>3.04</v>
      </c>
      <c r="Y63" s="348">
        <v>3.04</v>
      </c>
      <c r="Z63" s="348">
        <v>3.05</v>
      </c>
      <c r="AA63" s="348">
        <v>3.04</v>
      </c>
      <c r="AB63" s="348">
        <v>3.03</v>
      </c>
      <c r="AC63" s="348">
        <v>3.02</v>
      </c>
      <c r="AD63" s="348">
        <v>3.02</v>
      </c>
      <c r="AE63" s="348">
        <v>3.01</v>
      </c>
      <c r="AF63" s="348">
        <v>3</v>
      </c>
      <c r="AG63" s="348">
        <v>3</v>
      </c>
      <c r="AH63" s="348">
        <v>2.99</v>
      </c>
      <c r="AI63" s="348">
        <v>2.99</v>
      </c>
      <c r="AJ63" s="348">
        <v>2.98</v>
      </c>
      <c r="AK63" s="348">
        <v>2.98</v>
      </c>
      <c r="AL63" s="348">
        <v>2.98</v>
      </c>
      <c r="AM63" s="348">
        <v>2.97</v>
      </c>
      <c r="AN63" s="348">
        <v>2.97</v>
      </c>
      <c r="AO63" s="348">
        <v>2.96</v>
      </c>
      <c r="AP63" s="348">
        <v>2.96</v>
      </c>
      <c r="AQ63" s="348">
        <v>2.96</v>
      </c>
      <c r="AR63" s="348">
        <v>2.96</v>
      </c>
      <c r="AS63" s="348">
        <v>2.95</v>
      </c>
      <c r="AT63" s="348">
        <v>2.95</v>
      </c>
      <c r="AU63" s="348">
        <v>2.95</v>
      </c>
      <c r="AV63" s="348">
        <v>2.95</v>
      </c>
      <c r="AW63" s="348">
        <v>2.94</v>
      </c>
      <c r="AX63" s="348">
        <v>2.94</v>
      </c>
      <c r="AY63" s="348">
        <v>2.94</v>
      </c>
      <c r="BB63" s="348">
        <v>2.12</v>
      </c>
    </row>
    <row r="64" spans="1:54" s="127" customFormat="1" ht="12.75">
      <c r="A64" s="109">
        <v>43708</v>
      </c>
      <c r="B64" s="348">
        <v>1.24</v>
      </c>
      <c r="C64" s="348">
        <v>1.34</v>
      </c>
      <c r="D64" s="348">
        <v>1.47</v>
      </c>
      <c r="E64" s="348">
        <v>1.63</v>
      </c>
      <c r="F64" s="348">
        <v>1.79</v>
      </c>
      <c r="G64" s="348">
        <v>1.95</v>
      </c>
      <c r="H64" s="348">
        <v>2.1</v>
      </c>
      <c r="I64" s="348">
        <v>2.23</v>
      </c>
      <c r="J64" s="348">
        <v>2.36</v>
      </c>
      <c r="K64" s="348">
        <v>2.4700000000000002</v>
      </c>
      <c r="L64" s="348">
        <v>2.58</v>
      </c>
      <c r="M64" s="348">
        <v>2.66</v>
      </c>
      <c r="N64" s="348">
        <v>2.74</v>
      </c>
      <c r="O64" s="348">
        <v>2.8</v>
      </c>
      <c r="P64" s="2205">
        <v>2.86</v>
      </c>
      <c r="Q64" s="348">
        <v>2.9</v>
      </c>
      <c r="R64" s="348">
        <v>2.93</v>
      </c>
      <c r="S64" s="348">
        <v>2.95</v>
      </c>
      <c r="T64" s="348">
        <v>2.98</v>
      </c>
      <c r="U64" s="348">
        <v>3</v>
      </c>
      <c r="V64" s="348">
        <v>3</v>
      </c>
      <c r="W64" s="348">
        <v>3</v>
      </c>
      <c r="X64" s="348">
        <v>3</v>
      </c>
      <c r="Y64" s="348">
        <v>3</v>
      </c>
      <c r="Z64" s="348">
        <v>3.01</v>
      </c>
      <c r="AA64" s="348">
        <v>3</v>
      </c>
      <c r="AB64" s="348">
        <v>2.99</v>
      </c>
      <c r="AC64" s="348">
        <v>2.98</v>
      </c>
      <c r="AD64" s="348">
        <v>2.98</v>
      </c>
      <c r="AE64" s="348">
        <v>2.97</v>
      </c>
      <c r="AF64" s="348">
        <v>2.97</v>
      </c>
      <c r="AG64" s="348">
        <v>2.96</v>
      </c>
      <c r="AH64" s="348">
        <v>2.96</v>
      </c>
      <c r="AI64" s="348">
        <v>2.95</v>
      </c>
      <c r="AJ64" s="348">
        <v>2.95</v>
      </c>
      <c r="AK64" s="348">
        <v>2.94</v>
      </c>
      <c r="AL64" s="348">
        <v>2.94</v>
      </c>
      <c r="AM64" s="348">
        <v>2.93</v>
      </c>
      <c r="AN64" s="348">
        <v>2.93</v>
      </c>
      <c r="AO64" s="348">
        <v>2.93</v>
      </c>
      <c r="AP64" s="348">
        <v>2.93</v>
      </c>
      <c r="AQ64" s="348">
        <v>2.92</v>
      </c>
      <c r="AR64" s="348">
        <v>2.92</v>
      </c>
      <c r="AS64" s="348">
        <v>2.92</v>
      </c>
      <c r="AT64" s="348">
        <v>2.92</v>
      </c>
      <c r="AU64" s="348">
        <v>2.91</v>
      </c>
      <c r="AV64" s="348">
        <v>2.91</v>
      </c>
      <c r="AW64" s="348">
        <v>2.91</v>
      </c>
      <c r="AX64" s="348">
        <v>2.91</v>
      </c>
      <c r="AY64" s="348">
        <v>2.9</v>
      </c>
      <c r="BB64" s="348">
        <v>2.08</v>
      </c>
    </row>
    <row r="65" spans="1:54" s="127" customFormat="1" ht="12.75">
      <c r="A65" s="112">
        <v>43738</v>
      </c>
      <c r="B65" s="348">
        <v>1.22</v>
      </c>
      <c r="C65" s="348">
        <v>1.32</v>
      </c>
      <c r="D65" s="348">
        <v>1.45</v>
      </c>
      <c r="E65" s="348">
        <v>1.6</v>
      </c>
      <c r="F65" s="348">
        <v>1.76</v>
      </c>
      <c r="G65" s="348">
        <v>1.92</v>
      </c>
      <c r="H65" s="348">
        <v>2.06</v>
      </c>
      <c r="I65" s="348">
        <v>2.2000000000000002</v>
      </c>
      <c r="J65" s="348">
        <v>2.3199999999999998</v>
      </c>
      <c r="K65" s="348">
        <v>2.44</v>
      </c>
      <c r="L65" s="348">
        <v>2.54</v>
      </c>
      <c r="M65" s="348">
        <v>2.62</v>
      </c>
      <c r="N65" s="348">
        <v>2.7</v>
      </c>
      <c r="O65" s="348">
        <v>2.77</v>
      </c>
      <c r="P65" s="2205">
        <v>2.82</v>
      </c>
      <c r="Q65" s="348">
        <v>2.86</v>
      </c>
      <c r="R65" s="348">
        <v>2.89</v>
      </c>
      <c r="S65" s="348">
        <v>2.91</v>
      </c>
      <c r="T65" s="348">
        <v>2.94</v>
      </c>
      <c r="U65" s="348">
        <v>2.96</v>
      </c>
      <c r="V65" s="348">
        <v>2.96</v>
      </c>
      <c r="W65" s="348">
        <v>2.96</v>
      </c>
      <c r="X65" s="348">
        <v>2.96</v>
      </c>
      <c r="Y65" s="348">
        <v>2.97</v>
      </c>
      <c r="Z65" s="348">
        <v>2.97</v>
      </c>
      <c r="AA65" s="348">
        <v>2.96</v>
      </c>
      <c r="AB65" s="348">
        <v>2.95</v>
      </c>
      <c r="AC65" s="348">
        <v>2.95</v>
      </c>
      <c r="AD65" s="348">
        <v>2.94</v>
      </c>
      <c r="AE65" s="348">
        <v>2.93</v>
      </c>
      <c r="AF65" s="348">
        <v>2.93</v>
      </c>
      <c r="AG65" s="348">
        <v>2.92</v>
      </c>
      <c r="AH65" s="348">
        <v>2.92</v>
      </c>
      <c r="AI65" s="348">
        <v>2.91</v>
      </c>
      <c r="AJ65" s="348">
        <v>2.91</v>
      </c>
      <c r="AK65" s="348">
        <v>2.91</v>
      </c>
      <c r="AL65" s="348">
        <v>2.9</v>
      </c>
      <c r="AM65" s="348">
        <v>2.9</v>
      </c>
      <c r="AN65" s="348">
        <v>2.9</v>
      </c>
      <c r="AO65" s="348">
        <v>2.89</v>
      </c>
      <c r="AP65" s="348">
        <v>2.89</v>
      </c>
      <c r="AQ65" s="348">
        <v>2.89</v>
      </c>
      <c r="AR65" s="348">
        <v>2.88</v>
      </c>
      <c r="AS65" s="348">
        <v>2.88</v>
      </c>
      <c r="AT65" s="348">
        <v>2.88</v>
      </c>
      <c r="AU65" s="348">
        <v>2.88</v>
      </c>
      <c r="AV65" s="348">
        <v>2.88</v>
      </c>
      <c r="AW65" s="348">
        <v>2.87</v>
      </c>
      <c r="AX65" s="348">
        <v>2.87</v>
      </c>
      <c r="AY65" s="348">
        <v>2.87</v>
      </c>
      <c r="BB65" s="348">
        <v>2.0499999999999998</v>
      </c>
    </row>
    <row r="66" spans="1:54" s="127" customFormat="1" ht="12.75">
      <c r="A66" s="109">
        <v>43769</v>
      </c>
      <c r="B66" s="348">
        <v>1.21</v>
      </c>
      <c r="C66" s="348">
        <v>1.29</v>
      </c>
      <c r="D66" s="348">
        <v>1.42</v>
      </c>
      <c r="E66" s="348">
        <v>1.57</v>
      </c>
      <c r="F66" s="348">
        <v>1.73</v>
      </c>
      <c r="G66" s="348">
        <v>1.89</v>
      </c>
      <c r="H66" s="348">
        <v>2.0299999999999998</v>
      </c>
      <c r="I66" s="348">
        <v>2.16</v>
      </c>
      <c r="J66" s="348">
        <v>2.29</v>
      </c>
      <c r="K66" s="348">
        <v>2.4</v>
      </c>
      <c r="L66" s="348">
        <v>2.5</v>
      </c>
      <c r="M66" s="348">
        <v>2.59</v>
      </c>
      <c r="N66" s="348">
        <v>2.66</v>
      </c>
      <c r="O66" s="348">
        <v>2.73</v>
      </c>
      <c r="P66" s="2205">
        <v>2.79</v>
      </c>
      <c r="Q66" s="348">
        <v>2.82</v>
      </c>
      <c r="R66" s="348">
        <v>2.85</v>
      </c>
      <c r="S66" s="348">
        <v>2.88</v>
      </c>
      <c r="T66" s="348">
        <v>2.9</v>
      </c>
      <c r="U66" s="348">
        <v>2.92</v>
      </c>
      <c r="V66" s="348">
        <v>2.92</v>
      </c>
      <c r="W66" s="348">
        <v>2.93</v>
      </c>
      <c r="X66" s="348">
        <v>2.93</v>
      </c>
      <c r="Y66" s="348">
        <v>2.93</v>
      </c>
      <c r="Z66" s="348">
        <v>2.93</v>
      </c>
      <c r="AA66" s="348">
        <v>2.92</v>
      </c>
      <c r="AB66" s="348">
        <v>2.92</v>
      </c>
      <c r="AC66" s="348">
        <v>2.91</v>
      </c>
      <c r="AD66" s="348">
        <v>2.9</v>
      </c>
      <c r="AE66" s="348">
        <v>2.9</v>
      </c>
      <c r="AF66" s="348">
        <v>2.89</v>
      </c>
      <c r="AG66" s="348">
        <v>2.89</v>
      </c>
      <c r="AH66" s="348">
        <v>2.88</v>
      </c>
      <c r="AI66" s="348">
        <v>2.88</v>
      </c>
      <c r="AJ66" s="348">
        <v>2.88</v>
      </c>
      <c r="AK66" s="348">
        <v>2.87</v>
      </c>
      <c r="AL66" s="348">
        <v>2.87</v>
      </c>
      <c r="AM66" s="348">
        <v>2.87</v>
      </c>
      <c r="AN66" s="348">
        <v>2.86</v>
      </c>
      <c r="AO66" s="348">
        <v>2.86</v>
      </c>
      <c r="AP66" s="348">
        <v>2.86</v>
      </c>
      <c r="AQ66" s="348">
        <v>2.85</v>
      </c>
      <c r="AR66" s="348">
        <v>2.85</v>
      </c>
      <c r="AS66" s="348">
        <v>2.85</v>
      </c>
      <c r="AT66" s="348">
        <v>2.85</v>
      </c>
      <c r="AU66" s="348">
        <v>2.84</v>
      </c>
      <c r="AV66" s="348">
        <v>2.84</v>
      </c>
      <c r="AW66" s="348">
        <v>2.84</v>
      </c>
      <c r="AX66" s="348">
        <v>2.84</v>
      </c>
      <c r="AY66" s="348">
        <v>2.84</v>
      </c>
      <c r="BB66" s="348">
        <v>2.02</v>
      </c>
    </row>
    <row r="67" spans="1:54">
      <c r="A67" s="112">
        <v>43799</v>
      </c>
      <c r="B67" s="348">
        <v>1.19</v>
      </c>
      <c r="C67" s="348">
        <v>1.27</v>
      </c>
      <c r="D67" s="348">
        <v>1.39</v>
      </c>
      <c r="E67" s="348">
        <v>1.55</v>
      </c>
      <c r="F67" s="348">
        <v>1.7</v>
      </c>
      <c r="G67" s="348">
        <v>1.86</v>
      </c>
      <c r="H67" s="348">
        <v>2</v>
      </c>
      <c r="I67" s="348">
        <v>2.13</v>
      </c>
      <c r="J67" s="348">
        <v>2.25</v>
      </c>
      <c r="K67" s="348">
        <v>2.37</v>
      </c>
      <c r="L67" s="348">
        <v>2.4700000000000002</v>
      </c>
      <c r="M67" s="348">
        <v>2.5499999999999998</v>
      </c>
      <c r="N67" s="348">
        <v>2.63</v>
      </c>
      <c r="O67" s="348">
        <v>2.69</v>
      </c>
      <c r="P67" s="2205">
        <v>2.75</v>
      </c>
      <c r="Q67" s="348">
        <v>2.78</v>
      </c>
      <c r="R67" s="348">
        <v>2.81</v>
      </c>
      <c r="S67" s="348">
        <v>2.84</v>
      </c>
      <c r="T67" s="348">
        <v>2.86</v>
      </c>
      <c r="U67" s="348">
        <v>2.89</v>
      </c>
      <c r="V67" s="348">
        <v>2.89</v>
      </c>
      <c r="W67" s="348">
        <v>2.89</v>
      </c>
      <c r="X67" s="348">
        <v>2.89</v>
      </c>
      <c r="Y67" s="348">
        <v>2.89</v>
      </c>
      <c r="Z67" s="348">
        <v>2.9</v>
      </c>
      <c r="AA67" s="348">
        <v>2.89</v>
      </c>
      <c r="AB67" s="348">
        <v>2.88</v>
      </c>
      <c r="AC67" s="348">
        <v>2.88</v>
      </c>
      <c r="AD67" s="348">
        <v>2.87</v>
      </c>
      <c r="AE67" s="348">
        <v>2.87</v>
      </c>
      <c r="AF67" s="348">
        <v>2.86</v>
      </c>
      <c r="AG67" s="348">
        <v>2.86</v>
      </c>
      <c r="AH67" s="348">
        <v>2.85</v>
      </c>
      <c r="AI67" s="348">
        <v>2.85</v>
      </c>
      <c r="AJ67" s="348">
        <v>2.84</v>
      </c>
      <c r="AK67" s="348">
        <v>2.84</v>
      </c>
      <c r="AL67" s="348">
        <v>2.84</v>
      </c>
      <c r="AM67" s="348">
        <v>2.83</v>
      </c>
      <c r="AN67" s="348">
        <v>2.83</v>
      </c>
      <c r="AO67" s="348">
        <v>2.83</v>
      </c>
      <c r="AP67" s="348">
        <v>2.83</v>
      </c>
      <c r="AQ67" s="348">
        <v>2.82</v>
      </c>
      <c r="AR67" s="348">
        <v>2.82</v>
      </c>
      <c r="AS67" s="348">
        <v>2.82</v>
      </c>
      <c r="AT67" s="348">
        <v>2.82</v>
      </c>
      <c r="AU67" s="348">
        <v>2.81</v>
      </c>
      <c r="AV67" s="348">
        <v>2.81</v>
      </c>
      <c r="AW67" s="348">
        <v>2.81</v>
      </c>
      <c r="AX67" s="348">
        <v>2.81</v>
      </c>
      <c r="AY67" s="348">
        <v>2.81</v>
      </c>
      <c r="BB67" s="348">
        <v>2</v>
      </c>
    </row>
    <row r="68" spans="1:54">
      <c r="A68" s="109">
        <v>43830</v>
      </c>
      <c r="B68" s="348">
        <v>1.17</v>
      </c>
      <c r="C68" s="348">
        <v>1.25</v>
      </c>
      <c r="D68" s="348">
        <v>1.37</v>
      </c>
      <c r="E68" s="348">
        <v>1.52</v>
      </c>
      <c r="F68" s="348">
        <v>1.67</v>
      </c>
      <c r="G68" s="348">
        <v>1.82</v>
      </c>
      <c r="H68" s="348">
        <v>1.97</v>
      </c>
      <c r="I68" s="348">
        <v>2.1</v>
      </c>
      <c r="J68" s="348">
        <v>2.2200000000000002</v>
      </c>
      <c r="K68" s="348">
        <v>2.33</v>
      </c>
      <c r="L68" s="348">
        <v>2.4300000000000002</v>
      </c>
      <c r="M68" s="348">
        <v>2.52</v>
      </c>
      <c r="N68" s="348">
        <v>2.59</v>
      </c>
      <c r="O68" s="348">
        <v>2.66</v>
      </c>
      <c r="P68" s="2205">
        <v>2.71</v>
      </c>
      <c r="Q68" s="348">
        <v>2.75</v>
      </c>
      <c r="R68" s="348">
        <v>2.78</v>
      </c>
      <c r="S68" s="348">
        <v>2.8</v>
      </c>
      <c r="T68" s="348">
        <v>2.83</v>
      </c>
      <c r="U68" s="348">
        <v>2.85</v>
      </c>
      <c r="V68" s="348">
        <v>2.85</v>
      </c>
      <c r="W68" s="348">
        <v>2.86</v>
      </c>
      <c r="X68" s="348">
        <v>2.86</v>
      </c>
      <c r="Y68" s="348">
        <v>2.86</v>
      </c>
      <c r="Z68" s="348">
        <v>2.86</v>
      </c>
      <c r="AA68" s="348">
        <v>2.86</v>
      </c>
      <c r="AB68" s="348">
        <v>2.85</v>
      </c>
      <c r="AC68" s="348">
        <v>2.84</v>
      </c>
      <c r="AD68" s="348">
        <v>2.84</v>
      </c>
      <c r="AE68" s="348">
        <v>2.83</v>
      </c>
      <c r="AF68" s="348">
        <v>2.83</v>
      </c>
      <c r="AG68" s="348">
        <v>2.82</v>
      </c>
      <c r="AH68" s="348">
        <v>2.82</v>
      </c>
      <c r="AI68" s="348">
        <v>2.82</v>
      </c>
      <c r="AJ68" s="348">
        <v>2.81</v>
      </c>
      <c r="AK68" s="348">
        <v>2.81</v>
      </c>
      <c r="AL68" s="348">
        <v>2.81</v>
      </c>
      <c r="AM68" s="348">
        <v>2.8</v>
      </c>
      <c r="AN68" s="348">
        <v>2.8</v>
      </c>
      <c r="AO68" s="348">
        <v>2.8</v>
      </c>
      <c r="AP68" s="348">
        <v>2.79</v>
      </c>
      <c r="AQ68" s="348">
        <v>2.79</v>
      </c>
      <c r="AR68" s="348">
        <v>2.79</v>
      </c>
      <c r="AS68" s="348">
        <v>2.79</v>
      </c>
      <c r="AT68" s="348">
        <v>2.78</v>
      </c>
      <c r="AU68" s="348">
        <v>2.78</v>
      </c>
      <c r="AV68" s="348">
        <v>2.78</v>
      </c>
      <c r="AW68" s="348">
        <v>2.78</v>
      </c>
      <c r="AX68" s="348">
        <v>2.78</v>
      </c>
      <c r="AY68" s="348">
        <v>2.77</v>
      </c>
      <c r="BB68" s="348">
        <v>1.97</v>
      </c>
    </row>
    <row r="69" spans="1:54">
      <c r="A69" s="112">
        <v>43861</v>
      </c>
      <c r="B69" s="348">
        <v>1.1499999999999999</v>
      </c>
      <c r="C69" s="348">
        <v>1.23</v>
      </c>
      <c r="D69" s="348">
        <v>1.34</v>
      </c>
      <c r="E69" s="348">
        <v>1.49</v>
      </c>
      <c r="F69" s="348">
        <v>1.64</v>
      </c>
      <c r="G69" s="348">
        <v>1.79</v>
      </c>
      <c r="H69" s="348">
        <v>1.93</v>
      </c>
      <c r="I69" s="348">
        <v>2.06</v>
      </c>
      <c r="J69" s="348">
        <v>2.1800000000000002</v>
      </c>
      <c r="K69" s="348">
        <v>2.2999999999999998</v>
      </c>
      <c r="L69" s="348">
        <v>2.4</v>
      </c>
      <c r="M69" s="348">
        <v>2.48</v>
      </c>
      <c r="N69" s="348">
        <v>2.56</v>
      </c>
      <c r="O69" s="348">
        <v>2.62</v>
      </c>
      <c r="P69" s="2205">
        <v>2.68</v>
      </c>
      <c r="Q69" s="348">
        <v>2.71</v>
      </c>
      <c r="R69" s="348">
        <v>2.74</v>
      </c>
      <c r="S69" s="348">
        <v>2.77</v>
      </c>
      <c r="T69" s="348">
        <v>2.79</v>
      </c>
      <c r="U69" s="348">
        <v>2.81</v>
      </c>
      <c r="V69" s="348">
        <v>2.82</v>
      </c>
      <c r="W69" s="348">
        <v>2.82</v>
      </c>
      <c r="X69" s="348">
        <v>2.82</v>
      </c>
      <c r="Y69" s="348">
        <v>2.82</v>
      </c>
      <c r="Z69" s="348">
        <v>2.83</v>
      </c>
      <c r="AA69" s="348">
        <v>2.82</v>
      </c>
      <c r="AB69" s="348">
        <v>2.81</v>
      </c>
      <c r="AC69" s="348">
        <v>2.81</v>
      </c>
      <c r="AD69" s="348">
        <v>2.8</v>
      </c>
      <c r="AE69" s="348">
        <v>2.8</v>
      </c>
      <c r="AF69" s="348">
        <v>2.79</v>
      </c>
      <c r="AG69" s="348">
        <v>2.79</v>
      </c>
      <c r="AH69" s="348">
        <v>2.78</v>
      </c>
      <c r="AI69" s="348">
        <v>2.78</v>
      </c>
      <c r="AJ69" s="348">
        <v>2.78</v>
      </c>
      <c r="AK69" s="348">
        <v>2.77</v>
      </c>
      <c r="AL69" s="348">
        <v>2.77</v>
      </c>
      <c r="AM69" s="348">
        <v>2.77</v>
      </c>
      <c r="AN69" s="348">
        <v>2.77</v>
      </c>
      <c r="AO69" s="348">
        <v>2.76</v>
      </c>
      <c r="AP69" s="348">
        <v>2.76</v>
      </c>
      <c r="AQ69" s="348">
        <v>2.76</v>
      </c>
      <c r="AR69" s="348">
        <v>2.76</v>
      </c>
      <c r="AS69" s="348">
        <v>2.75</v>
      </c>
      <c r="AT69" s="348">
        <v>2.75</v>
      </c>
      <c r="AU69" s="348">
        <v>2.75</v>
      </c>
      <c r="AV69" s="348">
        <v>2.75</v>
      </c>
      <c r="AW69" s="348">
        <v>2.75</v>
      </c>
      <c r="AX69" s="348">
        <v>2.74</v>
      </c>
      <c r="AY69" s="348">
        <v>2.74</v>
      </c>
      <c r="BB69" s="348">
        <v>1.94</v>
      </c>
    </row>
    <row r="70" spans="1:54">
      <c r="A70" s="109">
        <v>43890</v>
      </c>
      <c r="B70" s="348">
        <v>1.1299999999999999</v>
      </c>
      <c r="C70" s="348">
        <v>1.2</v>
      </c>
      <c r="D70" s="348">
        <v>1.32</v>
      </c>
      <c r="E70" s="348">
        <v>1.46</v>
      </c>
      <c r="F70" s="348">
        <v>1.61</v>
      </c>
      <c r="G70" s="348">
        <v>1.76</v>
      </c>
      <c r="H70" s="348">
        <v>1.9</v>
      </c>
      <c r="I70" s="348">
        <v>2.0299999999999998</v>
      </c>
      <c r="J70" s="348">
        <v>2.15</v>
      </c>
      <c r="K70" s="348">
        <v>2.2599999999999998</v>
      </c>
      <c r="L70" s="348">
        <v>2.36</v>
      </c>
      <c r="M70" s="348">
        <v>2.4500000000000002</v>
      </c>
      <c r="N70" s="348">
        <v>2.52</v>
      </c>
      <c r="O70" s="348">
        <v>2.58</v>
      </c>
      <c r="P70" s="2205">
        <v>2.64</v>
      </c>
      <c r="Q70" s="348">
        <v>2.67</v>
      </c>
      <c r="R70" s="348">
        <v>2.7</v>
      </c>
      <c r="S70" s="348">
        <v>2.73</v>
      </c>
      <c r="T70" s="348">
        <v>2.75</v>
      </c>
      <c r="U70" s="348">
        <v>2.77</v>
      </c>
      <c r="V70" s="348">
        <v>2.78</v>
      </c>
      <c r="W70" s="348">
        <v>2.78</v>
      </c>
      <c r="X70" s="348">
        <v>2.78</v>
      </c>
      <c r="Y70" s="348">
        <v>2.79</v>
      </c>
      <c r="Z70" s="348">
        <v>2.79</v>
      </c>
      <c r="AA70" s="348">
        <v>2.78</v>
      </c>
      <c r="AB70" s="348">
        <v>2.78</v>
      </c>
      <c r="AC70" s="348">
        <v>2.77</v>
      </c>
      <c r="AD70" s="348">
        <v>2.77</v>
      </c>
      <c r="AE70" s="348">
        <v>2.76</v>
      </c>
      <c r="AF70" s="348">
        <v>2.76</v>
      </c>
      <c r="AG70" s="348">
        <v>2.75</v>
      </c>
      <c r="AH70" s="348">
        <v>2.75</v>
      </c>
      <c r="AI70" s="348">
        <v>2.75</v>
      </c>
      <c r="AJ70" s="348">
        <v>2.74</v>
      </c>
      <c r="AK70" s="348">
        <v>2.74</v>
      </c>
      <c r="AL70" s="348">
        <v>2.74</v>
      </c>
      <c r="AM70" s="348">
        <v>2.73</v>
      </c>
      <c r="AN70" s="348">
        <v>2.73</v>
      </c>
      <c r="AO70" s="348">
        <v>2.73</v>
      </c>
      <c r="AP70" s="348">
        <v>2.73</v>
      </c>
      <c r="AQ70" s="348">
        <v>2.72</v>
      </c>
      <c r="AR70" s="348">
        <v>2.72</v>
      </c>
      <c r="AS70" s="348">
        <v>2.72</v>
      </c>
      <c r="AT70" s="348">
        <v>2.72</v>
      </c>
      <c r="AU70" s="348">
        <v>2.72</v>
      </c>
      <c r="AV70" s="348">
        <v>2.71</v>
      </c>
      <c r="AW70" s="348">
        <v>2.71</v>
      </c>
      <c r="AX70" s="348">
        <v>2.71</v>
      </c>
      <c r="AY70" s="348">
        <v>2.71</v>
      </c>
      <c r="BB70" s="348">
        <v>1.91</v>
      </c>
    </row>
    <row r="71" spans="1:54">
      <c r="A71" s="112">
        <v>43921</v>
      </c>
      <c r="B71" s="348">
        <v>1.1200000000000001</v>
      </c>
      <c r="C71" s="348">
        <v>1.19</v>
      </c>
      <c r="D71" s="348">
        <v>1.3</v>
      </c>
      <c r="E71" s="348">
        <v>1.45</v>
      </c>
      <c r="F71" s="348">
        <v>1.59</v>
      </c>
      <c r="G71" s="348">
        <v>1.74</v>
      </c>
      <c r="H71" s="348">
        <v>1.88</v>
      </c>
      <c r="I71" s="348">
        <v>2.0099999999999998</v>
      </c>
      <c r="J71" s="348">
        <v>2.12</v>
      </c>
      <c r="K71" s="348">
        <v>2.23</v>
      </c>
      <c r="L71" s="348">
        <v>2.33</v>
      </c>
      <c r="M71" s="348">
        <v>2.42</v>
      </c>
      <c r="N71" s="348">
        <v>2.4900000000000002</v>
      </c>
      <c r="O71" s="348">
        <v>2.56</v>
      </c>
      <c r="P71" s="2205">
        <v>2.61</v>
      </c>
      <c r="Q71" s="348">
        <v>2.64</v>
      </c>
      <c r="R71" s="348">
        <v>2.67</v>
      </c>
      <c r="S71" s="348">
        <v>2.7</v>
      </c>
      <c r="T71" s="348">
        <v>2.72</v>
      </c>
      <c r="U71" s="348">
        <v>2.75</v>
      </c>
      <c r="V71" s="348">
        <v>2.75</v>
      </c>
      <c r="W71" s="348">
        <v>2.75</v>
      </c>
      <c r="X71" s="348">
        <v>2.76</v>
      </c>
      <c r="Y71" s="348">
        <v>2.76</v>
      </c>
      <c r="Z71" s="348">
        <v>2.76</v>
      </c>
      <c r="AA71" s="348">
        <v>2.75</v>
      </c>
      <c r="AB71" s="348">
        <v>2.75</v>
      </c>
      <c r="AC71" s="348">
        <v>2.74</v>
      </c>
      <c r="AD71" s="348">
        <v>2.74</v>
      </c>
      <c r="AE71" s="348">
        <v>2.73</v>
      </c>
      <c r="AF71" s="348">
        <v>2.73</v>
      </c>
      <c r="AG71" s="348">
        <v>2.73</v>
      </c>
      <c r="AH71" s="348">
        <v>2.72</v>
      </c>
      <c r="AI71" s="348">
        <v>2.72</v>
      </c>
      <c r="AJ71" s="348">
        <v>2.72</v>
      </c>
      <c r="AK71" s="348">
        <v>2.71</v>
      </c>
      <c r="AL71" s="348">
        <v>2.71</v>
      </c>
      <c r="AM71" s="348">
        <v>2.71</v>
      </c>
      <c r="AN71" s="348">
        <v>2.7</v>
      </c>
      <c r="AO71" s="348">
        <v>2.7</v>
      </c>
      <c r="AP71" s="348">
        <v>2.7</v>
      </c>
      <c r="AQ71" s="348">
        <v>2.7</v>
      </c>
      <c r="AR71" s="348">
        <v>2.7</v>
      </c>
      <c r="AS71" s="348">
        <v>2.69</v>
      </c>
      <c r="AT71" s="348">
        <v>2.69</v>
      </c>
      <c r="AU71" s="348">
        <v>2.69</v>
      </c>
      <c r="AV71" s="348">
        <v>2.69</v>
      </c>
      <c r="AW71" s="348">
        <v>2.69</v>
      </c>
      <c r="AX71" s="348">
        <v>2.68</v>
      </c>
      <c r="AY71" s="348">
        <v>2.68</v>
      </c>
      <c r="BB71" s="348">
        <v>1.89</v>
      </c>
    </row>
    <row r="72" spans="1:54">
      <c r="A72" s="109">
        <v>43951</v>
      </c>
      <c r="B72" s="348">
        <v>1.1100000000000001</v>
      </c>
      <c r="C72" s="348">
        <v>1.18</v>
      </c>
      <c r="D72" s="348">
        <v>1.28</v>
      </c>
      <c r="E72" s="348">
        <v>1.42</v>
      </c>
      <c r="F72" s="348">
        <v>1.57</v>
      </c>
      <c r="G72" s="348">
        <v>1.71</v>
      </c>
      <c r="H72" s="348">
        <v>1.85</v>
      </c>
      <c r="I72" s="348">
        <v>1.98</v>
      </c>
      <c r="J72" s="348">
        <v>2.09</v>
      </c>
      <c r="K72" s="348">
        <v>2.2000000000000002</v>
      </c>
      <c r="L72" s="348">
        <v>2.2999999999999998</v>
      </c>
      <c r="M72" s="348">
        <v>2.39</v>
      </c>
      <c r="N72" s="348">
        <v>2.46</v>
      </c>
      <c r="O72" s="348">
        <v>2.52</v>
      </c>
      <c r="P72" s="2205">
        <v>2.58</v>
      </c>
      <c r="Q72" s="348">
        <v>2.61</v>
      </c>
      <c r="R72" s="348">
        <v>2.64</v>
      </c>
      <c r="S72" s="348">
        <v>2.67</v>
      </c>
      <c r="T72" s="348">
        <v>2.69</v>
      </c>
      <c r="U72" s="348">
        <v>2.71</v>
      </c>
      <c r="V72" s="348">
        <v>2.72</v>
      </c>
      <c r="W72" s="348">
        <v>2.72</v>
      </c>
      <c r="X72" s="348">
        <v>2.72</v>
      </c>
      <c r="Y72" s="348">
        <v>2.72</v>
      </c>
      <c r="Z72" s="348">
        <v>2.73</v>
      </c>
      <c r="AA72" s="348">
        <v>2.72</v>
      </c>
      <c r="AB72" s="348">
        <v>2.72</v>
      </c>
      <c r="AC72" s="348">
        <v>2.71</v>
      </c>
      <c r="AD72" s="348">
        <v>2.71</v>
      </c>
      <c r="AE72" s="348">
        <v>2.7</v>
      </c>
      <c r="AF72" s="348">
        <v>2.7</v>
      </c>
      <c r="AG72" s="348">
        <v>2.69</v>
      </c>
      <c r="AH72" s="348">
        <v>2.69</v>
      </c>
      <c r="AI72" s="348">
        <v>2.69</v>
      </c>
      <c r="AJ72" s="348">
        <v>2.68</v>
      </c>
      <c r="AK72" s="348">
        <v>2.68</v>
      </c>
      <c r="AL72" s="348">
        <v>2.68</v>
      </c>
      <c r="AM72" s="348">
        <v>2.68</v>
      </c>
      <c r="AN72" s="348">
        <v>2.67</v>
      </c>
      <c r="AO72" s="348">
        <v>2.67</v>
      </c>
      <c r="AP72" s="348">
        <v>2.67</v>
      </c>
      <c r="AQ72" s="348">
        <v>2.67</v>
      </c>
      <c r="AR72" s="348">
        <v>2.66</v>
      </c>
      <c r="AS72" s="348">
        <v>2.66</v>
      </c>
      <c r="AT72" s="348">
        <v>2.66</v>
      </c>
      <c r="AU72" s="348">
        <v>2.66</v>
      </c>
      <c r="AV72" s="348">
        <v>2.66</v>
      </c>
      <c r="AW72" s="348">
        <v>2.65</v>
      </c>
      <c r="AX72" s="348">
        <v>2.65</v>
      </c>
      <c r="AY72" s="348">
        <v>2.65</v>
      </c>
      <c r="BB72" s="348">
        <v>1.87</v>
      </c>
    </row>
    <row r="73" spans="1:54" s="127" customFormat="1" ht="12.75">
      <c r="A73" s="112">
        <v>43982</v>
      </c>
      <c r="B73" s="348">
        <v>1.0900000000000001</v>
      </c>
      <c r="C73" s="348">
        <v>1.1599999999999999</v>
      </c>
      <c r="D73" s="348">
        <v>1.26</v>
      </c>
      <c r="E73" s="348">
        <v>1.4</v>
      </c>
      <c r="F73" s="348">
        <v>1.54</v>
      </c>
      <c r="G73" s="348">
        <v>1.69</v>
      </c>
      <c r="H73" s="348">
        <v>1.82</v>
      </c>
      <c r="I73" s="348">
        <v>1.95</v>
      </c>
      <c r="J73" s="348">
        <v>2.06</v>
      </c>
      <c r="K73" s="348">
        <v>2.17</v>
      </c>
      <c r="L73" s="348">
        <v>2.27</v>
      </c>
      <c r="M73" s="348">
        <v>2.35</v>
      </c>
      <c r="N73" s="348">
        <v>2.4300000000000002</v>
      </c>
      <c r="O73" s="348">
        <v>2.4900000000000002</v>
      </c>
      <c r="P73" s="2205">
        <v>2.54</v>
      </c>
      <c r="Q73" s="348">
        <v>2.58</v>
      </c>
      <c r="R73" s="348">
        <v>2.61</v>
      </c>
      <c r="S73" s="348">
        <v>2.63</v>
      </c>
      <c r="T73" s="348">
        <v>2.66</v>
      </c>
      <c r="U73" s="348">
        <v>2.68</v>
      </c>
      <c r="V73" s="348">
        <v>2.68</v>
      </c>
      <c r="W73" s="348">
        <v>2.68</v>
      </c>
      <c r="X73" s="348">
        <v>2.69</v>
      </c>
      <c r="Y73" s="348">
        <v>2.69</v>
      </c>
      <c r="Z73" s="348">
        <v>2.69</v>
      </c>
      <c r="AA73" s="348">
        <v>2.69</v>
      </c>
      <c r="AB73" s="348">
        <v>2.68</v>
      </c>
      <c r="AC73" s="348">
        <v>2.68</v>
      </c>
      <c r="AD73" s="348">
        <v>2.67</v>
      </c>
      <c r="AE73" s="348">
        <v>2.67</v>
      </c>
      <c r="AF73" s="348">
        <v>2.66</v>
      </c>
      <c r="AG73" s="348">
        <v>2.66</v>
      </c>
      <c r="AH73" s="348">
        <v>2.66</v>
      </c>
      <c r="AI73" s="348">
        <v>2.66</v>
      </c>
      <c r="AJ73" s="348">
        <v>2.65</v>
      </c>
      <c r="AK73" s="348">
        <v>2.65</v>
      </c>
      <c r="AL73" s="348">
        <v>2.65</v>
      </c>
      <c r="AM73" s="348">
        <v>2.64</v>
      </c>
      <c r="AN73" s="348">
        <v>2.64</v>
      </c>
      <c r="AO73" s="348">
        <v>2.64</v>
      </c>
      <c r="AP73" s="348">
        <v>2.64</v>
      </c>
      <c r="AQ73" s="348">
        <v>2.64</v>
      </c>
      <c r="AR73" s="348">
        <v>2.63</v>
      </c>
      <c r="AS73" s="348">
        <v>2.63</v>
      </c>
      <c r="AT73" s="348">
        <v>2.63</v>
      </c>
      <c r="AU73" s="348">
        <v>2.63</v>
      </c>
      <c r="AV73" s="348">
        <v>2.62</v>
      </c>
      <c r="AW73" s="348">
        <v>2.62</v>
      </c>
      <c r="AX73" s="348">
        <v>2.62</v>
      </c>
      <c r="AY73" s="348">
        <v>2.62</v>
      </c>
      <c r="BB73" s="348">
        <v>1.84</v>
      </c>
    </row>
    <row r="74" spans="1:54">
      <c r="A74" s="109">
        <v>44012</v>
      </c>
      <c r="B74" s="348">
        <v>1.07</v>
      </c>
      <c r="C74" s="348">
        <v>1.1299999999999999</v>
      </c>
      <c r="D74" s="348">
        <v>1.24</v>
      </c>
      <c r="E74" s="348">
        <v>1.37</v>
      </c>
      <c r="F74" s="348">
        <v>1.51</v>
      </c>
      <c r="G74" s="348">
        <v>1.66</v>
      </c>
      <c r="H74" s="348">
        <v>1.79</v>
      </c>
      <c r="I74" s="348">
        <v>1.91</v>
      </c>
      <c r="J74" s="348">
        <v>2.0299999999999998</v>
      </c>
      <c r="K74" s="348">
        <v>2.14</v>
      </c>
      <c r="L74" s="348">
        <v>2.2400000000000002</v>
      </c>
      <c r="M74" s="348">
        <v>2.3199999999999998</v>
      </c>
      <c r="N74" s="348">
        <v>2.39</v>
      </c>
      <c r="O74" s="348">
        <v>2.4500000000000002</v>
      </c>
      <c r="P74" s="2205">
        <v>2.5099999999999998</v>
      </c>
      <c r="Q74" s="348">
        <v>2.54</v>
      </c>
      <c r="R74" s="348">
        <v>2.57</v>
      </c>
      <c r="S74" s="348">
        <v>2.6</v>
      </c>
      <c r="T74" s="348">
        <v>2.62</v>
      </c>
      <c r="U74" s="348">
        <v>2.64</v>
      </c>
      <c r="V74" s="348">
        <v>2.65</v>
      </c>
      <c r="W74" s="348">
        <v>2.65</v>
      </c>
      <c r="X74" s="348">
        <v>2.65</v>
      </c>
      <c r="Y74" s="348">
        <v>2.66</v>
      </c>
      <c r="Z74" s="348">
        <v>2.66</v>
      </c>
      <c r="AA74" s="348">
        <v>2.65</v>
      </c>
      <c r="AB74" s="348">
        <v>2.65</v>
      </c>
      <c r="AC74" s="348">
        <v>2.64</v>
      </c>
      <c r="AD74" s="348">
        <v>2.64</v>
      </c>
      <c r="AE74" s="348">
        <v>2.63</v>
      </c>
      <c r="AF74" s="348">
        <v>2.63</v>
      </c>
      <c r="AG74" s="348">
        <v>2.63</v>
      </c>
      <c r="AH74" s="348">
        <v>2.63</v>
      </c>
      <c r="AI74" s="348">
        <v>2.62</v>
      </c>
      <c r="AJ74" s="348">
        <v>2.62</v>
      </c>
      <c r="AK74" s="348">
        <v>2.62</v>
      </c>
      <c r="AL74" s="348">
        <v>2.61</v>
      </c>
      <c r="AM74" s="348">
        <v>2.61</v>
      </c>
      <c r="AN74" s="348">
        <v>2.61</v>
      </c>
      <c r="AO74" s="348">
        <v>2.61</v>
      </c>
      <c r="AP74" s="348">
        <v>2.61</v>
      </c>
      <c r="AQ74" s="348">
        <v>2.6</v>
      </c>
      <c r="AR74" s="348">
        <v>2.6</v>
      </c>
      <c r="AS74" s="348">
        <v>2.6</v>
      </c>
      <c r="AT74" s="348">
        <v>2.6</v>
      </c>
      <c r="AU74" s="348">
        <v>2.59</v>
      </c>
      <c r="AV74" s="348">
        <v>2.59</v>
      </c>
      <c r="AW74" s="348">
        <v>2.59</v>
      </c>
      <c r="AX74" s="348">
        <v>2.59</v>
      </c>
      <c r="AY74" s="348">
        <v>2.59</v>
      </c>
      <c r="BB74" s="348">
        <v>1.81</v>
      </c>
    </row>
    <row r="75" spans="1:54">
      <c r="A75" s="112">
        <v>44043</v>
      </c>
      <c r="B75" s="348">
        <v>1.05</v>
      </c>
      <c r="C75" s="348">
        <v>1.1100000000000001</v>
      </c>
      <c r="D75" s="348">
        <v>1.21</v>
      </c>
      <c r="E75" s="348">
        <v>1.35</v>
      </c>
      <c r="F75" s="348">
        <v>1.49</v>
      </c>
      <c r="G75" s="348">
        <v>1.63</v>
      </c>
      <c r="H75" s="348">
        <v>1.76</v>
      </c>
      <c r="I75" s="348">
        <v>1.88</v>
      </c>
      <c r="J75" s="348">
        <v>2</v>
      </c>
      <c r="K75" s="348">
        <v>2.11</v>
      </c>
      <c r="L75" s="348">
        <v>2.2000000000000002</v>
      </c>
      <c r="M75" s="348">
        <v>2.2799999999999998</v>
      </c>
      <c r="N75" s="348">
        <v>2.36</v>
      </c>
      <c r="O75" s="348">
        <v>2.42</v>
      </c>
      <c r="P75" s="2205">
        <v>2.4700000000000002</v>
      </c>
      <c r="Q75" s="348">
        <v>2.5099999999999998</v>
      </c>
      <c r="R75" s="348">
        <v>2.54</v>
      </c>
      <c r="S75" s="348">
        <v>2.56</v>
      </c>
      <c r="T75" s="348">
        <v>2.59</v>
      </c>
      <c r="U75" s="348">
        <v>2.61</v>
      </c>
      <c r="V75" s="348">
        <v>2.61</v>
      </c>
      <c r="W75" s="348">
        <v>2.61</v>
      </c>
      <c r="X75" s="348">
        <v>2.62</v>
      </c>
      <c r="Y75" s="348">
        <v>2.62</v>
      </c>
      <c r="Z75" s="348">
        <v>2.62</v>
      </c>
      <c r="AA75" s="348">
        <v>2.62</v>
      </c>
      <c r="AB75" s="348">
        <v>2.61</v>
      </c>
      <c r="AC75" s="348">
        <v>2.61</v>
      </c>
      <c r="AD75" s="348">
        <v>2.6</v>
      </c>
      <c r="AE75" s="348">
        <v>2.6</v>
      </c>
      <c r="AF75" s="348">
        <v>2.6</v>
      </c>
      <c r="AG75" s="348">
        <v>2.59</v>
      </c>
      <c r="AH75" s="348">
        <v>2.59</v>
      </c>
      <c r="AI75" s="348">
        <v>2.59</v>
      </c>
      <c r="AJ75" s="348">
        <v>2.59</v>
      </c>
      <c r="AK75" s="348">
        <v>2.58</v>
      </c>
      <c r="AL75" s="348">
        <v>2.58</v>
      </c>
      <c r="AM75" s="348">
        <v>2.58</v>
      </c>
      <c r="AN75" s="348">
        <v>2.58</v>
      </c>
      <c r="AO75" s="348">
        <v>2.57</v>
      </c>
      <c r="AP75" s="348">
        <v>2.57</v>
      </c>
      <c r="AQ75" s="348">
        <v>2.57</v>
      </c>
      <c r="AR75" s="348">
        <v>2.57</v>
      </c>
      <c r="AS75" s="348">
        <v>2.56</v>
      </c>
      <c r="AT75" s="348">
        <v>2.56</v>
      </c>
      <c r="AU75" s="348">
        <v>2.56</v>
      </c>
      <c r="AV75" s="348">
        <v>2.56</v>
      </c>
      <c r="AW75" s="348">
        <v>2.56</v>
      </c>
      <c r="AX75" s="348">
        <v>2.56</v>
      </c>
      <c r="AY75" s="348">
        <v>2.5499999999999998</v>
      </c>
      <c r="BB75" s="348">
        <v>1.78</v>
      </c>
    </row>
    <row r="76" spans="1:54">
      <c r="A76" s="109">
        <v>44074</v>
      </c>
      <c r="B76" s="348">
        <v>1.03</v>
      </c>
      <c r="C76" s="348">
        <v>1.0900000000000001</v>
      </c>
      <c r="D76" s="348">
        <v>1.19</v>
      </c>
      <c r="E76" s="348">
        <v>1.33</v>
      </c>
      <c r="F76" s="348">
        <v>1.46</v>
      </c>
      <c r="G76" s="348">
        <v>1.6</v>
      </c>
      <c r="H76" s="348">
        <v>1.73</v>
      </c>
      <c r="I76" s="348">
        <v>1.86</v>
      </c>
      <c r="J76" s="348">
        <v>1.97</v>
      </c>
      <c r="K76" s="348">
        <v>2.08</v>
      </c>
      <c r="L76" s="348">
        <v>2.1800000000000002</v>
      </c>
      <c r="M76" s="348">
        <v>2.2599999999999998</v>
      </c>
      <c r="N76" s="348">
        <v>2.33</v>
      </c>
      <c r="O76" s="348">
        <v>2.39</v>
      </c>
      <c r="P76" s="2205">
        <v>2.4500000000000002</v>
      </c>
      <c r="Q76" s="348">
        <v>2.48</v>
      </c>
      <c r="R76" s="348">
        <v>2.5099999999999998</v>
      </c>
      <c r="S76" s="348">
        <v>2.5299999999999998</v>
      </c>
      <c r="T76" s="348">
        <v>2.56</v>
      </c>
      <c r="U76" s="348">
        <v>2.58</v>
      </c>
      <c r="V76" s="348">
        <v>2.58</v>
      </c>
      <c r="W76" s="348">
        <v>2.59</v>
      </c>
      <c r="X76" s="348">
        <v>2.59</v>
      </c>
      <c r="Y76" s="348">
        <v>2.59</v>
      </c>
      <c r="Z76" s="348">
        <v>2.6</v>
      </c>
      <c r="AA76" s="348">
        <v>2.59</v>
      </c>
      <c r="AB76" s="348">
        <v>2.59</v>
      </c>
      <c r="AC76" s="348">
        <v>2.58</v>
      </c>
      <c r="AD76" s="348">
        <v>2.58</v>
      </c>
      <c r="AE76" s="348">
        <v>2.57</v>
      </c>
      <c r="AF76" s="348">
        <v>2.57</v>
      </c>
      <c r="AG76" s="348">
        <v>2.57</v>
      </c>
      <c r="AH76" s="348">
        <v>2.56</v>
      </c>
      <c r="AI76" s="348">
        <v>2.56</v>
      </c>
      <c r="AJ76" s="348">
        <v>2.56</v>
      </c>
      <c r="AK76" s="348">
        <v>2.56</v>
      </c>
      <c r="AL76" s="348">
        <v>2.5499999999999998</v>
      </c>
      <c r="AM76" s="348">
        <v>2.5499999999999998</v>
      </c>
      <c r="AN76" s="348">
        <v>2.5499999999999998</v>
      </c>
      <c r="AO76" s="348">
        <v>2.5499999999999998</v>
      </c>
      <c r="AP76" s="348">
        <v>2.5499999999999998</v>
      </c>
      <c r="AQ76" s="348">
        <v>2.54</v>
      </c>
      <c r="AR76" s="348">
        <v>2.54</v>
      </c>
      <c r="AS76" s="348">
        <v>2.54</v>
      </c>
      <c r="AT76" s="348">
        <v>2.54</v>
      </c>
      <c r="AU76" s="348">
        <v>2.54</v>
      </c>
      <c r="AV76" s="348">
        <v>2.5299999999999998</v>
      </c>
      <c r="AW76" s="348">
        <v>2.5299999999999998</v>
      </c>
      <c r="AX76" s="348">
        <v>2.5299999999999998</v>
      </c>
      <c r="AY76" s="348">
        <v>2.5299999999999998</v>
      </c>
      <c r="BB76" s="348">
        <v>1.74</v>
      </c>
    </row>
    <row r="77" spans="1:54">
      <c r="A77" s="112">
        <v>44104</v>
      </c>
      <c r="B77" s="348">
        <v>1.01</v>
      </c>
      <c r="C77" s="348">
        <v>1.07</v>
      </c>
      <c r="D77" s="348">
        <v>1.17</v>
      </c>
      <c r="E77" s="348">
        <v>1.3</v>
      </c>
      <c r="F77" s="348">
        <v>1.44</v>
      </c>
      <c r="G77" s="348">
        <v>1.58</v>
      </c>
      <c r="H77" s="348">
        <v>1.71</v>
      </c>
      <c r="I77" s="348">
        <v>1.83</v>
      </c>
      <c r="J77" s="348">
        <v>1.94</v>
      </c>
      <c r="K77" s="348">
        <v>2.0499999999999998</v>
      </c>
      <c r="L77" s="348">
        <v>2.15</v>
      </c>
      <c r="M77" s="348">
        <v>2.23</v>
      </c>
      <c r="N77" s="348">
        <v>2.2999999999999998</v>
      </c>
      <c r="O77" s="348">
        <v>2.36</v>
      </c>
      <c r="P77" s="2205">
        <v>2.41</v>
      </c>
      <c r="Q77" s="348">
        <v>2.4500000000000002</v>
      </c>
      <c r="R77" s="348">
        <v>2.48</v>
      </c>
      <c r="S77" s="348">
        <v>2.5</v>
      </c>
      <c r="T77" s="348">
        <v>2.5299999999999998</v>
      </c>
      <c r="U77" s="348">
        <v>2.5499999999999998</v>
      </c>
      <c r="V77" s="348">
        <v>2.5499999999999998</v>
      </c>
      <c r="W77" s="348">
        <v>2.56</v>
      </c>
      <c r="X77" s="348">
        <v>2.56</v>
      </c>
      <c r="Y77" s="348">
        <v>2.56</v>
      </c>
      <c r="Z77" s="348">
        <v>2.57</v>
      </c>
      <c r="AA77" s="348">
        <v>2.56</v>
      </c>
      <c r="AB77" s="348">
        <v>2.56</v>
      </c>
      <c r="AC77" s="348">
        <v>2.5499999999999998</v>
      </c>
      <c r="AD77" s="348">
        <v>2.5499999999999998</v>
      </c>
      <c r="AE77" s="348">
        <v>2.54</v>
      </c>
      <c r="AF77" s="348">
        <v>2.54</v>
      </c>
      <c r="AG77" s="348">
        <v>2.54</v>
      </c>
      <c r="AH77" s="348">
        <v>2.54</v>
      </c>
      <c r="AI77" s="348">
        <v>2.5299999999999998</v>
      </c>
      <c r="AJ77" s="348">
        <v>2.5299999999999998</v>
      </c>
      <c r="AK77" s="348">
        <v>2.5299999999999998</v>
      </c>
      <c r="AL77" s="348">
        <v>2.5299999999999998</v>
      </c>
      <c r="AM77" s="348">
        <v>2.52</v>
      </c>
      <c r="AN77" s="348">
        <v>2.52</v>
      </c>
      <c r="AO77" s="348">
        <v>2.52</v>
      </c>
      <c r="AP77" s="348">
        <v>2.52</v>
      </c>
      <c r="AQ77" s="348">
        <v>2.52</v>
      </c>
      <c r="AR77" s="348">
        <v>2.5099999999999998</v>
      </c>
      <c r="AS77" s="348">
        <v>2.5099999999999998</v>
      </c>
      <c r="AT77" s="348">
        <v>2.5099999999999998</v>
      </c>
      <c r="AU77" s="348">
        <v>2.5099999999999998</v>
      </c>
      <c r="AV77" s="348">
        <v>2.5099999999999998</v>
      </c>
      <c r="AW77" s="348">
        <v>2.5</v>
      </c>
      <c r="AX77" s="348">
        <v>2.5</v>
      </c>
      <c r="AY77" s="348">
        <v>2.5</v>
      </c>
      <c r="BB77" s="348">
        <v>1.71</v>
      </c>
    </row>
    <row r="78" spans="1:54" s="113" customFormat="1">
      <c r="A78" s="109">
        <v>44135</v>
      </c>
      <c r="B78" s="348">
        <v>0.99</v>
      </c>
      <c r="C78" s="348">
        <v>1.05</v>
      </c>
      <c r="D78" s="348">
        <v>1.1499999999999999</v>
      </c>
      <c r="E78" s="348">
        <v>1.28</v>
      </c>
      <c r="F78" s="348">
        <v>1.41</v>
      </c>
      <c r="G78" s="348">
        <v>1.55</v>
      </c>
      <c r="H78" s="348">
        <v>1.68</v>
      </c>
      <c r="I78" s="348">
        <v>1.8</v>
      </c>
      <c r="J78" s="348">
        <v>1.91</v>
      </c>
      <c r="K78" s="348">
        <v>2.02</v>
      </c>
      <c r="L78" s="348">
        <v>2.11</v>
      </c>
      <c r="M78" s="348">
        <v>2.19</v>
      </c>
      <c r="N78" s="348">
        <v>2.27</v>
      </c>
      <c r="O78" s="348">
        <v>2.33</v>
      </c>
      <c r="P78" s="2205">
        <v>2.38</v>
      </c>
      <c r="Q78" s="348">
        <v>2.41</v>
      </c>
      <c r="R78" s="348">
        <v>2.44</v>
      </c>
      <c r="S78" s="348">
        <v>2.4700000000000002</v>
      </c>
      <c r="T78" s="348">
        <v>2.4900000000000002</v>
      </c>
      <c r="U78" s="348">
        <v>2.5099999999999998</v>
      </c>
      <c r="V78" s="348">
        <v>2.52</v>
      </c>
      <c r="W78" s="348">
        <v>2.52</v>
      </c>
      <c r="X78" s="348">
        <v>2.5299999999999998</v>
      </c>
      <c r="Y78" s="348">
        <v>2.5299999999999998</v>
      </c>
      <c r="Z78" s="348">
        <v>2.5299999999999998</v>
      </c>
      <c r="AA78" s="348">
        <v>2.5299999999999998</v>
      </c>
      <c r="AB78" s="348">
        <v>2.52</v>
      </c>
      <c r="AC78" s="348">
        <v>2.52</v>
      </c>
      <c r="AD78" s="348">
        <v>2.52</v>
      </c>
      <c r="AE78" s="348">
        <v>2.5099999999999998</v>
      </c>
      <c r="AF78" s="348">
        <v>2.5099999999999998</v>
      </c>
      <c r="AG78" s="348">
        <v>2.5099999999999998</v>
      </c>
      <c r="AH78" s="348">
        <v>2.5099999999999998</v>
      </c>
      <c r="AI78" s="348">
        <v>2.5</v>
      </c>
      <c r="AJ78" s="348">
        <v>2.5</v>
      </c>
      <c r="AK78" s="348">
        <v>2.5</v>
      </c>
      <c r="AL78" s="348">
        <v>2.5</v>
      </c>
      <c r="AM78" s="348">
        <v>2.5</v>
      </c>
      <c r="AN78" s="348">
        <v>2.4900000000000002</v>
      </c>
      <c r="AO78" s="348">
        <v>2.4900000000000002</v>
      </c>
      <c r="AP78" s="348">
        <v>2.4900000000000002</v>
      </c>
      <c r="AQ78" s="348">
        <v>2.4900000000000002</v>
      </c>
      <c r="AR78" s="348">
        <v>2.48</v>
      </c>
      <c r="AS78" s="348">
        <v>2.48</v>
      </c>
      <c r="AT78" s="348">
        <v>2.48</v>
      </c>
      <c r="AU78" s="348">
        <v>2.48</v>
      </c>
      <c r="AV78" s="348">
        <v>2.48</v>
      </c>
      <c r="AW78" s="348">
        <v>2.4700000000000002</v>
      </c>
      <c r="AX78" s="348">
        <v>2.4700000000000002</v>
      </c>
      <c r="AY78" s="348">
        <v>2.4700000000000002</v>
      </c>
      <c r="BB78" s="348">
        <v>1.68</v>
      </c>
    </row>
    <row r="79" spans="1:54" s="113" customFormat="1">
      <c r="A79" s="112">
        <v>44165</v>
      </c>
      <c r="B79" s="348">
        <v>0.97</v>
      </c>
      <c r="C79" s="348">
        <v>1.02</v>
      </c>
      <c r="D79" s="348">
        <v>1.1200000000000001</v>
      </c>
      <c r="E79" s="348">
        <v>1.25</v>
      </c>
      <c r="F79" s="348">
        <v>1.38</v>
      </c>
      <c r="G79" s="348">
        <v>1.51</v>
      </c>
      <c r="H79" s="348">
        <v>1.64</v>
      </c>
      <c r="I79" s="348">
        <v>1.76</v>
      </c>
      <c r="J79" s="348">
        <v>1.87</v>
      </c>
      <c r="K79" s="348">
        <v>1.98</v>
      </c>
      <c r="L79" s="348">
        <v>2.08</v>
      </c>
      <c r="M79" s="348">
        <v>2.16</v>
      </c>
      <c r="N79" s="348">
        <v>2.23</v>
      </c>
      <c r="O79" s="348">
        <v>2.29</v>
      </c>
      <c r="P79" s="2205">
        <v>2.34</v>
      </c>
      <c r="Q79" s="348">
        <v>2.38</v>
      </c>
      <c r="R79" s="348">
        <v>2.41</v>
      </c>
      <c r="S79" s="348">
        <v>2.4300000000000002</v>
      </c>
      <c r="T79" s="348">
        <v>2.46</v>
      </c>
      <c r="U79" s="348">
        <v>2.48</v>
      </c>
      <c r="V79" s="348">
        <v>2.48</v>
      </c>
      <c r="W79" s="348">
        <v>2.4900000000000002</v>
      </c>
      <c r="X79" s="348">
        <v>2.4900000000000002</v>
      </c>
      <c r="Y79" s="348">
        <v>2.4900000000000002</v>
      </c>
      <c r="Z79" s="348">
        <v>2.5</v>
      </c>
      <c r="AA79" s="348">
        <v>2.4900000000000002</v>
      </c>
      <c r="AB79" s="348">
        <v>2.4900000000000002</v>
      </c>
      <c r="AC79" s="348">
        <v>2.4900000000000002</v>
      </c>
      <c r="AD79" s="348">
        <v>2.48</v>
      </c>
      <c r="AE79" s="348">
        <v>2.48</v>
      </c>
      <c r="AF79" s="348">
        <v>2.48</v>
      </c>
      <c r="AG79" s="348">
        <v>2.4700000000000002</v>
      </c>
      <c r="AH79" s="348">
        <v>2.4700000000000002</v>
      </c>
      <c r="AI79" s="348">
        <v>2.4700000000000002</v>
      </c>
      <c r="AJ79" s="348">
        <v>2.4700000000000002</v>
      </c>
      <c r="AK79" s="348">
        <v>2.4700000000000002</v>
      </c>
      <c r="AL79" s="348">
        <v>2.46</v>
      </c>
      <c r="AM79" s="348">
        <v>2.46</v>
      </c>
      <c r="AN79" s="348">
        <v>2.46</v>
      </c>
      <c r="AO79" s="348">
        <v>2.46</v>
      </c>
      <c r="AP79" s="348">
        <v>2.46</v>
      </c>
      <c r="AQ79" s="348">
        <v>2.4500000000000002</v>
      </c>
      <c r="AR79" s="348">
        <v>2.4500000000000002</v>
      </c>
      <c r="AS79" s="348">
        <v>2.4500000000000002</v>
      </c>
      <c r="AT79" s="348">
        <v>2.4500000000000002</v>
      </c>
      <c r="AU79" s="348">
        <v>2.4500000000000002</v>
      </c>
      <c r="AV79" s="348">
        <v>2.44</v>
      </c>
      <c r="AW79" s="348">
        <v>2.44</v>
      </c>
      <c r="AX79" s="348">
        <v>2.44</v>
      </c>
      <c r="AY79" s="348">
        <v>2.44</v>
      </c>
      <c r="BB79" s="348">
        <v>1.64</v>
      </c>
    </row>
    <row r="80" spans="1:54" s="113" customFormat="1">
      <c r="A80" s="109">
        <v>44196</v>
      </c>
      <c r="B80" s="348">
        <v>0.94</v>
      </c>
      <c r="C80" s="348">
        <v>1</v>
      </c>
      <c r="D80" s="348">
        <v>1.0900000000000001</v>
      </c>
      <c r="E80" s="348">
        <v>1.22</v>
      </c>
      <c r="F80" s="348">
        <v>1.35</v>
      </c>
      <c r="G80" s="348">
        <v>1.48</v>
      </c>
      <c r="H80" s="348">
        <v>1.61</v>
      </c>
      <c r="I80" s="348">
        <v>1.73</v>
      </c>
      <c r="J80" s="348">
        <v>1.84</v>
      </c>
      <c r="K80" s="348">
        <v>1.94</v>
      </c>
      <c r="L80" s="348">
        <v>2.04</v>
      </c>
      <c r="M80" s="348">
        <v>2.12</v>
      </c>
      <c r="N80" s="348">
        <v>2.19</v>
      </c>
      <c r="O80" s="348">
        <v>2.25</v>
      </c>
      <c r="P80" s="2205">
        <v>2.2999999999999998</v>
      </c>
      <c r="Q80" s="348">
        <v>2.34</v>
      </c>
      <c r="R80" s="348">
        <v>2.37</v>
      </c>
      <c r="S80" s="348">
        <v>2.39</v>
      </c>
      <c r="T80" s="348">
        <v>2.42</v>
      </c>
      <c r="U80" s="348">
        <v>2.44</v>
      </c>
      <c r="V80" s="348">
        <v>2.44</v>
      </c>
      <c r="W80" s="348">
        <v>2.4500000000000002</v>
      </c>
      <c r="X80" s="348">
        <v>2.4500000000000002</v>
      </c>
      <c r="Y80" s="348">
        <v>2.46</v>
      </c>
      <c r="Z80" s="348">
        <v>2.46</v>
      </c>
      <c r="AA80" s="348">
        <v>2.46</v>
      </c>
      <c r="AB80" s="348">
        <v>2.4500000000000002</v>
      </c>
      <c r="AC80" s="348">
        <v>2.4500000000000002</v>
      </c>
      <c r="AD80" s="348">
        <v>2.4500000000000002</v>
      </c>
      <c r="AE80" s="348">
        <v>2.44</v>
      </c>
      <c r="AF80" s="348">
        <v>2.44</v>
      </c>
      <c r="AG80" s="348">
        <v>2.44</v>
      </c>
      <c r="AH80" s="348">
        <v>2.44</v>
      </c>
      <c r="AI80" s="348">
        <v>2.4300000000000002</v>
      </c>
      <c r="AJ80" s="348">
        <v>2.4300000000000002</v>
      </c>
      <c r="AK80" s="348">
        <v>2.4300000000000002</v>
      </c>
      <c r="AL80" s="348">
        <v>2.4300000000000002</v>
      </c>
      <c r="AM80" s="348">
        <v>2.4300000000000002</v>
      </c>
      <c r="AN80" s="348">
        <v>2.4300000000000002</v>
      </c>
      <c r="AO80" s="348">
        <v>2.42</v>
      </c>
      <c r="AP80" s="348">
        <v>2.42</v>
      </c>
      <c r="AQ80" s="348">
        <v>2.42</v>
      </c>
      <c r="AR80" s="348">
        <v>2.42</v>
      </c>
      <c r="AS80" s="348">
        <v>2.41</v>
      </c>
      <c r="AT80" s="348">
        <v>2.41</v>
      </c>
      <c r="AU80" s="348">
        <v>2.41</v>
      </c>
      <c r="AV80" s="348">
        <v>2.41</v>
      </c>
      <c r="AW80" s="348">
        <v>2.41</v>
      </c>
      <c r="AX80" s="348">
        <v>2.41</v>
      </c>
      <c r="AY80" s="348">
        <v>2.4</v>
      </c>
      <c r="BB80" s="348">
        <v>1.6</v>
      </c>
    </row>
    <row r="81" spans="1:54">
      <c r="A81" s="112">
        <v>44227</v>
      </c>
      <c r="B81" s="348">
        <v>0.92</v>
      </c>
      <c r="C81" s="348">
        <v>0.97</v>
      </c>
      <c r="D81" s="348">
        <v>1.06</v>
      </c>
      <c r="E81" s="348">
        <v>1.18</v>
      </c>
      <c r="F81" s="348">
        <v>1.31</v>
      </c>
      <c r="G81" s="348">
        <v>1.44</v>
      </c>
      <c r="H81" s="348">
        <v>1.57</v>
      </c>
      <c r="I81" s="348">
        <v>1.69</v>
      </c>
      <c r="J81" s="348">
        <v>1.8</v>
      </c>
      <c r="K81" s="348">
        <v>1.9</v>
      </c>
      <c r="L81" s="348">
        <v>2</v>
      </c>
      <c r="M81" s="348">
        <v>2.08</v>
      </c>
      <c r="N81" s="348">
        <v>2.15</v>
      </c>
      <c r="O81" s="348">
        <v>2.21</v>
      </c>
      <c r="P81" s="2205">
        <v>2.2599999999999998</v>
      </c>
      <c r="Q81" s="348">
        <v>2.2999999999999998</v>
      </c>
      <c r="R81" s="348">
        <v>2.33</v>
      </c>
      <c r="S81" s="348">
        <v>2.35</v>
      </c>
      <c r="T81" s="348">
        <v>2.38</v>
      </c>
      <c r="U81" s="348">
        <v>2.4</v>
      </c>
      <c r="V81" s="348">
        <v>2.4</v>
      </c>
      <c r="W81" s="348">
        <v>2.41</v>
      </c>
      <c r="X81" s="348">
        <v>2.41</v>
      </c>
      <c r="Y81" s="348">
        <v>2.42</v>
      </c>
      <c r="Z81" s="348">
        <v>2.42</v>
      </c>
      <c r="AA81" s="348">
        <v>2.42</v>
      </c>
      <c r="AB81" s="348">
        <v>2.42</v>
      </c>
      <c r="AC81" s="348">
        <v>2.41</v>
      </c>
      <c r="AD81" s="348">
        <v>2.41</v>
      </c>
      <c r="AE81" s="348">
        <v>2.41</v>
      </c>
      <c r="AF81" s="348">
        <v>2.4</v>
      </c>
      <c r="AG81" s="348">
        <v>2.4</v>
      </c>
      <c r="AH81" s="348">
        <v>2.4</v>
      </c>
      <c r="AI81" s="348">
        <v>2.4</v>
      </c>
      <c r="AJ81" s="348">
        <v>2.4</v>
      </c>
      <c r="AK81" s="348">
        <v>2.39</v>
      </c>
      <c r="AL81" s="348">
        <v>2.39</v>
      </c>
      <c r="AM81" s="348">
        <v>2.39</v>
      </c>
      <c r="AN81" s="348">
        <v>2.39</v>
      </c>
      <c r="AO81" s="348">
        <v>2.39</v>
      </c>
      <c r="AP81" s="348">
        <v>2.39</v>
      </c>
      <c r="AQ81" s="348">
        <v>2.38</v>
      </c>
      <c r="AR81" s="348">
        <v>2.38</v>
      </c>
      <c r="AS81" s="348">
        <v>2.38</v>
      </c>
      <c r="AT81" s="348">
        <v>2.38</v>
      </c>
      <c r="AU81" s="348">
        <v>2.38</v>
      </c>
      <c r="AV81" s="348">
        <v>2.37</v>
      </c>
      <c r="AW81" s="348">
        <v>2.37</v>
      </c>
      <c r="AX81" s="348">
        <v>2.37</v>
      </c>
      <c r="AY81" s="348">
        <v>2.37</v>
      </c>
      <c r="BB81" s="348">
        <v>1.57</v>
      </c>
    </row>
    <row r="82" spans="1:54" s="113" customFormat="1">
      <c r="A82" s="109">
        <v>44255</v>
      </c>
      <c r="B82" s="348">
        <v>0.9</v>
      </c>
      <c r="C82" s="348">
        <v>0.94</v>
      </c>
      <c r="D82" s="348">
        <v>1.03</v>
      </c>
      <c r="E82" s="348">
        <v>1.1499999999999999</v>
      </c>
      <c r="F82" s="348">
        <v>1.28</v>
      </c>
      <c r="G82" s="348">
        <v>1.41</v>
      </c>
      <c r="H82" s="348">
        <v>1.54</v>
      </c>
      <c r="I82" s="348">
        <v>1.65</v>
      </c>
      <c r="J82" s="348">
        <v>1.76</v>
      </c>
      <c r="K82" s="348">
        <v>1.87</v>
      </c>
      <c r="L82" s="348">
        <v>1.96</v>
      </c>
      <c r="M82" s="348">
        <v>2.04</v>
      </c>
      <c r="N82" s="348">
        <v>2.12</v>
      </c>
      <c r="O82" s="348">
        <v>2.1800000000000002</v>
      </c>
      <c r="P82" s="2205">
        <v>2.23</v>
      </c>
      <c r="Q82" s="348">
        <v>2.2599999999999998</v>
      </c>
      <c r="R82" s="348">
        <v>2.29</v>
      </c>
      <c r="S82" s="348">
        <v>2.3199999999999998</v>
      </c>
      <c r="T82" s="348">
        <v>2.34</v>
      </c>
      <c r="U82" s="348">
        <v>2.36</v>
      </c>
      <c r="V82" s="348">
        <v>2.37</v>
      </c>
      <c r="W82" s="348">
        <v>2.37</v>
      </c>
      <c r="X82" s="348">
        <v>2.38</v>
      </c>
      <c r="Y82" s="348">
        <v>2.38</v>
      </c>
      <c r="Z82" s="348">
        <v>2.39</v>
      </c>
      <c r="AA82" s="348">
        <v>2.38</v>
      </c>
      <c r="AB82" s="348">
        <v>2.38</v>
      </c>
      <c r="AC82" s="348">
        <v>2.38</v>
      </c>
      <c r="AD82" s="348">
        <v>2.38</v>
      </c>
      <c r="AE82" s="348">
        <v>2.37</v>
      </c>
      <c r="AF82" s="348">
        <v>2.37</v>
      </c>
      <c r="AG82" s="348">
        <v>2.37</v>
      </c>
      <c r="AH82" s="348">
        <v>2.37</v>
      </c>
      <c r="AI82" s="348">
        <v>2.37</v>
      </c>
      <c r="AJ82" s="348">
        <v>2.36</v>
      </c>
      <c r="AK82" s="348">
        <v>2.36</v>
      </c>
      <c r="AL82" s="348">
        <v>2.36</v>
      </c>
      <c r="AM82" s="348">
        <v>2.36</v>
      </c>
      <c r="AN82" s="348">
        <v>2.36</v>
      </c>
      <c r="AO82" s="348">
        <v>2.36</v>
      </c>
      <c r="AP82" s="348">
        <v>2.35</v>
      </c>
      <c r="AQ82" s="348">
        <v>2.35</v>
      </c>
      <c r="AR82" s="348">
        <v>2.35</v>
      </c>
      <c r="AS82" s="348">
        <v>2.35</v>
      </c>
      <c r="AT82" s="348">
        <v>2.35</v>
      </c>
      <c r="AU82" s="348">
        <v>2.35</v>
      </c>
      <c r="AV82" s="348">
        <v>2.34</v>
      </c>
      <c r="AW82" s="348">
        <v>2.34</v>
      </c>
      <c r="AX82" s="348">
        <v>2.34</v>
      </c>
      <c r="AY82" s="348">
        <v>2.34</v>
      </c>
      <c r="BB82" s="348">
        <v>1.54</v>
      </c>
    </row>
    <row r="83" spans="1:54">
      <c r="A83" s="112">
        <v>44286</v>
      </c>
      <c r="B83" s="348">
        <v>0.87</v>
      </c>
      <c r="C83" s="348">
        <v>0.91</v>
      </c>
      <c r="D83" s="348">
        <v>1</v>
      </c>
      <c r="E83" s="348">
        <v>1.1200000000000001</v>
      </c>
      <c r="F83" s="348">
        <v>1.24</v>
      </c>
      <c r="G83" s="348">
        <v>1.38</v>
      </c>
      <c r="H83" s="348">
        <v>1.5</v>
      </c>
      <c r="I83" s="348">
        <v>1.62</v>
      </c>
      <c r="J83" s="348">
        <v>1.73</v>
      </c>
      <c r="K83" s="348">
        <v>1.83</v>
      </c>
      <c r="L83" s="348">
        <v>1.93</v>
      </c>
      <c r="M83" s="348">
        <v>2.0099999999999998</v>
      </c>
      <c r="N83" s="348">
        <v>2.08</v>
      </c>
      <c r="O83" s="348">
        <v>2.14</v>
      </c>
      <c r="P83" s="2205">
        <v>2.19</v>
      </c>
      <c r="Q83" s="348">
        <v>2.23</v>
      </c>
      <c r="R83" s="348">
        <v>2.2599999999999998</v>
      </c>
      <c r="S83" s="348">
        <v>2.2799999999999998</v>
      </c>
      <c r="T83" s="348">
        <v>2.31</v>
      </c>
      <c r="U83" s="348">
        <v>2.33</v>
      </c>
      <c r="V83" s="348">
        <v>2.33</v>
      </c>
      <c r="W83" s="348">
        <v>2.34</v>
      </c>
      <c r="X83" s="348">
        <v>2.34</v>
      </c>
      <c r="Y83" s="348">
        <v>2.35</v>
      </c>
      <c r="Z83" s="348">
        <v>2.35</v>
      </c>
      <c r="AA83" s="348">
        <v>2.35</v>
      </c>
      <c r="AB83" s="348">
        <v>2.35</v>
      </c>
      <c r="AC83" s="348">
        <v>2.34</v>
      </c>
      <c r="AD83" s="348">
        <v>2.34</v>
      </c>
      <c r="AE83" s="348">
        <v>2.34</v>
      </c>
      <c r="AF83" s="348">
        <v>2.34</v>
      </c>
      <c r="AG83" s="348">
        <v>2.34</v>
      </c>
      <c r="AH83" s="348">
        <v>2.33</v>
      </c>
      <c r="AI83" s="348">
        <v>2.33</v>
      </c>
      <c r="AJ83" s="348">
        <v>2.33</v>
      </c>
      <c r="AK83" s="348">
        <v>2.33</v>
      </c>
      <c r="AL83" s="348">
        <v>2.33</v>
      </c>
      <c r="AM83" s="348">
        <v>2.33</v>
      </c>
      <c r="AN83" s="348">
        <v>2.33</v>
      </c>
      <c r="AO83" s="348">
        <v>2.33</v>
      </c>
      <c r="AP83" s="348">
        <v>2.3199999999999998</v>
      </c>
      <c r="AQ83" s="348">
        <v>2.3199999999999998</v>
      </c>
      <c r="AR83" s="348">
        <v>2.3199999999999998</v>
      </c>
      <c r="AS83" s="348">
        <v>2.3199999999999998</v>
      </c>
      <c r="AT83" s="348">
        <v>2.3199999999999998</v>
      </c>
      <c r="AU83" s="348">
        <v>2.31</v>
      </c>
      <c r="AV83" s="348">
        <v>2.31</v>
      </c>
      <c r="AW83" s="348">
        <v>2.31</v>
      </c>
      <c r="AX83" s="348">
        <v>2.31</v>
      </c>
      <c r="AY83" s="348">
        <v>2.31</v>
      </c>
      <c r="BB83" s="348">
        <v>1.51</v>
      </c>
    </row>
    <row r="84" spans="1:54" s="113" customFormat="1">
      <c r="A84" s="109">
        <v>44316</v>
      </c>
      <c r="B84" s="348">
        <v>0.84</v>
      </c>
      <c r="C84" s="348">
        <v>0.88</v>
      </c>
      <c r="D84" s="348">
        <v>0.97</v>
      </c>
      <c r="E84" s="348">
        <v>1.0900000000000001</v>
      </c>
      <c r="F84" s="348">
        <v>1.21</v>
      </c>
      <c r="G84" s="348">
        <v>1.34</v>
      </c>
      <c r="H84" s="348">
        <v>1.47</v>
      </c>
      <c r="I84" s="348">
        <v>1.59</v>
      </c>
      <c r="J84" s="348">
        <v>1.7</v>
      </c>
      <c r="K84" s="348">
        <v>1.8</v>
      </c>
      <c r="L84" s="348">
        <v>1.89</v>
      </c>
      <c r="M84" s="348">
        <v>1.97</v>
      </c>
      <c r="N84" s="348">
        <v>2.04</v>
      </c>
      <c r="O84" s="348">
        <v>2.11</v>
      </c>
      <c r="P84" s="2205">
        <v>2.16</v>
      </c>
      <c r="Q84" s="348">
        <v>2.19</v>
      </c>
      <c r="R84" s="348">
        <v>2.2200000000000002</v>
      </c>
      <c r="S84" s="348">
        <v>2.25</v>
      </c>
      <c r="T84" s="348">
        <v>2.27</v>
      </c>
      <c r="U84" s="348">
        <v>2.29</v>
      </c>
      <c r="V84" s="348">
        <v>2.2999999999999998</v>
      </c>
      <c r="W84" s="348">
        <v>2.2999999999999998</v>
      </c>
      <c r="X84" s="348">
        <v>2.31</v>
      </c>
      <c r="Y84" s="348">
        <v>2.31</v>
      </c>
      <c r="Z84" s="348">
        <v>2.3199999999999998</v>
      </c>
      <c r="AA84" s="348">
        <v>2.3199999999999998</v>
      </c>
      <c r="AB84" s="348">
        <v>2.31</v>
      </c>
      <c r="AC84" s="348">
        <v>2.31</v>
      </c>
      <c r="AD84" s="348">
        <v>2.31</v>
      </c>
      <c r="AE84" s="348">
        <v>2.31</v>
      </c>
      <c r="AF84" s="348">
        <v>2.31</v>
      </c>
      <c r="AG84" s="348">
        <v>2.2999999999999998</v>
      </c>
      <c r="AH84" s="348">
        <v>2.2999999999999998</v>
      </c>
      <c r="AI84" s="348">
        <v>2.2999999999999998</v>
      </c>
      <c r="AJ84" s="348">
        <v>2.2999999999999998</v>
      </c>
      <c r="AK84" s="348">
        <v>2.2999999999999998</v>
      </c>
      <c r="AL84" s="348">
        <v>2.2999999999999998</v>
      </c>
      <c r="AM84" s="348">
        <v>2.2999999999999998</v>
      </c>
      <c r="AN84" s="348">
        <v>2.2999999999999998</v>
      </c>
      <c r="AO84" s="348">
        <v>2.29</v>
      </c>
      <c r="AP84" s="348">
        <v>2.29</v>
      </c>
      <c r="AQ84" s="348">
        <v>2.29</v>
      </c>
      <c r="AR84" s="348">
        <v>2.29</v>
      </c>
      <c r="AS84" s="348">
        <v>2.29</v>
      </c>
      <c r="AT84" s="348">
        <v>2.2799999999999998</v>
      </c>
      <c r="AU84" s="348">
        <v>2.2799999999999998</v>
      </c>
      <c r="AV84" s="348">
        <v>2.2799999999999998</v>
      </c>
      <c r="AW84" s="348">
        <v>2.2799999999999998</v>
      </c>
      <c r="AX84" s="348">
        <v>2.2799999999999998</v>
      </c>
      <c r="AY84" s="348">
        <v>2.2799999999999998</v>
      </c>
      <c r="BB84" s="348">
        <v>1.49</v>
      </c>
    </row>
    <row r="85" spans="1:54">
      <c r="A85" s="112">
        <v>44347</v>
      </c>
      <c r="B85" s="348">
        <v>0.82</v>
      </c>
      <c r="C85" s="348">
        <v>0.86</v>
      </c>
      <c r="D85" s="348">
        <v>0.94</v>
      </c>
      <c r="E85" s="348">
        <v>1.06</v>
      </c>
      <c r="F85" s="348">
        <v>1.18</v>
      </c>
      <c r="G85" s="348">
        <v>1.31</v>
      </c>
      <c r="H85" s="348">
        <v>1.43</v>
      </c>
      <c r="I85" s="348">
        <v>1.55</v>
      </c>
      <c r="J85" s="348">
        <v>1.66</v>
      </c>
      <c r="K85" s="348">
        <v>1.77</v>
      </c>
      <c r="L85" s="348">
        <v>1.86</v>
      </c>
      <c r="M85" s="348">
        <v>1.94</v>
      </c>
      <c r="N85" s="348">
        <v>2.0099999999999998</v>
      </c>
      <c r="O85" s="348">
        <v>2.0699999999999998</v>
      </c>
      <c r="P85" s="2205">
        <v>2.12</v>
      </c>
      <c r="Q85" s="348">
        <v>2.16</v>
      </c>
      <c r="R85" s="348">
        <v>2.19</v>
      </c>
      <c r="S85" s="348">
        <v>2.21</v>
      </c>
      <c r="T85" s="348">
        <v>2.2400000000000002</v>
      </c>
      <c r="U85" s="348">
        <v>2.2599999999999998</v>
      </c>
      <c r="V85" s="348">
        <v>2.27</v>
      </c>
      <c r="W85" s="348">
        <v>2.27</v>
      </c>
      <c r="X85" s="348">
        <v>2.2799999999999998</v>
      </c>
      <c r="Y85" s="348">
        <v>2.2799999999999998</v>
      </c>
      <c r="Z85" s="348">
        <v>2.29</v>
      </c>
      <c r="AA85" s="348">
        <v>2.2799999999999998</v>
      </c>
      <c r="AB85" s="348">
        <v>2.2799999999999998</v>
      </c>
      <c r="AC85" s="348">
        <v>2.2799999999999998</v>
      </c>
      <c r="AD85" s="348">
        <v>2.2799999999999998</v>
      </c>
      <c r="AE85" s="348">
        <v>2.2799999999999998</v>
      </c>
      <c r="AF85" s="348">
        <v>2.27</v>
      </c>
      <c r="AG85" s="348">
        <v>2.27</v>
      </c>
      <c r="AH85" s="348">
        <v>2.27</v>
      </c>
      <c r="AI85" s="348">
        <v>2.27</v>
      </c>
      <c r="AJ85" s="348">
        <v>2.27</v>
      </c>
      <c r="AK85" s="348">
        <v>2.27</v>
      </c>
      <c r="AL85" s="348">
        <v>2.27</v>
      </c>
      <c r="AM85" s="348">
        <v>2.27</v>
      </c>
      <c r="AN85" s="348">
        <v>2.2599999999999998</v>
      </c>
      <c r="AO85" s="348">
        <v>2.2599999999999998</v>
      </c>
      <c r="AP85" s="348">
        <v>2.2599999999999998</v>
      </c>
      <c r="AQ85" s="348">
        <v>2.2599999999999998</v>
      </c>
      <c r="AR85" s="348">
        <v>2.2599999999999998</v>
      </c>
      <c r="AS85" s="348">
        <v>2.2599999999999998</v>
      </c>
      <c r="AT85" s="348">
        <v>2.25</v>
      </c>
      <c r="AU85" s="348">
        <v>2.25</v>
      </c>
      <c r="AV85" s="348">
        <v>2.25</v>
      </c>
      <c r="AW85" s="348">
        <v>2.25</v>
      </c>
      <c r="AX85" s="348">
        <v>2.25</v>
      </c>
      <c r="AY85" s="348">
        <v>2.25</v>
      </c>
      <c r="BB85" s="348">
        <v>1.47</v>
      </c>
    </row>
    <row r="86" spans="1:54">
      <c r="A86" s="109">
        <v>44377</v>
      </c>
      <c r="B86" s="348">
        <v>0.79</v>
      </c>
      <c r="C86" s="348">
        <v>0.83</v>
      </c>
      <c r="D86" s="348">
        <v>0.91</v>
      </c>
      <c r="E86" s="348">
        <v>1.02</v>
      </c>
      <c r="F86" s="348">
        <v>1.1499999999999999</v>
      </c>
      <c r="G86" s="348">
        <v>1.28</v>
      </c>
      <c r="H86" s="348">
        <v>1.4</v>
      </c>
      <c r="I86" s="348">
        <v>1.52</v>
      </c>
      <c r="J86" s="348">
        <v>1.63</v>
      </c>
      <c r="K86" s="348">
        <v>1.73</v>
      </c>
      <c r="L86" s="348">
        <v>1.83</v>
      </c>
      <c r="M86" s="348">
        <v>1.9</v>
      </c>
      <c r="N86" s="348">
        <v>1.97</v>
      </c>
      <c r="O86" s="348">
        <v>2.0299999999999998</v>
      </c>
      <c r="P86" s="2205">
        <v>2.09</v>
      </c>
      <c r="Q86" s="348">
        <v>2.12</v>
      </c>
      <c r="R86" s="348">
        <v>2.15</v>
      </c>
      <c r="S86" s="348">
        <v>2.1800000000000002</v>
      </c>
      <c r="T86" s="348">
        <v>2.2000000000000002</v>
      </c>
      <c r="U86" s="348">
        <v>2.2200000000000002</v>
      </c>
      <c r="V86" s="348">
        <v>2.23</v>
      </c>
      <c r="W86" s="348">
        <v>2.23</v>
      </c>
      <c r="X86" s="348">
        <v>2.2400000000000002</v>
      </c>
      <c r="Y86" s="348">
        <v>2.25</v>
      </c>
      <c r="Z86" s="348">
        <v>2.25</v>
      </c>
      <c r="AA86" s="348">
        <v>2.25</v>
      </c>
      <c r="AB86" s="348">
        <v>2.25</v>
      </c>
      <c r="AC86" s="348">
        <v>2.2400000000000002</v>
      </c>
      <c r="AD86" s="348">
        <v>2.2400000000000002</v>
      </c>
      <c r="AE86" s="348">
        <v>2.2400000000000002</v>
      </c>
      <c r="AF86" s="348">
        <v>2.2400000000000002</v>
      </c>
      <c r="AG86" s="348">
        <v>2.2400000000000002</v>
      </c>
      <c r="AH86" s="348">
        <v>2.2400000000000002</v>
      </c>
      <c r="AI86" s="348">
        <v>2.23</v>
      </c>
      <c r="AJ86" s="348">
        <v>2.23</v>
      </c>
      <c r="AK86" s="348">
        <v>2.23</v>
      </c>
      <c r="AL86" s="348">
        <v>2.23</v>
      </c>
      <c r="AM86" s="348">
        <v>2.23</v>
      </c>
      <c r="AN86" s="348">
        <v>2.23</v>
      </c>
      <c r="AO86" s="348">
        <v>2.23</v>
      </c>
      <c r="AP86" s="348">
        <v>2.23</v>
      </c>
      <c r="AQ86" s="348">
        <v>2.2200000000000002</v>
      </c>
      <c r="AR86" s="348">
        <v>2.2200000000000002</v>
      </c>
      <c r="AS86" s="348">
        <v>2.2200000000000002</v>
      </c>
      <c r="AT86" s="348">
        <v>2.2200000000000002</v>
      </c>
      <c r="AU86" s="348">
        <v>2.2200000000000002</v>
      </c>
      <c r="AV86" s="348">
        <v>2.2200000000000002</v>
      </c>
      <c r="AW86" s="348">
        <v>2.21</v>
      </c>
      <c r="AX86" s="348">
        <v>2.21</v>
      </c>
      <c r="AY86" s="348">
        <v>2.21</v>
      </c>
      <c r="BB86" s="348">
        <v>1.45</v>
      </c>
    </row>
    <row r="87" spans="1:54">
      <c r="A87" s="112">
        <v>44408</v>
      </c>
      <c r="B87" s="348">
        <v>0.76</v>
      </c>
      <c r="C87" s="348">
        <v>0.8</v>
      </c>
      <c r="D87" s="348">
        <v>0.88</v>
      </c>
      <c r="E87" s="348">
        <v>0.99</v>
      </c>
      <c r="F87" s="348">
        <v>1.1200000000000001</v>
      </c>
      <c r="G87" s="348">
        <v>1.24</v>
      </c>
      <c r="H87" s="348">
        <v>1.37</v>
      </c>
      <c r="I87" s="348">
        <v>1.48</v>
      </c>
      <c r="J87" s="348">
        <v>1.59</v>
      </c>
      <c r="K87" s="348">
        <v>1.7</v>
      </c>
      <c r="L87" s="348">
        <v>1.79</v>
      </c>
      <c r="M87" s="348">
        <v>1.87</v>
      </c>
      <c r="N87" s="348">
        <v>1.94</v>
      </c>
      <c r="O87" s="348">
        <v>2</v>
      </c>
      <c r="P87" s="2205">
        <v>2.0499999999999998</v>
      </c>
      <c r="Q87" s="348">
        <v>2.08</v>
      </c>
      <c r="R87" s="348">
        <v>2.11</v>
      </c>
      <c r="S87" s="348">
        <v>2.14</v>
      </c>
      <c r="T87" s="348">
        <v>2.16</v>
      </c>
      <c r="U87" s="348">
        <v>2.19</v>
      </c>
      <c r="V87" s="348">
        <v>2.19</v>
      </c>
      <c r="W87" s="348">
        <v>2.2000000000000002</v>
      </c>
      <c r="X87" s="348">
        <v>2.2000000000000002</v>
      </c>
      <c r="Y87" s="348">
        <v>2.21</v>
      </c>
      <c r="Z87" s="348">
        <v>2.21</v>
      </c>
      <c r="AA87" s="348">
        <v>2.21</v>
      </c>
      <c r="AB87" s="348">
        <v>2.21</v>
      </c>
      <c r="AC87" s="348">
        <v>2.21</v>
      </c>
      <c r="AD87" s="348">
        <v>2.21</v>
      </c>
      <c r="AE87" s="348">
        <v>2.21</v>
      </c>
      <c r="AF87" s="348">
        <v>2.2000000000000002</v>
      </c>
      <c r="AG87" s="348">
        <v>2.2000000000000002</v>
      </c>
      <c r="AH87" s="348">
        <v>2.2000000000000002</v>
      </c>
      <c r="AI87" s="348">
        <v>2.2000000000000002</v>
      </c>
      <c r="AJ87" s="348">
        <v>2.2000000000000002</v>
      </c>
      <c r="AK87" s="348">
        <v>2.2000000000000002</v>
      </c>
      <c r="AL87" s="348">
        <v>2.2000000000000002</v>
      </c>
      <c r="AM87" s="348">
        <v>2.2000000000000002</v>
      </c>
      <c r="AN87" s="348">
        <v>2.2000000000000002</v>
      </c>
      <c r="AO87" s="348">
        <v>2.19</v>
      </c>
      <c r="AP87" s="348">
        <v>2.19</v>
      </c>
      <c r="AQ87" s="348">
        <v>2.19</v>
      </c>
      <c r="AR87" s="348">
        <v>2.19</v>
      </c>
      <c r="AS87" s="348">
        <v>2.19</v>
      </c>
      <c r="AT87" s="348">
        <v>2.1800000000000002</v>
      </c>
      <c r="AU87" s="348">
        <v>2.1800000000000002</v>
      </c>
      <c r="AV87" s="348">
        <v>2.1800000000000002</v>
      </c>
      <c r="AW87" s="348">
        <v>2.1800000000000002</v>
      </c>
      <c r="AX87" s="348">
        <v>2.1800000000000002</v>
      </c>
      <c r="AY87" s="348">
        <v>2.1800000000000002</v>
      </c>
      <c r="BB87" s="348">
        <v>1.42</v>
      </c>
    </row>
    <row r="88" spans="1:54">
      <c r="A88" s="109">
        <v>44439</v>
      </c>
      <c r="B88" s="348">
        <v>0.73</v>
      </c>
      <c r="C88" s="348">
        <v>0.77</v>
      </c>
      <c r="D88" s="348">
        <v>0.85</v>
      </c>
      <c r="E88" s="348">
        <v>0.96</v>
      </c>
      <c r="F88" s="348">
        <v>1.08</v>
      </c>
      <c r="G88" s="348">
        <v>1.21</v>
      </c>
      <c r="H88" s="348">
        <v>1.33</v>
      </c>
      <c r="I88" s="348">
        <v>1.45</v>
      </c>
      <c r="J88" s="348">
        <v>1.56</v>
      </c>
      <c r="K88" s="348">
        <v>1.66</v>
      </c>
      <c r="L88" s="348">
        <v>1.75</v>
      </c>
      <c r="M88" s="348">
        <v>1.83</v>
      </c>
      <c r="N88" s="348">
        <v>1.9</v>
      </c>
      <c r="O88" s="348">
        <v>1.96</v>
      </c>
      <c r="P88" s="2205">
        <v>2.0099999999999998</v>
      </c>
      <c r="Q88" s="348">
        <v>2.0499999999999998</v>
      </c>
      <c r="R88" s="348">
        <v>2.08</v>
      </c>
      <c r="S88" s="348">
        <v>2.1</v>
      </c>
      <c r="T88" s="348">
        <v>2.13</v>
      </c>
      <c r="U88" s="348">
        <v>2.15</v>
      </c>
      <c r="V88" s="348">
        <v>2.16</v>
      </c>
      <c r="W88" s="348">
        <v>2.16</v>
      </c>
      <c r="X88" s="348">
        <v>2.17</v>
      </c>
      <c r="Y88" s="348">
        <v>2.17</v>
      </c>
      <c r="Z88" s="348">
        <v>2.1800000000000002</v>
      </c>
      <c r="AA88" s="348">
        <v>2.1800000000000002</v>
      </c>
      <c r="AB88" s="348">
        <v>2.17</v>
      </c>
      <c r="AC88" s="348">
        <v>2.17</v>
      </c>
      <c r="AD88" s="348">
        <v>2.17</v>
      </c>
      <c r="AE88" s="348">
        <v>2.17</v>
      </c>
      <c r="AF88" s="348">
        <v>2.17</v>
      </c>
      <c r="AG88" s="348">
        <v>2.17</v>
      </c>
      <c r="AH88" s="348">
        <v>2.17</v>
      </c>
      <c r="AI88" s="348">
        <v>2.16</v>
      </c>
      <c r="AJ88" s="348">
        <v>2.16</v>
      </c>
      <c r="AK88" s="348">
        <v>2.16</v>
      </c>
      <c r="AL88" s="348">
        <v>2.16</v>
      </c>
      <c r="AM88" s="348">
        <v>2.16</v>
      </c>
      <c r="AN88" s="348">
        <v>2.16</v>
      </c>
      <c r="AO88" s="348">
        <v>2.16</v>
      </c>
      <c r="AP88" s="348">
        <v>2.16</v>
      </c>
      <c r="AQ88" s="348">
        <v>2.15</v>
      </c>
      <c r="AR88" s="348">
        <v>2.15</v>
      </c>
      <c r="AS88" s="348">
        <v>2.15</v>
      </c>
      <c r="AT88" s="348">
        <v>2.15</v>
      </c>
      <c r="AU88" s="348">
        <v>2.15</v>
      </c>
      <c r="AV88" s="348">
        <v>2.14</v>
      </c>
      <c r="AW88" s="348">
        <v>2.14</v>
      </c>
      <c r="AX88" s="348">
        <v>2.14</v>
      </c>
      <c r="AY88" s="348">
        <v>2.14</v>
      </c>
      <c r="BB88" s="348">
        <v>1.41</v>
      </c>
    </row>
    <row r="89" spans="1:54">
      <c r="A89" s="112">
        <v>44469</v>
      </c>
      <c r="B89" s="348">
        <v>0.7</v>
      </c>
      <c r="C89" s="348">
        <v>0.74</v>
      </c>
      <c r="D89" s="348">
        <v>0.82</v>
      </c>
      <c r="E89" s="348">
        <v>0.93</v>
      </c>
      <c r="F89" s="348">
        <v>1.05</v>
      </c>
      <c r="G89" s="348">
        <v>1.18</v>
      </c>
      <c r="H89" s="348">
        <v>1.3</v>
      </c>
      <c r="I89" s="348">
        <v>1.41</v>
      </c>
      <c r="J89" s="348">
        <v>1.52</v>
      </c>
      <c r="K89" s="348">
        <v>1.62</v>
      </c>
      <c r="L89" s="348">
        <v>1.72</v>
      </c>
      <c r="M89" s="348">
        <v>1.79</v>
      </c>
      <c r="N89" s="348">
        <v>1.86</v>
      </c>
      <c r="O89" s="348">
        <v>1.92</v>
      </c>
      <c r="P89" s="2205">
        <v>1.98</v>
      </c>
      <c r="Q89" s="348">
        <v>2.0099999999999998</v>
      </c>
      <c r="R89" s="348">
        <v>2.04</v>
      </c>
      <c r="S89" s="348">
        <v>2.0699999999999998</v>
      </c>
      <c r="T89" s="348">
        <v>2.09</v>
      </c>
      <c r="U89" s="348">
        <v>2.11</v>
      </c>
      <c r="V89" s="348">
        <v>2.12</v>
      </c>
      <c r="W89" s="348">
        <v>2.13</v>
      </c>
      <c r="X89" s="348">
        <v>2.13</v>
      </c>
      <c r="Y89" s="348">
        <v>2.14</v>
      </c>
      <c r="Z89" s="348">
        <v>2.14</v>
      </c>
      <c r="AA89" s="348">
        <v>2.14</v>
      </c>
      <c r="AB89" s="348">
        <v>2.14</v>
      </c>
      <c r="AC89" s="348">
        <v>2.14</v>
      </c>
      <c r="AD89" s="348">
        <v>2.14</v>
      </c>
      <c r="AE89" s="348">
        <v>2.14</v>
      </c>
      <c r="AF89" s="348">
        <v>2.13</v>
      </c>
      <c r="AG89" s="348">
        <v>2.13</v>
      </c>
      <c r="AH89" s="348">
        <v>2.13</v>
      </c>
      <c r="AI89" s="348">
        <v>2.13</v>
      </c>
      <c r="AJ89" s="348">
        <v>2.13</v>
      </c>
      <c r="AK89" s="348">
        <v>2.13</v>
      </c>
      <c r="AL89" s="348">
        <v>2.13</v>
      </c>
      <c r="AM89" s="348">
        <v>2.13</v>
      </c>
      <c r="AN89" s="348">
        <v>2.12</v>
      </c>
      <c r="AO89" s="348">
        <v>2.12</v>
      </c>
      <c r="AP89" s="348">
        <v>2.12</v>
      </c>
      <c r="AQ89" s="348">
        <v>2.12</v>
      </c>
      <c r="AR89" s="348">
        <v>2.12</v>
      </c>
      <c r="AS89" s="348">
        <v>2.11</v>
      </c>
      <c r="AT89" s="348">
        <v>2.11</v>
      </c>
      <c r="AU89" s="348">
        <v>2.11</v>
      </c>
      <c r="AV89" s="348">
        <v>2.11</v>
      </c>
      <c r="AW89" s="348">
        <v>2.11</v>
      </c>
      <c r="AX89" s="348">
        <v>2.11</v>
      </c>
      <c r="AY89" s="348">
        <v>2.1</v>
      </c>
      <c r="BB89" s="348">
        <v>1.39</v>
      </c>
    </row>
    <row r="90" spans="1:54">
      <c r="A90" s="109">
        <v>44500</v>
      </c>
      <c r="B90" s="348">
        <v>0.67</v>
      </c>
      <c r="C90" s="348">
        <v>0.71</v>
      </c>
      <c r="D90" s="348">
        <v>0.79</v>
      </c>
      <c r="E90" s="348">
        <v>0.9</v>
      </c>
      <c r="F90" s="348">
        <v>1.02</v>
      </c>
      <c r="G90" s="348">
        <v>1.1499999999999999</v>
      </c>
      <c r="H90" s="348">
        <v>1.27</v>
      </c>
      <c r="I90" s="348">
        <v>1.38</v>
      </c>
      <c r="J90" s="348">
        <v>1.49</v>
      </c>
      <c r="K90" s="348">
        <v>1.59</v>
      </c>
      <c r="L90" s="348">
        <v>1.68</v>
      </c>
      <c r="M90" s="348">
        <v>1.76</v>
      </c>
      <c r="N90" s="348">
        <v>1.83</v>
      </c>
      <c r="O90" s="348">
        <v>1.89</v>
      </c>
      <c r="P90" s="2205">
        <v>1.94</v>
      </c>
      <c r="Q90" s="348">
        <v>1.98</v>
      </c>
      <c r="R90" s="348">
        <v>2.0099999999999998</v>
      </c>
      <c r="S90" s="348">
        <v>2.0299999999999998</v>
      </c>
      <c r="T90" s="348">
        <v>2.06</v>
      </c>
      <c r="U90" s="348">
        <v>2.08</v>
      </c>
      <c r="V90" s="348">
        <v>2.09</v>
      </c>
      <c r="W90" s="348">
        <v>2.09</v>
      </c>
      <c r="X90" s="348">
        <v>2.1</v>
      </c>
      <c r="Y90" s="348">
        <v>2.1</v>
      </c>
      <c r="Z90" s="348">
        <v>2.11</v>
      </c>
      <c r="AA90" s="348">
        <v>2.11</v>
      </c>
      <c r="AB90" s="348">
        <v>2.11</v>
      </c>
      <c r="AC90" s="348">
        <v>2.1</v>
      </c>
      <c r="AD90" s="348">
        <v>2.1</v>
      </c>
      <c r="AE90" s="348">
        <v>2.1</v>
      </c>
      <c r="AF90" s="348">
        <v>2.1</v>
      </c>
      <c r="AG90" s="348">
        <v>2.1</v>
      </c>
      <c r="AH90" s="348">
        <v>2.1</v>
      </c>
      <c r="AI90" s="348">
        <v>2.1</v>
      </c>
      <c r="AJ90" s="348">
        <v>2.09</v>
      </c>
      <c r="AK90" s="348">
        <v>2.09</v>
      </c>
      <c r="AL90" s="348">
        <v>2.09</v>
      </c>
      <c r="AM90" s="348">
        <v>2.09</v>
      </c>
      <c r="AN90" s="348">
        <v>2.09</v>
      </c>
      <c r="AO90" s="348">
        <v>2.09</v>
      </c>
      <c r="AP90" s="348">
        <v>2.09</v>
      </c>
      <c r="AQ90" s="348">
        <v>2.08</v>
      </c>
      <c r="AR90" s="348">
        <v>2.08</v>
      </c>
      <c r="AS90" s="348">
        <v>2.08</v>
      </c>
      <c r="AT90" s="348">
        <v>2.08</v>
      </c>
      <c r="AU90" s="348">
        <v>2.08</v>
      </c>
      <c r="AV90" s="348">
        <v>2.0699999999999998</v>
      </c>
      <c r="AW90" s="348">
        <v>2.0699999999999998</v>
      </c>
      <c r="AX90" s="348">
        <v>2.0699999999999998</v>
      </c>
      <c r="AY90" s="348">
        <v>2.0699999999999998</v>
      </c>
      <c r="BB90" s="348">
        <v>1.37</v>
      </c>
    </row>
    <row r="91" spans="1:54">
      <c r="A91" s="112">
        <v>44530</v>
      </c>
      <c r="B91" s="348">
        <v>0.64</v>
      </c>
      <c r="C91" s="348">
        <v>0.68</v>
      </c>
      <c r="D91" s="348">
        <v>0.76</v>
      </c>
      <c r="E91" s="348">
        <v>0.87</v>
      </c>
      <c r="F91" s="348">
        <v>0.99</v>
      </c>
      <c r="G91" s="348">
        <v>1.1100000000000001</v>
      </c>
      <c r="H91" s="348">
        <v>1.23</v>
      </c>
      <c r="I91" s="348">
        <v>1.35</v>
      </c>
      <c r="J91" s="348">
        <v>1.45</v>
      </c>
      <c r="K91" s="348">
        <v>1.56</v>
      </c>
      <c r="L91" s="348">
        <v>1.65</v>
      </c>
      <c r="M91" s="348">
        <v>1.72</v>
      </c>
      <c r="N91" s="348">
        <v>1.79</v>
      </c>
      <c r="O91" s="348">
        <v>1.85</v>
      </c>
      <c r="P91" s="2205">
        <v>1.9</v>
      </c>
      <c r="Q91" s="348">
        <v>1.94</v>
      </c>
      <c r="R91" s="348">
        <v>1.97</v>
      </c>
      <c r="S91" s="348">
        <v>2</v>
      </c>
      <c r="T91" s="348">
        <v>2.02</v>
      </c>
      <c r="U91" s="348">
        <v>2.04</v>
      </c>
      <c r="V91" s="348">
        <v>2.0499999999999998</v>
      </c>
      <c r="W91" s="348">
        <v>2.06</v>
      </c>
      <c r="X91" s="348">
        <v>2.06</v>
      </c>
      <c r="Y91" s="348">
        <v>2.0699999999999998</v>
      </c>
      <c r="Z91" s="348">
        <v>2.0699999999999998</v>
      </c>
      <c r="AA91" s="348">
        <v>2.0699999999999998</v>
      </c>
      <c r="AB91" s="348">
        <v>2.0699999999999998</v>
      </c>
      <c r="AC91" s="348">
        <v>2.0699999999999998</v>
      </c>
      <c r="AD91" s="348">
        <v>2.0699999999999998</v>
      </c>
      <c r="AE91" s="348">
        <v>2.0699999999999998</v>
      </c>
      <c r="AF91" s="348">
        <v>2.06</v>
      </c>
      <c r="AG91" s="348">
        <v>2.06</v>
      </c>
      <c r="AH91" s="348">
        <v>2.06</v>
      </c>
      <c r="AI91" s="348">
        <v>2.06</v>
      </c>
      <c r="AJ91" s="348">
        <v>2.06</v>
      </c>
      <c r="AK91" s="348">
        <v>2.06</v>
      </c>
      <c r="AL91" s="348">
        <v>2.06</v>
      </c>
      <c r="AM91" s="348">
        <v>2.0499999999999998</v>
      </c>
      <c r="AN91" s="348">
        <v>2.0499999999999998</v>
      </c>
      <c r="AO91" s="348">
        <v>2.0499999999999998</v>
      </c>
      <c r="AP91" s="348">
        <v>2.0499999999999998</v>
      </c>
      <c r="AQ91" s="348">
        <v>2.0499999999999998</v>
      </c>
      <c r="AR91" s="348">
        <v>2.0499999999999998</v>
      </c>
      <c r="AS91" s="348">
        <v>2.04</v>
      </c>
      <c r="AT91" s="348">
        <v>2.04</v>
      </c>
      <c r="AU91" s="348">
        <v>2.04</v>
      </c>
      <c r="AV91" s="348">
        <v>2.04</v>
      </c>
      <c r="AW91" s="348">
        <v>2.0299999999999998</v>
      </c>
      <c r="AX91" s="348">
        <v>2.0299999999999998</v>
      </c>
      <c r="AY91" s="348">
        <v>2.0299999999999998</v>
      </c>
      <c r="AZ91" s="494"/>
      <c r="BB91" s="348">
        <v>1.36</v>
      </c>
    </row>
    <row r="92" spans="1:54">
      <c r="A92" s="109">
        <v>44561</v>
      </c>
      <c r="B92" s="348">
        <v>0.61</v>
      </c>
      <c r="C92" s="348">
        <v>0.66</v>
      </c>
      <c r="D92" s="348">
        <v>0.74</v>
      </c>
      <c r="E92" s="348">
        <v>0.85</v>
      </c>
      <c r="F92" s="348">
        <v>0.96</v>
      </c>
      <c r="G92" s="348">
        <v>1.08</v>
      </c>
      <c r="H92" s="348">
        <v>1.2</v>
      </c>
      <c r="I92" s="348">
        <v>1.32</v>
      </c>
      <c r="J92" s="348">
        <v>1.42</v>
      </c>
      <c r="K92" s="348">
        <v>1.52</v>
      </c>
      <c r="L92" s="348">
        <v>1.62</v>
      </c>
      <c r="M92" s="348">
        <v>1.69</v>
      </c>
      <c r="N92" s="348">
        <v>1.76</v>
      </c>
      <c r="O92" s="348">
        <v>1.82</v>
      </c>
      <c r="P92" s="2205">
        <v>1.87</v>
      </c>
      <c r="Q92" s="348">
        <v>1.91</v>
      </c>
      <c r="R92" s="348">
        <v>1.94</v>
      </c>
      <c r="S92" s="348">
        <v>1.96</v>
      </c>
      <c r="T92" s="348">
        <v>1.99</v>
      </c>
      <c r="U92" s="348">
        <v>2.0099999999999998</v>
      </c>
      <c r="V92" s="348">
        <v>2.02</v>
      </c>
      <c r="W92" s="348">
        <v>2.02</v>
      </c>
      <c r="X92" s="348">
        <v>2.0299999999999998</v>
      </c>
      <c r="Y92" s="348">
        <v>2.04</v>
      </c>
      <c r="Z92" s="348">
        <v>2.04</v>
      </c>
      <c r="AA92" s="348">
        <v>2.04</v>
      </c>
      <c r="AB92" s="348">
        <v>2.04</v>
      </c>
      <c r="AC92" s="348">
        <v>2.04</v>
      </c>
      <c r="AD92" s="348">
        <v>2.04</v>
      </c>
      <c r="AE92" s="348">
        <v>2.04</v>
      </c>
      <c r="AF92" s="348">
        <v>2.0299999999999998</v>
      </c>
      <c r="AG92" s="348">
        <v>2.0299999999999998</v>
      </c>
      <c r="AH92" s="348">
        <v>2.0299999999999998</v>
      </c>
      <c r="AI92" s="348">
        <v>2.0299999999999998</v>
      </c>
      <c r="AJ92" s="348">
        <v>2.0299999999999998</v>
      </c>
      <c r="AK92" s="348">
        <v>2.0299999999999998</v>
      </c>
      <c r="AL92" s="348">
        <v>2.0299999999999998</v>
      </c>
      <c r="AM92" s="348">
        <v>2.02</v>
      </c>
      <c r="AN92" s="348">
        <v>2.02</v>
      </c>
      <c r="AO92" s="348">
        <v>2.02</v>
      </c>
      <c r="AP92" s="348">
        <v>2.02</v>
      </c>
      <c r="AQ92" s="348">
        <v>2.02</v>
      </c>
      <c r="AR92" s="348">
        <v>2.0099999999999998</v>
      </c>
      <c r="AS92" s="348">
        <v>2.0099999999999998</v>
      </c>
      <c r="AT92" s="348">
        <v>2.0099999999999998</v>
      </c>
      <c r="AU92" s="348">
        <v>2.0099999999999998</v>
      </c>
      <c r="AV92" s="348">
        <v>2</v>
      </c>
      <c r="AW92" s="348">
        <v>2</v>
      </c>
      <c r="AX92" s="348">
        <v>2</v>
      </c>
      <c r="AY92" s="348">
        <v>2</v>
      </c>
      <c r="BB92" s="348">
        <v>1.35</v>
      </c>
    </row>
    <row r="93" spans="1:54">
      <c r="A93" s="112">
        <v>44592</v>
      </c>
      <c r="B93" s="348">
        <v>0.59</v>
      </c>
      <c r="C93" s="348">
        <v>0.64</v>
      </c>
      <c r="D93" s="348">
        <v>0.72</v>
      </c>
      <c r="E93" s="348">
        <v>0.83</v>
      </c>
      <c r="F93" s="348">
        <v>0.94</v>
      </c>
      <c r="G93" s="348">
        <v>1.06</v>
      </c>
      <c r="H93" s="348">
        <v>1.18</v>
      </c>
      <c r="I93" s="348">
        <v>1.29</v>
      </c>
      <c r="J93" s="348">
        <v>1.4</v>
      </c>
      <c r="K93" s="348">
        <v>1.5</v>
      </c>
      <c r="L93" s="348">
        <v>1.59</v>
      </c>
      <c r="M93" s="348">
        <v>1.67</v>
      </c>
      <c r="N93" s="348">
        <v>1.74</v>
      </c>
      <c r="O93" s="348">
        <v>1.79</v>
      </c>
      <c r="P93" s="2205">
        <v>1.85</v>
      </c>
      <c r="Q93" s="348">
        <v>1.88</v>
      </c>
      <c r="R93" s="348">
        <v>1.91</v>
      </c>
      <c r="S93" s="348">
        <v>1.94</v>
      </c>
      <c r="T93" s="348">
        <v>1.96</v>
      </c>
      <c r="U93" s="348">
        <v>1.98</v>
      </c>
      <c r="V93" s="348">
        <v>1.99</v>
      </c>
      <c r="W93" s="348">
        <v>2</v>
      </c>
      <c r="X93" s="348">
        <v>2</v>
      </c>
      <c r="Y93" s="348">
        <v>2.0099999999999998</v>
      </c>
      <c r="Z93" s="348">
        <v>2.0099999999999998</v>
      </c>
      <c r="AA93" s="348">
        <v>2.0099999999999998</v>
      </c>
      <c r="AB93" s="348">
        <v>2.0099999999999998</v>
      </c>
      <c r="AC93" s="348">
        <v>2.0099999999999998</v>
      </c>
      <c r="AD93" s="348">
        <v>2.0099999999999998</v>
      </c>
      <c r="AE93" s="348">
        <v>2.0099999999999998</v>
      </c>
      <c r="AF93" s="348">
        <v>2.0099999999999998</v>
      </c>
      <c r="AG93" s="348">
        <v>2.0099999999999998</v>
      </c>
      <c r="AH93" s="348">
        <v>2</v>
      </c>
      <c r="AI93" s="348">
        <v>2</v>
      </c>
      <c r="AJ93" s="348">
        <v>2</v>
      </c>
      <c r="AK93" s="348">
        <v>2</v>
      </c>
      <c r="AL93" s="348">
        <v>2</v>
      </c>
      <c r="AM93" s="348">
        <v>2</v>
      </c>
      <c r="AN93" s="348">
        <v>2</v>
      </c>
      <c r="AO93" s="348">
        <v>1.99</v>
      </c>
      <c r="AP93" s="348">
        <v>1.99</v>
      </c>
      <c r="AQ93" s="348">
        <v>1.99</v>
      </c>
      <c r="AR93" s="348">
        <v>1.99</v>
      </c>
      <c r="AS93" s="348">
        <v>1.98</v>
      </c>
      <c r="AT93" s="348">
        <v>1.98</v>
      </c>
      <c r="AU93" s="348">
        <v>1.98</v>
      </c>
      <c r="AV93" s="348">
        <v>1.98</v>
      </c>
      <c r="AW93" s="348">
        <v>1.98</v>
      </c>
      <c r="AX93" s="348">
        <v>1.97</v>
      </c>
      <c r="AY93" s="348">
        <v>1.97</v>
      </c>
      <c r="BB93" s="348">
        <v>1.34</v>
      </c>
    </row>
    <row r="94" spans="1:54">
      <c r="A94" s="109">
        <v>44620</v>
      </c>
      <c r="B94" s="348">
        <v>0.56999999999999995</v>
      </c>
      <c r="C94" s="348">
        <v>0.62</v>
      </c>
      <c r="D94" s="348">
        <v>0.7</v>
      </c>
      <c r="E94" s="348">
        <v>0.81</v>
      </c>
      <c r="F94" s="348">
        <v>0.92</v>
      </c>
      <c r="G94" s="348">
        <v>1.05</v>
      </c>
      <c r="H94" s="348">
        <v>1.1599999999999999</v>
      </c>
      <c r="I94" s="348">
        <v>1.27</v>
      </c>
      <c r="J94" s="348">
        <v>1.38</v>
      </c>
      <c r="K94" s="348">
        <v>1.48</v>
      </c>
      <c r="L94" s="348">
        <v>1.57</v>
      </c>
      <c r="M94" s="348">
        <v>1.65</v>
      </c>
      <c r="N94" s="348">
        <v>1.72</v>
      </c>
      <c r="O94" s="348">
        <v>1.77</v>
      </c>
      <c r="P94" s="2205">
        <v>1.82</v>
      </c>
      <c r="Q94" s="348">
        <v>1.86</v>
      </c>
      <c r="R94" s="348">
        <v>1.89</v>
      </c>
      <c r="S94" s="348">
        <v>1.92</v>
      </c>
      <c r="T94" s="348">
        <v>1.94</v>
      </c>
      <c r="U94" s="348">
        <v>1.96</v>
      </c>
      <c r="V94" s="348">
        <v>1.97</v>
      </c>
      <c r="W94" s="348">
        <v>1.98</v>
      </c>
      <c r="X94" s="348">
        <v>1.98</v>
      </c>
      <c r="Y94" s="348">
        <v>1.99</v>
      </c>
      <c r="Z94" s="348">
        <v>1.99</v>
      </c>
      <c r="AA94" s="348">
        <v>1.99</v>
      </c>
      <c r="AB94" s="348">
        <v>1.99</v>
      </c>
      <c r="AC94" s="348">
        <v>1.99</v>
      </c>
      <c r="AD94" s="348">
        <v>1.99</v>
      </c>
      <c r="AE94" s="348">
        <v>1.99</v>
      </c>
      <c r="AF94" s="348">
        <v>1.99</v>
      </c>
      <c r="AG94" s="348">
        <v>1.98</v>
      </c>
      <c r="AH94" s="348">
        <v>1.98</v>
      </c>
      <c r="AI94" s="348">
        <v>1.98</v>
      </c>
      <c r="AJ94" s="348">
        <v>1.98</v>
      </c>
      <c r="AK94" s="348">
        <v>1.98</v>
      </c>
      <c r="AL94" s="348">
        <v>1.98</v>
      </c>
      <c r="AM94" s="348">
        <v>1.97</v>
      </c>
      <c r="AN94" s="348">
        <v>1.97</v>
      </c>
      <c r="AO94" s="348">
        <v>1.97</v>
      </c>
      <c r="AP94" s="348">
        <v>1.97</v>
      </c>
      <c r="AQ94" s="348">
        <v>1.97</v>
      </c>
      <c r="AR94" s="348">
        <v>1.96</v>
      </c>
      <c r="AS94" s="348">
        <v>1.96</v>
      </c>
      <c r="AT94" s="348">
        <v>1.96</v>
      </c>
      <c r="AU94" s="348">
        <v>1.96</v>
      </c>
      <c r="AV94" s="348">
        <v>1.95</v>
      </c>
      <c r="AW94" s="348">
        <v>1.95</v>
      </c>
      <c r="AX94" s="348">
        <v>1.95</v>
      </c>
      <c r="AY94" s="348">
        <v>1.95</v>
      </c>
      <c r="BB94" s="348">
        <v>1.35</v>
      </c>
    </row>
    <row r="95" spans="1:54">
      <c r="A95" s="112">
        <v>44651</v>
      </c>
      <c r="B95" s="348">
        <v>0.55000000000000004</v>
      </c>
      <c r="C95" s="348">
        <v>0.61</v>
      </c>
      <c r="D95" s="348">
        <v>0.69</v>
      </c>
      <c r="E95" s="348">
        <v>0.8</v>
      </c>
      <c r="F95" s="348">
        <v>0.91</v>
      </c>
      <c r="G95" s="348">
        <v>1.03</v>
      </c>
      <c r="H95" s="348">
        <v>1.1399999999999999</v>
      </c>
      <c r="I95" s="348">
        <v>1.26</v>
      </c>
      <c r="J95" s="348">
        <v>1.36</v>
      </c>
      <c r="K95" s="348">
        <v>1.46</v>
      </c>
      <c r="L95" s="348">
        <v>1.55</v>
      </c>
      <c r="M95" s="348">
        <v>1.63</v>
      </c>
      <c r="N95" s="348">
        <v>1.7</v>
      </c>
      <c r="O95" s="348">
        <v>1.75</v>
      </c>
      <c r="P95" s="2205">
        <v>1.81</v>
      </c>
      <c r="Q95" s="348">
        <v>1.84</v>
      </c>
      <c r="R95" s="348">
        <v>1.87</v>
      </c>
      <c r="S95" s="348">
        <v>1.9</v>
      </c>
      <c r="T95" s="348">
        <v>1.92</v>
      </c>
      <c r="U95" s="348">
        <v>1.94</v>
      </c>
      <c r="V95" s="348">
        <v>1.95</v>
      </c>
      <c r="W95" s="348">
        <v>1.96</v>
      </c>
      <c r="X95" s="348">
        <v>1.96</v>
      </c>
      <c r="Y95" s="348">
        <v>1.97</v>
      </c>
      <c r="Z95" s="348">
        <v>1.97</v>
      </c>
      <c r="AA95" s="348">
        <v>1.97</v>
      </c>
      <c r="AB95" s="348">
        <v>1.97</v>
      </c>
      <c r="AC95" s="348">
        <v>1.97</v>
      </c>
      <c r="AD95" s="348">
        <v>1.97</v>
      </c>
      <c r="AE95" s="348">
        <v>1.97</v>
      </c>
      <c r="AF95" s="348">
        <v>1.96</v>
      </c>
      <c r="AG95" s="348">
        <v>1.96</v>
      </c>
      <c r="AH95" s="348">
        <v>1.96</v>
      </c>
      <c r="AI95" s="348">
        <v>1.96</v>
      </c>
      <c r="AJ95" s="348">
        <v>1.96</v>
      </c>
      <c r="AK95" s="348">
        <v>1.96</v>
      </c>
      <c r="AL95" s="348">
        <v>1.95</v>
      </c>
      <c r="AM95" s="348">
        <v>1.95</v>
      </c>
      <c r="AN95" s="348">
        <v>1.95</v>
      </c>
      <c r="AO95" s="348">
        <v>1.95</v>
      </c>
      <c r="AP95" s="348">
        <v>1.95</v>
      </c>
      <c r="AQ95" s="348">
        <v>1.94</v>
      </c>
      <c r="AR95" s="348">
        <v>1.94</v>
      </c>
      <c r="AS95" s="348">
        <v>1.94</v>
      </c>
      <c r="AT95" s="348">
        <v>1.94</v>
      </c>
      <c r="AU95" s="348">
        <v>1.93</v>
      </c>
      <c r="AV95" s="348">
        <v>1.93</v>
      </c>
      <c r="AW95" s="348">
        <v>1.93</v>
      </c>
      <c r="AX95" s="348">
        <v>1.93</v>
      </c>
      <c r="AY95" s="348">
        <v>1.93</v>
      </c>
      <c r="BB95" s="348">
        <v>1.35</v>
      </c>
    </row>
    <row r="96" spans="1:54">
      <c r="A96" s="109">
        <v>44681</v>
      </c>
      <c r="B96" s="348">
        <v>0.54</v>
      </c>
      <c r="C96" s="348">
        <v>0.6</v>
      </c>
      <c r="D96" s="348">
        <v>0.69</v>
      </c>
      <c r="E96" s="348">
        <v>0.79</v>
      </c>
      <c r="F96" s="348">
        <v>0.9</v>
      </c>
      <c r="G96" s="348">
        <v>1.02</v>
      </c>
      <c r="H96" s="348">
        <v>1.1399999999999999</v>
      </c>
      <c r="I96" s="348">
        <v>1.25</v>
      </c>
      <c r="J96" s="348">
        <v>1.35</v>
      </c>
      <c r="K96" s="348">
        <v>1.45</v>
      </c>
      <c r="L96" s="348">
        <v>1.54</v>
      </c>
      <c r="M96" s="348">
        <v>1.62</v>
      </c>
      <c r="N96" s="348">
        <v>1.68</v>
      </c>
      <c r="O96" s="348">
        <v>1.74</v>
      </c>
      <c r="P96" s="2205">
        <v>1.79</v>
      </c>
      <c r="Q96" s="348">
        <v>1.83</v>
      </c>
      <c r="R96" s="348">
        <v>1.85</v>
      </c>
      <c r="S96" s="348">
        <v>1.88</v>
      </c>
      <c r="T96" s="348">
        <v>1.9</v>
      </c>
      <c r="U96" s="348">
        <v>1.93</v>
      </c>
      <c r="V96" s="348">
        <v>1.93</v>
      </c>
      <c r="W96" s="348">
        <v>1.94</v>
      </c>
      <c r="X96" s="348">
        <v>1.95</v>
      </c>
      <c r="Y96" s="348">
        <v>1.95</v>
      </c>
      <c r="Z96" s="348">
        <v>1.96</v>
      </c>
      <c r="AA96" s="348">
        <v>1.96</v>
      </c>
      <c r="AB96" s="348">
        <v>1.95</v>
      </c>
      <c r="AC96" s="348">
        <v>1.95</v>
      </c>
      <c r="AD96" s="348">
        <v>1.95</v>
      </c>
      <c r="AE96" s="348">
        <v>1.95</v>
      </c>
      <c r="AF96" s="348">
        <v>1.95</v>
      </c>
      <c r="AG96" s="348">
        <v>1.95</v>
      </c>
      <c r="AH96" s="348">
        <v>1.94</v>
      </c>
      <c r="AI96" s="348">
        <v>1.94</v>
      </c>
      <c r="AJ96" s="348">
        <v>1.94</v>
      </c>
      <c r="AK96" s="348">
        <v>1.94</v>
      </c>
      <c r="AL96" s="348">
        <v>1.94</v>
      </c>
      <c r="AM96" s="348">
        <v>1.94</v>
      </c>
      <c r="AN96" s="348">
        <v>1.93</v>
      </c>
      <c r="AO96" s="348">
        <v>1.93</v>
      </c>
      <c r="AP96" s="348">
        <v>1.93</v>
      </c>
      <c r="AQ96" s="348">
        <v>1.93</v>
      </c>
      <c r="AR96" s="348">
        <v>1.92</v>
      </c>
      <c r="AS96" s="348">
        <v>1.92</v>
      </c>
      <c r="AT96" s="348">
        <v>1.92</v>
      </c>
      <c r="AU96" s="348">
        <v>1.91</v>
      </c>
      <c r="AV96" s="348">
        <v>1.91</v>
      </c>
      <c r="AW96" s="348">
        <v>1.91</v>
      </c>
      <c r="AX96" s="348">
        <v>1.91</v>
      </c>
      <c r="AY96" s="348">
        <v>1.91</v>
      </c>
      <c r="BB96" s="348">
        <v>1.36</v>
      </c>
    </row>
    <row r="97" spans="1:54">
      <c r="A97" s="112">
        <v>44712</v>
      </c>
      <c r="B97" s="348">
        <v>0.53</v>
      </c>
      <c r="C97" s="348">
        <v>0.6</v>
      </c>
      <c r="D97" s="348">
        <v>0.68</v>
      </c>
      <c r="E97" s="348">
        <v>0.79</v>
      </c>
      <c r="F97" s="348">
        <v>0.9</v>
      </c>
      <c r="G97" s="348">
        <v>1.02</v>
      </c>
      <c r="H97" s="348">
        <v>1.1299999999999999</v>
      </c>
      <c r="I97" s="348">
        <v>1.24</v>
      </c>
      <c r="J97" s="348">
        <v>1.35</v>
      </c>
      <c r="K97" s="348">
        <v>1.45</v>
      </c>
      <c r="L97" s="348">
        <v>1.54</v>
      </c>
      <c r="M97" s="348">
        <v>1.61</v>
      </c>
      <c r="N97" s="348">
        <v>1.68</v>
      </c>
      <c r="O97" s="348">
        <v>1.74</v>
      </c>
      <c r="P97" s="2205">
        <v>1.79</v>
      </c>
      <c r="Q97" s="348">
        <v>1.82</v>
      </c>
      <c r="R97" s="348">
        <v>1.85</v>
      </c>
      <c r="S97" s="348">
        <v>1.88</v>
      </c>
      <c r="T97" s="348">
        <v>1.9</v>
      </c>
      <c r="U97" s="348">
        <v>1.92</v>
      </c>
      <c r="V97" s="348">
        <v>1.93</v>
      </c>
      <c r="W97" s="348">
        <v>1.93</v>
      </c>
      <c r="X97" s="348">
        <v>1.94</v>
      </c>
      <c r="Y97" s="348">
        <v>1.95</v>
      </c>
      <c r="Z97" s="348">
        <v>1.95</v>
      </c>
      <c r="AA97" s="348">
        <v>1.95</v>
      </c>
      <c r="AB97" s="348">
        <v>1.95</v>
      </c>
      <c r="AC97" s="348">
        <v>1.95</v>
      </c>
      <c r="AD97" s="348">
        <v>1.94</v>
      </c>
      <c r="AE97" s="348">
        <v>1.94</v>
      </c>
      <c r="AF97" s="348">
        <v>1.94</v>
      </c>
      <c r="AG97" s="348">
        <v>1.94</v>
      </c>
      <c r="AH97" s="348">
        <v>1.94</v>
      </c>
      <c r="AI97" s="348">
        <v>1.93</v>
      </c>
      <c r="AJ97" s="348">
        <v>1.93</v>
      </c>
      <c r="AK97" s="348">
        <v>1.93</v>
      </c>
      <c r="AL97" s="348">
        <v>1.93</v>
      </c>
      <c r="AM97" s="348">
        <v>1.93</v>
      </c>
      <c r="AN97" s="348">
        <v>1.93</v>
      </c>
      <c r="AO97" s="348">
        <v>1.92</v>
      </c>
      <c r="AP97" s="348">
        <v>1.92</v>
      </c>
      <c r="AQ97" s="348">
        <v>1.92</v>
      </c>
      <c r="AR97" s="348">
        <v>1.91</v>
      </c>
      <c r="AS97" s="348">
        <v>1.91</v>
      </c>
      <c r="AT97" s="348">
        <v>1.91</v>
      </c>
      <c r="AU97" s="348">
        <v>1.91</v>
      </c>
      <c r="AV97" s="348">
        <v>1.9</v>
      </c>
      <c r="AW97" s="348">
        <v>1.9</v>
      </c>
      <c r="AX97" s="348">
        <v>1.9</v>
      </c>
      <c r="AY97" s="348">
        <v>1.9</v>
      </c>
      <c r="BB97" s="348">
        <v>1.37</v>
      </c>
    </row>
    <row r="98" spans="1:54">
      <c r="A98" s="109">
        <v>44742</v>
      </c>
      <c r="B98" s="348">
        <v>0.52</v>
      </c>
      <c r="C98" s="348">
        <v>0.6</v>
      </c>
      <c r="D98" s="348">
        <v>0.69</v>
      </c>
      <c r="E98" s="348">
        <v>0.79</v>
      </c>
      <c r="F98" s="348">
        <v>0.9</v>
      </c>
      <c r="G98" s="348">
        <v>1.02</v>
      </c>
      <c r="H98" s="348">
        <v>1.1299999999999999</v>
      </c>
      <c r="I98" s="348">
        <v>1.24</v>
      </c>
      <c r="J98" s="348">
        <v>1.35</v>
      </c>
      <c r="K98" s="348">
        <v>1.44</v>
      </c>
      <c r="L98" s="348">
        <v>1.53</v>
      </c>
      <c r="M98" s="348">
        <v>1.61</v>
      </c>
      <c r="N98" s="348">
        <v>1.68</v>
      </c>
      <c r="O98" s="348">
        <v>1.73</v>
      </c>
      <c r="P98" s="2205">
        <v>1.78</v>
      </c>
      <c r="Q98" s="348">
        <v>1.82</v>
      </c>
      <c r="R98" s="348">
        <v>1.85</v>
      </c>
      <c r="S98" s="348">
        <v>1.87</v>
      </c>
      <c r="T98" s="348">
        <v>1.9</v>
      </c>
      <c r="U98" s="348">
        <v>1.92</v>
      </c>
      <c r="V98" s="348">
        <v>1.92</v>
      </c>
      <c r="W98" s="348">
        <v>1.93</v>
      </c>
      <c r="X98" s="348">
        <v>1.94</v>
      </c>
      <c r="Y98" s="348">
        <v>1.94</v>
      </c>
      <c r="Z98" s="348">
        <v>1.95</v>
      </c>
      <c r="AA98" s="348">
        <v>1.94</v>
      </c>
      <c r="AB98" s="348">
        <v>1.94</v>
      </c>
      <c r="AC98" s="348">
        <v>1.94</v>
      </c>
      <c r="AD98" s="348">
        <v>1.94</v>
      </c>
      <c r="AE98" s="348">
        <v>1.94</v>
      </c>
      <c r="AF98" s="348">
        <v>1.93</v>
      </c>
      <c r="AG98" s="348">
        <v>1.93</v>
      </c>
      <c r="AH98" s="348">
        <v>1.93</v>
      </c>
      <c r="AI98" s="348">
        <v>1.93</v>
      </c>
      <c r="AJ98" s="348">
        <v>1.92</v>
      </c>
      <c r="AK98" s="348">
        <v>1.92</v>
      </c>
      <c r="AL98" s="348">
        <v>1.92</v>
      </c>
      <c r="AM98" s="348">
        <v>1.92</v>
      </c>
      <c r="AN98" s="348">
        <v>1.92</v>
      </c>
      <c r="AO98" s="348">
        <v>1.92</v>
      </c>
      <c r="AP98" s="348">
        <v>1.91</v>
      </c>
      <c r="AQ98" s="348">
        <v>1.91</v>
      </c>
      <c r="AR98" s="348">
        <v>1.9</v>
      </c>
      <c r="AS98" s="348">
        <v>1.9</v>
      </c>
      <c r="AT98" s="348">
        <v>1.9</v>
      </c>
      <c r="AU98" s="348">
        <v>1.9</v>
      </c>
      <c r="AV98" s="348">
        <v>1.89</v>
      </c>
      <c r="AW98" s="348">
        <v>1.89</v>
      </c>
      <c r="AX98" s="348">
        <v>1.89</v>
      </c>
      <c r="AY98" s="348">
        <v>1.89</v>
      </c>
      <c r="BB98" s="348">
        <v>1.38</v>
      </c>
    </row>
    <row r="99" spans="1:54">
      <c r="A99" s="112">
        <v>44773</v>
      </c>
      <c r="B99" s="348">
        <v>0.52</v>
      </c>
      <c r="C99" s="348">
        <v>0.6</v>
      </c>
      <c r="D99" s="348">
        <v>0.69</v>
      </c>
      <c r="E99" s="348">
        <v>0.79</v>
      </c>
      <c r="F99" s="348">
        <v>0.9</v>
      </c>
      <c r="G99" s="348">
        <v>1.02</v>
      </c>
      <c r="H99" s="348">
        <v>1.1299999999999999</v>
      </c>
      <c r="I99" s="348">
        <v>1.24</v>
      </c>
      <c r="J99" s="348">
        <v>1.34</v>
      </c>
      <c r="K99" s="348">
        <v>1.44</v>
      </c>
      <c r="L99" s="348">
        <v>1.53</v>
      </c>
      <c r="M99" s="348">
        <v>1.6</v>
      </c>
      <c r="N99" s="348">
        <v>1.67</v>
      </c>
      <c r="O99" s="348">
        <v>1.73</v>
      </c>
      <c r="P99" s="2205">
        <v>1.78</v>
      </c>
      <c r="Q99" s="348">
        <v>1.81</v>
      </c>
      <c r="R99" s="348">
        <v>1.84</v>
      </c>
      <c r="S99" s="348">
        <v>1.86</v>
      </c>
      <c r="T99" s="348">
        <v>1.89</v>
      </c>
      <c r="U99" s="348">
        <v>1.91</v>
      </c>
      <c r="V99" s="348">
        <v>1.91</v>
      </c>
      <c r="W99" s="348">
        <v>1.92</v>
      </c>
      <c r="X99" s="348">
        <v>1.93</v>
      </c>
      <c r="Y99" s="348">
        <v>1.93</v>
      </c>
      <c r="Z99" s="348">
        <v>1.93</v>
      </c>
      <c r="AA99" s="348">
        <v>1.93</v>
      </c>
      <c r="AB99" s="348">
        <v>1.93</v>
      </c>
      <c r="AC99" s="348">
        <v>1.93</v>
      </c>
      <c r="AD99" s="348">
        <v>1.93</v>
      </c>
      <c r="AE99" s="348">
        <v>1.93</v>
      </c>
      <c r="AF99" s="348">
        <v>1.92</v>
      </c>
      <c r="AG99" s="348">
        <v>1.92</v>
      </c>
      <c r="AH99" s="348">
        <v>1.92</v>
      </c>
      <c r="AI99" s="348">
        <v>1.91</v>
      </c>
      <c r="AJ99" s="348">
        <v>1.91</v>
      </c>
      <c r="AK99" s="348">
        <v>1.91</v>
      </c>
      <c r="AL99" s="348">
        <v>1.91</v>
      </c>
      <c r="AM99" s="348">
        <v>1.9</v>
      </c>
      <c r="AN99" s="348">
        <v>1.9</v>
      </c>
      <c r="AO99" s="348">
        <v>1.9</v>
      </c>
      <c r="AP99" s="348">
        <v>1.9</v>
      </c>
      <c r="AQ99" s="348">
        <v>1.89</v>
      </c>
      <c r="AR99" s="348">
        <v>1.89</v>
      </c>
      <c r="AS99" s="348">
        <v>1.89</v>
      </c>
      <c r="AT99" s="348">
        <v>1.88</v>
      </c>
      <c r="AU99" s="348">
        <v>1.88</v>
      </c>
      <c r="AV99" s="348">
        <v>1.88</v>
      </c>
      <c r="AW99" s="348">
        <v>1.87</v>
      </c>
      <c r="AX99" s="348">
        <v>1.87</v>
      </c>
      <c r="AY99" s="348">
        <v>1.87</v>
      </c>
      <c r="BB99" s="348">
        <v>1.38</v>
      </c>
    </row>
    <row r="100" spans="1:54">
      <c r="A100" s="760">
        <v>44804</v>
      </c>
      <c r="B100" s="348">
        <v>0.53</v>
      </c>
      <c r="C100" s="348">
        <v>0.61</v>
      </c>
      <c r="D100" s="348">
        <v>0.69</v>
      </c>
      <c r="E100" s="348">
        <v>0.8</v>
      </c>
      <c r="F100" s="348">
        <v>0.91</v>
      </c>
      <c r="G100" s="348">
        <v>1.02</v>
      </c>
      <c r="H100" s="348">
        <v>1.1299999999999999</v>
      </c>
      <c r="I100" s="348">
        <v>1.24</v>
      </c>
      <c r="J100" s="348">
        <v>1.34</v>
      </c>
      <c r="K100" s="348">
        <v>1.44</v>
      </c>
      <c r="L100" s="348">
        <v>1.53</v>
      </c>
      <c r="M100" s="348">
        <v>1.6</v>
      </c>
      <c r="N100" s="348">
        <v>1.67</v>
      </c>
      <c r="O100" s="348">
        <v>1.72</v>
      </c>
      <c r="P100" s="2205">
        <v>1.77</v>
      </c>
      <c r="Q100" s="348">
        <v>1.81</v>
      </c>
      <c r="R100" s="348">
        <v>1.84</v>
      </c>
      <c r="S100" s="348">
        <v>1.86</v>
      </c>
      <c r="T100" s="348">
        <v>1.88</v>
      </c>
      <c r="U100" s="348">
        <v>1.9</v>
      </c>
      <c r="V100" s="348">
        <v>1.91</v>
      </c>
      <c r="W100" s="348">
        <v>1.92</v>
      </c>
      <c r="X100" s="348">
        <v>1.92</v>
      </c>
      <c r="Y100" s="348">
        <v>1.93</v>
      </c>
      <c r="Z100" s="348">
        <v>1.93</v>
      </c>
      <c r="AA100" s="348">
        <v>1.93</v>
      </c>
      <c r="AB100" s="348">
        <v>1.92</v>
      </c>
      <c r="AC100" s="348">
        <v>1.92</v>
      </c>
      <c r="AD100" s="348">
        <v>1.92</v>
      </c>
      <c r="AE100" s="348">
        <v>1.92</v>
      </c>
      <c r="AF100" s="348">
        <v>1.92</v>
      </c>
      <c r="AG100" s="348">
        <v>1.91</v>
      </c>
      <c r="AH100" s="348">
        <v>1.91</v>
      </c>
      <c r="AI100" s="348">
        <v>1.91</v>
      </c>
      <c r="AJ100" s="348">
        <v>1.9</v>
      </c>
      <c r="AK100" s="348">
        <v>1.9</v>
      </c>
      <c r="AL100" s="348">
        <v>1.9</v>
      </c>
      <c r="AM100" s="348">
        <v>1.9</v>
      </c>
      <c r="AN100" s="348">
        <v>1.89</v>
      </c>
      <c r="AO100" s="348">
        <v>1.89</v>
      </c>
      <c r="AP100" s="348">
        <v>1.89</v>
      </c>
      <c r="AQ100" s="348">
        <v>1.88</v>
      </c>
      <c r="AR100" s="348">
        <v>1.88</v>
      </c>
      <c r="AS100" s="348">
        <v>1.88</v>
      </c>
      <c r="AT100" s="348">
        <v>1.87</v>
      </c>
      <c r="AU100" s="348">
        <v>1.87</v>
      </c>
      <c r="AV100" s="348">
        <v>1.87</v>
      </c>
      <c r="AW100" s="348">
        <v>1.86</v>
      </c>
      <c r="AX100" s="348">
        <v>1.86</v>
      </c>
      <c r="AY100" s="348">
        <v>1.86</v>
      </c>
      <c r="BB100" s="71">
        <v>1.38</v>
      </c>
    </row>
    <row r="101" spans="1:54">
      <c r="A101" s="760">
        <v>44834</v>
      </c>
      <c r="B101" s="348">
        <v>0.54</v>
      </c>
      <c r="C101" s="348">
        <v>0.62</v>
      </c>
      <c r="D101" s="348">
        <v>0.71</v>
      </c>
      <c r="E101" s="348">
        <v>0.81</v>
      </c>
      <c r="F101" s="348">
        <v>0.92</v>
      </c>
      <c r="G101" s="348">
        <v>1.03</v>
      </c>
      <c r="H101" s="348">
        <v>1.1399999999999999</v>
      </c>
      <c r="I101" s="348">
        <v>1.25</v>
      </c>
      <c r="J101" s="348">
        <v>1.35</v>
      </c>
      <c r="K101" s="348">
        <v>1.45</v>
      </c>
      <c r="L101" s="348">
        <v>1.53</v>
      </c>
      <c r="M101" s="348">
        <v>1.61</v>
      </c>
      <c r="N101" s="348">
        <v>1.67</v>
      </c>
      <c r="O101" s="348">
        <v>1.73</v>
      </c>
      <c r="P101" s="2205">
        <v>1.78</v>
      </c>
      <c r="Q101" s="348">
        <v>1.81</v>
      </c>
      <c r="R101" s="348">
        <v>1.84</v>
      </c>
      <c r="S101" s="348">
        <v>1.86</v>
      </c>
      <c r="T101" s="348">
        <v>1.88</v>
      </c>
      <c r="U101" s="348">
        <v>1.9</v>
      </c>
      <c r="V101" s="348">
        <v>1.91</v>
      </c>
      <c r="W101" s="348">
        <v>1.91</v>
      </c>
      <c r="X101" s="348">
        <v>1.92</v>
      </c>
      <c r="Y101" s="348">
        <v>1.92</v>
      </c>
      <c r="Z101" s="348">
        <v>1.93</v>
      </c>
      <c r="AA101" s="348">
        <v>1.92</v>
      </c>
      <c r="AB101" s="348">
        <v>1.92</v>
      </c>
      <c r="AC101" s="348">
        <v>1.92</v>
      </c>
      <c r="AD101" s="348">
        <v>1.92</v>
      </c>
      <c r="AE101" s="348">
        <v>1.91</v>
      </c>
      <c r="AF101" s="348">
        <v>1.91</v>
      </c>
      <c r="AG101" s="348">
        <v>1.91</v>
      </c>
      <c r="AH101" s="348">
        <v>1.9</v>
      </c>
      <c r="AI101" s="348">
        <v>1.9</v>
      </c>
      <c r="AJ101" s="348">
        <v>1.9</v>
      </c>
      <c r="AK101" s="348">
        <v>1.89</v>
      </c>
      <c r="AL101" s="348">
        <v>1.89</v>
      </c>
      <c r="AM101" s="348">
        <v>1.89</v>
      </c>
      <c r="AN101" s="348">
        <v>1.89</v>
      </c>
      <c r="AO101" s="348">
        <v>1.88</v>
      </c>
      <c r="AP101" s="348">
        <v>1.88</v>
      </c>
      <c r="AQ101" s="348">
        <v>1.87</v>
      </c>
      <c r="AR101" s="348">
        <v>1.87</v>
      </c>
      <c r="AS101" s="348">
        <v>1.87</v>
      </c>
      <c r="AT101" s="348">
        <v>1.86</v>
      </c>
      <c r="AU101" s="348">
        <v>1.86</v>
      </c>
      <c r="AV101" s="348">
        <v>1.85</v>
      </c>
      <c r="AW101" s="348">
        <v>1.85</v>
      </c>
      <c r="AX101" s="348">
        <v>1.85</v>
      </c>
      <c r="AY101" s="348">
        <v>1.84</v>
      </c>
    </row>
    <row r="102" spans="1:54">
      <c r="A102" s="760">
        <v>44865</v>
      </c>
      <c r="B102" s="348">
        <v>0.56000000000000005</v>
      </c>
      <c r="C102" s="348">
        <v>0.64</v>
      </c>
      <c r="D102" s="348">
        <v>0.73</v>
      </c>
      <c r="E102" s="348">
        <v>0.83</v>
      </c>
      <c r="F102" s="348">
        <v>0.93</v>
      </c>
      <c r="G102" s="348">
        <v>1.04</v>
      </c>
      <c r="H102" s="348">
        <v>1.1499999999999999</v>
      </c>
      <c r="I102" s="348">
        <v>1.26</v>
      </c>
      <c r="J102" s="348">
        <v>1.36</v>
      </c>
      <c r="K102" s="348">
        <v>1.45</v>
      </c>
      <c r="L102" s="348">
        <v>1.54</v>
      </c>
      <c r="M102" s="348">
        <v>1.61</v>
      </c>
      <c r="N102" s="348">
        <v>1.68</v>
      </c>
      <c r="O102" s="348">
        <v>1.73</v>
      </c>
      <c r="P102" s="2205">
        <v>1.78</v>
      </c>
      <c r="Q102" s="348">
        <v>1.81</v>
      </c>
      <c r="R102" s="348">
        <v>1.84</v>
      </c>
      <c r="S102" s="348">
        <v>1.86</v>
      </c>
      <c r="T102" s="348">
        <v>1.88</v>
      </c>
      <c r="U102" s="348">
        <v>1.9</v>
      </c>
      <c r="V102" s="348">
        <v>1.91</v>
      </c>
      <c r="W102" s="348">
        <v>1.91</v>
      </c>
      <c r="X102" s="348">
        <v>1.92</v>
      </c>
      <c r="Y102" s="348">
        <v>1.92</v>
      </c>
      <c r="Z102" s="348">
        <v>1.92</v>
      </c>
      <c r="AA102" s="348">
        <v>1.92</v>
      </c>
      <c r="AB102" s="348">
        <v>1.92</v>
      </c>
      <c r="AC102" s="348">
        <v>1.91</v>
      </c>
      <c r="AD102" s="348">
        <v>1.91</v>
      </c>
      <c r="AE102" s="348">
        <v>1.91</v>
      </c>
      <c r="AF102" s="348">
        <v>1.91</v>
      </c>
      <c r="AG102" s="348">
        <v>1.9</v>
      </c>
      <c r="AH102" s="348">
        <v>1.9</v>
      </c>
      <c r="AI102" s="348">
        <v>1.89</v>
      </c>
      <c r="AJ102" s="348">
        <v>1.89</v>
      </c>
      <c r="AK102" s="348">
        <v>1.89</v>
      </c>
      <c r="AL102" s="348">
        <v>1.88</v>
      </c>
      <c r="AM102" s="348">
        <v>1.88</v>
      </c>
      <c r="AN102" s="348">
        <v>1.88</v>
      </c>
      <c r="AO102" s="348">
        <v>1.88</v>
      </c>
      <c r="AP102" s="348">
        <v>1.87</v>
      </c>
      <c r="AQ102" s="348">
        <v>1.87</v>
      </c>
      <c r="AR102" s="348">
        <v>1.86</v>
      </c>
      <c r="AS102" s="348">
        <v>1.86</v>
      </c>
      <c r="AT102" s="348">
        <v>1.85</v>
      </c>
      <c r="AU102" s="348">
        <v>1.85</v>
      </c>
      <c r="AV102" s="348">
        <v>1.84</v>
      </c>
      <c r="AW102" s="348">
        <v>1.84</v>
      </c>
      <c r="AX102" s="348">
        <v>1.84</v>
      </c>
      <c r="AY102" s="348">
        <v>1.83</v>
      </c>
    </row>
    <row r="103" spans="1:54">
      <c r="A103" s="760">
        <v>44895</v>
      </c>
      <c r="B103" s="348">
        <v>0.56999999999999995</v>
      </c>
      <c r="C103" s="348">
        <v>0.66</v>
      </c>
      <c r="D103" s="348">
        <v>0.74</v>
      </c>
      <c r="E103" s="348">
        <v>0.84</v>
      </c>
      <c r="F103" s="348">
        <v>0.94</v>
      </c>
      <c r="G103" s="348">
        <v>1.05</v>
      </c>
      <c r="H103" s="348">
        <v>1.1599999999999999</v>
      </c>
      <c r="I103" s="348">
        <v>1.26</v>
      </c>
      <c r="J103" s="348">
        <v>1.36</v>
      </c>
      <c r="K103" s="348">
        <v>1.46</v>
      </c>
      <c r="L103" s="348">
        <v>1.54</v>
      </c>
      <c r="M103" s="348">
        <v>1.61</v>
      </c>
      <c r="N103" s="348">
        <v>1.68</v>
      </c>
      <c r="O103" s="348">
        <v>1.73</v>
      </c>
      <c r="P103" s="2205">
        <v>1.78</v>
      </c>
      <c r="Q103" s="348">
        <v>1.81</v>
      </c>
      <c r="R103" s="348">
        <v>1.84</v>
      </c>
      <c r="S103" s="348">
        <v>1.86</v>
      </c>
      <c r="T103" s="348">
        <v>1.88</v>
      </c>
      <c r="U103" s="348">
        <v>1.9</v>
      </c>
      <c r="V103" s="348">
        <v>1.91</v>
      </c>
      <c r="W103" s="348">
        <v>1.91</v>
      </c>
      <c r="X103" s="348">
        <v>1.91</v>
      </c>
      <c r="Y103" s="348">
        <v>1.92</v>
      </c>
      <c r="Z103" s="348">
        <v>1.92</v>
      </c>
      <c r="AA103" s="348">
        <v>1.91</v>
      </c>
      <c r="AB103" s="348">
        <v>1.91</v>
      </c>
      <c r="AC103" s="348">
        <v>1.91</v>
      </c>
      <c r="AD103" s="348">
        <v>1.9</v>
      </c>
      <c r="AE103" s="348">
        <v>1.9</v>
      </c>
      <c r="AF103" s="348">
        <v>1.9</v>
      </c>
      <c r="AG103" s="348">
        <v>1.89</v>
      </c>
      <c r="AH103" s="348">
        <v>1.89</v>
      </c>
      <c r="AI103" s="348">
        <v>1.88</v>
      </c>
      <c r="AJ103" s="348">
        <v>1.88</v>
      </c>
      <c r="AK103" s="348">
        <v>1.88</v>
      </c>
      <c r="AL103" s="348">
        <v>1.87</v>
      </c>
      <c r="AM103" s="348">
        <v>1.87</v>
      </c>
      <c r="AN103" s="348">
        <v>1.87</v>
      </c>
      <c r="AO103" s="348">
        <v>1.87</v>
      </c>
      <c r="AP103" s="348">
        <v>1.86</v>
      </c>
      <c r="AQ103" s="348">
        <v>1.85</v>
      </c>
      <c r="AR103" s="348">
        <v>1.85</v>
      </c>
      <c r="AS103" s="348">
        <v>1.84</v>
      </c>
      <c r="AT103" s="348">
        <v>1.84</v>
      </c>
      <c r="AU103" s="348">
        <v>1.84</v>
      </c>
      <c r="AV103" s="348">
        <v>1.83</v>
      </c>
      <c r="AW103" s="348">
        <v>1.83</v>
      </c>
      <c r="AX103" s="348">
        <v>1.82</v>
      </c>
      <c r="AY103" s="348">
        <v>1.82</v>
      </c>
    </row>
    <row r="104" spans="1:54">
      <c r="A104" s="760">
        <v>44926</v>
      </c>
      <c r="B104" s="348">
        <v>0.59</v>
      </c>
      <c r="C104" s="348">
        <v>0.68</v>
      </c>
      <c r="D104" s="348">
        <v>0.76</v>
      </c>
      <c r="E104" s="348">
        <v>0.86</v>
      </c>
      <c r="F104" s="348">
        <v>0.96</v>
      </c>
      <c r="G104" s="348">
        <v>1.07</v>
      </c>
      <c r="H104" s="348">
        <v>1.17</v>
      </c>
      <c r="I104" s="348">
        <v>1.27</v>
      </c>
      <c r="J104" s="348">
        <v>1.37</v>
      </c>
      <c r="K104" s="348">
        <v>1.47</v>
      </c>
      <c r="L104" s="348">
        <v>1.55</v>
      </c>
      <c r="M104" s="348">
        <v>1.62</v>
      </c>
      <c r="N104" s="348">
        <v>1.68</v>
      </c>
      <c r="O104" s="348">
        <v>1.74</v>
      </c>
      <c r="P104" s="2205">
        <v>1.78</v>
      </c>
      <c r="Q104" s="348">
        <v>1.81</v>
      </c>
      <c r="R104" s="348">
        <v>1.84</v>
      </c>
      <c r="S104" s="348">
        <v>1.86</v>
      </c>
      <c r="T104" s="348">
        <v>1.88</v>
      </c>
      <c r="U104" s="348">
        <v>1.9</v>
      </c>
      <c r="V104" s="348">
        <v>1.91</v>
      </c>
      <c r="W104" s="348">
        <v>1.91</v>
      </c>
      <c r="X104" s="348">
        <v>1.91</v>
      </c>
      <c r="Y104" s="348">
        <v>1.91</v>
      </c>
      <c r="Z104" s="348">
        <v>1.92</v>
      </c>
      <c r="AA104" s="348">
        <v>1.91</v>
      </c>
      <c r="AB104" s="348">
        <v>1.91</v>
      </c>
      <c r="AC104" s="348">
        <v>1.9</v>
      </c>
      <c r="AD104" s="348">
        <v>1.9</v>
      </c>
      <c r="AE104" s="348">
        <v>1.9</v>
      </c>
      <c r="AF104" s="348">
        <v>1.89</v>
      </c>
      <c r="AG104" s="348">
        <v>1.89</v>
      </c>
      <c r="AH104" s="348">
        <v>1.88</v>
      </c>
      <c r="AI104" s="348">
        <v>1.88</v>
      </c>
      <c r="AJ104" s="348">
        <v>1.87</v>
      </c>
      <c r="AK104" s="348">
        <v>1.87</v>
      </c>
      <c r="AL104" s="348">
        <v>1.87</v>
      </c>
      <c r="AM104" s="348">
        <v>1.86</v>
      </c>
      <c r="AN104" s="348">
        <v>1.86</v>
      </c>
      <c r="AO104" s="348">
        <v>1.86</v>
      </c>
      <c r="AP104" s="348">
        <v>1.85</v>
      </c>
      <c r="AQ104" s="348">
        <v>1.85</v>
      </c>
      <c r="AR104" s="348">
        <v>1.84</v>
      </c>
      <c r="AS104" s="348">
        <v>1.84</v>
      </c>
      <c r="AT104" s="348">
        <v>1.83</v>
      </c>
      <c r="AU104" s="348">
        <v>1.83</v>
      </c>
      <c r="AV104" s="348">
        <v>1.82</v>
      </c>
      <c r="AW104" s="348">
        <v>1.82</v>
      </c>
      <c r="AX104" s="348">
        <v>1.81</v>
      </c>
      <c r="AY104" s="348">
        <v>1.81</v>
      </c>
      <c r="AZ104" s="494"/>
    </row>
    <row r="105" spans="1:54">
      <c r="A105" s="760">
        <v>44957</v>
      </c>
      <c r="B105" s="348">
        <v>0.62</v>
      </c>
      <c r="C105" s="348">
        <v>0.7</v>
      </c>
      <c r="D105" s="348">
        <v>0.77</v>
      </c>
      <c r="E105" s="348">
        <v>0.87</v>
      </c>
      <c r="F105" s="348">
        <v>0.97</v>
      </c>
      <c r="G105" s="348">
        <v>1.08</v>
      </c>
      <c r="H105" s="348">
        <v>1.18</v>
      </c>
      <c r="I105" s="348">
        <v>1.28</v>
      </c>
      <c r="J105" s="348">
        <v>1.38</v>
      </c>
      <c r="K105" s="348">
        <v>1.47</v>
      </c>
      <c r="L105" s="348">
        <v>1.55</v>
      </c>
      <c r="M105" s="348">
        <v>1.62</v>
      </c>
      <c r="N105" s="348">
        <v>1.69</v>
      </c>
      <c r="O105" s="348">
        <v>1.74</v>
      </c>
      <c r="P105" s="2205">
        <v>1.78</v>
      </c>
      <c r="Q105" s="348">
        <v>1.81</v>
      </c>
      <c r="R105" s="348">
        <v>1.84</v>
      </c>
      <c r="S105" s="348">
        <v>1.86</v>
      </c>
      <c r="T105" s="348">
        <v>1.88</v>
      </c>
      <c r="U105" s="348">
        <v>1.9</v>
      </c>
      <c r="V105" s="348">
        <v>1.9</v>
      </c>
      <c r="W105" s="348">
        <v>1.91</v>
      </c>
      <c r="X105" s="348">
        <v>1.91</v>
      </c>
      <c r="Y105" s="348">
        <v>1.91</v>
      </c>
      <c r="Z105" s="348">
        <v>1.91</v>
      </c>
      <c r="AA105" s="348">
        <v>1.91</v>
      </c>
      <c r="AB105" s="348">
        <v>1.9</v>
      </c>
      <c r="AC105" s="348">
        <v>1.9</v>
      </c>
      <c r="AD105" s="348">
        <v>1.9</v>
      </c>
      <c r="AE105" s="348">
        <v>1.89</v>
      </c>
      <c r="AF105" s="348">
        <v>1.89</v>
      </c>
      <c r="AG105" s="348">
        <v>1.88</v>
      </c>
      <c r="AH105" s="348">
        <v>1.88</v>
      </c>
      <c r="AI105" s="348">
        <v>1.87</v>
      </c>
      <c r="AJ105" s="348">
        <v>1.87</v>
      </c>
      <c r="AK105" s="348">
        <v>1.86</v>
      </c>
      <c r="AL105" s="348">
        <v>1.86</v>
      </c>
      <c r="AM105" s="348">
        <v>1.86</v>
      </c>
      <c r="AN105" s="348">
        <v>1.85</v>
      </c>
      <c r="AO105" s="348">
        <v>1.85</v>
      </c>
      <c r="AP105" s="348">
        <v>1.84</v>
      </c>
      <c r="AQ105" s="348">
        <v>1.84</v>
      </c>
      <c r="AR105" s="348">
        <v>1.83</v>
      </c>
      <c r="AS105" s="348">
        <v>1.83</v>
      </c>
      <c r="AT105" s="348">
        <v>1.82</v>
      </c>
      <c r="AU105" s="348">
        <v>1.82</v>
      </c>
      <c r="AV105" s="348">
        <v>1.81</v>
      </c>
      <c r="AW105" s="348">
        <v>1.81</v>
      </c>
      <c r="AX105" s="348">
        <v>1.8</v>
      </c>
      <c r="AY105" s="348">
        <v>1.8</v>
      </c>
      <c r="AZ105" s="494"/>
    </row>
    <row r="106" spans="1:54">
      <c r="A106" s="760">
        <v>44985</v>
      </c>
      <c r="B106" s="348">
        <v>0.64</v>
      </c>
      <c r="C106" s="348">
        <v>0.72</v>
      </c>
      <c r="D106" s="348">
        <v>0.8</v>
      </c>
      <c r="E106" s="348">
        <v>0.89</v>
      </c>
      <c r="F106" s="348">
        <v>0.99</v>
      </c>
      <c r="G106" s="348">
        <v>1.0900000000000001</v>
      </c>
      <c r="H106" s="348">
        <v>1.19</v>
      </c>
      <c r="I106" s="348">
        <v>1.29</v>
      </c>
      <c r="J106" s="348">
        <v>1.39</v>
      </c>
      <c r="K106" s="348">
        <v>1.48</v>
      </c>
      <c r="L106" s="348">
        <v>1.56</v>
      </c>
      <c r="M106" s="348">
        <v>1.63</v>
      </c>
      <c r="N106" s="348">
        <v>1.69</v>
      </c>
      <c r="O106" s="348">
        <v>1.74</v>
      </c>
      <c r="P106" s="2205">
        <v>1.79</v>
      </c>
      <c r="Q106" s="348">
        <v>1.82</v>
      </c>
      <c r="R106" s="348">
        <v>1.84</v>
      </c>
      <c r="S106" s="348">
        <v>1.86</v>
      </c>
      <c r="T106" s="348">
        <v>1.88</v>
      </c>
      <c r="U106" s="348">
        <v>1.9</v>
      </c>
      <c r="V106" s="348">
        <v>1.9</v>
      </c>
      <c r="W106" s="348">
        <v>1.91</v>
      </c>
      <c r="X106" s="348">
        <v>1.91</v>
      </c>
      <c r="Y106" s="348">
        <v>1.91</v>
      </c>
      <c r="Z106" s="348">
        <v>1.91</v>
      </c>
      <c r="AA106" s="348">
        <v>1.91</v>
      </c>
      <c r="AB106" s="348">
        <v>1.9</v>
      </c>
      <c r="AC106" s="348">
        <v>1.9</v>
      </c>
      <c r="AD106" s="348">
        <v>1.89</v>
      </c>
      <c r="AE106" s="348">
        <v>1.89</v>
      </c>
      <c r="AF106" s="348">
        <v>1.88</v>
      </c>
      <c r="AG106" s="348">
        <v>1.88</v>
      </c>
      <c r="AH106" s="348">
        <v>1.87</v>
      </c>
      <c r="AI106" s="348">
        <v>1.87</v>
      </c>
      <c r="AJ106" s="348">
        <v>1.86</v>
      </c>
      <c r="AK106" s="348">
        <v>1.86</v>
      </c>
      <c r="AL106" s="348">
        <v>1.85</v>
      </c>
      <c r="AM106" s="348">
        <v>1.85</v>
      </c>
      <c r="AN106" s="348">
        <v>1.85</v>
      </c>
      <c r="AO106" s="348">
        <v>1.84</v>
      </c>
      <c r="AP106" s="348">
        <v>1.84</v>
      </c>
      <c r="AQ106" s="348">
        <v>1.83</v>
      </c>
      <c r="AR106" s="348">
        <v>1.82</v>
      </c>
      <c r="AS106" s="348">
        <v>1.82</v>
      </c>
      <c r="AT106" s="348">
        <v>1.81</v>
      </c>
      <c r="AU106" s="348">
        <v>1.81</v>
      </c>
      <c r="AV106" s="348">
        <v>1.8</v>
      </c>
      <c r="AW106" s="348">
        <v>1.8</v>
      </c>
      <c r="AX106" s="348">
        <v>1.79</v>
      </c>
      <c r="AY106" s="348">
        <v>1.79</v>
      </c>
      <c r="AZ106" s="494"/>
    </row>
    <row r="107" spans="1:54">
      <c r="A107" s="760">
        <v>45016</v>
      </c>
      <c r="B107" s="348">
        <v>0.66</v>
      </c>
      <c r="C107" s="348">
        <v>0.74</v>
      </c>
      <c r="D107" s="348">
        <v>0.82</v>
      </c>
      <c r="E107" s="348">
        <v>0.91</v>
      </c>
      <c r="F107" s="348">
        <v>1</v>
      </c>
      <c r="G107" s="348">
        <v>1.1100000000000001</v>
      </c>
      <c r="H107" s="348">
        <v>1.2</v>
      </c>
      <c r="I107" s="348">
        <v>1.3</v>
      </c>
      <c r="J107" s="348">
        <v>1.4</v>
      </c>
      <c r="K107" s="348">
        <v>1.49</v>
      </c>
      <c r="L107" s="348">
        <v>1.57</v>
      </c>
      <c r="M107" s="348">
        <v>1.64</v>
      </c>
      <c r="N107" s="348">
        <v>1.7</v>
      </c>
      <c r="O107" s="348">
        <v>1.75</v>
      </c>
      <c r="P107" s="2205">
        <v>1.79</v>
      </c>
      <c r="Q107" s="348">
        <v>1.82</v>
      </c>
      <c r="R107" s="348">
        <v>1.84</v>
      </c>
      <c r="S107" s="348">
        <v>1.86</v>
      </c>
      <c r="T107" s="348">
        <v>1.88</v>
      </c>
      <c r="U107" s="348">
        <v>1.9</v>
      </c>
      <c r="V107" s="348">
        <v>1.9</v>
      </c>
      <c r="W107" s="348">
        <v>1.91</v>
      </c>
      <c r="X107" s="348">
        <v>1.91</v>
      </c>
      <c r="Y107" s="348">
        <v>1.91</v>
      </c>
      <c r="Z107" s="348">
        <v>1.91</v>
      </c>
      <c r="AA107" s="348">
        <v>1.9</v>
      </c>
      <c r="AB107" s="348">
        <v>1.9</v>
      </c>
      <c r="AC107" s="348">
        <v>1.89</v>
      </c>
      <c r="AD107" s="348">
        <v>1.89</v>
      </c>
      <c r="AE107" s="348">
        <v>1.89</v>
      </c>
      <c r="AF107" s="348">
        <v>1.88</v>
      </c>
      <c r="AG107" s="348">
        <v>1.87</v>
      </c>
      <c r="AH107" s="348">
        <v>1.87</v>
      </c>
      <c r="AI107" s="348">
        <v>1.86</v>
      </c>
      <c r="AJ107" s="348">
        <v>1.86</v>
      </c>
      <c r="AK107" s="348">
        <v>1.85</v>
      </c>
      <c r="AL107" s="348">
        <v>1.85</v>
      </c>
      <c r="AM107" s="348">
        <v>1.85</v>
      </c>
      <c r="AN107" s="348">
        <v>1.84</v>
      </c>
      <c r="AO107" s="348">
        <v>1.84</v>
      </c>
      <c r="AP107" s="348">
        <v>1.83</v>
      </c>
      <c r="AQ107" s="348">
        <v>1.82</v>
      </c>
      <c r="AR107" s="348">
        <v>1.82</v>
      </c>
      <c r="AS107" s="348">
        <v>1.81</v>
      </c>
      <c r="AT107" s="348">
        <v>1.81</v>
      </c>
      <c r="AU107" s="348">
        <v>1.8</v>
      </c>
      <c r="AV107" s="348">
        <v>1.8</v>
      </c>
      <c r="AW107" s="348">
        <v>1.79</v>
      </c>
      <c r="AX107" s="348">
        <v>1.79</v>
      </c>
      <c r="AY107" s="348">
        <v>1.78</v>
      </c>
      <c r="AZ107" s="494"/>
    </row>
    <row r="108" spans="1:54">
      <c r="A108" s="760">
        <v>45046</v>
      </c>
      <c r="B108" s="348">
        <v>0.69</v>
      </c>
      <c r="C108" s="348">
        <v>0.76</v>
      </c>
      <c r="D108" s="348">
        <v>0.84</v>
      </c>
      <c r="E108" s="348">
        <v>0.92</v>
      </c>
      <c r="F108" s="348">
        <v>1.02</v>
      </c>
      <c r="G108" s="348">
        <v>1.1200000000000001</v>
      </c>
      <c r="H108" s="348">
        <v>1.22</v>
      </c>
      <c r="I108" s="348">
        <v>1.31</v>
      </c>
      <c r="J108" s="348">
        <v>1.41</v>
      </c>
      <c r="K108" s="348">
        <v>1.5</v>
      </c>
      <c r="L108" s="348">
        <v>1.58</v>
      </c>
      <c r="M108" s="348">
        <v>1.64</v>
      </c>
      <c r="N108" s="348">
        <v>1.7</v>
      </c>
      <c r="O108" s="348">
        <v>1.75</v>
      </c>
      <c r="P108" s="2205">
        <v>1.8</v>
      </c>
      <c r="Q108" s="348">
        <v>1.82</v>
      </c>
      <c r="R108" s="348">
        <v>1.85</v>
      </c>
      <c r="S108" s="348">
        <v>1.87</v>
      </c>
      <c r="T108" s="348">
        <v>1.89</v>
      </c>
      <c r="U108" s="348">
        <v>1.9</v>
      </c>
      <c r="V108" s="348">
        <v>1.91</v>
      </c>
      <c r="W108" s="348">
        <v>1.91</v>
      </c>
      <c r="X108" s="348">
        <v>1.91</v>
      </c>
      <c r="Y108" s="348">
        <v>1.91</v>
      </c>
      <c r="Z108" s="348">
        <v>1.91</v>
      </c>
      <c r="AA108" s="348">
        <v>1.9</v>
      </c>
      <c r="AB108" s="348">
        <v>1.9</v>
      </c>
      <c r="AC108" s="348">
        <v>1.89</v>
      </c>
      <c r="AD108" s="348">
        <v>1.89</v>
      </c>
      <c r="AE108" s="348">
        <v>1.89</v>
      </c>
      <c r="AF108" s="348">
        <v>1.88</v>
      </c>
      <c r="AG108" s="348">
        <v>1.87</v>
      </c>
      <c r="AH108" s="348">
        <v>1.87</v>
      </c>
      <c r="AI108" s="348">
        <v>1.86</v>
      </c>
      <c r="AJ108" s="348">
        <v>1.86</v>
      </c>
      <c r="AK108" s="348">
        <v>1.85</v>
      </c>
      <c r="AL108" s="348">
        <v>1.85</v>
      </c>
      <c r="AM108" s="348">
        <v>1.84</v>
      </c>
      <c r="AN108" s="348">
        <v>1.84</v>
      </c>
      <c r="AO108" s="348">
        <v>1.83</v>
      </c>
      <c r="AP108" s="348">
        <v>1.83</v>
      </c>
      <c r="AQ108" s="348">
        <v>1.82</v>
      </c>
      <c r="AR108" s="348">
        <v>1.81</v>
      </c>
      <c r="AS108" s="348">
        <v>1.81</v>
      </c>
      <c r="AT108" s="348">
        <v>1.8</v>
      </c>
      <c r="AU108" s="348">
        <v>1.8</v>
      </c>
      <c r="AV108" s="348">
        <v>1.79</v>
      </c>
      <c r="AW108" s="348">
        <v>1.79</v>
      </c>
      <c r="AX108" s="348">
        <v>1.78</v>
      </c>
      <c r="AY108" s="348">
        <v>1.78</v>
      </c>
      <c r="AZ108" s="494"/>
    </row>
    <row r="109" spans="1:54">
      <c r="A109" s="760">
        <v>45077</v>
      </c>
      <c r="B109" s="348">
        <v>0.72</v>
      </c>
      <c r="C109" s="348">
        <v>0.79</v>
      </c>
      <c r="D109" s="348">
        <v>0.86</v>
      </c>
      <c r="E109" s="348">
        <v>0.94</v>
      </c>
      <c r="F109" s="348">
        <v>1.03</v>
      </c>
      <c r="G109" s="348">
        <v>1.1299999999999999</v>
      </c>
      <c r="H109" s="348">
        <v>1.23</v>
      </c>
      <c r="I109" s="348">
        <v>1.32</v>
      </c>
      <c r="J109" s="348">
        <v>1.41</v>
      </c>
      <c r="K109" s="348">
        <v>1.5</v>
      </c>
      <c r="L109" s="348">
        <v>1.58</v>
      </c>
      <c r="M109" s="348">
        <v>1.65</v>
      </c>
      <c r="N109" s="348">
        <v>1.71</v>
      </c>
      <c r="O109" s="348">
        <v>1.76</v>
      </c>
      <c r="P109" s="2205">
        <v>1.8</v>
      </c>
      <c r="Q109" s="348">
        <v>1.83</v>
      </c>
      <c r="R109" s="348">
        <v>1.85</v>
      </c>
      <c r="S109" s="348">
        <v>1.87</v>
      </c>
      <c r="T109" s="348">
        <v>1.89</v>
      </c>
      <c r="U109" s="348">
        <v>1.9</v>
      </c>
      <c r="V109" s="348">
        <v>1.91</v>
      </c>
      <c r="W109" s="348">
        <v>1.91</v>
      </c>
      <c r="X109" s="348">
        <v>1.91</v>
      </c>
      <c r="Y109" s="348">
        <v>1.91</v>
      </c>
      <c r="Z109" s="348">
        <v>1.91</v>
      </c>
      <c r="AA109" s="348">
        <v>1.9</v>
      </c>
      <c r="AB109" s="348">
        <v>1.9</v>
      </c>
      <c r="AC109" s="348">
        <v>1.89</v>
      </c>
      <c r="AD109" s="348">
        <v>1.89</v>
      </c>
      <c r="AE109" s="348">
        <v>1.88</v>
      </c>
      <c r="AF109" s="348">
        <v>1.88</v>
      </c>
      <c r="AG109" s="348">
        <v>1.87</v>
      </c>
      <c r="AH109" s="348">
        <v>1.86</v>
      </c>
      <c r="AI109" s="348">
        <v>1.86</v>
      </c>
      <c r="AJ109" s="348">
        <v>1.85</v>
      </c>
      <c r="AK109" s="348">
        <v>1.85</v>
      </c>
      <c r="AL109" s="348">
        <v>1.84</v>
      </c>
      <c r="AM109" s="348">
        <v>1.84</v>
      </c>
      <c r="AN109" s="348">
        <v>1.83</v>
      </c>
      <c r="AO109" s="348">
        <v>1.83</v>
      </c>
      <c r="AP109" s="348">
        <v>1.82</v>
      </c>
      <c r="AQ109" s="348">
        <v>1.81</v>
      </c>
      <c r="AR109" s="348">
        <v>1.81</v>
      </c>
      <c r="AS109" s="348">
        <v>1.8</v>
      </c>
      <c r="AT109" s="348">
        <v>1.8</v>
      </c>
      <c r="AU109" s="348">
        <v>1.79</v>
      </c>
      <c r="AV109" s="348">
        <v>1.78</v>
      </c>
      <c r="AW109" s="348">
        <v>1.78</v>
      </c>
      <c r="AX109" s="348">
        <v>1.77</v>
      </c>
      <c r="AY109" s="348">
        <v>1.77</v>
      </c>
      <c r="AZ109" s="494"/>
    </row>
    <row r="110" spans="1:54">
      <c r="A110" s="760">
        <v>45107</v>
      </c>
      <c r="B110" s="348">
        <v>0.74</v>
      </c>
      <c r="C110" s="348">
        <v>0.81</v>
      </c>
      <c r="D110" s="348">
        <v>0.88</v>
      </c>
      <c r="E110" s="348">
        <v>0.96</v>
      </c>
      <c r="F110" s="348">
        <v>1.05</v>
      </c>
      <c r="G110" s="348">
        <v>1.1399999999999999</v>
      </c>
      <c r="H110" s="348">
        <v>1.24</v>
      </c>
      <c r="I110" s="348">
        <v>1.33</v>
      </c>
      <c r="J110" s="348">
        <v>1.42</v>
      </c>
      <c r="K110" s="348">
        <v>1.51</v>
      </c>
      <c r="L110" s="348">
        <v>1.59</v>
      </c>
      <c r="M110" s="348">
        <v>1.65</v>
      </c>
      <c r="N110" s="348">
        <v>1.71</v>
      </c>
      <c r="O110" s="348">
        <v>1.76</v>
      </c>
      <c r="P110" s="2205">
        <v>1.8</v>
      </c>
      <c r="Q110" s="348">
        <v>1.83</v>
      </c>
      <c r="R110" s="348">
        <v>1.85</v>
      </c>
      <c r="S110" s="348">
        <v>1.87</v>
      </c>
      <c r="T110" s="348">
        <v>1.89</v>
      </c>
      <c r="U110" s="348">
        <v>1.9</v>
      </c>
      <c r="V110" s="348">
        <v>1.9</v>
      </c>
      <c r="W110" s="348">
        <v>1.91</v>
      </c>
      <c r="X110" s="348">
        <v>1.91</v>
      </c>
      <c r="Y110" s="348">
        <v>1.91</v>
      </c>
      <c r="Z110" s="348">
        <v>1.91</v>
      </c>
      <c r="AA110" s="348">
        <v>1.9</v>
      </c>
      <c r="AB110" s="348">
        <v>1.9</v>
      </c>
      <c r="AC110" s="348">
        <v>1.89</v>
      </c>
      <c r="AD110" s="348">
        <v>1.88</v>
      </c>
      <c r="AE110" s="348">
        <v>1.88</v>
      </c>
      <c r="AF110" s="348">
        <v>1.87</v>
      </c>
      <c r="AG110" s="348">
        <v>1.87</v>
      </c>
      <c r="AH110" s="348">
        <v>1.86</v>
      </c>
      <c r="AI110" s="348">
        <v>1.85</v>
      </c>
      <c r="AJ110" s="348">
        <v>1.85</v>
      </c>
      <c r="AK110" s="348">
        <v>1.84</v>
      </c>
      <c r="AL110" s="348">
        <v>1.84</v>
      </c>
      <c r="AM110" s="348">
        <v>1.83</v>
      </c>
      <c r="AN110" s="348">
        <v>1.83</v>
      </c>
      <c r="AO110" s="348">
        <v>1.82</v>
      </c>
      <c r="AP110" s="348">
        <v>1.82</v>
      </c>
      <c r="AQ110" s="348">
        <v>1.81</v>
      </c>
      <c r="AR110" s="348">
        <v>1.8</v>
      </c>
      <c r="AS110" s="348">
        <v>1.79</v>
      </c>
      <c r="AT110" s="348">
        <v>1.79</v>
      </c>
      <c r="AU110" s="348">
        <v>1.78</v>
      </c>
      <c r="AV110" s="348">
        <v>1.78</v>
      </c>
      <c r="AW110" s="348">
        <v>1.77</v>
      </c>
      <c r="AX110" s="348">
        <v>1.77</v>
      </c>
      <c r="AY110" s="348">
        <v>1.76</v>
      </c>
      <c r="AZ110" s="494"/>
    </row>
    <row r="111" spans="1:54">
      <c r="A111" s="111">
        <v>45138</v>
      </c>
      <c r="B111" s="126">
        <v>0.77</v>
      </c>
      <c r="C111" s="126">
        <v>0.84</v>
      </c>
      <c r="D111" s="126">
        <v>0.9</v>
      </c>
      <c r="E111" s="126">
        <v>0.98</v>
      </c>
      <c r="F111" s="126">
        <v>1.06</v>
      </c>
      <c r="G111" s="126">
        <v>1.1599999999999999</v>
      </c>
      <c r="H111" s="126">
        <v>1.25</v>
      </c>
      <c r="I111" s="126">
        <v>1.34</v>
      </c>
      <c r="J111" s="126">
        <v>1.43</v>
      </c>
      <c r="K111" s="126">
        <v>1.51</v>
      </c>
      <c r="L111" s="126">
        <v>1.59</v>
      </c>
      <c r="M111" s="126">
        <v>1.66</v>
      </c>
      <c r="N111" s="126">
        <v>1.71</v>
      </c>
      <c r="O111" s="126">
        <v>1.76</v>
      </c>
      <c r="P111" s="435">
        <v>1.81</v>
      </c>
      <c r="Q111" s="126">
        <v>1.83</v>
      </c>
      <c r="R111" s="126">
        <v>1.85</v>
      </c>
      <c r="S111" s="126">
        <v>1.87</v>
      </c>
      <c r="T111" s="126">
        <v>1.89</v>
      </c>
      <c r="U111" s="126">
        <v>1.9</v>
      </c>
      <c r="V111" s="126">
        <v>1.9</v>
      </c>
      <c r="W111" s="126">
        <v>1.9</v>
      </c>
      <c r="X111" s="126">
        <v>1.91</v>
      </c>
      <c r="Y111" s="126">
        <v>1.91</v>
      </c>
      <c r="Z111" s="126">
        <v>1.91</v>
      </c>
      <c r="AA111" s="126">
        <v>1.9</v>
      </c>
      <c r="AB111" s="126">
        <v>1.89</v>
      </c>
      <c r="AC111" s="126">
        <v>1.89</v>
      </c>
      <c r="AD111" s="126">
        <v>1.88</v>
      </c>
      <c r="AE111" s="126">
        <v>1.88</v>
      </c>
      <c r="AF111" s="126">
        <v>1.87</v>
      </c>
      <c r="AG111" s="126">
        <v>1.86</v>
      </c>
      <c r="AH111" s="126">
        <v>1.86</v>
      </c>
      <c r="AI111" s="126">
        <v>1.85</v>
      </c>
      <c r="AJ111" s="126">
        <v>1.84</v>
      </c>
      <c r="AK111" s="126">
        <v>1.84</v>
      </c>
      <c r="AL111" s="126">
        <v>1.83</v>
      </c>
      <c r="AM111" s="126">
        <v>1.83</v>
      </c>
      <c r="AN111" s="126">
        <v>1.82</v>
      </c>
      <c r="AO111" s="126">
        <v>1.82</v>
      </c>
      <c r="AP111" s="126">
        <v>1.81</v>
      </c>
      <c r="AQ111" s="126">
        <v>1.8</v>
      </c>
      <c r="AR111" s="126">
        <v>1.8</v>
      </c>
      <c r="AS111" s="126">
        <v>1.79</v>
      </c>
      <c r="AT111" s="126">
        <v>1.78</v>
      </c>
      <c r="AU111" s="126">
        <v>1.78</v>
      </c>
      <c r="AV111" s="126">
        <v>1.77</v>
      </c>
      <c r="AW111" s="126">
        <v>1.76</v>
      </c>
      <c r="AX111" s="126">
        <v>1.76</v>
      </c>
      <c r="AY111" s="126">
        <v>1.75</v>
      </c>
    </row>
    <row r="112" spans="1:54">
      <c r="A112" s="760">
        <v>45169</v>
      </c>
      <c r="B112" s="348">
        <v>0.8</v>
      </c>
      <c r="C112" s="348">
        <v>0.86</v>
      </c>
      <c r="D112" s="348">
        <v>0.92</v>
      </c>
      <c r="E112" s="348">
        <v>0.99</v>
      </c>
      <c r="F112" s="348">
        <v>1.08</v>
      </c>
      <c r="G112" s="348">
        <v>1.17</v>
      </c>
      <c r="H112" s="348">
        <v>1.26</v>
      </c>
      <c r="I112" s="348">
        <v>1.35</v>
      </c>
      <c r="J112" s="348">
        <v>1.44</v>
      </c>
      <c r="K112" s="348">
        <v>1.52</v>
      </c>
      <c r="L112" s="348">
        <v>1.6</v>
      </c>
      <c r="M112" s="348">
        <v>1.66</v>
      </c>
      <c r="N112" s="348">
        <v>1.72</v>
      </c>
      <c r="O112" s="348">
        <v>1.77</v>
      </c>
      <c r="P112" s="2205">
        <v>1.81</v>
      </c>
      <c r="Q112" s="348">
        <v>1.83</v>
      </c>
      <c r="R112" s="348">
        <v>1.85</v>
      </c>
      <c r="S112" s="348">
        <v>1.87</v>
      </c>
      <c r="T112" s="348">
        <v>1.89</v>
      </c>
      <c r="U112" s="348">
        <v>1.9</v>
      </c>
      <c r="V112" s="348">
        <v>1.9</v>
      </c>
      <c r="W112" s="348">
        <v>1.9</v>
      </c>
      <c r="X112" s="348">
        <v>1.9</v>
      </c>
      <c r="Y112" s="348">
        <v>1.9</v>
      </c>
      <c r="Z112" s="348">
        <v>1.9</v>
      </c>
      <c r="AA112" s="348">
        <v>1.9</v>
      </c>
      <c r="AB112" s="348">
        <v>1.89</v>
      </c>
      <c r="AC112" s="348">
        <v>1.89</v>
      </c>
      <c r="AD112" s="348">
        <v>1.88</v>
      </c>
      <c r="AE112" s="348">
        <v>1.87</v>
      </c>
      <c r="AF112" s="348">
        <v>1.87</v>
      </c>
      <c r="AG112" s="348">
        <v>1.86</v>
      </c>
      <c r="AH112" s="348">
        <v>1.85</v>
      </c>
      <c r="AI112" s="348">
        <v>1.85</v>
      </c>
      <c r="AJ112" s="348">
        <v>1.84</v>
      </c>
      <c r="AK112" s="348">
        <v>1.83</v>
      </c>
      <c r="AL112" s="348">
        <v>1.83</v>
      </c>
      <c r="AM112" s="348">
        <v>1.82</v>
      </c>
      <c r="AN112" s="348">
        <v>1.82</v>
      </c>
      <c r="AO112" s="348">
        <v>1.81</v>
      </c>
      <c r="AP112" s="348">
        <v>1.81</v>
      </c>
      <c r="AQ112" s="348">
        <v>1.8</v>
      </c>
      <c r="AR112" s="348">
        <v>1.79</v>
      </c>
      <c r="AS112" s="348">
        <v>1.78</v>
      </c>
      <c r="AT112" s="348">
        <v>1.78</v>
      </c>
      <c r="AU112" s="348">
        <v>1.77</v>
      </c>
      <c r="AV112" s="348">
        <v>1.76</v>
      </c>
      <c r="AW112" s="348">
        <v>1.76</v>
      </c>
      <c r="AX112" s="348">
        <v>1.75</v>
      </c>
      <c r="AY112" s="348">
        <v>1.75</v>
      </c>
      <c r="AZ112" s="494"/>
    </row>
    <row r="113" spans="1:52">
      <c r="A113" s="760">
        <v>45199</v>
      </c>
      <c r="B113" s="348">
        <v>0.83</v>
      </c>
      <c r="C113" s="348">
        <v>0.89</v>
      </c>
      <c r="D113" s="348">
        <v>0.94</v>
      </c>
      <c r="E113" s="348">
        <v>1.01</v>
      </c>
      <c r="F113" s="348">
        <v>1.0900000000000001</v>
      </c>
      <c r="G113" s="348">
        <v>1.18</v>
      </c>
      <c r="H113" s="348">
        <v>1.27</v>
      </c>
      <c r="I113" s="348">
        <v>1.36</v>
      </c>
      <c r="J113" s="348">
        <v>1.45</v>
      </c>
      <c r="K113" s="348">
        <v>1.53</v>
      </c>
      <c r="L113" s="348">
        <v>1.61</v>
      </c>
      <c r="M113" s="348">
        <v>1.67</v>
      </c>
      <c r="N113" s="348">
        <v>1.72</v>
      </c>
      <c r="O113" s="348">
        <v>1.77</v>
      </c>
      <c r="P113" s="2205">
        <v>1.81</v>
      </c>
      <c r="Q113" s="348">
        <v>1.84</v>
      </c>
      <c r="R113" s="348">
        <v>1.86</v>
      </c>
      <c r="S113" s="348">
        <v>1.88</v>
      </c>
      <c r="T113" s="348">
        <v>1.89</v>
      </c>
      <c r="U113" s="348">
        <v>1.91</v>
      </c>
      <c r="V113" s="348">
        <v>1.91</v>
      </c>
      <c r="W113" s="348">
        <v>1.91</v>
      </c>
      <c r="X113" s="348">
        <v>1.91</v>
      </c>
      <c r="Y113" s="348">
        <v>1.91</v>
      </c>
      <c r="Z113" s="348">
        <v>1.91</v>
      </c>
      <c r="AA113" s="348">
        <v>1.9</v>
      </c>
      <c r="AB113" s="348">
        <v>1.89</v>
      </c>
      <c r="AC113" s="348">
        <v>1.89</v>
      </c>
      <c r="AD113" s="348">
        <v>1.88</v>
      </c>
      <c r="AE113" s="348">
        <v>1.88</v>
      </c>
      <c r="AF113" s="348">
        <v>1.87</v>
      </c>
      <c r="AG113" s="348">
        <v>1.86</v>
      </c>
      <c r="AH113" s="348">
        <v>1.85</v>
      </c>
      <c r="AI113" s="348">
        <v>1.85</v>
      </c>
      <c r="AJ113" s="348">
        <v>1.84</v>
      </c>
      <c r="AK113" s="348">
        <v>1.83</v>
      </c>
      <c r="AL113" s="348">
        <v>1.83</v>
      </c>
      <c r="AM113" s="348">
        <v>1.82</v>
      </c>
      <c r="AN113" s="348">
        <v>1.82</v>
      </c>
      <c r="AO113" s="348">
        <v>1.81</v>
      </c>
      <c r="AP113" s="348">
        <v>1.8</v>
      </c>
      <c r="AQ113" s="348">
        <v>1.8</v>
      </c>
      <c r="AR113" s="348">
        <v>1.79</v>
      </c>
      <c r="AS113" s="348">
        <v>1.78</v>
      </c>
      <c r="AT113" s="348">
        <v>1.77</v>
      </c>
      <c r="AU113" s="348">
        <v>1.77</v>
      </c>
      <c r="AV113" s="348">
        <v>1.76</v>
      </c>
      <c r="AW113" s="348">
        <v>1.76</v>
      </c>
      <c r="AX113" s="348">
        <v>1.75</v>
      </c>
      <c r="AY113" s="348">
        <v>1.74</v>
      </c>
      <c r="AZ113" s="494"/>
    </row>
    <row r="114" spans="1:52">
      <c r="A114" s="760">
        <v>45230</v>
      </c>
      <c r="B114" s="348">
        <v>0.86</v>
      </c>
      <c r="C114" s="348">
        <v>0.91</v>
      </c>
      <c r="D114" s="348">
        <v>0.96</v>
      </c>
      <c r="E114" s="348">
        <v>1.03</v>
      </c>
      <c r="F114" s="348">
        <v>1.1100000000000001</v>
      </c>
      <c r="G114" s="348">
        <v>1.2</v>
      </c>
      <c r="H114" s="348">
        <v>1.28</v>
      </c>
      <c r="I114" s="348">
        <v>1.37</v>
      </c>
      <c r="J114" s="348">
        <v>1.46</v>
      </c>
      <c r="K114" s="348">
        <v>1.54</v>
      </c>
      <c r="L114" s="348">
        <v>1.62</v>
      </c>
      <c r="M114" s="348">
        <v>1.68</v>
      </c>
      <c r="N114" s="348">
        <v>1.73</v>
      </c>
      <c r="O114" s="348">
        <v>1.78</v>
      </c>
      <c r="P114" s="2205">
        <v>1.82</v>
      </c>
      <c r="Q114" s="348">
        <v>1.84</v>
      </c>
      <c r="R114" s="348">
        <v>1.86</v>
      </c>
      <c r="S114" s="348">
        <v>1.88</v>
      </c>
      <c r="T114" s="348">
        <v>1.9</v>
      </c>
      <c r="U114" s="348">
        <v>1.91</v>
      </c>
      <c r="V114" s="348">
        <v>1.91</v>
      </c>
      <c r="W114" s="348">
        <v>1.91</v>
      </c>
      <c r="X114" s="348">
        <v>1.91</v>
      </c>
      <c r="Y114" s="348">
        <v>1.91</v>
      </c>
      <c r="Z114" s="348">
        <v>1.91</v>
      </c>
      <c r="AA114" s="348">
        <v>1.9</v>
      </c>
      <c r="AB114" s="348">
        <v>1.9</v>
      </c>
      <c r="AC114" s="348">
        <v>1.89</v>
      </c>
      <c r="AD114" s="348">
        <v>1.88</v>
      </c>
      <c r="AE114" s="348">
        <v>1.88</v>
      </c>
      <c r="AF114" s="348">
        <v>1.87</v>
      </c>
      <c r="AG114" s="348">
        <v>1.86</v>
      </c>
      <c r="AH114" s="348">
        <v>1.85</v>
      </c>
      <c r="AI114" s="348">
        <v>1.85</v>
      </c>
      <c r="AJ114" s="348">
        <v>1.84</v>
      </c>
      <c r="AK114" s="348">
        <v>1.83</v>
      </c>
      <c r="AL114" s="348">
        <v>1.83</v>
      </c>
      <c r="AM114" s="348">
        <v>1.82</v>
      </c>
      <c r="AN114" s="348">
        <v>1.82</v>
      </c>
      <c r="AO114" s="348">
        <v>1.81</v>
      </c>
      <c r="AP114" s="348">
        <v>1.8</v>
      </c>
      <c r="AQ114" s="348">
        <v>1.8</v>
      </c>
      <c r="AR114" s="348">
        <v>1.79</v>
      </c>
      <c r="AS114" s="348">
        <v>1.78</v>
      </c>
      <c r="AT114" s="348">
        <v>1.77</v>
      </c>
      <c r="AU114" s="348">
        <v>1.77</v>
      </c>
      <c r="AV114" s="348">
        <v>1.76</v>
      </c>
      <c r="AW114" s="348">
        <v>1.75</v>
      </c>
      <c r="AX114" s="348">
        <v>1.75</v>
      </c>
      <c r="AY114" s="348">
        <v>1.74</v>
      </c>
      <c r="AZ114" s="494"/>
    </row>
    <row r="115" spans="1:52">
      <c r="A115" s="760">
        <v>45260</v>
      </c>
      <c r="B115" s="348">
        <v>0.89</v>
      </c>
      <c r="C115" s="348">
        <v>0.93</v>
      </c>
      <c r="D115" s="348">
        <v>0.98</v>
      </c>
      <c r="E115" s="348">
        <v>1.05</v>
      </c>
      <c r="F115" s="348">
        <v>1.1200000000000001</v>
      </c>
      <c r="G115" s="348">
        <v>1.21</v>
      </c>
      <c r="H115" s="348">
        <v>1.29</v>
      </c>
      <c r="I115" s="348">
        <v>1.38</v>
      </c>
      <c r="J115" s="348">
        <v>1.46</v>
      </c>
      <c r="K115" s="348">
        <v>1.55</v>
      </c>
      <c r="L115" s="348">
        <v>1.62</v>
      </c>
      <c r="M115" s="348">
        <v>1.68</v>
      </c>
      <c r="N115" s="348">
        <v>1.74</v>
      </c>
      <c r="O115" s="348">
        <v>1.78</v>
      </c>
      <c r="P115" s="2205">
        <v>1.82</v>
      </c>
      <c r="Q115" s="348">
        <v>1.85</v>
      </c>
      <c r="R115" s="348">
        <v>1.87</v>
      </c>
      <c r="S115" s="348">
        <v>1.88</v>
      </c>
      <c r="T115" s="348">
        <v>1.9</v>
      </c>
      <c r="U115" s="348">
        <v>1.91</v>
      </c>
      <c r="V115" s="348">
        <v>1.91</v>
      </c>
      <c r="W115" s="348">
        <v>1.91</v>
      </c>
      <c r="X115" s="348">
        <v>1.91</v>
      </c>
      <c r="Y115" s="348">
        <v>1.91</v>
      </c>
      <c r="Z115" s="348">
        <v>1.91</v>
      </c>
      <c r="AA115" s="348">
        <v>1.9</v>
      </c>
      <c r="AB115" s="348">
        <v>1.9</v>
      </c>
      <c r="AC115" s="348">
        <v>1.89</v>
      </c>
      <c r="AD115" s="348">
        <v>1.88</v>
      </c>
      <c r="AE115" s="348">
        <v>1.88</v>
      </c>
      <c r="AF115" s="348">
        <v>1.87</v>
      </c>
      <c r="AG115" s="348">
        <v>1.86</v>
      </c>
      <c r="AH115" s="348">
        <v>1.85</v>
      </c>
      <c r="AI115" s="348">
        <v>1.85</v>
      </c>
      <c r="AJ115" s="348">
        <v>1.84</v>
      </c>
      <c r="AK115" s="348">
        <v>1.83</v>
      </c>
      <c r="AL115" s="348">
        <v>1.83</v>
      </c>
      <c r="AM115" s="348">
        <v>1.82</v>
      </c>
      <c r="AN115" s="348">
        <v>1.82</v>
      </c>
      <c r="AO115" s="348">
        <v>1.81</v>
      </c>
      <c r="AP115" s="348">
        <v>1.8</v>
      </c>
      <c r="AQ115" s="348">
        <v>1.79</v>
      </c>
      <c r="AR115" s="348">
        <v>1.78</v>
      </c>
      <c r="AS115" s="348">
        <v>1.78</v>
      </c>
      <c r="AT115" s="348">
        <v>1.77</v>
      </c>
      <c r="AU115" s="348">
        <v>1.76</v>
      </c>
      <c r="AV115" s="348">
        <v>1.76</v>
      </c>
      <c r="AW115" s="348">
        <v>1.75</v>
      </c>
      <c r="AX115" s="348">
        <v>1.74</v>
      </c>
      <c r="AY115" s="348">
        <v>1.74</v>
      </c>
      <c r="AZ115" s="494"/>
    </row>
    <row r="116" spans="1:52">
      <c r="A116" s="111">
        <v>45291</v>
      </c>
      <c r="B116" s="126">
        <v>0.91</v>
      </c>
      <c r="C116" s="126">
        <v>0.95</v>
      </c>
      <c r="D116" s="126">
        <v>0.99</v>
      </c>
      <c r="E116" s="126">
        <v>1.06</v>
      </c>
      <c r="F116" s="126">
        <v>1.1299999999999999</v>
      </c>
      <c r="G116" s="126">
        <v>1.22</v>
      </c>
      <c r="H116" s="126">
        <v>1.3</v>
      </c>
      <c r="I116" s="126">
        <v>1.39</v>
      </c>
      <c r="J116" s="126">
        <v>1.47</v>
      </c>
      <c r="K116" s="126">
        <v>1.55</v>
      </c>
      <c r="L116" s="126">
        <v>1.62</v>
      </c>
      <c r="M116" s="126">
        <v>1.68</v>
      </c>
      <c r="N116" s="126">
        <v>1.74</v>
      </c>
      <c r="O116" s="126">
        <v>1.78</v>
      </c>
      <c r="P116" s="435">
        <v>1.82</v>
      </c>
      <c r="Q116" s="126">
        <v>1.84</v>
      </c>
      <c r="R116" s="126">
        <v>1.86</v>
      </c>
      <c r="S116" s="126">
        <v>1.88</v>
      </c>
      <c r="T116" s="126">
        <v>1.9</v>
      </c>
      <c r="U116" s="126">
        <v>1.91</v>
      </c>
      <c r="V116" s="126">
        <v>1.91</v>
      </c>
      <c r="W116" s="126">
        <v>1.91</v>
      </c>
      <c r="X116" s="126">
        <v>1.91</v>
      </c>
      <c r="Y116" s="126">
        <v>1.91</v>
      </c>
      <c r="Z116" s="126">
        <v>1.91</v>
      </c>
      <c r="AA116" s="126">
        <v>1.9</v>
      </c>
      <c r="AB116" s="126">
        <v>1.89</v>
      </c>
      <c r="AC116" s="126">
        <v>1.88</v>
      </c>
      <c r="AD116" s="126">
        <v>1.88</v>
      </c>
      <c r="AE116" s="126">
        <v>1.87</v>
      </c>
      <c r="AF116" s="126">
        <v>1.86</v>
      </c>
      <c r="AG116" s="126">
        <v>1.85</v>
      </c>
      <c r="AH116" s="126">
        <v>1.85</v>
      </c>
      <c r="AI116" s="126">
        <v>1.84</v>
      </c>
      <c r="AJ116" s="126">
        <v>1.83</v>
      </c>
      <c r="AK116" s="126">
        <v>1.83</v>
      </c>
      <c r="AL116" s="126">
        <v>1.82</v>
      </c>
      <c r="AM116" s="126">
        <v>1.81</v>
      </c>
      <c r="AN116" s="126">
        <v>1.81</v>
      </c>
      <c r="AO116" s="126">
        <v>1.8</v>
      </c>
      <c r="AP116" s="126">
        <v>1.79</v>
      </c>
      <c r="AQ116" s="126">
        <v>1.79</v>
      </c>
      <c r="AR116" s="126">
        <v>1.78</v>
      </c>
      <c r="AS116" s="126">
        <v>1.77</v>
      </c>
      <c r="AT116" s="126">
        <v>1.76</v>
      </c>
      <c r="AU116" s="126">
        <v>1.75</v>
      </c>
      <c r="AV116" s="126">
        <v>1.75</v>
      </c>
      <c r="AW116" s="126">
        <v>1.74</v>
      </c>
      <c r="AX116" s="126">
        <v>1.73</v>
      </c>
      <c r="AY116" s="126">
        <v>1.73</v>
      </c>
    </row>
    <row r="117" spans="1:52">
      <c r="A117" s="760">
        <v>45322</v>
      </c>
      <c r="B117" s="348">
        <v>0.94</v>
      </c>
      <c r="C117" s="348">
        <v>0.97</v>
      </c>
      <c r="D117" s="348">
        <v>1.01</v>
      </c>
      <c r="E117" s="348">
        <v>1.07</v>
      </c>
      <c r="F117" s="348">
        <v>1.1399999999999999</v>
      </c>
      <c r="G117" s="348">
        <v>1.23</v>
      </c>
      <c r="H117" s="348">
        <v>1.31</v>
      </c>
      <c r="I117" s="348">
        <v>1.39</v>
      </c>
      <c r="J117" s="348">
        <v>1.47</v>
      </c>
      <c r="K117" s="348">
        <v>1.55</v>
      </c>
      <c r="L117" s="348">
        <v>1.62</v>
      </c>
      <c r="M117" s="348">
        <v>1.68</v>
      </c>
      <c r="N117" s="348">
        <v>1.74</v>
      </c>
      <c r="O117" s="348">
        <v>1.78</v>
      </c>
      <c r="P117" s="2205">
        <v>1.82</v>
      </c>
      <c r="Q117" s="348">
        <v>1.84</v>
      </c>
      <c r="R117" s="348">
        <v>1.86</v>
      </c>
      <c r="S117" s="348">
        <v>1.88</v>
      </c>
      <c r="T117" s="348">
        <v>1.89</v>
      </c>
      <c r="U117" s="348">
        <v>1.91</v>
      </c>
      <c r="V117" s="348">
        <v>1.91</v>
      </c>
      <c r="W117" s="348">
        <v>1.91</v>
      </c>
      <c r="X117" s="348">
        <v>1.9</v>
      </c>
      <c r="Y117" s="348">
        <v>1.9</v>
      </c>
      <c r="Z117" s="348">
        <v>1.9</v>
      </c>
      <c r="AA117" s="348">
        <v>1.89</v>
      </c>
      <c r="AB117" s="348">
        <v>1.89</v>
      </c>
      <c r="AC117" s="348">
        <v>1.88</v>
      </c>
      <c r="AD117" s="348">
        <v>1.87</v>
      </c>
      <c r="AE117" s="348">
        <v>1.87</v>
      </c>
      <c r="AF117" s="348">
        <v>1.86</v>
      </c>
      <c r="AG117" s="348">
        <v>1.85</v>
      </c>
      <c r="AH117" s="348">
        <v>1.84</v>
      </c>
      <c r="AI117" s="348">
        <v>1.84</v>
      </c>
      <c r="AJ117" s="348">
        <v>1.83</v>
      </c>
      <c r="AK117" s="348">
        <v>1.82</v>
      </c>
      <c r="AL117" s="348">
        <v>1.82</v>
      </c>
      <c r="AM117" s="348">
        <v>1.81</v>
      </c>
      <c r="AN117" s="348">
        <v>1.8</v>
      </c>
      <c r="AO117" s="348">
        <v>1.8</v>
      </c>
      <c r="AP117" s="348">
        <v>1.79</v>
      </c>
      <c r="AQ117" s="348">
        <v>1.78</v>
      </c>
      <c r="AR117" s="348">
        <v>1.77</v>
      </c>
      <c r="AS117" s="348">
        <v>1.76</v>
      </c>
      <c r="AT117" s="348">
        <v>1.76</v>
      </c>
      <c r="AU117" s="348">
        <v>1.75</v>
      </c>
      <c r="AV117" s="348">
        <v>1.74</v>
      </c>
      <c r="AW117" s="348">
        <v>1.73</v>
      </c>
      <c r="AX117" s="348">
        <v>1.73</v>
      </c>
      <c r="AY117" s="348">
        <v>1.72</v>
      </c>
    </row>
    <row r="118" spans="1:52">
      <c r="A118" s="760">
        <v>45351</v>
      </c>
      <c r="B118" s="348">
        <v>0.96</v>
      </c>
      <c r="C118" s="348">
        <v>0.99</v>
      </c>
      <c r="D118" s="348">
        <v>1.03</v>
      </c>
      <c r="E118" s="348">
        <v>1.0900000000000001</v>
      </c>
      <c r="F118" s="348">
        <v>1.1599999999999999</v>
      </c>
      <c r="G118" s="348">
        <v>1.24</v>
      </c>
      <c r="H118" s="348">
        <v>1.32</v>
      </c>
      <c r="I118" s="348">
        <v>1.4</v>
      </c>
      <c r="J118" s="348">
        <v>1.48</v>
      </c>
      <c r="K118" s="348">
        <v>1.56</v>
      </c>
      <c r="L118" s="348">
        <v>1.63</v>
      </c>
      <c r="M118" s="348">
        <v>1.69</v>
      </c>
      <c r="N118" s="348">
        <v>1.74</v>
      </c>
      <c r="O118" s="348">
        <v>1.79</v>
      </c>
      <c r="P118" s="2205">
        <v>1.82</v>
      </c>
      <c r="Q118" s="348">
        <v>1.85</v>
      </c>
      <c r="R118" s="348">
        <v>1.86</v>
      </c>
      <c r="S118" s="348">
        <v>1.88</v>
      </c>
      <c r="T118" s="348">
        <v>1.89</v>
      </c>
      <c r="U118" s="348">
        <v>1.91</v>
      </c>
      <c r="V118" s="348">
        <v>1.91</v>
      </c>
      <c r="W118" s="348">
        <v>1.91</v>
      </c>
      <c r="X118" s="348">
        <v>1.9</v>
      </c>
      <c r="Y118" s="348">
        <v>1.9</v>
      </c>
      <c r="Z118" s="348">
        <v>1.9</v>
      </c>
      <c r="AA118" s="348">
        <v>1.89</v>
      </c>
      <c r="AB118" s="348">
        <v>1.89</v>
      </c>
      <c r="AC118" s="348">
        <v>1.88</v>
      </c>
      <c r="AD118" s="348">
        <v>1.87</v>
      </c>
      <c r="AE118" s="348">
        <v>1.86</v>
      </c>
      <c r="AF118" s="348">
        <v>1.86</v>
      </c>
      <c r="AG118" s="348">
        <v>1.85</v>
      </c>
      <c r="AH118" s="348">
        <v>1.84</v>
      </c>
      <c r="AI118" s="348">
        <v>1.83</v>
      </c>
      <c r="AJ118" s="348">
        <v>1.82</v>
      </c>
      <c r="AK118" s="348">
        <v>1.82</v>
      </c>
      <c r="AL118" s="348">
        <v>1.81</v>
      </c>
      <c r="AM118" s="348">
        <v>1.81</v>
      </c>
      <c r="AN118" s="348">
        <v>1.8</v>
      </c>
      <c r="AO118" s="348">
        <v>1.79</v>
      </c>
      <c r="AP118" s="348">
        <v>1.78</v>
      </c>
      <c r="AQ118" s="348">
        <v>1.78</v>
      </c>
      <c r="AR118" s="348">
        <v>1.77</v>
      </c>
      <c r="AS118" s="348">
        <v>1.76</v>
      </c>
      <c r="AT118" s="348">
        <v>1.75</v>
      </c>
      <c r="AU118" s="348">
        <v>1.74</v>
      </c>
      <c r="AV118" s="348">
        <v>1.74</v>
      </c>
      <c r="AW118" s="348">
        <v>1.73</v>
      </c>
      <c r="AX118" s="348">
        <v>1.72</v>
      </c>
      <c r="AY118" s="348">
        <v>1.72</v>
      </c>
    </row>
    <row r="119" spans="1:52">
      <c r="A119" s="760">
        <v>45382</v>
      </c>
      <c r="B119" s="348">
        <v>0.99</v>
      </c>
      <c r="C119" s="348">
        <v>1.01</v>
      </c>
      <c r="D119" s="348">
        <v>1.05</v>
      </c>
      <c r="E119" s="348">
        <v>1.1000000000000001</v>
      </c>
      <c r="F119" s="348">
        <v>1.17</v>
      </c>
      <c r="G119" s="348">
        <v>1.25</v>
      </c>
      <c r="H119" s="348">
        <v>1.33</v>
      </c>
      <c r="I119" s="348">
        <v>1.41</v>
      </c>
      <c r="J119" s="348">
        <v>1.49</v>
      </c>
      <c r="K119" s="348">
        <v>1.56</v>
      </c>
      <c r="L119" s="348">
        <v>1.63</v>
      </c>
      <c r="M119" s="348">
        <v>1.69</v>
      </c>
      <c r="N119" s="348">
        <v>1.74</v>
      </c>
      <c r="O119" s="348">
        <v>1.79</v>
      </c>
      <c r="P119" s="2205">
        <v>1.83</v>
      </c>
      <c r="Q119" s="348">
        <v>1.85</v>
      </c>
      <c r="R119" s="348">
        <v>1.86</v>
      </c>
      <c r="S119" s="348">
        <v>1.88</v>
      </c>
      <c r="T119" s="348">
        <v>1.89</v>
      </c>
      <c r="U119" s="348">
        <v>1.91</v>
      </c>
      <c r="V119" s="348">
        <v>1.9</v>
      </c>
      <c r="W119" s="348">
        <v>1.9</v>
      </c>
      <c r="X119" s="348">
        <v>1.9</v>
      </c>
      <c r="Y119" s="348">
        <v>1.9</v>
      </c>
      <c r="Z119" s="348">
        <v>1.9</v>
      </c>
      <c r="AA119" s="348">
        <v>1.89</v>
      </c>
      <c r="AB119" s="348">
        <v>1.88</v>
      </c>
      <c r="AC119" s="348">
        <v>1.87</v>
      </c>
      <c r="AD119" s="348">
        <v>1.87</v>
      </c>
      <c r="AE119" s="348">
        <v>1.86</v>
      </c>
      <c r="AF119" s="348">
        <v>1.85</v>
      </c>
      <c r="AG119" s="348">
        <v>1.84</v>
      </c>
      <c r="AH119" s="348">
        <v>1.83</v>
      </c>
      <c r="AI119" s="348">
        <v>1.83</v>
      </c>
      <c r="AJ119" s="348">
        <v>1.82</v>
      </c>
      <c r="AK119" s="348">
        <v>1.81</v>
      </c>
      <c r="AL119" s="348">
        <v>1.81</v>
      </c>
      <c r="AM119" s="348">
        <v>1.8</v>
      </c>
      <c r="AN119" s="348">
        <v>1.79</v>
      </c>
      <c r="AO119" s="348">
        <v>1.79</v>
      </c>
      <c r="AP119" s="348">
        <v>1.78</v>
      </c>
      <c r="AQ119" s="348">
        <v>1.77</v>
      </c>
      <c r="AR119" s="348">
        <v>1.76</v>
      </c>
      <c r="AS119" s="348">
        <v>1.75</v>
      </c>
      <c r="AT119" s="348">
        <v>1.74</v>
      </c>
      <c r="AU119" s="348">
        <v>1.74</v>
      </c>
      <c r="AV119" s="348">
        <v>1.73</v>
      </c>
      <c r="AW119" s="348">
        <v>1.72</v>
      </c>
      <c r="AX119" s="348">
        <v>1.71</v>
      </c>
      <c r="AY119" s="348">
        <v>1.71</v>
      </c>
    </row>
    <row r="120" spans="1:52">
      <c r="A120" s="760">
        <v>45412</v>
      </c>
      <c r="B120" s="348">
        <v>1.02</v>
      </c>
      <c r="C120" s="348">
        <v>1.04</v>
      </c>
      <c r="D120" s="348">
        <v>1.07</v>
      </c>
      <c r="E120" s="348">
        <v>1.1200000000000001</v>
      </c>
      <c r="F120" s="348">
        <v>1.19</v>
      </c>
      <c r="G120" s="348">
        <v>1.26</v>
      </c>
      <c r="H120" s="348">
        <v>1.34</v>
      </c>
      <c r="I120" s="348">
        <v>1.42</v>
      </c>
      <c r="J120" s="348">
        <v>1.49</v>
      </c>
      <c r="K120" s="348">
        <v>1.57</v>
      </c>
      <c r="L120" s="348">
        <v>1.64</v>
      </c>
      <c r="M120" s="348">
        <v>1.7</v>
      </c>
      <c r="N120" s="348">
        <v>1.75</v>
      </c>
      <c r="O120" s="348">
        <v>1.79</v>
      </c>
      <c r="P120" s="2205">
        <v>1.83</v>
      </c>
      <c r="Q120" s="348">
        <v>1.85</v>
      </c>
      <c r="R120" s="348">
        <v>1.87</v>
      </c>
      <c r="S120" s="348">
        <v>1.88</v>
      </c>
      <c r="T120" s="348">
        <v>1.9</v>
      </c>
      <c r="U120" s="348">
        <v>1.91</v>
      </c>
      <c r="V120" s="348">
        <v>1.91</v>
      </c>
      <c r="W120" s="348">
        <v>1.9</v>
      </c>
      <c r="X120" s="348">
        <v>1.9</v>
      </c>
      <c r="Y120" s="348">
        <v>1.9</v>
      </c>
      <c r="Z120" s="348">
        <v>1.9</v>
      </c>
      <c r="AA120" s="348">
        <v>1.89</v>
      </c>
      <c r="AB120" s="348">
        <v>1.88</v>
      </c>
      <c r="AC120" s="348">
        <v>1.87</v>
      </c>
      <c r="AD120" s="348">
        <v>1.87</v>
      </c>
      <c r="AE120" s="348">
        <v>1.86</v>
      </c>
      <c r="AF120" s="348">
        <v>1.85</v>
      </c>
      <c r="AG120" s="348">
        <v>1.84</v>
      </c>
      <c r="AH120" s="348">
        <v>1.83</v>
      </c>
      <c r="AI120" s="348">
        <v>1.82</v>
      </c>
      <c r="AJ120" s="348">
        <v>1.82</v>
      </c>
      <c r="AK120" s="348">
        <v>1.81</v>
      </c>
      <c r="AL120" s="348">
        <v>1.8</v>
      </c>
      <c r="AM120" s="348">
        <v>1.8</v>
      </c>
      <c r="AN120" s="348">
        <v>1.79</v>
      </c>
      <c r="AO120" s="348">
        <v>1.79</v>
      </c>
      <c r="AP120" s="348">
        <v>1.78</v>
      </c>
      <c r="AQ120" s="348">
        <v>1.77</v>
      </c>
      <c r="AR120" s="348">
        <v>1.76</v>
      </c>
      <c r="AS120" s="348">
        <v>1.75</v>
      </c>
      <c r="AT120" s="348">
        <v>1.74</v>
      </c>
      <c r="AU120" s="348">
        <v>1.73</v>
      </c>
      <c r="AV120" s="348">
        <v>1.72</v>
      </c>
      <c r="AW120" s="348">
        <v>1.72</v>
      </c>
      <c r="AX120" s="348">
        <v>1.71</v>
      </c>
      <c r="AY120" s="348">
        <v>1.7</v>
      </c>
    </row>
    <row r="121" spans="1:52">
      <c r="A121" s="760">
        <v>45443</v>
      </c>
      <c r="B121" s="348">
        <v>1.04</v>
      </c>
      <c r="C121" s="348">
        <v>1.06</v>
      </c>
      <c r="D121" s="348">
        <v>1.0900000000000001</v>
      </c>
      <c r="E121" s="348">
        <v>1.1399999999999999</v>
      </c>
      <c r="F121" s="348">
        <v>1.2</v>
      </c>
      <c r="G121" s="348">
        <v>1.28</v>
      </c>
      <c r="H121" s="348">
        <v>1.35</v>
      </c>
      <c r="I121" s="348">
        <v>1.43</v>
      </c>
      <c r="J121" s="348">
        <v>1.51</v>
      </c>
      <c r="K121" s="348">
        <v>1.58</v>
      </c>
      <c r="L121" s="348">
        <v>1.65</v>
      </c>
      <c r="M121" s="348">
        <v>1.7</v>
      </c>
      <c r="N121" s="348">
        <v>1.75</v>
      </c>
      <c r="O121" s="348">
        <v>1.8</v>
      </c>
      <c r="P121" s="2205">
        <v>1.83</v>
      </c>
      <c r="Q121" s="348">
        <v>1.85</v>
      </c>
      <c r="R121" s="348">
        <v>1.87</v>
      </c>
      <c r="S121" s="348">
        <v>1.89</v>
      </c>
      <c r="T121" s="348">
        <v>1.9</v>
      </c>
      <c r="U121" s="348">
        <v>1.91</v>
      </c>
      <c r="V121" s="348">
        <v>1.91</v>
      </c>
      <c r="W121" s="348">
        <v>1.91</v>
      </c>
      <c r="X121" s="348">
        <v>1.9</v>
      </c>
      <c r="Y121" s="348">
        <v>1.9</v>
      </c>
      <c r="Z121" s="348">
        <v>1.9</v>
      </c>
      <c r="AA121" s="348">
        <v>1.89</v>
      </c>
      <c r="AB121" s="348">
        <v>1.88</v>
      </c>
      <c r="AC121" s="348">
        <v>1.87</v>
      </c>
      <c r="AD121" s="348">
        <v>1.87</v>
      </c>
      <c r="AE121" s="348">
        <v>1.86</v>
      </c>
      <c r="AF121" s="348">
        <v>1.85</v>
      </c>
      <c r="AG121" s="348">
        <v>1.84</v>
      </c>
      <c r="AH121" s="348">
        <v>1.83</v>
      </c>
      <c r="AI121" s="348">
        <v>1.82</v>
      </c>
      <c r="AJ121" s="348">
        <v>1.82</v>
      </c>
      <c r="AK121" s="348">
        <v>1.81</v>
      </c>
      <c r="AL121" s="348">
        <v>1.8</v>
      </c>
      <c r="AM121" s="348">
        <v>1.8</v>
      </c>
      <c r="AN121" s="348">
        <v>1.79</v>
      </c>
      <c r="AO121" s="348">
        <v>1.78</v>
      </c>
      <c r="AP121" s="348">
        <v>1.77</v>
      </c>
      <c r="AQ121" s="348">
        <v>1.76</v>
      </c>
      <c r="AR121" s="348">
        <v>1.75</v>
      </c>
      <c r="AS121" s="348">
        <v>1.75</v>
      </c>
      <c r="AT121" s="348">
        <v>1.74</v>
      </c>
      <c r="AU121" s="348">
        <v>1.73</v>
      </c>
      <c r="AV121" s="348">
        <v>1.72</v>
      </c>
      <c r="AW121" s="348">
        <v>1.71</v>
      </c>
      <c r="AX121" s="348">
        <v>1.71</v>
      </c>
      <c r="AY121" s="348">
        <v>1.7</v>
      </c>
    </row>
    <row r="122" spans="1:52">
      <c r="A122" s="760">
        <v>45473</v>
      </c>
      <c r="B122" s="348">
        <v>1.07</v>
      </c>
      <c r="C122" s="348">
        <v>1.0900000000000001</v>
      </c>
      <c r="D122" s="348">
        <v>1.1100000000000001</v>
      </c>
      <c r="E122" s="348">
        <v>1.1599999999999999</v>
      </c>
      <c r="F122" s="348">
        <v>1.22</v>
      </c>
      <c r="G122" s="348">
        <v>1.29</v>
      </c>
      <c r="H122" s="348">
        <v>1.37</v>
      </c>
      <c r="I122" s="348">
        <v>1.44</v>
      </c>
      <c r="J122" s="348">
        <v>1.52</v>
      </c>
      <c r="K122" s="348">
        <v>1.59</v>
      </c>
      <c r="L122" s="348">
        <v>1.66</v>
      </c>
      <c r="M122" s="348">
        <v>1.71</v>
      </c>
      <c r="N122" s="348">
        <v>1.76</v>
      </c>
      <c r="O122" s="348">
        <v>1.8</v>
      </c>
      <c r="P122" s="2205">
        <v>1.84</v>
      </c>
      <c r="Q122" s="348">
        <v>1.86</v>
      </c>
      <c r="R122" s="348">
        <v>1.88</v>
      </c>
      <c r="S122" s="348">
        <v>1.89</v>
      </c>
      <c r="T122" s="348">
        <v>1.9</v>
      </c>
      <c r="U122" s="348">
        <v>1.92</v>
      </c>
      <c r="V122" s="348">
        <v>1.91</v>
      </c>
      <c r="W122" s="348">
        <v>1.91</v>
      </c>
      <c r="X122" s="348">
        <v>1.91</v>
      </c>
      <c r="Y122" s="348">
        <v>1.9</v>
      </c>
      <c r="Z122" s="348">
        <v>1.9</v>
      </c>
      <c r="AA122" s="348">
        <v>1.89</v>
      </c>
      <c r="AB122" s="348">
        <v>1.88</v>
      </c>
      <c r="AC122" s="348">
        <v>1.88</v>
      </c>
      <c r="AD122" s="348">
        <v>1.87</v>
      </c>
      <c r="AE122" s="348">
        <v>1.86</v>
      </c>
      <c r="AF122" s="348">
        <v>1.85</v>
      </c>
      <c r="AG122" s="348">
        <v>1.84</v>
      </c>
      <c r="AH122" s="348">
        <v>1.83</v>
      </c>
      <c r="AI122" s="348">
        <v>1.82</v>
      </c>
      <c r="AJ122" s="348">
        <v>1.82</v>
      </c>
      <c r="AK122" s="348">
        <v>1.81</v>
      </c>
      <c r="AL122" s="348">
        <v>1.8</v>
      </c>
      <c r="AM122" s="348">
        <v>1.79</v>
      </c>
      <c r="AN122" s="348">
        <v>1.79</v>
      </c>
      <c r="AO122" s="348">
        <v>1.78</v>
      </c>
      <c r="AP122" s="348">
        <v>1.77</v>
      </c>
      <c r="AQ122" s="348">
        <v>1.76</v>
      </c>
      <c r="AR122" s="348">
        <v>1.75</v>
      </c>
      <c r="AS122" s="348">
        <v>1.74</v>
      </c>
      <c r="AT122" s="348">
        <v>1.73</v>
      </c>
      <c r="AU122" s="348">
        <v>1.73</v>
      </c>
      <c r="AV122" s="348">
        <v>1.72</v>
      </c>
      <c r="AW122" s="348">
        <v>1.71</v>
      </c>
      <c r="AX122" s="348">
        <v>1.7</v>
      </c>
      <c r="AY122" s="348">
        <v>1.7</v>
      </c>
    </row>
    <row r="123" spans="1:52">
      <c r="A123" s="760">
        <v>45504</v>
      </c>
      <c r="B123" s="348">
        <v>1.0900000000000001</v>
      </c>
      <c r="C123" s="348">
        <v>1.1100000000000001</v>
      </c>
      <c r="D123" s="348">
        <v>1.1299999999999999</v>
      </c>
      <c r="E123" s="348">
        <v>1.18</v>
      </c>
      <c r="F123" s="348">
        <v>1.24</v>
      </c>
      <c r="G123" s="348">
        <v>1.31</v>
      </c>
      <c r="H123" s="348">
        <v>1.38</v>
      </c>
      <c r="I123" s="348">
        <v>1.45</v>
      </c>
      <c r="J123" s="348">
        <v>1.53</v>
      </c>
      <c r="K123" s="348">
        <v>1.6</v>
      </c>
      <c r="L123" s="348">
        <v>1.67</v>
      </c>
      <c r="M123" s="348">
        <v>1.72</v>
      </c>
      <c r="N123" s="348">
        <v>1.77</v>
      </c>
      <c r="O123" s="348">
        <v>1.81</v>
      </c>
      <c r="P123" s="2205">
        <v>1.85</v>
      </c>
      <c r="Q123" s="348">
        <v>1.87</v>
      </c>
      <c r="R123" s="348">
        <v>1.88</v>
      </c>
      <c r="S123" s="348">
        <v>1.9</v>
      </c>
      <c r="T123" s="348">
        <v>1.91</v>
      </c>
      <c r="U123" s="348">
        <v>1.92</v>
      </c>
      <c r="V123" s="348">
        <v>1.92</v>
      </c>
      <c r="W123" s="348">
        <v>1.91</v>
      </c>
      <c r="X123" s="348">
        <v>1.91</v>
      </c>
      <c r="Y123" s="348">
        <v>1.91</v>
      </c>
      <c r="Z123" s="348">
        <v>1.9</v>
      </c>
      <c r="AA123" s="348">
        <v>1.89</v>
      </c>
      <c r="AB123" s="348">
        <v>1.89</v>
      </c>
      <c r="AC123" s="348">
        <v>1.88</v>
      </c>
      <c r="AD123" s="348">
        <v>1.87</v>
      </c>
      <c r="AE123" s="348">
        <v>1.86</v>
      </c>
      <c r="AF123" s="348">
        <v>1.85</v>
      </c>
      <c r="AG123" s="348">
        <v>1.84</v>
      </c>
      <c r="AH123" s="348">
        <v>1.83</v>
      </c>
      <c r="AI123" s="348">
        <v>1.82</v>
      </c>
      <c r="AJ123" s="348">
        <v>1.82</v>
      </c>
      <c r="AK123" s="348">
        <v>1.81</v>
      </c>
      <c r="AL123" s="348">
        <v>1.8</v>
      </c>
      <c r="AM123" s="348">
        <v>1.79</v>
      </c>
      <c r="AN123" s="348">
        <v>1.79</v>
      </c>
      <c r="AO123" s="348">
        <v>1.78</v>
      </c>
      <c r="AP123" s="348">
        <v>1.77</v>
      </c>
      <c r="AQ123" s="348">
        <v>1.76</v>
      </c>
      <c r="AR123" s="348">
        <v>1.75</v>
      </c>
      <c r="AS123" s="348">
        <v>1.74</v>
      </c>
      <c r="AT123" s="348">
        <v>1.73</v>
      </c>
      <c r="AU123" s="348">
        <v>1.72</v>
      </c>
      <c r="AV123" s="348">
        <v>1.72</v>
      </c>
      <c r="AW123" s="348">
        <v>1.71</v>
      </c>
      <c r="AX123" s="348">
        <v>1.7</v>
      </c>
      <c r="AY123" s="348">
        <v>1.69</v>
      </c>
    </row>
    <row r="124" spans="1:52">
      <c r="A124" s="760">
        <v>45535</v>
      </c>
      <c r="B124" s="348">
        <v>1.1200000000000001</v>
      </c>
      <c r="C124" s="348">
        <v>1.1299999999999999</v>
      </c>
      <c r="D124" s="348">
        <v>1.1499999999999999</v>
      </c>
      <c r="E124" s="348">
        <v>1.2</v>
      </c>
      <c r="F124" s="348">
        <v>1.26</v>
      </c>
      <c r="G124" s="348">
        <v>1.32</v>
      </c>
      <c r="H124" s="348">
        <v>1.39</v>
      </c>
      <c r="I124" s="348">
        <v>1.47</v>
      </c>
      <c r="J124" s="348">
        <v>1.54</v>
      </c>
      <c r="K124" s="348">
        <v>1.61</v>
      </c>
      <c r="L124" s="348">
        <v>1.68</v>
      </c>
      <c r="M124" s="348">
        <v>1.73</v>
      </c>
      <c r="N124" s="348">
        <v>1.78</v>
      </c>
      <c r="O124" s="348">
        <v>1.82</v>
      </c>
      <c r="P124" s="2205">
        <v>1.86</v>
      </c>
      <c r="Q124" s="348">
        <v>1.88</v>
      </c>
      <c r="R124" s="348">
        <v>1.89</v>
      </c>
      <c r="S124" s="348">
        <v>1.9</v>
      </c>
      <c r="T124" s="348">
        <v>1.92</v>
      </c>
      <c r="U124" s="348">
        <v>1.93</v>
      </c>
      <c r="V124" s="348">
        <v>1.92</v>
      </c>
      <c r="W124" s="348">
        <v>1.92</v>
      </c>
      <c r="X124" s="348">
        <v>1.92</v>
      </c>
      <c r="Y124" s="348">
        <v>1.91</v>
      </c>
      <c r="Z124" s="348">
        <v>1.91</v>
      </c>
      <c r="AA124" s="348">
        <v>1.9</v>
      </c>
      <c r="AB124" s="348">
        <v>1.89</v>
      </c>
      <c r="AC124" s="348">
        <v>1.88</v>
      </c>
      <c r="AD124" s="348">
        <v>1.87</v>
      </c>
      <c r="AE124" s="348">
        <v>1.87</v>
      </c>
      <c r="AF124" s="348">
        <v>1.86</v>
      </c>
      <c r="AG124" s="348">
        <v>1.85</v>
      </c>
      <c r="AH124" s="348">
        <v>1.84</v>
      </c>
      <c r="AI124" s="348">
        <v>1.83</v>
      </c>
      <c r="AJ124" s="348">
        <v>1.82</v>
      </c>
      <c r="AK124" s="348">
        <v>1.81</v>
      </c>
      <c r="AL124" s="348">
        <v>1.8</v>
      </c>
      <c r="AM124" s="348">
        <v>1.8</v>
      </c>
      <c r="AN124" s="348">
        <v>1.79</v>
      </c>
      <c r="AO124" s="348">
        <v>1.78</v>
      </c>
      <c r="AP124" s="348">
        <v>1.77</v>
      </c>
      <c r="AQ124" s="348">
        <v>1.76</v>
      </c>
      <c r="AR124" s="348">
        <v>1.75</v>
      </c>
      <c r="AS124" s="348">
        <v>1.74</v>
      </c>
      <c r="AT124" s="348">
        <v>1.73</v>
      </c>
      <c r="AU124" s="348">
        <v>1.73</v>
      </c>
      <c r="AV124" s="348">
        <v>1.72</v>
      </c>
      <c r="AW124" s="348">
        <v>1.71</v>
      </c>
      <c r="AX124" s="348">
        <v>1.7</v>
      </c>
      <c r="AY124" s="348">
        <v>1.7</v>
      </c>
    </row>
    <row r="125" spans="1:52">
      <c r="A125" s="760">
        <v>45565</v>
      </c>
      <c r="B125" s="348">
        <v>1.1399999999999999</v>
      </c>
      <c r="C125" s="348">
        <v>1.1499999999999999</v>
      </c>
      <c r="D125" s="348">
        <v>1.17</v>
      </c>
      <c r="E125" s="348">
        <v>1.21</v>
      </c>
      <c r="F125" s="348">
        <v>1.27</v>
      </c>
      <c r="G125" s="348">
        <v>1.34</v>
      </c>
      <c r="H125" s="348">
        <v>1.41</v>
      </c>
      <c r="I125" s="348">
        <v>1.48</v>
      </c>
      <c r="J125" s="348">
        <v>1.55</v>
      </c>
      <c r="K125" s="348">
        <v>1.62</v>
      </c>
      <c r="L125" s="348">
        <v>1.69</v>
      </c>
      <c r="M125" s="348">
        <v>1.74</v>
      </c>
      <c r="N125" s="348">
        <v>1.79</v>
      </c>
      <c r="O125" s="348">
        <v>1.83</v>
      </c>
      <c r="P125" s="2205">
        <v>1.87</v>
      </c>
      <c r="Q125" s="348">
        <v>1.88</v>
      </c>
      <c r="R125" s="348">
        <v>1.9</v>
      </c>
      <c r="S125" s="348">
        <v>1.91</v>
      </c>
      <c r="T125" s="348">
        <v>1.92</v>
      </c>
      <c r="U125" s="348">
        <v>1.93</v>
      </c>
      <c r="V125" s="348">
        <v>1.93</v>
      </c>
      <c r="W125" s="348">
        <v>1.93</v>
      </c>
      <c r="X125" s="348">
        <v>1.92</v>
      </c>
      <c r="Y125" s="348">
        <v>1.92</v>
      </c>
      <c r="Z125" s="348">
        <v>1.91</v>
      </c>
      <c r="AA125" s="348">
        <v>1.9</v>
      </c>
      <c r="AB125" s="348">
        <v>1.89</v>
      </c>
      <c r="AC125" s="348">
        <v>1.89</v>
      </c>
      <c r="AD125" s="348">
        <v>1.88</v>
      </c>
      <c r="AE125" s="348">
        <v>1.87</v>
      </c>
      <c r="AF125" s="348">
        <v>1.86</v>
      </c>
      <c r="AG125" s="348">
        <v>1.85</v>
      </c>
      <c r="AH125" s="348">
        <v>1.84</v>
      </c>
      <c r="AI125" s="348">
        <v>1.83</v>
      </c>
      <c r="AJ125" s="348">
        <v>1.82</v>
      </c>
      <c r="AK125" s="348">
        <v>1.81</v>
      </c>
      <c r="AL125" s="348">
        <v>1.81</v>
      </c>
      <c r="AM125" s="348">
        <v>1.8</v>
      </c>
      <c r="AN125" s="348">
        <v>1.79</v>
      </c>
      <c r="AO125" s="348">
        <v>1.79</v>
      </c>
      <c r="AP125" s="348">
        <v>1.77</v>
      </c>
      <c r="AQ125" s="348">
        <v>1.76</v>
      </c>
      <c r="AR125" s="348">
        <v>1.75</v>
      </c>
      <c r="AS125" s="348">
        <v>1.74</v>
      </c>
      <c r="AT125" s="348">
        <v>1.74</v>
      </c>
      <c r="AU125" s="348">
        <v>1.73</v>
      </c>
      <c r="AV125" s="348">
        <v>1.72</v>
      </c>
      <c r="AW125" s="348">
        <v>1.71</v>
      </c>
      <c r="AX125" s="348">
        <v>1.7</v>
      </c>
      <c r="AY125" s="348">
        <v>1.7</v>
      </c>
    </row>
    <row r="126" spans="1:52">
      <c r="A126" s="760">
        <v>45596</v>
      </c>
      <c r="B126" s="348">
        <v>1.1599999999999999</v>
      </c>
      <c r="C126" s="348">
        <v>1.17</v>
      </c>
      <c r="D126" s="348">
        <v>1.19</v>
      </c>
      <c r="E126" s="348">
        <v>1.23</v>
      </c>
      <c r="F126" s="348">
        <v>1.29</v>
      </c>
      <c r="G126" s="348">
        <v>1.36</v>
      </c>
      <c r="H126" s="348">
        <v>1.42</v>
      </c>
      <c r="I126" s="348">
        <v>1.5</v>
      </c>
      <c r="J126" s="348">
        <v>1.57</v>
      </c>
      <c r="K126" s="348">
        <v>1.64</v>
      </c>
      <c r="L126" s="348">
        <v>1.7</v>
      </c>
      <c r="M126" s="348">
        <v>1.75</v>
      </c>
      <c r="N126" s="348">
        <v>1.8</v>
      </c>
      <c r="O126" s="348">
        <v>1.84</v>
      </c>
      <c r="P126" s="2205">
        <v>1.88</v>
      </c>
      <c r="Q126" s="348">
        <v>1.89</v>
      </c>
      <c r="R126" s="348">
        <v>1.91</v>
      </c>
      <c r="S126" s="348">
        <v>1.92</v>
      </c>
      <c r="T126" s="348">
        <v>1.93</v>
      </c>
      <c r="U126" s="348">
        <v>1.94</v>
      </c>
      <c r="V126" s="348">
        <v>1.94</v>
      </c>
      <c r="W126" s="348">
        <v>1.93</v>
      </c>
      <c r="X126" s="348">
        <v>1.93</v>
      </c>
      <c r="Y126" s="348">
        <v>1.92</v>
      </c>
      <c r="Z126" s="348">
        <v>1.92</v>
      </c>
      <c r="AA126" s="348">
        <v>1.91</v>
      </c>
      <c r="AB126" s="348">
        <v>1.9</v>
      </c>
      <c r="AC126" s="348">
        <v>1.89</v>
      </c>
      <c r="AD126" s="348">
        <v>1.88</v>
      </c>
      <c r="AE126" s="348">
        <v>1.87</v>
      </c>
      <c r="AF126" s="348">
        <v>1.86</v>
      </c>
      <c r="AG126" s="348">
        <v>1.85</v>
      </c>
      <c r="AH126" s="348">
        <v>1.84</v>
      </c>
      <c r="AI126" s="348">
        <v>1.83</v>
      </c>
      <c r="AJ126" s="348">
        <v>1.82</v>
      </c>
      <c r="AK126" s="348">
        <v>1.82</v>
      </c>
      <c r="AL126" s="348">
        <v>1.81</v>
      </c>
      <c r="AM126" s="348">
        <v>1.8</v>
      </c>
      <c r="AN126" s="348">
        <v>1.79</v>
      </c>
      <c r="AO126" s="348">
        <v>1.79</v>
      </c>
      <c r="AP126" s="348">
        <v>1.78</v>
      </c>
      <c r="AQ126" s="348">
        <v>1.77</v>
      </c>
      <c r="AR126" s="348">
        <v>1.76</v>
      </c>
      <c r="AS126" s="348">
        <v>1.75</v>
      </c>
      <c r="AT126" s="348">
        <v>1.74</v>
      </c>
      <c r="AU126" s="348">
        <v>1.73</v>
      </c>
      <c r="AV126" s="348">
        <v>1.72</v>
      </c>
      <c r="AW126" s="348">
        <v>1.71</v>
      </c>
      <c r="AX126" s="348">
        <v>1.7</v>
      </c>
      <c r="AY126" s="348">
        <v>1.69</v>
      </c>
    </row>
    <row r="127" spans="1:52">
      <c r="A127" s="760">
        <v>45626</v>
      </c>
      <c r="B127" s="348">
        <v>1.18</v>
      </c>
      <c r="C127" s="348">
        <v>1.18</v>
      </c>
      <c r="D127" s="348">
        <v>1.2</v>
      </c>
      <c r="E127" s="348">
        <v>1.25</v>
      </c>
      <c r="F127" s="348">
        <v>1.31</v>
      </c>
      <c r="G127" s="348">
        <v>1.37</v>
      </c>
      <c r="H127" s="348">
        <v>1.44</v>
      </c>
      <c r="I127" s="348">
        <v>1.51</v>
      </c>
      <c r="J127" s="348">
        <v>1.58</v>
      </c>
      <c r="K127" s="348">
        <v>1.65</v>
      </c>
      <c r="L127" s="348">
        <v>1.71</v>
      </c>
      <c r="M127" s="348">
        <v>1.76</v>
      </c>
      <c r="N127" s="348">
        <v>1.81</v>
      </c>
      <c r="O127" s="348">
        <v>1.85</v>
      </c>
      <c r="P127" s="2205">
        <v>1.88</v>
      </c>
      <c r="Q127" s="348">
        <v>1.9</v>
      </c>
      <c r="R127" s="348">
        <v>1.91</v>
      </c>
      <c r="S127" s="348">
        <v>1.93</v>
      </c>
      <c r="T127" s="348">
        <v>1.94</v>
      </c>
      <c r="U127" s="348">
        <v>1.95</v>
      </c>
      <c r="V127" s="348">
        <v>1.94</v>
      </c>
      <c r="W127" s="348">
        <v>1.94</v>
      </c>
      <c r="X127" s="348">
        <v>1.93</v>
      </c>
      <c r="Y127" s="348">
        <v>1.93</v>
      </c>
      <c r="Z127" s="348">
        <v>1.92</v>
      </c>
      <c r="AA127" s="348">
        <v>1.91</v>
      </c>
      <c r="AB127" s="348">
        <v>1.9</v>
      </c>
      <c r="AC127" s="348">
        <v>1.89</v>
      </c>
      <c r="AD127" s="348">
        <v>1.89</v>
      </c>
      <c r="AE127" s="348">
        <v>1.88</v>
      </c>
      <c r="AF127" s="348">
        <v>1.87</v>
      </c>
      <c r="AG127" s="348">
        <v>1.86</v>
      </c>
      <c r="AH127" s="348">
        <v>1.85</v>
      </c>
      <c r="AI127" s="348">
        <v>1.84</v>
      </c>
      <c r="AJ127" s="348">
        <v>1.83</v>
      </c>
      <c r="AK127" s="348">
        <v>1.82</v>
      </c>
      <c r="AL127" s="348">
        <v>1.81</v>
      </c>
      <c r="AM127" s="348">
        <v>1.8</v>
      </c>
      <c r="AN127" s="348">
        <v>1.8</v>
      </c>
      <c r="AO127" s="348">
        <v>1.79</v>
      </c>
      <c r="AP127" s="348">
        <v>1.78</v>
      </c>
      <c r="AQ127" s="348">
        <v>1.77</v>
      </c>
      <c r="AR127" s="348">
        <v>1.76</v>
      </c>
      <c r="AS127" s="348">
        <v>1.75</v>
      </c>
      <c r="AT127" s="348">
        <v>1.74</v>
      </c>
      <c r="AU127" s="348">
        <v>1.73</v>
      </c>
      <c r="AV127" s="348">
        <v>1.72</v>
      </c>
      <c r="AW127" s="348">
        <v>1.71</v>
      </c>
      <c r="AX127" s="348">
        <v>1.7</v>
      </c>
      <c r="AY127" s="348">
        <v>1.7</v>
      </c>
    </row>
    <row r="128" spans="1:52">
      <c r="A128" s="760">
        <v>45657</v>
      </c>
      <c r="B128" s="348">
        <v>1.2</v>
      </c>
      <c r="C128" s="348">
        <v>1.2</v>
      </c>
      <c r="D128" s="348">
        <v>1.22</v>
      </c>
      <c r="E128" s="348">
        <v>1.27</v>
      </c>
      <c r="F128" s="348">
        <v>1.32</v>
      </c>
      <c r="G128" s="348">
        <v>1.39</v>
      </c>
      <c r="H128" s="348">
        <v>1.46</v>
      </c>
      <c r="I128" s="348">
        <v>1.53</v>
      </c>
      <c r="J128" s="348">
        <v>1.6</v>
      </c>
      <c r="K128" s="348">
        <v>1.66</v>
      </c>
      <c r="L128" s="348">
        <v>1.73</v>
      </c>
      <c r="M128" s="348">
        <v>1.78</v>
      </c>
      <c r="N128" s="348">
        <v>1.82</v>
      </c>
      <c r="O128" s="348">
        <v>1.86</v>
      </c>
      <c r="P128" s="2205">
        <v>1.9</v>
      </c>
      <c r="Q128" s="348">
        <v>1.91</v>
      </c>
      <c r="R128" s="348">
        <v>1.93</v>
      </c>
      <c r="S128" s="348">
        <v>1.94</v>
      </c>
      <c r="T128" s="348">
        <v>1.95</v>
      </c>
      <c r="U128" s="348">
        <v>1.96</v>
      </c>
      <c r="V128" s="348">
        <v>1.95</v>
      </c>
      <c r="W128" s="348">
        <v>1.95</v>
      </c>
      <c r="X128" s="348">
        <v>1.94</v>
      </c>
      <c r="Y128" s="348">
        <v>1.94</v>
      </c>
      <c r="Z128" s="348">
        <v>1.93</v>
      </c>
      <c r="AA128" s="348">
        <v>1.92</v>
      </c>
      <c r="AB128" s="348">
        <v>1.91</v>
      </c>
      <c r="AC128" s="348">
        <v>1.9</v>
      </c>
      <c r="AD128" s="348">
        <v>1.89</v>
      </c>
      <c r="AE128" s="348">
        <v>1.88</v>
      </c>
      <c r="AF128" s="348">
        <v>1.87</v>
      </c>
      <c r="AG128" s="348">
        <v>1.86</v>
      </c>
      <c r="AH128" s="348">
        <v>1.85</v>
      </c>
      <c r="AI128" s="348">
        <v>1.84</v>
      </c>
      <c r="AJ128" s="348">
        <v>1.83</v>
      </c>
      <c r="AK128" s="348">
        <v>1.82</v>
      </c>
      <c r="AL128" s="348">
        <v>1.82</v>
      </c>
      <c r="AM128" s="348">
        <v>1.81</v>
      </c>
      <c r="AN128" s="348">
        <v>1.8</v>
      </c>
      <c r="AO128" s="348">
        <v>1.79</v>
      </c>
      <c r="AP128" s="348">
        <v>1.78</v>
      </c>
      <c r="AQ128" s="348">
        <v>1.77</v>
      </c>
      <c r="AR128" s="348">
        <v>1.76</v>
      </c>
      <c r="AS128" s="348">
        <v>1.75</v>
      </c>
      <c r="AT128" s="348">
        <v>1.74</v>
      </c>
      <c r="AU128" s="348">
        <v>1.73</v>
      </c>
      <c r="AV128" s="348">
        <v>1.72</v>
      </c>
      <c r="AW128" s="348">
        <v>1.71</v>
      </c>
      <c r="AX128" s="348">
        <v>1.71</v>
      </c>
      <c r="AY128" s="348">
        <v>1.7</v>
      </c>
    </row>
    <row r="129" spans="1:51">
      <c r="A129" s="760">
        <v>45688</v>
      </c>
      <c r="B129" s="348">
        <v>1.54</v>
      </c>
      <c r="C129" s="348">
        <v>1.52</v>
      </c>
      <c r="D129" s="348">
        <v>1.51</v>
      </c>
      <c r="E129" s="348">
        <v>1.53</v>
      </c>
      <c r="F129" s="348">
        <v>1.57</v>
      </c>
      <c r="G129" s="348">
        <v>1.61</v>
      </c>
      <c r="H129" s="348">
        <v>1.66</v>
      </c>
      <c r="I129" s="348">
        <v>1.71</v>
      </c>
      <c r="J129" s="348">
        <v>1.76</v>
      </c>
      <c r="K129" s="348">
        <v>1.81</v>
      </c>
      <c r="L129" s="348">
        <v>1.85</v>
      </c>
      <c r="M129" s="348">
        <v>1.89</v>
      </c>
      <c r="N129" s="348">
        <v>1.93</v>
      </c>
      <c r="O129" s="348">
        <v>1.96</v>
      </c>
      <c r="P129" s="2205">
        <v>1.98</v>
      </c>
      <c r="Q129" s="348">
        <v>1.98</v>
      </c>
      <c r="R129" s="348">
        <v>1.99</v>
      </c>
      <c r="S129" s="348">
        <v>1.99</v>
      </c>
      <c r="T129" s="348">
        <v>1.99</v>
      </c>
      <c r="U129" s="348">
        <v>2</v>
      </c>
      <c r="V129" s="348">
        <v>1.98</v>
      </c>
      <c r="W129" s="348">
        <v>1.97</v>
      </c>
      <c r="X129" s="348">
        <v>1.96</v>
      </c>
      <c r="Y129" s="348">
        <v>1.95</v>
      </c>
      <c r="Z129" s="348">
        <v>1.94</v>
      </c>
      <c r="AA129" s="348">
        <v>1.92</v>
      </c>
      <c r="AB129" s="348">
        <v>1.9</v>
      </c>
      <c r="AC129" s="348">
        <v>1.89</v>
      </c>
      <c r="AD129" s="348">
        <v>1.88</v>
      </c>
      <c r="AE129" s="348">
        <v>1.86</v>
      </c>
      <c r="AF129" s="348">
        <v>1.85</v>
      </c>
      <c r="AG129" s="348">
        <v>1.83</v>
      </c>
      <c r="AH129" s="348">
        <v>1.82</v>
      </c>
      <c r="AI129" s="348">
        <v>1.8</v>
      </c>
      <c r="AJ129" s="348">
        <v>1.79</v>
      </c>
      <c r="AK129" s="348">
        <v>1.78</v>
      </c>
      <c r="AL129" s="348">
        <v>1.77</v>
      </c>
      <c r="AM129" s="348">
        <v>1.76</v>
      </c>
      <c r="AN129" s="348">
        <v>1.75</v>
      </c>
      <c r="AO129" s="348">
        <v>1.74</v>
      </c>
      <c r="AP129" s="348">
        <v>1.72</v>
      </c>
      <c r="AQ129" s="348">
        <v>1.71</v>
      </c>
      <c r="AR129" s="348">
        <v>1.7</v>
      </c>
      <c r="AS129" s="348">
        <v>1.69</v>
      </c>
      <c r="AT129" s="348">
        <v>1.68</v>
      </c>
      <c r="AU129" s="348">
        <v>1.66</v>
      </c>
      <c r="AV129" s="348">
        <v>1.65</v>
      </c>
      <c r="AW129" s="348">
        <v>1.64</v>
      </c>
      <c r="AX129" s="348">
        <v>1.64</v>
      </c>
      <c r="AY129" s="348">
        <v>1.63</v>
      </c>
    </row>
    <row r="130" spans="1:51">
      <c r="A130" s="760">
        <v>45716</v>
      </c>
      <c r="B130" s="348">
        <v>1.24</v>
      </c>
      <c r="C130" s="348">
        <v>1.24</v>
      </c>
      <c r="D130" s="348">
        <v>1.26</v>
      </c>
      <c r="E130" s="348">
        <v>1.3</v>
      </c>
      <c r="F130" s="348">
        <v>1.36</v>
      </c>
      <c r="G130" s="348">
        <v>1.43</v>
      </c>
      <c r="H130" s="348">
        <v>1.49</v>
      </c>
      <c r="I130" s="348">
        <v>1.56</v>
      </c>
      <c r="J130" s="348">
        <v>1.63</v>
      </c>
      <c r="K130" s="348">
        <v>1.7</v>
      </c>
      <c r="L130" s="348">
        <v>1.76</v>
      </c>
      <c r="M130" s="348">
        <v>1.81</v>
      </c>
      <c r="N130" s="348">
        <v>1.85</v>
      </c>
      <c r="O130" s="348">
        <v>1.89</v>
      </c>
      <c r="P130" s="2205">
        <v>1.93</v>
      </c>
      <c r="Q130" s="348">
        <v>1.94</v>
      </c>
      <c r="R130" s="348">
        <v>1.95</v>
      </c>
      <c r="S130" s="348">
        <v>1.96</v>
      </c>
      <c r="T130" s="348">
        <v>1.97</v>
      </c>
      <c r="U130" s="348">
        <v>1.98</v>
      </c>
      <c r="V130" s="348">
        <v>1.98</v>
      </c>
      <c r="W130" s="348">
        <v>1.97</v>
      </c>
      <c r="X130" s="348">
        <v>1.97</v>
      </c>
      <c r="Y130" s="348">
        <v>1.96</v>
      </c>
      <c r="Z130" s="348">
        <v>1.96</v>
      </c>
      <c r="AA130" s="348">
        <v>1.94</v>
      </c>
      <c r="AB130" s="348">
        <v>1.93</v>
      </c>
      <c r="AC130" s="348">
        <v>1.92</v>
      </c>
      <c r="AD130" s="348">
        <v>1.91</v>
      </c>
      <c r="AE130" s="348">
        <v>1.9</v>
      </c>
      <c r="AF130" s="348">
        <v>1.89</v>
      </c>
      <c r="AG130" s="348">
        <v>1.88</v>
      </c>
      <c r="AH130" s="348">
        <v>1.87</v>
      </c>
      <c r="AI130" s="348">
        <v>1.86</v>
      </c>
      <c r="AJ130" s="348">
        <v>1.85</v>
      </c>
      <c r="AK130" s="348">
        <v>1.84</v>
      </c>
      <c r="AL130" s="348">
        <v>1.83</v>
      </c>
      <c r="AM130" s="348">
        <v>1.83</v>
      </c>
      <c r="AN130" s="348">
        <v>1.82</v>
      </c>
      <c r="AO130" s="348">
        <v>1.81</v>
      </c>
      <c r="AP130" s="348">
        <v>1.8</v>
      </c>
      <c r="AQ130" s="348">
        <v>1.79</v>
      </c>
      <c r="AR130" s="348">
        <v>1.78</v>
      </c>
      <c r="AS130" s="348">
        <v>1.77</v>
      </c>
      <c r="AT130" s="348">
        <v>1.76</v>
      </c>
      <c r="AU130" s="348">
        <v>1.75</v>
      </c>
      <c r="AV130" s="348">
        <v>1.74</v>
      </c>
      <c r="AW130" s="348">
        <v>1.73</v>
      </c>
      <c r="AX130" s="348">
        <v>1.72</v>
      </c>
      <c r="AY130" s="348">
        <v>1.71</v>
      </c>
    </row>
    <row r="131" spans="1:51">
      <c r="A131" s="760">
        <v>45747</v>
      </c>
      <c r="B131" s="348">
        <v>1.26</v>
      </c>
      <c r="C131" s="348">
        <v>1.26</v>
      </c>
      <c r="D131" s="348">
        <v>1.28</v>
      </c>
      <c r="E131" s="348">
        <v>1.32</v>
      </c>
      <c r="F131" s="348">
        <v>1.38</v>
      </c>
      <c r="G131" s="348">
        <v>1.45</v>
      </c>
      <c r="H131" s="348">
        <v>1.51</v>
      </c>
      <c r="I131" s="348">
        <v>1.58</v>
      </c>
      <c r="J131" s="348">
        <v>1.65</v>
      </c>
      <c r="K131" s="348">
        <v>1.72</v>
      </c>
      <c r="L131" s="348">
        <v>1.78</v>
      </c>
      <c r="M131" s="348">
        <v>1.83</v>
      </c>
      <c r="N131" s="348">
        <v>1.87</v>
      </c>
      <c r="O131" s="348">
        <v>1.91</v>
      </c>
      <c r="P131" s="2205">
        <v>1.95</v>
      </c>
      <c r="Q131" s="348">
        <v>1.96</v>
      </c>
      <c r="R131" s="348">
        <v>1.97</v>
      </c>
      <c r="S131" s="348">
        <v>1.98</v>
      </c>
      <c r="T131" s="348">
        <v>1.99</v>
      </c>
      <c r="U131" s="348">
        <v>2</v>
      </c>
      <c r="V131" s="348">
        <v>2</v>
      </c>
      <c r="W131" s="348">
        <v>1.99</v>
      </c>
      <c r="X131" s="348">
        <v>1.98</v>
      </c>
      <c r="Y131" s="348">
        <v>1.98</v>
      </c>
      <c r="Z131" s="348">
        <v>1.97</v>
      </c>
      <c r="AA131" s="348">
        <v>1.96</v>
      </c>
      <c r="AB131" s="348">
        <v>1.95</v>
      </c>
      <c r="AC131" s="348">
        <v>1.94</v>
      </c>
      <c r="AD131" s="348">
        <v>1.93</v>
      </c>
      <c r="AE131" s="348">
        <v>1.92</v>
      </c>
      <c r="AF131" s="348">
        <v>1.91</v>
      </c>
      <c r="AG131" s="348">
        <v>1.9</v>
      </c>
      <c r="AH131" s="348">
        <v>1.89</v>
      </c>
      <c r="AI131" s="348">
        <v>1.88</v>
      </c>
      <c r="AJ131" s="348">
        <v>1.87</v>
      </c>
      <c r="AK131" s="348">
        <v>1.86</v>
      </c>
      <c r="AL131" s="348">
        <v>1.85</v>
      </c>
      <c r="AM131" s="348">
        <v>1.84</v>
      </c>
      <c r="AN131" s="348">
        <v>1.83</v>
      </c>
      <c r="AO131" s="348">
        <v>1.83</v>
      </c>
      <c r="AP131" s="348">
        <v>1.82</v>
      </c>
      <c r="AQ131" s="348">
        <v>1.8</v>
      </c>
      <c r="AR131" s="348">
        <v>1.79</v>
      </c>
      <c r="AS131" s="348">
        <v>1.78</v>
      </c>
      <c r="AT131" s="348">
        <v>1.77</v>
      </c>
      <c r="AU131" s="348">
        <v>1.76</v>
      </c>
      <c r="AV131" s="348">
        <v>1.75</v>
      </c>
      <c r="AW131" s="348">
        <v>1.75</v>
      </c>
      <c r="AX131" s="348">
        <v>1.74</v>
      </c>
      <c r="AY131" s="348">
        <v>1.73</v>
      </c>
    </row>
    <row r="132" spans="1:51">
      <c r="A132" s="111">
        <v>45777</v>
      </c>
      <c r="B132" s="126">
        <v>1.28</v>
      </c>
      <c r="C132" s="126">
        <v>1.28</v>
      </c>
      <c r="D132" s="126">
        <v>1.3</v>
      </c>
      <c r="E132" s="126">
        <v>1.34</v>
      </c>
      <c r="F132" s="126">
        <v>1.4</v>
      </c>
      <c r="G132" s="126">
        <v>1.46</v>
      </c>
      <c r="H132" s="126">
        <v>1.53</v>
      </c>
      <c r="I132" s="126">
        <v>1.6</v>
      </c>
      <c r="J132" s="126">
        <v>1.67</v>
      </c>
      <c r="K132" s="126">
        <v>1.73</v>
      </c>
      <c r="L132" s="126">
        <v>1.8</v>
      </c>
      <c r="M132" s="126">
        <v>1.85</v>
      </c>
      <c r="N132" s="126">
        <v>1.89</v>
      </c>
      <c r="O132" s="126">
        <v>1.93</v>
      </c>
      <c r="P132" s="435">
        <v>1.96</v>
      </c>
      <c r="Q132" s="126">
        <v>1.98</v>
      </c>
      <c r="R132" s="126">
        <v>1.99</v>
      </c>
      <c r="S132" s="126">
        <v>2</v>
      </c>
      <c r="T132" s="126">
        <v>2.0099999999999998</v>
      </c>
      <c r="U132" s="126">
        <v>2.02</v>
      </c>
      <c r="V132" s="126">
        <v>2.0099999999999998</v>
      </c>
      <c r="W132" s="126">
        <v>2</v>
      </c>
      <c r="X132" s="126">
        <v>2</v>
      </c>
      <c r="Y132" s="126">
        <v>1.99</v>
      </c>
      <c r="Z132" s="126">
        <v>1.99</v>
      </c>
      <c r="AA132" s="126">
        <v>1.98</v>
      </c>
      <c r="AB132" s="126">
        <v>1.96</v>
      </c>
      <c r="AC132" s="126">
        <v>1.95</v>
      </c>
      <c r="AD132" s="126">
        <v>1.94</v>
      </c>
      <c r="AE132" s="126">
        <v>1.94</v>
      </c>
      <c r="AF132" s="126">
        <v>1.92</v>
      </c>
      <c r="AG132" s="126">
        <v>1.91</v>
      </c>
      <c r="AH132" s="126">
        <v>1.9</v>
      </c>
      <c r="AI132" s="126">
        <v>1.89</v>
      </c>
      <c r="AJ132" s="126">
        <v>1.88</v>
      </c>
      <c r="AK132" s="126">
        <v>1.87</v>
      </c>
      <c r="AL132" s="126">
        <v>1.86</v>
      </c>
      <c r="AM132" s="126">
        <v>1.86</v>
      </c>
      <c r="AN132" s="126">
        <v>1.85</v>
      </c>
      <c r="AO132" s="126">
        <v>1.84</v>
      </c>
      <c r="AP132" s="126">
        <v>1.83</v>
      </c>
      <c r="AQ132" s="126">
        <v>1.82</v>
      </c>
      <c r="AR132" s="126">
        <v>1.81</v>
      </c>
      <c r="AS132" s="126">
        <v>1.8</v>
      </c>
      <c r="AT132" s="126">
        <v>1.79</v>
      </c>
      <c r="AU132" s="126">
        <v>1.78</v>
      </c>
      <c r="AV132" s="126">
        <v>1.77</v>
      </c>
      <c r="AW132" s="126">
        <v>1.76</v>
      </c>
      <c r="AX132" s="126">
        <v>1.75</v>
      </c>
      <c r="AY132" s="126">
        <v>1.74</v>
      </c>
    </row>
    <row r="133" spans="1:51">
      <c r="A133" s="111">
        <v>45808</v>
      </c>
      <c r="B133" s="126">
        <v>1.3</v>
      </c>
      <c r="C133" s="126">
        <v>1.3</v>
      </c>
      <c r="D133" s="126">
        <v>1.31</v>
      </c>
      <c r="E133" s="126">
        <v>1.36</v>
      </c>
      <c r="F133" s="126">
        <v>1.42</v>
      </c>
      <c r="G133" s="126">
        <v>1.48</v>
      </c>
      <c r="H133" s="126">
        <v>1.55</v>
      </c>
      <c r="I133" s="126">
        <v>1.62</v>
      </c>
      <c r="J133" s="126">
        <v>1.68</v>
      </c>
      <c r="K133" s="126">
        <v>1.75</v>
      </c>
      <c r="L133" s="126">
        <v>1.81</v>
      </c>
      <c r="M133" s="126">
        <v>1.86</v>
      </c>
      <c r="N133" s="126">
        <v>1.91</v>
      </c>
      <c r="O133" s="126">
        <v>1.94</v>
      </c>
      <c r="P133" s="435">
        <v>1.98</v>
      </c>
      <c r="Q133" s="126">
        <v>1.99</v>
      </c>
      <c r="R133" s="126">
        <v>2</v>
      </c>
      <c r="S133" s="126">
        <v>2.0099999999999998</v>
      </c>
      <c r="T133" s="126">
        <v>2.02</v>
      </c>
      <c r="U133" s="126">
        <v>2.0299999999999998</v>
      </c>
      <c r="V133" s="126">
        <v>2.02</v>
      </c>
      <c r="W133" s="126">
        <v>2.02</v>
      </c>
      <c r="X133" s="126">
        <v>2.0099999999999998</v>
      </c>
      <c r="Y133" s="126">
        <v>2.0099999999999998</v>
      </c>
      <c r="Z133" s="126">
        <v>2</v>
      </c>
      <c r="AA133" s="126">
        <v>1.99</v>
      </c>
      <c r="AB133" s="126">
        <v>1.98</v>
      </c>
      <c r="AC133" s="126">
        <v>1.97</v>
      </c>
      <c r="AD133" s="126">
        <v>1.96</v>
      </c>
      <c r="AE133" s="126">
        <v>1.95</v>
      </c>
      <c r="AF133" s="126">
        <v>1.93</v>
      </c>
      <c r="AG133" s="126">
        <v>1.92</v>
      </c>
      <c r="AH133" s="126">
        <v>1.91</v>
      </c>
      <c r="AI133" s="126">
        <v>1.9</v>
      </c>
      <c r="AJ133" s="126">
        <v>1.89</v>
      </c>
      <c r="AK133" s="126">
        <v>1.88</v>
      </c>
      <c r="AL133" s="126">
        <v>1.87</v>
      </c>
      <c r="AM133" s="126">
        <v>1.87</v>
      </c>
      <c r="AN133" s="126">
        <v>1.86</v>
      </c>
      <c r="AO133" s="126">
        <v>1.85</v>
      </c>
      <c r="AP133" s="126">
        <v>1.84</v>
      </c>
      <c r="AQ133" s="126">
        <v>1.83</v>
      </c>
      <c r="AR133" s="126">
        <v>1.82</v>
      </c>
      <c r="AS133" s="126">
        <v>1.81</v>
      </c>
      <c r="AT133" s="126">
        <v>1.8</v>
      </c>
      <c r="AU133" s="126">
        <v>1.79</v>
      </c>
      <c r="AV133" s="126">
        <v>1.78</v>
      </c>
      <c r="AW133" s="126">
        <v>1.77</v>
      </c>
      <c r="AX133" s="126">
        <v>1.76</v>
      </c>
      <c r="AY133" s="126">
        <v>1.75</v>
      </c>
    </row>
    <row r="134" spans="1:51">
      <c r="A134" s="760">
        <v>45838</v>
      </c>
      <c r="B134" s="348">
        <v>1.31</v>
      </c>
      <c r="C134" s="348">
        <v>1.31</v>
      </c>
      <c r="D134" s="348">
        <v>1.33</v>
      </c>
      <c r="E134" s="348">
        <v>1.37</v>
      </c>
      <c r="F134" s="348">
        <v>1.43</v>
      </c>
      <c r="G134" s="348">
        <v>1.49</v>
      </c>
      <c r="H134" s="348">
        <v>1.56</v>
      </c>
      <c r="I134" s="348">
        <v>1.63</v>
      </c>
      <c r="J134" s="348">
        <v>1.7</v>
      </c>
      <c r="K134" s="348">
        <v>1.76</v>
      </c>
      <c r="L134" s="348">
        <v>1.82</v>
      </c>
      <c r="M134" s="348">
        <v>1.87</v>
      </c>
      <c r="N134" s="348">
        <v>1.92</v>
      </c>
      <c r="O134" s="348">
        <v>1.96</v>
      </c>
      <c r="P134" s="2273">
        <v>1.99</v>
      </c>
      <c r="Q134" s="348">
        <v>2</v>
      </c>
      <c r="R134" s="348">
        <v>2.0099999999999998</v>
      </c>
      <c r="S134" s="348">
        <v>2.02</v>
      </c>
      <c r="T134" s="348">
        <v>2.0299999999999998</v>
      </c>
      <c r="U134" s="348">
        <v>2.04</v>
      </c>
      <c r="V134" s="348">
        <v>2.0299999999999998</v>
      </c>
      <c r="W134" s="348">
        <v>2.0299999999999998</v>
      </c>
      <c r="X134" s="348">
        <v>2.02</v>
      </c>
      <c r="Y134" s="348">
        <v>2.02</v>
      </c>
      <c r="Z134" s="348">
        <v>2.0099999999999998</v>
      </c>
      <c r="AA134" s="348">
        <v>2</v>
      </c>
      <c r="AB134" s="348">
        <v>1.99</v>
      </c>
      <c r="AC134" s="348">
        <v>1.97</v>
      </c>
      <c r="AD134" s="348">
        <v>1.96</v>
      </c>
      <c r="AE134" s="348">
        <v>1.96</v>
      </c>
      <c r="AF134" s="348">
        <v>1.94</v>
      </c>
      <c r="AG134" s="348">
        <v>1.93</v>
      </c>
      <c r="AH134" s="348">
        <v>1.92</v>
      </c>
      <c r="AI134" s="348">
        <v>1.91</v>
      </c>
      <c r="AJ134" s="348">
        <v>1.9</v>
      </c>
      <c r="AK134" s="348">
        <v>1.89</v>
      </c>
      <c r="AL134" s="348">
        <v>1.88</v>
      </c>
      <c r="AM134" s="348">
        <v>1.87</v>
      </c>
      <c r="AN134" s="348">
        <v>1.87</v>
      </c>
      <c r="AO134" s="348">
        <v>1.86</v>
      </c>
      <c r="AP134" s="348">
        <v>1.85</v>
      </c>
      <c r="AQ134" s="348">
        <v>1.84</v>
      </c>
      <c r="AR134" s="348">
        <v>1.83</v>
      </c>
      <c r="AS134" s="348">
        <v>1.81</v>
      </c>
      <c r="AT134" s="348">
        <v>1.8</v>
      </c>
      <c r="AU134" s="348">
        <v>1.8</v>
      </c>
      <c r="AV134" s="348">
        <v>1.79</v>
      </c>
      <c r="AW134" s="348">
        <v>1.78</v>
      </c>
      <c r="AX134" s="348">
        <v>1.77</v>
      </c>
      <c r="AY134" s="348">
        <v>1.76</v>
      </c>
    </row>
    <row r="135" spans="1:51">
      <c r="A135" s="2253">
        <v>45869</v>
      </c>
      <c r="B135" s="2252">
        <v>1.33</v>
      </c>
      <c r="C135" s="2252">
        <v>1.33</v>
      </c>
      <c r="D135" s="2252">
        <v>1.35</v>
      </c>
      <c r="E135" s="2252">
        <v>1.39</v>
      </c>
      <c r="F135" s="2252">
        <v>1.45</v>
      </c>
      <c r="G135" s="2252">
        <v>1.51</v>
      </c>
      <c r="H135" s="2252">
        <v>1.57</v>
      </c>
      <c r="I135" s="2252">
        <v>1.64</v>
      </c>
      <c r="J135" s="2252">
        <v>1.71</v>
      </c>
      <c r="K135" s="2252">
        <v>1.78</v>
      </c>
      <c r="L135" s="2252">
        <v>1.84</v>
      </c>
      <c r="M135" s="2252">
        <v>1.89</v>
      </c>
      <c r="N135" s="2252">
        <v>1.93</v>
      </c>
      <c r="O135" s="2252">
        <v>1.97</v>
      </c>
      <c r="P135" s="2274">
        <v>2</v>
      </c>
      <c r="Q135" s="2252">
        <v>2.0099999999999998</v>
      </c>
      <c r="R135" s="2252">
        <v>2.02</v>
      </c>
      <c r="S135" s="2252">
        <v>2.04</v>
      </c>
      <c r="T135" s="2252">
        <v>2.04</v>
      </c>
      <c r="U135" s="2252">
        <v>2.0499999999999998</v>
      </c>
      <c r="V135" s="2252">
        <v>2.04</v>
      </c>
      <c r="W135" s="2252">
        <v>2.04</v>
      </c>
      <c r="X135" s="2252">
        <v>2.0299999999999998</v>
      </c>
      <c r="Y135" s="2252">
        <v>2.0299999999999998</v>
      </c>
      <c r="Z135" s="2252">
        <v>2.02</v>
      </c>
      <c r="AA135" s="2252">
        <v>2.0099999999999998</v>
      </c>
      <c r="AB135" s="2252">
        <v>2</v>
      </c>
      <c r="AC135" s="2252">
        <v>1.99</v>
      </c>
      <c r="AD135" s="2252">
        <v>1.98</v>
      </c>
      <c r="AE135" s="2252">
        <v>1.97</v>
      </c>
      <c r="AF135" s="2252">
        <v>1.95</v>
      </c>
      <c r="AG135" s="2252">
        <v>1.94</v>
      </c>
      <c r="AH135" s="2252">
        <v>1.93</v>
      </c>
      <c r="AI135" s="2252">
        <v>1.92</v>
      </c>
      <c r="AJ135" s="2252">
        <v>1.91</v>
      </c>
      <c r="AK135" s="2252">
        <v>1.9</v>
      </c>
      <c r="AL135" s="2252">
        <v>1.89</v>
      </c>
      <c r="AM135" s="2252">
        <v>1.88</v>
      </c>
      <c r="AN135" s="2252">
        <v>1.88</v>
      </c>
      <c r="AO135" s="2252">
        <v>1.87</v>
      </c>
      <c r="AP135" s="2252">
        <v>1.86</v>
      </c>
      <c r="AQ135" s="2252">
        <v>1.85</v>
      </c>
      <c r="AR135" s="2252">
        <v>1.84</v>
      </c>
      <c r="AS135" s="2252">
        <v>1.82</v>
      </c>
      <c r="AT135" s="2252">
        <v>1.81</v>
      </c>
      <c r="AU135" s="2252">
        <v>1.81</v>
      </c>
      <c r="AV135" s="2252">
        <v>1.8</v>
      </c>
      <c r="AW135" s="2252">
        <v>1.79</v>
      </c>
      <c r="AX135" s="2252">
        <v>1.78</v>
      </c>
      <c r="AY135" s="2252">
        <v>1.77</v>
      </c>
    </row>
    <row r="136" spans="1:51">
      <c r="A136" s="2257">
        <v>45900</v>
      </c>
      <c r="B136" s="2256">
        <v>1.35</v>
      </c>
      <c r="C136" s="2256">
        <v>1.34</v>
      </c>
      <c r="D136" s="2256">
        <v>1.36</v>
      </c>
      <c r="E136" s="2256">
        <v>1.41</v>
      </c>
      <c r="F136" s="2256">
        <v>1.46</v>
      </c>
      <c r="G136" s="2256">
        <v>1.52</v>
      </c>
      <c r="H136" s="2256">
        <v>1.59</v>
      </c>
      <c r="I136" s="2256">
        <v>1.66</v>
      </c>
      <c r="J136" s="2256">
        <v>1.72</v>
      </c>
      <c r="K136" s="2256">
        <v>1.79</v>
      </c>
      <c r="L136" s="2256">
        <v>1.85</v>
      </c>
      <c r="M136" s="2256">
        <v>1.9</v>
      </c>
      <c r="N136" s="2256">
        <v>1.94</v>
      </c>
      <c r="O136" s="2256">
        <v>1.98</v>
      </c>
      <c r="P136" s="2275">
        <v>2.0099999999999998</v>
      </c>
      <c r="Q136" s="2256">
        <v>2.02</v>
      </c>
      <c r="R136" s="2256">
        <v>2.04</v>
      </c>
      <c r="S136" s="2256">
        <v>2.0499999999999998</v>
      </c>
      <c r="T136" s="2256">
        <v>2.0499999999999998</v>
      </c>
      <c r="U136" s="2256">
        <v>2.06</v>
      </c>
      <c r="V136" s="2256">
        <v>2.06</v>
      </c>
      <c r="W136" s="2256">
        <v>2.0499999999999998</v>
      </c>
      <c r="X136" s="2256">
        <v>2.04</v>
      </c>
      <c r="Y136" s="2256">
        <v>2.04</v>
      </c>
      <c r="Z136" s="2256">
        <v>2.0299999999999998</v>
      </c>
      <c r="AA136" s="2256">
        <v>2.02</v>
      </c>
      <c r="AB136" s="2256">
        <v>2.0099999999999998</v>
      </c>
      <c r="AC136" s="2256">
        <v>2</v>
      </c>
      <c r="AD136" s="2256">
        <v>1.99</v>
      </c>
      <c r="AE136" s="2256">
        <v>1.98</v>
      </c>
      <c r="AF136" s="2256">
        <v>1.96</v>
      </c>
      <c r="AG136" s="2256">
        <v>1.95</v>
      </c>
      <c r="AH136" s="2256">
        <v>1.94</v>
      </c>
      <c r="AI136" s="2256">
        <v>1.93</v>
      </c>
      <c r="AJ136" s="2256">
        <v>1.92</v>
      </c>
      <c r="AK136" s="2256">
        <v>1.91</v>
      </c>
      <c r="AL136" s="2256">
        <v>1.9</v>
      </c>
      <c r="AM136" s="2256">
        <v>1.89</v>
      </c>
      <c r="AN136" s="2256">
        <v>1.89</v>
      </c>
      <c r="AO136" s="2256">
        <v>1.88</v>
      </c>
      <c r="AP136" s="2256">
        <v>1.87</v>
      </c>
      <c r="AQ136" s="2256">
        <v>1.86</v>
      </c>
      <c r="AR136" s="2256">
        <v>1.84</v>
      </c>
      <c r="AS136" s="2256">
        <v>1.83</v>
      </c>
      <c r="AT136" s="2256">
        <v>1.82</v>
      </c>
      <c r="AU136" s="2256">
        <v>1.82</v>
      </c>
      <c r="AV136" s="2256">
        <v>1.81</v>
      </c>
      <c r="AW136" s="2256">
        <v>1.8</v>
      </c>
      <c r="AX136" s="2256">
        <v>1.79</v>
      </c>
      <c r="AY136" s="2256">
        <v>1.78</v>
      </c>
    </row>
    <row r="137" spans="1:51">
      <c r="A137" s="111">
        <v>45930</v>
      </c>
      <c r="B137" s="126">
        <v>1.36</v>
      </c>
      <c r="C137" s="126">
        <v>1.36</v>
      </c>
      <c r="D137" s="126">
        <v>1.38</v>
      </c>
      <c r="E137" s="126">
        <v>1.42</v>
      </c>
      <c r="F137" s="126">
        <v>1.48</v>
      </c>
      <c r="G137" s="126">
        <v>1.54</v>
      </c>
      <c r="H137" s="126">
        <v>1.6</v>
      </c>
      <c r="I137" s="126">
        <v>1.67</v>
      </c>
      <c r="J137" s="126">
        <v>1.73</v>
      </c>
      <c r="K137" s="126">
        <v>1.8</v>
      </c>
      <c r="L137" s="126">
        <v>1.86</v>
      </c>
      <c r="M137" s="126">
        <v>1.91</v>
      </c>
      <c r="N137" s="126">
        <v>1.95</v>
      </c>
      <c r="O137" s="126">
        <v>1.99</v>
      </c>
      <c r="P137" s="435">
        <v>2.02</v>
      </c>
      <c r="Q137" s="126">
        <v>2.0299999999999998</v>
      </c>
      <c r="R137" s="126">
        <v>2.0499999999999998</v>
      </c>
      <c r="S137" s="126">
        <v>2.06</v>
      </c>
      <c r="T137" s="126">
        <v>2.06</v>
      </c>
      <c r="U137" s="126">
        <v>2.0699999999999998</v>
      </c>
      <c r="V137" s="126">
        <v>2.06</v>
      </c>
      <c r="W137" s="126">
        <v>2.06</v>
      </c>
      <c r="X137" s="126">
        <v>2.0499999999999998</v>
      </c>
      <c r="Y137" s="126">
        <v>2.0499999999999998</v>
      </c>
      <c r="Z137" s="126">
        <v>2.04</v>
      </c>
      <c r="AA137" s="126">
        <v>2.0299999999999998</v>
      </c>
      <c r="AB137" s="126">
        <v>2.02</v>
      </c>
      <c r="AC137" s="126">
        <v>2</v>
      </c>
      <c r="AD137" s="126">
        <v>1.99</v>
      </c>
      <c r="AE137" s="126">
        <v>1.99</v>
      </c>
      <c r="AF137" s="126">
        <v>1.97</v>
      </c>
      <c r="AG137" s="126">
        <v>1.96</v>
      </c>
      <c r="AH137" s="126">
        <v>1.95</v>
      </c>
      <c r="AI137" s="126">
        <v>1.94</v>
      </c>
      <c r="AJ137" s="126">
        <v>1.93</v>
      </c>
      <c r="AK137" s="126">
        <v>1.92</v>
      </c>
      <c r="AL137" s="126">
        <v>1.91</v>
      </c>
      <c r="AM137" s="126">
        <v>1.9</v>
      </c>
      <c r="AN137" s="126">
        <v>1.9</v>
      </c>
      <c r="AO137" s="126">
        <v>1.89</v>
      </c>
      <c r="AP137" s="126">
        <v>1.88</v>
      </c>
      <c r="AQ137" s="126">
        <v>1.86</v>
      </c>
      <c r="AR137" s="126">
        <v>1.85</v>
      </c>
      <c r="AS137" s="126">
        <v>1.84</v>
      </c>
      <c r="AT137" s="126">
        <v>1.83</v>
      </c>
      <c r="AU137" s="126">
        <v>1.82</v>
      </c>
      <c r="AV137" s="126">
        <v>1.81</v>
      </c>
      <c r="AW137" s="126">
        <v>1.81</v>
      </c>
      <c r="AX137" s="126">
        <v>1.8</v>
      </c>
      <c r="AY137" s="126">
        <v>1.79</v>
      </c>
    </row>
    <row r="138" spans="1:51" s="113" customFormat="1">
      <c r="A138" s="2254">
        <v>45961</v>
      </c>
      <c r="B138" s="2255">
        <v>1.38</v>
      </c>
      <c r="C138" s="2255">
        <v>1.37</v>
      </c>
      <c r="D138" s="2255">
        <v>1.39</v>
      </c>
      <c r="E138" s="2255">
        <v>1.44</v>
      </c>
      <c r="F138" s="2255">
        <v>1.49</v>
      </c>
      <c r="G138" s="2255">
        <v>1.55</v>
      </c>
      <c r="H138" s="2255">
        <v>1.62</v>
      </c>
      <c r="I138" s="2255">
        <v>1.68</v>
      </c>
      <c r="J138" s="2255">
        <v>1.75</v>
      </c>
      <c r="K138" s="2255">
        <v>1.81</v>
      </c>
      <c r="L138" s="2255">
        <v>1.87</v>
      </c>
      <c r="M138" s="2255">
        <v>1.92</v>
      </c>
      <c r="N138" s="2255">
        <v>1.96</v>
      </c>
      <c r="O138" s="2255">
        <v>2</v>
      </c>
      <c r="P138" s="2276">
        <v>2.0299999999999998</v>
      </c>
      <c r="Q138" s="2255">
        <v>2.0499999999999998</v>
      </c>
      <c r="R138" s="2255">
        <v>2.06</v>
      </c>
      <c r="S138" s="2255">
        <v>2.0699999999999998</v>
      </c>
      <c r="T138" s="2255">
        <v>2.08</v>
      </c>
      <c r="U138" s="2255">
        <v>2.08</v>
      </c>
      <c r="V138" s="2255">
        <v>2.08</v>
      </c>
      <c r="W138" s="2255">
        <v>2.0699999999999998</v>
      </c>
      <c r="X138" s="2255">
        <v>2.06</v>
      </c>
      <c r="Y138" s="2255">
        <v>2.06</v>
      </c>
      <c r="Z138" s="2255">
        <v>2.0499999999999998</v>
      </c>
      <c r="AA138" s="2255">
        <v>2.04</v>
      </c>
      <c r="AB138" s="2255">
        <v>2.0299999999999998</v>
      </c>
      <c r="AC138" s="2255">
        <v>2.0099999999999998</v>
      </c>
      <c r="AD138" s="2255">
        <v>2</v>
      </c>
      <c r="AE138" s="2255">
        <v>2</v>
      </c>
      <c r="AF138" s="2255">
        <v>1.98</v>
      </c>
      <c r="AG138" s="2255">
        <v>1.97</v>
      </c>
      <c r="AH138" s="2255">
        <v>1.96</v>
      </c>
      <c r="AI138" s="2255">
        <v>1.95</v>
      </c>
      <c r="AJ138" s="2255">
        <v>1.94</v>
      </c>
      <c r="AK138" s="2255">
        <v>1.93</v>
      </c>
      <c r="AL138" s="2255">
        <v>1.92</v>
      </c>
      <c r="AM138" s="2255">
        <v>1.91</v>
      </c>
      <c r="AN138" s="2255">
        <v>1.9</v>
      </c>
      <c r="AO138" s="2255">
        <v>1.9</v>
      </c>
      <c r="AP138" s="2255">
        <v>1.88</v>
      </c>
      <c r="AQ138" s="2255">
        <v>1.87</v>
      </c>
      <c r="AR138" s="2255">
        <v>1.86</v>
      </c>
      <c r="AS138" s="2255">
        <v>1.85</v>
      </c>
      <c r="AT138" s="2255">
        <v>1.84</v>
      </c>
      <c r="AU138" s="2255">
        <v>1.83</v>
      </c>
      <c r="AV138" s="2255">
        <v>1.82</v>
      </c>
      <c r="AW138" s="2255">
        <v>1.81</v>
      </c>
      <c r="AX138" s="2255">
        <v>1.81</v>
      </c>
      <c r="AY138" s="2255">
        <v>1.8</v>
      </c>
    </row>
    <row r="139" spans="1:51" s="113" customFormat="1">
      <c r="A139" s="2254">
        <v>45991</v>
      </c>
      <c r="B139" s="2255">
        <v>1.4</v>
      </c>
      <c r="C139" s="2255">
        <v>1.39</v>
      </c>
      <c r="D139" s="2255">
        <v>1.41</v>
      </c>
      <c r="E139" s="2255">
        <v>1.45</v>
      </c>
      <c r="F139" s="2255">
        <v>1.51</v>
      </c>
      <c r="G139" s="2255">
        <v>1.57</v>
      </c>
      <c r="H139" s="2255">
        <v>1.63</v>
      </c>
      <c r="I139" s="2255">
        <v>1.7</v>
      </c>
      <c r="J139" s="2255">
        <v>1.76</v>
      </c>
      <c r="K139" s="2255">
        <v>1.83</v>
      </c>
      <c r="L139" s="2255">
        <v>1.89</v>
      </c>
      <c r="M139" s="2255">
        <v>1.93</v>
      </c>
      <c r="N139" s="2255">
        <v>1.98</v>
      </c>
      <c r="O139" s="2255">
        <v>2.0099999999999998</v>
      </c>
      <c r="P139" s="2276">
        <v>2.0499999999999998</v>
      </c>
      <c r="Q139" s="2255">
        <v>2.06</v>
      </c>
      <c r="R139" s="2255">
        <v>2.0699999999999998</v>
      </c>
      <c r="S139" s="2255">
        <v>2.08</v>
      </c>
      <c r="T139" s="2255">
        <v>2.09</v>
      </c>
      <c r="U139" s="2255">
        <v>2.1</v>
      </c>
      <c r="V139" s="2255">
        <v>2.09</v>
      </c>
      <c r="W139" s="2255">
        <v>2.08</v>
      </c>
      <c r="X139" s="2255">
        <v>2.0699999999999998</v>
      </c>
      <c r="Y139" s="2255">
        <v>2.0699999999999998</v>
      </c>
      <c r="Z139" s="2255">
        <v>2.06</v>
      </c>
      <c r="AA139" s="2255">
        <v>2.0499999999999998</v>
      </c>
      <c r="AB139" s="2255">
        <v>2.04</v>
      </c>
      <c r="AC139" s="2255">
        <v>2.0299999999999998</v>
      </c>
      <c r="AD139" s="2255">
        <v>2.02</v>
      </c>
      <c r="AE139" s="2255">
        <v>2.0099999999999998</v>
      </c>
      <c r="AF139" s="2255">
        <v>1.99</v>
      </c>
      <c r="AG139" s="2255">
        <v>1.98</v>
      </c>
      <c r="AH139" s="2255">
        <v>1.97</v>
      </c>
      <c r="AI139" s="2255">
        <v>1.96</v>
      </c>
      <c r="AJ139" s="2255">
        <v>1.95</v>
      </c>
      <c r="AK139" s="2255">
        <v>1.94</v>
      </c>
      <c r="AL139" s="2255">
        <v>1.93</v>
      </c>
      <c r="AM139" s="2255">
        <v>1.92</v>
      </c>
      <c r="AN139" s="2255">
        <v>1.92</v>
      </c>
      <c r="AO139" s="2255">
        <v>1.91</v>
      </c>
      <c r="AP139" s="2255">
        <v>1.9</v>
      </c>
      <c r="AQ139" s="2255">
        <v>1.88</v>
      </c>
      <c r="AR139" s="2255">
        <v>1.87</v>
      </c>
      <c r="AS139" s="2255">
        <v>1.86</v>
      </c>
      <c r="AT139" s="2255">
        <v>1.85</v>
      </c>
      <c r="AU139" s="2255">
        <v>1.84</v>
      </c>
      <c r="AV139" s="2255">
        <v>1.83</v>
      </c>
      <c r="AW139" s="2255">
        <v>1.83</v>
      </c>
      <c r="AX139" s="2255">
        <v>1.82</v>
      </c>
      <c r="AY139" s="2255">
        <v>1.81</v>
      </c>
    </row>
    <row r="140" spans="1:51">
      <c r="A140" s="2271">
        <v>46022</v>
      </c>
      <c r="B140" s="2272">
        <v>1.41</v>
      </c>
      <c r="C140" s="2272">
        <v>1.41</v>
      </c>
      <c r="D140" s="2272">
        <v>1.43</v>
      </c>
      <c r="E140" s="2272">
        <v>1.47</v>
      </c>
      <c r="F140" s="2272">
        <v>1.53</v>
      </c>
      <c r="G140" s="2272">
        <v>1.59</v>
      </c>
      <c r="H140" s="2272">
        <v>1.65</v>
      </c>
      <c r="I140" s="2272">
        <v>1.71</v>
      </c>
      <c r="J140" s="2272">
        <v>1.78</v>
      </c>
      <c r="K140" s="2272">
        <v>1.84</v>
      </c>
      <c r="L140" s="2272">
        <v>1.9</v>
      </c>
      <c r="M140" s="2272">
        <v>1.95</v>
      </c>
      <c r="N140" s="2272">
        <v>1.99</v>
      </c>
      <c r="O140" s="2272">
        <v>2.0299999999999998</v>
      </c>
      <c r="P140" s="2277">
        <v>2.06</v>
      </c>
      <c r="Q140" s="2272">
        <v>2.0699999999999998</v>
      </c>
      <c r="R140" s="2272">
        <v>2.08</v>
      </c>
      <c r="S140" s="2272">
        <v>2.09</v>
      </c>
      <c r="T140" s="2272">
        <v>2.1</v>
      </c>
      <c r="U140" s="2272">
        <v>2.11</v>
      </c>
      <c r="V140" s="2272">
        <v>2.1</v>
      </c>
      <c r="W140" s="2272">
        <v>2.09</v>
      </c>
      <c r="X140" s="2272">
        <v>2.09</v>
      </c>
      <c r="Y140" s="2272">
        <v>2.08</v>
      </c>
      <c r="Z140" s="2272">
        <v>2.0699999999999998</v>
      </c>
      <c r="AA140" s="2272">
        <v>2.06</v>
      </c>
      <c r="AB140" s="2272">
        <v>2.0499999999999998</v>
      </c>
      <c r="AC140" s="2272">
        <v>2.04</v>
      </c>
      <c r="AD140" s="2272">
        <v>2.0299999999999998</v>
      </c>
      <c r="AE140" s="2272">
        <v>2.02</v>
      </c>
      <c r="AF140" s="2272">
        <v>2.0099999999999998</v>
      </c>
      <c r="AG140" s="2272">
        <v>1.99</v>
      </c>
      <c r="AH140" s="2272">
        <v>1.98</v>
      </c>
      <c r="AI140" s="2272">
        <v>1.97</v>
      </c>
      <c r="AJ140" s="2272">
        <v>1.96</v>
      </c>
      <c r="AK140" s="2272">
        <v>1.95</v>
      </c>
      <c r="AL140" s="2272">
        <v>1.94</v>
      </c>
      <c r="AM140" s="2272">
        <v>1.94</v>
      </c>
      <c r="AN140" s="2272">
        <v>1.93</v>
      </c>
      <c r="AO140" s="2272">
        <v>1.92</v>
      </c>
      <c r="AP140" s="2272">
        <v>1.91</v>
      </c>
      <c r="AQ140" s="2272">
        <v>1.9</v>
      </c>
      <c r="AR140" s="2272">
        <v>1.88</v>
      </c>
      <c r="AS140" s="2272">
        <v>1.87</v>
      </c>
      <c r="AT140" s="2272">
        <v>1.86</v>
      </c>
      <c r="AU140" s="2272">
        <v>1.85</v>
      </c>
      <c r="AV140" s="2272">
        <v>1.85</v>
      </c>
      <c r="AW140" s="2272">
        <v>1.84</v>
      </c>
      <c r="AX140" s="2272">
        <v>1.83</v>
      </c>
      <c r="AY140" s="2272">
        <v>1.82</v>
      </c>
    </row>
    <row r="141" spans="1:51">
      <c r="A141" s="2286">
        <v>46053</v>
      </c>
      <c r="B141" s="2285">
        <v>1.43</v>
      </c>
      <c r="C141" s="2285">
        <v>1.43</v>
      </c>
      <c r="D141" s="2285">
        <v>1.45</v>
      </c>
      <c r="E141" s="2285">
        <v>1.49</v>
      </c>
      <c r="F141" s="2285">
        <v>1.54</v>
      </c>
      <c r="G141" s="2285">
        <v>1.6</v>
      </c>
      <c r="H141" s="2285">
        <v>1.67</v>
      </c>
      <c r="I141" s="2285">
        <v>1.73</v>
      </c>
      <c r="J141" s="2285">
        <v>1.8</v>
      </c>
      <c r="K141" s="2285">
        <v>1.86</v>
      </c>
      <c r="L141" s="2285">
        <v>1.92</v>
      </c>
      <c r="M141" s="2285">
        <v>1.96</v>
      </c>
      <c r="N141" s="2285">
        <v>2.0099999999999998</v>
      </c>
      <c r="O141" s="2285">
        <v>2.04</v>
      </c>
      <c r="P141" s="2285">
        <v>2.0699999999999998</v>
      </c>
      <c r="Q141" s="2285">
        <v>2.09</v>
      </c>
      <c r="R141" s="2285">
        <v>2.1</v>
      </c>
      <c r="S141" s="2285">
        <v>2.11</v>
      </c>
      <c r="T141" s="2285">
        <v>2.11</v>
      </c>
      <c r="U141" s="2285">
        <v>2.12</v>
      </c>
      <c r="V141" s="2285">
        <v>2.11</v>
      </c>
      <c r="W141" s="2285">
        <v>2.11</v>
      </c>
      <c r="X141" s="2285">
        <v>2.1</v>
      </c>
      <c r="Y141" s="2285">
        <v>2.09</v>
      </c>
      <c r="Z141" s="2285">
        <v>2.09</v>
      </c>
      <c r="AA141" s="2285">
        <v>2.08</v>
      </c>
      <c r="AB141" s="2285">
        <v>2.06</v>
      </c>
      <c r="AC141" s="2285">
        <v>2.0499999999999998</v>
      </c>
      <c r="AD141" s="2285">
        <v>2.04</v>
      </c>
      <c r="AE141" s="2285">
        <v>2.0299999999999998</v>
      </c>
      <c r="AF141" s="2285">
        <v>2.02</v>
      </c>
      <c r="AG141" s="2285">
        <v>2.0099999999999998</v>
      </c>
      <c r="AH141" s="2285">
        <v>2</v>
      </c>
      <c r="AI141" s="2285">
        <v>1.99</v>
      </c>
      <c r="AJ141" s="2285">
        <v>1.98</v>
      </c>
      <c r="AK141" s="2285">
        <v>1.97</v>
      </c>
      <c r="AL141" s="2285">
        <v>1.96</v>
      </c>
      <c r="AM141" s="2285">
        <v>1.95</v>
      </c>
      <c r="AN141" s="2285">
        <v>1.94</v>
      </c>
      <c r="AO141" s="2285">
        <v>1.93</v>
      </c>
      <c r="AP141" s="2285">
        <v>1.92</v>
      </c>
      <c r="AQ141" s="2285">
        <v>1.91</v>
      </c>
      <c r="AR141" s="2285">
        <v>1.9</v>
      </c>
      <c r="AS141" s="2285">
        <v>1.89</v>
      </c>
      <c r="AT141" s="2285">
        <v>1.88</v>
      </c>
      <c r="AU141" s="2285">
        <v>1.87</v>
      </c>
      <c r="AV141" s="2285">
        <v>1.86</v>
      </c>
      <c r="AW141" s="2285">
        <v>1.85</v>
      </c>
      <c r="AX141" s="2285">
        <v>1.84</v>
      </c>
      <c r="AY141" s="2285">
        <v>1.83</v>
      </c>
    </row>
    <row r="142" spans="1:51">
      <c r="A142" s="2286">
        <v>46081</v>
      </c>
      <c r="B142" s="2285">
        <v>1.45</v>
      </c>
      <c r="C142" s="2285">
        <v>1.45</v>
      </c>
      <c r="D142" s="2285">
        <v>1.47</v>
      </c>
      <c r="E142" s="2285">
        <v>1.51</v>
      </c>
      <c r="F142" s="2285">
        <v>1.56</v>
      </c>
      <c r="G142" s="2285">
        <v>1.62</v>
      </c>
      <c r="H142" s="2285">
        <v>1.68</v>
      </c>
      <c r="I142" s="2285">
        <v>1.75</v>
      </c>
      <c r="J142" s="2285">
        <v>1.81</v>
      </c>
      <c r="K142" s="2285">
        <v>1.88</v>
      </c>
      <c r="L142" s="2285">
        <v>1.93</v>
      </c>
      <c r="M142" s="2285">
        <v>1.98</v>
      </c>
      <c r="N142" s="2285">
        <v>2.02</v>
      </c>
      <c r="O142" s="2285">
        <v>2.06</v>
      </c>
      <c r="P142" s="2285">
        <v>2.09</v>
      </c>
      <c r="Q142" s="2285">
        <v>2.1</v>
      </c>
      <c r="R142" s="2285">
        <v>2.11</v>
      </c>
      <c r="S142" s="2285">
        <v>2.12</v>
      </c>
      <c r="T142" s="2285">
        <v>2.13</v>
      </c>
      <c r="U142" s="2285">
        <v>2.14</v>
      </c>
      <c r="V142" s="2285">
        <v>2.13</v>
      </c>
      <c r="W142" s="2285">
        <v>2.12</v>
      </c>
      <c r="X142" s="2285">
        <v>2.12</v>
      </c>
      <c r="Y142" s="2285">
        <v>2.11</v>
      </c>
      <c r="Z142" s="2285">
        <v>2.1</v>
      </c>
      <c r="AA142" s="2285">
        <v>2.09</v>
      </c>
      <c r="AB142" s="2285">
        <v>2.08</v>
      </c>
      <c r="AC142" s="2285">
        <v>2.0699999999999998</v>
      </c>
      <c r="AD142" s="2285">
        <v>2.06</v>
      </c>
      <c r="AE142" s="2285">
        <v>2.0499999999999998</v>
      </c>
      <c r="AF142" s="2285">
        <v>2.04</v>
      </c>
      <c r="AG142" s="2285">
        <v>2.02</v>
      </c>
      <c r="AH142" s="2285">
        <v>2.0099999999999998</v>
      </c>
      <c r="AI142" s="2285">
        <v>2</v>
      </c>
      <c r="AJ142" s="2285">
        <v>1.99</v>
      </c>
      <c r="AK142" s="2285">
        <v>1.98</v>
      </c>
      <c r="AL142" s="2285">
        <v>1.97</v>
      </c>
      <c r="AM142" s="2285">
        <v>1.96</v>
      </c>
      <c r="AN142" s="2285">
        <v>1.96</v>
      </c>
      <c r="AO142" s="2285">
        <v>1.95</v>
      </c>
      <c r="AP142" s="2285">
        <v>1.94</v>
      </c>
      <c r="AQ142" s="2285">
        <v>1.92</v>
      </c>
      <c r="AR142" s="2285">
        <v>1.91</v>
      </c>
      <c r="AS142" s="2285">
        <v>1.9</v>
      </c>
      <c r="AT142" s="2285">
        <v>1.89</v>
      </c>
      <c r="AU142" s="2285">
        <v>1.88</v>
      </c>
      <c r="AV142" s="2285">
        <v>1.87</v>
      </c>
      <c r="AW142" s="2285">
        <v>1.86</v>
      </c>
      <c r="AX142" s="2285">
        <v>1.85</v>
      </c>
      <c r="AY142" s="2285">
        <v>1.85</v>
      </c>
    </row>
    <row r="143" spans="1:51">
      <c r="A143" s="2329">
        <v>46112</v>
      </c>
      <c r="B143" s="2328">
        <v>1.47</v>
      </c>
      <c r="C143" s="2328">
        <v>1.47</v>
      </c>
      <c r="D143" s="2328">
        <v>1.49</v>
      </c>
      <c r="E143" s="2328">
        <v>1.53</v>
      </c>
      <c r="F143" s="2328">
        <v>1.59</v>
      </c>
      <c r="G143" s="2328">
        <v>1.65</v>
      </c>
      <c r="H143" s="2328">
        <v>1.71</v>
      </c>
      <c r="I143" s="2328">
        <v>1.77</v>
      </c>
      <c r="J143" s="2328">
        <v>1.83</v>
      </c>
      <c r="K143" s="2328">
        <v>1.9</v>
      </c>
      <c r="L143" s="2328">
        <v>1.95</v>
      </c>
      <c r="M143" s="2328">
        <v>2</v>
      </c>
      <c r="N143" s="2328">
        <v>2.04</v>
      </c>
      <c r="O143" s="2328">
        <v>2.08</v>
      </c>
      <c r="P143" s="2328">
        <v>2.11</v>
      </c>
      <c r="Q143" s="2328">
        <v>2.12</v>
      </c>
      <c r="R143" s="2328">
        <v>2.13</v>
      </c>
      <c r="S143" s="2328">
        <v>2.14</v>
      </c>
      <c r="T143" s="2328">
        <v>2.15</v>
      </c>
      <c r="U143" s="2328">
        <v>2.16</v>
      </c>
      <c r="V143" s="2328">
        <v>2.15</v>
      </c>
      <c r="W143" s="2328">
        <v>2.14</v>
      </c>
      <c r="X143" s="2328">
        <v>2.13</v>
      </c>
      <c r="Y143" s="2328">
        <v>2.13</v>
      </c>
      <c r="Z143" s="2328">
        <v>2.12</v>
      </c>
      <c r="AA143" s="2328">
        <v>2.11</v>
      </c>
      <c r="AB143" s="2328">
        <v>2.1</v>
      </c>
      <c r="AC143" s="2328">
        <v>2.09</v>
      </c>
      <c r="AD143" s="2328">
        <v>2.08</v>
      </c>
      <c r="AE143" s="2328">
        <v>2.0699999999999998</v>
      </c>
      <c r="AF143" s="2328">
        <v>2.0499999999999998</v>
      </c>
      <c r="AG143" s="2328">
        <v>2.04</v>
      </c>
      <c r="AH143" s="2328">
        <v>2.0299999999999998</v>
      </c>
      <c r="AI143" s="2328">
        <v>2.02</v>
      </c>
      <c r="AJ143" s="2328">
        <v>2.0099999999999998</v>
      </c>
      <c r="AK143" s="2328">
        <v>2</v>
      </c>
      <c r="AL143" s="2328">
        <v>1.99</v>
      </c>
      <c r="AM143" s="2328">
        <v>1.98</v>
      </c>
      <c r="AN143" s="2328">
        <v>1.97</v>
      </c>
      <c r="AO143" s="2328">
        <v>1.96</v>
      </c>
      <c r="AP143" s="2328">
        <v>1.95</v>
      </c>
      <c r="AQ143" s="2328">
        <v>1.94</v>
      </c>
      <c r="AR143" s="2328">
        <v>1.93</v>
      </c>
      <c r="AS143" s="2328">
        <v>1.92</v>
      </c>
      <c r="AT143" s="2328">
        <v>1.91</v>
      </c>
      <c r="AU143" s="2328">
        <v>1.9</v>
      </c>
      <c r="AV143" s="2328">
        <v>1.89</v>
      </c>
      <c r="AW143" s="2328">
        <v>1.88</v>
      </c>
      <c r="AX143" s="2328">
        <v>1.87</v>
      </c>
      <c r="AY143" s="2328">
        <v>1.86</v>
      </c>
    </row>
    <row r="144" spans="1:51">
      <c r="A144" s="2329">
        <v>46142</v>
      </c>
      <c r="B144" s="2328">
        <v>1.5</v>
      </c>
      <c r="C144" s="2328">
        <v>1.5</v>
      </c>
      <c r="D144" s="2328">
        <v>1.51</v>
      </c>
      <c r="E144" s="2328">
        <v>1.56</v>
      </c>
      <c r="F144" s="2328">
        <v>1.61</v>
      </c>
      <c r="G144" s="2328">
        <v>1.67</v>
      </c>
      <c r="H144" s="2328">
        <v>1.73</v>
      </c>
      <c r="I144" s="2328">
        <v>1.79</v>
      </c>
      <c r="J144" s="2328">
        <v>1.86</v>
      </c>
      <c r="K144" s="2328">
        <v>1.92</v>
      </c>
      <c r="L144" s="2328">
        <v>1.97</v>
      </c>
      <c r="M144" s="2328">
        <v>2.02</v>
      </c>
      <c r="N144" s="2328">
        <v>2.06</v>
      </c>
      <c r="O144" s="2328">
        <v>2.1</v>
      </c>
      <c r="P144" s="2328">
        <v>2.13</v>
      </c>
      <c r="Q144" s="2328">
        <v>2.14</v>
      </c>
      <c r="R144" s="2328">
        <v>2.15</v>
      </c>
      <c r="S144" s="2328">
        <v>2.16</v>
      </c>
      <c r="T144" s="2328">
        <v>2.17</v>
      </c>
      <c r="U144" s="2328">
        <v>2.17</v>
      </c>
      <c r="V144" s="2328">
        <v>2.17</v>
      </c>
      <c r="W144" s="2328">
        <v>2.16</v>
      </c>
      <c r="X144" s="2328">
        <v>2.15</v>
      </c>
      <c r="Y144" s="2328">
        <v>2.14</v>
      </c>
      <c r="Z144" s="2328">
        <v>2.14</v>
      </c>
      <c r="AA144" s="2328">
        <v>2.13</v>
      </c>
      <c r="AB144" s="2328">
        <v>2.11</v>
      </c>
      <c r="AC144" s="2328">
        <v>2.1</v>
      </c>
      <c r="AD144" s="2328">
        <v>2.09</v>
      </c>
      <c r="AE144" s="2328">
        <v>2.08</v>
      </c>
      <c r="AF144" s="2328">
        <v>2.0699999999999998</v>
      </c>
      <c r="AG144" s="2328">
        <v>2.06</v>
      </c>
      <c r="AH144" s="2328">
        <v>2.04</v>
      </c>
      <c r="AI144" s="2328">
        <v>2.0299999999999998</v>
      </c>
      <c r="AJ144" s="2328">
        <v>2.02</v>
      </c>
      <c r="AK144" s="2328">
        <v>2.0099999999999998</v>
      </c>
      <c r="AL144" s="2328">
        <v>2</v>
      </c>
      <c r="AM144" s="2328">
        <v>1.99</v>
      </c>
      <c r="AN144" s="2328">
        <v>1.99</v>
      </c>
      <c r="AO144" s="2328">
        <v>1.98</v>
      </c>
      <c r="AP144" s="2328">
        <v>1.96</v>
      </c>
      <c r="AQ144" s="2328">
        <v>1.95</v>
      </c>
      <c r="AR144" s="2328">
        <v>1.94</v>
      </c>
      <c r="AS144" s="2328">
        <v>1.93</v>
      </c>
      <c r="AT144" s="2328">
        <v>1.92</v>
      </c>
      <c r="AU144" s="2328">
        <v>1.91</v>
      </c>
      <c r="AV144" s="2328">
        <v>1.9</v>
      </c>
      <c r="AW144" s="2328">
        <v>1.89</v>
      </c>
      <c r="AX144" s="2328">
        <v>1.88</v>
      </c>
      <c r="AY144" s="2328">
        <v>1.87</v>
      </c>
    </row>
    <row r="145" spans="1:51">
      <c r="A145" s="2329">
        <v>46173</v>
      </c>
      <c r="B145" s="2328">
        <v>1.52</v>
      </c>
      <c r="C145" s="2328">
        <v>1.52</v>
      </c>
      <c r="D145" s="2328">
        <v>1.54</v>
      </c>
      <c r="E145" s="2328">
        <v>1.58</v>
      </c>
      <c r="F145" s="2328">
        <v>1.63</v>
      </c>
      <c r="G145" s="2328">
        <v>1.69</v>
      </c>
      <c r="H145" s="2328">
        <v>1.75</v>
      </c>
      <c r="I145" s="2328">
        <v>1.81</v>
      </c>
      <c r="J145" s="2328">
        <v>1.88</v>
      </c>
      <c r="K145" s="2328">
        <v>1.94</v>
      </c>
      <c r="L145" s="2328">
        <v>1.99</v>
      </c>
      <c r="M145" s="2328">
        <v>2.04</v>
      </c>
      <c r="N145" s="2328">
        <v>2.08</v>
      </c>
      <c r="O145" s="2328">
        <v>2.12</v>
      </c>
      <c r="P145" s="2328">
        <v>2.15</v>
      </c>
      <c r="Q145" s="2328">
        <v>2.16</v>
      </c>
      <c r="R145" s="2328">
        <v>2.17</v>
      </c>
      <c r="S145" s="2328">
        <v>2.1800000000000002</v>
      </c>
      <c r="T145" s="2328">
        <v>2.19</v>
      </c>
      <c r="U145" s="2328">
        <v>2.19</v>
      </c>
      <c r="V145" s="2328">
        <v>2.1800000000000002</v>
      </c>
      <c r="W145" s="2328">
        <v>2.1800000000000002</v>
      </c>
      <c r="X145" s="2328">
        <v>2.17</v>
      </c>
      <c r="Y145" s="2328">
        <v>2.16</v>
      </c>
      <c r="Z145" s="2328">
        <v>2.16</v>
      </c>
      <c r="AA145" s="2328">
        <v>2.14</v>
      </c>
      <c r="AB145" s="2328">
        <v>2.13</v>
      </c>
      <c r="AC145" s="2328">
        <v>2.12</v>
      </c>
      <c r="AD145" s="2328">
        <v>2.11</v>
      </c>
      <c r="AE145" s="2328">
        <v>2.1</v>
      </c>
      <c r="AF145" s="2328">
        <v>2.08</v>
      </c>
      <c r="AG145" s="2328">
        <v>2.0699999999999998</v>
      </c>
      <c r="AH145" s="2328">
        <v>2.06</v>
      </c>
      <c r="AI145" s="2328">
        <v>2.0499999999999998</v>
      </c>
      <c r="AJ145" s="2328">
        <v>2.04</v>
      </c>
      <c r="AK145" s="2328">
        <v>2.0299999999999998</v>
      </c>
      <c r="AL145" s="2328">
        <v>2.02</v>
      </c>
      <c r="AM145" s="2328">
        <v>2.0099999999999998</v>
      </c>
      <c r="AN145" s="2328">
        <v>2</v>
      </c>
      <c r="AO145" s="2328">
        <v>1.99</v>
      </c>
      <c r="AP145" s="2328">
        <v>1.98</v>
      </c>
      <c r="AQ145" s="2328">
        <v>1.97</v>
      </c>
      <c r="AR145" s="2328">
        <v>1.96</v>
      </c>
      <c r="AS145" s="2328">
        <v>1.94</v>
      </c>
      <c r="AT145" s="2328">
        <v>1.93</v>
      </c>
      <c r="AU145" s="2328">
        <v>1.92</v>
      </c>
      <c r="AV145" s="2328">
        <v>1.91</v>
      </c>
      <c r="AW145" s="2328">
        <v>1.9</v>
      </c>
      <c r="AX145" s="2328">
        <v>1.9</v>
      </c>
      <c r="AY145" s="2328">
        <v>1.89</v>
      </c>
    </row>
    <row r="146" spans="1:51">
      <c r="A146" s="2332">
        <v>46203</v>
      </c>
      <c r="B146" s="2331">
        <v>1.55</v>
      </c>
      <c r="C146" s="2331">
        <v>1.55</v>
      </c>
      <c r="D146" s="2331">
        <v>1.56</v>
      </c>
      <c r="E146" s="2331">
        <v>1.61</v>
      </c>
      <c r="F146" s="2331">
        <v>1.66</v>
      </c>
      <c r="G146" s="2331">
        <v>1.72</v>
      </c>
      <c r="H146" s="2331">
        <v>1.78</v>
      </c>
      <c r="I146" s="2331">
        <v>1.84</v>
      </c>
      <c r="J146" s="2331">
        <v>1.9</v>
      </c>
      <c r="K146" s="2331">
        <v>1.96</v>
      </c>
      <c r="L146" s="2331">
        <v>2.02</v>
      </c>
      <c r="M146" s="2331">
        <v>2.06</v>
      </c>
      <c r="N146" s="2331">
        <v>2.1</v>
      </c>
      <c r="O146" s="2331">
        <v>2.14</v>
      </c>
      <c r="P146" s="2331">
        <v>2.17</v>
      </c>
      <c r="Q146" s="2331">
        <v>2.1800000000000002</v>
      </c>
      <c r="R146" s="2331">
        <v>2.19</v>
      </c>
      <c r="S146" s="2331">
        <v>2.2000000000000002</v>
      </c>
      <c r="T146" s="2331">
        <v>2.21</v>
      </c>
      <c r="U146" s="2331">
        <v>2.21</v>
      </c>
      <c r="V146" s="2331">
        <v>2.2000000000000002</v>
      </c>
      <c r="W146" s="2331">
        <v>2.2000000000000002</v>
      </c>
      <c r="X146" s="2331">
        <v>2.19</v>
      </c>
      <c r="Y146" s="2331">
        <v>2.1800000000000002</v>
      </c>
      <c r="Z146" s="2331">
        <v>2.1800000000000002</v>
      </c>
      <c r="AA146" s="2331">
        <v>2.16</v>
      </c>
      <c r="AB146" s="2331">
        <v>2.15</v>
      </c>
      <c r="AC146" s="2331">
        <v>2.14</v>
      </c>
      <c r="AD146" s="2331">
        <v>2.13</v>
      </c>
      <c r="AE146" s="2331">
        <v>2.12</v>
      </c>
      <c r="AF146" s="2331">
        <v>2.1</v>
      </c>
      <c r="AG146" s="2331">
        <v>2.09</v>
      </c>
      <c r="AH146" s="2331">
        <v>2.08</v>
      </c>
      <c r="AI146" s="2331">
        <v>2.0699999999999998</v>
      </c>
      <c r="AJ146" s="2331">
        <v>2.06</v>
      </c>
      <c r="AK146" s="2331">
        <v>2.0499999999999998</v>
      </c>
      <c r="AL146" s="2331">
        <v>2.04</v>
      </c>
      <c r="AM146" s="2331">
        <v>2.0299999999999998</v>
      </c>
      <c r="AN146" s="2331">
        <v>2.02</v>
      </c>
      <c r="AO146" s="2331">
        <v>2.0099999999999998</v>
      </c>
      <c r="AP146" s="2331">
        <v>2</v>
      </c>
      <c r="AQ146" s="2331">
        <v>1.99</v>
      </c>
      <c r="AR146" s="2331">
        <v>1.97</v>
      </c>
      <c r="AS146" s="2331">
        <v>1.96</v>
      </c>
      <c r="AT146" s="2331">
        <v>1.95</v>
      </c>
      <c r="AU146" s="2331">
        <v>1.94</v>
      </c>
      <c r="AV146" s="2331">
        <v>1.93</v>
      </c>
      <c r="AW146" s="2331">
        <v>1.92</v>
      </c>
      <c r="AX146" s="2331">
        <v>1.91</v>
      </c>
      <c r="AY146" s="2331">
        <v>1.9</v>
      </c>
    </row>
    <row r="147" spans="1:51">
      <c r="A147" s="111">
        <v>46234</v>
      </c>
      <c r="B147" s="126">
        <v>1.57</v>
      </c>
      <c r="C147" s="126">
        <v>1.57</v>
      </c>
      <c r="D147" s="126">
        <v>1.59</v>
      </c>
      <c r="E147" s="126">
        <v>1.64</v>
      </c>
      <c r="F147" s="126">
        <v>1.69</v>
      </c>
      <c r="G147" s="126">
        <v>1.74</v>
      </c>
      <c r="H147" s="126">
        <v>1.8</v>
      </c>
      <c r="I147" s="126">
        <v>1.87</v>
      </c>
      <c r="J147" s="126">
        <v>1.93</v>
      </c>
      <c r="K147" s="126">
        <v>1.99</v>
      </c>
      <c r="L147" s="126">
        <v>2.04</v>
      </c>
      <c r="M147" s="126">
        <v>2.09</v>
      </c>
      <c r="N147" s="126">
        <v>2.13</v>
      </c>
      <c r="O147" s="126">
        <v>2.16</v>
      </c>
      <c r="P147" s="2277">
        <v>2.19</v>
      </c>
      <c r="Q147" s="126">
        <v>2.2000000000000002</v>
      </c>
      <c r="R147" s="126">
        <v>2.21</v>
      </c>
      <c r="S147" s="126">
        <v>2.2200000000000002</v>
      </c>
      <c r="T147" s="126">
        <v>2.23</v>
      </c>
      <c r="U147" s="126">
        <v>2.2400000000000002</v>
      </c>
      <c r="V147" s="126">
        <v>2.23</v>
      </c>
      <c r="W147" s="126">
        <v>2.2200000000000002</v>
      </c>
      <c r="X147" s="126">
        <v>2.21</v>
      </c>
      <c r="Y147" s="126">
        <v>2.21</v>
      </c>
      <c r="Z147" s="126">
        <v>2.2000000000000002</v>
      </c>
      <c r="AA147" s="126">
        <v>2.19</v>
      </c>
      <c r="AB147" s="126">
        <v>2.17</v>
      </c>
      <c r="AC147" s="126">
        <v>2.16</v>
      </c>
      <c r="AD147" s="126">
        <v>2.15</v>
      </c>
      <c r="AE147" s="126">
        <v>2.14</v>
      </c>
      <c r="AF147" s="126">
        <v>2.13</v>
      </c>
      <c r="AG147" s="126">
        <v>2.11</v>
      </c>
      <c r="AH147" s="126">
        <v>2.1</v>
      </c>
      <c r="AI147" s="126">
        <v>2.09</v>
      </c>
      <c r="AJ147" s="126">
        <v>2.08</v>
      </c>
      <c r="AK147" s="126">
        <v>2.0699999999999998</v>
      </c>
      <c r="AL147" s="126">
        <v>2.06</v>
      </c>
      <c r="AM147" s="126">
        <v>2.0499999999999998</v>
      </c>
      <c r="AN147" s="126">
        <v>2.04</v>
      </c>
      <c r="AO147" s="126">
        <v>2.0299999999999998</v>
      </c>
      <c r="AP147" s="126">
        <v>2.02</v>
      </c>
      <c r="AQ147" s="126">
        <v>2.0099999999999998</v>
      </c>
      <c r="AR147" s="126">
        <v>1.99</v>
      </c>
      <c r="AS147" s="126">
        <v>1.98</v>
      </c>
      <c r="AT147" s="126">
        <v>1.97</v>
      </c>
      <c r="AU147" s="126">
        <v>1.96</v>
      </c>
      <c r="AV147" s="126">
        <v>1.95</v>
      </c>
      <c r="AW147" s="126">
        <v>1.94</v>
      </c>
      <c r="AX147" s="126">
        <v>1.93</v>
      </c>
      <c r="AY147" s="126">
        <v>1.92</v>
      </c>
    </row>
    <row r="148" spans="1:51">
      <c r="A148" s="111"/>
      <c r="B148" s="126"/>
      <c r="C148" s="126"/>
      <c r="D148" s="126"/>
      <c r="E148" s="126"/>
      <c r="F148" s="126"/>
      <c r="G148" s="126"/>
      <c r="H148" s="126"/>
      <c r="I148" s="126"/>
      <c r="J148" s="126"/>
      <c r="K148" s="126"/>
      <c r="L148" s="126"/>
      <c r="M148" s="126"/>
      <c r="N148" s="126"/>
      <c r="O148" s="126"/>
      <c r="P148" s="435"/>
      <c r="Q148" s="126"/>
      <c r="R148" s="126"/>
      <c r="S148" s="126"/>
      <c r="T148" s="126"/>
      <c r="U148" s="126"/>
      <c r="V148" s="126"/>
      <c r="W148" s="126"/>
      <c r="X148" s="126"/>
      <c r="Y148" s="126"/>
      <c r="Z148" s="126"/>
      <c r="AA148" s="126"/>
      <c r="AB148" s="126"/>
      <c r="AC148" s="126"/>
      <c r="AD148" s="126"/>
      <c r="AE148" s="126"/>
      <c r="AF148" s="126"/>
      <c r="AG148" s="126"/>
      <c r="AH148" s="126"/>
      <c r="AI148" s="126"/>
      <c r="AJ148" s="126"/>
      <c r="AK148" s="126"/>
      <c r="AL148" s="126"/>
      <c r="AM148" s="126"/>
      <c r="AN148" s="126"/>
      <c r="AO148" s="126"/>
      <c r="AP148" s="126"/>
      <c r="AQ148" s="126"/>
      <c r="AR148" s="126"/>
      <c r="AS148" s="126"/>
      <c r="AT148" s="126"/>
      <c r="AU148" s="126"/>
      <c r="AV148" s="126"/>
      <c r="AW148" s="126"/>
      <c r="AX148" s="126"/>
      <c r="AY148" s="126"/>
    </row>
    <row r="149" spans="1:51">
      <c r="A149" s="111"/>
      <c r="B149" s="126"/>
      <c r="C149" s="126"/>
      <c r="D149" s="126"/>
      <c r="E149" s="126"/>
      <c r="F149" s="126"/>
      <c r="G149" s="126"/>
      <c r="H149" s="126"/>
      <c r="I149" s="126"/>
      <c r="J149" s="126"/>
      <c r="K149" s="126"/>
      <c r="L149" s="126"/>
      <c r="M149" s="126"/>
      <c r="N149" s="126"/>
      <c r="O149" s="126"/>
      <c r="P149" s="435"/>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6"/>
      <c r="AN149" s="126"/>
      <c r="AO149" s="126"/>
      <c r="AP149" s="126"/>
      <c r="AQ149" s="126"/>
      <c r="AR149" s="126"/>
      <c r="AS149" s="126"/>
      <c r="AT149" s="126"/>
      <c r="AU149" s="126"/>
      <c r="AV149" s="126"/>
      <c r="AW149" s="126"/>
      <c r="AX149" s="126"/>
      <c r="AY149" s="126"/>
    </row>
    <row r="150" spans="1:51">
      <c r="A150" s="111"/>
      <c r="B150" s="126"/>
      <c r="C150" s="126"/>
      <c r="D150" s="126"/>
      <c r="E150" s="126"/>
      <c r="F150" s="126"/>
      <c r="G150" s="126"/>
      <c r="H150" s="126"/>
      <c r="I150" s="126"/>
      <c r="J150" s="126"/>
      <c r="K150" s="126"/>
      <c r="L150" s="126"/>
      <c r="M150" s="126"/>
      <c r="N150" s="126"/>
      <c r="O150" s="126"/>
      <c r="P150" s="435"/>
      <c r="Q150" s="126"/>
      <c r="R150" s="126"/>
      <c r="S150" s="126"/>
      <c r="T150" s="126"/>
      <c r="U150" s="126"/>
      <c r="V150" s="126"/>
      <c r="W150" s="126"/>
      <c r="X150" s="126"/>
      <c r="Y150" s="126"/>
      <c r="Z150" s="126"/>
      <c r="AA150" s="126"/>
      <c r="AB150" s="126"/>
      <c r="AC150" s="126"/>
      <c r="AD150" s="126"/>
      <c r="AE150" s="126"/>
      <c r="AF150" s="126"/>
      <c r="AG150" s="126"/>
      <c r="AH150" s="126"/>
      <c r="AI150" s="126"/>
      <c r="AJ150" s="126"/>
      <c r="AK150" s="126"/>
      <c r="AL150" s="126"/>
      <c r="AM150" s="126"/>
      <c r="AN150" s="126"/>
      <c r="AO150" s="126"/>
      <c r="AP150" s="126"/>
      <c r="AQ150" s="126"/>
      <c r="AR150" s="126"/>
      <c r="AS150" s="126"/>
      <c r="AT150" s="126"/>
      <c r="AU150" s="126"/>
      <c r="AV150" s="126"/>
      <c r="AW150" s="126"/>
      <c r="AX150" s="126"/>
      <c r="AY150" s="126"/>
    </row>
    <row r="151" spans="1:51">
      <c r="A151" s="111"/>
      <c r="B151" s="126"/>
      <c r="C151" s="126"/>
      <c r="D151" s="126"/>
      <c r="E151" s="126"/>
      <c r="F151" s="126"/>
      <c r="G151" s="126"/>
      <c r="H151" s="126"/>
      <c r="I151" s="126"/>
      <c r="J151" s="126"/>
      <c r="K151" s="126"/>
      <c r="L151" s="126"/>
      <c r="M151" s="126"/>
      <c r="N151" s="126"/>
      <c r="O151" s="126"/>
      <c r="P151" s="435"/>
      <c r="Q151" s="126"/>
      <c r="R151" s="126"/>
      <c r="S151" s="126"/>
      <c r="T151" s="126"/>
      <c r="U151" s="126"/>
      <c r="V151" s="126"/>
      <c r="W151" s="126"/>
      <c r="X151" s="126"/>
      <c r="Y151" s="126"/>
      <c r="Z151" s="126"/>
      <c r="AA151" s="126"/>
      <c r="AB151" s="126"/>
      <c r="AC151" s="126"/>
      <c r="AD151" s="126"/>
      <c r="AE151" s="126"/>
      <c r="AF151" s="126"/>
      <c r="AG151" s="126"/>
      <c r="AH151" s="126"/>
      <c r="AI151" s="126"/>
      <c r="AJ151" s="126"/>
      <c r="AK151" s="126"/>
      <c r="AL151" s="126"/>
      <c r="AM151" s="126"/>
      <c r="AN151" s="126"/>
      <c r="AO151" s="126"/>
      <c r="AP151" s="126"/>
      <c r="AQ151" s="126"/>
      <c r="AR151" s="126"/>
      <c r="AS151" s="126"/>
      <c r="AT151" s="126"/>
      <c r="AU151" s="126"/>
      <c r="AV151" s="126"/>
      <c r="AW151" s="126"/>
      <c r="AX151" s="126"/>
      <c r="AY151" s="126"/>
    </row>
    <row r="152" spans="1:51">
      <c r="A152" s="111"/>
      <c r="B152" s="126"/>
      <c r="C152" s="126"/>
      <c r="D152" s="126"/>
      <c r="E152" s="126"/>
      <c r="F152" s="126"/>
      <c r="G152" s="126"/>
      <c r="H152" s="126"/>
      <c r="I152" s="126"/>
      <c r="J152" s="126"/>
      <c r="K152" s="126"/>
      <c r="L152" s="126"/>
      <c r="M152" s="126"/>
      <c r="N152" s="126"/>
      <c r="O152" s="126"/>
      <c r="P152" s="435"/>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6"/>
      <c r="AM152" s="126"/>
      <c r="AN152" s="126"/>
      <c r="AO152" s="126"/>
      <c r="AP152" s="126"/>
      <c r="AQ152" s="126"/>
      <c r="AR152" s="126"/>
      <c r="AS152" s="126"/>
      <c r="AT152" s="126"/>
      <c r="AU152" s="126"/>
      <c r="AV152" s="126"/>
      <c r="AW152" s="126"/>
      <c r="AX152" s="126"/>
      <c r="AY152" s="126"/>
    </row>
    <row r="153" spans="1:51">
      <c r="A153" s="111"/>
      <c r="B153" s="126"/>
      <c r="C153" s="126"/>
      <c r="D153" s="126"/>
      <c r="E153" s="126"/>
      <c r="F153" s="126"/>
      <c r="G153" s="126"/>
      <c r="H153" s="126"/>
      <c r="I153" s="126"/>
      <c r="J153" s="126"/>
      <c r="K153" s="126"/>
      <c r="L153" s="126"/>
      <c r="M153" s="126"/>
      <c r="N153" s="126"/>
      <c r="O153" s="126"/>
      <c r="P153" s="435"/>
      <c r="Q153" s="126"/>
      <c r="R153" s="126"/>
      <c r="S153" s="126"/>
      <c r="T153" s="126"/>
      <c r="U153" s="126"/>
      <c r="V153" s="126"/>
      <c r="W153" s="126"/>
      <c r="X153" s="126"/>
      <c r="Y153" s="126"/>
      <c r="Z153" s="126"/>
      <c r="AA153" s="126"/>
      <c r="AB153" s="126"/>
      <c r="AC153" s="126"/>
      <c r="AD153" s="126"/>
      <c r="AE153" s="126"/>
      <c r="AF153" s="126"/>
      <c r="AG153" s="126"/>
      <c r="AH153" s="126"/>
      <c r="AI153" s="126"/>
      <c r="AJ153" s="126"/>
      <c r="AK153" s="126"/>
      <c r="AL153" s="126"/>
      <c r="AM153" s="126"/>
      <c r="AN153" s="126"/>
      <c r="AO153" s="126"/>
      <c r="AP153" s="126"/>
      <c r="AQ153" s="126"/>
      <c r="AR153" s="126"/>
      <c r="AS153" s="126"/>
      <c r="AT153" s="126"/>
      <c r="AU153" s="126"/>
      <c r="AV153" s="126"/>
      <c r="AW153" s="126"/>
      <c r="AX153" s="126"/>
      <c r="AY153" s="126"/>
    </row>
    <row r="154" spans="1:51">
      <c r="A154" s="111"/>
      <c r="B154" s="126"/>
      <c r="C154" s="126"/>
      <c r="D154" s="126"/>
      <c r="E154" s="126"/>
      <c r="F154" s="126"/>
      <c r="G154" s="126"/>
      <c r="H154" s="126"/>
      <c r="I154" s="126"/>
      <c r="J154" s="126"/>
      <c r="K154" s="126"/>
      <c r="L154" s="126"/>
      <c r="M154" s="126"/>
      <c r="N154" s="126"/>
      <c r="O154" s="126"/>
      <c r="P154" s="435"/>
      <c r="Q154" s="126"/>
      <c r="R154" s="126"/>
      <c r="S154" s="126"/>
      <c r="T154" s="126"/>
      <c r="U154" s="126"/>
      <c r="V154" s="126"/>
      <c r="W154" s="126"/>
      <c r="X154" s="126"/>
      <c r="Y154" s="126"/>
      <c r="Z154" s="126"/>
      <c r="AA154" s="126"/>
      <c r="AB154" s="126"/>
      <c r="AC154" s="126"/>
      <c r="AD154" s="126"/>
      <c r="AE154" s="126"/>
      <c r="AF154" s="126"/>
      <c r="AG154" s="126"/>
      <c r="AH154" s="126"/>
      <c r="AI154" s="126"/>
      <c r="AJ154" s="126"/>
      <c r="AK154" s="126"/>
      <c r="AL154" s="126"/>
      <c r="AM154" s="126"/>
      <c r="AN154" s="126"/>
      <c r="AO154" s="126"/>
      <c r="AP154" s="126"/>
      <c r="AQ154" s="126"/>
      <c r="AR154" s="126"/>
      <c r="AS154" s="126"/>
      <c r="AT154" s="126"/>
      <c r="AU154" s="126"/>
      <c r="AV154" s="126"/>
      <c r="AW154" s="126"/>
      <c r="AX154" s="126"/>
      <c r="AY154" s="126"/>
    </row>
    <row r="155" spans="1:51">
      <c r="A155" s="111"/>
      <c r="B155" s="126"/>
      <c r="C155" s="126"/>
      <c r="D155" s="126"/>
      <c r="E155" s="126"/>
      <c r="F155" s="126"/>
      <c r="G155" s="126"/>
      <c r="H155" s="126"/>
      <c r="I155" s="126"/>
      <c r="J155" s="126"/>
      <c r="K155" s="126"/>
      <c r="L155" s="126"/>
      <c r="M155" s="126"/>
      <c r="N155" s="126"/>
      <c r="O155" s="126"/>
      <c r="P155" s="435"/>
      <c r="Q155" s="126"/>
      <c r="R155" s="126"/>
      <c r="S155" s="126"/>
      <c r="T155" s="126"/>
      <c r="U155" s="126"/>
      <c r="V155" s="126"/>
      <c r="W155" s="126"/>
      <c r="X155" s="126"/>
      <c r="Y155" s="126"/>
      <c r="Z155" s="126"/>
      <c r="AA155" s="126"/>
      <c r="AB155" s="126"/>
      <c r="AC155" s="126"/>
      <c r="AD155" s="126"/>
      <c r="AE155" s="126"/>
      <c r="AF155" s="126"/>
      <c r="AG155" s="126"/>
      <c r="AH155" s="126"/>
      <c r="AI155" s="126"/>
      <c r="AJ155" s="126"/>
      <c r="AK155" s="126"/>
      <c r="AL155" s="126"/>
      <c r="AM155" s="126"/>
      <c r="AN155" s="126"/>
      <c r="AO155" s="126"/>
      <c r="AP155" s="126"/>
      <c r="AQ155" s="126"/>
      <c r="AR155" s="126"/>
      <c r="AS155" s="126"/>
      <c r="AT155" s="126"/>
      <c r="AU155" s="126"/>
      <c r="AV155" s="126"/>
      <c r="AW155" s="126"/>
      <c r="AX155" s="126"/>
      <c r="AY155" s="126"/>
    </row>
    <row r="156" spans="1:51">
      <c r="A156" s="111"/>
      <c r="B156" s="126"/>
      <c r="C156" s="126"/>
      <c r="D156" s="126"/>
      <c r="E156" s="126"/>
      <c r="F156" s="126"/>
      <c r="G156" s="126"/>
      <c r="H156" s="126"/>
      <c r="I156" s="126"/>
      <c r="J156" s="126"/>
      <c r="K156" s="126"/>
      <c r="L156" s="126"/>
      <c r="M156" s="126"/>
      <c r="N156" s="126"/>
      <c r="O156" s="126"/>
      <c r="P156" s="435"/>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26"/>
    </row>
    <row r="157" spans="1:51">
      <c r="A157" s="111"/>
      <c r="B157" s="126"/>
      <c r="C157" s="126"/>
      <c r="D157" s="126"/>
      <c r="E157" s="126"/>
      <c r="F157" s="126"/>
      <c r="G157" s="126"/>
      <c r="H157" s="126"/>
      <c r="I157" s="126"/>
      <c r="J157" s="126"/>
      <c r="K157" s="126"/>
      <c r="L157" s="126"/>
      <c r="M157" s="126"/>
      <c r="N157" s="126"/>
      <c r="O157" s="126"/>
      <c r="P157" s="435"/>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26"/>
    </row>
    <row r="158" spans="1:51">
      <c r="A158" s="111"/>
      <c r="B158" s="126"/>
      <c r="C158" s="126"/>
      <c r="D158" s="126"/>
      <c r="E158" s="126"/>
      <c r="F158" s="126"/>
      <c r="G158" s="126"/>
      <c r="H158" s="126"/>
      <c r="I158" s="126"/>
      <c r="J158" s="126"/>
      <c r="K158" s="126"/>
      <c r="L158" s="126"/>
      <c r="M158" s="126"/>
      <c r="N158" s="126"/>
      <c r="O158" s="126"/>
      <c r="P158" s="435"/>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row>
    <row r="159" spans="1:51">
      <c r="A159" s="111"/>
      <c r="B159" s="126"/>
      <c r="C159" s="126"/>
      <c r="D159" s="126"/>
      <c r="E159" s="126"/>
      <c r="F159" s="126"/>
      <c r="G159" s="126"/>
      <c r="H159" s="126"/>
      <c r="I159" s="126"/>
      <c r="J159" s="126"/>
      <c r="K159" s="126"/>
      <c r="L159" s="126"/>
      <c r="M159" s="126"/>
      <c r="N159" s="126"/>
      <c r="O159" s="126"/>
      <c r="P159" s="435"/>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row>
    <row r="160" spans="1:51">
      <c r="A160" s="111"/>
      <c r="B160" s="126"/>
      <c r="C160" s="126"/>
      <c r="D160" s="126"/>
      <c r="E160" s="126"/>
      <c r="F160" s="126"/>
      <c r="G160" s="126"/>
      <c r="H160" s="126"/>
      <c r="I160" s="126"/>
      <c r="J160" s="126"/>
      <c r="K160" s="126"/>
      <c r="L160" s="126"/>
      <c r="M160" s="126"/>
      <c r="N160" s="126"/>
      <c r="O160" s="126"/>
      <c r="P160" s="435"/>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26"/>
    </row>
    <row r="161" spans="1:51">
      <c r="A161" s="111"/>
      <c r="B161" s="126"/>
      <c r="C161" s="126"/>
      <c r="D161" s="126"/>
      <c r="E161" s="126"/>
      <c r="F161" s="126"/>
      <c r="G161" s="126"/>
      <c r="H161" s="126"/>
      <c r="I161" s="126"/>
      <c r="J161" s="126"/>
      <c r="K161" s="126"/>
      <c r="L161" s="126"/>
      <c r="M161" s="126"/>
      <c r="N161" s="126"/>
      <c r="O161" s="126"/>
      <c r="P161" s="435"/>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26"/>
    </row>
    <row r="162" spans="1:51">
      <c r="A162" s="111"/>
      <c r="B162" s="126"/>
      <c r="C162" s="126"/>
      <c r="D162" s="126"/>
      <c r="E162" s="126"/>
      <c r="F162" s="126"/>
      <c r="G162" s="126"/>
      <c r="H162" s="126"/>
      <c r="I162" s="126"/>
      <c r="J162" s="126"/>
      <c r="K162" s="126"/>
      <c r="L162" s="126"/>
      <c r="M162" s="126"/>
      <c r="N162" s="126"/>
      <c r="O162" s="126"/>
      <c r="P162" s="435"/>
      <c r="Q162" s="126"/>
      <c r="R162" s="126"/>
      <c r="S162" s="126"/>
      <c r="T162" s="126"/>
      <c r="U162" s="126"/>
      <c r="V162" s="126"/>
      <c r="W162" s="126"/>
      <c r="X162" s="126"/>
      <c r="Y162" s="126"/>
      <c r="Z162" s="126"/>
      <c r="AA162" s="126"/>
      <c r="AB162" s="126"/>
      <c r="AC162" s="126"/>
      <c r="AD162" s="126"/>
      <c r="AE162" s="126"/>
      <c r="AF162" s="126"/>
      <c r="AG162" s="126"/>
      <c r="AH162" s="126"/>
      <c r="AI162" s="126"/>
      <c r="AJ162" s="126"/>
      <c r="AK162" s="126"/>
      <c r="AL162" s="126"/>
      <c r="AM162" s="126"/>
      <c r="AN162" s="126"/>
      <c r="AO162" s="126"/>
      <c r="AP162" s="126"/>
      <c r="AQ162" s="126"/>
      <c r="AR162" s="126"/>
      <c r="AS162" s="126"/>
      <c r="AT162" s="126"/>
      <c r="AU162" s="126"/>
      <c r="AV162" s="126"/>
      <c r="AW162" s="126"/>
      <c r="AX162" s="126"/>
      <c r="AY162" s="126"/>
    </row>
    <row r="163" spans="1:51">
      <c r="A163" s="111"/>
      <c r="B163" s="126"/>
      <c r="C163" s="126"/>
      <c r="D163" s="126"/>
      <c r="E163" s="126"/>
      <c r="F163" s="126"/>
      <c r="G163" s="126"/>
      <c r="H163" s="126"/>
      <c r="I163" s="126"/>
      <c r="J163" s="126"/>
      <c r="K163" s="126"/>
      <c r="L163" s="126"/>
      <c r="M163" s="126"/>
      <c r="N163" s="126"/>
      <c r="O163" s="126"/>
      <c r="P163" s="435"/>
      <c r="Q163" s="126"/>
      <c r="R163" s="126"/>
      <c r="S163" s="126"/>
      <c r="T163" s="126"/>
      <c r="U163" s="126"/>
      <c r="V163" s="126"/>
      <c r="W163" s="126"/>
      <c r="X163" s="126"/>
      <c r="Y163" s="126"/>
      <c r="Z163" s="126"/>
      <c r="AA163" s="126"/>
      <c r="AB163" s="126"/>
      <c r="AC163" s="126"/>
      <c r="AD163" s="126"/>
      <c r="AE163" s="126"/>
      <c r="AF163" s="126"/>
      <c r="AG163" s="126"/>
      <c r="AH163" s="126"/>
      <c r="AI163" s="126"/>
      <c r="AJ163" s="126"/>
      <c r="AK163" s="126"/>
      <c r="AL163" s="126"/>
      <c r="AM163" s="126"/>
      <c r="AN163" s="126"/>
      <c r="AO163" s="126"/>
      <c r="AP163" s="126"/>
      <c r="AQ163" s="126"/>
      <c r="AR163" s="126"/>
      <c r="AS163" s="126"/>
      <c r="AT163" s="126"/>
      <c r="AU163" s="126"/>
      <c r="AV163" s="126"/>
      <c r="AW163" s="126"/>
      <c r="AX163" s="126"/>
      <c r="AY163" s="126"/>
    </row>
    <row r="164" spans="1:51">
      <c r="A164" s="111"/>
      <c r="B164" s="126"/>
      <c r="C164" s="126"/>
      <c r="D164" s="126"/>
      <c r="E164" s="126"/>
      <c r="F164" s="126"/>
      <c r="G164" s="126"/>
      <c r="H164" s="126"/>
      <c r="I164" s="126"/>
      <c r="J164" s="126"/>
      <c r="K164" s="126"/>
      <c r="L164" s="126"/>
      <c r="M164" s="126"/>
      <c r="N164" s="126"/>
      <c r="O164" s="126"/>
      <c r="P164" s="435"/>
      <c r="Q164" s="126"/>
      <c r="R164" s="126"/>
      <c r="S164" s="126"/>
      <c r="T164" s="126"/>
      <c r="U164" s="126"/>
      <c r="V164" s="126"/>
      <c r="W164" s="126"/>
      <c r="X164" s="126"/>
      <c r="Y164" s="126"/>
      <c r="Z164" s="126"/>
      <c r="AA164" s="126"/>
      <c r="AB164" s="126"/>
      <c r="AC164" s="126"/>
      <c r="AD164" s="126"/>
      <c r="AE164" s="126"/>
      <c r="AF164" s="126"/>
      <c r="AG164" s="126"/>
      <c r="AH164" s="126"/>
      <c r="AI164" s="126"/>
      <c r="AJ164" s="126"/>
      <c r="AK164" s="126"/>
      <c r="AL164" s="126"/>
      <c r="AM164" s="126"/>
      <c r="AN164" s="126"/>
      <c r="AO164" s="126"/>
      <c r="AP164" s="126"/>
      <c r="AQ164" s="126"/>
      <c r="AR164" s="126"/>
      <c r="AS164" s="126"/>
      <c r="AT164" s="126"/>
      <c r="AU164" s="126"/>
      <c r="AV164" s="126"/>
      <c r="AW164" s="126"/>
      <c r="AX164" s="126"/>
      <c r="AY164" s="126"/>
    </row>
    <row r="165" spans="1:51">
      <c r="A165" s="111"/>
      <c r="B165" s="126"/>
      <c r="C165" s="126"/>
      <c r="D165" s="126"/>
      <c r="E165" s="126"/>
      <c r="F165" s="126"/>
      <c r="G165" s="126"/>
      <c r="H165" s="126"/>
      <c r="I165" s="126"/>
      <c r="J165" s="126"/>
      <c r="K165" s="126"/>
      <c r="L165" s="126"/>
      <c r="M165" s="126"/>
      <c r="N165" s="126"/>
      <c r="O165" s="126"/>
      <c r="P165" s="435"/>
      <c r="Q165" s="126"/>
      <c r="R165" s="126"/>
      <c r="S165" s="126"/>
      <c r="T165" s="126"/>
      <c r="U165" s="126"/>
      <c r="V165" s="126"/>
      <c r="W165" s="126"/>
      <c r="X165" s="126"/>
      <c r="Y165" s="126"/>
      <c r="Z165" s="126"/>
      <c r="AA165" s="126"/>
      <c r="AB165" s="126"/>
      <c r="AC165" s="126"/>
      <c r="AD165" s="126"/>
      <c r="AE165" s="126"/>
      <c r="AF165" s="126"/>
      <c r="AG165" s="126"/>
      <c r="AH165" s="126"/>
      <c r="AI165" s="126"/>
      <c r="AJ165" s="126"/>
      <c r="AK165" s="126"/>
      <c r="AL165" s="126"/>
      <c r="AM165" s="126"/>
      <c r="AN165" s="126"/>
      <c r="AO165" s="126"/>
      <c r="AP165" s="126"/>
      <c r="AQ165" s="126"/>
      <c r="AR165" s="126"/>
      <c r="AS165" s="126"/>
      <c r="AT165" s="126"/>
      <c r="AU165" s="126"/>
      <c r="AV165" s="126"/>
      <c r="AW165" s="126"/>
      <c r="AX165" s="126"/>
      <c r="AY165" s="126"/>
    </row>
    <row r="166" spans="1:51">
      <c r="A166" s="111"/>
      <c r="B166" s="126"/>
      <c r="C166" s="126"/>
      <c r="D166" s="126"/>
      <c r="E166" s="126"/>
      <c r="F166" s="126"/>
      <c r="G166" s="126"/>
      <c r="H166" s="126"/>
      <c r="I166" s="126"/>
      <c r="J166" s="126"/>
      <c r="K166" s="126"/>
      <c r="L166" s="126"/>
      <c r="M166" s="126"/>
      <c r="N166" s="126"/>
      <c r="O166" s="126"/>
      <c r="P166" s="435"/>
      <c r="Q166" s="126"/>
      <c r="R166" s="126"/>
      <c r="S166" s="126"/>
      <c r="T166" s="126"/>
      <c r="U166" s="126"/>
      <c r="V166" s="126"/>
      <c r="W166" s="126"/>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row>
    <row r="167" spans="1:51">
      <c r="A167" s="111"/>
      <c r="B167" s="126"/>
      <c r="C167" s="126"/>
      <c r="D167" s="126"/>
      <c r="E167" s="126"/>
      <c r="F167" s="126"/>
      <c r="G167" s="126"/>
      <c r="H167" s="126"/>
      <c r="I167" s="126"/>
      <c r="J167" s="126"/>
      <c r="K167" s="126"/>
      <c r="L167" s="126"/>
      <c r="M167" s="126"/>
      <c r="N167" s="126"/>
      <c r="O167" s="126"/>
      <c r="P167" s="435"/>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6"/>
      <c r="AN167" s="126"/>
      <c r="AO167" s="126"/>
      <c r="AP167" s="126"/>
      <c r="AQ167" s="126"/>
      <c r="AR167" s="126"/>
      <c r="AS167" s="126"/>
      <c r="AT167" s="126"/>
      <c r="AU167" s="126"/>
      <c r="AV167" s="126"/>
      <c r="AW167" s="126"/>
      <c r="AX167" s="126"/>
      <c r="AY167" s="126"/>
    </row>
    <row r="168" spans="1:51">
      <c r="A168" s="111"/>
      <c r="B168" s="126"/>
      <c r="C168" s="126"/>
      <c r="D168" s="126"/>
      <c r="E168" s="126"/>
      <c r="F168" s="126"/>
      <c r="G168" s="126"/>
      <c r="H168" s="126"/>
      <c r="I168" s="126"/>
      <c r="J168" s="126"/>
      <c r="K168" s="126"/>
      <c r="L168" s="126"/>
      <c r="M168" s="126"/>
      <c r="N168" s="126"/>
      <c r="O168" s="126"/>
      <c r="P168" s="435"/>
      <c r="Q168" s="126"/>
      <c r="R168" s="126"/>
      <c r="S168" s="126"/>
      <c r="T168" s="126"/>
      <c r="U168" s="126"/>
      <c r="V168" s="126"/>
      <c r="W168" s="126"/>
      <c r="X168" s="126"/>
      <c r="Y168" s="126"/>
      <c r="Z168" s="126"/>
      <c r="AA168" s="126"/>
      <c r="AB168" s="126"/>
      <c r="AC168" s="126"/>
      <c r="AD168" s="126"/>
      <c r="AE168" s="126"/>
      <c r="AF168" s="126"/>
      <c r="AG168" s="126"/>
      <c r="AH168" s="126"/>
      <c r="AI168" s="126"/>
      <c r="AJ168" s="126"/>
      <c r="AK168" s="126"/>
      <c r="AL168" s="126"/>
      <c r="AM168" s="126"/>
      <c r="AN168" s="126"/>
      <c r="AO168" s="126"/>
      <c r="AP168" s="126"/>
      <c r="AQ168" s="126"/>
      <c r="AR168" s="126"/>
      <c r="AS168" s="126"/>
      <c r="AT168" s="126"/>
      <c r="AU168" s="126"/>
      <c r="AV168" s="126"/>
      <c r="AW168" s="126"/>
      <c r="AX168" s="126"/>
      <c r="AY168" s="126"/>
    </row>
    <row r="169" spans="1:51">
      <c r="A169" s="111"/>
      <c r="B169" s="126"/>
      <c r="C169" s="126"/>
      <c r="D169" s="126"/>
      <c r="E169" s="126"/>
      <c r="F169" s="126"/>
      <c r="G169" s="126"/>
      <c r="H169" s="126"/>
      <c r="I169" s="126"/>
      <c r="J169" s="126"/>
      <c r="K169" s="126"/>
      <c r="L169" s="126"/>
      <c r="M169" s="126"/>
      <c r="N169" s="126"/>
      <c r="O169" s="126"/>
      <c r="P169" s="435"/>
      <c r="Q169" s="126"/>
      <c r="R169" s="126"/>
      <c r="S169" s="126"/>
      <c r="T169" s="126"/>
      <c r="U169" s="126"/>
      <c r="V169" s="126"/>
      <c r="W169" s="126"/>
      <c r="X169" s="126"/>
      <c r="Y169" s="126"/>
      <c r="Z169" s="126"/>
      <c r="AA169" s="126"/>
      <c r="AB169" s="126"/>
      <c r="AC169" s="126"/>
      <c r="AD169" s="126"/>
      <c r="AE169" s="126"/>
      <c r="AF169" s="126"/>
      <c r="AG169" s="126"/>
      <c r="AH169" s="126"/>
      <c r="AI169" s="126"/>
      <c r="AJ169" s="126"/>
      <c r="AK169" s="126"/>
      <c r="AL169" s="126"/>
      <c r="AM169" s="126"/>
      <c r="AN169" s="126"/>
      <c r="AO169" s="126"/>
      <c r="AP169" s="126"/>
      <c r="AQ169" s="126"/>
      <c r="AR169" s="126"/>
      <c r="AS169" s="126"/>
      <c r="AT169" s="126"/>
      <c r="AU169" s="126"/>
      <c r="AV169" s="126"/>
      <c r="AW169" s="126"/>
      <c r="AX169" s="126"/>
      <c r="AY169" s="126"/>
    </row>
    <row r="170" spans="1:51">
      <c r="A170" s="111"/>
      <c r="B170" s="126"/>
      <c r="C170" s="126"/>
      <c r="D170" s="126"/>
      <c r="E170" s="126"/>
      <c r="F170" s="126"/>
      <c r="G170" s="126"/>
      <c r="H170" s="126"/>
      <c r="I170" s="126"/>
      <c r="J170" s="126"/>
      <c r="K170" s="126"/>
      <c r="L170" s="126"/>
      <c r="M170" s="126"/>
      <c r="N170" s="126"/>
      <c r="O170" s="126"/>
      <c r="P170" s="435"/>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row>
    <row r="171" spans="1:51">
      <c r="A171" s="111"/>
      <c r="B171" s="126"/>
      <c r="C171" s="126"/>
      <c r="D171" s="126"/>
      <c r="E171" s="126"/>
      <c r="F171" s="126"/>
      <c r="G171" s="126"/>
      <c r="H171" s="126"/>
      <c r="I171" s="126"/>
      <c r="J171" s="126"/>
      <c r="K171" s="126"/>
      <c r="L171" s="126"/>
      <c r="M171" s="126"/>
      <c r="N171" s="126"/>
      <c r="O171" s="126"/>
      <c r="P171" s="435"/>
      <c r="Q171" s="126"/>
      <c r="R171" s="126"/>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6"/>
      <c r="AP171" s="126"/>
      <c r="AQ171" s="126"/>
      <c r="AR171" s="126"/>
      <c r="AS171" s="126"/>
      <c r="AT171" s="126"/>
      <c r="AU171" s="126"/>
      <c r="AV171" s="126"/>
      <c r="AW171" s="126"/>
      <c r="AX171" s="126"/>
      <c r="AY171" s="126"/>
    </row>
    <row r="172" spans="1:51">
      <c r="A172" s="111"/>
      <c r="B172" s="126"/>
      <c r="C172" s="126"/>
      <c r="D172" s="126"/>
      <c r="E172" s="126"/>
      <c r="F172" s="126"/>
      <c r="G172" s="126"/>
      <c r="H172" s="126"/>
      <c r="I172" s="126"/>
      <c r="J172" s="126"/>
      <c r="K172" s="126"/>
      <c r="L172" s="126"/>
      <c r="M172" s="126"/>
      <c r="N172" s="126"/>
      <c r="O172" s="126"/>
      <c r="P172" s="435"/>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6"/>
      <c r="AN172" s="126"/>
      <c r="AO172" s="126"/>
      <c r="AP172" s="126"/>
      <c r="AQ172" s="126"/>
      <c r="AR172" s="126"/>
      <c r="AS172" s="126"/>
      <c r="AT172" s="126"/>
      <c r="AU172" s="126"/>
      <c r="AV172" s="126"/>
      <c r="AW172" s="126"/>
      <c r="AX172" s="126"/>
      <c r="AY172" s="126"/>
    </row>
    <row r="173" spans="1:51">
      <c r="A173" s="111"/>
      <c r="B173" s="126"/>
      <c r="C173" s="126"/>
      <c r="D173" s="126"/>
      <c r="E173" s="126"/>
      <c r="F173" s="126"/>
      <c r="G173" s="126"/>
      <c r="H173" s="126"/>
      <c r="I173" s="126"/>
      <c r="J173" s="126"/>
      <c r="K173" s="126"/>
      <c r="L173" s="126"/>
      <c r="M173" s="126"/>
      <c r="N173" s="126"/>
      <c r="O173" s="126"/>
      <c r="P173" s="435"/>
      <c r="Q173" s="126"/>
      <c r="R173" s="126"/>
      <c r="S173" s="126"/>
      <c r="T173" s="126"/>
      <c r="U173" s="126"/>
      <c r="V173" s="126"/>
      <c r="W173" s="126"/>
      <c r="X173" s="126"/>
      <c r="Y173" s="126"/>
      <c r="Z173" s="126"/>
      <c r="AA173" s="126"/>
      <c r="AB173" s="126"/>
      <c r="AC173" s="126"/>
      <c r="AD173" s="126"/>
      <c r="AE173" s="126"/>
      <c r="AF173" s="126"/>
      <c r="AG173" s="126"/>
      <c r="AH173" s="126"/>
      <c r="AI173" s="126"/>
      <c r="AJ173" s="126"/>
      <c r="AK173" s="126"/>
      <c r="AL173" s="126"/>
      <c r="AM173" s="126"/>
      <c r="AN173" s="126"/>
      <c r="AO173" s="126"/>
      <c r="AP173" s="126"/>
      <c r="AQ173" s="126"/>
      <c r="AR173" s="126"/>
      <c r="AS173" s="126"/>
      <c r="AT173" s="126"/>
      <c r="AU173" s="126"/>
      <c r="AV173" s="126"/>
      <c r="AW173" s="126"/>
      <c r="AX173" s="126"/>
      <c r="AY173" s="126"/>
    </row>
    <row r="174" spans="1:51">
      <c r="A174" s="111"/>
      <c r="B174" s="126"/>
      <c r="C174" s="126"/>
      <c r="D174" s="126"/>
      <c r="E174" s="126"/>
      <c r="F174" s="126"/>
      <c r="G174" s="126"/>
      <c r="H174" s="126"/>
      <c r="I174" s="126"/>
      <c r="J174" s="126"/>
      <c r="K174" s="126"/>
      <c r="L174" s="126"/>
      <c r="M174" s="126"/>
      <c r="N174" s="126"/>
      <c r="O174" s="126"/>
      <c r="P174" s="435"/>
      <c r="Q174" s="126"/>
      <c r="R174" s="126"/>
      <c r="S174" s="126"/>
      <c r="T174" s="126"/>
      <c r="U174" s="126"/>
      <c r="V174" s="126"/>
      <c r="W174" s="126"/>
      <c r="X174" s="126"/>
      <c r="Y174" s="126"/>
      <c r="Z174" s="126"/>
      <c r="AA174" s="126"/>
      <c r="AB174" s="126"/>
      <c r="AC174" s="126"/>
      <c r="AD174" s="126"/>
      <c r="AE174" s="126"/>
      <c r="AF174" s="126"/>
      <c r="AG174" s="126"/>
      <c r="AH174" s="126"/>
      <c r="AI174" s="126"/>
      <c r="AJ174" s="126"/>
      <c r="AK174" s="126"/>
      <c r="AL174" s="126"/>
      <c r="AM174" s="126"/>
      <c r="AN174" s="126"/>
      <c r="AO174" s="126"/>
      <c r="AP174" s="126"/>
      <c r="AQ174" s="126"/>
      <c r="AR174" s="126"/>
      <c r="AS174" s="126"/>
      <c r="AT174" s="126"/>
      <c r="AU174" s="126"/>
      <c r="AV174" s="126"/>
      <c r="AW174" s="126"/>
      <c r="AX174" s="126"/>
      <c r="AY174" s="126"/>
    </row>
    <row r="175" spans="1:51">
      <c r="A175" s="111"/>
      <c r="B175" s="126"/>
      <c r="C175" s="126"/>
      <c r="D175" s="126"/>
      <c r="E175" s="126"/>
      <c r="F175" s="126"/>
      <c r="G175" s="126"/>
      <c r="H175" s="126"/>
      <c r="I175" s="126"/>
      <c r="J175" s="126"/>
      <c r="K175" s="126"/>
      <c r="L175" s="126"/>
      <c r="M175" s="126"/>
      <c r="N175" s="126"/>
      <c r="O175" s="126"/>
      <c r="P175" s="435"/>
      <c r="Q175" s="126"/>
      <c r="R175" s="126"/>
      <c r="S175" s="126"/>
      <c r="T175" s="126"/>
      <c r="U175" s="126"/>
      <c r="V175" s="126"/>
      <c r="W175" s="126"/>
      <c r="X175" s="126"/>
      <c r="Y175" s="126"/>
      <c r="Z175" s="126"/>
      <c r="AA175" s="126"/>
      <c r="AB175" s="126"/>
      <c r="AC175" s="126"/>
      <c r="AD175" s="126"/>
      <c r="AE175" s="126"/>
      <c r="AF175" s="126"/>
      <c r="AG175" s="126"/>
      <c r="AH175" s="126"/>
      <c r="AI175" s="126"/>
      <c r="AJ175" s="126"/>
      <c r="AK175" s="126"/>
      <c r="AL175" s="126"/>
      <c r="AM175" s="126"/>
      <c r="AN175" s="126"/>
      <c r="AO175" s="126"/>
      <c r="AP175" s="126"/>
      <c r="AQ175" s="126"/>
      <c r="AR175" s="126"/>
      <c r="AS175" s="126"/>
      <c r="AT175" s="126"/>
      <c r="AU175" s="126"/>
      <c r="AV175" s="126"/>
      <c r="AW175" s="126"/>
      <c r="AX175" s="126"/>
      <c r="AY175" s="126"/>
    </row>
    <row r="176" spans="1:51">
      <c r="A176" s="111"/>
      <c r="B176" s="126"/>
      <c r="C176" s="126"/>
      <c r="D176" s="126"/>
      <c r="E176" s="126"/>
      <c r="F176" s="126"/>
      <c r="G176" s="126"/>
      <c r="H176" s="126"/>
      <c r="I176" s="126"/>
      <c r="J176" s="126"/>
      <c r="K176" s="126"/>
      <c r="L176" s="126"/>
      <c r="M176" s="126"/>
      <c r="N176" s="126"/>
      <c r="O176" s="126"/>
      <c r="P176" s="435"/>
      <c r="Q176" s="126"/>
      <c r="R176" s="126"/>
      <c r="S176" s="126"/>
      <c r="T176" s="126"/>
      <c r="U176" s="126"/>
      <c r="V176" s="126"/>
      <c r="W176" s="126"/>
      <c r="X176" s="126"/>
      <c r="Y176" s="126"/>
      <c r="Z176" s="126"/>
      <c r="AA176" s="126"/>
      <c r="AB176" s="126"/>
      <c r="AC176" s="126"/>
      <c r="AD176" s="126"/>
      <c r="AE176" s="126"/>
      <c r="AF176" s="126"/>
      <c r="AG176" s="126"/>
      <c r="AH176" s="126"/>
      <c r="AI176" s="126"/>
      <c r="AJ176" s="126"/>
      <c r="AK176" s="126"/>
      <c r="AL176" s="126"/>
      <c r="AM176" s="126"/>
      <c r="AN176" s="126"/>
      <c r="AO176" s="126"/>
      <c r="AP176" s="126"/>
      <c r="AQ176" s="126"/>
      <c r="AR176" s="126"/>
      <c r="AS176" s="126"/>
      <c r="AT176" s="126"/>
      <c r="AU176" s="126"/>
      <c r="AV176" s="126"/>
      <c r="AW176" s="126"/>
      <c r="AX176" s="126"/>
      <c r="AY176" s="126"/>
    </row>
    <row r="177" spans="1:51">
      <c r="A177" s="111"/>
      <c r="B177" s="126"/>
      <c r="C177" s="126"/>
      <c r="D177" s="126"/>
      <c r="E177" s="126"/>
      <c r="F177" s="126"/>
      <c r="G177" s="126"/>
      <c r="H177" s="126"/>
      <c r="I177" s="126"/>
      <c r="J177" s="126"/>
      <c r="K177" s="126"/>
      <c r="L177" s="126"/>
      <c r="M177" s="126"/>
      <c r="N177" s="126"/>
      <c r="O177" s="126"/>
      <c r="P177" s="435"/>
      <c r="Q177" s="126"/>
      <c r="R177" s="126"/>
      <c r="S177" s="126"/>
      <c r="T177" s="126"/>
      <c r="U177" s="126"/>
      <c r="V177" s="126"/>
      <c r="W177" s="126"/>
      <c r="X177" s="126"/>
      <c r="Y177" s="126"/>
      <c r="Z177" s="126"/>
      <c r="AA177" s="126"/>
      <c r="AB177" s="126"/>
      <c r="AC177" s="126"/>
      <c r="AD177" s="126"/>
      <c r="AE177" s="126"/>
      <c r="AF177" s="126"/>
      <c r="AG177" s="126"/>
      <c r="AH177" s="126"/>
      <c r="AI177" s="126"/>
      <c r="AJ177" s="126"/>
      <c r="AK177" s="126"/>
      <c r="AL177" s="126"/>
      <c r="AM177" s="126"/>
      <c r="AN177" s="126"/>
      <c r="AO177" s="126"/>
      <c r="AP177" s="126"/>
      <c r="AQ177" s="126"/>
      <c r="AR177" s="126"/>
      <c r="AS177" s="126"/>
      <c r="AT177" s="126"/>
      <c r="AU177" s="126"/>
      <c r="AV177" s="126"/>
      <c r="AW177" s="126"/>
      <c r="AX177" s="126"/>
      <c r="AY177" s="126"/>
    </row>
    <row r="178" spans="1:51">
      <c r="A178" s="111"/>
      <c r="B178" s="126"/>
      <c r="C178" s="126"/>
      <c r="D178" s="126"/>
      <c r="E178" s="126"/>
      <c r="F178" s="126"/>
      <c r="G178" s="126"/>
      <c r="H178" s="126"/>
      <c r="I178" s="126"/>
      <c r="J178" s="126"/>
      <c r="K178" s="126"/>
      <c r="L178" s="126"/>
      <c r="M178" s="126"/>
      <c r="N178" s="126"/>
      <c r="O178" s="126"/>
      <c r="P178" s="435"/>
      <c r="Q178" s="126"/>
      <c r="R178" s="126"/>
      <c r="S178" s="126"/>
      <c r="T178" s="126"/>
      <c r="U178" s="126"/>
      <c r="V178" s="126"/>
      <c r="W178" s="126"/>
      <c r="X178" s="126"/>
      <c r="Y178" s="126"/>
      <c r="Z178" s="126"/>
      <c r="AA178" s="126"/>
      <c r="AB178" s="126"/>
      <c r="AC178" s="126"/>
      <c r="AD178" s="126"/>
      <c r="AE178" s="126"/>
      <c r="AF178" s="126"/>
      <c r="AG178" s="126"/>
      <c r="AH178" s="126"/>
      <c r="AI178" s="126"/>
      <c r="AJ178" s="126"/>
      <c r="AK178" s="126"/>
      <c r="AL178" s="126"/>
      <c r="AM178" s="126"/>
      <c r="AN178" s="126"/>
      <c r="AO178" s="126"/>
      <c r="AP178" s="126"/>
      <c r="AQ178" s="126"/>
      <c r="AR178" s="126"/>
      <c r="AS178" s="126"/>
      <c r="AT178" s="126"/>
      <c r="AU178" s="126"/>
      <c r="AV178" s="126"/>
      <c r="AW178" s="126"/>
      <c r="AX178" s="126"/>
      <c r="AY178" s="126"/>
    </row>
    <row r="179" spans="1:51">
      <c r="A179" s="111"/>
      <c r="B179" s="126"/>
      <c r="C179" s="126"/>
      <c r="D179" s="126"/>
      <c r="E179" s="126"/>
      <c r="F179" s="126"/>
      <c r="G179" s="126"/>
      <c r="H179" s="126"/>
      <c r="I179" s="126"/>
      <c r="J179" s="126"/>
      <c r="K179" s="126"/>
      <c r="L179" s="126"/>
      <c r="M179" s="126"/>
      <c r="N179" s="126"/>
      <c r="O179" s="126"/>
      <c r="P179" s="435"/>
      <c r="Q179" s="126"/>
      <c r="R179" s="126"/>
      <c r="S179" s="126"/>
      <c r="T179" s="126"/>
      <c r="U179" s="126"/>
      <c r="V179" s="126"/>
      <c r="W179" s="126"/>
      <c r="X179" s="126"/>
      <c r="Y179" s="126"/>
      <c r="Z179" s="126"/>
      <c r="AA179" s="126"/>
      <c r="AB179" s="126"/>
      <c r="AC179" s="126"/>
      <c r="AD179" s="126"/>
      <c r="AE179" s="126"/>
      <c r="AF179" s="126"/>
      <c r="AG179" s="126"/>
      <c r="AH179" s="126"/>
      <c r="AI179" s="126"/>
      <c r="AJ179" s="126"/>
      <c r="AK179" s="126"/>
      <c r="AL179" s="126"/>
      <c r="AM179" s="126"/>
      <c r="AN179" s="126"/>
      <c r="AO179" s="126"/>
      <c r="AP179" s="126"/>
      <c r="AQ179" s="126"/>
      <c r="AR179" s="126"/>
      <c r="AS179" s="126"/>
      <c r="AT179" s="126"/>
      <c r="AU179" s="126"/>
      <c r="AV179" s="126"/>
      <c r="AW179" s="126"/>
      <c r="AX179" s="126"/>
      <c r="AY179" s="126"/>
    </row>
    <row r="180" spans="1:51">
      <c r="A180" s="111"/>
      <c r="B180" s="126"/>
      <c r="C180" s="126"/>
      <c r="D180" s="126"/>
      <c r="E180" s="126"/>
      <c r="F180" s="126"/>
      <c r="G180" s="126"/>
      <c r="H180" s="126"/>
      <c r="I180" s="126"/>
      <c r="J180" s="126"/>
      <c r="K180" s="126"/>
      <c r="L180" s="126"/>
      <c r="M180" s="126"/>
      <c r="N180" s="126"/>
      <c r="O180" s="126"/>
      <c r="P180" s="435"/>
      <c r="Q180" s="126"/>
      <c r="R180" s="126"/>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6"/>
      <c r="AP180" s="126"/>
      <c r="AQ180" s="126"/>
      <c r="AR180" s="126"/>
      <c r="AS180" s="126"/>
      <c r="AT180" s="126"/>
      <c r="AU180" s="126"/>
      <c r="AV180" s="126"/>
      <c r="AW180" s="126"/>
      <c r="AX180" s="126"/>
      <c r="AY180" s="126"/>
    </row>
    <row r="181" spans="1:51">
      <c r="A181" s="111"/>
      <c r="B181" s="126"/>
      <c r="C181" s="126"/>
      <c r="D181" s="126"/>
      <c r="E181" s="126"/>
      <c r="F181" s="126"/>
      <c r="G181" s="126"/>
      <c r="H181" s="126"/>
      <c r="I181" s="126"/>
      <c r="J181" s="126"/>
      <c r="K181" s="126"/>
      <c r="L181" s="126"/>
      <c r="M181" s="126"/>
      <c r="N181" s="126"/>
      <c r="O181" s="126"/>
      <c r="P181" s="435"/>
      <c r="Q181" s="126"/>
      <c r="R181" s="126"/>
      <c r="S181" s="126"/>
      <c r="T181" s="126"/>
      <c r="U181" s="126"/>
      <c r="V181" s="126"/>
      <c r="W181" s="126"/>
      <c r="X181" s="126"/>
      <c r="Y181" s="126"/>
      <c r="Z181" s="126"/>
      <c r="AA181" s="126"/>
      <c r="AB181" s="126"/>
      <c r="AC181" s="126"/>
      <c r="AD181" s="126"/>
      <c r="AE181" s="126"/>
      <c r="AF181" s="126"/>
      <c r="AG181" s="126"/>
      <c r="AH181" s="126"/>
      <c r="AI181" s="126"/>
      <c r="AJ181" s="126"/>
      <c r="AK181" s="126"/>
      <c r="AL181" s="126"/>
      <c r="AM181" s="126"/>
      <c r="AN181" s="126"/>
      <c r="AO181" s="126"/>
      <c r="AP181" s="126"/>
      <c r="AQ181" s="126"/>
      <c r="AR181" s="126"/>
      <c r="AS181" s="126"/>
      <c r="AT181" s="126"/>
      <c r="AU181" s="126"/>
      <c r="AV181" s="126"/>
      <c r="AW181" s="126"/>
      <c r="AX181" s="126"/>
      <c r="AY181" s="126"/>
    </row>
    <row r="182" spans="1:51">
      <c r="A182" s="111"/>
      <c r="B182" s="126"/>
      <c r="C182" s="126"/>
      <c r="D182" s="126"/>
      <c r="E182" s="126"/>
      <c r="F182" s="126"/>
      <c r="G182" s="126"/>
      <c r="H182" s="126"/>
      <c r="I182" s="126"/>
      <c r="J182" s="126"/>
      <c r="K182" s="126"/>
      <c r="L182" s="126"/>
      <c r="M182" s="126"/>
      <c r="N182" s="126"/>
      <c r="O182" s="126"/>
      <c r="P182" s="435"/>
      <c r="Q182" s="126"/>
      <c r="R182" s="126"/>
      <c r="S182" s="126"/>
      <c r="T182" s="126"/>
      <c r="U182" s="126"/>
      <c r="V182" s="126"/>
      <c r="W182" s="126"/>
      <c r="X182" s="126"/>
      <c r="Y182" s="126"/>
      <c r="Z182" s="126"/>
      <c r="AA182" s="126"/>
      <c r="AB182" s="126"/>
      <c r="AC182" s="126"/>
      <c r="AD182" s="126"/>
      <c r="AE182" s="126"/>
      <c r="AF182" s="126"/>
      <c r="AG182" s="126"/>
      <c r="AH182" s="126"/>
      <c r="AI182" s="126"/>
      <c r="AJ182" s="126"/>
      <c r="AK182" s="126"/>
      <c r="AL182" s="126"/>
      <c r="AM182" s="126"/>
      <c r="AN182" s="126"/>
      <c r="AO182" s="126"/>
      <c r="AP182" s="126"/>
      <c r="AQ182" s="126"/>
      <c r="AR182" s="126"/>
      <c r="AS182" s="126"/>
      <c r="AT182" s="126"/>
      <c r="AU182" s="126"/>
      <c r="AV182" s="126"/>
      <c r="AW182" s="126"/>
      <c r="AX182" s="126"/>
      <c r="AY182" s="126"/>
    </row>
    <row r="183" spans="1:51">
      <c r="A183" s="111"/>
      <c r="B183" s="126"/>
      <c r="C183" s="126"/>
      <c r="D183" s="126"/>
      <c r="E183" s="126"/>
      <c r="F183" s="126"/>
      <c r="G183" s="126"/>
      <c r="H183" s="126"/>
      <c r="I183" s="126"/>
      <c r="J183" s="126"/>
      <c r="K183" s="126"/>
      <c r="L183" s="126"/>
      <c r="M183" s="126"/>
      <c r="N183" s="126"/>
      <c r="O183" s="126"/>
      <c r="P183" s="435"/>
      <c r="Q183" s="126"/>
      <c r="R183" s="126"/>
      <c r="S183" s="126"/>
      <c r="T183" s="126"/>
      <c r="U183" s="126"/>
      <c r="V183" s="126"/>
      <c r="W183" s="126"/>
      <c r="X183" s="126"/>
      <c r="Y183" s="126"/>
      <c r="Z183" s="126"/>
      <c r="AA183" s="126"/>
      <c r="AB183" s="126"/>
      <c r="AC183" s="126"/>
      <c r="AD183" s="126"/>
      <c r="AE183" s="126"/>
      <c r="AF183" s="126"/>
      <c r="AG183" s="126"/>
      <c r="AH183" s="126"/>
      <c r="AI183" s="126"/>
      <c r="AJ183" s="126"/>
      <c r="AK183" s="126"/>
      <c r="AL183" s="126"/>
      <c r="AM183" s="126"/>
      <c r="AN183" s="126"/>
      <c r="AO183" s="126"/>
      <c r="AP183" s="126"/>
      <c r="AQ183" s="126"/>
      <c r="AR183" s="126"/>
      <c r="AS183" s="126"/>
      <c r="AT183" s="126"/>
      <c r="AU183" s="126"/>
      <c r="AV183" s="126"/>
      <c r="AW183" s="126"/>
      <c r="AX183" s="126"/>
      <c r="AY183" s="126"/>
    </row>
    <row r="184" spans="1:51">
      <c r="A184" s="111"/>
      <c r="B184" s="126"/>
      <c r="C184" s="126"/>
      <c r="D184" s="126"/>
      <c r="E184" s="126"/>
      <c r="F184" s="126"/>
      <c r="G184" s="126"/>
      <c r="H184" s="126"/>
      <c r="I184" s="126"/>
      <c r="J184" s="126"/>
      <c r="K184" s="126"/>
      <c r="L184" s="126"/>
      <c r="M184" s="126"/>
      <c r="N184" s="126"/>
      <c r="O184" s="126"/>
      <c r="P184" s="435"/>
      <c r="Q184" s="126"/>
      <c r="R184" s="126"/>
      <c r="S184" s="126"/>
      <c r="T184" s="126"/>
      <c r="U184" s="126"/>
      <c r="V184" s="126"/>
      <c r="W184" s="126"/>
      <c r="X184" s="126"/>
      <c r="Y184" s="126"/>
      <c r="Z184" s="126"/>
      <c r="AA184" s="126"/>
      <c r="AB184" s="126"/>
      <c r="AC184" s="126"/>
      <c r="AD184" s="126"/>
      <c r="AE184" s="126"/>
      <c r="AF184" s="126"/>
      <c r="AG184" s="126"/>
      <c r="AH184" s="126"/>
      <c r="AI184" s="126"/>
      <c r="AJ184" s="126"/>
      <c r="AK184" s="126"/>
      <c r="AL184" s="126"/>
      <c r="AM184" s="126"/>
      <c r="AN184" s="126"/>
      <c r="AO184" s="126"/>
      <c r="AP184" s="126"/>
      <c r="AQ184" s="126"/>
      <c r="AR184" s="126"/>
      <c r="AS184" s="126"/>
      <c r="AT184" s="126"/>
      <c r="AU184" s="126"/>
      <c r="AV184" s="126"/>
      <c r="AW184" s="126"/>
      <c r="AX184" s="126"/>
      <c r="AY184" s="126"/>
    </row>
    <row r="185" spans="1:51">
      <c r="A185" s="111"/>
      <c r="B185" s="126"/>
      <c r="C185" s="126"/>
      <c r="D185" s="126"/>
      <c r="E185" s="126"/>
      <c r="F185" s="126"/>
      <c r="G185" s="126"/>
      <c r="H185" s="126"/>
      <c r="I185" s="126"/>
      <c r="J185" s="126"/>
      <c r="K185" s="126"/>
      <c r="L185" s="126"/>
      <c r="M185" s="126"/>
      <c r="N185" s="126"/>
      <c r="O185" s="126"/>
      <c r="P185" s="435"/>
      <c r="Q185" s="126"/>
      <c r="R185" s="126"/>
      <c r="S185" s="126"/>
      <c r="T185" s="126"/>
      <c r="U185" s="126"/>
      <c r="V185" s="126"/>
      <c r="W185" s="126"/>
      <c r="X185" s="126"/>
      <c r="Y185" s="126"/>
      <c r="Z185" s="126"/>
      <c r="AA185" s="126"/>
      <c r="AB185" s="126"/>
      <c r="AC185" s="126"/>
      <c r="AD185" s="126"/>
      <c r="AE185" s="126"/>
      <c r="AF185" s="126"/>
      <c r="AG185" s="126"/>
      <c r="AH185" s="126"/>
      <c r="AI185" s="126"/>
      <c r="AJ185" s="126"/>
      <c r="AK185" s="126"/>
      <c r="AL185" s="126"/>
      <c r="AM185" s="126"/>
      <c r="AN185" s="126"/>
      <c r="AO185" s="126"/>
      <c r="AP185" s="126"/>
      <c r="AQ185" s="126"/>
      <c r="AR185" s="126"/>
      <c r="AS185" s="126"/>
      <c r="AT185" s="126"/>
      <c r="AU185" s="126"/>
      <c r="AV185" s="126"/>
      <c r="AW185" s="126"/>
      <c r="AX185" s="126"/>
      <c r="AY185" s="126"/>
    </row>
    <row r="186" spans="1:51">
      <c r="A186" s="111"/>
      <c r="B186" s="126"/>
      <c r="C186" s="126"/>
      <c r="D186" s="126"/>
      <c r="E186" s="126"/>
      <c r="F186" s="126"/>
      <c r="G186" s="126"/>
      <c r="H186" s="126"/>
      <c r="I186" s="126"/>
      <c r="J186" s="126"/>
      <c r="K186" s="126"/>
      <c r="L186" s="126"/>
      <c r="M186" s="126"/>
      <c r="N186" s="126"/>
      <c r="O186" s="126"/>
      <c r="P186" s="435"/>
      <c r="Q186" s="126"/>
      <c r="R186" s="126"/>
      <c r="S186" s="126"/>
      <c r="T186" s="126"/>
      <c r="U186" s="126"/>
      <c r="V186" s="126"/>
      <c r="W186" s="126"/>
      <c r="X186" s="126"/>
      <c r="Y186" s="126"/>
      <c r="Z186" s="126"/>
      <c r="AA186" s="126"/>
      <c r="AB186" s="126"/>
      <c r="AC186" s="126"/>
      <c r="AD186" s="126"/>
      <c r="AE186" s="126"/>
      <c r="AF186" s="126"/>
      <c r="AG186" s="126"/>
      <c r="AH186" s="126"/>
      <c r="AI186" s="126"/>
      <c r="AJ186" s="126"/>
      <c r="AK186" s="126"/>
      <c r="AL186" s="126"/>
      <c r="AM186" s="126"/>
      <c r="AN186" s="126"/>
      <c r="AO186" s="126"/>
      <c r="AP186" s="126"/>
      <c r="AQ186" s="126"/>
      <c r="AR186" s="126"/>
      <c r="AS186" s="126"/>
      <c r="AT186" s="126"/>
      <c r="AU186" s="126"/>
      <c r="AV186" s="126"/>
      <c r="AW186" s="126"/>
      <c r="AX186" s="126"/>
      <c r="AY186" s="126"/>
    </row>
    <row r="187" spans="1:51">
      <c r="A187" s="111"/>
      <c r="B187" s="126"/>
      <c r="C187" s="126"/>
      <c r="D187" s="126"/>
      <c r="E187" s="126"/>
      <c r="F187" s="126"/>
      <c r="G187" s="126"/>
      <c r="H187" s="126"/>
      <c r="I187" s="126"/>
      <c r="J187" s="126"/>
      <c r="K187" s="126"/>
      <c r="L187" s="126"/>
      <c r="M187" s="126"/>
      <c r="N187" s="126"/>
      <c r="O187" s="126"/>
      <c r="P187" s="435"/>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row>
    <row r="188" spans="1:51">
      <c r="A188" s="111"/>
      <c r="B188" s="126"/>
      <c r="C188" s="126"/>
      <c r="D188" s="126"/>
      <c r="E188" s="126"/>
      <c r="F188" s="126"/>
      <c r="G188" s="126"/>
      <c r="H188" s="126"/>
      <c r="I188" s="126"/>
      <c r="J188" s="126"/>
      <c r="K188" s="126"/>
      <c r="L188" s="126"/>
      <c r="M188" s="126"/>
      <c r="N188" s="126"/>
      <c r="O188" s="126"/>
      <c r="P188" s="435"/>
      <c r="Q188" s="126"/>
      <c r="R188" s="126"/>
      <c r="S188" s="126"/>
      <c r="T188" s="126"/>
      <c r="U188" s="126"/>
      <c r="V188" s="126"/>
      <c r="W188" s="126"/>
      <c r="X188" s="126"/>
      <c r="Y188" s="126"/>
      <c r="Z188" s="126"/>
      <c r="AA188" s="126"/>
      <c r="AB188" s="126"/>
      <c r="AC188" s="126"/>
      <c r="AD188" s="126"/>
      <c r="AE188" s="126"/>
      <c r="AF188" s="126"/>
      <c r="AG188" s="126"/>
      <c r="AH188" s="126"/>
      <c r="AI188" s="126"/>
      <c r="AJ188" s="126"/>
      <c r="AK188" s="126"/>
      <c r="AL188" s="126"/>
      <c r="AM188" s="126"/>
      <c r="AN188" s="126"/>
      <c r="AO188" s="126"/>
      <c r="AP188" s="126"/>
      <c r="AQ188" s="126"/>
      <c r="AR188" s="126"/>
      <c r="AS188" s="126"/>
      <c r="AT188" s="126"/>
      <c r="AU188" s="126"/>
      <c r="AV188" s="126"/>
      <c r="AW188" s="126"/>
      <c r="AX188" s="126"/>
      <c r="AY188" s="126"/>
    </row>
    <row r="189" spans="1:51">
      <c r="A189" s="111"/>
      <c r="B189" s="126"/>
      <c r="C189" s="126"/>
      <c r="D189" s="126"/>
      <c r="E189" s="126"/>
      <c r="F189" s="126"/>
      <c r="G189" s="126"/>
      <c r="H189" s="126"/>
      <c r="I189" s="126"/>
      <c r="J189" s="126"/>
      <c r="K189" s="126"/>
      <c r="L189" s="126"/>
      <c r="M189" s="126"/>
      <c r="N189" s="126"/>
      <c r="O189" s="126"/>
      <c r="P189" s="435"/>
      <c r="Q189" s="126"/>
      <c r="R189" s="126"/>
      <c r="S189" s="126"/>
      <c r="T189" s="126"/>
      <c r="U189" s="126"/>
      <c r="V189" s="126"/>
      <c r="W189" s="126"/>
      <c r="X189" s="126"/>
      <c r="Y189" s="126"/>
      <c r="Z189" s="126"/>
      <c r="AA189" s="126"/>
      <c r="AB189" s="126"/>
      <c r="AC189" s="126"/>
      <c r="AD189" s="126"/>
      <c r="AE189" s="126"/>
      <c r="AF189" s="126"/>
      <c r="AG189" s="126"/>
      <c r="AH189" s="126"/>
      <c r="AI189" s="126"/>
      <c r="AJ189" s="126"/>
      <c r="AK189" s="126"/>
      <c r="AL189" s="126"/>
      <c r="AM189" s="126"/>
      <c r="AN189" s="126"/>
      <c r="AO189" s="126"/>
      <c r="AP189" s="126"/>
      <c r="AQ189" s="126"/>
      <c r="AR189" s="126"/>
      <c r="AS189" s="126"/>
      <c r="AT189" s="126"/>
      <c r="AU189" s="126"/>
      <c r="AV189" s="126"/>
      <c r="AW189" s="126"/>
      <c r="AX189" s="126"/>
      <c r="AY189" s="126"/>
    </row>
    <row r="190" spans="1:51">
      <c r="A190" s="111"/>
      <c r="B190" s="126"/>
      <c r="C190" s="126"/>
      <c r="D190" s="126"/>
      <c r="E190" s="126"/>
      <c r="F190" s="126"/>
      <c r="G190" s="126"/>
      <c r="H190" s="126"/>
      <c r="I190" s="126"/>
      <c r="J190" s="126"/>
      <c r="K190" s="126"/>
      <c r="L190" s="126"/>
      <c r="M190" s="126"/>
      <c r="N190" s="126"/>
      <c r="O190" s="126"/>
      <c r="P190" s="435"/>
      <c r="Q190" s="126"/>
      <c r="R190" s="126"/>
      <c r="S190" s="126"/>
      <c r="T190" s="126"/>
      <c r="U190" s="126"/>
      <c r="V190" s="126"/>
      <c r="W190" s="126"/>
      <c r="X190" s="126"/>
      <c r="Y190" s="126"/>
      <c r="Z190" s="126"/>
      <c r="AA190" s="126"/>
      <c r="AB190" s="126"/>
      <c r="AC190" s="126"/>
      <c r="AD190" s="126"/>
      <c r="AE190" s="126"/>
      <c r="AF190" s="126"/>
      <c r="AG190" s="126"/>
      <c r="AH190" s="126"/>
      <c r="AI190" s="126"/>
      <c r="AJ190" s="126"/>
      <c r="AK190" s="126"/>
      <c r="AL190" s="126"/>
      <c r="AM190" s="126"/>
      <c r="AN190" s="126"/>
      <c r="AO190" s="126"/>
      <c r="AP190" s="126"/>
      <c r="AQ190" s="126"/>
      <c r="AR190" s="126"/>
      <c r="AS190" s="126"/>
      <c r="AT190" s="126"/>
      <c r="AU190" s="126"/>
      <c r="AV190" s="126"/>
      <c r="AW190" s="126"/>
      <c r="AX190" s="126"/>
      <c r="AY190" s="126"/>
    </row>
    <row r="191" spans="1:51">
      <c r="A191" s="111"/>
      <c r="B191" s="126"/>
      <c r="C191" s="126"/>
      <c r="D191" s="126"/>
      <c r="E191" s="126"/>
      <c r="F191" s="126"/>
      <c r="G191" s="126"/>
      <c r="H191" s="126"/>
      <c r="I191" s="126"/>
      <c r="J191" s="126"/>
      <c r="K191" s="126"/>
      <c r="L191" s="126"/>
      <c r="M191" s="126"/>
      <c r="N191" s="126"/>
      <c r="O191" s="126"/>
      <c r="P191" s="435"/>
      <c r="Q191" s="126"/>
      <c r="R191" s="126"/>
      <c r="S191" s="126"/>
      <c r="T191" s="126"/>
      <c r="U191" s="126"/>
      <c r="V191" s="126"/>
      <c r="W191" s="126"/>
      <c r="X191" s="126"/>
      <c r="Y191" s="126"/>
      <c r="Z191" s="126"/>
      <c r="AA191" s="126"/>
      <c r="AB191" s="126"/>
      <c r="AC191" s="126"/>
      <c r="AD191" s="126"/>
      <c r="AE191" s="126"/>
      <c r="AF191" s="126"/>
      <c r="AG191" s="126"/>
      <c r="AH191" s="126"/>
      <c r="AI191" s="126"/>
      <c r="AJ191" s="126"/>
      <c r="AK191" s="126"/>
      <c r="AL191" s="126"/>
      <c r="AM191" s="126"/>
      <c r="AN191" s="126"/>
      <c r="AO191" s="126"/>
      <c r="AP191" s="126"/>
      <c r="AQ191" s="126"/>
      <c r="AR191" s="126"/>
      <c r="AS191" s="126"/>
      <c r="AT191" s="126"/>
      <c r="AU191" s="126"/>
      <c r="AV191" s="126"/>
      <c r="AW191" s="126"/>
      <c r="AX191" s="126"/>
      <c r="AY191" s="126"/>
    </row>
    <row r="192" spans="1:51">
      <c r="A192" s="111"/>
      <c r="B192" s="126"/>
      <c r="C192" s="126"/>
      <c r="D192" s="126"/>
      <c r="E192" s="126"/>
      <c r="F192" s="126"/>
      <c r="G192" s="126"/>
      <c r="H192" s="126"/>
      <c r="I192" s="126"/>
      <c r="J192" s="126"/>
      <c r="K192" s="126"/>
      <c r="L192" s="126"/>
      <c r="M192" s="126"/>
      <c r="N192" s="126"/>
      <c r="O192" s="126"/>
      <c r="P192" s="435"/>
      <c r="Q192" s="126"/>
      <c r="R192" s="126"/>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6"/>
      <c r="AP192" s="126"/>
      <c r="AQ192" s="126"/>
      <c r="AR192" s="126"/>
      <c r="AS192" s="126"/>
      <c r="AT192" s="126"/>
      <c r="AU192" s="126"/>
      <c r="AV192" s="126"/>
      <c r="AW192" s="126"/>
      <c r="AX192" s="126"/>
      <c r="AY192" s="126"/>
    </row>
    <row r="193" spans="1:51">
      <c r="A193" s="111"/>
      <c r="B193" s="126"/>
      <c r="C193" s="126"/>
      <c r="D193" s="126"/>
      <c r="E193" s="126"/>
      <c r="F193" s="126"/>
      <c r="G193" s="126"/>
      <c r="H193" s="126"/>
      <c r="I193" s="126"/>
      <c r="J193" s="126"/>
      <c r="K193" s="126"/>
      <c r="L193" s="126"/>
      <c r="M193" s="126"/>
      <c r="N193" s="126"/>
      <c r="O193" s="126"/>
      <c r="P193" s="435"/>
      <c r="Q193" s="126"/>
      <c r="R193" s="126"/>
      <c r="S193" s="126"/>
      <c r="T193" s="126"/>
      <c r="U193" s="126"/>
      <c r="V193" s="126"/>
      <c r="W193" s="126"/>
      <c r="X193" s="126"/>
      <c r="Y193" s="126"/>
      <c r="Z193" s="126"/>
      <c r="AA193" s="126"/>
      <c r="AB193" s="126"/>
      <c r="AC193" s="126"/>
      <c r="AD193" s="126"/>
      <c r="AE193" s="126"/>
      <c r="AF193" s="126"/>
      <c r="AG193" s="126"/>
      <c r="AH193" s="126"/>
      <c r="AI193" s="126"/>
      <c r="AJ193" s="126"/>
      <c r="AK193" s="126"/>
      <c r="AL193" s="126"/>
      <c r="AM193" s="126"/>
      <c r="AN193" s="126"/>
      <c r="AO193" s="126"/>
      <c r="AP193" s="126"/>
      <c r="AQ193" s="126"/>
      <c r="AR193" s="126"/>
      <c r="AS193" s="126"/>
      <c r="AT193" s="126"/>
      <c r="AU193" s="126"/>
      <c r="AV193" s="126"/>
      <c r="AW193" s="126"/>
      <c r="AX193" s="126"/>
      <c r="AY193" s="126"/>
    </row>
    <row r="194" spans="1:51">
      <c r="A194" s="111"/>
      <c r="B194" s="126"/>
      <c r="C194" s="126"/>
      <c r="D194" s="126"/>
      <c r="E194" s="126"/>
      <c r="F194" s="126"/>
      <c r="G194" s="126"/>
      <c r="H194" s="126"/>
      <c r="I194" s="126"/>
      <c r="J194" s="126"/>
      <c r="K194" s="126"/>
      <c r="L194" s="126"/>
      <c r="M194" s="126"/>
      <c r="N194" s="126"/>
      <c r="O194" s="126"/>
      <c r="P194" s="435"/>
      <c r="Q194" s="126"/>
      <c r="R194" s="126"/>
      <c r="S194" s="126"/>
      <c r="T194" s="126"/>
      <c r="U194" s="126"/>
      <c r="V194" s="126"/>
      <c r="W194" s="126"/>
      <c r="X194" s="126"/>
      <c r="Y194" s="126"/>
      <c r="Z194" s="126"/>
      <c r="AA194" s="126"/>
      <c r="AB194" s="126"/>
      <c r="AC194" s="126"/>
      <c r="AD194" s="126"/>
      <c r="AE194" s="126"/>
      <c r="AF194" s="126"/>
      <c r="AG194" s="126"/>
      <c r="AH194" s="126"/>
      <c r="AI194" s="126"/>
      <c r="AJ194" s="126"/>
      <c r="AK194" s="126"/>
      <c r="AL194" s="126"/>
      <c r="AM194" s="126"/>
      <c r="AN194" s="126"/>
      <c r="AO194" s="126"/>
      <c r="AP194" s="126"/>
      <c r="AQ194" s="126"/>
      <c r="AR194" s="126"/>
      <c r="AS194" s="126"/>
      <c r="AT194" s="126"/>
      <c r="AU194" s="126"/>
      <c r="AV194" s="126"/>
      <c r="AW194" s="126"/>
      <c r="AX194" s="126"/>
      <c r="AY194" s="126"/>
    </row>
    <row r="195" spans="1:51">
      <c r="A195" s="111"/>
      <c r="B195" s="126"/>
      <c r="C195" s="126"/>
      <c r="D195" s="126"/>
      <c r="E195" s="126"/>
      <c r="F195" s="126"/>
      <c r="G195" s="126"/>
      <c r="H195" s="126"/>
      <c r="I195" s="126"/>
      <c r="J195" s="126"/>
      <c r="K195" s="126"/>
      <c r="L195" s="126"/>
      <c r="M195" s="126"/>
      <c r="N195" s="126"/>
      <c r="O195" s="126"/>
      <c r="P195" s="435"/>
      <c r="Q195" s="126"/>
      <c r="R195" s="126"/>
      <c r="S195" s="126"/>
      <c r="T195" s="126"/>
      <c r="U195" s="126"/>
      <c r="V195" s="126"/>
      <c r="W195" s="126"/>
      <c r="X195" s="126"/>
      <c r="Y195" s="126"/>
      <c r="Z195" s="126"/>
      <c r="AA195" s="126"/>
      <c r="AB195" s="126"/>
      <c r="AC195" s="126"/>
      <c r="AD195" s="126"/>
      <c r="AE195" s="126"/>
      <c r="AF195" s="126"/>
      <c r="AG195" s="126"/>
      <c r="AH195" s="126"/>
      <c r="AI195" s="126"/>
      <c r="AJ195" s="126"/>
      <c r="AK195" s="126"/>
      <c r="AL195" s="126"/>
      <c r="AM195" s="126"/>
      <c r="AN195" s="126"/>
      <c r="AO195" s="126"/>
      <c r="AP195" s="126"/>
      <c r="AQ195" s="126"/>
      <c r="AR195" s="126"/>
      <c r="AS195" s="126"/>
      <c r="AT195" s="126"/>
      <c r="AU195" s="126"/>
      <c r="AV195" s="126"/>
      <c r="AW195" s="126"/>
      <c r="AX195" s="126"/>
      <c r="AY195" s="126"/>
    </row>
    <row r="196" spans="1:51">
      <c r="A196" s="111"/>
      <c r="B196" s="126"/>
      <c r="C196" s="126"/>
      <c r="D196" s="126"/>
      <c r="E196" s="126"/>
      <c r="F196" s="126"/>
      <c r="G196" s="126"/>
      <c r="H196" s="126"/>
      <c r="I196" s="126"/>
      <c r="J196" s="126"/>
      <c r="K196" s="126"/>
      <c r="L196" s="126"/>
      <c r="M196" s="126"/>
      <c r="N196" s="126"/>
      <c r="O196" s="126"/>
      <c r="P196" s="435"/>
      <c r="Q196" s="126"/>
      <c r="R196" s="126"/>
      <c r="S196" s="126"/>
      <c r="T196" s="126"/>
      <c r="U196" s="126"/>
      <c r="V196" s="126"/>
      <c r="W196" s="126"/>
      <c r="X196" s="126"/>
      <c r="Y196" s="126"/>
      <c r="Z196" s="126"/>
      <c r="AA196" s="126"/>
      <c r="AB196" s="126"/>
      <c r="AC196" s="126"/>
      <c r="AD196" s="126"/>
      <c r="AE196" s="126"/>
      <c r="AF196" s="126"/>
      <c r="AG196" s="126"/>
      <c r="AH196" s="126"/>
      <c r="AI196" s="126"/>
      <c r="AJ196" s="126"/>
      <c r="AK196" s="126"/>
      <c r="AL196" s="126"/>
      <c r="AM196" s="126"/>
      <c r="AN196" s="126"/>
      <c r="AO196" s="126"/>
      <c r="AP196" s="126"/>
      <c r="AQ196" s="126"/>
      <c r="AR196" s="126"/>
      <c r="AS196" s="126"/>
      <c r="AT196" s="126"/>
      <c r="AU196" s="126"/>
      <c r="AV196" s="126"/>
      <c r="AW196" s="126"/>
      <c r="AX196" s="126"/>
      <c r="AY196" s="126"/>
    </row>
    <row r="197" spans="1:51">
      <c r="A197" s="111"/>
      <c r="B197" s="126"/>
      <c r="C197" s="126"/>
      <c r="D197" s="126"/>
      <c r="E197" s="126"/>
      <c r="F197" s="126"/>
      <c r="G197" s="126"/>
      <c r="H197" s="126"/>
      <c r="I197" s="126"/>
      <c r="J197" s="126"/>
      <c r="K197" s="126"/>
      <c r="L197" s="126"/>
      <c r="M197" s="126"/>
      <c r="N197" s="126"/>
      <c r="O197" s="126"/>
      <c r="P197" s="435"/>
      <c r="Q197" s="126"/>
      <c r="R197" s="126"/>
      <c r="S197" s="126"/>
      <c r="T197" s="126"/>
      <c r="U197" s="126"/>
      <c r="V197" s="126"/>
      <c r="W197" s="126"/>
      <c r="X197" s="126"/>
      <c r="Y197" s="126"/>
      <c r="Z197" s="126"/>
      <c r="AA197" s="126"/>
      <c r="AB197" s="126"/>
      <c r="AC197" s="126"/>
      <c r="AD197" s="126"/>
      <c r="AE197" s="126"/>
      <c r="AF197" s="126"/>
      <c r="AG197" s="126"/>
      <c r="AH197" s="126"/>
      <c r="AI197" s="126"/>
      <c r="AJ197" s="126"/>
      <c r="AK197" s="126"/>
      <c r="AL197" s="126"/>
      <c r="AM197" s="126"/>
      <c r="AN197" s="126"/>
      <c r="AO197" s="126"/>
      <c r="AP197" s="126"/>
      <c r="AQ197" s="126"/>
      <c r="AR197" s="126"/>
      <c r="AS197" s="126"/>
      <c r="AT197" s="126"/>
      <c r="AU197" s="126"/>
      <c r="AV197" s="126"/>
      <c r="AW197" s="126"/>
      <c r="AX197" s="126"/>
      <c r="AY197" s="126"/>
    </row>
    <row r="198" spans="1:51">
      <c r="A198" s="111"/>
      <c r="B198" s="126"/>
      <c r="C198" s="126"/>
      <c r="D198" s="126"/>
      <c r="E198" s="126"/>
      <c r="F198" s="126"/>
      <c r="G198" s="126"/>
      <c r="H198" s="126"/>
      <c r="I198" s="126"/>
      <c r="J198" s="126"/>
      <c r="K198" s="126"/>
      <c r="L198" s="126"/>
      <c r="M198" s="126"/>
      <c r="N198" s="126"/>
      <c r="O198" s="126"/>
      <c r="P198" s="435"/>
      <c r="Q198" s="126"/>
      <c r="R198" s="126"/>
      <c r="S198" s="126"/>
      <c r="T198" s="126"/>
      <c r="U198" s="126"/>
      <c r="V198" s="126"/>
      <c r="W198" s="126"/>
      <c r="X198" s="126"/>
      <c r="Y198" s="126"/>
      <c r="Z198" s="126"/>
      <c r="AA198" s="126"/>
      <c r="AB198" s="126"/>
      <c r="AC198" s="126"/>
      <c r="AD198" s="126"/>
      <c r="AE198" s="126"/>
      <c r="AF198" s="126"/>
      <c r="AG198" s="126"/>
      <c r="AH198" s="126"/>
      <c r="AI198" s="126"/>
      <c r="AJ198" s="126"/>
      <c r="AK198" s="126"/>
      <c r="AL198" s="126"/>
      <c r="AM198" s="126"/>
      <c r="AN198" s="126"/>
      <c r="AO198" s="126"/>
      <c r="AP198" s="126"/>
      <c r="AQ198" s="126"/>
      <c r="AR198" s="126"/>
      <c r="AS198" s="126"/>
      <c r="AT198" s="126"/>
      <c r="AU198" s="126"/>
      <c r="AV198" s="126"/>
      <c r="AW198" s="126"/>
      <c r="AX198" s="126"/>
      <c r="AY198" s="126"/>
    </row>
    <row r="199" spans="1:51">
      <c r="A199" s="111"/>
      <c r="B199" s="126"/>
      <c r="C199" s="126"/>
      <c r="D199" s="126"/>
      <c r="E199" s="126"/>
      <c r="F199" s="126"/>
      <c r="G199" s="126"/>
      <c r="H199" s="126"/>
      <c r="I199" s="126"/>
      <c r="J199" s="126"/>
      <c r="K199" s="126"/>
      <c r="L199" s="126"/>
      <c r="M199" s="126"/>
      <c r="N199" s="126"/>
      <c r="O199" s="126"/>
      <c r="P199" s="435"/>
      <c r="Q199" s="126"/>
      <c r="R199" s="126"/>
      <c r="S199" s="126"/>
      <c r="T199" s="126"/>
      <c r="U199" s="126"/>
      <c r="V199" s="126"/>
      <c r="W199" s="126"/>
      <c r="X199" s="126"/>
      <c r="Y199" s="126"/>
      <c r="Z199" s="126"/>
      <c r="AA199" s="126"/>
      <c r="AB199" s="126"/>
      <c r="AC199" s="126"/>
      <c r="AD199" s="126"/>
      <c r="AE199" s="126"/>
      <c r="AF199" s="126"/>
      <c r="AG199" s="126"/>
      <c r="AH199" s="126"/>
      <c r="AI199" s="126"/>
      <c r="AJ199" s="126"/>
      <c r="AK199" s="126"/>
      <c r="AL199" s="126"/>
      <c r="AM199" s="126"/>
      <c r="AN199" s="126"/>
      <c r="AO199" s="126"/>
      <c r="AP199" s="126"/>
      <c r="AQ199" s="126"/>
      <c r="AR199" s="126"/>
      <c r="AS199" s="126"/>
      <c r="AT199" s="126"/>
      <c r="AU199" s="126"/>
      <c r="AV199" s="126"/>
      <c r="AW199" s="126"/>
      <c r="AX199" s="126"/>
      <c r="AY199" s="126"/>
    </row>
    <row r="200" spans="1:51">
      <c r="A200" s="111"/>
      <c r="B200" s="126"/>
      <c r="C200" s="126"/>
      <c r="D200" s="126"/>
      <c r="E200" s="126"/>
      <c r="F200" s="126"/>
      <c r="G200" s="126"/>
      <c r="H200" s="126"/>
      <c r="I200" s="126"/>
      <c r="J200" s="126"/>
      <c r="K200" s="126"/>
      <c r="L200" s="126"/>
      <c r="M200" s="126"/>
      <c r="N200" s="126"/>
      <c r="O200" s="126"/>
      <c r="P200" s="435"/>
      <c r="Q200" s="126"/>
      <c r="R200" s="126"/>
      <c r="S200" s="126"/>
      <c r="T200" s="126"/>
      <c r="U200" s="126"/>
      <c r="V200" s="126"/>
      <c r="W200" s="126"/>
      <c r="X200" s="126"/>
      <c r="Y200" s="126"/>
      <c r="Z200" s="126"/>
      <c r="AA200" s="126"/>
      <c r="AB200" s="126"/>
      <c r="AC200" s="126"/>
      <c r="AD200" s="126"/>
      <c r="AE200" s="126"/>
      <c r="AF200" s="126"/>
      <c r="AG200" s="126"/>
      <c r="AH200" s="126"/>
      <c r="AI200" s="126"/>
      <c r="AJ200" s="126"/>
      <c r="AK200" s="126"/>
      <c r="AL200" s="126"/>
      <c r="AM200" s="126"/>
      <c r="AN200" s="126"/>
      <c r="AO200" s="126"/>
      <c r="AP200" s="126"/>
      <c r="AQ200" s="126"/>
      <c r="AR200" s="126"/>
      <c r="AS200" s="126"/>
      <c r="AT200" s="126"/>
      <c r="AU200" s="126"/>
      <c r="AV200" s="126"/>
      <c r="AW200" s="126"/>
      <c r="AX200" s="126"/>
      <c r="AY200" s="126"/>
    </row>
    <row r="201" spans="1:51">
      <c r="A201" s="111"/>
      <c r="B201" s="126"/>
      <c r="C201" s="126"/>
      <c r="D201" s="126"/>
      <c r="E201" s="126"/>
      <c r="F201" s="126"/>
      <c r="G201" s="126"/>
      <c r="H201" s="126"/>
      <c r="I201" s="126"/>
      <c r="J201" s="126"/>
      <c r="K201" s="126"/>
      <c r="L201" s="126"/>
      <c r="M201" s="126"/>
      <c r="N201" s="126"/>
      <c r="O201" s="126"/>
      <c r="P201" s="435"/>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c r="AL201" s="126"/>
      <c r="AM201" s="126"/>
      <c r="AN201" s="126"/>
      <c r="AO201" s="126"/>
      <c r="AP201" s="126"/>
      <c r="AQ201" s="126"/>
      <c r="AR201" s="126"/>
      <c r="AS201" s="126"/>
      <c r="AT201" s="126"/>
      <c r="AU201" s="126"/>
      <c r="AV201" s="126"/>
      <c r="AW201" s="126"/>
      <c r="AX201" s="126"/>
      <c r="AY201" s="126"/>
    </row>
  </sheetData>
  <sheetProtection formatColumns="0" autoFilter="0"/>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8497E-B915-4415-B767-58755A3461C7}">
  <sheetPr codeName="Tabelle46"/>
  <dimension ref="A1:CA493"/>
  <sheetViews>
    <sheetView workbookViewId="0">
      <selection activeCell="G12" sqref="G12"/>
    </sheetView>
  </sheetViews>
  <sheetFormatPr baseColWidth="10" defaultColWidth="11" defaultRowHeight="14.25"/>
  <cols>
    <col min="1" max="1" width="14" style="2263" customWidth="1"/>
    <col min="2" max="2" width="19.75" style="2263" customWidth="1"/>
    <col min="3" max="12" width="12.375" style="2263" customWidth="1"/>
    <col min="13" max="13" width="11.375" style="2263" bestFit="1" customWidth="1"/>
    <col min="14" max="14" width="11" style="2263"/>
    <col min="15" max="15" width="11" style="2263" customWidth="1"/>
    <col min="16" max="16384" width="11" style="2263"/>
  </cols>
  <sheetData>
    <row r="1" spans="1:79" s="2264" customFormat="1" ht="15" thickBot="1">
      <c r="A1" s="2264" t="s">
        <v>2016</v>
      </c>
      <c r="B1" s="2265" t="s">
        <v>2017</v>
      </c>
      <c r="C1" s="2266" t="str">
        <f>IF(Dat_EzA&gt;0,Dat_EzA,"")</f>
        <v/>
      </c>
      <c r="D1" s="2265" t="s">
        <v>2018</v>
      </c>
      <c r="E1" s="2266">
        <f>IF(Dat_EzE&gt;0,Dat_EzE,"")</f>
        <v>46203</v>
      </c>
      <c r="F1" s="2265" t="s">
        <v>2019</v>
      </c>
      <c r="G1" s="2266" t="str">
        <f>IF(Dat_GebDatM&gt;0,Dat_GebDatM,"")</f>
        <v/>
      </c>
      <c r="H1" s="2265" t="s">
        <v>2020</v>
      </c>
      <c r="I1" s="2266" t="str">
        <f>IF(Dat_GebDatF&gt;0,Dat_GebDatF,"")</f>
        <v/>
      </c>
    </row>
    <row r="2" spans="1:79">
      <c r="A2" s="15"/>
      <c r="B2" s="15"/>
      <c r="C2" s="15"/>
      <c r="D2" s="15"/>
      <c r="E2" s="2290"/>
      <c r="F2" s="2290"/>
      <c r="G2" s="15"/>
      <c r="H2" s="15"/>
      <c r="I2" s="15"/>
      <c r="J2" s="15"/>
      <c r="K2" s="15"/>
      <c r="L2" s="15"/>
      <c r="M2" s="15"/>
      <c r="N2" s="15"/>
      <c r="O2" s="15"/>
      <c r="P2" s="15"/>
      <c r="Q2" s="15"/>
      <c r="R2" s="15"/>
      <c r="S2" s="15"/>
      <c r="T2" s="15"/>
      <c r="U2" s="15"/>
      <c r="V2" s="2269"/>
      <c r="W2" s="2269"/>
      <c r="X2" s="2269"/>
      <c r="Y2" s="2269"/>
      <c r="Z2" s="2269"/>
      <c r="AA2" s="2269"/>
      <c r="AB2" s="2269"/>
      <c r="AC2" s="2269"/>
      <c r="AD2" s="2269"/>
      <c r="AE2" s="2269"/>
      <c r="AF2" s="2269"/>
      <c r="AG2" s="2269"/>
      <c r="AH2" s="2269"/>
      <c r="AI2" s="2269"/>
      <c r="AJ2" s="2269"/>
      <c r="AK2" s="2269"/>
      <c r="AL2" s="2269"/>
      <c r="AM2" s="2269"/>
      <c r="AN2" s="2269"/>
      <c r="AO2" s="2269"/>
      <c r="AP2" s="2269"/>
      <c r="AQ2" s="2269"/>
      <c r="AR2" s="2269"/>
      <c r="AS2" s="2269"/>
      <c r="AT2" s="2269"/>
      <c r="AU2" s="2269"/>
      <c r="AV2" s="2269"/>
      <c r="AW2" s="2269"/>
      <c r="AX2" s="2269"/>
      <c r="AY2" s="2269"/>
      <c r="AZ2" s="2269"/>
      <c r="BA2" s="2269"/>
      <c r="BB2" s="2269"/>
      <c r="BC2" s="2269"/>
      <c r="BD2" s="2269"/>
      <c r="BE2" s="2269"/>
      <c r="BF2" s="2269"/>
      <c r="BG2" s="2269"/>
      <c r="BH2" s="2269"/>
      <c r="BI2" s="2269"/>
      <c r="BJ2" s="2269"/>
      <c r="BK2" s="2269"/>
      <c r="BL2" s="2269"/>
      <c r="BM2" s="2269"/>
      <c r="BN2" s="2269"/>
      <c r="BO2" s="2269"/>
      <c r="BP2" s="2269"/>
      <c r="BQ2" s="2269"/>
      <c r="BR2" s="2269"/>
      <c r="BS2" s="2269"/>
      <c r="BT2" s="2269"/>
      <c r="BU2" s="2269"/>
      <c r="BV2" s="2269"/>
      <c r="BW2" s="2269"/>
      <c r="BX2" s="2269"/>
      <c r="BY2" s="2269"/>
      <c r="BZ2" s="2269"/>
      <c r="CA2" s="2269"/>
    </row>
    <row r="3" spans="1:79">
      <c r="A3" s="15"/>
      <c r="B3" s="2291"/>
      <c r="C3" s="2291"/>
      <c r="D3" s="15"/>
      <c r="E3" s="2291"/>
      <c r="F3" s="15"/>
      <c r="G3" s="15"/>
      <c r="H3" s="15"/>
      <c r="I3" s="15"/>
      <c r="J3" s="15"/>
      <c r="K3" s="15"/>
      <c r="L3" s="15"/>
      <c r="M3" s="15"/>
      <c r="N3" s="15"/>
      <c r="O3" s="15"/>
      <c r="P3" s="15"/>
      <c r="Q3" s="15"/>
      <c r="R3" s="15"/>
      <c r="S3" s="15"/>
      <c r="T3" s="15"/>
      <c r="U3" s="15"/>
      <c r="V3" s="2269"/>
      <c r="W3" s="2269"/>
      <c r="X3" s="2269"/>
      <c r="Y3" s="2269"/>
      <c r="Z3" s="2269"/>
      <c r="AA3" s="2269"/>
      <c r="AB3" s="2269"/>
      <c r="AC3" s="2269"/>
      <c r="AD3" s="2269"/>
      <c r="AE3" s="2269"/>
      <c r="AF3" s="2269"/>
      <c r="AG3" s="2269"/>
      <c r="AH3" s="2269"/>
      <c r="AI3" s="2269"/>
      <c r="AJ3" s="2269"/>
      <c r="AK3" s="2269"/>
      <c r="AL3" s="2269"/>
      <c r="AM3" s="2269"/>
      <c r="AN3" s="2269"/>
      <c r="AO3" s="2269"/>
      <c r="AP3" s="2269"/>
      <c r="AQ3" s="2269"/>
      <c r="AR3" s="2269"/>
      <c r="AS3" s="2269"/>
      <c r="AT3" s="2269"/>
      <c r="AU3" s="2269"/>
      <c r="AV3" s="2269"/>
      <c r="AW3" s="2269"/>
      <c r="AX3" s="2269"/>
      <c r="AY3" s="2269"/>
      <c r="AZ3" s="2269"/>
      <c r="BA3" s="2269"/>
      <c r="BB3" s="2269"/>
      <c r="BC3" s="2269"/>
      <c r="BD3" s="2269"/>
      <c r="BE3" s="2269"/>
      <c r="BF3" s="2269"/>
      <c r="BG3" s="2269"/>
      <c r="BH3" s="2269"/>
      <c r="BI3" s="2269"/>
      <c r="BJ3" s="2269"/>
      <c r="BK3" s="2269"/>
      <c r="BL3" s="2269"/>
      <c r="BM3" s="2269"/>
      <c r="BN3" s="2269"/>
      <c r="BO3" s="2269"/>
      <c r="BP3" s="2269"/>
      <c r="BQ3" s="2269"/>
      <c r="BR3" s="2269"/>
      <c r="BS3" s="2269"/>
      <c r="BT3" s="2269"/>
      <c r="BU3" s="2269"/>
      <c r="BV3" s="2269"/>
      <c r="BW3" s="2269"/>
      <c r="BX3" s="2269"/>
      <c r="BY3" s="2269"/>
      <c r="BZ3" s="2269"/>
      <c r="CA3" s="2269"/>
    </row>
    <row r="4" spans="1:79">
      <c r="A4" s="15"/>
      <c r="B4" s="2291"/>
      <c r="C4" s="2291"/>
      <c r="D4" s="2291"/>
      <c r="E4" s="2291"/>
      <c r="F4" s="2289"/>
      <c r="G4" s="2291"/>
      <c r="H4" s="2289"/>
      <c r="I4" s="16"/>
      <c r="J4" s="15"/>
      <c r="K4" s="15"/>
      <c r="L4" s="15"/>
      <c r="M4" s="15"/>
      <c r="N4" s="15"/>
      <c r="O4" s="15"/>
      <c r="P4" s="15"/>
      <c r="Q4" s="15"/>
      <c r="R4" s="15"/>
      <c r="S4" s="15"/>
      <c r="T4" s="15"/>
      <c r="U4" s="15"/>
      <c r="V4" s="2269"/>
      <c r="W4" s="2269"/>
      <c r="X4" s="2269"/>
      <c r="Y4" s="2269"/>
      <c r="Z4" s="2269"/>
      <c r="AA4" s="2269"/>
      <c r="AB4" s="2269"/>
      <c r="AC4" s="2269"/>
      <c r="AD4" s="2269"/>
      <c r="AE4" s="2269"/>
      <c r="AF4" s="2269"/>
      <c r="AG4" s="2269"/>
      <c r="AH4" s="2269"/>
      <c r="AI4" s="2269"/>
      <c r="AJ4" s="2269"/>
      <c r="AK4" s="2269"/>
      <c r="AL4" s="2269"/>
      <c r="AM4" s="2269"/>
      <c r="AN4" s="2269"/>
      <c r="AO4" s="2269"/>
      <c r="AP4" s="2269"/>
      <c r="AQ4" s="2269"/>
      <c r="AR4" s="2269"/>
      <c r="AS4" s="2269"/>
      <c r="AT4" s="2269"/>
      <c r="AU4" s="2269"/>
      <c r="AV4" s="2269"/>
      <c r="AW4" s="2269"/>
      <c r="AX4" s="2269"/>
      <c r="AY4" s="2269"/>
      <c r="AZ4" s="2269"/>
      <c r="BA4" s="2269"/>
      <c r="BB4" s="2269"/>
      <c r="BC4" s="2269"/>
      <c r="BD4" s="2269"/>
      <c r="BE4" s="2269"/>
      <c r="BF4" s="2269"/>
      <c r="BG4" s="2269"/>
      <c r="BH4" s="2269"/>
      <c r="BI4" s="2269"/>
      <c r="BJ4" s="2269"/>
      <c r="BK4" s="2269"/>
      <c r="BL4" s="2269"/>
      <c r="BM4" s="2269"/>
      <c r="BN4" s="2269"/>
      <c r="BO4" s="2269"/>
      <c r="BP4" s="2269"/>
      <c r="BQ4" s="2269"/>
      <c r="BR4" s="2269"/>
      <c r="BS4" s="2269"/>
      <c r="BT4" s="2269"/>
      <c r="BU4" s="2269"/>
      <c r="BV4" s="2269"/>
      <c r="BW4" s="2269"/>
      <c r="BX4" s="2269"/>
      <c r="BY4" s="2269"/>
      <c r="BZ4" s="2269"/>
      <c r="CA4" s="2269"/>
    </row>
    <row r="5" spans="1:79">
      <c r="A5" s="15"/>
      <c r="B5" s="2291"/>
      <c r="C5" s="2291"/>
      <c r="D5" s="2291"/>
      <c r="E5" s="2291"/>
      <c r="F5" s="2289"/>
      <c r="G5" s="2291"/>
      <c r="H5" s="2289"/>
      <c r="I5" s="16"/>
      <c r="J5" s="15"/>
      <c r="K5" s="15"/>
      <c r="L5" s="15"/>
      <c r="M5" s="15"/>
      <c r="N5" s="15"/>
      <c r="O5" s="15"/>
      <c r="P5" s="15"/>
      <c r="Q5" s="15"/>
      <c r="R5" s="15"/>
      <c r="S5" s="15"/>
      <c r="T5" s="15"/>
      <c r="U5" s="15"/>
      <c r="V5" s="2269"/>
      <c r="W5" s="2269"/>
      <c r="X5" s="2269"/>
      <c r="Y5" s="2269"/>
      <c r="Z5" s="2269"/>
      <c r="AA5" s="2269"/>
      <c r="AB5" s="2269"/>
      <c r="AC5" s="2269"/>
      <c r="AD5" s="2269"/>
      <c r="AE5" s="2269"/>
      <c r="AF5" s="2269"/>
      <c r="AG5" s="2269"/>
      <c r="AH5" s="2269"/>
      <c r="AI5" s="2269"/>
      <c r="AJ5" s="2269"/>
      <c r="AK5" s="2269"/>
      <c r="AL5" s="2269"/>
      <c r="AM5" s="2269"/>
      <c r="AN5" s="2269"/>
      <c r="AO5" s="2269"/>
      <c r="AP5" s="2269"/>
      <c r="AQ5" s="2269"/>
      <c r="AR5" s="2269"/>
      <c r="AS5" s="2269"/>
      <c r="AT5" s="2269"/>
      <c r="AU5" s="2269"/>
      <c r="AV5" s="2269"/>
      <c r="AW5" s="2269"/>
      <c r="AX5" s="2269"/>
      <c r="AY5" s="2269"/>
      <c r="AZ5" s="2269"/>
      <c r="BA5" s="2269"/>
      <c r="BB5" s="2269"/>
      <c r="BC5" s="2269"/>
      <c r="BD5" s="2269"/>
      <c r="BE5" s="2269"/>
      <c r="BF5" s="2269"/>
      <c r="BG5" s="2269"/>
      <c r="BH5" s="2269"/>
      <c r="BI5" s="2269"/>
      <c r="BJ5" s="2269"/>
      <c r="BK5" s="2269"/>
      <c r="BL5" s="2269"/>
      <c r="BM5" s="2269"/>
      <c r="BN5" s="2269"/>
      <c r="BO5" s="2269"/>
      <c r="BP5" s="2269"/>
      <c r="BQ5" s="2269"/>
      <c r="BR5" s="2269"/>
      <c r="BS5" s="2269"/>
      <c r="BT5" s="2269"/>
      <c r="BU5" s="2269"/>
      <c r="BV5" s="2269"/>
      <c r="BW5" s="2269"/>
      <c r="BX5" s="2269"/>
      <c r="BY5" s="2269"/>
      <c r="BZ5" s="2269"/>
      <c r="CA5" s="2269"/>
    </row>
    <row r="6" spans="1:79">
      <c r="A6" s="15"/>
      <c r="B6" s="2291"/>
      <c r="C6" s="2291"/>
      <c r="D6" s="1683"/>
      <c r="E6" s="1683"/>
      <c r="F6" s="2289"/>
      <c r="G6" s="2291"/>
      <c r="H6" s="2289"/>
      <c r="I6" s="16"/>
      <c r="J6" s="15"/>
      <c r="K6" s="15"/>
      <c r="L6" s="15"/>
      <c r="M6" s="15"/>
      <c r="N6" s="15"/>
      <c r="O6" s="15"/>
      <c r="P6" s="15"/>
      <c r="Q6" s="15"/>
      <c r="R6" s="15"/>
      <c r="S6" s="15"/>
      <c r="T6" s="15"/>
      <c r="U6" s="15"/>
      <c r="V6" s="2269"/>
      <c r="W6" s="2269"/>
      <c r="X6" s="2269"/>
      <c r="Y6" s="2269"/>
      <c r="Z6" s="2269"/>
      <c r="AA6" s="2269"/>
      <c r="AB6" s="2269"/>
      <c r="AC6" s="2269"/>
      <c r="AD6" s="2269"/>
      <c r="AE6" s="2269"/>
      <c r="AF6" s="2269"/>
      <c r="AG6" s="2269"/>
      <c r="AH6" s="2269"/>
      <c r="AI6" s="2269"/>
      <c r="AJ6" s="2269"/>
      <c r="AK6" s="2269"/>
      <c r="AL6" s="2269"/>
      <c r="AM6" s="2269"/>
      <c r="AN6" s="2269"/>
      <c r="AO6" s="2269"/>
      <c r="AP6" s="2269"/>
      <c r="AQ6" s="2269"/>
      <c r="AR6" s="2269"/>
      <c r="AS6" s="2269"/>
      <c r="AT6" s="2269"/>
      <c r="AU6" s="2269"/>
      <c r="AV6" s="2269"/>
      <c r="AW6" s="2269"/>
      <c r="AX6" s="2269"/>
      <c r="AY6" s="2269"/>
      <c r="AZ6" s="2269"/>
      <c r="BA6" s="2269"/>
      <c r="BB6" s="2269"/>
      <c r="BC6" s="2269"/>
      <c r="BD6" s="2269"/>
      <c r="BE6" s="2269"/>
      <c r="BF6" s="2269"/>
      <c r="BG6" s="2269"/>
      <c r="BH6" s="2269"/>
      <c r="BI6" s="2269"/>
      <c r="BJ6" s="2269"/>
      <c r="BK6" s="2269"/>
      <c r="BL6" s="2269"/>
      <c r="BM6" s="2269"/>
      <c r="BN6" s="2269"/>
      <c r="BO6" s="2269"/>
      <c r="BP6" s="2269"/>
      <c r="BQ6" s="2269"/>
      <c r="BR6" s="2269"/>
      <c r="BS6" s="2269"/>
      <c r="BT6" s="2269"/>
      <c r="BU6" s="2269"/>
      <c r="BV6" s="2269"/>
      <c r="BW6" s="2269"/>
      <c r="BX6" s="2269"/>
      <c r="BY6" s="2269"/>
      <c r="BZ6" s="2269"/>
      <c r="CA6" s="2269"/>
    </row>
    <row r="7" spans="1:79" ht="15">
      <c r="A7" s="15"/>
      <c r="B7" s="2292"/>
      <c r="C7" s="2293"/>
      <c r="D7" s="2292"/>
      <c r="E7" s="2292"/>
      <c r="F7" s="2289"/>
      <c r="G7" s="2291"/>
      <c r="H7" s="2289"/>
      <c r="I7" s="16"/>
      <c r="J7" s="15"/>
      <c r="K7" s="15"/>
      <c r="L7" s="15"/>
      <c r="M7" s="15"/>
      <c r="N7" s="15"/>
      <c r="O7" s="15"/>
      <c r="P7" s="15"/>
      <c r="Q7" s="15"/>
      <c r="R7" s="15"/>
      <c r="S7" s="15"/>
      <c r="T7" s="15"/>
      <c r="U7" s="15"/>
      <c r="V7" s="2269"/>
      <c r="W7" s="2269"/>
      <c r="X7" s="2269"/>
      <c r="Y7" s="2269"/>
      <c r="Z7" s="2269"/>
      <c r="AA7" s="2269"/>
      <c r="AB7" s="2269"/>
      <c r="AC7" s="2269"/>
      <c r="AD7" s="2269"/>
      <c r="AE7" s="2269"/>
      <c r="AF7" s="2269"/>
      <c r="AG7" s="2269"/>
      <c r="AH7" s="2269"/>
      <c r="AI7" s="2269"/>
      <c r="AJ7" s="2269"/>
      <c r="AK7" s="2269"/>
      <c r="AL7" s="2269"/>
      <c r="AM7" s="2269"/>
      <c r="AN7" s="2269"/>
      <c r="AO7" s="2269"/>
      <c r="AP7" s="2269"/>
      <c r="AQ7" s="2269"/>
      <c r="AR7" s="2269"/>
      <c r="AS7" s="2269"/>
      <c r="AT7" s="2269"/>
      <c r="AU7" s="2269"/>
      <c r="AV7" s="2269"/>
      <c r="AW7" s="2269"/>
      <c r="AX7" s="2269"/>
      <c r="AY7" s="2269"/>
      <c r="AZ7" s="2269"/>
      <c r="BA7" s="2269"/>
      <c r="BB7" s="2269"/>
      <c r="BC7" s="2269"/>
      <c r="BD7" s="2269"/>
      <c r="BE7" s="2269"/>
      <c r="BF7" s="2269"/>
      <c r="BG7" s="2269"/>
      <c r="BH7" s="2269"/>
      <c r="BI7" s="2269"/>
      <c r="BJ7" s="2269"/>
      <c r="BK7" s="2269"/>
      <c r="BL7" s="2269"/>
      <c r="BM7" s="2269"/>
      <c r="BN7" s="2269"/>
      <c r="BO7" s="2269"/>
      <c r="BP7" s="2269"/>
      <c r="BQ7" s="2269"/>
      <c r="BR7" s="2269"/>
      <c r="BS7" s="2269"/>
      <c r="BT7" s="2269"/>
      <c r="BU7" s="2269"/>
      <c r="BV7" s="2269"/>
      <c r="BW7" s="2269"/>
      <c r="BX7" s="2269"/>
      <c r="BY7" s="2269"/>
      <c r="BZ7" s="2269"/>
      <c r="CA7" s="2269"/>
    </row>
    <row r="8" spans="1:79">
      <c r="A8" s="15"/>
      <c r="B8" s="2291"/>
      <c r="D8" s="2291"/>
      <c r="E8" s="2291"/>
      <c r="F8" s="15"/>
      <c r="G8" s="15"/>
      <c r="H8" s="2291"/>
      <c r="I8" s="15"/>
      <c r="J8" s="15"/>
      <c r="K8" s="15"/>
      <c r="L8" s="15"/>
      <c r="M8" s="15"/>
      <c r="N8" s="15"/>
      <c r="O8" s="15"/>
      <c r="P8" s="15"/>
      <c r="Q8" s="15"/>
      <c r="R8" s="15"/>
      <c r="S8" s="15"/>
      <c r="T8" s="15"/>
      <c r="U8" s="15"/>
      <c r="V8" s="2269"/>
      <c r="W8" s="2269"/>
      <c r="X8" s="2269"/>
      <c r="Y8" s="2269"/>
      <c r="Z8" s="2269"/>
      <c r="AA8" s="2269"/>
      <c r="AB8" s="2269"/>
      <c r="AC8" s="2269"/>
      <c r="AD8" s="2269"/>
      <c r="AE8" s="2269"/>
      <c r="AF8" s="2269"/>
      <c r="AG8" s="2269"/>
      <c r="AH8" s="2269"/>
      <c r="AI8" s="2269"/>
      <c r="AJ8" s="2269"/>
      <c r="AK8" s="2269"/>
      <c r="AL8" s="2269"/>
      <c r="AM8" s="2269"/>
      <c r="AN8" s="2269"/>
      <c r="AO8" s="2269"/>
      <c r="AP8" s="2269"/>
      <c r="AQ8" s="2269"/>
      <c r="AR8" s="2269"/>
      <c r="AS8" s="2269"/>
      <c r="AT8" s="2269"/>
      <c r="AU8" s="2269"/>
      <c r="AV8" s="2269"/>
      <c r="AW8" s="2269"/>
      <c r="AX8" s="2269"/>
      <c r="AY8" s="2269"/>
      <c r="AZ8" s="2269"/>
      <c r="BA8" s="2269"/>
      <c r="BB8" s="2269"/>
      <c r="BC8" s="2269"/>
      <c r="BD8" s="2269"/>
      <c r="BE8" s="2269"/>
      <c r="BF8" s="2269"/>
      <c r="BG8" s="2269"/>
      <c r="BH8" s="2269"/>
      <c r="BI8" s="2269"/>
      <c r="BJ8" s="2269"/>
      <c r="BK8" s="2269"/>
      <c r="BL8" s="2269"/>
      <c r="BM8" s="2269"/>
      <c r="BN8" s="2269"/>
      <c r="BO8" s="2269"/>
      <c r="BP8" s="2269"/>
      <c r="BQ8" s="2269"/>
      <c r="BR8" s="2269"/>
      <c r="BS8" s="2269"/>
      <c r="BT8" s="2269"/>
      <c r="BU8" s="2269"/>
      <c r="BV8" s="2269"/>
      <c r="BW8" s="2269"/>
      <c r="BX8" s="2269"/>
      <c r="BY8" s="2269"/>
      <c r="BZ8" s="2269"/>
      <c r="CA8" s="2269"/>
    </row>
    <row r="9" spans="1:79">
      <c r="A9" s="15"/>
      <c r="B9" s="2291"/>
      <c r="D9" s="2291"/>
      <c r="E9" s="2291"/>
      <c r="F9" s="4020"/>
      <c r="G9" s="15"/>
      <c r="H9" s="16"/>
      <c r="I9" s="15"/>
      <c r="J9" s="15"/>
      <c r="K9" s="15"/>
      <c r="L9" s="15"/>
      <c r="M9" s="15"/>
      <c r="N9" s="15"/>
      <c r="O9" s="15"/>
      <c r="P9" s="15"/>
      <c r="Q9" s="15"/>
      <c r="R9" s="15"/>
      <c r="S9" s="15"/>
      <c r="T9" s="15"/>
      <c r="U9" s="15"/>
      <c r="V9" s="2269"/>
      <c r="W9" s="2269"/>
      <c r="X9" s="2269"/>
      <c r="Y9" s="2269"/>
      <c r="Z9" s="2269"/>
      <c r="AA9" s="2269"/>
      <c r="AB9" s="2269"/>
      <c r="AC9" s="2269"/>
      <c r="AD9" s="2269"/>
      <c r="AE9" s="2269"/>
      <c r="AF9" s="2269"/>
      <c r="AG9" s="2269"/>
      <c r="AH9" s="2269"/>
      <c r="AI9" s="2269"/>
      <c r="AJ9" s="2269"/>
      <c r="AK9" s="2269"/>
      <c r="AL9" s="2269"/>
      <c r="AM9" s="2269"/>
      <c r="AN9" s="2269"/>
      <c r="AO9" s="2269"/>
      <c r="AP9" s="2269"/>
      <c r="AQ9" s="2269"/>
      <c r="AR9" s="2269"/>
      <c r="AS9" s="2269"/>
      <c r="AT9" s="2269"/>
      <c r="AU9" s="2269"/>
      <c r="AV9" s="2269"/>
      <c r="AW9" s="2269"/>
      <c r="AX9" s="2269"/>
      <c r="AY9" s="2269"/>
      <c r="AZ9" s="2269"/>
      <c r="BA9" s="2269"/>
      <c r="BB9" s="2269"/>
      <c r="BC9" s="2269"/>
      <c r="BD9" s="2269"/>
      <c r="BE9" s="2269"/>
      <c r="BF9" s="2269"/>
      <c r="BG9" s="2269"/>
      <c r="BH9" s="2269"/>
      <c r="BI9" s="2269"/>
      <c r="BJ9" s="2269"/>
      <c r="BK9" s="2269"/>
      <c r="BL9" s="2269"/>
      <c r="BM9" s="2269"/>
      <c r="BN9" s="2269"/>
      <c r="BO9" s="2269"/>
      <c r="BP9" s="2269"/>
      <c r="BQ9" s="2269"/>
      <c r="BR9" s="2269"/>
      <c r="BS9" s="2269"/>
      <c r="BT9" s="2269"/>
      <c r="BU9" s="2269"/>
      <c r="BV9" s="2269"/>
      <c r="BW9" s="2269"/>
      <c r="BX9" s="2269"/>
      <c r="BY9" s="2269"/>
      <c r="BZ9" s="2269"/>
      <c r="CA9" s="2269"/>
    </row>
    <row r="10" spans="1:79" ht="14.25" customHeight="1">
      <c r="A10" s="15"/>
      <c r="F10" s="4020"/>
      <c r="G10" s="15"/>
      <c r="H10" s="16"/>
      <c r="I10" s="15"/>
      <c r="J10" s="15"/>
      <c r="K10" s="15"/>
      <c r="L10" s="15"/>
      <c r="M10" s="15"/>
      <c r="N10" s="15"/>
      <c r="O10" s="15"/>
      <c r="P10" s="15"/>
      <c r="Q10" s="15"/>
      <c r="R10" s="15"/>
      <c r="S10" s="15"/>
      <c r="T10" s="15"/>
      <c r="U10" s="15"/>
      <c r="V10" s="2269"/>
      <c r="W10" s="2269"/>
      <c r="X10" s="2269"/>
      <c r="Y10" s="2269"/>
      <c r="Z10" s="2269"/>
      <c r="AA10" s="2269"/>
      <c r="AB10" s="2269"/>
      <c r="AC10" s="2269"/>
      <c r="AD10" s="2269"/>
      <c r="AE10" s="2269"/>
      <c r="AF10" s="2269"/>
      <c r="AG10" s="2269"/>
      <c r="AH10" s="2269"/>
      <c r="AI10" s="2269"/>
      <c r="AJ10" s="2269"/>
      <c r="AK10" s="2269"/>
      <c r="AL10" s="2269"/>
      <c r="AM10" s="2269"/>
      <c r="AN10" s="2269"/>
      <c r="AO10" s="2269"/>
      <c r="AP10" s="2269"/>
      <c r="AQ10" s="2269"/>
      <c r="AR10" s="2269"/>
      <c r="AS10" s="2269"/>
      <c r="AT10" s="2269"/>
      <c r="AU10" s="2269"/>
      <c r="AV10" s="2269"/>
      <c r="AW10" s="2269"/>
      <c r="AX10" s="2269"/>
      <c r="AY10" s="2269"/>
      <c r="AZ10" s="2269"/>
      <c r="BA10" s="2269"/>
      <c r="BB10" s="2269"/>
      <c r="BC10" s="2269"/>
      <c r="BD10" s="2269"/>
      <c r="BE10" s="2269"/>
      <c r="BF10" s="2269"/>
      <c r="BG10" s="2269"/>
      <c r="BH10" s="2269"/>
      <c r="BI10" s="2269"/>
      <c r="BJ10" s="2269"/>
      <c r="BK10" s="2269"/>
      <c r="BL10" s="2269"/>
      <c r="BM10" s="2269"/>
      <c r="BN10" s="2269"/>
      <c r="BO10" s="2269"/>
      <c r="BP10" s="2269"/>
      <c r="BQ10" s="2269"/>
      <c r="BR10" s="2269"/>
      <c r="BS10" s="2269"/>
      <c r="BT10" s="2269"/>
      <c r="BU10" s="2269"/>
      <c r="BV10" s="2269"/>
      <c r="BW10" s="2269"/>
      <c r="BX10" s="2269"/>
      <c r="BY10" s="2269"/>
      <c r="BZ10" s="2269"/>
      <c r="CA10" s="2269"/>
    </row>
    <row r="11" spans="1:79" ht="15">
      <c r="A11" s="15"/>
      <c r="B11" s="2291"/>
      <c r="D11" s="2291"/>
      <c r="E11" s="2291"/>
      <c r="F11" s="15"/>
      <c r="G11" s="15"/>
      <c r="H11" s="2294"/>
      <c r="I11" s="15"/>
      <c r="J11" s="15"/>
      <c r="K11" s="15"/>
      <c r="L11" s="15"/>
      <c r="M11" s="15"/>
      <c r="N11" s="15"/>
      <c r="O11" s="15"/>
      <c r="P11" s="15"/>
      <c r="Q11" s="15"/>
      <c r="R11" s="15"/>
      <c r="S11" s="15"/>
      <c r="T11" s="15"/>
      <c r="U11" s="15"/>
      <c r="V11" s="2269"/>
      <c r="W11" s="2269"/>
      <c r="X11" s="2269"/>
      <c r="Y11" s="2269"/>
      <c r="Z11" s="2269"/>
      <c r="AA11" s="2269"/>
      <c r="AB11" s="2269"/>
      <c r="AC11" s="2269"/>
      <c r="AD11" s="2269"/>
      <c r="AE11" s="2269"/>
      <c r="AF11" s="2269"/>
      <c r="AG11" s="2269"/>
      <c r="AH11" s="2269"/>
      <c r="AI11" s="2269"/>
      <c r="AJ11" s="2269"/>
      <c r="AK11" s="2269"/>
      <c r="AL11" s="2269"/>
      <c r="AM11" s="2269"/>
      <c r="AN11" s="2269"/>
      <c r="AO11" s="2269"/>
      <c r="AP11" s="2269"/>
      <c r="AQ11" s="2269"/>
      <c r="AR11" s="2269"/>
      <c r="AS11" s="2269"/>
      <c r="AT11" s="2269"/>
      <c r="AU11" s="2269"/>
      <c r="AV11" s="2269"/>
      <c r="AW11" s="2269"/>
      <c r="AX11" s="2269"/>
      <c r="AY11" s="2269"/>
      <c r="AZ11" s="2269"/>
      <c r="BA11" s="2269"/>
      <c r="BB11" s="2269"/>
      <c r="BC11" s="2269"/>
      <c r="BD11" s="2269"/>
      <c r="BE11" s="2269"/>
      <c r="BF11" s="2269"/>
      <c r="BG11" s="2269"/>
      <c r="BH11" s="2269"/>
      <c r="BI11" s="2269"/>
      <c r="BJ11" s="2269"/>
      <c r="BK11" s="2269"/>
      <c r="BL11" s="2269"/>
      <c r="BM11" s="2269"/>
      <c r="BN11" s="2269"/>
      <c r="BO11" s="2269"/>
      <c r="BP11" s="2269"/>
      <c r="BQ11" s="2269"/>
      <c r="BR11" s="2269"/>
      <c r="BS11" s="2269"/>
      <c r="BT11" s="2269"/>
      <c r="BU11" s="2269"/>
      <c r="BV11" s="2269"/>
      <c r="BW11" s="2269"/>
      <c r="BX11" s="2269"/>
      <c r="BY11" s="2269"/>
      <c r="BZ11" s="2269"/>
      <c r="CA11" s="2269"/>
    </row>
    <row r="12" spans="1:79">
      <c r="A12" s="15"/>
      <c r="B12" s="2291"/>
      <c r="C12" s="2291"/>
      <c r="D12" s="2291"/>
      <c r="E12" s="15"/>
      <c r="F12" s="15"/>
      <c r="G12" s="15"/>
      <c r="H12" s="15"/>
      <c r="I12" s="15"/>
      <c r="J12" s="15"/>
      <c r="K12" s="15"/>
      <c r="L12" s="15"/>
      <c r="M12" s="15"/>
      <c r="N12" s="15"/>
      <c r="O12" s="15"/>
      <c r="P12" s="15"/>
      <c r="Q12" s="15"/>
      <c r="R12" s="15"/>
      <c r="S12" s="15"/>
      <c r="T12" s="15"/>
      <c r="U12" s="15"/>
      <c r="V12" s="2269"/>
      <c r="W12" s="2269"/>
      <c r="X12" s="2269"/>
      <c r="Y12" s="2269"/>
      <c r="Z12" s="2269"/>
      <c r="AA12" s="2269"/>
      <c r="AB12" s="2269"/>
      <c r="AC12" s="2269"/>
      <c r="AD12" s="2269"/>
      <c r="AE12" s="2269"/>
      <c r="AF12" s="2269"/>
      <c r="AG12" s="2269"/>
      <c r="AH12" s="2269"/>
      <c r="AI12" s="2269"/>
      <c r="AJ12" s="2269"/>
      <c r="AK12" s="2269"/>
      <c r="AL12" s="2269"/>
      <c r="AM12" s="2269"/>
      <c r="AN12" s="2269"/>
      <c r="AO12" s="2269"/>
      <c r="AP12" s="2269"/>
      <c r="AQ12" s="2269"/>
      <c r="AR12" s="2269"/>
      <c r="AS12" s="2269"/>
      <c r="AT12" s="2269"/>
      <c r="AU12" s="2269"/>
      <c r="AV12" s="2269"/>
      <c r="AW12" s="2269"/>
      <c r="AX12" s="2269"/>
      <c r="AY12" s="2269"/>
      <c r="AZ12" s="2269"/>
      <c r="BA12" s="2269"/>
      <c r="BB12" s="2269"/>
      <c r="BC12" s="2269"/>
      <c r="BD12" s="2269"/>
      <c r="BE12" s="2269"/>
      <c r="BF12" s="2269"/>
      <c r="BG12" s="2269"/>
      <c r="BH12" s="2269"/>
      <c r="BI12" s="2269"/>
      <c r="BJ12" s="2269"/>
      <c r="BK12" s="2269"/>
      <c r="BL12" s="2269"/>
      <c r="BM12" s="2269"/>
      <c r="BN12" s="2269"/>
      <c r="BO12" s="2269"/>
      <c r="BP12" s="2269"/>
      <c r="BQ12" s="2269"/>
      <c r="BR12" s="2269"/>
      <c r="BS12" s="2269"/>
      <c r="BT12" s="2269"/>
      <c r="BU12" s="2269"/>
      <c r="BV12" s="2269"/>
      <c r="BW12" s="2269"/>
      <c r="BX12" s="2269"/>
      <c r="BY12" s="2269"/>
      <c r="BZ12" s="2269"/>
      <c r="CA12" s="2269"/>
    </row>
    <row r="13" spans="1:79">
      <c r="A13" s="15"/>
      <c r="B13" s="2291"/>
      <c r="C13" s="2291"/>
      <c r="D13" s="2291"/>
      <c r="E13" s="15"/>
      <c r="F13" s="15"/>
      <c r="G13" s="15"/>
      <c r="H13" s="15"/>
      <c r="I13" s="15"/>
      <c r="J13" s="15"/>
      <c r="K13" s="15"/>
      <c r="L13" s="15"/>
      <c r="M13" s="15"/>
      <c r="N13" s="15"/>
      <c r="O13" s="15"/>
      <c r="P13" s="15"/>
      <c r="Q13" s="15"/>
      <c r="R13" s="15"/>
      <c r="S13" s="15"/>
      <c r="T13" s="15"/>
      <c r="U13" s="15"/>
      <c r="V13" s="2269"/>
      <c r="W13" s="2269"/>
      <c r="X13" s="2269"/>
      <c r="Y13" s="2269"/>
      <c r="Z13" s="2269"/>
      <c r="AA13" s="2269"/>
      <c r="AB13" s="2269"/>
      <c r="AC13" s="2269"/>
      <c r="AD13" s="2269"/>
      <c r="AE13" s="2269"/>
      <c r="AF13" s="2269"/>
      <c r="AG13" s="2269"/>
      <c r="AH13" s="2269"/>
      <c r="AI13" s="2269"/>
      <c r="AJ13" s="2269"/>
      <c r="AK13" s="2269"/>
      <c r="AL13" s="2269"/>
      <c r="AM13" s="2269"/>
      <c r="AN13" s="2269"/>
      <c r="AO13" s="2269"/>
      <c r="AP13" s="2269"/>
      <c r="AQ13" s="2269"/>
      <c r="AR13" s="2269"/>
      <c r="AS13" s="2269"/>
      <c r="AT13" s="2269"/>
      <c r="AU13" s="2269"/>
      <c r="AV13" s="2269"/>
      <c r="AW13" s="2269"/>
      <c r="AX13" s="2269"/>
      <c r="AY13" s="2269"/>
      <c r="AZ13" s="2269"/>
      <c r="BA13" s="2269"/>
      <c r="BB13" s="2269"/>
      <c r="BC13" s="2269"/>
      <c r="BD13" s="2269"/>
      <c r="BE13" s="2269"/>
      <c r="BF13" s="2269"/>
      <c r="BG13" s="2269"/>
      <c r="BH13" s="2269"/>
      <c r="BI13" s="2269"/>
      <c r="BJ13" s="2269"/>
      <c r="BK13" s="2269"/>
      <c r="BL13" s="2269"/>
      <c r="BM13" s="2269"/>
      <c r="BN13" s="2269"/>
      <c r="BO13" s="2269"/>
      <c r="BP13" s="2269"/>
      <c r="BQ13" s="2269"/>
      <c r="BR13" s="2269"/>
      <c r="BS13" s="2269"/>
      <c r="BT13" s="2269"/>
      <c r="BU13" s="2269"/>
      <c r="BV13" s="2269"/>
      <c r="BW13" s="2269"/>
      <c r="BX13" s="2269"/>
      <c r="BY13" s="2269"/>
      <c r="BZ13" s="2269"/>
      <c r="CA13" s="2269"/>
    </row>
    <row r="14" spans="1:79">
      <c r="A14" s="15"/>
      <c r="B14" s="2291"/>
      <c r="C14" s="2291"/>
      <c r="D14" s="2291"/>
      <c r="E14" s="15"/>
      <c r="F14" s="15"/>
      <c r="G14" s="15"/>
      <c r="H14" s="15"/>
      <c r="I14" s="15"/>
      <c r="J14" s="15"/>
      <c r="K14" s="15"/>
      <c r="L14" s="15"/>
      <c r="M14" s="15"/>
      <c r="N14" s="15"/>
      <c r="O14" s="15"/>
      <c r="P14" s="15"/>
      <c r="Q14" s="15"/>
      <c r="R14" s="15"/>
      <c r="S14" s="15"/>
      <c r="T14" s="15"/>
      <c r="U14" s="15"/>
      <c r="V14" s="2269"/>
      <c r="W14" s="2269"/>
      <c r="X14" s="2269"/>
      <c r="Y14" s="2269"/>
      <c r="Z14" s="2269"/>
      <c r="AA14" s="2269"/>
      <c r="AB14" s="2269"/>
      <c r="AC14" s="2269"/>
      <c r="AD14" s="2269"/>
      <c r="AE14" s="2269"/>
      <c r="AF14" s="2269"/>
      <c r="AG14" s="2269"/>
      <c r="AH14" s="2269"/>
      <c r="AI14" s="2269"/>
      <c r="AJ14" s="2269"/>
      <c r="AK14" s="2269"/>
      <c r="AL14" s="2269"/>
      <c r="AM14" s="2269"/>
      <c r="AN14" s="2269"/>
      <c r="AO14" s="2269"/>
      <c r="AP14" s="2269"/>
      <c r="AQ14" s="2269"/>
      <c r="AR14" s="2269"/>
      <c r="AS14" s="2269"/>
      <c r="AT14" s="2269"/>
      <c r="AU14" s="2269"/>
      <c r="AV14" s="2269"/>
      <c r="AW14" s="2269"/>
      <c r="AX14" s="2269"/>
      <c r="AY14" s="2269"/>
      <c r="AZ14" s="2269"/>
      <c r="BA14" s="2269"/>
      <c r="BB14" s="2269"/>
      <c r="BC14" s="2269"/>
      <c r="BD14" s="2269"/>
      <c r="BE14" s="2269"/>
      <c r="BF14" s="2269"/>
      <c r="BG14" s="2269"/>
      <c r="BH14" s="2269"/>
      <c r="BI14" s="2269"/>
      <c r="BJ14" s="2269"/>
      <c r="BK14" s="2269"/>
      <c r="BL14" s="2269"/>
      <c r="BM14" s="2269"/>
      <c r="BN14" s="2269"/>
      <c r="BO14" s="2269"/>
      <c r="BP14" s="2269"/>
      <c r="BQ14" s="2269"/>
      <c r="BR14" s="2269"/>
      <c r="BS14" s="2269"/>
      <c r="BT14" s="2269"/>
      <c r="BU14" s="2269"/>
      <c r="BV14" s="2269"/>
      <c r="BW14" s="2269"/>
      <c r="BX14" s="2269"/>
      <c r="BY14" s="2269"/>
      <c r="BZ14" s="2269"/>
      <c r="CA14" s="2269"/>
    </row>
    <row r="15" spans="1:79">
      <c r="A15" s="15"/>
      <c r="B15" s="2291"/>
      <c r="C15" s="2291"/>
      <c r="D15" s="2291"/>
      <c r="E15" s="15"/>
      <c r="F15" s="15"/>
      <c r="G15" s="2295"/>
      <c r="H15" s="15"/>
      <c r="I15" s="15"/>
      <c r="J15" s="15"/>
      <c r="K15" s="15"/>
      <c r="L15" s="15"/>
      <c r="M15" s="15"/>
      <c r="N15" s="15"/>
      <c r="O15" s="15"/>
      <c r="P15" s="15"/>
      <c r="Q15" s="15"/>
      <c r="R15" s="15"/>
      <c r="S15" s="15"/>
      <c r="T15" s="15"/>
      <c r="U15" s="15"/>
      <c r="V15" s="2269"/>
      <c r="W15" s="2269"/>
      <c r="X15" s="2269"/>
      <c r="Y15" s="2269"/>
      <c r="Z15" s="2269"/>
      <c r="AA15" s="2269"/>
      <c r="AB15" s="2269"/>
      <c r="AC15" s="2269"/>
      <c r="AD15" s="2269"/>
      <c r="AE15" s="2269"/>
      <c r="AF15" s="2269"/>
      <c r="AG15" s="2269"/>
      <c r="AH15" s="2269"/>
      <c r="AI15" s="2269"/>
      <c r="AJ15" s="2269"/>
      <c r="AK15" s="2269"/>
      <c r="AL15" s="2269"/>
      <c r="AM15" s="2269"/>
      <c r="AN15" s="2269"/>
      <c r="AO15" s="2269"/>
      <c r="AP15" s="2269"/>
      <c r="AQ15" s="2269"/>
      <c r="AR15" s="2269"/>
      <c r="AS15" s="2269"/>
      <c r="AT15" s="2269"/>
      <c r="AU15" s="2269"/>
      <c r="AV15" s="2269"/>
      <c r="AW15" s="2269"/>
      <c r="AX15" s="2269"/>
      <c r="AY15" s="2269"/>
      <c r="AZ15" s="2269"/>
      <c r="BA15" s="2269"/>
      <c r="BB15" s="2269"/>
      <c r="BC15" s="2269"/>
      <c r="BD15" s="2269"/>
      <c r="BE15" s="2269"/>
      <c r="BF15" s="2269"/>
      <c r="BG15" s="2269"/>
      <c r="BH15" s="2269"/>
      <c r="BI15" s="2269"/>
      <c r="BJ15" s="2269"/>
      <c r="BK15" s="2269"/>
      <c r="BL15" s="2269"/>
      <c r="BM15" s="2269"/>
      <c r="BN15" s="2269"/>
      <c r="BO15" s="2269"/>
      <c r="BP15" s="2269"/>
      <c r="BQ15" s="2269"/>
      <c r="BR15" s="2269"/>
      <c r="BS15" s="2269"/>
      <c r="BT15" s="2269"/>
      <c r="BU15" s="2269"/>
      <c r="BV15" s="2269"/>
      <c r="BW15" s="2269"/>
      <c r="BX15" s="2269"/>
      <c r="BY15" s="2269"/>
      <c r="BZ15" s="2269"/>
      <c r="CA15" s="2269"/>
    </row>
    <row r="16" spans="1:79">
      <c r="A16" s="15"/>
      <c r="B16" s="2291"/>
      <c r="C16" s="2291"/>
      <c r="D16" s="1683"/>
      <c r="E16" s="15"/>
      <c r="F16" s="15"/>
      <c r="G16" s="2295"/>
      <c r="H16" s="15"/>
      <c r="I16" s="15"/>
      <c r="J16" s="15"/>
      <c r="K16" s="15"/>
      <c r="L16" s="15"/>
      <c r="M16" s="15"/>
      <c r="N16" s="15"/>
      <c r="O16" s="15"/>
      <c r="P16" s="15"/>
      <c r="Q16" s="15"/>
      <c r="R16" s="15"/>
      <c r="S16" s="15"/>
      <c r="T16" s="15"/>
      <c r="U16" s="15"/>
      <c r="V16" s="2269"/>
      <c r="W16" s="2269"/>
      <c r="X16" s="2269"/>
      <c r="Y16" s="2269"/>
      <c r="Z16" s="2269"/>
      <c r="AA16" s="2269"/>
      <c r="AB16" s="2269"/>
      <c r="AC16" s="2269"/>
      <c r="AD16" s="2269"/>
      <c r="AE16" s="2269"/>
      <c r="AF16" s="2269"/>
      <c r="AG16" s="2269"/>
      <c r="AH16" s="2269"/>
      <c r="AI16" s="2269"/>
      <c r="AJ16" s="2269"/>
      <c r="AK16" s="2269"/>
      <c r="AL16" s="2269"/>
      <c r="AM16" s="2269"/>
      <c r="AN16" s="2269"/>
      <c r="AO16" s="2269"/>
      <c r="AP16" s="2269"/>
      <c r="AQ16" s="2269"/>
      <c r="AR16" s="2269"/>
      <c r="AS16" s="2269"/>
      <c r="AT16" s="2269"/>
      <c r="AU16" s="2269"/>
      <c r="AV16" s="2269"/>
      <c r="AW16" s="2269"/>
      <c r="AX16" s="2269"/>
      <c r="AY16" s="2269"/>
      <c r="AZ16" s="2269"/>
      <c r="BA16" s="2269"/>
      <c r="BB16" s="2269"/>
      <c r="BC16" s="2269"/>
      <c r="BD16" s="2269"/>
      <c r="BE16" s="2269"/>
      <c r="BF16" s="2269"/>
      <c r="BG16" s="2269"/>
      <c r="BH16" s="2269"/>
      <c r="BI16" s="2269"/>
      <c r="BJ16" s="2269"/>
      <c r="BK16" s="2269"/>
      <c r="BL16" s="2269"/>
      <c r="BM16" s="2269"/>
      <c r="BN16" s="2269"/>
      <c r="BO16" s="2269"/>
      <c r="BP16" s="2269"/>
      <c r="BQ16" s="2269"/>
      <c r="BR16" s="2269"/>
      <c r="BS16" s="2269"/>
      <c r="BT16" s="2269"/>
      <c r="BU16" s="2269"/>
      <c r="BV16" s="2269"/>
      <c r="BW16" s="2269"/>
      <c r="BX16" s="2269"/>
      <c r="BY16" s="2269"/>
      <c r="BZ16" s="2269"/>
      <c r="CA16" s="2269"/>
    </row>
    <row r="17" spans="1:79" ht="15">
      <c r="A17" s="15"/>
      <c r="B17" s="2291"/>
      <c r="C17" s="2291"/>
      <c r="D17" s="1683"/>
      <c r="E17" s="15"/>
      <c r="F17" s="15"/>
      <c r="G17" s="2295"/>
      <c r="H17" s="15"/>
      <c r="I17" s="15"/>
      <c r="J17" s="15"/>
      <c r="K17" s="15"/>
      <c r="L17" s="15"/>
      <c r="M17" s="15"/>
      <c r="N17" s="15"/>
      <c r="O17" s="2294"/>
      <c r="P17" s="2294"/>
      <c r="Q17" s="2294"/>
      <c r="R17" s="2294"/>
      <c r="S17" s="2294"/>
      <c r="T17" s="15"/>
      <c r="U17" s="15"/>
      <c r="V17" s="2269"/>
      <c r="W17" s="2269"/>
      <c r="X17" s="2269"/>
      <c r="Y17" s="2269"/>
      <c r="Z17" s="2269"/>
      <c r="AA17" s="2269"/>
      <c r="AB17" s="2269"/>
      <c r="AC17" s="2269"/>
      <c r="AD17" s="2269"/>
      <c r="AE17" s="2269"/>
      <c r="AF17" s="2269"/>
      <c r="AG17" s="2269"/>
      <c r="AH17" s="2269"/>
      <c r="AI17" s="2269"/>
      <c r="AJ17" s="2269"/>
      <c r="AK17" s="2269"/>
      <c r="AL17" s="2269"/>
      <c r="AM17" s="2269"/>
      <c r="AN17" s="2269"/>
      <c r="AO17" s="2269"/>
      <c r="AP17" s="2269"/>
      <c r="AQ17" s="2269"/>
      <c r="AR17" s="2269"/>
      <c r="AS17" s="2269"/>
      <c r="AT17" s="2269"/>
      <c r="AU17" s="2269"/>
      <c r="AV17" s="2269"/>
      <c r="AW17" s="2269"/>
      <c r="AX17" s="2269"/>
      <c r="AY17" s="2269"/>
      <c r="AZ17" s="2269"/>
      <c r="BA17" s="2269"/>
      <c r="BB17" s="2269"/>
      <c r="BC17" s="2269"/>
      <c r="BD17" s="2269"/>
      <c r="BE17" s="2269"/>
      <c r="BF17" s="2269"/>
      <c r="BG17" s="2269"/>
      <c r="BH17" s="2269"/>
      <c r="BI17" s="2269"/>
      <c r="BJ17" s="2269"/>
      <c r="BK17" s="2269"/>
      <c r="BL17" s="2269"/>
      <c r="BM17" s="2269"/>
      <c r="BN17" s="2269"/>
      <c r="BO17" s="2269"/>
      <c r="BP17" s="2269"/>
      <c r="BQ17" s="2269"/>
      <c r="BR17" s="2269"/>
      <c r="BS17" s="2269"/>
      <c r="BT17" s="2269"/>
      <c r="BU17" s="2269"/>
      <c r="BV17" s="2269"/>
      <c r="BW17" s="2269"/>
      <c r="BX17" s="2269"/>
      <c r="BY17" s="2269"/>
      <c r="BZ17" s="2269"/>
      <c r="CA17" s="2269"/>
    </row>
    <row r="18" spans="1:79">
      <c r="A18" s="15"/>
      <c r="B18" s="2291"/>
      <c r="C18" s="2291"/>
      <c r="D18" s="1683"/>
      <c r="E18" s="15"/>
      <c r="F18" s="15"/>
      <c r="G18" s="2295"/>
      <c r="H18" s="15"/>
      <c r="I18" s="15"/>
      <c r="J18" s="15"/>
      <c r="K18" s="15"/>
      <c r="L18" s="15"/>
      <c r="M18" s="15"/>
      <c r="N18" s="15"/>
      <c r="O18" s="15"/>
      <c r="P18" s="15"/>
      <c r="Q18" s="15"/>
      <c r="R18" s="15"/>
      <c r="S18" s="15"/>
      <c r="T18" s="15"/>
      <c r="U18" s="15"/>
      <c r="V18" s="2269"/>
      <c r="W18" s="2269"/>
      <c r="X18" s="2269"/>
      <c r="Y18" s="2269"/>
      <c r="Z18" s="2269"/>
      <c r="AA18" s="2269"/>
      <c r="AB18" s="2269"/>
      <c r="AC18" s="2269"/>
      <c r="AD18" s="2269"/>
      <c r="AE18" s="2269"/>
      <c r="AF18" s="2269"/>
      <c r="AG18" s="2269"/>
      <c r="AH18" s="2269"/>
      <c r="AI18" s="2269"/>
      <c r="AJ18" s="2269"/>
      <c r="AK18" s="2269"/>
      <c r="AL18" s="2269"/>
      <c r="AM18" s="2269"/>
      <c r="AN18" s="2269"/>
      <c r="AO18" s="2269"/>
      <c r="AP18" s="2269"/>
      <c r="AQ18" s="2269"/>
      <c r="AR18" s="2269"/>
      <c r="AS18" s="2269"/>
      <c r="AT18" s="2269"/>
      <c r="AU18" s="2269"/>
      <c r="AV18" s="2269"/>
      <c r="AW18" s="2269"/>
      <c r="AX18" s="2269"/>
      <c r="AY18" s="2269"/>
      <c r="AZ18" s="2269"/>
      <c r="BA18" s="2269"/>
      <c r="BB18" s="2269"/>
      <c r="BC18" s="2269"/>
      <c r="BD18" s="2269"/>
      <c r="BE18" s="2269"/>
      <c r="BF18" s="2269"/>
      <c r="BG18" s="2269"/>
      <c r="BH18" s="2269"/>
      <c r="BI18" s="2269"/>
      <c r="BJ18" s="2269"/>
      <c r="BK18" s="2269"/>
      <c r="BL18" s="2269"/>
      <c r="BM18" s="2269"/>
      <c r="BN18" s="2269"/>
      <c r="BO18" s="2269"/>
      <c r="BP18" s="2269"/>
      <c r="BQ18" s="2269"/>
      <c r="BR18" s="2269"/>
      <c r="BS18" s="2269"/>
      <c r="BT18" s="2269"/>
      <c r="BU18" s="2269"/>
      <c r="BV18" s="2269"/>
      <c r="BW18" s="2269"/>
      <c r="BX18" s="2269"/>
      <c r="BY18" s="2269"/>
      <c r="BZ18" s="2269"/>
      <c r="CA18" s="2269"/>
    </row>
    <row r="19" spans="1:79">
      <c r="A19" s="15"/>
      <c r="B19" s="2291"/>
      <c r="C19" s="2291"/>
      <c r="D19" s="1683"/>
      <c r="E19" s="15"/>
      <c r="F19" s="15"/>
      <c r="G19" s="2295"/>
      <c r="H19" s="15"/>
      <c r="I19" s="15"/>
      <c r="J19" s="15"/>
      <c r="K19" s="15"/>
      <c r="L19" s="15"/>
      <c r="M19" s="15"/>
      <c r="N19" s="15"/>
      <c r="O19" s="15"/>
      <c r="P19" s="15"/>
      <c r="Q19" s="15"/>
      <c r="R19" s="15"/>
      <c r="S19" s="15"/>
      <c r="T19" s="15"/>
      <c r="U19" s="15"/>
      <c r="V19" s="2269"/>
      <c r="W19" s="2269"/>
      <c r="X19" s="2269"/>
      <c r="Y19" s="2269"/>
      <c r="Z19" s="2269"/>
      <c r="AA19" s="2269"/>
      <c r="AB19" s="2269"/>
      <c r="AC19" s="2269"/>
      <c r="AD19" s="2269"/>
      <c r="AE19" s="2269"/>
      <c r="AF19" s="2269"/>
      <c r="AG19" s="2269"/>
      <c r="AH19" s="2269"/>
      <c r="AI19" s="2269"/>
      <c r="AJ19" s="2269"/>
      <c r="AK19" s="2269"/>
      <c r="AL19" s="2269"/>
      <c r="AM19" s="2269"/>
      <c r="AN19" s="2269"/>
      <c r="AO19" s="2269"/>
      <c r="AP19" s="2269"/>
      <c r="AQ19" s="2269"/>
      <c r="AR19" s="2269"/>
      <c r="AS19" s="2269"/>
      <c r="AT19" s="2269"/>
      <c r="AU19" s="2269"/>
      <c r="AV19" s="2269"/>
      <c r="AW19" s="2269"/>
      <c r="AX19" s="2269"/>
      <c r="AY19" s="2269"/>
      <c r="AZ19" s="2269"/>
      <c r="BA19" s="2269"/>
      <c r="BB19" s="2269"/>
      <c r="BC19" s="2269"/>
      <c r="BD19" s="2269"/>
      <c r="BE19" s="2269"/>
      <c r="BF19" s="2269"/>
      <c r="BG19" s="2269"/>
      <c r="BH19" s="2269"/>
      <c r="BI19" s="2269"/>
      <c r="BJ19" s="2269"/>
      <c r="BK19" s="2269"/>
      <c r="BL19" s="2269"/>
      <c r="BM19" s="2269"/>
      <c r="BN19" s="2269"/>
      <c r="BO19" s="2269"/>
      <c r="BP19" s="2269"/>
      <c r="BQ19" s="2269"/>
      <c r="BR19" s="2269"/>
      <c r="BS19" s="2269"/>
      <c r="BT19" s="2269"/>
      <c r="BU19" s="2269"/>
      <c r="BV19" s="2269"/>
      <c r="BW19" s="2269"/>
      <c r="BX19" s="2269"/>
      <c r="BY19" s="2269"/>
      <c r="BZ19" s="2269"/>
      <c r="CA19" s="2269"/>
    </row>
    <row r="20" spans="1:79">
      <c r="A20" s="15"/>
      <c r="B20" s="15"/>
      <c r="C20" s="2291"/>
      <c r="D20" s="1683"/>
      <c r="E20" s="15"/>
      <c r="F20" s="15"/>
      <c r="G20" s="2295"/>
      <c r="H20" s="15"/>
      <c r="I20" s="15"/>
      <c r="J20" s="15"/>
      <c r="K20" s="15"/>
      <c r="L20" s="15"/>
      <c r="M20" s="15"/>
      <c r="N20" s="15"/>
      <c r="O20" s="15"/>
      <c r="P20" s="15"/>
      <c r="Q20" s="15"/>
      <c r="R20" s="15"/>
      <c r="S20" s="15"/>
      <c r="T20" s="15"/>
      <c r="U20" s="15"/>
      <c r="V20" s="2269"/>
      <c r="W20" s="2269"/>
      <c r="X20" s="2269"/>
      <c r="Y20" s="2269"/>
      <c r="Z20" s="2269"/>
      <c r="AA20" s="2269"/>
      <c r="AB20" s="2269"/>
      <c r="AC20" s="2269"/>
      <c r="AD20" s="2269"/>
      <c r="AE20" s="2269"/>
      <c r="AF20" s="2269"/>
      <c r="AG20" s="2269"/>
      <c r="AH20" s="2269"/>
      <c r="AI20" s="2269"/>
      <c r="AJ20" s="2269"/>
      <c r="AK20" s="2269"/>
      <c r="AL20" s="2269"/>
      <c r="AM20" s="2269"/>
      <c r="AN20" s="2269"/>
      <c r="AO20" s="2269"/>
      <c r="AP20" s="2269"/>
      <c r="AQ20" s="2269"/>
      <c r="AR20" s="2269"/>
      <c r="AS20" s="2269"/>
      <c r="AT20" s="2269"/>
      <c r="AU20" s="2269"/>
      <c r="AV20" s="2269"/>
      <c r="AW20" s="2269"/>
      <c r="AX20" s="2269"/>
      <c r="AY20" s="2269"/>
      <c r="AZ20" s="2269"/>
      <c r="BA20" s="2269"/>
      <c r="BB20" s="2269"/>
      <c r="BC20" s="2269"/>
      <c r="BD20" s="2269"/>
      <c r="BE20" s="2269"/>
      <c r="BF20" s="2269"/>
      <c r="BG20" s="2269"/>
      <c r="BH20" s="2269"/>
      <c r="BI20" s="2269"/>
      <c r="BJ20" s="2269"/>
      <c r="BK20" s="2269"/>
      <c r="BL20" s="2269"/>
      <c r="BM20" s="2269"/>
      <c r="BN20" s="2269"/>
      <c r="BO20" s="2269"/>
      <c r="BP20" s="2269"/>
      <c r="BQ20" s="2269"/>
      <c r="BR20" s="2269"/>
      <c r="BS20" s="2269"/>
      <c r="BT20" s="2269"/>
      <c r="BU20" s="2269"/>
      <c r="BV20" s="2269"/>
      <c r="BW20" s="2269"/>
      <c r="BX20" s="2269"/>
      <c r="BY20" s="2269"/>
      <c r="BZ20" s="2269"/>
      <c r="CA20" s="2269"/>
    </row>
    <row r="21" spans="1:79">
      <c r="A21" s="15"/>
      <c r="B21" s="15"/>
      <c r="C21" s="2291"/>
      <c r="D21" s="1683"/>
      <c r="E21" s="15"/>
      <c r="F21" s="15"/>
      <c r="G21" s="2295"/>
      <c r="H21" s="15"/>
      <c r="I21" s="15"/>
      <c r="J21" s="15"/>
      <c r="K21" s="15"/>
      <c r="L21" s="15"/>
      <c r="M21" s="15"/>
      <c r="N21" s="15"/>
      <c r="O21" s="15"/>
      <c r="P21" s="15"/>
      <c r="Q21" s="15"/>
      <c r="R21" s="15"/>
      <c r="S21" s="15"/>
      <c r="T21" s="15"/>
      <c r="U21" s="15"/>
      <c r="V21" s="2269"/>
      <c r="W21" s="2269"/>
      <c r="X21" s="2269"/>
      <c r="Y21" s="2269"/>
      <c r="Z21" s="2269"/>
      <c r="AA21" s="2269"/>
      <c r="AB21" s="2269"/>
      <c r="AC21" s="2269"/>
      <c r="AD21" s="2269"/>
      <c r="AE21" s="2269"/>
      <c r="AF21" s="2269"/>
      <c r="AG21" s="2269"/>
      <c r="AH21" s="2269"/>
      <c r="AI21" s="2269"/>
      <c r="AJ21" s="2269"/>
      <c r="AK21" s="2269"/>
      <c r="AL21" s="2269"/>
      <c r="AM21" s="2269"/>
      <c r="AN21" s="2269"/>
      <c r="AO21" s="2269"/>
      <c r="AP21" s="2269"/>
      <c r="AQ21" s="2269"/>
      <c r="AR21" s="2269"/>
      <c r="AS21" s="2269"/>
      <c r="AT21" s="2269"/>
      <c r="AU21" s="2269"/>
      <c r="AV21" s="2269"/>
      <c r="AW21" s="2269"/>
      <c r="AX21" s="2269"/>
      <c r="AY21" s="2269"/>
      <c r="AZ21" s="2269"/>
      <c r="BA21" s="2269"/>
      <c r="BB21" s="2269"/>
      <c r="BC21" s="2269"/>
      <c r="BD21" s="2269"/>
      <c r="BE21" s="2269"/>
      <c r="BF21" s="2269"/>
      <c r="BG21" s="2269"/>
      <c r="BH21" s="2269"/>
      <c r="BI21" s="2269"/>
      <c r="BJ21" s="2269"/>
      <c r="BK21" s="2269"/>
      <c r="BL21" s="2269"/>
      <c r="BM21" s="2269"/>
      <c r="BN21" s="2269"/>
      <c r="BO21" s="2269"/>
      <c r="BP21" s="2269"/>
      <c r="BQ21" s="2269"/>
      <c r="BR21" s="2269"/>
      <c r="BS21" s="2269"/>
      <c r="BT21" s="2269"/>
      <c r="BU21" s="2269"/>
      <c r="BV21" s="2269"/>
      <c r="BW21" s="2269"/>
      <c r="BX21" s="2269"/>
      <c r="BY21" s="2269"/>
      <c r="BZ21" s="2269"/>
      <c r="CA21" s="2269"/>
    </row>
    <row r="22" spans="1:79">
      <c r="A22" s="15"/>
      <c r="B22" s="15"/>
      <c r="C22" s="2291"/>
      <c r="D22" s="1683"/>
      <c r="E22" s="15"/>
      <c r="F22" s="15"/>
      <c r="G22" s="2295"/>
      <c r="H22" s="15"/>
      <c r="I22" s="15"/>
      <c r="J22" s="15"/>
      <c r="K22" s="15"/>
      <c r="L22" s="15"/>
      <c r="M22" s="15"/>
      <c r="N22" s="15"/>
      <c r="O22" s="15"/>
      <c r="P22" s="15"/>
      <c r="Q22" s="15"/>
      <c r="R22" s="15"/>
      <c r="S22" s="15"/>
      <c r="T22" s="15"/>
      <c r="U22" s="15"/>
      <c r="V22" s="2269"/>
      <c r="W22" s="2269"/>
      <c r="X22" s="2269"/>
      <c r="Y22" s="2269"/>
      <c r="Z22" s="2269"/>
      <c r="AA22" s="2269"/>
      <c r="AB22" s="2269"/>
      <c r="AC22" s="2269"/>
      <c r="AD22" s="2269"/>
      <c r="AE22" s="2269"/>
      <c r="AF22" s="2269"/>
      <c r="AG22" s="2269"/>
      <c r="AH22" s="2269"/>
      <c r="AI22" s="2269"/>
      <c r="AJ22" s="2269"/>
      <c r="AK22" s="2269"/>
      <c r="AL22" s="2269"/>
      <c r="AM22" s="2269"/>
      <c r="AN22" s="2269"/>
      <c r="AO22" s="2269"/>
      <c r="AP22" s="2269"/>
      <c r="AQ22" s="2269"/>
      <c r="AR22" s="2269"/>
      <c r="AS22" s="2269"/>
      <c r="AT22" s="2269"/>
      <c r="AU22" s="2269"/>
      <c r="AV22" s="2269"/>
      <c r="AW22" s="2269"/>
      <c r="AX22" s="2269"/>
      <c r="AY22" s="2269"/>
      <c r="AZ22" s="2269"/>
      <c r="BA22" s="2269"/>
      <c r="BB22" s="2269"/>
      <c r="BC22" s="2269"/>
      <c r="BD22" s="2269"/>
      <c r="BE22" s="2269"/>
      <c r="BF22" s="2269"/>
      <c r="BG22" s="2269"/>
      <c r="BH22" s="2269"/>
      <c r="BI22" s="2269"/>
      <c r="BJ22" s="2269"/>
      <c r="BK22" s="2269"/>
      <c r="BL22" s="2269"/>
      <c r="BM22" s="2269"/>
      <c r="BN22" s="2269"/>
      <c r="BO22" s="2269"/>
      <c r="BP22" s="2269"/>
      <c r="BQ22" s="2269"/>
      <c r="BR22" s="2269"/>
      <c r="BS22" s="2269"/>
      <c r="BT22" s="2269"/>
      <c r="BU22" s="2269"/>
      <c r="BV22" s="2269"/>
      <c r="BW22" s="2269"/>
      <c r="BX22" s="2269"/>
      <c r="BY22" s="2269"/>
      <c r="BZ22" s="2269"/>
      <c r="CA22" s="2269"/>
    </row>
    <row r="23" spans="1:79">
      <c r="A23" s="15"/>
      <c r="B23" s="15"/>
      <c r="C23" s="2291"/>
      <c r="D23" s="1683"/>
      <c r="E23" s="15"/>
      <c r="F23" s="15"/>
      <c r="G23" s="2295"/>
      <c r="H23" s="15"/>
      <c r="I23" s="15"/>
      <c r="J23" s="15"/>
      <c r="K23" s="15"/>
      <c r="L23" s="15"/>
      <c r="M23" s="15"/>
      <c r="N23" s="15"/>
      <c r="O23" s="15"/>
      <c r="P23" s="15"/>
      <c r="Q23" s="15"/>
      <c r="R23" s="15"/>
      <c r="S23" s="15"/>
      <c r="T23" s="15"/>
      <c r="U23" s="15"/>
      <c r="V23" s="2269"/>
      <c r="W23" s="2269"/>
      <c r="X23" s="2269"/>
      <c r="Y23" s="2269"/>
      <c r="Z23" s="2269"/>
      <c r="AA23" s="2269"/>
      <c r="AB23" s="2269"/>
      <c r="AC23" s="2269"/>
      <c r="AD23" s="2269"/>
      <c r="AE23" s="2269"/>
      <c r="AF23" s="2269"/>
      <c r="AG23" s="2269"/>
      <c r="AH23" s="2269"/>
      <c r="AI23" s="2269"/>
      <c r="AJ23" s="2269"/>
      <c r="AK23" s="2269"/>
      <c r="AL23" s="2269"/>
      <c r="AM23" s="2269"/>
      <c r="AN23" s="2269"/>
      <c r="AO23" s="2269"/>
      <c r="AP23" s="2269"/>
      <c r="AQ23" s="2269"/>
      <c r="AR23" s="2269"/>
      <c r="AS23" s="2269"/>
      <c r="AT23" s="2269"/>
      <c r="AU23" s="2269"/>
      <c r="AV23" s="2269"/>
      <c r="AW23" s="2269"/>
      <c r="AX23" s="2269"/>
      <c r="AY23" s="2269"/>
      <c r="AZ23" s="2269"/>
      <c r="BA23" s="2269"/>
      <c r="BB23" s="2269"/>
      <c r="BC23" s="2269"/>
      <c r="BD23" s="2269"/>
      <c r="BE23" s="2269"/>
      <c r="BF23" s="2269"/>
      <c r="BG23" s="2269"/>
      <c r="BH23" s="2269"/>
      <c r="BI23" s="2269"/>
      <c r="BJ23" s="2269"/>
      <c r="BK23" s="2269"/>
      <c r="BL23" s="2269"/>
      <c r="BM23" s="2269"/>
      <c r="BN23" s="2269"/>
      <c r="BO23" s="2269"/>
      <c r="BP23" s="2269"/>
      <c r="BQ23" s="2269"/>
      <c r="BR23" s="2269"/>
      <c r="BS23" s="2269"/>
      <c r="BT23" s="2269"/>
      <c r="BU23" s="2269"/>
      <c r="BV23" s="2269"/>
      <c r="BW23" s="2269"/>
      <c r="BX23" s="2269"/>
      <c r="BY23" s="2269"/>
      <c r="BZ23" s="2269"/>
      <c r="CA23" s="2269"/>
    </row>
    <row r="24" spans="1:79">
      <c r="A24" s="15"/>
      <c r="B24" s="15"/>
      <c r="C24" s="2291"/>
      <c r="D24" s="1683"/>
      <c r="E24" s="15"/>
      <c r="F24" s="15"/>
      <c r="G24" s="2295"/>
      <c r="H24" s="15"/>
      <c r="I24" s="15"/>
      <c r="J24" s="15"/>
      <c r="K24" s="15"/>
      <c r="L24" s="15"/>
      <c r="M24" s="15"/>
      <c r="N24" s="15"/>
      <c r="O24" s="15"/>
      <c r="P24" s="15"/>
      <c r="Q24" s="15"/>
      <c r="R24" s="15"/>
      <c r="S24" s="15"/>
      <c r="T24" s="15"/>
      <c r="U24" s="15"/>
      <c r="V24" s="2269"/>
      <c r="W24" s="2269"/>
      <c r="X24" s="2269"/>
      <c r="Y24" s="2269"/>
      <c r="Z24" s="2269"/>
      <c r="AA24" s="2269"/>
      <c r="AB24" s="2269"/>
      <c r="AC24" s="2269"/>
      <c r="AD24" s="2269"/>
      <c r="AE24" s="2269"/>
      <c r="AF24" s="2269"/>
      <c r="AG24" s="2269"/>
      <c r="AH24" s="2269"/>
      <c r="AI24" s="2269"/>
      <c r="AJ24" s="2269"/>
      <c r="AK24" s="2269"/>
      <c r="AL24" s="2269"/>
      <c r="AM24" s="2269"/>
      <c r="AN24" s="2269"/>
      <c r="AO24" s="2269"/>
      <c r="AP24" s="2269"/>
      <c r="AQ24" s="2269"/>
      <c r="AR24" s="2269"/>
      <c r="AS24" s="2269"/>
      <c r="AT24" s="2269"/>
      <c r="AU24" s="2269"/>
      <c r="AV24" s="2269"/>
      <c r="AW24" s="2269"/>
      <c r="AX24" s="2269"/>
      <c r="AY24" s="2269"/>
      <c r="AZ24" s="2269"/>
      <c r="BA24" s="2269"/>
      <c r="BB24" s="2269"/>
      <c r="BC24" s="2269"/>
      <c r="BD24" s="2269"/>
      <c r="BE24" s="2269"/>
      <c r="BF24" s="2269"/>
      <c r="BG24" s="2269"/>
      <c r="BH24" s="2269"/>
      <c r="BI24" s="2269"/>
      <c r="BJ24" s="2269"/>
      <c r="BK24" s="2269"/>
      <c r="BL24" s="2269"/>
      <c r="BM24" s="2269"/>
      <c r="BN24" s="2269"/>
      <c r="BO24" s="2269"/>
      <c r="BP24" s="2269"/>
      <c r="BQ24" s="2269"/>
      <c r="BR24" s="2269"/>
      <c r="BS24" s="2269"/>
      <c r="BT24" s="2269"/>
      <c r="BU24" s="2269"/>
      <c r="BV24" s="2269"/>
      <c r="BW24" s="2269"/>
      <c r="BX24" s="2269"/>
      <c r="BY24" s="2269"/>
      <c r="BZ24" s="2269"/>
      <c r="CA24" s="2269"/>
    </row>
    <row r="25" spans="1:79" ht="15">
      <c r="A25" s="15"/>
      <c r="B25" s="15"/>
      <c r="C25" s="2291"/>
      <c r="D25" s="1683"/>
      <c r="E25" s="15"/>
      <c r="F25" s="15"/>
      <c r="G25" s="2295"/>
      <c r="H25" s="15"/>
      <c r="I25" s="15"/>
      <c r="J25" s="15"/>
      <c r="K25" s="15"/>
      <c r="L25" s="15"/>
      <c r="M25" s="15"/>
      <c r="N25" s="15"/>
      <c r="O25" s="2294"/>
      <c r="P25" s="2294"/>
      <c r="Q25" s="2294"/>
      <c r="R25" s="2294"/>
      <c r="S25" s="2294"/>
      <c r="T25" s="15"/>
      <c r="U25" s="15"/>
      <c r="V25" s="2269"/>
      <c r="W25" s="2269"/>
      <c r="X25" s="2269"/>
      <c r="Y25" s="2269"/>
      <c r="Z25" s="2269"/>
      <c r="AA25" s="2269"/>
      <c r="AB25" s="2269"/>
      <c r="AC25" s="2269"/>
      <c r="AD25" s="2269"/>
      <c r="AE25" s="2269"/>
      <c r="AF25" s="2269"/>
      <c r="AG25" s="2269"/>
      <c r="AH25" s="2269"/>
      <c r="AI25" s="2269"/>
      <c r="AJ25" s="2269"/>
      <c r="AK25" s="2269"/>
      <c r="AL25" s="2269"/>
      <c r="AM25" s="2269"/>
      <c r="AN25" s="2269"/>
      <c r="AO25" s="2269"/>
      <c r="AP25" s="2269"/>
      <c r="AQ25" s="2269"/>
      <c r="AR25" s="2269"/>
      <c r="AS25" s="2269"/>
      <c r="AT25" s="2269"/>
      <c r="AU25" s="2269"/>
      <c r="AV25" s="2269"/>
      <c r="AW25" s="2269"/>
      <c r="AX25" s="2269"/>
      <c r="AY25" s="2269"/>
      <c r="AZ25" s="2269"/>
      <c r="BA25" s="2269"/>
      <c r="BB25" s="2269"/>
      <c r="BC25" s="2269"/>
      <c r="BD25" s="2269"/>
      <c r="BE25" s="2269"/>
      <c r="BF25" s="2269"/>
      <c r="BG25" s="2269"/>
      <c r="BH25" s="2269"/>
      <c r="BI25" s="2269"/>
      <c r="BJ25" s="2269"/>
      <c r="BK25" s="2269"/>
      <c r="BL25" s="2269"/>
      <c r="BM25" s="2269"/>
      <c r="BN25" s="2269"/>
      <c r="BO25" s="2269"/>
      <c r="BP25" s="2269"/>
      <c r="BQ25" s="2269"/>
      <c r="BR25" s="2269"/>
      <c r="BS25" s="2269"/>
      <c r="BT25" s="2269"/>
      <c r="BU25" s="2269"/>
      <c r="BV25" s="2269"/>
      <c r="BW25" s="2269"/>
      <c r="BX25" s="2269"/>
      <c r="BY25" s="2269"/>
      <c r="BZ25" s="2269"/>
      <c r="CA25" s="2269"/>
    </row>
    <row r="26" spans="1:79">
      <c r="A26" s="15"/>
      <c r="B26" s="15"/>
      <c r="C26" s="2291"/>
      <c r="D26" s="1683"/>
      <c r="E26" s="15"/>
      <c r="F26" s="15"/>
      <c r="G26" s="2295"/>
      <c r="H26" s="15"/>
      <c r="I26" s="15"/>
      <c r="J26" s="15"/>
      <c r="K26" s="15"/>
      <c r="L26" s="15"/>
      <c r="M26" s="15"/>
      <c r="N26" s="15"/>
      <c r="O26" s="15"/>
      <c r="P26" s="15"/>
      <c r="Q26" s="15"/>
      <c r="R26" s="15"/>
      <c r="S26" s="15"/>
      <c r="T26" s="15"/>
      <c r="U26" s="15"/>
      <c r="V26" s="2269"/>
      <c r="W26" s="2269"/>
      <c r="X26" s="2269"/>
      <c r="Y26" s="2269"/>
      <c r="Z26" s="2269"/>
      <c r="AA26" s="2269"/>
      <c r="AB26" s="2269"/>
      <c r="AC26" s="2269"/>
      <c r="AD26" s="2269"/>
      <c r="AE26" s="2269"/>
      <c r="AF26" s="2269"/>
      <c r="AG26" s="2269"/>
      <c r="AH26" s="2269"/>
      <c r="AI26" s="2269"/>
      <c r="AJ26" s="2269"/>
      <c r="AK26" s="2269"/>
      <c r="AL26" s="2269"/>
      <c r="AM26" s="2269"/>
      <c r="AN26" s="2269"/>
      <c r="AO26" s="2269"/>
      <c r="AP26" s="2269"/>
      <c r="AQ26" s="2269"/>
      <c r="AR26" s="2269"/>
      <c r="AS26" s="2269"/>
      <c r="AT26" s="2269"/>
      <c r="AU26" s="2269"/>
      <c r="AV26" s="2269"/>
      <c r="AW26" s="2269"/>
      <c r="AX26" s="2269"/>
      <c r="AY26" s="2269"/>
      <c r="AZ26" s="2269"/>
      <c r="BA26" s="2269"/>
      <c r="BB26" s="2269"/>
      <c r="BC26" s="2269"/>
      <c r="BD26" s="2269"/>
      <c r="BE26" s="2269"/>
      <c r="BF26" s="2269"/>
      <c r="BG26" s="2269"/>
      <c r="BH26" s="2269"/>
      <c r="BI26" s="2269"/>
      <c r="BJ26" s="2269"/>
      <c r="BK26" s="2269"/>
      <c r="BL26" s="2269"/>
      <c r="BM26" s="2269"/>
      <c r="BN26" s="2269"/>
      <c r="BO26" s="2269"/>
      <c r="BP26" s="2269"/>
      <c r="BQ26" s="2269"/>
      <c r="BR26" s="2269"/>
      <c r="BS26" s="2269"/>
      <c r="BT26" s="2269"/>
      <c r="BU26" s="2269"/>
      <c r="BV26" s="2269"/>
      <c r="BW26" s="2269"/>
      <c r="BX26" s="2269"/>
      <c r="BY26" s="2269"/>
      <c r="BZ26" s="2269"/>
      <c r="CA26" s="2269"/>
    </row>
    <row r="27" spans="1:79">
      <c r="A27" s="15"/>
      <c r="B27" s="15"/>
      <c r="C27" s="2291"/>
      <c r="D27" s="1683"/>
      <c r="E27" s="15"/>
      <c r="F27" s="15"/>
      <c r="G27" s="2295"/>
      <c r="H27" s="15"/>
      <c r="I27" s="15"/>
      <c r="J27" s="15"/>
      <c r="K27" s="15"/>
      <c r="L27" s="15"/>
      <c r="M27" s="15"/>
      <c r="N27" s="15"/>
      <c r="O27" s="15"/>
      <c r="P27" s="15"/>
      <c r="Q27" s="15"/>
      <c r="R27" s="15"/>
      <c r="S27" s="15"/>
      <c r="T27" s="15"/>
      <c r="U27" s="15"/>
      <c r="V27" s="2269"/>
      <c r="W27" s="2269"/>
      <c r="X27" s="2269"/>
      <c r="Y27" s="2269"/>
      <c r="Z27" s="2269"/>
      <c r="AA27" s="2269"/>
      <c r="AB27" s="2269"/>
      <c r="AC27" s="2269"/>
      <c r="AD27" s="2269"/>
      <c r="AE27" s="2269"/>
      <c r="AF27" s="2269"/>
      <c r="AG27" s="2269"/>
      <c r="AH27" s="2269"/>
      <c r="AI27" s="2269"/>
      <c r="AJ27" s="2269"/>
      <c r="AK27" s="2269"/>
      <c r="AL27" s="2269"/>
      <c r="AM27" s="2269"/>
      <c r="AN27" s="2269"/>
      <c r="AO27" s="2269"/>
      <c r="AP27" s="2269"/>
      <c r="AQ27" s="2269"/>
      <c r="AR27" s="2269"/>
      <c r="AS27" s="2269"/>
      <c r="AT27" s="2269"/>
      <c r="AU27" s="2269"/>
      <c r="AV27" s="2269"/>
      <c r="AW27" s="2269"/>
      <c r="AX27" s="2269"/>
      <c r="AY27" s="2269"/>
      <c r="AZ27" s="2269"/>
      <c r="BA27" s="2269"/>
      <c r="BB27" s="2269"/>
      <c r="BC27" s="2269"/>
      <c r="BD27" s="2269"/>
      <c r="BE27" s="2269"/>
      <c r="BF27" s="2269"/>
      <c r="BG27" s="2269"/>
      <c r="BH27" s="2269"/>
      <c r="BI27" s="2269"/>
      <c r="BJ27" s="2269"/>
      <c r="BK27" s="2269"/>
      <c r="BL27" s="2269"/>
      <c r="BM27" s="2269"/>
      <c r="BN27" s="2269"/>
      <c r="BO27" s="2269"/>
      <c r="BP27" s="2269"/>
      <c r="BQ27" s="2269"/>
      <c r="BR27" s="2269"/>
      <c r="BS27" s="2269"/>
      <c r="BT27" s="2269"/>
      <c r="BU27" s="2269"/>
      <c r="BV27" s="2269"/>
      <c r="BW27" s="2269"/>
      <c r="BX27" s="2269"/>
      <c r="BY27" s="2269"/>
      <c r="BZ27" s="2269"/>
      <c r="CA27" s="2269"/>
    </row>
    <row r="28" spans="1:79">
      <c r="A28" s="15"/>
      <c r="B28" s="15"/>
      <c r="C28" s="2291"/>
      <c r="D28" s="1683"/>
      <c r="E28" s="15"/>
      <c r="F28" s="15"/>
      <c r="G28" s="2295"/>
      <c r="H28" s="15"/>
      <c r="I28" s="15"/>
      <c r="J28" s="15"/>
      <c r="K28" s="15"/>
      <c r="L28" s="15"/>
      <c r="M28" s="15"/>
      <c r="N28" s="15"/>
      <c r="O28" s="15"/>
      <c r="P28" s="15"/>
      <c r="Q28" s="15"/>
      <c r="R28" s="15"/>
      <c r="S28" s="15"/>
      <c r="T28" s="15"/>
      <c r="U28" s="15"/>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2269"/>
      <c r="BB28" s="2269"/>
      <c r="BC28" s="2269"/>
      <c r="BD28" s="2269"/>
      <c r="BE28" s="2269"/>
      <c r="BF28" s="2269"/>
      <c r="BG28" s="2269"/>
      <c r="BH28" s="2269"/>
      <c r="BI28" s="2269"/>
      <c r="BJ28" s="2269"/>
      <c r="BK28" s="2269"/>
      <c r="BL28" s="2269"/>
      <c r="BM28" s="2269"/>
      <c r="BN28" s="2269"/>
      <c r="BO28" s="2269"/>
      <c r="BP28" s="2269"/>
      <c r="BQ28" s="2269"/>
      <c r="BR28" s="2269"/>
      <c r="BS28" s="2269"/>
      <c r="BT28" s="2269"/>
      <c r="BU28" s="2269"/>
      <c r="BV28" s="2269"/>
      <c r="BW28" s="2269"/>
      <c r="BX28" s="2269"/>
      <c r="BY28" s="2269"/>
      <c r="BZ28" s="2269"/>
      <c r="CA28" s="2269"/>
    </row>
    <row r="29" spans="1:79">
      <c r="A29" s="15"/>
      <c r="B29" s="15"/>
      <c r="C29" s="2291"/>
      <c r="D29" s="1683"/>
      <c r="E29" s="15"/>
      <c r="F29" s="15"/>
      <c r="G29" s="2295"/>
      <c r="H29" s="15"/>
      <c r="I29" s="15"/>
      <c r="J29" s="15"/>
      <c r="K29" s="15"/>
      <c r="L29" s="15"/>
      <c r="M29" s="15"/>
      <c r="N29" s="15"/>
      <c r="O29" s="15"/>
      <c r="P29" s="15"/>
      <c r="Q29" s="15"/>
      <c r="R29" s="15"/>
      <c r="S29" s="15"/>
      <c r="T29" s="15"/>
      <c r="U29" s="15"/>
      <c r="V29" s="2269"/>
      <c r="W29" s="2269"/>
      <c r="X29" s="2269"/>
      <c r="Y29" s="2269"/>
      <c r="Z29" s="2269"/>
      <c r="AA29" s="2269"/>
      <c r="AB29" s="2269"/>
      <c r="AC29" s="2269"/>
      <c r="AD29" s="2269"/>
      <c r="AE29" s="2269"/>
      <c r="AF29" s="2269"/>
      <c r="AG29" s="2269"/>
      <c r="AH29" s="2269"/>
      <c r="AI29" s="2269"/>
      <c r="AJ29" s="2269"/>
      <c r="AK29" s="2269"/>
      <c r="AL29" s="2269"/>
      <c r="AM29" s="2269"/>
      <c r="AN29" s="2269"/>
      <c r="AO29" s="2269"/>
      <c r="AP29" s="2269"/>
      <c r="AQ29" s="2269"/>
      <c r="AR29" s="2269"/>
      <c r="AS29" s="2269"/>
      <c r="AT29" s="2269"/>
      <c r="AU29" s="2269"/>
      <c r="AV29" s="2269"/>
      <c r="AW29" s="2269"/>
      <c r="AX29" s="2269"/>
      <c r="AY29" s="2269"/>
      <c r="AZ29" s="2269"/>
      <c r="BA29" s="2269"/>
      <c r="BB29" s="2269"/>
      <c r="BC29" s="2269"/>
      <c r="BD29" s="2269"/>
      <c r="BE29" s="2269"/>
      <c r="BF29" s="2269"/>
      <c r="BG29" s="2269"/>
      <c r="BH29" s="2269"/>
      <c r="BI29" s="2269"/>
      <c r="BJ29" s="2269"/>
      <c r="BK29" s="2269"/>
      <c r="BL29" s="2269"/>
      <c r="BM29" s="2269"/>
      <c r="BN29" s="2269"/>
      <c r="BO29" s="2269"/>
      <c r="BP29" s="2269"/>
      <c r="BQ29" s="2269"/>
      <c r="BR29" s="2269"/>
      <c r="BS29" s="2269"/>
      <c r="BT29" s="2269"/>
      <c r="BU29" s="2269"/>
      <c r="BV29" s="2269"/>
      <c r="BW29" s="2269"/>
      <c r="BX29" s="2269"/>
      <c r="BY29" s="2269"/>
      <c r="BZ29" s="2269"/>
      <c r="CA29" s="2269"/>
    </row>
    <row r="30" spans="1:79">
      <c r="A30" s="15"/>
      <c r="B30" s="15"/>
      <c r="C30" s="2291"/>
      <c r="D30" s="1683"/>
      <c r="E30" s="15"/>
      <c r="F30" s="15"/>
      <c r="G30" s="2295"/>
      <c r="H30" s="15"/>
      <c r="I30" s="15"/>
      <c r="J30" s="15"/>
      <c r="K30" s="15"/>
      <c r="L30" s="15"/>
      <c r="M30" s="15"/>
      <c r="N30" s="15"/>
      <c r="O30" s="15"/>
      <c r="P30" s="15"/>
      <c r="Q30" s="15"/>
      <c r="R30" s="15"/>
      <c r="S30" s="15"/>
      <c r="T30" s="15"/>
      <c r="U30" s="15"/>
      <c r="V30" s="2269"/>
      <c r="W30" s="2269"/>
      <c r="X30" s="2269"/>
      <c r="Y30" s="2269"/>
      <c r="Z30" s="2269"/>
      <c r="AA30" s="2269"/>
      <c r="AB30" s="2269"/>
      <c r="AC30" s="2269"/>
      <c r="AD30" s="2269"/>
      <c r="AE30" s="2269"/>
      <c r="AF30" s="2269"/>
      <c r="AG30" s="2269"/>
      <c r="AH30" s="2269"/>
      <c r="AI30" s="2269"/>
      <c r="AJ30" s="2269"/>
      <c r="AK30" s="2269"/>
      <c r="AL30" s="2269"/>
      <c r="AM30" s="2269"/>
      <c r="AN30" s="2269"/>
      <c r="AO30" s="2269"/>
      <c r="AP30" s="2269"/>
      <c r="AQ30" s="2269"/>
      <c r="AR30" s="2269"/>
      <c r="AS30" s="2269"/>
      <c r="AT30" s="2269"/>
      <c r="AU30" s="2269"/>
      <c r="AV30" s="2269"/>
      <c r="AW30" s="2269"/>
      <c r="AX30" s="2269"/>
      <c r="AY30" s="2269"/>
      <c r="AZ30" s="2269"/>
      <c r="BA30" s="2269"/>
      <c r="BB30" s="2269"/>
      <c r="BC30" s="2269"/>
      <c r="BD30" s="2269"/>
      <c r="BE30" s="2269"/>
      <c r="BF30" s="2269"/>
      <c r="BG30" s="2269"/>
      <c r="BH30" s="2269"/>
      <c r="BI30" s="2269"/>
      <c r="BJ30" s="2269"/>
      <c r="BK30" s="2269"/>
      <c r="BL30" s="2269"/>
      <c r="BM30" s="2269"/>
      <c r="BN30" s="2269"/>
      <c r="BO30" s="2269"/>
      <c r="BP30" s="2269"/>
      <c r="BQ30" s="2269"/>
      <c r="BR30" s="2269"/>
      <c r="BS30" s="2269"/>
      <c r="BT30" s="2269"/>
      <c r="BU30" s="2269"/>
      <c r="BV30" s="2269"/>
      <c r="BW30" s="2269"/>
      <c r="BX30" s="2269"/>
      <c r="BY30" s="2269"/>
      <c r="BZ30" s="2269"/>
      <c r="CA30" s="2269"/>
    </row>
    <row r="31" spans="1:79">
      <c r="A31" s="15"/>
      <c r="B31" s="15"/>
      <c r="C31" s="2291"/>
      <c r="D31" s="1683"/>
      <c r="E31" s="15"/>
      <c r="F31" s="15"/>
      <c r="G31" s="2295"/>
      <c r="H31" s="15"/>
      <c r="I31" s="15"/>
      <c r="J31" s="15"/>
      <c r="K31" s="15"/>
      <c r="L31" s="15"/>
      <c r="M31" s="15"/>
      <c r="N31" s="15"/>
      <c r="O31" s="15"/>
      <c r="P31" s="15"/>
      <c r="Q31" s="15"/>
      <c r="R31" s="15"/>
      <c r="S31" s="15"/>
      <c r="T31" s="15"/>
      <c r="U31" s="15"/>
      <c r="V31" s="2269"/>
      <c r="W31" s="2269"/>
      <c r="X31" s="2269"/>
      <c r="Y31" s="2269"/>
      <c r="Z31" s="2269"/>
      <c r="AA31" s="2269"/>
      <c r="AB31" s="2269"/>
      <c r="AC31" s="2269"/>
      <c r="AD31" s="2269"/>
      <c r="AE31" s="2269"/>
      <c r="AF31" s="2269"/>
      <c r="AG31" s="2269"/>
      <c r="AH31" s="2269"/>
      <c r="AI31" s="2269"/>
      <c r="AJ31" s="2269"/>
      <c r="AK31" s="2269"/>
      <c r="AL31" s="2269"/>
      <c r="AM31" s="2269"/>
      <c r="AN31" s="2269"/>
      <c r="AO31" s="2269"/>
      <c r="AP31" s="2269"/>
      <c r="AQ31" s="2269"/>
      <c r="AR31" s="2269"/>
      <c r="AS31" s="2269"/>
      <c r="AT31" s="2269"/>
      <c r="AU31" s="2269"/>
      <c r="AV31" s="2269"/>
      <c r="AW31" s="2269"/>
      <c r="AX31" s="2269"/>
      <c r="AY31" s="2269"/>
      <c r="AZ31" s="2269"/>
      <c r="BA31" s="2269"/>
      <c r="BB31" s="2269"/>
      <c r="BC31" s="2269"/>
      <c r="BD31" s="2269"/>
      <c r="BE31" s="2269"/>
      <c r="BF31" s="2269"/>
      <c r="BG31" s="2269"/>
      <c r="BH31" s="2269"/>
      <c r="BI31" s="2269"/>
      <c r="BJ31" s="2269"/>
      <c r="BK31" s="2269"/>
      <c r="BL31" s="2269"/>
      <c r="BM31" s="2269"/>
      <c r="BN31" s="2269"/>
      <c r="BO31" s="2269"/>
      <c r="BP31" s="2269"/>
      <c r="BQ31" s="2269"/>
      <c r="BR31" s="2269"/>
      <c r="BS31" s="2269"/>
      <c r="BT31" s="2269"/>
      <c r="BU31" s="2269"/>
      <c r="BV31" s="2269"/>
      <c r="BW31" s="2269"/>
      <c r="BX31" s="2269"/>
      <c r="BY31" s="2269"/>
      <c r="BZ31" s="2269"/>
      <c r="CA31" s="2269"/>
    </row>
    <row r="32" spans="1:79">
      <c r="A32" s="15"/>
      <c r="B32" s="15"/>
      <c r="C32" s="2291"/>
      <c r="D32" s="1683"/>
      <c r="E32" s="15"/>
      <c r="F32" s="15"/>
      <c r="G32" s="2295"/>
      <c r="H32" s="15"/>
      <c r="I32" s="15"/>
      <c r="J32" s="15"/>
      <c r="K32" s="15"/>
      <c r="L32" s="15"/>
      <c r="M32" s="15"/>
      <c r="N32" s="15"/>
      <c r="O32" s="15"/>
      <c r="P32" s="15"/>
      <c r="Q32" s="15"/>
      <c r="R32" s="15"/>
      <c r="S32" s="15"/>
      <c r="T32" s="15"/>
      <c r="U32" s="15"/>
      <c r="V32" s="2269"/>
      <c r="W32" s="2269"/>
      <c r="X32" s="2269"/>
      <c r="Y32" s="2269"/>
      <c r="Z32" s="2269"/>
      <c r="AA32" s="2269"/>
      <c r="AB32" s="2269"/>
      <c r="AC32" s="2269"/>
      <c r="AD32" s="2269"/>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2269"/>
      <c r="BB32" s="2269"/>
      <c r="BC32" s="2269"/>
      <c r="BD32" s="2269"/>
      <c r="BE32" s="2269"/>
      <c r="BF32" s="2269"/>
      <c r="BG32" s="2269"/>
      <c r="BH32" s="2269"/>
      <c r="BI32" s="2269"/>
      <c r="BJ32" s="2269"/>
      <c r="BK32" s="2269"/>
      <c r="BL32" s="2269"/>
      <c r="BM32" s="2269"/>
      <c r="BN32" s="2269"/>
      <c r="BO32" s="2269"/>
      <c r="BP32" s="2269"/>
      <c r="BQ32" s="2269"/>
      <c r="BR32" s="2269"/>
      <c r="BS32" s="2269"/>
      <c r="BT32" s="2269"/>
      <c r="BU32" s="2269"/>
      <c r="BV32" s="2269"/>
      <c r="BW32" s="2269"/>
      <c r="BX32" s="2269"/>
      <c r="BY32" s="2269"/>
      <c r="BZ32" s="2269"/>
      <c r="CA32" s="2269"/>
    </row>
    <row r="33" spans="1:79" ht="15">
      <c r="A33" s="15"/>
      <c r="B33" s="15"/>
      <c r="C33" s="2291"/>
      <c r="D33" s="1683"/>
      <c r="E33" s="15"/>
      <c r="F33" s="15"/>
      <c r="G33" s="2295"/>
      <c r="H33" s="15"/>
      <c r="I33" s="15"/>
      <c r="J33" s="2294"/>
      <c r="K33" s="15"/>
      <c r="L33" s="15"/>
      <c r="M33" s="15"/>
      <c r="N33" s="15"/>
      <c r="O33" s="15"/>
      <c r="P33" s="15"/>
      <c r="Q33" s="15"/>
      <c r="R33" s="15"/>
      <c r="S33" s="15"/>
      <c r="T33" s="15"/>
      <c r="U33" s="15"/>
      <c r="V33" s="2269"/>
      <c r="W33" s="2269"/>
      <c r="X33" s="2269"/>
      <c r="Y33" s="2269"/>
      <c r="Z33" s="2269"/>
      <c r="AA33" s="2269"/>
      <c r="AB33" s="2269"/>
      <c r="AC33" s="2269"/>
      <c r="AD33" s="2269"/>
      <c r="AE33" s="2269"/>
      <c r="AF33" s="2269"/>
      <c r="AG33" s="2269"/>
      <c r="AH33" s="2269"/>
      <c r="AI33" s="2269"/>
      <c r="AJ33" s="2269"/>
      <c r="AK33" s="2269"/>
      <c r="AL33" s="2269"/>
      <c r="AM33" s="2269"/>
      <c r="AN33" s="2269"/>
      <c r="AO33" s="2269"/>
      <c r="AP33" s="2269"/>
      <c r="AQ33" s="2269"/>
      <c r="AR33" s="2269"/>
      <c r="AS33" s="2269"/>
      <c r="AT33" s="2269"/>
      <c r="AU33" s="2269"/>
      <c r="AV33" s="2269"/>
      <c r="AW33" s="2269"/>
      <c r="AX33" s="2269"/>
      <c r="AY33" s="2269"/>
      <c r="AZ33" s="2269"/>
      <c r="BA33" s="2269"/>
      <c r="BB33" s="2269"/>
      <c r="BC33" s="2269"/>
      <c r="BD33" s="2269"/>
      <c r="BE33" s="2269"/>
      <c r="BF33" s="2269"/>
      <c r="BG33" s="2269"/>
      <c r="BH33" s="2269"/>
      <c r="BI33" s="2269"/>
      <c r="BJ33" s="2269"/>
      <c r="BK33" s="2269"/>
      <c r="BL33" s="2269"/>
      <c r="BM33" s="2269"/>
      <c r="BN33" s="2269"/>
      <c r="BO33" s="2269"/>
      <c r="BP33" s="2269"/>
      <c r="BQ33" s="2269"/>
      <c r="BR33" s="2269"/>
      <c r="BS33" s="2269"/>
      <c r="BT33" s="2269"/>
      <c r="BU33" s="2269"/>
      <c r="BV33" s="2269"/>
      <c r="BW33" s="2269"/>
      <c r="BX33" s="2269"/>
      <c r="BY33" s="2269"/>
      <c r="BZ33" s="2269"/>
      <c r="CA33" s="2269"/>
    </row>
    <row r="34" spans="1:79">
      <c r="A34" s="15"/>
      <c r="B34" s="15"/>
      <c r="C34" s="2291"/>
      <c r="D34" s="1683"/>
      <c r="E34" s="15"/>
      <c r="F34" s="15"/>
      <c r="G34" s="2295"/>
      <c r="H34" s="15"/>
      <c r="I34" s="15"/>
      <c r="J34" s="15"/>
      <c r="K34" s="15"/>
      <c r="L34" s="15"/>
      <c r="M34" s="15"/>
      <c r="N34" s="15"/>
      <c r="O34" s="15"/>
      <c r="P34" s="15"/>
      <c r="Q34" s="15"/>
      <c r="R34" s="15"/>
      <c r="S34" s="15"/>
      <c r="T34" s="15"/>
      <c r="U34" s="15"/>
      <c r="V34" s="2269"/>
      <c r="W34" s="2269"/>
      <c r="X34" s="2269"/>
      <c r="Y34" s="2269"/>
      <c r="Z34" s="2269"/>
      <c r="AA34" s="2269"/>
      <c r="AB34" s="2269"/>
      <c r="AC34" s="2269"/>
      <c r="AD34" s="2269"/>
      <c r="AE34" s="2269"/>
      <c r="AF34" s="2269"/>
      <c r="AG34" s="2269"/>
      <c r="AH34" s="2269"/>
      <c r="AI34" s="2269"/>
      <c r="AJ34" s="2269"/>
      <c r="AK34" s="2269"/>
      <c r="AL34" s="2269"/>
      <c r="AM34" s="2269"/>
      <c r="AN34" s="2269"/>
      <c r="AO34" s="2269"/>
      <c r="AP34" s="2269"/>
      <c r="AQ34" s="2269"/>
      <c r="AR34" s="2269"/>
      <c r="AS34" s="2269"/>
      <c r="AT34" s="2269"/>
      <c r="AU34" s="2269"/>
      <c r="AV34" s="2269"/>
      <c r="AW34" s="2269"/>
      <c r="AX34" s="2269"/>
      <c r="AY34" s="2269"/>
      <c r="AZ34" s="2269"/>
      <c r="BA34" s="2269"/>
      <c r="BB34" s="2269"/>
      <c r="BC34" s="2269"/>
      <c r="BD34" s="2269"/>
      <c r="BE34" s="2269"/>
      <c r="BF34" s="2269"/>
      <c r="BG34" s="2269"/>
      <c r="BH34" s="2269"/>
      <c r="BI34" s="2269"/>
      <c r="BJ34" s="2269"/>
      <c r="BK34" s="2269"/>
      <c r="BL34" s="2269"/>
      <c r="BM34" s="2269"/>
      <c r="BN34" s="2269"/>
      <c r="BO34" s="2269"/>
      <c r="BP34" s="2269"/>
      <c r="BQ34" s="2269"/>
      <c r="BR34" s="2269"/>
      <c r="BS34" s="2269"/>
      <c r="BT34" s="2269"/>
      <c r="BU34" s="2269"/>
      <c r="BV34" s="2269"/>
      <c r="BW34" s="2269"/>
      <c r="BX34" s="2269"/>
      <c r="BY34" s="2269"/>
      <c r="BZ34" s="2269"/>
      <c r="CA34" s="2269"/>
    </row>
    <row r="35" spans="1:79">
      <c r="A35" s="15"/>
      <c r="B35" s="15"/>
      <c r="C35" s="2291"/>
      <c r="D35" s="1683"/>
      <c r="E35" s="15"/>
      <c r="F35" s="15"/>
      <c r="G35" s="2295"/>
      <c r="H35" s="15"/>
      <c r="I35" s="15"/>
      <c r="J35" s="15"/>
      <c r="K35" s="15"/>
      <c r="L35" s="15"/>
      <c r="M35" s="15"/>
      <c r="N35" s="15"/>
      <c r="O35" s="15"/>
      <c r="P35" s="15"/>
      <c r="Q35" s="15"/>
      <c r="R35" s="15"/>
      <c r="S35" s="15"/>
      <c r="T35" s="15"/>
      <c r="U35" s="15"/>
      <c r="V35" s="2269"/>
      <c r="W35" s="2269"/>
      <c r="X35" s="2269"/>
      <c r="Y35" s="2269"/>
      <c r="Z35" s="2269"/>
      <c r="AA35" s="2269"/>
      <c r="AB35" s="2269"/>
      <c r="AC35" s="2269"/>
      <c r="AD35" s="2269"/>
      <c r="AE35" s="2269"/>
      <c r="AF35" s="2269"/>
      <c r="AG35" s="2269"/>
      <c r="AH35" s="2269"/>
      <c r="AI35" s="2269"/>
      <c r="AJ35" s="2269"/>
      <c r="AK35" s="2269"/>
      <c r="AL35" s="2269"/>
      <c r="AM35" s="2269"/>
      <c r="AN35" s="2269"/>
      <c r="AO35" s="2269"/>
      <c r="AP35" s="2269"/>
      <c r="AQ35" s="2269"/>
      <c r="AR35" s="2269"/>
      <c r="AS35" s="2269"/>
      <c r="AT35" s="2269"/>
      <c r="AU35" s="2269"/>
      <c r="AV35" s="2269"/>
      <c r="AW35" s="2269"/>
      <c r="AX35" s="2269"/>
      <c r="AY35" s="2269"/>
      <c r="AZ35" s="2269"/>
      <c r="BA35" s="2269"/>
      <c r="BB35" s="2269"/>
      <c r="BC35" s="2269"/>
      <c r="BD35" s="2269"/>
      <c r="BE35" s="2269"/>
      <c r="BF35" s="2269"/>
      <c r="BG35" s="2269"/>
      <c r="BH35" s="2269"/>
      <c r="BI35" s="2269"/>
      <c r="BJ35" s="2269"/>
      <c r="BK35" s="2269"/>
      <c r="BL35" s="2269"/>
      <c r="BM35" s="2269"/>
      <c r="BN35" s="2269"/>
      <c r="BO35" s="2269"/>
      <c r="BP35" s="2269"/>
      <c r="BQ35" s="2269"/>
      <c r="BR35" s="2269"/>
      <c r="BS35" s="2269"/>
      <c r="BT35" s="2269"/>
      <c r="BU35" s="2269"/>
      <c r="BV35" s="2269"/>
      <c r="BW35" s="2269"/>
      <c r="BX35" s="2269"/>
      <c r="BY35" s="2269"/>
      <c r="BZ35" s="2269"/>
      <c r="CA35" s="2269"/>
    </row>
    <row r="36" spans="1:79">
      <c r="A36" s="15"/>
      <c r="B36" s="15"/>
      <c r="C36" s="15"/>
      <c r="D36" s="15"/>
      <c r="E36" s="15"/>
      <c r="F36" s="15"/>
      <c r="G36" s="15"/>
      <c r="H36" s="15"/>
      <c r="I36" s="15"/>
      <c r="J36" s="15"/>
      <c r="K36" s="15"/>
      <c r="L36" s="15"/>
      <c r="M36" s="15"/>
      <c r="N36" s="15"/>
      <c r="O36" s="15"/>
      <c r="P36" s="15"/>
      <c r="Q36" s="15"/>
      <c r="R36" s="15"/>
      <c r="S36" s="15"/>
      <c r="T36" s="15"/>
      <c r="U36" s="15"/>
      <c r="V36" s="2269"/>
      <c r="W36" s="2269"/>
      <c r="X36" s="2269"/>
      <c r="Y36" s="2269"/>
      <c r="Z36" s="2269"/>
      <c r="AA36" s="2269"/>
      <c r="AB36" s="2269"/>
      <c r="AC36" s="2269"/>
      <c r="AD36" s="2269"/>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2269"/>
      <c r="BB36" s="2269"/>
      <c r="BC36" s="2269"/>
      <c r="BD36" s="2269"/>
      <c r="BE36" s="2269"/>
      <c r="BF36" s="2269"/>
      <c r="BG36" s="2269"/>
      <c r="BH36" s="2269"/>
      <c r="BI36" s="2269"/>
      <c r="BJ36" s="2269"/>
      <c r="BK36" s="2269"/>
      <c r="BL36" s="2269"/>
      <c r="BM36" s="2269"/>
      <c r="BN36" s="2269"/>
      <c r="BO36" s="2269"/>
      <c r="BP36" s="2269"/>
      <c r="BQ36" s="2269"/>
      <c r="BR36" s="2269"/>
      <c r="BS36" s="2269"/>
      <c r="BT36" s="2269"/>
      <c r="BU36" s="2269"/>
      <c r="BV36" s="2269"/>
      <c r="BW36" s="2269"/>
      <c r="BX36" s="2269"/>
      <c r="BY36" s="2269"/>
      <c r="BZ36" s="2269"/>
      <c r="CA36" s="2269"/>
    </row>
    <row r="37" spans="1:79" ht="15">
      <c r="A37" s="15"/>
      <c r="B37" s="15"/>
      <c r="C37" s="15"/>
      <c r="D37" s="15"/>
      <c r="E37" s="15"/>
      <c r="F37" s="4021"/>
      <c r="G37" s="4021"/>
      <c r="H37" s="2296"/>
      <c r="I37" s="15"/>
      <c r="J37" s="15"/>
      <c r="K37" s="15"/>
      <c r="L37" s="15"/>
      <c r="M37" s="15"/>
      <c r="N37" s="15"/>
      <c r="O37" s="15"/>
      <c r="P37" s="15"/>
      <c r="Q37" s="15"/>
      <c r="R37" s="15"/>
      <c r="S37" s="15"/>
      <c r="T37" s="15"/>
      <c r="U37" s="15"/>
      <c r="V37" s="2269"/>
      <c r="W37" s="2269"/>
      <c r="X37" s="2269"/>
      <c r="Y37" s="2269"/>
      <c r="Z37" s="2269"/>
      <c r="AA37" s="2269"/>
      <c r="AB37" s="2269"/>
      <c r="AC37" s="2269"/>
      <c r="AD37" s="2269"/>
      <c r="AE37" s="2269"/>
      <c r="AF37" s="2269"/>
      <c r="AG37" s="2269"/>
      <c r="AH37" s="2269"/>
      <c r="AI37" s="2269"/>
      <c r="AJ37" s="2269"/>
      <c r="AK37" s="2269"/>
      <c r="AL37" s="2269"/>
      <c r="AM37" s="2269"/>
      <c r="AN37" s="2269"/>
      <c r="AO37" s="2269"/>
      <c r="AP37" s="2269"/>
      <c r="AQ37" s="2269"/>
      <c r="AR37" s="2269"/>
      <c r="AS37" s="2269"/>
      <c r="AT37" s="2269"/>
      <c r="AU37" s="2269"/>
      <c r="AV37" s="2269"/>
      <c r="AW37" s="2269"/>
      <c r="AX37" s="2269"/>
      <c r="AY37" s="2269"/>
      <c r="AZ37" s="2269"/>
      <c r="BA37" s="2269"/>
      <c r="BB37" s="2269"/>
      <c r="BC37" s="2269"/>
      <c r="BD37" s="2269"/>
      <c r="BE37" s="2269"/>
      <c r="BF37" s="2269"/>
      <c r="BG37" s="2269"/>
      <c r="BH37" s="2269"/>
      <c r="BI37" s="2269"/>
      <c r="BJ37" s="2269"/>
      <c r="BK37" s="2269"/>
      <c r="BL37" s="2269"/>
      <c r="BM37" s="2269"/>
      <c r="BN37" s="2269"/>
      <c r="BO37" s="2269"/>
      <c r="BP37" s="2269"/>
      <c r="BQ37" s="2269"/>
      <c r="BR37" s="2269"/>
      <c r="BS37" s="2269"/>
      <c r="BT37" s="2269"/>
      <c r="BU37" s="2269"/>
      <c r="BV37" s="2269"/>
      <c r="BW37" s="2269"/>
      <c r="BX37" s="2269"/>
      <c r="BY37" s="2269"/>
      <c r="BZ37" s="2269"/>
      <c r="CA37" s="2269"/>
    </row>
    <row r="38" spans="1:79">
      <c r="A38" s="15"/>
      <c r="B38" s="15"/>
      <c r="C38" s="15"/>
      <c r="D38" s="15"/>
      <c r="I38" s="15"/>
      <c r="J38" s="15"/>
      <c r="K38" s="15"/>
      <c r="L38" s="15"/>
      <c r="M38" s="15"/>
      <c r="N38" s="15"/>
      <c r="O38" s="15"/>
      <c r="P38" s="15"/>
      <c r="Q38" s="15"/>
      <c r="R38" s="15"/>
      <c r="S38" s="15"/>
      <c r="T38" s="15"/>
      <c r="U38" s="15"/>
      <c r="V38" s="2269"/>
      <c r="W38" s="2269"/>
      <c r="X38" s="2269"/>
      <c r="Y38" s="2269"/>
      <c r="Z38" s="2269"/>
      <c r="AA38" s="2269"/>
      <c r="AB38" s="2269"/>
      <c r="AC38" s="2269"/>
      <c r="AD38" s="2269"/>
      <c r="AE38" s="2269"/>
      <c r="AF38" s="2269"/>
      <c r="AG38" s="2269"/>
      <c r="AH38" s="2269"/>
      <c r="AI38" s="2269"/>
      <c r="AJ38" s="2269"/>
      <c r="AK38" s="2269"/>
      <c r="AL38" s="2269"/>
      <c r="AM38" s="2269"/>
      <c r="AN38" s="2269"/>
      <c r="AO38" s="2269"/>
      <c r="AP38" s="2269"/>
      <c r="AQ38" s="2269"/>
      <c r="AR38" s="2269"/>
      <c r="AS38" s="2269"/>
      <c r="AT38" s="2269"/>
      <c r="AU38" s="2269"/>
      <c r="AV38" s="2269"/>
      <c r="AW38" s="2269"/>
      <c r="AX38" s="2269"/>
      <c r="AY38" s="2269"/>
      <c r="AZ38" s="2269"/>
      <c r="BA38" s="2269"/>
      <c r="BB38" s="2269"/>
      <c r="BC38" s="2269"/>
      <c r="BD38" s="2269"/>
      <c r="BE38" s="2269"/>
      <c r="BF38" s="2269"/>
      <c r="BG38" s="2269"/>
      <c r="BH38" s="2269"/>
      <c r="BI38" s="2269"/>
      <c r="BJ38" s="2269"/>
      <c r="BK38" s="2269"/>
      <c r="BL38" s="2269"/>
      <c r="BM38" s="2269"/>
      <c r="BN38" s="2269"/>
      <c r="BO38" s="2269"/>
      <c r="BP38" s="2269"/>
      <c r="BQ38" s="2269"/>
      <c r="BR38" s="2269"/>
      <c r="BS38" s="2269"/>
      <c r="BT38" s="2269"/>
      <c r="BU38" s="2269"/>
      <c r="BV38" s="2269"/>
      <c r="BW38" s="2269"/>
      <c r="BX38" s="2269"/>
      <c r="BY38" s="2269"/>
      <c r="BZ38" s="2269"/>
      <c r="CA38" s="2269"/>
    </row>
    <row r="39" spans="1:79">
      <c r="A39" s="15"/>
      <c r="B39" s="15"/>
      <c r="C39" s="15"/>
      <c r="D39" s="15"/>
      <c r="E39" s="15"/>
      <c r="F39" s="15"/>
      <c r="G39" s="15"/>
      <c r="H39" s="15"/>
      <c r="I39" s="15"/>
      <c r="J39" s="15"/>
      <c r="K39" s="15"/>
      <c r="L39" s="15"/>
      <c r="M39" s="15"/>
      <c r="N39" s="15"/>
      <c r="O39" s="15"/>
      <c r="P39" s="15"/>
      <c r="Q39" s="15"/>
      <c r="R39" s="15"/>
      <c r="S39" s="15"/>
      <c r="T39" s="15"/>
      <c r="U39" s="15"/>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B39" s="2269"/>
      <c r="BC39" s="2269"/>
      <c r="BD39" s="2269"/>
      <c r="BE39" s="2269"/>
      <c r="BF39" s="2269"/>
      <c r="BG39" s="2269"/>
      <c r="BH39" s="2269"/>
      <c r="BI39" s="2269"/>
      <c r="BJ39" s="2269"/>
      <c r="BK39" s="2269"/>
      <c r="BL39" s="2269"/>
      <c r="BM39" s="2269"/>
      <c r="BN39" s="2269"/>
      <c r="BO39" s="2269"/>
      <c r="BP39" s="2269"/>
      <c r="BQ39" s="2269"/>
      <c r="BR39" s="2269"/>
      <c r="BS39" s="2269"/>
      <c r="BT39" s="2269"/>
      <c r="BU39" s="2269"/>
      <c r="BV39" s="2269"/>
      <c r="BW39" s="2269"/>
      <c r="BX39" s="2269"/>
      <c r="BY39" s="2269"/>
      <c r="BZ39" s="2269"/>
      <c r="CA39" s="2269"/>
    </row>
    <row r="40" spans="1:79">
      <c r="A40" s="15"/>
      <c r="B40" s="15"/>
      <c r="C40" s="15"/>
      <c r="D40" s="15"/>
      <c r="E40" s="15"/>
      <c r="F40" s="15"/>
      <c r="G40" s="15"/>
      <c r="H40" s="15"/>
      <c r="I40" s="15"/>
      <c r="J40" s="15"/>
      <c r="K40" s="15"/>
      <c r="L40" s="15"/>
      <c r="M40" s="15"/>
      <c r="N40" s="15"/>
      <c r="O40" s="15"/>
      <c r="P40" s="15"/>
      <c r="Q40" s="15"/>
      <c r="R40" s="15"/>
      <c r="S40" s="15"/>
      <c r="T40" s="15"/>
      <c r="U40" s="15"/>
      <c r="V40" s="2269"/>
      <c r="W40" s="2269"/>
      <c r="X40" s="2269"/>
      <c r="Y40" s="2269"/>
      <c r="Z40" s="2269"/>
      <c r="AA40" s="2269"/>
      <c r="AB40" s="2269"/>
      <c r="AC40" s="2269"/>
      <c r="AD40" s="2269"/>
      <c r="AE40" s="2269"/>
      <c r="AF40" s="2269"/>
      <c r="AG40" s="2269"/>
      <c r="AH40" s="2269"/>
      <c r="AI40" s="2269"/>
      <c r="AJ40" s="2269"/>
      <c r="AK40" s="2269"/>
      <c r="AL40" s="2269"/>
      <c r="AM40" s="2269"/>
      <c r="AN40" s="2269"/>
      <c r="AO40" s="2269"/>
      <c r="AP40" s="2269"/>
      <c r="AQ40" s="2269"/>
      <c r="AR40" s="2269"/>
      <c r="AS40" s="2269"/>
      <c r="AT40" s="2269"/>
      <c r="AU40" s="2269"/>
      <c r="AV40" s="2269"/>
      <c r="AW40" s="2269"/>
      <c r="AX40" s="2269"/>
      <c r="AY40" s="2269"/>
      <c r="AZ40" s="2269"/>
      <c r="BA40" s="2269"/>
      <c r="BB40" s="2269"/>
      <c r="BC40" s="2269"/>
      <c r="BD40" s="2269"/>
      <c r="BE40" s="2269"/>
      <c r="BF40" s="2269"/>
      <c r="BG40" s="2269"/>
      <c r="BH40" s="2269"/>
      <c r="BI40" s="2269"/>
      <c r="BJ40" s="2269"/>
      <c r="BK40" s="2269"/>
      <c r="BL40" s="2269"/>
      <c r="BM40" s="2269"/>
      <c r="BN40" s="2269"/>
      <c r="BO40" s="2269"/>
      <c r="BP40" s="2269"/>
      <c r="BQ40" s="2269"/>
      <c r="BR40" s="2269"/>
      <c r="BS40" s="2269"/>
      <c r="BT40" s="2269"/>
      <c r="BU40" s="2269"/>
      <c r="BV40" s="2269"/>
      <c r="BW40" s="2269"/>
      <c r="BX40" s="2269"/>
      <c r="BY40" s="2269"/>
      <c r="BZ40" s="2269"/>
      <c r="CA40" s="2269"/>
    </row>
    <row r="41" spans="1:79">
      <c r="A41" s="15"/>
      <c r="B41" s="15"/>
      <c r="C41" s="15"/>
      <c r="D41" s="15"/>
      <c r="E41" s="15"/>
      <c r="F41" s="15"/>
      <c r="G41" s="15"/>
      <c r="H41" s="15"/>
      <c r="I41" s="15"/>
      <c r="J41" s="15"/>
      <c r="K41" s="15"/>
      <c r="L41" s="15"/>
      <c r="M41" s="15"/>
      <c r="N41" s="15"/>
      <c r="O41" s="15"/>
      <c r="P41" s="15"/>
      <c r="Q41" s="15"/>
      <c r="R41" s="15"/>
      <c r="S41" s="15"/>
      <c r="T41" s="15"/>
      <c r="U41" s="15"/>
      <c r="V41" s="2269"/>
      <c r="W41" s="2269"/>
      <c r="X41" s="2269"/>
      <c r="Y41" s="2269"/>
      <c r="Z41" s="2269"/>
      <c r="AA41" s="2269"/>
      <c r="AB41" s="2269"/>
      <c r="AC41" s="2269"/>
      <c r="AD41" s="2269"/>
      <c r="AE41" s="2269"/>
      <c r="AF41" s="2269"/>
      <c r="AG41" s="2269"/>
      <c r="AH41" s="2269"/>
      <c r="AI41" s="2269"/>
      <c r="AJ41" s="2269"/>
      <c r="AK41" s="2269"/>
      <c r="AL41" s="2269"/>
      <c r="AM41" s="2269"/>
      <c r="AN41" s="2269"/>
      <c r="AO41" s="2269"/>
      <c r="AP41" s="2269"/>
      <c r="AQ41" s="2269"/>
      <c r="AR41" s="2269"/>
      <c r="AS41" s="2269"/>
      <c r="AT41" s="2269"/>
      <c r="AU41" s="2269"/>
      <c r="AV41" s="2269"/>
      <c r="AW41" s="2269"/>
      <c r="AX41" s="2269"/>
      <c r="AY41" s="2269"/>
      <c r="AZ41" s="2269"/>
      <c r="BA41" s="2269"/>
      <c r="BB41" s="2269"/>
      <c r="BC41" s="2269"/>
      <c r="BD41" s="2269"/>
      <c r="BE41" s="2269"/>
      <c r="BF41" s="2269"/>
      <c r="BG41" s="2269"/>
      <c r="BH41" s="2269"/>
      <c r="BI41" s="2269"/>
      <c r="BJ41" s="2269"/>
      <c r="BK41" s="2269"/>
      <c r="BL41" s="2269"/>
      <c r="BM41" s="2269"/>
      <c r="BN41" s="2269"/>
      <c r="BO41" s="2269"/>
      <c r="BP41" s="2269"/>
      <c r="BQ41" s="2269"/>
      <c r="BR41" s="2269"/>
      <c r="BS41" s="2269"/>
      <c r="BT41" s="2269"/>
      <c r="BU41" s="2269"/>
      <c r="BV41" s="2269"/>
      <c r="BW41" s="2269"/>
      <c r="BX41" s="2269"/>
      <c r="BY41" s="2269"/>
      <c r="BZ41" s="2269"/>
      <c r="CA41" s="2269"/>
    </row>
    <row r="42" spans="1:79">
      <c r="A42" s="15"/>
      <c r="B42" s="15"/>
      <c r="C42" s="15"/>
      <c r="D42" s="15"/>
      <c r="E42" s="15"/>
      <c r="F42" s="15"/>
      <c r="G42" s="15"/>
      <c r="H42" s="15"/>
      <c r="I42" s="15"/>
      <c r="J42" s="15"/>
      <c r="K42" s="15"/>
      <c r="L42" s="15"/>
      <c r="M42" s="15"/>
      <c r="N42" s="15"/>
      <c r="O42" s="15"/>
      <c r="P42" s="15"/>
      <c r="Q42" s="15"/>
      <c r="R42" s="15"/>
      <c r="S42" s="15"/>
      <c r="T42" s="15"/>
      <c r="U42" s="15"/>
      <c r="V42" s="2269"/>
      <c r="W42" s="2269"/>
      <c r="X42" s="2269"/>
      <c r="Y42" s="2269"/>
      <c r="Z42" s="2269"/>
      <c r="AA42" s="2269"/>
      <c r="AB42" s="2269"/>
      <c r="AC42" s="2269"/>
      <c r="AD42" s="2269"/>
      <c r="AE42" s="2269"/>
      <c r="AF42" s="2269"/>
      <c r="AG42" s="2269"/>
      <c r="AH42" s="2269"/>
      <c r="AI42" s="2269"/>
      <c r="AJ42" s="2269"/>
      <c r="AK42" s="2269"/>
      <c r="AL42" s="2269"/>
      <c r="AM42" s="2269"/>
      <c r="AN42" s="2269"/>
      <c r="AO42" s="2269"/>
      <c r="AP42" s="2269"/>
      <c r="AQ42" s="2269"/>
      <c r="AR42" s="2269"/>
      <c r="AS42" s="2269"/>
      <c r="AT42" s="2269"/>
      <c r="AU42" s="2269"/>
      <c r="AV42" s="2269"/>
      <c r="AW42" s="2269"/>
      <c r="AX42" s="2269"/>
      <c r="AY42" s="2269"/>
      <c r="AZ42" s="2269"/>
      <c r="BA42" s="2269"/>
      <c r="BB42" s="2269"/>
      <c r="BC42" s="2269"/>
      <c r="BD42" s="2269"/>
      <c r="BE42" s="2269"/>
      <c r="BF42" s="2269"/>
      <c r="BG42" s="2269"/>
      <c r="BH42" s="2269"/>
      <c r="BI42" s="2269"/>
      <c r="BJ42" s="2269"/>
      <c r="BK42" s="2269"/>
      <c r="BL42" s="2269"/>
      <c r="BM42" s="2269"/>
      <c r="BN42" s="2269"/>
      <c r="BO42" s="2269"/>
      <c r="BP42" s="2269"/>
      <c r="BQ42" s="2269"/>
      <c r="BR42" s="2269"/>
      <c r="BS42" s="2269"/>
      <c r="BT42" s="2269"/>
      <c r="BU42" s="2269"/>
      <c r="BV42" s="2269"/>
      <c r="BW42" s="2269"/>
      <c r="BX42" s="2269"/>
      <c r="BY42" s="2269"/>
      <c r="BZ42" s="2269"/>
      <c r="CA42" s="2269"/>
    </row>
    <row r="43" spans="1:79">
      <c r="A43" s="15"/>
      <c r="B43" s="15"/>
      <c r="C43" s="15"/>
      <c r="D43" s="15"/>
      <c r="E43" s="15"/>
      <c r="F43" s="15"/>
      <c r="G43" s="15"/>
      <c r="H43" s="15"/>
      <c r="I43" s="15"/>
      <c r="J43" s="15"/>
      <c r="K43" s="15"/>
      <c r="L43" s="15"/>
      <c r="M43" s="15"/>
      <c r="N43" s="15"/>
      <c r="O43" s="15"/>
      <c r="P43" s="15"/>
      <c r="Q43" s="15"/>
      <c r="R43" s="15"/>
      <c r="S43" s="15"/>
      <c r="T43" s="15"/>
      <c r="U43" s="15"/>
      <c r="V43" s="2269"/>
      <c r="W43" s="2269"/>
      <c r="X43" s="2269"/>
      <c r="Y43" s="2269"/>
      <c r="Z43" s="2269"/>
      <c r="AA43" s="2269"/>
      <c r="AB43" s="2269"/>
      <c r="AC43" s="2269"/>
      <c r="AD43" s="2269"/>
      <c r="AE43" s="2269"/>
      <c r="AF43" s="2269"/>
      <c r="AG43" s="2269"/>
      <c r="AH43" s="2269"/>
      <c r="AI43" s="2269"/>
      <c r="AJ43" s="2269"/>
      <c r="AK43" s="2269"/>
      <c r="AL43" s="2269"/>
      <c r="AM43" s="2269"/>
      <c r="AN43" s="2269"/>
      <c r="AO43" s="2269"/>
      <c r="AP43" s="2269"/>
      <c r="AQ43" s="2269"/>
      <c r="AR43" s="2269"/>
      <c r="AS43" s="2269"/>
      <c r="AT43" s="2269"/>
      <c r="AU43" s="2269"/>
      <c r="AV43" s="2269"/>
      <c r="AW43" s="2269"/>
      <c r="AX43" s="2269"/>
      <c r="AY43" s="2269"/>
      <c r="AZ43" s="2269"/>
      <c r="BA43" s="2269"/>
      <c r="BB43" s="2269"/>
      <c r="BC43" s="2269"/>
      <c r="BD43" s="2269"/>
      <c r="BE43" s="2269"/>
      <c r="BF43" s="2269"/>
      <c r="BG43" s="2269"/>
      <c r="BH43" s="2269"/>
      <c r="BI43" s="2269"/>
      <c r="BJ43" s="2269"/>
      <c r="BK43" s="2269"/>
      <c r="BL43" s="2269"/>
      <c r="BM43" s="2269"/>
      <c r="BN43" s="2269"/>
      <c r="BO43" s="2269"/>
      <c r="BP43" s="2269"/>
      <c r="BQ43" s="2269"/>
      <c r="BR43" s="2269"/>
      <c r="BS43" s="2269"/>
      <c r="BT43" s="2269"/>
      <c r="BU43" s="2269"/>
      <c r="BV43" s="2269"/>
      <c r="BW43" s="2269"/>
      <c r="BX43" s="2269"/>
      <c r="BY43" s="2269"/>
      <c r="BZ43" s="2269"/>
      <c r="CA43" s="2269"/>
    </row>
    <row r="44" spans="1:79">
      <c r="A44" s="15"/>
      <c r="B44" s="15"/>
      <c r="C44" s="15"/>
      <c r="D44" s="15"/>
      <c r="E44" s="15"/>
      <c r="F44" s="15"/>
      <c r="G44" s="15"/>
      <c r="H44" s="15"/>
      <c r="I44" s="15"/>
      <c r="J44" s="15"/>
      <c r="K44" s="15"/>
      <c r="L44" s="15"/>
      <c r="M44" s="15"/>
      <c r="N44" s="15"/>
      <c r="O44" s="15"/>
      <c r="P44" s="15"/>
      <c r="Q44" s="15"/>
      <c r="R44" s="15"/>
      <c r="S44" s="15"/>
      <c r="T44" s="15"/>
      <c r="U44" s="15"/>
      <c r="V44" s="2269"/>
      <c r="W44" s="2269"/>
      <c r="X44" s="2269"/>
      <c r="Y44" s="2269"/>
      <c r="Z44" s="2269"/>
      <c r="AA44" s="2269"/>
      <c r="AB44" s="2269"/>
      <c r="AC44" s="2269"/>
      <c r="AD44" s="2269"/>
      <c r="AE44" s="2269"/>
      <c r="AF44" s="2269"/>
      <c r="AG44" s="2269"/>
      <c r="AH44" s="2269"/>
      <c r="AI44" s="2269"/>
      <c r="AJ44" s="2269"/>
      <c r="AK44" s="2269"/>
      <c r="AL44" s="2269"/>
      <c r="AM44" s="2269"/>
      <c r="AN44" s="2269"/>
      <c r="AO44" s="2269"/>
      <c r="AP44" s="2269"/>
      <c r="AQ44" s="2269"/>
      <c r="AR44" s="2269"/>
      <c r="AS44" s="2269"/>
      <c r="AT44" s="2269"/>
      <c r="AU44" s="2269"/>
      <c r="AV44" s="2269"/>
      <c r="AW44" s="2269"/>
      <c r="AX44" s="2269"/>
      <c r="AY44" s="2269"/>
      <c r="AZ44" s="2269"/>
      <c r="BA44" s="2269"/>
      <c r="BB44" s="2269"/>
      <c r="BC44" s="2269"/>
      <c r="BD44" s="2269"/>
      <c r="BE44" s="2269"/>
      <c r="BF44" s="2269"/>
      <c r="BG44" s="2269"/>
      <c r="BH44" s="2269"/>
      <c r="BI44" s="2269"/>
      <c r="BJ44" s="2269"/>
      <c r="BK44" s="2269"/>
      <c r="BL44" s="2269"/>
      <c r="BM44" s="2269"/>
      <c r="BN44" s="2269"/>
      <c r="BO44" s="2269"/>
      <c r="BP44" s="2269"/>
      <c r="BQ44" s="2269"/>
      <c r="BR44" s="2269"/>
      <c r="BS44" s="2269"/>
      <c r="BT44" s="2269"/>
      <c r="BU44" s="2269"/>
      <c r="BV44" s="2269"/>
      <c r="BW44" s="2269"/>
      <c r="BX44" s="2269"/>
      <c r="BY44" s="2269"/>
      <c r="BZ44" s="2269"/>
      <c r="CA44" s="2269"/>
    </row>
    <row r="45" spans="1:79">
      <c r="A45" s="15"/>
      <c r="B45" s="15"/>
      <c r="C45" s="15"/>
      <c r="D45" s="15"/>
      <c r="E45" s="15"/>
      <c r="F45" s="15"/>
      <c r="G45" s="15"/>
      <c r="H45" s="15"/>
      <c r="I45" s="15"/>
      <c r="J45" s="15"/>
      <c r="K45" s="15"/>
      <c r="L45" s="15"/>
      <c r="M45" s="15"/>
      <c r="N45" s="15"/>
      <c r="O45" s="15"/>
      <c r="P45" s="15"/>
      <c r="Q45" s="15"/>
      <c r="R45" s="15"/>
      <c r="S45" s="15"/>
      <c r="T45" s="15"/>
      <c r="U45" s="15"/>
      <c r="V45" s="2269"/>
      <c r="W45" s="2269"/>
      <c r="X45" s="2269"/>
      <c r="Y45" s="2269"/>
      <c r="Z45" s="2269"/>
      <c r="AA45" s="2269"/>
      <c r="AB45" s="2269"/>
      <c r="AC45" s="2269"/>
      <c r="AD45" s="2269"/>
      <c r="AE45" s="2269"/>
      <c r="AF45" s="2269"/>
      <c r="AG45" s="2269"/>
      <c r="AH45" s="2269"/>
      <c r="AI45" s="2269"/>
      <c r="AJ45" s="2269"/>
      <c r="AK45" s="2269"/>
      <c r="AL45" s="2269"/>
      <c r="AM45" s="2269"/>
      <c r="AN45" s="2269"/>
      <c r="AO45" s="2269"/>
      <c r="AP45" s="2269"/>
      <c r="AQ45" s="2269"/>
      <c r="AR45" s="2269"/>
      <c r="AS45" s="2269"/>
      <c r="AT45" s="2269"/>
      <c r="AU45" s="2269"/>
      <c r="AV45" s="2269"/>
      <c r="AW45" s="2269"/>
      <c r="AX45" s="2269"/>
      <c r="AY45" s="2269"/>
      <c r="AZ45" s="2269"/>
      <c r="BA45" s="2269"/>
      <c r="BB45" s="2269"/>
      <c r="BC45" s="2269"/>
      <c r="BD45" s="2269"/>
      <c r="BE45" s="2269"/>
      <c r="BF45" s="2269"/>
      <c r="BG45" s="2269"/>
      <c r="BH45" s="2269"/>
      <c r="BI45" s="2269"/>
      <c r="BJ45" s="2269"/>
      <c r="BK45" s="2269"/>
      <c r="BL45" s="2269"/>
      <c r="BM45" s="2269"/>
      <c r="BN45" s="2269"/>
      <c r="BO45" s="2269"/>
      <c r="BP45" s="2269"/>
      <c r="BQ45" s="2269"/>
      <c r="BR45" s="2269"/>
      <c r="BS45" s="2269"/>
      <c r="BT45" s="2269"/>
      <c r="BU45" s="2269"/>
      <c r="BV45" s="2269"/>
      <c r="BW45" s="2269"/>
      <c r="BX45" s="2269"/>
      <c r="BY45" s="2269"/>
      <c r="BZ45" s="2269"/>
      <c r="CA45" s="2269"/>
    </row>
    <row r="46" spans="1:79">
      <c r="A46" s="15"/>
      <c r="B46" s="15"/>
      <c r="C46" s="15"/>
      <c r="D46" s="15"/>
      <c r="E46" s="15"/>
      <c r="F46" s="15"/>
      <c r="G46" s="15"/>
      <c r="H46" s="15"/>
      <c r="I46" s="15"/>
      <c r="J46" s="15"/>
      <c r="K46" s="15"/>
      <c r="L46" s="15"/>
      <c r="M46" s="15"/>
      <c r="N46" s="15"/>
      <c r="O46" s="15"/>
      <c r="P46" s="15"/>
      <c r="Q46" s="15"/>
      <c r="R46" s="15"/>
      <c r="S46" s="15"/>
      <c r="T46" s="15"/>
      <c r="U46" s="15"/>
      <c r="V46" s="2269"/>
      <c r="W46" s="2269"/>
      <c r="X46" s="2269"/>
      <c r="Y46" s="2269"/>
      <c r="Z46" s="2269"/>
      <c r="AA46" s="2269"/>
      <c r="AB46" s="2269"/>
      <c r="AC46" s="2269"/>
      <c r="AD46" s="2269"/>
      <c r="AE46" s="2269"/>
      <c r="AF46" s="2269"/>
      <c r="AG46" s="2269"/>
      <c r="AH46" s="2269"/>
      <c r="AI46" s="2269"/>
      <c r="AJ46" s="2269"/>
      <c r="AK46" s="2269"/>
      <c r="AL46" s="2269"/>
      <c r="AM46" s="2269"/>
      <c r="AN46" s="2269"/>
      <c r="AO46" s="2269"/>
      <c r="AP46" s="2269"/>
      <c r="AQ46" s="2269"/>
      <c r="AR46" s="2269"/>
      <c r="AS46" s="2269"/>
      <c r="AT46" s="2269"/>
      <c r="AU46" s="2269"/>
      <c r="AV46" s="2269"/>
      <c r="AW46" s="2269"/>
      <c r="AX46" s="2269"/>
      <c r="AY46" s="2269"/>
      <c r="AZ46" s="2269"/>
      <c r="BA46" s="2269"/>
      <c r="BB46" s="2269"/>
      <c r="BC46" s="2269"/>
      <c r="BD46" s="2269"/>
      <c r="BE46" s="2269"/>
      <c r="BF46" s="2269"/>
      <c r="BG46" s="2269"/>
      <c r="BH46" s="2269"/>
      <c r="BI46" s="2269"/>
      <c r="BJ46" s="2269"/>
      <c r="BK46" s="2269"/>
      <c r="BL46" s="2269"/>
      <c r="BM46" s="2269"/>
      <c r="BN46" s="2269"/>
      <c r="BO46" s="2269"/>
      <c r="BP46" s="2269"/>
      <c r="BQ46" s="2269"/>
      <c r="BR46" s="2269"/>
      <c r="BS46" s="2269"/>
      <c r="BT46" s="2269"/>
      <c r="BU46" s="2269"/>
      <c r="BV46" s="2269"/>
      <c r="BW46" s="2269"/>
      <c r="BX46" s="2269"/>
      <c r="BY46" s="2269"/>
      <c r="BZ46" s="2269"/>
      <c r="CA46" s="2269"/>
    </row>
    <row r="47" spans="1:79">
      <c r="A47" s="15"/>
      <c r="B47" s="15"/>
      <c r="C47" s="15"/>
      <c r="D47" s="15"/>
      <c r="E47" s="15"/>
      <c r="F47" s="15"/>
      <c r="G47" s="15"/>
      <c r="H47" s="15"/>
      <c r="I47" s="15"/>
      <c r="J47" s="15"/>
      <c r="K47" s="15"/>
      <c r="L47" s="15"/>
      <c r="M47" s="15"/>
      <c r="N47" s="15"/>
      <c r="O47" s="15"/>
      <c r="P47" s="15"/>
      <c r="Q47" s="15"/>
      <c r="R47" s="15"/>
      <c r="S47" s="15"/>
      <c r="T47" s="15"/>
      <c r="U47" s="15"/>
      <c r="V47" s="2269"/>
      <c r="W47" s="2269"/>
      <c r="X47" s="2269"/>
      <c r="Y47" s="2269"/>
      <c r="Z47" s="2269"/>
      <c r="AA47" s="2269"/>
      <c r="AB47" s="2269"/>
      <c r="AC47" s="2269"/>
      <c r="AD47" s="2269"/>
      <c r="AE47" s="2269"/>
      <c r="AF47" s="2269"/>
      <c r="AG47" s="2269"/>
      <c r="AH47" s="2269"/>
      <c r="AI47" s="2269"/>
      <c r="AJ47" s="2269"/>
      <c r="AK47" s="2269"/>
      <c r="AL47" s="2269"/>
      <c r="AM47" s="2269"/>
      <c r="AN47" s="2269"/>
      <c r="AO47" s="2269"/>
      <c r="AP47" s="2269"/>
      <c r="AQ47" s="2269"/>
      <c r="AR47" s="2269"/>
      <c r="AS47" s="2269"/>
      <c r="AT47" s="2269"/>
      <c r="AU47" s="2269"/>
      <c r="AV47" s="2269"/>
      <c r="AW47" s="2269"/>
      <c r="AX47" s="2269"/>
      <c r="AY47" s="2269"/>
      <c r="AZ47" s="2269"/>
      <c r="BA47" s="2269"/>
      <c r="BB47" s="2269"/>
      <c r="BC47" s="2269"/>
      <c r="BD47" s="2269"/>
      <c r="BE47" s="2269"/>
      <c r="BF47" s="2269"/>
      <c r="BG47" s="2269"/>
      <c r="BH47" s="2269"/>
      <c r="BI47" s="2269"/>
      <c r="BJ47" s="2269"/>
      <c r="BK47" s="2269"/>
      <c r="BL47" s="2269"/>
      <c r="BM47" s="2269"/>
      <c r="BN47" s="2269"/>
      <c r="BO47" s="2269"/>
      <c r="BP47" s="2269"/>
      <c r="BQ47" s="2269"/>
      <c r="BR47" s="2269"/>
      <c r="BS47" s="2269"/>
      <c r="BT47" s="2269"/>
      <c r="BU47" s="2269"/>
      <c r="BV47" s="2269"/>
      <c r="BW47" s="2269"/>
      <c r="BX47" s="2269"/>
      <c r="BY47" s="2269"/>
      <c r="BZ47" s="2269"/>
      <c r="CA47" s="2269"/>
    </row>
    <row r="48" spans="1:79">
      <c r="A48" s="15"/>
      <c r="B48" s="15"/>
      <c r="C48" s="15"/>
      <c r="D48" s="15"/>
      <c r="E48" s="15"/>
      <c r="F48" s="15"/>
      <c r="G48" s="15"/>
      <c r="H48" s="15"/>
      <c r="I48" s="15"/>
      <c r="J48" s="15"/>
      <c r="K48" s="15"/>
      <c r="L48" s="15"/>
      <c r="M48" s="15"/>
      <c r="N48" s="15"/>
      <c r="O48" s="15"/>
      <c r="P48" s="15"/>
      <c r="Q48" s="15"/>
      <c r="R48" s="15"/>
      <c r="S48" s="15"/>
      <c r="T48" s="15"/>
      <c r="U48" s="15"/>
      <c r="V48" s="2269"/>
      <c r="W48" s="2269"/>
      <c r="X48" s="2269"/>
      <c r="Y48" s="2269"/>
      <c r="Z48" s="2269"/>
      <c r="AA48" s="2269"/>
      <c r="AB48" s="2269"/>
      <c r="AC48" s="2269"/>
      <c r="AD48" s="2269"/>
      <c r="AE48" s="2269"/>
      <c r="AF48" s="2269"/>
      <c r="AG48" s="2269"/>
      <c r="AH48" s="2269"/>
      <c r="AI48" s="2269"/>
      <c r="AJ48" s="2269"/>
      <c r="AK48" s="2269"/>
      <c r="AL48" s="2269"/>
      <c r="AM48" s="2269"/>
      <c r="AN48" s="2269"/>
      <c r="AO48" s="2269"/>
      <c r="AP48" s="2269"/>
      <c r="AQ48" s="2269"/>
      <c r="AR48" s="2269"/>
      <c r="AS48" s="2269"/>
      <c r="AT48" s="2269"/>
      <c r="AU48" s="2269"/>
      <c r="AV48" s="2269"/>
      <c r="AW48" s="2269"/>
      <c r="AX48" s="2269"/>
      <c r="AY48" s="2269"/>
      <c r="AZ48" s="2269"/>
      <c r="BA48" s="2269"/>
      <c r="BB48" s="2269"/>
      <c r="BC48" s="2269"/>
      <c r="BD48" s="2269"/>
      <c r="BE48" s="2269"/>
      <c r="BF48" s="2269"/>
      <c r="BG48" s="2269"/>
      <c r="BH48" s="2269"/>
      <c r="BI48" s="2269"/>
      <c r="BJ48" s="2269"/>
      <c r="BK48" s="2269"/>
      <c r="BL48" s="2269"/>
      <c r="BM48" s="2269"/>
      <c r="BN48" s="2269"/>
      <c r="BO48" s="2269"/>
      <c r="BP48" s="2269"/>
      <c r="BQ48" s="2269"/>
      <c r="BR48" s="2269"/>
      <c r="BS48" s="2269"/>
      <c r="BT48" s="2269"/>
      <c r="BU48" s="2269"/>
      <c r="BV48" s="2269"/>
      <c r="BW48" s="2269"/>
      <c r="BX48" s="2269"/>
      <c r="BY48" s="2269"/>
      <c r="BZ48" s="2269"/>
      <c r="CA48" s="2269"/>
    </row>
    <row r="49" spans="1:79">
      <c r="A49" s="15"/>
      <c r="B49" s="15"/>
      <c r="C49" s="15"/>
      <c r="D49" s="15"/>
      <c r="E49" s="15"/>
      <c r="F49" s="15"/>
      <c r="G49" s="15"/>
      <c r="H49" s="15"/>
      <c r="I49" s="15"/>
      <c r="J49" s="15"/>
      <c r="K49" s="15"/>
      <c r="L49" s="15"/>
      <c r="M49" s="15"/>
      <c r="N49" s="15"/>
      <c r="O49" s="15"/>
      <c r="P49" s="15"/>
      <c r="Q49" s="15"/>
      <c r="R49" s="15"/>
      <c r="S49" s="15"/>
      <c r="T49" s="15"/>
      <c r="U49" s="15"/>
      <c r="V49" s="2269"/>
      <c r="W49" s="2269"/>
      <c r="X49" s="2269"/>
      <c r="Y49" s="2269"/>
      <c r="Z49" s="2269"/>
      <c r="AA49" s="2269"/>
      <c r="AB49" s="2269"/>
      <c r="AC49" s="2269"/>
      <c r="AD49" s="2269"/>
      <c r="AE49" s="2269"/>
      <c r="AF49" s="2269"/>
      <c r="AG49" s="2269"/>
      <c r="AH49" s="2269"/>
      <c r="AI49" s="2269"/>
      <c r="AJ49" s="2269"/>
      <c r="AK49" s="2269"/>
      <c r="AL49" s="2269"/>
      <c r="AM49" s="2269"/>
      <c r="AN49" s="2269"/>
      <c r="AO49" s="2269"/>
      <c r="AP49" s="2269"/>
      <c r="AQ49" s="2269"/>
      <c r="AR49" s="2269"/>
      <c r="AS49" s="2269"/>
      <c r="AT49" s="2269"/>
      <c r="AU49" s="2269"/>
      <c r="AV49" s="2269"/>
      <c r="AW49" s="2269"/>
      <c r="AX49" s="2269"/>
      <c r="AY49" s="2269"/>
      <c r="AZ49" s="2269"/>
      <c r="BA49" s="2269"/>
      <c r="BB49" s="2269"/>
      <c r="BC49" s="2269"/>
      <c r="BD49" s="2269"/>
      <c r="BE49" s="2269"/>
      <c r="BF49" s="2269"/>
      <c r="BG49" s="2269"/>
      <c r="BH49" s="2269"/>
      <c r="BI49" s="2269"/>
      <c r="BJ49" s="2269"/>
      <c r="BK49" s="2269"/>
      <c r="BL49" s="2269"/>
      <c r="BM49" s="2269"/>
      <c r="BN49" s="2269"/>
      <c r="BO49" s="2269"/>
      <c r="BP49" s="2269"/>
      <c r="BQ49" s="2269"/>
      <c r="BR49" s="2269"/>
      <c r="BS49" s="2269"/>
      <c r="BT49" s="2269"/>
      <c r="BU49" s="2269"/>
      <c r="BV49" s="2269"/>
      <c r="BW49" s="2269"/>
      <c r="BX49" s="2269"/>
      <c r="BY49" s="2269"/>
      <c r="BZ49" s="2269"/>
      <c r="CA49" s="2269"/>
    </row>
    <row r="50" spans="1:79">
      <c r="A50" s="15"/>
      <c r="B50" s="15"/>
      <c r="C50" s="15"/>
      <c r="D50" s="15"/>
      <c r="E50" s="15"/>
      <c r="F50" s="15"/>
      <c r="G50" s="15"/>
      <c r="H50" s="15"/>
      <c r="I50" s="15"/>
      <c r="J50" s="15"/>
      <c r="K50" s="15"/>
      <c r="L50" s="15"/>
      <c r="M50" s="15"/>
      <c r="N50" s="15"/>
      <c r="O50" s="15"/>
      <c r="P50" s="15"/>
      <c r="Q50" s="15"/>
      <c r="R50" s="15"/>
      <c r="S50" s="15"/>
      <c r="T50" s="15"/>
      <c r="U50" s="15"/>
      <c r="V50" s="2269"/>
      <c r="W50" s="2269"/>
      <c r="X50" s="2269"/>
      <c r="Y50" s="2269"/>
      <c r="Z50" s="2269"/>
      <c r="AA50" s="2269"/>
      <c r="AB50" s="2269"/>
      <c r="AC50" s="2269"/>
      <c r="AD50" s="2269"/>
      <c r="AE50" s="2269"/>
      <c r="AF50" s="2269"/>
      <c r="AG50" s="2269"/>
      <c r="AH50" s="2269"/>
      <c r="AI50" s="2269"/>
      <c r="AJ50" s="2269"/>
      <c r="AK50" s="2269"/>
      <c r="AL50" s="2269"/>
      <c r="AM50" s="2269"/>
      <c r="AN50" s="2269"/>
      <c r="AO50" s="2269"/>
      <c r="AP50" s="2269"/>
      <c r="AQ50" s="2269"/>
      <c r="AR50" s="2269"/>
      <c r="AS50" s="2269"/>
      <c r="AT50" s="2269"/>
      <c r="AU50" s="2269"/>
      <c r="AV50" s="2269"/>
      <c r="AW50" s="2269"/>
      <c r="AX50" s="2269"/>
      <c r="AY50" s="2269"/>
      <c r="AZ50" s="2269"/>
      <c r="BA50" s="2269"/>
      <c r="BB50" s="2269"/>
      <c r="BC50" s="2269"/>
      <c r="BD50" s="2269"/>
      <c r="BE50" s="2269"/>
      <c r="BF50" s="2269"/>
      <c r="BG50" s="2269"/>
      <c r="BH50" s="2269"/>
      <c r="BI50" s="2269"/>
      <c r="BJ50" s="2269"/>
      <c r="BK50" s="2269"/>
      <c r="BL50" s="2269"/>
      <c r="BM50" s="2269"/>
      <c r="BN50" s="2269"/>
      <c r="BO50" s="2269"/>
      <c r="BP50" s="2269"/>
      <c r="BQ50" s="2269"/>
      <c r="BR50" s="2269"/>
      <c r="BS50" s="2269"/>
      <c r="BT50" s="2269"/>
      <c r="BU50" s="2269"/>
      <c r="BV50" s="2269"/>
      <c r="BW50" s="2269"/>
      <c r="BX50" s="2269"/>
      <c r="BY50" s="2269"/>
      <c r="BZ50" s="2269"/>
      <c r="CA50" s="2269"/>
    </row>
    <row r="51" spans="1:79">
      <c r="A51" s="15"/>
      <c r="B51" s="15"/>
      <c r="C51" s="15"/>
      <c r="D51" s="15"/>
      <c r="E51" s="15"/>
      <c r="F51" s="15"/>
      <c r="G51" s="15"/>
      <c r="H51" s="15"/>
      <c r="I51" s="15"/>
      <c r="J51" s="15"/>
      <c r="K51" s="15"/>
      <c r="L51" s="15"/>
      <c r="M51" s="15"/>
      <c r="N51" s="15"/>
      <c r="O51" s="15"/>
      <c r="P51" s="15"/>
      <c r="Q51" s="15"/>
      <c r="R51" s="15"/>
      <c r="S51" s="15"/>
      <c r="T51" s="15"/>
      <c r="U51" s="15"/>
      <c r="V51" s="2269"/>
      <c r="W51" s="2269"/>
      <c r="X51" s="2269"/>
      <c r="Y51" s="2269"/>
      <c r="Z51" s="2269"/>
      <c r="AA51" s="2269"/>
      <c r="AB51" s="2269"/>
      <c r="AC51" s="2269"/>
      <c r="AD51" s="2269"/>
      <c r="AE51" s="2269"/>
      <c r="AF51" s="2269"/>
      <c r="AG51" s="2269"/>
      <c r="AH51" s="2269"/>
      <c r="AI51" s="2269"/>
      <c r="AJ51" s="2269"/>
      <c r="AK51" s="2269"/>
      <c r="AL51" s="2269"/>
      <c r="AM51" s="2269"/>
      <c r="AN51" s="2269"/>
      <c r="AO51" s="2269"/>
      <c r="AP51" s="2269"/>
      <c r="AQ51" s="2269"/>
      <c r="AR51" s="2269"/>
      <c r="AS51" s="2269"/>
      <c r="AT51" s="2269"/>
      <c r="AU51" s="2269"/>
      <c r="AV51" s="2269"/>
      <c r="AW51" s="2269"/>
      <c r="AX51" s="2269"/>
      <c r="AY51" s="2269"/>
      <c r="AZ51" s="2269"/>
      <c r="BA51" s="2269"/>
      <c r="BB51" s="2269"/>
      <c r="BC51" s="2269"/>
      <c r="BD51" s="2269"/>
      <c r="BE51" s="2269"/>
      <c r="BF51" s="2269"/>
      <c r="BG51" s="2269"/>
      <c r="BH51" s="2269"/>
      <c r="BI51" s="2269"/>
      <c r="BJ51" s="2269"/>
      <c r="BK51" s="2269"/>
      <c r="BL51" s="2269"/>
      <c r="BM51" s="2269"/>
      <c r="BN51" s="2269"/>
      <c r="BO51" s="2269"/>
      <c r="BP51" s="2269"/>
      <c r="BQ51" s="2269"/>
      <c r="BR51" s="2269"/>
      <c r="BS51" s="2269"/>
      <c r="BT51" s="2269"/>
      <c r="BU51" s="2269"/>
      <c r="BV51" s="2269"/>
      <c r="BW51" s="2269"/>
      <c r="BX51" s="2269"/>
      <c r="BY51" s="2269"/>
      <c r="BZ51" s="2269"/>
      <c r="CA51" s="2269"/>
    </row>
    <row r="52" spans="1:79">
      <c r="A52" s="15"/>
      <c r="B52" s="15"/>
      <c r="C52" s="15"/>
      <c r="D52" s="15"/>
      <c r="E52" s="15"/>
      <c r="F52" s="15"/>
      <c r="G52" s="15"/>
      <c r="H52" s="15"/>
      <c r="I52" s="15"/>
      <c r="J52" s="15"/>
      <c r="K52" s="15"/>
      <c r="L52" s="15"/>
      <c r="M52" s="15"/>
      <c r="N52" s="15"/>
      <c r="O52" s="15"/>
      <c r="P52" s="15"/>
      <c r="Q52" s="15"/>
      <c r="R52" s="15"/>
      <c r="S52" s="15"/>
      <c r="T52" s="15"/>
      <c r="U52" s="15"/>
      <c r="V52" s="2269"/>
      <c r="W52" s="2269"/>
      <c r="X52" s="2269"/>
      <c r="Y52" s="2269"/>
      <c r="Z52" s="2269"/>
      <c r="AA52" s="2269"/>
      <c r="AB52" s="2269"/>
      <c r="AC52" s="2269"/>
      <c r="AD52" s="2269"/>
      <c r="AE52" s="2269"/>
      <c r="AF52" s="2269"/>
      <c r="AG52" s="2269"/>
      <c r="AH52" s="2269"/>
      <c r="AI52" s="2269"/>
      <c r="AJ52" s="2269"/>
      <c r="AK52" s="2269"/>
      <c r="AL52" s="2269"/>
      <c r="AM52" s="2269"/>
      <c r="AN52" s="2269"/>
      <c r="AO52" s="2269"/>
      <c r="AP52" s="2269"/>
      <c r="AQ52" s="2269"/>
      <c r="AR52" s="2269"/>
      <c r="AS52" s="2269"/>
      <c r="AT52" s="2269"/>
      <c r="AU52" s="2269"/>
      <c r="AV52" s="2269"/>
      <c r="AW52" s="2269"/>
      <c r="AX52" s="2269"/>
      <c r="AY52" s="2269"/>
      <c r="AZ52" s="2269"/>
      <c r="BA52" s="2269"/>
      <c r="BB52" s="2269"/>
      <c r="BC52" s="2269"/>
      <c r="BD52" s="2269"/>
      <c r="BE52" s="2269"/>
      <c r="BF52" s="2269"/>
      <c r="BG52" s="2269"/>
      <c r="BH52" s="2269"/>
      <c r="BI52" s="2269"/>
      <c r="BJ52" s="2269"/>
      <c r="BK52" s="2269"/>
      <c r="BL52" s="2269"/>
      <c r="BM52" s="2269"/>
      <c r="BN52" s="2269"/>
      <c r="BO52" s="2269"/>
      <c r="BP52" s="2269"/>
      <c r="BQ52" s="2269"/>
      <c r="BR52" s="2269"/>
      <c r="BS52" s="2269"/>
      <c r="BT52" s="2269"/>
      <c r="BU52" s="2269"/>
      <c r="BV52" s="2269"/>
      <c r="BW52" s="2269"/>
      <c r="BX52" s="2269"/>
      <c r="BY52" s="2269"/>
      <c r="BZ52" s="2269"/>
      <c r="CA52" s="2269"/>
    </row>
    <row r="53" spans="1:79">
      <c r="A53" s="15"/>
      <c r="B53" s="15"/>
      <c r="C53" s="15"/>
      <c r="D53" s="15"/>
      <c r="E53" s="15"/>
      <c r="F53" s="15"/>
      <c r="G53" s="15"/>
      <c r="H53" s="15"/>
      <c r="I53" s="15"/>
      <c r="J53" s="15"/>
      <c r="K53" s="15"/>
      <c r="L53" s="15"/>
      <c r="M53" s="15"/>
      <c r="N53" s="15"/>
      <c r="O53" s="15"/>
      <c r="P53" s="15"/>
      <c r="Q53" s="15"/>
      <c r="R53" s="15"/>
      <c r="S53" s="15"/>
      <c r="T53" s="15"/>
      <c r="U53" s="15"/>
      <c r="V53" s="2269"/>
      <c r="W53" s="2269"/>
      <c r="X53" s="2269"/>
      <c r="Y53" s="2269"/>
      <c r="Z53" s="2269"/>
      <c r="AA53" s="2269"/>
      <c r="AB53" s="2269"/>
      <c r="AC53" s="2269"/>
      <c r="AD53" s="2269"/>
      <c r="AE53" s="2269"/>
      <c r="AF53" s="2269"/>
      <c r="AG53" s="2269"/>
      <c r="AH53" s="2269"/>
      <c r="AI53" s="2269"/>
      <c r="AJ53" s="2269"/>
      <c r="AK53" s="2269"/>
      <c r="AL53" s="2269"/>
      <c r="AM53" s="2269"/>
      <c r="AN53" s="2269"/>
      <c r="AO53" s="2269"/>
      <c r="AP53" s="2269"/>
      <c r="AQ53" s="2269"/>
      <c r="AR53" s="2269"/>
      <c r="AS53" s="2269"/>
      <c r="AT53" s="2269"/>
      <c r="AU53" s="2269"/>
      <c r="AV53" s="2269"/>
      <c r="AW53" s="2269"/>
      <c r="AX53" s="2269"/>
      <c r="AY53" s="2269"/>
      <c r="AZ53" s="2269"/>
      <c r="BA53" s="2269"/>
      <c r="BB53" s="2269"/>
      <c r="BC53" s="2269"/>
      <c r="BD53" s="2269"/>
      <c r="BE53" s="2269"/>
      <c r="BF53" s="2269"/>
      <c r="BG53" s="2269"/>
      <c r="BH53" s="2269"/>
      <c r="BI53" s="2269"/>
      <c r="BJ53" s="2269"/>
      <c r="BK53" s="2269"/>
      <c r="BL53" s="2269"/>
      <c r="BM53" s="2269"/>
      <c r="BN53" s="2269"/>
      <c r="BO53" s="2269"/>
      <c r="BP53" s="2269"/>
      <c r="BQ53" s="2269"/>
      <c r="BR53" s="2269"/>
      <c r="BS53" s="2269"/>
      <c r="BT53" s="2269"/>
      <c r="BU53" s="2269"/>
      <c r="BV53" s="2269"/>
      <c r="BW53" s="2269"/>
      <c r="BX53" s="2269"/>
      <c r="BY53" s="2269"/>
      <c r="BZ53" s="2269"/>
      <c r="CA53" s="2269"/>
    </row>
    <row r="54" spans="1:79">
      <c r="A54" s="15"/>
      <c r="B54" s="15"/>
      <c r="C54" s="15"/>
      <c r="D54" s="15"/>
      <c r="E54" s="15"/>
      <c r="F54" s="15"/>
      <c r="G54" s="15"/>
      <c r="H54" s="15"/>
      <c r="I54" s="15"/>
      <c r="J54" s="15"/>
      <c r="K54" s="15"/>
      <c r="L54" s="15"/>
      <c r="M54" s="15"/>
      <c r="N54" s="15"/>
      <c r="O54" s="15"/>
      <c r="P54" s="15"/>
      <c r="Q54" s="15"/>
      <c r="R54" s="15"/>
      <c r="S54" s="15"/>
      <c r="T54" s="15"/>
      <c r="U54" s="15"/>
      <c r="V54" s="2269"/>
      <c r="W54" s="2269"/>
      <c r="X54" s="2269"/>
      <c r="Y54" s="2269"/>
      <c r="Z54" s="2269"/>
      <c r="AA54" s="2269"/>
      <c r="AB54" s="2269"/>
      <c r="AC54" s="2269"/>
      <c r="AD54" s="2269"/>
      <c r="AE54" s="2269"/>
      <c r="AF54" s="2269"/>
      <c r="AG54" s="2269"/>
      <c r="AH54" s="2269"/>
      <c r="AI54" s="2269"/>
      <c r="AJ54" s="2269"/>
      <c r="AK54" s="2269"/>
      <c r="AL54" s="2269"/>
      <c r="AM54" s="2269"/>
      <c r="AN54" s="2269"/>
      <c r="AO54" s="2269"/>
      <c r="AP54" s="2269"/>
      <c r="AQ54" s="2269"/>
      <c r="AR54" s="2269"/>
      <c r="AS54" s="2269"/>
      <c r="AT54" s="2269"/>
      <c r="AU54" s="2269"/>
      <c r="AV54" s="2269"/>
      <c r="AW54" s="2269"/>
      <c r="AX54" s="2269"/>
      <c r="AY54" s="2269"/>
      <c r="AZ54" s="2269"/>
      <c r="BA54" s="2269"/>
      <c r="BB54" s="2269"/>
      <c r="BC54" s="2269"/>
      <c r="BD54" s="2269"/>
      <c r="BE54" s="2269"/>
      <c r="BF54" s="2269"/>
      <c r="BG54" s="2269"/>
      <c r="BH54" s="2269"/>
      <c r="BI54" s="2269"/>
      <c r="BJ54" s="2269"/>
      <c r="BK54" s="2269"/>
      <c r="BL54" s="2269"/>
      <c r="BM54" s="2269"/>
      <c r="BN54" s="2269"/>
      <c r="BO54" s="2269"/>
      <c r="BP54" s="2269"/>
      <c r="BQ54" s="2269"/>
      <c r="BR54" s="2269"/>
      <c r="BS54" s="2269"/>
      <c r="BT54" s="2269"/>
      <c r="BU54" s="2269"/>
      <c r="BV54" s="2269"/>
      <c r="BW54" s="2269"/>
      <c r="BX54" s="2269"/>
      <c r="BY54" s="2269"/>
      <c r="BZ54" s="2269"/>
      <c r="CA54" s="2269"/>
    </row>
    <row r="55" spans="1:79">
      <c r="A55" s="15"/>
      <c r="B55" s="15"/>
      <c r="C55" s="15"/>
      <c r="D55" s="15"/>
      <c r="E55" s="15"/>
      <c r="F55" s="15"/>
      <c r="G55" s="15"/>
      <c r="H55" s="15"/>
      <c r="I55" s="15"/>
      <c r="J55" s="15"/>
      <c r="K55" s="15"/>
      <c r="L55" s="15"/>
      <c r="M55" s="15"/>
      <c r="N55" s="15"/>
      <c r="O55" s="15"/>
      <c r="P55" s="15"/>
      <c r="Q55" s="15"/>
      <c r="R55" s="15"/>
      <c r="S55" s="15"/>
      <c r="T55" s="15"/>
      <c r="U55" s="15"/>
      <c r="V55" s="2269"/>
      <c r="W55" s="2269"/>
      <c r="X55" s="2269"/>
      <c r="Y55" s="2269"/>
      <c r="Z55" s="2269"/>
      <c r="AA55" s="2269"/>
      <c r="AB55" s="2269"/>
      <c r="AC55" s="2269"/>
      <c r="AD55" s="2269"/>
      <c r="AE55" s="2269"/>
      <c r="AF55" s="2269"/>
      <c r="AG55" s="2269"/>
      <c r="AH55" s="2269"/>
      <c r="AI55" s="2269"/>
      <c r="AJ55" s="2269"/>
      <c r="AK55" s="2269"/>
      <c r="AL55" s="2269"/>
      <c r="AM55" s="2269"/>
      <c r="AN55" s="2269"/>
      <c r="AO55" s="2269"/>
      <c r="AP55" s="2269"/>
      <c r="AQ55" s="2269"/>
      <c r="AR55" s="2269"/>
      <c r="AS55" s="2269"/>
      <c r="AT55" s="2269"/>
      <c r="AU55" s="2269"/>
      <c r="AV55" s="2269"/>
      <c r="AW55" s="2269"/>
      <c r="AX55" s="2269"/>
      <c r="AY55" s="2269"/>
      <c r="AZ55" s="2269"/>
      <c r="BA55" s="2269"/>
      <c r="BB55" s="2269"/>
      <c r="BC55" s="2269"/>
      <c r="BD55" s="2269"/>
      <c r="BE55" s="2269"/>
      <c r="BF55" s="2269"/>
      <c r="BG55" s="2269"/>
      <c r="BH55" s="2269"/>
      <c r="BI55" s="2269"/>
      <c r="BJ55" s="2269"/>
      <c r="BK55" s="2269"/>
      <c r="BL55" s="2269"/>
      <c r="BM55" s="2269"/>
      <c r="BN55" s="2269"/>
      <c r="BO55" s="2269"/>
      <c r="BP55" s="2269"/>
      <c r="BQ55" s="2269"/>
      <c r="BR55" s="2269"/>
      <c r="BS55" s="2269"/>
      <c r="BT55" s="2269"/>
      <c r="BU55" s="2269"/>
      <c r="BV55" s="2269"/>
      <c r="BW55" s="2269"/>
      <c r="BX55" s="2269"/>
      <c r="BY55" s="2269"/>
      <c r="BZ55" s="2269"/>
      <c r="CA55" s="2269"/>
    </row>
    <row r="56" spans="1:79">
      <c r="A56" s="15"/>
      <c r="B56" s="15"/>
      <c r="C56" s="15"/>
      <c r="D56" s="15"/>
      <c r="E56" s="15"/>
      <c r="F56" s="15"/>
      <c r="G56" s="15"/>
      <c r="H56" s="15"/>
      <c r="I56" s="15"/>
      <c r="J56" s="15"/>
      <c r="K56" s="15"/>
      <c r="L56" s="15"/>
      <c r="M56" s="15"/>
      <c r="N56" s="15"/>
      <c r="O56" s="15"/>
      <c r="P56" s="15"/>
      <c r="Q56" s="15"/>
      <c r="R56" s="15"/>
      <c r="S56" s="15"/>
      <c r="T56" s="15"/>
      <c r="U56" s="15"/>
      <c r="V56" s="2269"/>
      <c r="W56" s="2269"/>
      <c r="X56" s="2269"/>
      <c r="Y56" s="2269"/>
      <c r="Z56" s="2269"/>
      <c r="AA56" s="2269"/>
      <c r="AB56" s="2269"/>
      <c r="AC56" s="2269"/>
      <c r="AD56" s="2269"/>
      <c r="AE56" s="2269"/>
      <c r="AF56" s="2269"/>
      <c r="AG56" s="2269"/>
      <c r="AH56" s="2269"/>
      <c r="AI56" s="2269"/>
      <c r="AJ56" s="2269"/>
      <c r="AK56" s="2269"/>
      <c r="AL56" s="2269"/>
      <c r="AM56" s="2269"/>
      <c r="AN56" s="2269"/>
      <c r="AO56" s="2269"/>
      <c r="AP56" s="2269"/>
      <c r="AQ56" s="2269"/>
      <c r="AR56" s="2269"/>
      <c r="AS56" s="2269"/>
      <c r="AT56" s="2269"/>
      <c r="AU56" s="2269"/>
      <c r="AV56" s="2269"/>
      <c r="AW56" s="2269"/>
      <c r="AX56" s="2269"/>
      <c r="AY56" s="2269"/>
      <c r="AZ56" s="2269"/>
      <c r="BA56" s="2269"/>
      <c r="BB56" s="2269"/>
      <c r="BC56" s="2269"/>
      <c r="BD56" s="2269"/>
      <c r="BE56" s="2269"/>
      <c r="BF56" s="2269"/>
      <c r="BG56" s="2269"/>
      <c r="BH56" s="2269"/>
      <c r="BI56" s="2269"/>
      <c r="BJ56" s="2269"/>
      <c r="BK56" s="2269"/>
      <c r="BL56" s="2269"/>
      <c r="BM56" s="2269"/>
      <c r="BN56" s="2269"/>
      <c r="BO56" s="2269"/>
      <c r="BP56" s="2269"/>
      <c r="BQ56" s="2269"/>
      <c r="BR56" s="2269"/>
      <c r="BS56" s="2269"/>
      <c r="BT56" s="2269"/>
      <c r="BU56" s="2269"/>
      <c r="BV56" s="2269"/>
      <c r="BW56" s="2269"/>
      <c r="BX56" s="2269"/>
      <c r="BY56" s="2269"/>
      <c r="BZ56" s="2269"/>
      <c r="CA56" s="2269"/>
    </row>
    <row r="57" spans="1:79">
      <c r="A57" s="15"/>
      <c r="B57" s="15"/>
      <c r="C57" s="15"/>
      <c r="D57" s="15"/>
      <c r="E57" s="15"/>
      <c r="F57" s="15"/>
      <c r="G57" s="15"/>
      <c r="H57" s="15"/>
      <c r="I57" s="15"/>
      <c r="J57" s="15"/>
      <c r="K57" s="15"/>
      <c r="L57" s="15"/>
      <c r="M57" s="15"/>
      <c r="N57" s="15"/>
      <c r="O57" s="15"/>
      <c r="P57" s="15"/>
      <c r="Q57" s="15"/>
      <c r="R57" s="15"/>
      <c r="S57" s="15"/>
      <c r="T57" s="15"/>
      <c r="U57" s="15"/>
      <c r="V57" s="2269"/>
      <c r="W57" s="2269"/>
      <c r="X57" s="2269"/>
      <c r="Y57" s="2269"/>
      <c r="Z57" s="2269"/>
      <c r="AA57" s="2269"/>
      <c r="AB57" s="2269"/>
      <c r="AC57" s="2269"/>
      <c r="AD57" s="2269"/>
      <c r="AE57" s="2269"/>
      <c r="AF57" s="2269"/>
      <c r="AG57" s="2269"/>
      <c r="AH57" s="2269"/>
      <c r="AI57" s="2269"/>
      <c r="AJ57" s="2269"/>
      <c r="AK57" s="2269"/>
      <c r="AL57" s="2269"/>
      <c r="AM57" s="2269"/>
      <c r="AN57" s="2269"/>
      <c r="AO57" s="2269"/>
      <c r="AP57" s="2269"/>
      <c r="AQ57" s="2269"/>
      <c r="AR57" s="2269"/>
      <c r="AS57" s="2269"/>
      <c r="AT57" s="2269"/>
      <c r="AU57" s="2269"/>
      <c r="AV57" s="2269"/>
      <c r="AW57" s="2269"/>
      <c r="AX57" s="2269"/>
      <c r="AY57" s="2269"/>
      <c r="AZ57" s="2269"/>
      <c r="BA57" s="2269"/>
      <c r="BB57" s="2269"/>
      <c r="BC57" s="2269"/>
      <c r="BD57" s="2269"/>
      <c r="BE57" s="2269"/>
      <c r="BF57" s="2269"/>
      <c r="BG57" s="2269"/>
      <c r="BH57" s="2269"/>
      <c r="BI57" s="2269"/>
      <c r="BJ57" s="2269"/>
      <c r="BK57" s="2269"/>
      <c r="BL57" s="2269"/>
      <c r="BM57" s="2269"/>
      <c r="BN57" s="2269"/>
      <c r="BO57" s="2269"/>
      <c r="BP57" s="2269"/>
      <c r="BQ57" s="2269"/>
      <c r="BR57" s="2269"/>
      <c r="BS57" s="2269"/>
      <c r="BT57" s="2269"/>
      <c r="BU57" s="2269"/>
      <c r="BV57" s="2269"/>
      <c r="BW57" s="2269"/>
      <c r="BX57" s="2269"/>
      <c r="BY57" s="2269"/>
      <c r="BZ57" s="2269"/>
      <c r="CA57" s="2269"/>
    </row>
    <row r="58" spans="1:79">
      <c r="A58" s="15"/>
      <c r="B58" s="15"/>
      <c r="C58" s="15"/>
      <c r="D58" s="15"/>
      <c r="E58" s="15"/>
      <c r="F58" s="15"/>
      <c r="G58" s="15"/>
      <c r="H58" s="15"/>
      <c r="I58" s="15"/>
      <c r="J58" s="15"/>
      <c r="K58" s="15"/>
      <c r="L58" s="15"/>
      <c r="M58" s="15"/>
      <c r="N58" s="15"/>
      <c r="O58" s="15"/>
      <c r="P58" s="15"/>
      <c r="Q58" s="15"/>
      <c r="R58" s="15"/>
      <c r="S58" s="15"/>
      <c r="T58" s="15"/>
      <c r="U58" s="15"/>
      <c r="V58" s="2269"/>
      <c r="W58" s="2269"/>
      <c r="X58" s="2269"/>
      <c r="Y58" s="2269"/>
      <c r="Z58" s="2269"/>
      <c r="AA58" s="2269"/>
      <c r="AB58" s="2269"/>
      <c r="AC58" s="2269"/>
      <c r="AD58" s="2269"/>
      <c r="AE58" s="2269"/>
      <c r="AF58" s="2269"/>
      <c r="AG58" s="2269"/>
      <c r="AH58" s="2269"/>
      <c r="AI58" s="2269"/>
      <c r="AJ58" s="2269"/>
      <c r="AK58" s="2269"/>
      <c r="AL58" s="2269"/>
      <c r="AM58" s="2269"/>
      <c r="AN58" s="2269"/>
      <c r="AO58" s="2269"/>
      <c r="AP58" s="2269"/>
      <c r="AQ58" s="2269"/>
      <c r="AR58" s="2269"/>
      <c r="AS58" s="2269"/>
      <c r="AT58" s="2269"/>
      <c r="AU58" s="2269"/>
      <c r="AV58" s="2269"/>
      <c r="AW58" s="2269"/>
      <c r="AX58" s="2269"/>
      <c r="AY58" s="2269"/>
      <c r="AZ58" s="2269"/>
      <c r="BA58" s="2269"/>
      <c r="BB58" s="2269"/>
      <c r="BC58" s="2269"/>
      <c r="BD58" s="2269"/>
      <c r="BE58" s="2269"/>
      <c r="BF58" s="2269"/>
      <c r="BG58" s="2269"/>
      <c r="BH58" s="2269"/>
      <c r="BI58" s="2269"/>
      <c r="BJ58" s="2269"/>
      <c r="BK58" s="2269"/>
      <c r="BL58" s="2269"/>
      <c r="BM58" s="2269"/>
      <c r="BN58" s="2269"/>
      <c r="BO58" s="2269"/>
      <c r="BP58" s="2269"/>
      <c r="BQ58" s="2269"/>
      <c r="BR58" s="2269"/>
      <c r="BS58" s="2269"/>
      <c r="BT58" s="2269"/>
      <c r="BU58" s="2269"/>
      <c r="BV58" s="2269"/>
      <c r="BW58" s="2269"/>
      <c r="BX58" s="2269"/>
      <c r="BY58" s="2269"/>
      <c r="BZ58" s="2269"/>
      <c r="CA58" s="2269"/>
    </row>
    <row r="59" spans="1:79">
      <c r="A59" s="15"/>
      <c r="B59" s="15"/>
      <c r="C59" s="15"/>
      <c r="D59" s="15"/>
      <c r="E59" s="15"/>
      <c r="F59" s="15"/>
      <c r="G59" s="15"/>
      <c r="H59" s="15"/>
      <c r="I59" s="15"/>
      <c r="J59" s="15"/>
      <c r="K59" s="15"/>
      <c r="L59" s="15"/>
      <c r="M59" s="15"/>
      <c r="N59" s="15"/>
      <c r="O59" s="15"/>
      <c r="P59" s="15"/>
      <c r="Q59" s="15"/>
      <c r="R59" s="15"/>
      <c r="S59" s="15"/>
      <c r="T59" s="15"/>
      <c r="U59" s="15"/>
      <c r="V59" s="2269"/>
      <c r="W59" s="2269"/>
      <c r="X59" s="2269"/>
      <c r="Y59" s="2269"/>
      <c r="Z59" s="2269"/>
      <c r="AA59" s="2269"/>
      <c r="AB59" s="2269"/>
      <c r="AC59" s="2269"/>
      <c r="AD59" s="2269"/>
      <c r="AE59" s="2269"/>
      <c r="AF59" s="2269"/>
      <c r="AG59" s="2269"/>
      <c r="AH59" s="2269"/>
      <c r="AI59" s="2269"/>
      <c r="AJ59" s="2269"/>
      <c r="AK59" s="2269"/>
      <c r="AL59" s="2269"/>
      <c r="AM59" s="2269"/>
      <c r="AN59" s="2269"/>
      <c r="AO59" s="2269"/>
      <c r="AP59" s="2269"/>
      <c r="AQ59" s="2269"/>
      <c r="AR59" s="2269"/>
      <c r="AS59" s="2269"/>
      <c r="AT59" s="2269"/>
      <c r="AU59" s="2269"/>
      <c r="AV59" s="2269"/>
      <c r="AW59" s="2269"/>
      <c r="AX59" s="2269"/>
      <c r="AY59" s="2269"/>
      <c r="AZ59" s="2269"/>
      <c r="BA59" s="2269"/>
      <c r="BB59" s="2269"/>
      <c r="BC59" s="2269"/>
      <c r="BD59" s="2269"/>
      <c r="BE59" s="2269"/>
      <c r="BF59" s="2269"/>
      <c r="BG59" s="2269"/>
      <c r="BH59" s="2269"/>
      <c r="BI59" s="2269"/>
      <c r="BJ59" s="2269"/>
      <c r="BK59" s="2269"/>
      <c r="BL59" s="2269"/>
      <c r="BM59" s="2269"/>
      <c r="BN59" s="2269"/>
      <c r="BO59" s="2269"/>
      <c r="BP59" s="2269"/>
      <c r="BQ59" s="2269"/>
      <c r="BR59" s="2269"/>
      <c r="BS59" s="2269"/>
      <c r="BT59" s="2269"/>
      <c r="BU59" s="2269"/>
      <c r="BV59" s="2269"/>
      <c r="BW59" s="2269"/>
      <c r="BX59" s="2269"/>
      <c r="BY59" s="2269"/>
      <c r="BZ59" s="2269"/>
      <c r="CA59" s="2269"/>
    </row>
    <row r="60" spans="1:79">
      <c r="A60" s="15"/>
      <c r="B60" s="15"/>
      <c r="C60" s="15"/>
      <c r="D60" s="15"/>
      <c r="E60" s="15"/>
      <c r="F60" s="15"/>
      <c r="G60" s="15"/>
      <c r="H60" s="15"/>
      <c r="I60" s="15"/>
      <c r="J60" s="15"/>
      <c r="K60" s="15"/>
      <c r="L60" s="15"/>
      <c r="M60" s="15"/>
      <c r="N60" s="15"/>
      <c r="O60" s="15"/>
      <c r="P60" s="15"/>
      <c r="Q60" s="15"/>
      <c r="R60" s="15"/>
      <c r="S60" s="15"/>
      <c r="T60" s="15"/>
      <c r="U60" s="15"/>
      <c r="V60" s="2269"/>
      <c r="W60" s="2269"/>
      <c r="X60" s="2269"/>
      <c r="Y60" s="2269"/>
      <c r="Z60" s="2269"/>
      <c r="AA60" s="2269"/>
      <c r="AB60" s="2269"/>
      <c r="AC60" s="2269"/>
      <c r="AD60" s="2269"/>
      <c r="AE60" s="2269"/>
      <c r="AF60" s="2269"/>
      <c r="AG60" s="2269"/>
      <c r="AH60" s="2269"/>
      <c r="AI60" s="2269"/>
      <c r="AJ60" s="2269"/>
      <c r="AK60" s="2269"/>
      <c r="AL60" s="2269"/>
      <c r="AM60" s="2269"/>
      <c r="AN60" s="2269"/>
      <c r="AO60" s="2269"/>
      <c r="AP60" s="2269"/>
      <c r="AQ60" s="2269"/>
      <c r="AR60" s="2269"/>
      <c r="AS60" s="2269"/>
      <c r="AT60" s="2269"/>
      <c r="AU60" s="2269"/>
      <c r="AV60" s="2269"/>
      <c r="AW60" s="2269"/>
      <c r="AX60" s="2269"/>
      <c r="AY60" s="2269"/>
      <c r="AZ60" s="2269"/>
      <c r="BA60" s="2269"/>
      <c r="BB60" s="2269"/>
      <c r="BC60" s="2269"/>
      <c r="BD60" s="2269"/>
      <c r="BE60" s="2269"/>
      <c r="BF60" s="2269"/>
      <c r="BG60" s="2269"/>
      <c r="BH60" s="2269"/>
      <c r="BI60" s="2269"/>
      <c r="BJ60" s="2269"/>
      <c r="BK60" s="2269"/>
      <c r="BL60" s="2269"/>
      <c r="BM60" s="2269"/>
      <c r="BN60" s="2269"/>
      <c r="BO60" s="2269"/>
      <c r="BP60" s="2269"/>
      <c r="BQ60" s="2269"/>
      <c r="BR60" s="2269"/>
      <c r="BS60" s="2269"/>
      <c r="BT60" s="2269"/>
      <c r="BU60" s="2269"/>
      <c r="BV60" s="2269"/>
      <c r="BW60" s="2269"/>
      <c r="BX60" s="2269"/>
      <c r="BY60" s="2269"/>
      <c r="BZ60" s="2269"/>
      <c r="CA60" s="2269"/>
    </row>
    <row r="61" spans="1:79">
      <c r="A61" s="15"/>
      <c r="B61" s="15"/>
      <c r="C61" s="15"/>
      <c r="D61" s="15"/>
      <c r="E61" s="15"/>
      <c r="F61" s="15"/>
      <c r="G61" s="15"/>
      <c r="H61" s="15"/>
      <c r="I61" s="15"/>
      <c r="J61" s="15"/>
      <c r="K61" s="15"/>
      <c r="L61" s="15"/>
      <c r="M61" s="15"/>
      <c r="N61" s="15"/>
      <c r="O61" s="15"/>
      <c r="P61" s="15"/>
      <c r="Q61" s="15"/>
      <c r="R61" s="15"/>
      <c r="S61" s="15"/>
      <c r="T61" s="15"/>
      <c r="U61" s="15"/>
      <c r="V61" s="2269"/>
      <c r="W61" s="2269"/>
      <c r="X61" s="2269"/>
      <c r="Y61" s="2269"/>
      <c r="Z61" s="2269"/>
      <c r="AA61" s="2269"/>
      <c r="AB61" s="2269"/>
      <c r="AC61" s="2269"/>
      <c r="AD61" s="2269"/>
      <c r="AE61" s="2269"/>
      <c r="AF61" s="2269"/>
      <c r="AG61" s="2269"/>
      <c r="AH61" s="2269"/>
      <c r="AI61" s="2269"/>
      <c r="AJ61" s="2269"/>
      <c r="AK61" s="2269"/>
      <c r="AL61" s="2269"/>
      <c r="AM61" s="2269"/>
      <c r="AN61" s="2269"/>
      <c r="AO61" s="2269"/>
      <c r="AP61" s="2269"/>
      <c r="AQ61" s="2269"/>
      <c r="AR61" s="2269"/>
      <c r="AS61" s="2269"/>
      <c r="AT61" s="2269"/>
      <c r="AU61" s="2269"/>
      <c r="AV61" s="2269"/>
      <c r="AW61" s="2269"/>
      <c r="AX61" s="2269"/>
      <c r="AY61" s="2269"/>
      <c r="AZ61" s="2269"/>
      <c r="BA61" s="2269"/>
      <c r="BB61" s="2269"/>
      <c r="BC61" s="2269"/>
      <c r="BD61" s="2269"/>
      <c r="BE61" s="2269"/>
      <c r="BF61" s="2269"/>
      <c r="BG61" s="2269"/>
      <c r="BH61" s="2269"/>
      <c r="BI61" s="2269"/>
      <c r="BJ61" s="2269"/>
      <c r="BK61" s="2269"/>
      <c r="BL61" s="2269"/>
      <c r="BM61" s="2269"/>
      <c r="BN61" s="2269"/>
      <c r="BO61" s="2269"/>
      <c r="BP61" s="2269"/>
      <c r="BQ61" s="2269"/>
      <c r="BR61" s="2269"/>
      <c r="BS61" s="2269"/>
      <c r="BT61" s="2269"/>
      <c r="BU61" s="2269"/>
      <c r="BV61" s="2269"/>
      <c r="BW61" s="2269"/>
      <c r="BX61" s="2269"/>
      <c r="BY61" s="2269"/>
      <c r="BZ61" s="2269"/>
      <c r="CA61" s="2269"/>
    </row>
    <row r="62" spans="1:79">
      <c r="A62" s="15"/>
      <c r="B62" s="15"/>
      <c r="C62" s="15"/>
      <c r="D62" s="15"/>
      <c r="E62" s="15"/>
      <c r="F62" s="15"/>
      <c r="G62" s="15"/>
      <c r="H62" s="15"/>
      <c r="I62" s="15"/>
      <c r="J62" s="15"/>
      <c r="K62" s="15"/>
      <c r="L62" s="15"/>
      <c r="M62" s="15"/>
      <c r="N62" s="15"/>
      <c r="O62" s="15"/>
      <c r="P62" s="15"/>
      <c r="Q62" s="15"/>
      <c r="R62" s="15"/>
      <c r="S62" s="15"/>
      <c r="T62" s="15"/>
      <c r="U62" s="15"/>
      <c r="V62" s="2269"/>
      <c r="W62" s="2269"/>
      <c r="X62" s="2269"/>
      <c r="Y62" s="2269"/>
      <c r="Z62" s="2269"/>
      <c r="AA62" s="2269"/>
      <c r="AB62" s="2269"/>
      <c r="AC62" s="2269"/>
      <c r="AD62" s="2269"/>
      <c r="AE62" s="2269"/>
      <c r="AF62" s="2269"/>
      <c r="AG62" s="2269"/>
      <c r="AH62" s="2269"/>
      <c r="AI62" s="2269"/>
      <c r="AJ62" s="2269"/>
      <c r="AK62" s="2269"/>
      <c r="AL62" s="2269"/>
      <c r="AM62" s="2269"/>
      <c r="AN62" s="2269"/>
      <c r="AO62" s="2269"/>
      <c r="AP62" s="2269"/>
      <c r="AQ62" s="2269"/>
      <c r="AR62" s="2269"/>
      <c r="AS62" s="2269"/>
      <c r="AT62" s="2269"/>
      <c r="AU62" s="2269"/>
      <c r="AV62" s="2269"/>
      <c r="AW62" s="2269"/>
      <c r="AX62" s="2269"/>
      <c r="AY62" s="2269"/>
      <c r="AZ62" s="2269"/>
      <c r="BA62" s="2269"/>
      <c r="BB62" s="2269"/>
      <c r="BC62" s="2269"/>
      <c r="BD62" s="2269"/>
      <c r="BE62" s="2269"/>
      <c r="BF62" s="2269"/>
      <c r="BG62" s="2269"/>
      <c r="BH62" s="2269"/>
      <c r="BI62" s="2269"/>
      <c r="BJ62" s="2269"/>
      <c r="BK62" s="2269"/>
      <c r="BL62" s="2269"/>
      <c r="BM62" s="2269"/>
      <c r="BN62" s="2269"/>
      <c r="BO62" s="2269"/>
      <c r="BP62" s="2269"/>
      <c r="BQ62" s="2269"/>
      <c r="BR62" s="2269"/>
      <c r="BS62" s="2269"/>
      <c r="BT62" s="2269"/>
      <c r="BU62" s="2269"/>
      <c r="BV62" s="2269"/>
      <c r="BW62" s="2269"/>
      <c r="BX62" s="2269"/>
      <c r="BY62" s="2269"/>
      <c r="BZ62" s="2269"/>
      <c r="CA62" s="2269"/>
    </row>
    <row r="63" spans="1:79">
      <c r="A63" s="15"/>
      <c r="B63" s="15"/>
      <c r="C63" s="15"/>
      <c r="D63" s="15"/>
      <c r="E63" s="15"/>
      <c r="F63" s="15"/>
      <c r="G63" s="15"/>
      <c r="H63" s="15"/>
      <c r="I63" s="15"/>
      <c r="J63" s="15"/>
      <c r="K63" s="15"/>
      <c r="L63" s="15"/>
      <c r="M63" s="15"/>
      <c r="N63" s="15"/>
      <c r="O63" s="15"/>
      <c r="P63" s="15"/>
      <c r="Q63" s="15"/>
      <c r="R63" s="15"/>
      <c r="S63" s="15"/>
      <c r="T63" s="15"/>
      <c r="U63" s="15"/>
      <c r="V63" s="2269"/>
      <c r="W63" s="2269"/>
      <c r="X63" s="2269"/>
      <c r="Y63" s="2269"/>
      <c r="Z63" s="2269"/>
      <c r="AA63" s="2269"/>
      <c r="AB63" s="2269"/>
      <c r="AC63" s="2269"/>
      <c r="AD63" s="2269"/>
      <c r="AE63" s="2269"/>
      <c r="AF63" s="2269"/>
      <c r="AG63" s="2269"/>
      <c r="AH63" s="2269"/>
      <c r="AI63" s="2269"/>
      <c r="AJ63" s="2269"/>
      <c r="AK63" s="2269"/>
      <c r="AL63" s="2269"/>
      <c r="AM63" s="2269"/>
      <c r="AN63" s="2269"/>
      <c r="AO63" s="2269"/>
      <c r="AP63" s="2269"/>
      <c r="AQ63" s="2269"/>
      <c r="AR63" s="2269"/>
      <c r="AS63" s="2269"/>
      <c r="AT63" s="2269"/>
      <c r="AU63" s="2269"/>
      <c r="AV63" s="2269"/>
      <c r="AW63" s="2269"/>
      <c r="AX63" s="2269"/>
      <c r="AY63" s="2269"/>
      <c r="AZ63" s="2269"/>
      <c r="BA63" s="2269"/>
      <c r="BB63" s="2269"/>
      <c r="BC63" s="2269"/>
      <c r="BD63" s="2269"/>
      <c r="BE63" s="2269"/>
      <c r="BF63" s="2269"/>
      <c r="BG63" s="2269"/>
      <c r="BH63" s="2269"/>
      <c r="BI63" s="2269"/>
      <c r="BJ63" s="2269"/>
      <c r="BK63" s="2269"/>
      <c r="BL63" s="2269"/>
      <c r="BM63" s="2269"/>
      <c r="BN63" s="2269"/>
      <c r="BO63" s="2269"/>
      <c r="BP63" s="2269"/>
      <c r="BQ63" s="2269"/>
      <c r="BR63" s="2269"/>
      <c r="BS63" s="2269"/>
      <c r="BT63" s="2269"/>
      <c r="BU63" s="2269"/>
      <c r="BV63" s="2269"/>
      <c r="BW63" s="2269"/>
      <c r="BX63" s="2269"/>
      <c r="BY63" s="2269"/>
      <c r="BZ63" s="2269"/>
      <c r="CA63" s="2269"/>
    </row>
    <row r="64" spans="1:79">
      <c r="A64" s="15"/>
      <c r="B64" s="15"/>
      <c r="C64" s="15"/>
      <c r="D64" s="15"/>
      <c r="E64" s="15"/>
      <c r="F64" s="15"/>
      <c r="G64" s="15"/>
      <c r="H64" s="15"/>
      <c r="I64" s="15"/>
      <c r="J64" s="15"/>
      <c r="K64" s="15"/>
      <c r="L64" s="15"/>
      <c r="M64" s="15"/>
      <c r="N64" s="15"/>
      <c r="O64" s="15"/>
      <c r="P64" s="15"/>
      <c r="Q64" s="15"/>
      <c r="R64" s="15"/>
      <c r="S64" s="15"/>
      <c r="T64" s="15"/>
      <c r="U64" s="15"/>
      <c r="V64" s="2269"/>
      <c r="W64" s="2269"/>
      <c r="X64" s="2269"/>
      <c r="Y64" s="2269"/>
      <c r="Z64" s="2269"/>
      <c r="AA64" s="2269"/>
      <c r="AB64" s="2269"/>
      <c r="AC64" s="2269"/>
      <c r="AD64" s="2269"/>
      <c r="AE64" s="2269"/>
      <c r="AF64" s="2269"/>
      <c r="AG64" s="2269"/>
      <c r="AH64" s="2269"/>
      <c r="AI64" s="2269"/>
      <c r="AJ64" s="2269"/>
      <c r="AK64" s="2269"/>
      <c r="AL64" s="2269"/>
      <c r="AM64" s="2269"/>
      <c r="AN64" s="2269"/>
      <c r="AO64" s="2269"/>
      <c r="AP64" s="2269"/>
      <c r="AQ64" s="2269"/>
      <c r="AR64" s="2269"/>
      <c r="AS64" s="2269"/>
      <c r="AT64" s="2269"/>
      <c r="AU64" s="2269"/>
      <c r="AV64" s="2269"/>
      <c r="AW64" s="2269"/>
      <c r="AX64" s="2269"/>
      <c r="AY64" s="2269"/>
      <c r="AZ64" s="2269"/>
      <c r="BA64" s="2269"/>
      <c r="BB64" s="2269"/>
      <c r="BC64" s="2269"/>
      <c r="BD64" s="2269"/>
      <c r="BE64" s="2269"/>
      <c r="BF64" s="2269"/>
      <c r="BG64" s="2269"/>
      <c r="BH64" s="2269"/>
      <c r="BI64" s="2269"/>
      <c r="BJ64" s="2269"/>
      <c r="BK64" s="2269"/>
      <c r="BL64" s="2269"/>
      <c r="BM64" s="2269"/>
      <c r="BN64" s="2269"/>
      <c r="BO64" s="2269"/>
      <c r="BP64" s="2269"/>
      <c r="BQ64" s="2269"/>
      <c r="BR64" s="2269"/>
      <c r="BS64" s="2269"/>
      <c r="BT64" s="2269"/>
      <c r="BU64" s="2269"/>
      <c r="BV64" s="2269"/>
      <c r="BW64" s="2269"/>
      <c r="BX64" s="2269"/>
      <c r="BY64" s="2269"/>
      <c r="BZ64" s="2269"/>
      <c r="CA64" s="2269"/>
    </row>
    <row r="65" spans="1:79">
      <c r="A65" s="15"/>
      <c r="B65" s="15"/>
      <c r="C65" s="15"/>
      <c r="D65" s="15"/>
      <c r="E65" s="15"/>
      <c r="F65" s="15"/>
      <c r="G65" s="15"/>
      <c r="H65" s="15"/>
      <c r="I65" s="15"/>
      <c r="J65" s="15"/>
      <c r="K65" s="15"/>
      <c r="L65" s="15"/>
      <c r="M65" s="15"/>
      <c r="N65" s="15"/>
      <c r="O65" s="15"/>
      <c r="P65" s="15"/>
      <c r="Q65" s="15"/>
      <c r="R65" s="15"/>
      <c r="S65" s="15"/>
      <c r="T65" s="15"/>
      <c r="U65" s="15"/>
      <c r="V65" s="2269"/>
      <c r="W65" s="2269"/>
      <c r="X65" s="2269"/>
      <c r="Y65" s="2269"/>
      <c r="Z65" s="2269"/>
      <c r="AA65" s="2269"/>
      <c r="AB65" s="2269"/>
      <c r="AC65" s="2269"/>
      <c r="AD65" s="2269"/>
      <c r="AE65" s="2269"/>
      <c r="AF65" s="2269"/>
      <c r="AG65" s="2269"/>
      <c r="AH65" s="2269"/>
      <c r="AI65" s="2269"/>
      <c r="AJ65" s="2269"/>
      <c r="AK65" s="2269"/>
      <c r="AL65" s="2269"/>
      <c r="AM65" s="2269"/>
      <c r="AN65" s="2269"/>
      <c r="AO65" s="2269"/>
      <c r="AP65" s="2269"/>
      <c r="AQ65" s="2269"/>
      <c r="AR65" s="2269"/>
      <c r="AS65" s="2269"/>
      <c r="AT65" s="2269"/>
      <c r="AU65" s="2269"/>
      <c r="AV65" s="2269"/>
      <c r="AW65" s="2269"/>
      <c r="AX65" s="2269"/>
      <c r="AY65" s="2269"/>
      <c r="AZ65" s="2269"/>
      <c r="BA65" s="2269"/>
      <c r="BB65" s="2269"/>
      <c r="BC65" s="2269"/>
      <c r="BD65" s="2269"/>
      <c r="BE65" s="2269"/>
      <c r="BF65" s="2269"/>
      <c r="BG65" s="2269"/>
      <c r="BH65" s="2269"/>
      <c r="BI65" s="2269"/>
      <c r="BJ65" s="2269"/>
      <c r="BK65" s="2269"/>
      <c r="BL65" s="2269"/>
      <c r="BM65" s="2269"/>
      <c r="BN65" s="2269"/>
      <c r="BO65" s="2269"/>
      <c r="BP65" s="2269"/>
      <c r="BQ65" s="2269"/>
      <c r="BR65" s="2269"/>
      <c r="BS65" s="2269"/>
      <c r="BT65" s="2269"/>
      <c r="BU65" s="2269"/>
      <c r="BV65" s="2269"/>
      <c r="BW65" s="2269"/>
      <c r="BX65" s="2269"/>
      <c r="BY65" s="2269"/>
      <c r="BZ65" s="2269"/>
      <c r="CA65" s="2269"/>
    </row>
    <row r="66" spans="1:79">
      <c r="A66" s="15"/>
      <c r="B66" s="15"/>
      <c r="C66" s="15"/>
      <c r="D66" s="15"/>
      <c r="E66" s="15"/>
      <c r="F66" s="15"/>
      <c r="G66" s="15"/>
      <c r="H66" s="15"/>
      <c r="I66" s="15"/>
      <c r="J66" s="15"/>
      <c r="K66" s="15"/>
      <c r="L66" s="15"/>
      <c r="M66" s="15"/>
      <c r="N66" s="15"/>
      <c r="O66" s="15"/>
      <c r="P66" s="15"/>
      <c r="Q66" s="15"/>
      <c r="R66" s="15"/>
      <c r="S66" s="15"/>
      <c r="T66" s="15"/>
      <c r="U66" s="15"/>
      <c r="V66" s="2269"/>
      <c r="W66" s="2269"/>
      <c r="X66" s="2269"/>
      <c r="Y66" s="2269"/>
      <c r="Z66" s="2269"/>
      <c r="AA66" s="2269"/>
      <c r="AB66" s="2269"/>
      <c r="AC66" s="2269"/>
      <c r="AD66" s="2269"/>
      <c r="AE66" s="2269"/>
      <c r="AF66" s="2269"/>
      <c r="AG66" s="2269"/>
      <c r="AH66" s="2269"/>
      <c r="AI66" s="2269"/>
      <c r="AJ66" s="2269"/>
      <c r="AK66" s="2269"/>
      <c r="AL66" s="2269"/>
      <c r="AM66" s="2269"/>
      <c r="AN66" s="2269"/>
      <c r="AO66" s="2269"/>
      <c r="AP66" s="2269"/>
      <c r="AQ66" s="2269"/>
      <c r="AR66" s="2269"/>
      <c r="AS66" s="2269"/>
      <c r="AT66" s="2269"/>
      <c r="AU66" s="2269"/>
      <c r="AV66" s="2269"/>
      <c r="AW66" s="2269"/>
      <c r="AX66" s="2269"/>
      <c r="AY66" s="2269"/>
      <c r="AZ66" s="2269"/>
      <c r="BA66" s="2269"/>
      <c r="BB66" s="2269"/>
      <c r="BC66" s="2269"/>
      <c r="BD66" s="2269"/>
      <c r="BE66" s="2269"/>
      <c r="BF66" s="2269"/>
      <c r="BG66" s="2269"/>
      <c r="BH66" s="2269"/>
      <c r="BI66" s="2269"/>
      <c r="BJ66" s="2269"/>
      <c r="BK66" s="2269"/>
      <c r="BL66" s="2269"/>
      <c r="BM66" s="2269"/>
      <c r="BN66" s="2269"/>
      <c r="BO66" s="2269"/>
      <c r="BP66" s="2269"/>
      <c r="BQ66" s="2269"/>
      <c r="BR66" s="2269"/>
      <c r="BS66" s="2269"/>
      <c r="BT66" s="2269"/>
      <c r="BU66" s="2269"/>
      <c r="BV66" s="2269"/>
      <c r="BW66" s="2269"/>
      <c r="BX66" s="2269"/>
      <c r="BY66" s="2269"/>
      <c r="BZ66" s="2269"/>
      <c r="CA66" s="2269"/>
    </row>
    <row r="67" spans="1:79">
      <c r="A67" s="15"/>
      <c r="B67" s="15"/>
      <c r="C67" s="15"/>
      <c r="D67" s="15"/>
      <c r="E67" s="15"/>
      <c r="F67" s="15"/>
      <c r="G67" s="15"/>
      <c r="H67" s="15"/>
      <c r="I67" s="15"/>
      <c r="J67" s="15"/>
      <c r="K67" s="15"/>
      <c r="L67" s="15"/>
      <c r="M67" s="15"/>
      <c r="N67" s="15"/>
      <c r="O67" s="15"/>
      <c r="P67" s="15"/>
      <c r="Q67" s="15"/>
      <c r="R67" s="15"/>
      <c r="S67" s="15"/>
      <c r="T67" s="15"/>
      <c r="U67" s="15"/>
      <c r="V67" s="2269"/>
      <c r="W67" s="2269"/>
      <c r="X67" s="2269"/>
      <c r="Y67" s="2269"/>
      <c r="Z67" s="2269"/>
      <c r="AA67" s="2269"/>
      <c r="AB67" s="2269"/>
      <c r="AC67" s="2269"/>
      <c r="AD67" s="2269"/>
      <c r="AE67" s="2269"/>
      <c r="AF67" s="2269"/>
      <c r="AG67" s="2269"/>
      <c r="AH67" s="2269"/>
      <c r="AI67" s="2269"/>
      <c r="AJ67" s="2269"/>
      <c r="AK67" s="2269"/>
      <c r="AL67" s="2269"/>
      <c r="AM67" s="2269"/>
      <c r="AN67" s="2269"/>
      <c r="AO67" s="2269"/>
      <c r="AP67" s="2269"/>
      <c r="AQ67" s="2269"/>
      <c r="AR67" s="2269"/>
      <c r="AS67" s="2269"/>
      <c r="AT67" s="2269"/>
      <c r="AU67" s="2269"/>
      <c r="AV67" s="2269"/>
      <c r="AW67" s="2269"/>
      <c r="AX67" s="2269"/>
      <c r="AY67" s="2269"/>
      <c r="AZ67" s="2269"/>
      <c r="BA67" s="2269"/>
      <c r="BB67" s="2269"/>
      <c r="BC67" s="2269"/>
      <c r="BD67" s="2269"/>
      <c r="BE67" s="2269"/>
      <c r="BF67" s="2269"/>
      <c r="BG67" s="2269"/>
      <c r="BH67" s="2269"/>
      <c r="BI67" s="2269"/>
      <c r="BJ67" s="2269"/>
      <c r="BK67" s="2269"/>
      <c r="BL67" s="2269"/>
      <c r="BM67" s="2269"/>
      <c r="BN67" s="2269"/>
      <c r="BO67" s="2269"/>
      <c r="BP67" s="2269"/>
      <c r="BQ67" s="2269"/>
      <c r="BR67" s="2269"/>
      <c r="BS67" s="2269"/>
      <c r="BT67" s="2269"/>
      <c r="BU67" s="2269"/>
      <c r="BV67" s="2269"/>
      <c r="BW67" s="2269"/>
      <c r="BX67" s="2269"/>
      <c r="BY67" s="2269"/>
      <c r="BZ67" s="2269"/>
      <c r="CA67" s="2269"/>
    </row>
    <row r="68" spans="1:79">
      <c r="A68" s="15"/>
      <c r="B68" s="15"/>
      <c r="C68" s="15"/>
      <c r="D68" s="15"/>
      <c r="E68" s="15"/>
      <c r="F68" s="15"/>
      <c r="G68" s="15"/>
      <c r="H68" s="15"/>
      <c r="I68" s="15"/>
      <c r="J68" s="15"/>
      <c r="K68" s="15"/>
      <c r="L68" s="15"/>
      <c r="M68" s="15"/>
      <c r="N68" s="15"/>
      <c r="O68" s="15"/>
      <c r="P68" s="15"/>
      <c r="Q68" s="15"/>
      <c r="R68" s="15"/>
      <c r="S68" s="15"/>
      <c r="T68" s="15"/>
      <c r="U68" s="15"/>
      <c r="V68" s="2269"/>
      <c r="W68" s="2269"/>
      <c r="X68" s="2269"/>
      <c r="Y68" s="2269"/>
      <c r="Z68" s="2269"/>
      <c r="AA68" s="2269"/>
      <c r="AB68" s="2269"/>
      <c r="AC68" s="2269"/>
      <c r="AD68" s="2269"/>
      <c r="AE68" s="2269"/>
      <c r="AF68" s="2269"/>
      <c r="AG68" s="2269"/>
      <c r="AH68" s="2269"/>
      <c r="AI68" s="2269"/>
      <c r="AJ68" s="2269"/>
      <c r="AK68" s="2269"/>
      <c r="AL68" s="2269"/>
      <c r="AM68" s="2269"/>
      <c r="AN68" s="2269"/>
      <c r="AO68" s="2269"/>
      <c r="AP68" s="2269"/>
      <c r="AQ68" s="2269"/>
      <c r="AR68" s="2269"/>
      <c r="AS68" s="2269"/>
      <c r="AT68" s="2269"/>
      <c r="AU68" s="2269"/>
      <c r="AV68" s="2269"/>
      <c r="AW68" s="2269"/>
      <c r="AX68" s="2269"/>
      <c r="AY68" s="2269"/>
      <c r="AZ68" s="2269"/>
      <c r="BA68" s="2269"/>
      <c r="BB68" s="2269"/>
      <c r="BC68" s="2269"/>
      <c r="BD68" s="2269"/>
      <c r="BE68" s="2269"/>
      <c r="BF68" s="2269"/>
      <c r="BG68" s="2269"/>
      <c r="BH68" s="2269"/>
      <c r="BI68" s="2269"/>
      <c r="BJ68" s="2269"/>
      <c r="BK68" s="2269"/>
      <c r="BL68" s="2269"/>
      <c r="BM68" s="2269"/>
      <c r="BN68" s="2269"/>
      <c r="BO68" s="2269"/>
      <c r="BP68" s="2269"/>
      <c r="BQ68" s="2269"/>
      <c r="BR68" s="2269"/>
      <c r="BS68" s="2269"/>
      <c r="BT68" s="2269"/>
      <c r="BU68" s="2269"/>
      <c r="BV68" s="2269"/>
      <c r="BW68" s="2269"/>
      <c r="BX68" s="2269"/>
      <c r="BY68" s="2269"/>
      <c r="BZ68" s="2269"/>
      <c r="CA68" s="2269"/>
    </row>
    <row r="69" spans="1:79">
      <c r="A69" s="15"/>
      <c r="B69" s="15"/>
      <c r="C69" s="15"/>
      <c r="D69" s="15"/>
      <c r="E69" s="15"/>
      <c r="F69" s="15"/>
      <c r="G69" s="15"/>
      <c r="H69" s="15"/>
      <c r="I69" s="15"/>
      <c r="J69" s="15"/>
      <c r="K69" s="15"/>
      <c r="L69" s="15"/>
      <c r="M69" s="15"/>
      <c r="N69" s="15"/>
      <c r="O69" s="15"/>
      <c r="P69" s="15"/>
      <c r="Q69" s="15"/>
      <c r="R69" s="15"/>
      <c r="S69" s="15"/>
      <c r="T69" s="15"/>
      <c r="U69" s="15"/>
      <c r="V69" s="2269"/>
      <c r="W69" s="2269"/>
      <c r="X69" s="2269"/>
      <c r="Y69" s="2269"/>
      <c r="Z69" s="2269"/>
      <c r="AA69" s="2269"/>
      <c r="AB69" s="2269"/>
      <c r="AC69" s="2269"/>
      <c r="AD69" s="2269"/>
      <c r="AE69" s="2269"/>
      <c r="AF69" s="2269"/>
      <c r="AG69" s="2269"/>
      <c r="AH69" s="2269"/>
      <c r="AI69" s="2269"/>
      <c r="AJ69" s="2269"/>
      <c r="AK69" s="2269"/>
      <c r="AL69" s="2269"/>
      <c r="AM69" s="2269"/>
      <c r="AN69" s="2269"/>
      <c r="AO69" s="2269"/>
      <c r="AP69" s="2269"/>
      <c r="AQ69" s="2269"/>
      <c r="AR69" s="2269"/>
      <c r="AS69" s="2269"/>
      <c r="AT69" s="2269"/>
      <c r="AU69" s="2269"/>
      <c r="AV69" s="2269"/>
      <c r="AW69" s="2269"/>
      <c r="AX69" s="2269"/>
      <c r="AY69" s="2269"/>
      <c r="AZ69" s="2269"/>
      <c r="BA69" s="2269"/>
      <c r="BB69" s="2269"/>
      <c r="BC69" s="2269"/>
      <c r="BD69" s="2269"/>
      <c r="BE69" s="2269"/>
      <c r="BF69" s="2269"/>
      <c r="BG69" s="2269"/>
      <c r="BH69" s="2269"/>
      <c r="BI69" s="2269"/>
      <c r="BJ69" s="2269"/>
      <c r="BK69" s="2269"/>
      <c r="BL69" s="2269"/>
      <c r="BM69" s="2269"/>
      <c r="BN69" s="2269"/>
      <c r="BO69" s="2269"/>
      <c r="BP69" s="2269"/>
      <c r="BQ69" s="2269"/>
      <c r="BR69" s="2269"/>
      <c r="BS69" s="2269"/>
      <c r="BT69" s="2269"/>
      <c r="BU69" s="2269"/>
      <c r="BV69" s="2269"/>
      <c r="BW69" s="2269"/>
      <c r="BX69" s="2269"/>
      <c r="BY69" s="2269"/>
      <c r="BZ69" s="2269"/>
      <c r="CA69" s="2269"/>
    </row>
    <row r="70" spans="1:79">
      <c r="A70" s="15"/>
      <c r="B70" s="15"/>
      <c r="C70" s="15"/>
      <c r="D70" s="15"/>
      <c r="E70" s="15"/>
      <c r="F70" s="15"/>
      <c r="G70" s="15"/>
      <c r="H70" s="15"/>
      <c r="I70" s="15"/>
      <c r="J70" s="15"/>
      <c r="K70" s="15"/>
      <c r="L70" s="15"/>
      <c r="M70" s="15"/>
      <c r="N70" s="15"/>
      <c r="O70" s="15"/>
      <c r="P70" s="15"/>
      <c r="Q70" s="15"/>
      <c r="R70" s="15"/>
      <c r="S70" s="15"/>
      <c r="T70" s="15"/>
      <c r="U70" s="15"/>
      <c r="V70" s="2269"/>
      <c r="W70" s="2269"/>
      <c r="X70" s="2269"/>
      <c r="Y70" s="2269"/>
      <c r="Z70" s="2269"/>
      <c r="AA70" s="2269"/>
      <c r="AB70" s="2269"/>
      <c r="AC70" s="2269"/>
      <c r="AD70" s="2269"/>
      <c r="AE70" s="2269"/>
      <c r="AF70" s="2269"/>
      <c r="AG70" s="2269"/>
      <c r="AH70" s="2269"/>
      <c r="AI70" s="2269"/>
      <c r="AJ70" s="2269"/>
      <c r="AK70" s="2269"/>
      <c r="AL70" s="2269"/>
      <c r="AM70" s="2269"/>
      <c r="AN70" s="2269"/>
      <c r="AO70" s="2269"/>
      <c r="AP70" s="2269"/>
      <c r="AQ70" s="2269"/>
      <c r="AR70" s="2269"/>
      <c r="AS70" s="2269"/>
      <c r="AT70" s="2269"/>
      <c r="AU70" s="2269"/>
      <c r="AV70" s="2269"/>
      <c r="AW70" s="2269"/>
      <c r="AX70" s="2269"/>
      <c r="AY70" s="2269"/>
      <c r="AZ70" s="2269"/>
      <c r="BA70" s="2269"/>
      <c r="BB70" s="2269"/>
      <c r="BC70" s="2269"/>
      <c r="BD70" s="2269"/>
      <c r="BE70" s="2269"/>
      <c r="BF70" s="2269"/>
      <c r="BG70" s="2269"/>
      <c r="BH70" s="2269"/>
      <c r="BI70" s="2269"/>
      <c r="BJ70" s="2269"/>
      <c r="BK70" s="2269"/>
      <c r="BL70" s="2269"/>
      <c r="BM70" s="2269"/>
      <c r="BN70" s="2269"/>
      <c r="BO70" s="2269"/>
      <c r="BP70" s="2269"/>
      <c r="BQ70" s="2269"/>
      <c r="BR70" s="2269"/>
      <c r="BS70" s="2269"/>
      <c r="BT70" s="2269"/>
      <c r="BU70" s="2269"/>
      <c r="BV70" s="2269"/>
      <c r="BW70" s="2269"/>
      <c r="BX70" s="2269"/>
      <c r="BY70" s="2269"/>
      <c r="BZ70" s="2269"/>
      <c r="CA70" s="2269"/>
    </row>
    <row r="71" spans="1:79">
      <c r="A71" s="15"/>
      <c r="B71" s="15"/>
      <c r="C71" s="15"/>
      <c r="D71" s="15"/>
      <c r="E71" s="15"/>
      <c r="F71" s="15"/>
      <c r="G71" s="15"/>
      <c r="H71" s="15"/>
      <c r="I71" s="15"/>
      <c r="J71" s="15"/>
      <c r="K71" s="15"/>
      <c r="L71" s="15"/>
      <c r="M71" s="15"/>
      <c r="N71" s="15"/>
      <c r="O71" s="15"/>
      <c r="P71" s="15"/>
      <c r="Q71" s="15"/>
      <c r="R71" s="15"/>
      <c r="S71" s="15"/>
      <c r="T71" s="15"/>
      <c r="U71" s="15"/>
      <c r="V71" s="2269"/>
      <c r="W71" s="2269"/>
      <c r="X71" s="2269"/>
      <c r="Y71" s="2269"/>
      <c r="Z71" s="2269"/>
      <c r="AA71" s="2269"/>
      <c r="AB71" s="2269"/>
      <c r="AC71" s="2269"/>
      <c r="AD71" s="2269"/>
      <c r="AE71" s="2269"/>
      <c r="AF71" s="2269"/>
      <c r="AG71" s="2269"/>
      <c r="AH71" s="2269"/>
      <c r="AI71" s="2269"/>
      <c r="AJ71" s="2269"/>
      <c r="AK71" s="2269"/>
      <c r="AL71" s="2269"/>
      <c r="AM71" s="2269"/>
      <c r="AN71" s="2269"/>
      <c r="AO71" s="2269"/>
      <c r="AP71" s="2269"/>
      <c r="AQ71" s="2269"/>
      <c r="AR71" s="2269"/>
      <c r="AS71" s="2269"/>
      <c r="AT71" s="2269"/>
      <c r="AU71" s="2269"/>
      <c r="AV71" s="2269"/>
      <c r="AW71" s="2269"/>
      <c r="AX71" s="2269"/>
      <c r="AY71" s="2269"/>
      <c r="AZ71" s="2269"/>
      <c r="BA71" s="2269"/>
      <c r="BB71" s="2269"/>
      <c r="BC71" s="2269"/>
      <c r="BD71" s="2269"/>
      <c r="BE71" s="2269"/>
      <c r="BF71" s="2269"/>
      <c r="BG71" s="2269"/>
      <c r="BH71" s="2269"/>
      <c r="BI71" s="2269"/>
      <c r="BJ71" s="2269"/>
      <c r="BK71" s="2269"/>
      <c r="BL71" s="2269"/>
      <c r="BM71" s="2269"/>
      <c r="BN71" s="2269"/>
      <c r="BO71" s="2269"/>
      <c r="BP71" s="2269"/>
      <c r="BQ71" s="2269"/>
      <c r="BR71" s="2269"/>
      <c r="BS71" s="2269"/>
      <c r="BT71" s="2269"/>
      <c r="BU71" s="2269"/>
      <c r="BV71" s="2269"/>
      <c r="BW71" s="2269"/>
      <c r="BX71" s="2269"/>
      <c r="BY71" s="2269"/>
      <c r="BZ71" s="2269"/>
      <c r="CA71" s="2269"/>
    </row>
    <row r="72" spans="1:79">
      <c r="A72" s="15"/>
      <c r="B72" s="15"/>
      <c r="C72" s="15"/>
      <c r="D72" s="15"/>
      <c r="E72" s="15"/>
      <c r="F72" s="15"/>
      <c r="G72" s="15"/>
      <c r="H72" s="15"/>
      <c r="I72" s="15"/>
      <c r="J72" s="15"/>
      <c r="K72" s="15"/>
      <c r="L72" s="15"/>
      <c r="M72" s="15"/>
      <c r="N72" s="15"/>
      <c r="O72" s="15"/>
      <c r="P72" s="15"/>
      <c r="Q72" s="15"/>
      <c r="R72" s="15"/>
      <c r="S72" s="15"/>
      <c r="T72" s="15"/>
      <c r="U72" s="15"/>
      <c r="V72" s="2269"/>
      <c r="W72" s="2269"/>
      <c r="X72" s="2269"/>
      <c r="Y72" s="2269"/>
      <c r="Z72" s="2269"/>
      <c r="AA72" s="2269"/>
      <c r="AB72" s="2269"/>
      <c r="AC72" s="2269"/>
      <c r="AD72" s="2269"/>
      <c r="AE72" s="2269"/>
      <c r="AF72" s="2269"/>
      <c r="AG72" s="2269"/>
      <c r="AH72" s="2269"/>
      <c r="AI72" s="2269"/>
      <c r="AJ72" s="2269"/>
      <c r="AK72" s="2269"/>
      <c r="AL72" s="2269"/>
      <c r="AM72" s="2269"/>
      <c r="AN72" s="2269"/>
      <c r="AO72" s="2269"/>
      <c r="AP72" s="2269"/>
      <c r="AQ72" s="2269"/>
      <c r="AR72" s="2269"/>
      <c r="AS72" s="2269"/>
      <c r="AT72" s="2269"/>
      <c r="AU72" s="2269"/>
      <c r="AV72" s="2269"/>
      <c r="AW72" s="2269"/>
      <c r="AX72" s="2269"/>
      <c r="AY72" s="2269"/>
      <c r="AZ72" s="2269"/>
      <c r="BA72" s="2269"/>
      <c r="BB72" s="2269"/>
      <c r="BC72" s="2269"/>
      <c r="BD72" s="2269"/>
      <c r="BE72" s="2269"/>
      <c r="BF72" s="2269"/>
      <c r="BG72" s="2269"/>
      <c r="BH72" s="2269"/>
      <c r="BI72" s="2269"/>
      <c r="BJ72" s="2269"/>
      <c r="BK72" s="2269"/>
      <c r="BL72" s="2269"/>
      <c r="BM72" s="2269"/>
      <c r="BN72" s="2269"/>
      <c r="BO72" s="2269"/>
      <c r="BP72" s="2269"/>
      <c r="BQ72" s="2269"/>
      <c r="BR72" s="2269"/>
      <c r="BS72" s="2269"/>
      <c r="BT72" s="2269"/>
      <c r="BU72" s="2269"/>
      <c r="BV72" s="2269"/>
      <c r="BW72" s="2269"/>
      <c r="BX72" s="2269"/>
      <c r="BY72" s="2269"/>
      <c r="BZ72" s="2269"/>
      <c r="CA72" s="2269"/>
    </row>
    <row r="73" spans="1:79">
      <c r="A73" s="15"/>
      <c r="B73" s="15"/>
      <c r="C73" s="15"/>
      <c r="D73" s="15"/>
      <c r="E73" s="15"/>
      <c r="F73" s="15"/>
      <c r="G73" s="15"/>
      <c r="H73" s="15"/>
      <c r="I73" s="15"/>
      <c r="J73" s="15"/>
      <c r="K73" s="15"/>
      <c r="L73" s="15"/>
      <c r="M73" s="15"/>
      <c r="N73" s="15"/>
      <c r="O73" s="15"/>
      <c r="P73" s="15"/>
      <c r="Q73" s="15"/>
      <c r="R73" s="15"/>
      <c r="S73" s="15"/>
      <c r="T73" s="15"/>
      <c r="U73" s="15"/>
      <c r="V73" s="2269"/>
      <c r="W73" s="2269"/>
      <c r="X73" s="2269"/>
      <c r="Y73" s="2269"/>
      <c r="Z73" s="2269"/>
      <c r="AA73" s="2269"/>
      <c r="AB73" s="2269"/>
      <c r="AC73" s="2269"/>
      <c r="AD73" s="2269"/>
      <c r="AE73" s="2269"/>
      <c r="AF73" s="2269"/>
      <c r="AG73" s="2269"/>
      <c r="AH73" s="2269"/>
      <c r="AI73" s="2269"/>
      <c r="AJ73" s="2269"/>
      <c r="AK73" s="2269"/>
      <c r="AL73" s="2269"/>
      <c r="AM73" s="2269"/>
      <c r="AN73" s="2269"/>
      <c r="AO73" s="2269"/>
      <c r="AP73" s="2269"/>
      <c r="AQ73" s="2269"/>
      <c r="AR73" s="2269"/>
      <c r="AS73" s="2269"/>
      <c r="AT73" s="2269"/>
      <c r="AU73" s="2269"/>
      <c r="AV73" s="2269"/>
      <c r="AW73" s="2269"/>
      <c r="AX73" s="2269"/>
      <c r="AY73" s="2269"/>
      <c r="AZ73" s="2269"/>
      <c r="BA73" s="2269"/>
      <c r="BB73" s="2269"/>
      <c r="BC73" s="2269"/>
      <c r="BD73" s="2269"/>
      <c r="BE73" s="2269"/>
      <c r="BF73" s="2269"/>
      <c r="BG73" s="2269"/>
      <c r="BH73" s="2269"/>
      <c r="BI73" s="2269"/>
      <c r="BJ73" s="2269"/>
      <c r="BK73" s="2269"/>
      <c r="BL73" s="2269"/>
      <c r="BM73" s="2269"/>
      <c r="BN73" s="2269"/>
      <c r="BO73" s="2269"/>
      <c r="BP73" s="2269"/>
      <c r="BQ73" s="2269"/>
      <c r="BR73" s="2269"/>
      <c r="BS73" s="2269"/>
      <c r="BT73" s="2269"/>
      <c r="BU73" s="2269"/>
      <c r="BV73" s="2269"/>
      <c r="BW73" s="2269"/>
      <c r="BX73" s="2269"/>
      <c r="BY73" s="2269"/>
      <c r="BZ73" s="2269"/>
      <c r="CA73" s="2269"/>
    </row>
    <row r="74" spans="1:79">
      <c r="A74" s="15"/>
      <c r="B74" s="15"/>
      <c r="C74" s="15"/>
      <c r="D74" s="15"/>
      <c r="E74" s="15"/>
      <c r="F74" s="15"/>
      <c r="G74" s="15"/>
      <c r="H74" s="15"/>
      <c r="I74" s="15"/>
      <c r="J74" s="15"/>
      <c r="K74" s="15"/>
      <c r="L74" s="15"/>
      <c r="M74" s="15"/>
      <c r="N74" s="15"/>
      <c r="O74" s="15"/>
      <c r="P74" s="15"/>
      <c r="Q74" s="15"/>
      <c r="R74" s="15"/>
      <c r="S74" s="15"/>
      <c r="T74" s="15"/>
      <c r="U74" s="15"/>
      <c r="V74" s="2269"/>
      <c r="W74" s="2269"/>
      <c r="X74" s="2269"/>
      <c r="Y74" s="2269"/>
      <c r="Z74" s="2269"/>
      <c r="AA74" s="2269"/>
      <c r="AB74" s="2269"/>
      <c r="AC74" s="2269"/>
      <c r="AD74" s="2269"/>
      <c r="AE74" s="2269"/>
      <c r="AF74" s="2269"/>
      <c r="AG74" s="2269"/>
      <c r="AH74" s="2269"/>
      <c r="AI74" s="2269"/>
      <c r="AJ74" s="2269"/>
      <c r="AK74" s="2269"/>
      <c r="AL74" s="2269"/>
      <c r="AM74" s="2269"/>
      <c r="AN74" s="2269"/>
      <c r="AO74" s="2269"/>
      <c r="AP74" s="2269"/>
      <c r="AQ74" s="2269"/>
      <c r="AR74" s="2269"/>
      <c r="AS74" s="2269"/>
      <c r="AT74" s="2269"/>
      <c r="AU74" s="2269"/>
      <c r="AV74" s="2269"/>
      <c r="AW74" s="2269"/>
      <c r="AX74" s="2269"/>
      <c r="AY74" s="2269"/>
      <c r="AZ74" s="2269"/>
      <c r="BA74" s="2269"/>
      <c r="BB74" s="2269"/>
      <c r="BC74" s="2269"/>
      <c r="BD74" s="2269"/>
      <c r="BE74" s="2269"/>
      <c r="BF74" s="2269"/>
      <c r="BG74" s="2269"/>
      <c r="BH74" s="2269"/>
      <c r="BI74" s="2269"/>
      <c r="BJ74" s="2269"/>
      <c r="BK74" s="2269"/>
      <c r="BL74" s="2269"/>
      <c r="BM74" s="2269"/>
      <c r="BN74" s="2269"/>
      <c r="BO74" s="2269"/>
      <c r="BP74" s="2269"/>
      <c r="BQ74" s="2269"/>
      <c r="BR74" s="2269"/>
      <c r="BS74" s="2269"/>
      <c r="BT74" s="2269"/>
      <c r="BU74" s="2269"/>
      <c r="BV74" s="2269"/>
      <c r="BW74" s="2269"/>
      <c r="BX74" s="2269"/>
      <c r="BY74" s="2269"/>
      <c r="BZ74" s="2269"/>
      <c r="CA74" s="2269"/>
    </row>
    <row r="75" spans="1:79">
      <c r="A75" s="15"/>
      <c r="B75" s="15"/>
      <c r="C75" s="15"/>
      <c r="D75" s="15"/>
      <c r="E75" s="15"/>
      <c r="F75" s="15"/>
      <c r="G75" s="15"/>
      <c r="H75" s="15"/>
      <c r="I75" s="15"/>
      <c r="J75" s="15"/>
      <c r="K75" s="15"/>
      <c r="L75" s="15"/>
      <c r="M75" s="15"/>
      <c r="N75" s="15"/>
      <c r="O75" s="15"/>
      <c r="P75" s="15"/>
      <c r="Q75" s="15"/>
      <c r="R75" s="15"/>
      <c r="S75" s="15"/>
      <c r="T75" s="15"/>
      <c r="U75" s="15"/>
      <c r="V75" s="2269"/>
      <c r="W75" s="2269"/>
      <c r="X75" s="2269"/>
      <c r="Y75" s="2269"/>
      <c r="Z75" s="2269"/>
      <c r="AA75" s="2269"/>
      <c r="AB75" s="2269"/>
      <c r="AC75" s="2269"/>
      <c r="AD75" s="2269"/>
      <c r="AE75" s="2269"/>
      <c r="AF75" s="2269"/>
      <c r="AG75" s="2269"/>
      <c r="AH75" s="2269"/>
      <c r="AI75" s="2269"/>
      <c r="AJ75" s="2269"/>
      <c r="AK75" s="2269"/>
      <c r="AL75" s="2269"/>
      <c r="AM75" s="2269"/>
      <c r="AN75" s="2269"/>
      <c r="AO75" s="2269"/>
      <c r="AP75" s="2269"/>
      <c r="AQ75" s="2269"/>
      <c r="AR75" s="2269"/>
      <c r="AS75" s="2269"/>
      <c r="AT75" s="2269"/>
      <c r="AU75" s="2269"/>
      <c r="AV75" s="2269"/>
      <c r="AW75" s="2269"/>
      <c r="AX75" s="2269"/>
      <c r="AY75" s="2269"/>
      <c r="AZ75" s="2269"/>
      <c r="BA75" s="2269"/>
      <c r="BB75" s="2269"/>
      <c r="BC75" s="2269"/>
      <c r="BD75" s="2269"/>
      <c r="BE75" s="2269"/>
      <c r="BF75" s="2269"/>
      <c r="BG75" s="2269"/>
      <c r="BH75" s="2269"/>
      <c r="BI75" s="2269"/>
      <c r="BJ75" s="2269"/>
      <c r="BK75" s="2269"/>
      <c r="BL75" s="2269"/>
      <c r="BM75" s="2269"/>
      <c r="BN75" s="2269"/>
      <c r="BO75" s="2269"/>
      <c r="BP75" s="2269"/>
      <c r="BQ75" s="2269"/>
      <c r="BR75" s="2269"/>
      <c r="BS75" s="2269"/>
      <c r="BT75" s="2269"/>
      <c r="BU75" s="2269"/>
      <c r="BV75" s="2269"/>
      <c r="BW75" s="2269"/>
      <c r="BX75" s="2269"/>
      <c r="BY75" s="2269"/>
      <c r="BZ75" s="2269"/>
      <c r="CA75" s="2269"/>
    </row>
    <row r="76" spans="1:79">
      <c r="A76" s="15"/>
      <c r="B76" s="15"/>
      <c r="C76" s="15"/>
      <c r="D76" s="15"/>
      <c r="E76" s="15"/>
      <c r="F76" s="15"/>
      <c r="G76" s="15"/>
      <c r="H76" s="15"/>
      <c r="I76" s="15"/>
      <c r="J76" s="15"/>
      <c r="K76" s="15"/>
      <c r="L76" s="15"/>
      <c r="M76" s="15"/>
      <c r="N76" s="15"/>
      <c r="O76" s="15"/>
      <c r="P76" s="15"/>
      <c r="Q76" s="15"/>
      <c r="R76" s="15"/>
      <c r="S76" s="15"/>
      <c r="T76" s="15"/>
      <c r="U76" s="15"/>
      <c r="V76" s="2269"/>
      <c r="W76" s="2269"/>
      <c r="X76" s="2269"/>
      <c r="Y76" s="2269"/>
      <c r="Z76" s="2269"/>
      <c r="AA76" s="2269"/>
      <c r="AB76" s="2269"/>
      <c r="AC76" s="2269"/>
      <c r="AD76" s="2269"/>
      <c r="AE76" s="2269"/>
      <c r="AF76" s="2269"/>
      <c r="AG76" s="2269"/>
      <c r="AH76" s="2269"/>
      <c r="AI76" s="2269"/>
      <c r="AJ76" s="2269"/>
      <c r="AK76" s="2269"/>
      <c r="AL76" s="2269"/>
      <c r="AM76" s="2269"/>
      <c r="AN76" s="2269"/>
      <c r="AO76" s="2269"/>
      <c r="AP76" s="2269"/>
      <c r="AQ76" s="2269"/>
      <c r="AR76" s="2269"/>
      <c r="AS76" s="2269"/>
      <c r="AT76" s="2269"/>
      <c r="AU76" s="2269"/>
      <c r="AV76" s="2269"/>
      <c r="AW76" s="2269"/>
      <c r="AX76" s="2269"/>
      <c r="AY76" s="2269"/>
      <c r="AZ76" s="2269"/>
      <c r="BA76" s="2269"/>
      <c r="BB76" s="2269"/>
      <c r="BC76" s="2269"/>
      <c r="BD76" s="2269"/>
      <c r="BE76" s="2269"/>
      <c r="BF76" s="2269"/>
      <c r="BG76" s="2269"/>
      <c r="BH76" s="2269"/>
      <c r="BI76" s="2269"/>
      <c r="BJ76" s="2269"/>
      <c r="BK76" s="2269"/>
      <c r="BL76" s="2269"/>
      <c r="BM76" s="2269"/>
      <c r="BN76" s="2269"/>
      <c r="BO76" s="2269"/>
      <c r="BP76" s="2269"/>
      <c r="BQ76" s="2269"/>
      <c r="BR76" s="2269"/>
      <c r="BS76" s="2269"/>
      <c r="BT76" s="2269"/>
      <c r="BU76" s="2269"/>
      <c r="BV76" s="2269"/>
      <c r="BW76" s="2269"/>
      <c r="BX76" s="2269"/>
      <c r="BY76" s="2269"/>
      <c r="BZ76" s="2269"/>
      <c r="CA76" s="2269"/>
    </row>
    <row r="77" spans="1:79">
      <c r="A77" s="15"/>
      <c r="B77" s="15"/>
      <c r="C77" s="15"/>
      <c r="D77" s="15"/>
      <c r="E77" s="15"/>
      <c r="F77" s="15"/>
      <c r="G77" s="15"/>
      <c r="H77" s="15"/>
      <c r="I77" s="15"/>
      <c r="J77" s="15"/>
      <c r="K77" s="15"/>
      <c r="L77" s="15"/>
      <c r="M77" s="15"/>
      <c r="N77" s="15"/>
      <c r="O77" s="15"/>
      <c r="P77" s="15"/>
      <c r="Q77" s="15"/>
      <c r="R77" s="15"/>
      <c r="S77" s="15"/>
      <c r="T77" s="15"/>
      <c r="U77" s="15"/>
      <c r="V77" s="2269"/>
      <c r="W77" s="2269"/>
      <c r="X77" s="2269"/>
      <c r="Y77" s="2269"/>
      <c r="Z77" s="2269"/>
      <c r="AA77" s="2269"/>
      <c r="AB77" s="2269"/>
      <c r="AC77" s="2269"/>
      <c r="AD77" s="2269"/>
      <c r="AE77" s="2269"/>
      <c r="AF77" s="2269"/>
      <c r="AG77" s="2269"/>
      <c r="AH77" s="2269"/>
      <c r="AI77" s="2269"/>
      <c r="AJ77" s="2269"/>
      <c r="AK77" s="2269"/>
      <c r="AL77" s="2269"/>
      <c r="AM77" s="2269"/>
      <c r="AN77" s="2269"/>
      <c r="AO77" s="2269"/>
      <c r="AP77" s="2269"/>
      <c r="AQ77" s="2269"/>
      <c r="AR77" s="2269"/>
      <c r="AS77" s="2269"/>
      <c r="AT77" s="2269"/>
      <c r="AU77" s="2269"/>
      <c r="AV77" s="2269"/>
      <c r="AW77" s="2269"/>
      <c r="AX77" s="2269"/>
      <c r="AY77" s="2269"/>
      <c r="AZ77" s="2269"/>
      <c r="BA77" s="2269"/>
      <c r="BB77" s="2269"/>
      <c r="BC77" s="2269"/>
      <c r="BD77" s="2269"/>
      <c r="BE77" s="2269"/>
      <c r="BF77" s="2269"/>
      <c r="BG77" s="2269"/>
      <c r="BH77" s="2269"/>
      <c r="BI77" s="2269"/>
      <c r="BJ77" s="2269"/>
      <c r="BK77" s="2269"/>
      <c r="BL77" s="2269"/>
      <c r="BM77" s="2269"/>
      <c r="BN77" s="2269"/>
      <c r="BO77" s="2269"/>
      <c r="BP77" s="2269"/>
      <c r="BQ77" s="2269"/>
      <c r="BR77" s="2269"/>
      <c r="BS77" s="2269"/>
      <c r="BT77" s="2269"/>
      <c r="BU77" s="2269"/>
      <c r="BV77" s="2269"/>
      <c r="BW77" s="2269"/>
      <c r="BX77" s="2269"/>
      <c r="BY77" s="2269"/>
      <c r="BZ77" s="2269"/>
      <c r="CA77" s="2269"/>
    </row>
    <row r="78" spans="1:79">
      <c r="A78" s="15"/>
      <c r="B78" s="15"/>
      <c r="C78" s="15"/>
      <c r="D78" s="15"/>
      <c r="E78" s="15"/>
      <c r="F78" s="15"/>
      <c r="G78" s="15"/>
      <c r="H78" s="15"/>
      <c r="I78" s="15"/>
      <c r="J78" s="15"/>
      <c r="K78" s="15"/>
      <c r="L78" s="15"/>
      <c r="M78" s="15"/>
      <c r="N78" s="15"/>
      <c r="O78" s="15"/>
      <c r="P78" s="15"/>
      <c r="Q78" s="15"/>
      <c r="R78" s="15"/>
      <c r="S78" s="15"/>
      <c r="T78" s="15"/>
      <c r="U78" s="15"/>
      <c r="V78" s="2269"/>
      <c r="W78" s="2269"/>
      <c r="X78" s="2269"/>
      <c r="Y78" s="2269"/>
      <c r="Z78" s="2269"/>
      <c r="AA78" s="2269"/>
      <c r="AB78" s="2269"/>
      <c r="AC78" s="2269"/>
      <c r="AD78" s="2269"/>
      <c r="AE78" s="2269"/>
      <c r="AF78" s="2269"/>
      <c r="AG78" s="2269"/>
      <c r="AH78" s="2269"/>
      <c r="AI78" s="2269"/>
      <c r="AJ78" s="2269"/>
      <c r="AK78" s="2269"/>
      <c r="AL78" s="2269"/>
      <c r="AM78" s="2269"/>
      <c r="AN78" s="2269"/>
      <c r="AO78" s="2269"/>
      <c r="AP78" s="2269"/>
      <c r="AQ78" s="2269"/>
      <c r="AR78" s="2269"/>
      <c r="AS78" s="2269"/>
      <c r="AT78" s="2269"/>
      <c r="AU78" s="2269"/>
      <c r="AV78" s="2269"/>
      <c r="AW78" s="2269"/>
      <c r="AX78" s="2269"/>
      <c r="AY78" s="2269"/>
      <c r="AZ78" s="2269"/>
      <c r="BA78" s="2269"/>
      <c r="BB78" s="2269"/>
      <c r="BC78" s="2269"/>
      <c r="BD78" s="2269"/>
      <c r="BE78" s="2269"/>
      <c r="BF78" s="2269"/>
      <c r="BG78" s="2269"/>
      <c r="BH78" s="2269"/>
      <c r="BI78" s="2269"/>
      <c r="BJ78" s="2269"/>
      <c r="BK78" s="2269"/>
      <c r="BL78" s="2269"/>
      <c r="BM78" s="2269"/>
      <c r="BN78" s="2269"/>
      <c r="BO78" s="2269"/>
      <c r="BP78" s="2269"/>
      <c r="BQ78" s="2269"/>
      <c r="BR78" s="2269"/>
      <c r="BS78" s="2269"/>
      <c r="BT78" s="2269"/>
      <c r="BU78" s="2269"/>
      <c r="BV78" s="2269"/>
      <c r="BW78" s="2269"/>
      <c r="BX78" s="2269"/>
      <c r="BY78" s="2269"/>
      <c r="BZ78" s="2269"/>
      <c r="CA78" s="2269"/>
    </row>
    <row r="79" spans="1:79">
      <c r="A79" s="15"/>
      <c r="B79" s="15"/>
      <c r="C79" s="15"/>
      <c r="D79" s="15"/>
      <c r="E79" s="15"/>
      <c r="F79" s="15"/>
      <c r="G79" s="15"/>
      <c r="H79" s="15"/>
      <c r="I79" s="15"/>
      <c r="J79" s="15"/>
      <c r="K79" s="15"/>
      <c r="L79" s="15"/>
      <c r="M79" s="15"/>
      <c r="N79" s="15"/>
      <c r="O79" s="15"/>
      <c r="P79" s="15"/>
      <c r="Q79" s="15"/>
      <c r="R79" s="15"/>
      <c r="S79" s="15"/>
      <c r="T79" s="15"/>
      <c r="U79" s="15"/>
      <c r="V79" s="2269"/>
      <c r="W79" s="2269"/>
      <c r="X79" s="2269"/>
      <c r="Y79" s="2269"/>
      <c r="Z79" s="2269"/>
      <c r="AA79" s="2269"/>
      <c r="AB79" s="2269"/>
      <c r="AC79" s="2269"/>
      <c r="AD79" s="2269"/>
      <c r="AE79" s="2269"/>
      <c r="AF79" s="2269"/>
      <c r="AG79" s="2269"/>
      <c r="AH79" s="2269"/>
      <c r="AI79" s="2269"/>
      <c r="AJ79" s="2269"/>
      <c r="AK79" s="2269"/>
      <c r="AL79" s="2269"/>
      <c r="AM79" s="2269"/>
      <c r="AN79" s="2269"/>
      <c r="AO79" s="2269"/>
      <c r="AP79" s="2269"/>
      <c r="AQ79" s="2269"/>
      <c r="AR79" s="2269"/>
      <c r="AS79" s="2269"/>
      <c r="AT79" s="2269"/>
      <c r="AU79" s="2269"/>
      <c r="AV79" s="2269"/>
      <c r="AW79" s="2269"/>
      <c r="AX79" s="2269"/>
      <c r="AY79" s="2269"/>
      <c r="AZ79" s="2269"/>
      <c r="BA79" s="2269"/>
      <c r="BB79" s="2269"/>
      <c r="BC79" s="2269"/>
      <c r="BD79" s="2269"/>
      <c r="BE79" s="2269"/>
      <c r="BF79" s="2269"/>
      <c r="BG79" s="2269"/>
      <c r="BH79" s="2269"/>
      <c r="BI79" s="2269"/>
      <c r="BJ79" s="2269"/>
      <c r="BK79" s="2269"/>
      <c r="BL79" s="2269"/>
      <c r="BM79" s="2269"/>
      <c r="BN79" s="2269"/>
      <c r="BO79" s="2269"/>
      <c r="BP79" s="2269"/>
      <c r="BQ79" s="2269"/>
      <c r="BR79" s="2269"/>
      <c r="BS79" s="2269"/>
      <c r="BT79" s="2269"/>
      <c r="BU79" s="2269"/>
      <c r="BV79" s="2269"/>
      <c r="BW79" s="2269"/>
      <c r="BX79" s="2269"/>
      <c r="BY79" s="2269"/>
      <c r="BZ79" s="2269"/>
      <c r="CA79" s="2269"/>
    </row>
    <row r="80" spans="1:79">
      <c r="A80" s="15"/>
      <c r="B80" s="15"/>
      <c r="C80" s="15"/>
      <c r="D80" s="15"/>
      <c r="E80" s="15"/>
      <c r="F80" s="15"/>
      <c r="G80" s="15"/>
      <c r="H80" s="15"/>
      <c r="I80" s="15"/>
      <c r="J80" s="15"/>
      <c r="K80" s="15"/>
      <c r="L80" s="15"/>
      <c r="M80" s="15"/>
      <c r="N80" s="15"/>
      <c r="O80" s="15"/>
      <c r="P80" s="15"/>
      <c r="Q80" s="15"/>
      <c r="R80" s="15"/>
      <c r="S80" s="15"/>
      <c r="T80" s="15"/>
      <c r="U80" s="15"/>
      <c r="V80" s="2269"/>
      <c r="W80" s="2269"/>
      <c r="X80" s="2269"/>
      <c r="Y80" s="2269"/>
      <c r="Z80" s="2269"/>
      <c r="AA80" s="2269"/>
      <c r="AB80" s="2269"/>
      <c r="AC80" s="2269"/>
      <c r="AD80" s="2269"/>
      <c r="AE80" s="2269"/>
      <c r="AF80" s="2269"/>
      <c r="AG80" s="2269"/>
      <c r="AH80" s="2269"/>
      <c r="AI80" s="2269"/>
      <c r="AJ80" s="2269"/>
      <c r="AK80" s="2269"/>
      <c r="AL80" s="2269"/>
      <c r="AM80" s="2269"/>
      <c r="AN80" s="2269"/>
      <c r="AO80" s="2269"/>
      <c r="AP80" s="2269"/>
      <c r="AQ80" s="2269"/>
      <c r="AR80" s="2269"/>
      <c r="AS80" s="2269"/>
      <c r="AT80" s="2269"/>
      <c r="AU80" s="2269"/>
      <c r="AV80" s="2269"/>
      <c r="AW80" s="2269"/>
      <c r="AX80" s="2269"/>
      <c r="AY80" s="2269"/>
      <c r="AZ80" s="2269"/>
      <c r="BA80" s="2269"/>
      <c r="BB80" s="2269"/>
      <c r="BC80" s="2269"/>
      <c r="BD80" s="2269"/>
      <c r="BE80" s="2269"/>
      <c r="BF80" s="2269"/>
      <c r="BG80" s="2269"/>
      <c r="BH80" s="2269"/>
      <c r="BI80" s="2269"/>
      <c r="BJ80" s="2269"/>
      <c r="BK80" s="2269"/>
      <c r="BL80" s="2269"/>
      <c r="BM80" s="2269"/>
      <c r="BN80" s="2269"/>
      <c r="BO80" s="2269"/>
      <c r="BP80" s="2269"/>
      <c r="BQ80" s="2269"/>
      <c r="BR80" s="2269"/>
      <c r="BS80" s="2269"/>
      <c r="BT80" s="2269"/>
      <c r="BU80" s="2269"/>
      <c r="BV80" s="2269"/>
      <c r="BW80" s="2269"/>
      <c r="BX80" s="2269"/>
      <c r="BY80" s="2269"/>
      <c r="BZ80" s="2269"/>
      <c r="CA80" s="2269"/>
    </row>
    <row r="81" spans="1:79">
      <c r="A81" s="15"/>
      <c r="B81" s="15"/>
      <c r="C81" s="15"/>
      <c r="D81" s="15"/>
      <c r="E81" s="15"/>
      <c r="F81" s="15"/>
      <c r="G81" s="15"/>
      <c r="H81" s="15"/>
      <c r="I81" s="15"/>
      <c r="J81" s="15"/>
      <c r="K81" s="15"/>
      <c r="L81" s="15"/>
      <c r="M81" s="15"/>
      <c r="N81" s="15"/>
      <c r="O81" s="15"/>
      <c r="P81" s="15"/>
      <c r="Q81" s="15"/>
      <c r="R81" s="15"/>
      <c r="S81" s="15"/>
      <c r="T81" s="15"/>
      <c r="U81" s="15"/>
      <c r="V81" s="2269"/>
      <c r="W81" s="2269"/>
      <c r="X81" s="2269"/>
      <c r="Y81" s="2269"/>
      <c r="Z81" s="2269"/>
      <c r="AA81" s="2269"/>
      <c r="AB81" s="2269"/>
      <c r="AC81" s="2269"/>
      <c r="AD81" s="2269"/>
      <c r="AE81" s="2269"/>
      <c r="AF81" s="2269"/>
      <c r="AG81" s="2269"/>
      <c r="AH81" s="2269"/>
      <c r="AI81" s="2269"/>
      <c r="AJ81" s="2269"/>
      <c r="AK81" s="2269"/>
      <c r="AL81" s="2269"/>
      <c r="AM81" s="2269"/>
      <c r="AN81" s="2269"/>
      <c r="AO81" s="2269"/>
      <c r="AP81" s="2269"/>
      <c r="AQ81" s="2269"/>
      <c r="AR81" s="2269"/>
      <c r="AS81" s="2269"/>
      <c r="AT81" s="2269"/>
      <c r="AU81" s="2269"/>
      <c r="AV81" s="2269"/>
      <c r="AW81" s="2269"/>
      <c r="AX81" s="2269"/>
      <c r="AY81" s="2269"/>
      <c r="AZ81" s="2269"/>
      <c r="BA81" s="2269"/>
      <c r="BB81" s="2269"/>
      <c r="BC81" s="2269"/>
      <c r="BD81" s="2269"/>
      <c r="BE81" s="2269"/>
      <c r="BF81" s="2269"/>
      <c r="BG81" s="2269"/>
      <c r="BH81" s="2269"/>
      <c r="BI81" s="2269"/>
      <c r="BJ81" s="2269"/>
      <c r="BK81" s="2269"/>
      <c r="BL81" s="2269"/>
      <c r="BM81" s="2269"/>
      <c r="BN81" s="2269"/>
      <c r="BO81" s="2269"/>
      <c r="BP81" s="2269"/>
      <c r="BQ81" s="2269"/>
      <c r="BR81" s="2269"/>
      <c r="BS81" s="2269"/>
      <c r="BT81" s="2269"/>
      <c r="BU81" s="2269"/>
      <c r="BV81" s="2269"/>
      <c r="BW81" s="2269"/>
      <c r="BX81" s="2269"/>
      <c r="BY81" s="2269"/>
      <c r="BZ81" s="2269"/>
      <c r="CA81" s="2269"/>
    </row>
    <row r="82" spans="1:79">
      <c r="A82" s="15"/>
      <c r="B82" s="15"/>
      <c r="C82" s="15"/>
      <c r="D82" s="15"/>
      <c r="E82" s="15"/>
      <c r="F82" s="15"/>
      <c r="G82" s="15"/>
      <c r="H82" s="15"/>
      <c r="I82" s="15"/>
      <c r="J82" s="15"/>
      <c r="K82" s="15"/>
      <c r="L82" s="15"/>
      <c r="M82" s="15"/>
      <c r="N82" s="15"/>
      <c r="O82" s="15"/>
      <c r="P82" s="15"/>
      <c r="Q82" s="15"/>
      <c r="R82" s="15"/>
      <c r="S82" s="15"/>
      <c r="T82" s="15"/>
      <c r="U82" s="15"/>
      <c r="V82" s="2269"/>
      <c r="W82" s="2269"/>
      <c r="X82" s="2269"/>
      <c r="Y82" s="2269"/>
      <c r="Z82" s="2269"/>
      <c r="AA82" s="2269"/>
      <c r="AB82" s="2269"/>
      <c r="AC82" s="2269"/>
      <c r="AD82" s="2269"/>
      <c r="AE82" s="2269"/>
      <c r="AF82" s="2269"/>
      <c r="AG82" s="2269"/>
      <c r="AH82" s="2269"/>
      <c r="AI82" s="2269"/>
      <c r="AJ82" s="2269"/>
      <c r="AK82" s="2269"/>
      <c r="AL82" s="2269"/>
      <c r="AM82" s="2269"/>
      <c r="AN82" s="2269"/>
      <c r="AO82" s="2269"/>
      <c r="AP82" s="2269"/>
      <c r="AQ82" s="2269"/>
      <c r="AR82" s="2269"/>
      <c r="AS82" s="2269"/>
      <c r="AT82" s="2269"/>
      <c r="AU82" s="2269"/>
      <c r="AV82" s="2269"/>
      <c r="AW82" s="2269"/>
      <c r="AX82" s="2269"/>
      <c r="AY82" s="2269"/>
      <c r="AZ82" s="2269"/>
      <c r="BA82" s="2269"/>
      <c r="BB82" s="2269"/>
      <c r="BC82" s="2269"/>
      <c r="BD82" s="2269"/>
      <c r="BE82" s="2269"/>
      <c r="BF82" s="2269"/>
      <c r="BG82" s="2269"/>
      <c r="BH82" s="2269"/>
      <c r="BI82" s="2269"/>
      <c r="BJ82" s="2269"/>
      <c r="BK82" s="2269"/>
      <c r="BL82" s="2269"/>
      <c r="BM82" s="2269"/>
      <c r="BN82" s="2269"/>
      <c r="BO82" s="2269"/>
      <c r="BP82" s="2269"/>
      <c r="BQ82" s="2269"/>
      <c r="BR82" s="2269"/>
      <c r="BS82" s="2269"/>
      <c r="BT82" s="2269"/>
      <c r="BU82" s="2269"/>
      <c r="BV82" s="2269"/>
      <c r="BW82" s="2269"/>
      <c r="BX82" s="2269"/>
      <c r="BY82" s="2269"/>
      <c r="BZ82" s="2269"/>
      <c r="CA82" s="2269"/>
    </row>
    <row r="83" spans="1:79">
      <c r="A83" s="15"/>
      <c r="B83" s="15"/>
      <c r="C83" s="15"/>
      <c r="D83" s="15"/>
      <c r="E83" s="15"/>
      <c r="F83" s="15"/>
      <c r="G83" s="15"/>
      <c r="H83" s="15"/>
      <c r="I83" s="15"/>
      <c r="J83" s="15"/>
      <c r="K83" s="15"/>
      <c r="L83" s="15"/>
      <c r="M83" s="15"/>
      <c r="N83" s="15"/>
      <c r="O83" s="15"/>
      <c r="P83" s="15"/>
      <c r="Q83" s="15"/>
      <c r="R83" s="15"/>
      <c r="S83" s="15"/>
      <c r="T83" s="15"/>
      <c r="U83" s="15"/>
      <c r="V83" s="2269"/>
      <c r="W83" s="2269"/>
      <c r="X83" s="2269"/>
      <c r="Y83" s="2269"/>
      <c r="Z83" s="2269"/>
      <c r="AA83" s="2269"/>
      <c r="AB83" s="2269"/>
      <c r="AC83" s="2269"/>
      <c r="AD83" s="2269"/>
      <c r="AE83" s="2269"/>
      <c r="AF83" s="2269"/>
      <c r="AG83" s="2269"/>
      <c r="AH83" s="2269"/>
      <c r="AI83" s="2269"/>
      <c r="AJ83" s="2269"/>
      <c r="AK83" s="2269"/>
      <c r="AL83" s="2269"/>
      <c r="AM83" s="2269"/>
      <c r="AN83" s="2269"/>
      <c r="AO83" s="2269"/>
      <c r="AP83" s="2269"/>
      <c r="AQ83" s="2269"/>
      <c r="AR83" s="2269"/>
      <c r="AS83" s="2269"/>
      <c r="AT83" s="2269"/>
      <c r="AU83" s="2269"/>
      <c r="AV83" s="2269"/>
      <c r="AW83" s="2269"/>
      <c r="AX83" s="2269"/>
      <c r="AY83" s="2269"/>
      <c r="AZ83" s="2269"/>
      <c r="BA83" s="2269"/>
      <c r="BB83" s="2269"/>
      <c r="BC83" s="2269"/>
      <c r="BD83" s="2269"/>
      <c r="BE83" s="2269"/>
      <c r="BF83" s="2269"/>
      <c r="BG83" s="2269"/>
      <c r="BH83" s="2269"/>
      <c r="BI83" s="2269"/>
      <c r="BJ83" s="2269"/>
      <c r="BK83" s="2269"/>
      <c r="BL83" s="2269"/>
      <c r="BM83" s="2269"/>
      <c r="BN83" s="2269"/>
      <c r="BO83" s="2269"/>
      <c r="BP83" s="2269"/>
      <c r="BQ83" s="2269"/>
      <c r="BR83" s="2269"/>
      <c r="BS83" s="2269"/>
      <c r="BT83" s="2269"/>
      <c r="BU83" s="2269"/>
      <c r="BV83" s="2269"/>
      <c r="BW83" s="2269"/>
      <c r="BX83" s="2269"/>
      <c r="BY83" s="2269"/>
      <c r="BZ83" s="2269"/>
      <c r="CA83" s="2269"/>
    </row>
    <row r="84" spans="1:79">
      <c r="A84" s="15"/>
      <c r="B84" s="15"/>
      <c r="C84" s="15"/>
      <c r="D84" s="15"/>
      <c r="E84" s="15"/>
      <c r="F84" s="15"/>
      <c r="G84" s="15"/>
      <c r="H84" s="15"/>
      <c r="I84" s="15"/>
      <c r="J84" s="15"/>
      <c r="K84" s="15"/>
      <c r="L84" s="15"/>
      <c r="M84" s="15"/>
      <c r="N84" s="15"/>
      <c r="O84" s="15"/>
      <c r="P84" s="15"/>
      <c r="Q84" s="15"/>
      <c r="R84" s="15"/>
      <c r="S84" s="15"/>
      <c r="T84" s="15"/>
      <c r="U84" s="15"/>
      <c r="V84" s="2269"/>
      <c r="W84" s="2269"/>
      <c r="X84" s="2269"/>
      <c r="Y84" s="2269"/>
      <c r="Z84" s="2269"/>
      <c r="AA84" s="2269"/>
      <c r="AB84" s="2269"/>
      <c r="AC84" s="2269"/>
      <c r="AD84" s="2269"/>
      <c r="AE84" s="2269"/>
      <c r="AF84" s="2269"/>
      <c r="AG84" s="2269"/>
      <c r="AH84" s="2269"/>
      <c r="AI84" s="2269"/>
      <c r="AJ84" s="2269"/>
      <c r="AK84" s="2269"/>
      <c r="AL84" s="2269"/>
      <c r="AM84" s="2269"/>
      <c r="AN84" s="2269"/>
      <c r="AO84" s="2269"/>
      <c r="AP84" s="2269"/>
      <c r="AQ84" s="2269"/>
      <c r="AR84" s="2269"/>
      <c r="AS84" s="2269"/>
      <c r="AT84" s="2269"/>
      <c r="AU84" s="2269"/>
      <c r="AV84" s="2269"/>
      <c r="AW84" s="2269"/>
      <c r="AX84" s="2269"/>
      <c r="AY84" s="2269"/>
      <c r="AZ84" s="2269"/>
      <c r="BA84" s="2269"/>
      <c r="BB84" s="2269"/>
      <c r="BC84" s="2269"/>
      <c r="BD84" s="2269"/>
      <c r="BE84" s="2269"/>
      <c r="BF84" s="2269"/>
      <c r="BG84" s="2269"/>
      <c r="BH84" s="2269"/>
      <c r="BI84" s="2269"/>
      <c r="BJ84" s="2269"/>
      <c r="BK84" s="2269"/>
      <c r="BL84" s="2269"/>
      <c r="BM84" s="2269"/>
      <c r="BN84" s="2269"/>
      <c r="BO84" s="2269"/>
      <c r="BP84" s="2269"/>
      <c r="BQ84" s="2269"/>
      <c r="BR84" s="2269"/>
      <c r="BS84" s="2269"/>
      <c r="BT84" s="2269"/>
      <c r="BU84" s="2269"/>
      <c r="BV84" s="2269"/>
      <c r="BW84" s="2269"/>
      <c r="BX84" s="2269"/>
      <c r="BY84" s="2269"/>
      <c r="BZ84" s="2269"/>
      <c r="CA84" s="2269"/>
    </row>
    <row r="85" spans="1:79">
      <c r="A85" s="15"/>
      <c r="B85" s="15"/>
      <c r="C85" s="15"/>
      <c r="D85" s="15"/>
      <c r="E85" s="15"/>
      <c r="F85" s="15"/>
      <c r="G85" s="15"/>
      <c r="H85" s="15"/>
      <c r="I85" s="15"/>
      <c r="J85" s="15"/>
      <c r="K85" s="15"/>
      <c r="L85" s="15"/>
      <c r="M85" s="15"/>
      <c r="N85" s="15"/>
      <c r="O85" s="15"/>
      <c r="P85" s="15"/>
      <c r="Q85" s="15"/>
      <c r="R85" s="15"/>
      <c r="S85" s="15"/>
      <c r="T85" s="15"/>
      <c r="U85" s="15"/>
      <c r="V85" s="2269"/>
      <c r="W85" s="2269"/>
      <c r="X85" s="2269"/>
      <c r="Y85" s="2269"/>
      <c r="Z85" s="2269"/>
      <c r="AA85" s="2269"/>
      <c r="AB85" s="2269"/>
      <c r="AC85" s="2269"/>
      <c r="AD85" s="2269"/>
      <c r="AE85" s="2269"/>
      <c r="AF85" s="2269"/>
      <c r="AG85" s="2269"/>
      <c r="AH85" s="2269"/>
      <c r="AI85" s="2269"/>
      <c r="AJ85" s="2269"/>
      <c r="AK85" s="2269"/>
      <c r="AL85" s="2269"/>
      <c r="AM85" s="2269"/>
      <c r="AN85" s="2269"/>
      <c r="AO85" s="2269"/>
      <c r="AP85" s="2269"/>
      <c r="AQ85" s="2269"/>
      <c r="AR85" s="2269"/>
      <c r="AS85" s="2269"/>
      <c r="AT85" s="2269"/>
      <c r="AU85" s="2269"/>
      <c r="AV85" s="2269"/>
      <c r="AW85" s="2269"/>
      <c r="AX85" s="2269"/>
      <c r="AY85" s="2269"/>
      <c r="AZ85" s="2269"/>
      <c r="BA85" s="2269"/>
      <c r="BB85" s="2269"/>
      <c r="BC85" s="2269"/>
      <c r="BD85" s="2269"/>
      <c r="BE85" s="2269"/>
      <c r="BF85" s="2269"/>
      <c r="BG85" s="2269"/>
      <c r="BH85" s="2269"/>
      <c r="BI85" s="2269"/>
      <c r="BJ85" s="2269"/>
      <c r="BK85" s="2269"/>
      <c r="BL85" s="2269"/>
      <c r="BM85" s="2269"/>
      <c r="BN85" s="2269"/>
      <c r="BO85" s="2269"/>
      <c r="BP85" s="2269"/>
      <c r="BQ85" s="2269"/>
      <c r="BR85" s="2269"/>
      <c r="BS85" s="2269"/>
      <c r="BT85" s="2269"/>
      <c r="BU85" s="2269"/>
      <c r="BV85" s="2269"/>
      <c r="BW85" s="2269"/>
      <c r="BX85" s="2269"/>
      <c r="BY85" s="2269"/>
      <c r="BZ85" s="2269"/>
      <c r="CA85" s="2269"/>
    </row>
    <row r="86" spans="1:79">
      <c r="A86" s="15"/>
      <c r="B86" s="15"/>
      <c r="C86" s="15"/>
      <c r="D86" s="15"/>
      <c r="E86" s="15"/>
      <c r="F86" s="15"/>
      <c r="G86" s="15"/>
      <c r="H86" s="15"/>
      <c r="I86" s="15"/>
      <c r="J86" s="15"/>
      <c r="K86" s="15"/>
      <c r="L86" s="15"/>
      <c r="M86" s="15"/>
      <c r="N86" s="15"/>
      <c r="O86" s="15"/>
      <c r="P86" s="15"/>
      <c r="Q86" s="15"/>
      <c r="R86" s="15"/>
      <c r="S86" s="15"/>
      <c r="T86" s="15"/>
      <c r="U86" s="15"/>
      <c r="V86" s="2269"/>
      <c r="W86" s="2269"/>
      <c r="X86" s="2269"/>
      <c r="Y86" s="2269"/>
      <c r="Z86" s="2269"/>
      <c r="AA86" s="2269"/>
      <c r="AB86" s="2269"/>
      <c r="AC86" s="2269"/>
      <c r="AD86" s="2269"/>
      <c r="AE86" s="2269"/>
      <c r="AF86" s="2269"/>
      <c r="AG86" s="2269"/>
      <c r="AH86" s="2269"/>
      <c r="AI86" s="2269"/>
      <c r="AJ86" s="2269"/>
      <c r="AK86" s="2269"/>
      <c r="AL86" s="2269"/>
      <c r="AM86" s="2269"/>
      <c r="AN86" s="2269"/>
      <c r="AO86" s="2269"/>
      <c r="AP86" s="2269"/>
      <c r="AQ86" s="2269"/>
      <c r="AR86" s="2269"/>
      <c r="AS86" s="2269"/>
      <c r="AT86" s="2269"/>
      <c r="AU86" s="2269"/>
      <c r="AV86" s="2269"/>
      <c r="AW86" s="2269"/>
      <c r="AX86" s="2269"/>
      <c r="AY86" s="2269"/>
      <c r="AZ86" s="2269"/>
      <c r="BA86" s="2269"/>
      <c r="BB86" s="2269"/>
      <c r="BC86" s="2269"/>
      <c r="BD86" s="2269"/>
      <c r="BE86" s="2269"/>
      <c r="BF86" s="2269"/>
      <c r="BG86" s="2269"/>
      <c r="BH86" s="2269"/>
      <c r="BI86" s="2269"/>
      <c r="BJ86" s="2269"/>
      <c r="BK86" s="2269"/>
      <c r="BL86" s="2269"/>
      <c r="BM86" s="2269"/>
      <c r="BN86" s="2269"/>
      <c r="BO86" s="2269"/>
      <c r="BP86" s="2269"/>
      <c r="BQ86" s="2269"/>
      <c r="BR86" s="2269"/>
      <c r="BS86" s="2269"/>
      <c r="BT86" s="2269"/>
      <c r="BU86" s="2269"/>
      <c r="BV86" s="2269"/>
      <c r="BW86" s="2269"/>
      <c r="BX86" s="2269"/>
      <c r="BY86" s="2269"/>
      <c r="BZ86" s="2269"/>
      <c r="CA86" s="2269"/>
    </row>
    <row r="87" spans="1:79">
      <c r="A87" s="15"/>
      <c r="B87" s="15"/>
      <c r="C87" s="15"/>
      <c r="D87" s="15"/>
      <c r="E87" s="15"/>
      <c r="F87" s="15"/>
      <c r="G87" s="15"/>
      <c r="H87" s="15"/>
      <c r="I87" s="15"/>
      <c r="J87" s="15"/>
      <c r="K87" s="15"/>
      <c r="L87" s="15"/>
      <c r="M87" s="15"/>
      <c r="N87" s="15"/>
      <c r="O87" s="15"/>
      <c r="P87" s="15"/>
      <c r="Q87" s="15"/>
      <c r="R87" s="15"/>
      <c r="S87" s="15"/>
      <c r="T87" s="15"/>
      <c r="U87" s="15"/>
      <c r="V87" s="2269"/>
      <c r="W87" s="2269"/>
      <c r="X87" s="2269"/>
      <c r="Y87" s="2269"/>
      <c r="Z87" s="2269"/>
      <c r="AA87" s="2269"/>
      <c r="AB87" s="2269"/>
      <c r="AC87" s="2269"/>
      <c r="AD87" s="2269"/>
      <c r="AE87" s="2269"/>
      <c r="AF87" s="2269"/>
      <c r="AG87" s="2269"/>
      <c r="AH87" s="2269"/>
      <c r="AI87" s="2269"/>
      <c r="AJ87" s="2269"/>
      <c r="AK87" s="2269"/>
      <c r="AL87" s="2269"/>
      <c r="AM87" s="2269"/>
      <c r="AN87" s="2269"/>
      <c r="AO87" s="2269"/>
      <c r="AP87" s="2269"/>
      <c r="AQ87" s="2269"/>
      <c r="AR87" s="2269"/>
      <c r="AS87" s="2269"/>
      <c r="AT87" s="2269"/>
      <c r="AU87" s="2269"/>
      <c r="AV87" s="2269"/>
      <c r="AW87" s="2269"/>
      <c r="AX87" s="2269"/>
      <c r="AY87" s="2269"/>
      <c r="AZ87" s="2269"/>
      <c r="BA87" s="2269"/>
      <c r="BB87" s="2269"/>
      <c r="BC87" s="2269"/>
      <c r="BD87" s="2269"/>
      <c r="BE87" s="2269"/>
      <c r="BF87" s="2269"/>
      <c r="BG87" s="2269"/>
      <c r="BH87" s="2269"/>
      <c r="BI87" s="2269"/>
      <c r="BJ87" s="2269"/>
      <c r="BK87" s="2269"/>
      <c r="BL87" s="2269"/>
      <c r="BM87" s="2269"/>
      <c r="BN87" s="2269"/>
      <c r="BO87" s="2269"/>
      <c r="BP87" s="2269"/>
      <c r="BQ87" s="2269"/>
      <c r="BR87" s="2269"/>
      <c r="BS87" s="2269"/>
      <c r="BT87" s="2269"/>
      <c r="BU87" s="2269"/>
      <c r="BV87" s="2269"/>
      <c r="BW87" s="2269"/>
      <c r="BX87" s="2269"/>
      <c r="BY87" s="2269"/>
      <c r="BZ87" s="2269"/>
      <c r="CA87" s="2269"/>
    </row>
    <row r="88" spans="1:79">
      <c r="A88" s="15"/>
      <c r="B88" s="15"/>
      <c r="C88" s="15"/>
      <c r="D88" s="15"/>
      <c r="E88" s="15"/>
      <c r="F88" s="15"/>
      <c r="G88" s="15"/>
      <c r="H88" s="15"/>
      <c r="I88" s="15"/>
      <c r="J88" s="15"/>
      <c r="K88" s="15"/>
      <c r="L88" s="15"/>
      <c r="M88" s="15"/>
      <c r="N88" s="15"/>
      <c r="O88" s="15"/>
      <c r="P88" s="15"/>
      <c r="Q88" s="15"/>
      <c r="R88" s="15"/>
      <c r="S88" s="15"/>
      <c r="T88" s="15"/>
      <c r="U88" s="15"/>
      <c r="V88" s="2269"/>
      <c r="W88" s="2269"/>
      <c r="X88" s="2269"/>
      <c r="Y88" s="2269"/>
      <c r="Z88" s="2269"/>
      <c r="AA88" s="2269"/>
      <c r="AB88" s="2269"/>
      <c r="AC88" s="2269"/>
      <c r="AD88" s="2269"/>
      <c r="AE88" s="2269"/>
      <c r="AF88" s="2269"/>
      <c r="AG88" s="2269"/>
      <c r="AH88" s="2269"/>
      <c r="AI88" s="2269"/>
      <c r="AJ88" s="2269"/>
      <c r="AK88" s="2269"/>
      <c r="AL88" s="2269"/>
      <c r="AM88" s="2269"/>
      <c r="AN88" s="2269"/>
      <c r="AO88" s="2269"/>
      <c r="AP88" s="2269"/>
      <c r="AQ88" s="2269"/>
      <c r="AR88" s="2269"/>
      <c r="AS88" s="2269"/>
      <c r="AT88" s="2269"/>
      <c r="AU88" s="2269"/>
      <c r="AV88" s="2269"/>
      <c r="AW88" s="2269"/>
      <c r="AX88" s="2269"/>
      <c r="AY88" s="2269"/>
      <c r="AZ88" s="2269"/>
      <c r="BA88" s="2269"/>
      <c r="BB88" s="2269"/>
      <c r="BC88" s="2269"/>
      <c r="BD88" s="2269"/>
      <c r="BE88" s="2269"/>
      <c r="BF88" s="2269"/>
      <c r="BG88" s="2269"/>
      <c r="BH88" s="2269"/>
      <c r="BI88" s="2269"/>
      <c r="BJ88" s="2269"/>
      <c r="BK88" s="2269"/>
      <c r="BL88" s="2269"/>
      <c r="BM88" s="2269"/>
      <c r="BN88" s="2269"/>
      <c r="BO88" s="2269"/>
      <c r="BP88" s="2269"/>
      <c r="BQ88" s="2269"/>
      <c r="BR88" s="2269"/>
      <c r="BS88" s="2269"/>
      <c r="BT88" s="2269"/>
      <c r="BU88" s="2269"/>
      <c r="BV88" s="2269"/>
      <c r="BW88" s="2269"/>
      <c r="BX88" s="2269"/>
      <c r="BY88" s="2269"/>
      <c r="BZ88" s="2269"/>
      <c r="CA88" s="2269"/>
    </row>
    <row r="89" spans="1:79">
      <c r="A89" s="15"/>
      <c r="B89" s="15"/>
      <c r="C89" s="15"/>
      <c r="D89" s="15"/>
      <c r="E89" s="15"/>
      <c r="F89" s="15"/>
      <c r="G89" s="15"/>
      <c r="H89" s="15"/>
      <c r="I89" s="15"/>
      <c r="J89" s="15"/>
      <c r="K89" s="15"/>
      <c r="L89" s="15"/>
      <c r="M89" s="15"/>
      <c r="N89" s="15"/>
      <c r="O89" s="15"/>
      <c r="P89" s="15"/>
      <c r="Q89" s="15"/>
      <c r="R89" s="15"/>
      <c r="S89" s="15"/>
      <c r="T89" s="15"/>
      <c r="U89" s="15"/>
      <c r="V89" s="2269"/>
      <c r="W89" s="2269"/>
      <c r="X89" s="2269"/>
      <c r="Y89" s="2269"/>
      <c r="Z89" s="2269"/>
      <c r="AA89" s="2269"/>
      <c r="AB89" s="2269"/>
      <c r="AC89" s="2269"/>
      <c r="AD89" s="2269"/>
      <c r="AE89" s="2269"/>
      <c r="AF89" s="2269"/>
      <c r="AG89" s="2269"/>
      <c r="AH89" s="2269"/>
      <c r="AI89" s="2269"/>
      <c r="AJ89" s="2269"/>
      <c r="AK89" s="2269"/>
      <c r="AL89" s="2269"/>
      <c r="AM89" s="2269"/>
      <c r="AN89" s="2269"/>
      <c r="AO89" s="2269"/>
      <c r="AP89" s="2269"/>
      <c r="AQ89" s="2269"/>
      <c r="AR89" s="2269"/>
      <c r="AS89" s="2269"/>
      <c r="AT89" s="2269"/>
      <c r="AU89" s="2269"/>
      <c r="AV89" s="2269"/>
      <c r="AW89" s="2269"/>
      <c r="AX89" s="2269"/>
      <c r="AY89" s="2269"/>
      <c r="AZ89" s="2269"/>
      <c r="BA89" s="2269"/>
      <c r="BB89" s="2269"/>
      <c r="BC89" s="2269"/>
      <c r="BD89" s="2269"/>
      <c r="BE89" s="2269"/>
      <c r="BF89" s="2269"/>
      <c r="BG89" s="2269"/>
      <c r="BH89" s="2269"/>
      <c r="BI89" s="2269"/>
      <c r="BJ89" s="2269"/>
      <c r="BK89" s="2269"/>
      <c r="BL89" s="2269"/>
      <c r="BM89" s="2269"/>
      <c r="BN89" s="2269"/>
      <c r="BO89" s="2269"/>
      <c r="BP89" s="2269"/>
      <c r="BQ89" s="2269"/>
      <c r="BR89" s="2269"/>
      <c r="BS89" s="2269"/>
      <c r="BT89" s="2269"/>
      <c r="BU89" s="2269"/>
      <c r="BV89" s="2269"/>
      <c r="BW89" s="2269"/>
      <c r="BX89" s="2269"/>
      <c r="BY89" s="2269"/>
      <c r="BZ89" s="2269"/>
      <c r="CA89" s="2269"/>
    </row>
    <row r="90" spans="1:79">
      <c r="A90" s="15"/>
      <c r="B90" s="15"/>
      <c r="C90" s="15"/>
      <c r="D90" s="15"/>
      <c r="E90" s="15"/>
      <c r="F90" s="15"/>
      <c r="G90" s="15"/>
      <c r="H90" s="15"/>
      <c r="I90" s="15"/>
      <c r="J90" s="15"/>
      <c r="K90" s="15"/>
      <c r="L90" s="15"/>
      <c r="M90" s="15"/>
      <c r="N90" s="15"/>
      <c r="O90" s="15"/>
      <c r="P90" s="15"/>
      <c r="Q90" s="15"/>
      <c r="R90" s="15"/>
      <c r="S90" s="15"/>
      <c r="T90" s="15"/>
      <c r="U90" s="15"/>
      <c r="V90" s="2269"/>
      <c r="W90" s="2269"/>
      <c r="X90" s="2269"/>
      <c r="Y90" s="2269"/>
      <c r="Z90" s="2269"/>
      <c r="AA90" s="2269"/>
      <c r="AB90" s="2269"/>
      <c r="AC90" s="2269"/>
      <c r="AD90" s="2269"/>
      <c r="AE90" s="2269"/>
      <c r="AF90" s="2269"/>
      <c r="AG90" s="2269"/>
      <c r="AH90" s="2269"/>
      <c r="AI90" s="2269"/>
      <c r="AJ90" s="2269"/>
      <c r="AK90" s="2269"/>
      <c r="AL90" s="2269"/>
      <c r="AM90" s="2269"/>
      <c r="AN90" s="2269"/>
      <c r="AO90" s="2269"/>
      <c r="AP90" s="2269"/>
      <c r="AQ90" s="2269"/>
      <c r="AR90" s="2269"/>
      <c r="AS90" s="2269"/>
      <c r="AT90" s="2269"/>
      <c r="AU90" s="2269"/>
      <c r="AV90" s="2269"/>
      <c r="AW90" s="2269"/>
      <c r="AX90" s="2269"/>
      <c r="AY90" s="2269"/>
      <c r="AZ90" s="2269"/>
      <c r="BA90" s="2269"/>
      <c r="BB90" s="2269"/>
      <c r="BC90" s="2269"/>
      <c r="BD90" s="2269"/>
      <c r="BE90" s="2269"/>
      <c r="BF90" s="2269"/>
      <c r="BG90" s="2269"/>
      <c r="BH90" s="2269"/>
      <c r="BI90" s="2269"/>
      <c r="BJ90" s="2269"/>
      <c r="BK90" s="2269"/>
      <c r="BL90" s="2269"/>
      <c r="BM90" s="2269"/>
      <c r="BN90" s="2269"/>
      <c r="BO90" s="2269"/>
      <c r="BP90" s="2269"/>
      <c r="BQ90" s="2269"/>
      <c r="BR90" s="2269"/>
      <c r="BS90" s="2269"/>
      <c r="BT90" s="2269"/>
      <c r="BU90" s="2269"/>
      <c r="BV90" s="2269"/>
      <c r="BW90" s="2269"/>
      <c r="BX90" s="2269"/>
      <c r="BY90" s="2269"/>
      <c r="BZ90" s="2269"/>
      <c r="CA90" s="2269"/>
    </row>
    <row r="91" spans="1:79">
      <c r="A91" s="15"/>
      <c r="B91" s="15"/>
      <c r="C91" s="15"/>
      <c r="D91" s="15"/>
      <c r="E91" s="15"/>
      <c r="F91" s="15"/>
      <c r="G91" s="15"/>
      <c r="H91" s="15"/>
      <c r="I91" s="15"/>
      <c r="J91" s="15"/>
      <c r="K91" s="15"/>
      <c r="L91" s="15"/>
      <c r="M91" s="15"/>
      <c r="N91" s="15"/>
      <c r="O91" s="15"/>
      <c r="P91" s="15"/>
      <c r="Q91" s="15"/>
      <c r="R91" s="15"/>
      <c r="S91" s="15"/>
      <c r="T91" s="15"/>
      <c r="U91" s="15"/>
      <c r="V91" s="2269"/>
      <c r="W91" s="2269"/>
      <c r="X91" s="2269"/>
      <c r="Y91" s="2269"/>
      <c r="Z91" s="2269"/>
      <c r="AA91" s="2269"/>
      <c r="AB91" s="2269"/>
      <c r="AC91" s="2269"/>
      <c r="AD91" s="2269"/>
      <c r="AE91" s="2269"/>
      <c r="AF91" s="2269"/>
      <c r="AG91" s="2269"/>
      <c r="AH91" s="2269"/>
      <c r="AI91" s="2269"/>
      <c r="AJ91" s="2269"/>
      <c r="AK91" s="2269"/>
      <c r="AL91" s="2269"/>
      <c r="AM91" s="2269"/>
      <c r="AN91" s="2269"/>
      <c r="AO91" s="2269"/>
      <c r="AP91" s="2269"/>
      <c r="AQ91" s="2269"/>
      <c r="AR91" s="2269"/>
      <c r="AS91" s="2269"/>
      <c r="AT91" s="2269"/>
      <c r="AU91" s="2269"/>
      <c r="AV91" s="2269"/>
      <c r="AW91" s="2269"/>
      <c r="AX91" s="2269"/>
      <c r="AY91" s="2269"/>
      <c r="AZ91" s="2269"/>
      <c r="BA91" s="2269"/>
      <c r="BB91" s="2269"/>
      <c r="BC91" s="2269"/>
      <c r="BD91" s="2269"/>
      <c r="BE91" s="2269"/>
      <c r="BF91" s="2269"/>
      <c r="BG91" s="2269"/>
      <c r="BH91" s="2269"/>
      <c r="BI91" s="2269"/>
      <c r="BJ91" s="2269"/>
      <c r="BK91" s="2269"/>
      <c r="BL91" s="2269"/>
      <c r="BM91" s="2269"/>
      <c r="BN91" s="2269"/>
      <c r="BO91" s="2269"/>
      <c r="BP91" s="2269"/>
      <c r="BQ91" s="2269"/>
      <c r="BR91" s="2269"/>
      <c r="BS91" s="2269"/>
      <c r="BT91" s="2269"/>
      <c r="BU91" s="2269"/>
      <c r="BV91" s="2269"/>
      <c r="BW91" s="2269"/>
      <c r="BX91" s="2269"/>
      <c r="BY91" s="2269"/>
      <c r="BZ91" s="2269"/>
      <c r="CA91" s="2269"/>
    </row>
    <row r="92" spans="1:79">
      <c r="A92" s="15"/>
      <c r="B92" s="15"/>
      <c r="C92" s="15"/>
      <c r="D92" s="15"/>
      <c r="E92" s="15"/>
      <c r="F92" s="15"/>
      <c r="G92" s="15"/>
      <c r="H92" s="15"/>
      <c r="I92" s="15"/>
      <c r="J92" s="15"/>
      <c r="K92" s="15"/>
      <c r="L92" s="15"/>
      <c r="M92" s="15"/>
      <c r="N92" s="15"/>
      <c r="O92" s="15"/>
      <c r="P92" s="15"/>
      <c r="Q92" s="15"/>
      <c r="R92" s="15"/>
      <c r="S92" s="15"/>
      <c r="T92" s="15"/>
      <c r="U92" s="15"/>
      <c r="V92" s="2269"/>
      <c r="W92" s="2269"/>
      <c r="X92" s="2269"/>
      <c r="Y92" s="2269"/>
      <c r="Z92" s="2269"/>
      <c r="AA92" s="2269"/>
      <c r="AB92" s="2269"/>
      <c r="AC92" s="2269"/>
      <c r="AD92" s="2269"/>
      <c r="AE92" s="2269"/>
      <c r="AF92" s="2269"/>
      <c r="AG92" s="2269"/>
      <c r="AH92" s="2269"/>
      <c r="AI92" s="2269"/>
      <c r="AJ92" s="2269"/>
      <c r="AK92" s="2269"/>
      <c r="AL92" s="2269"/>
      <c r="AM92" s="2269"/>
      <c r="AN92" s="2269"/>
      <c r="AO92" s="2269"/>
      <c r="AP92" s="2269"/>
      <c r="AQ92" s="2269"/>
      <c r="AR92" s="2269"/>
      <c r="AS92" s="2269"/>
      <c r="AT92" s="2269"/>
      <c r="AU92" s="2269"/>
      <c r="AV92" s="2269"/>
      <c r="AW92" s="2269"/>
      <c r="AX92" s="2269"/>
      <c r="AY92" s="2269"/>
      <c r="AZ92" s="2269"/>
      <c r="BA92" s="2269"/>
      <c r="BB92" s="2269"/>
      <c r="BC92" s="2269"/>
      <c r="BD92" s="2269"/>
      <c r="BE92" s="2269"/>
      <c r="BF92" s="2269"/>
      <c r="BG92" s="2269"/>
      <c r="BH92" s="2269"/>
      <c r="BI92" s="2269"/>
      <c r="BJ92" s="2269"/>
      <c r="BK92" s="2269"/>
      <c r="BL92" s="2269"/>
      <c r="BM92" s="2269"/>
      <c r="BN92" s="2269"/>
      <c r="BO92" s="2269"/>
      <c r="BP92" s="2269"/>
      <c r="BQ92" s="2269"/>
      <c r="BR92" s="2269"/>
      <c r="BS92" s="2269"/>
      <c r="BT92" s="2269"/>
      <c r="BU92" s="2269"/>
      <c r="BV92" s="2269"/>
      <c r="BW92" s="2269"/>
      <c r="BX92" s="2269"/>
      <c r="BY92" s="2269"/>
      <c r="BZ92" s="2269"/>
      <c r="CA92" s="2269"/>
    </row>
    <row r="93" spans="1:79">
      <c r="A93" s="15"/>
      <c r="B93" s="15"/>
      <c r="C93" s="15"/>
      <c r="D93" s="15"/>
      <c r="E93" s="15"/>
      <c r="F93" s="15"/>
      <c r="G93" s="15"/>
      <c r="H93" s="15"/>
      <c r="I93" s="15"/>
      <c r="J93" s="15"/>
      <c r="K93" s="15"/>
      <c r="L93" s="15"/>
      <c r="M93" s="15"/>
      <c r="N93" s="15"/>
      <c r="O93" s="15"/>
      <c r="P93" s="15"/>
      <c r="Q93" s="15"/>
      <c r="R93" s="15"/>
      <c r="S93" s="15"/>
      <c r="T93" s="15"/>
      <c r="U93" s="15"/>
      <c r="V93" s="2269"/>
      <c r="W93" s="2269"/>
      <c r="X93" s="2269"/>
      <c r="Y93" s="2269"/>
      <c r="Z93" s="2269"/>
      <c r="AA93" s="2269"/>
      <c r="AB93" s="2269"/>
      <c r="AC93" s="2269"/>
      <c r="AD93" s="2269"/>
      <c r="AE93" s="2269"/>
      <c r="AF93" s="2269"/>
      <c r="AG93" s="2269"/>
      <c r="AH93" s="2269"/>
      <c r="AI93" s="2269"/>
      <c r="AJ93" s="2269"/>
      <c r="AK93" s="2269"/>
      <c r="AL93" s="2269"/>
      <c r="AM93" s="2269"/>
      <c r="AN93" s="2269"/>
      <c r="AO93" s="2269"/>
      <c r="AP93" s="2269"/>
      <c r="AQ93" s="2269"/>
      <c r="AR93" s="2269"/>
      <c r="AS93" s="2269"/>
      <c r="AT93" s="2269"/>
      <c r="AU93" s="2269"/>
      <c r="AV93" s="2269"/>
      <c r="AW93" s="2269"/>
      <c r="AX93" s="2269"/>
      <c r="AY93" s="2269"/>
      <c r="AZ93" s="2269"/>
      <c r="BA93" s="2269"/>
      <c r="BB93" s="2269"/>
      <c r="BC93" s="2269"/>
      <c r="BD93" s="2269"/>
      <c r="BE93" s="2269"/>
      <c r="BF93" s="2269"/>
      <c r="BG93" s="2269"/>
      <c r="BH93" s="2269"/>
      <c r="BI93" s="2269"/>
      <c r="BJ93" s="2269"/>
      <c r="BK93" s="2269"/>
      <c r="BL93" s="2269"/>
      <c r="BM93" s="2269"/>
      <c r="BN93" s="2269"/>
      <c r="BO93" s="2269"/>
      <c r="BP93" s="2269"/>
      <c r="BQ93" s="2269"/>
      <c r="BR93" s="2269"/>
      <c r="BS93" s="2269"/>
      <c r="BT93" s="2269"/>
      <c r="BU93" s="2269"/>
      <c r="BV93" s="2269"/>
      <c r="BW93" s="2269"/>
      <c r="BX93" s="2269"/>
      <c r="BY93" s="2269"/>
      <c r="BZ93" s="2269"/>
      <c r="CA93" s="2269"/>
    </row>
    <row r="94" spans="1:79">
      <c r="A94" s="15"/>
      <c r="B94" s="15"/>
      <c r="C94" s="15"/>
      <c r="D94" s="15"/>
      <c r="E94" s="15"/>
      <c r="F94" s="15"/>
      <c r="G94" s="15"/>
      <c r="H94" s="15"/>
      <c r="I94" s="15"/>
      <c r="J94" s="15"/>
      <c r="K94" s="15"/>
      <c r="L94" s="15"/>
      <c r="M94" s="15"/>
      <c r="N94" s="15"/>
      <c r="O94" s="15"/>
      <c r="P94" s="15"/>
      <c r="Q94" s="15"/>
      <c r="R94" s="15"/>
      <c r="S94" s="15"/>
      <c r="T94" s="15"/>
      <c r="U94" s="15"/>
      <c r="V94" s="2269"/>
      <c r="W94" s="2269"/>
      <c r="X94" s="2269"/>
      <c r="Y94" s="2269"/>
      <c r="Z94" s="2269"/>
      <c r="AA94" s="2269"/>
      <c r="AB94" s="2269"/>
      <c r="AC94" s="2269"/>
      <c r="AD94" s="2269"/>
      <c r="AE94" s="2269"/>
      <c r="AF94" s="2269"/>
      <c r="AG94" s="2269"/>
      <c r="AH94" s="2269"/>
      <c r="AI94" s="2269"/>
      <c r="AJ94" s="2269"/>
      <c r="AK94" s="2269"/>
      <c r="AL94" s="2269"/>
      <c r="AM94" s="2269"/>
      <c r="AN94" s="2269"/>
      <c r="AO94" s="2269"/>
      <c r="AP94" s="2269"/>
      <c r="AQ94" s="2269"/>
      <c r="AR94" s="2269"/>
      <c r="AS94" s="2269"/>
      <c r="AT94" s="2269"/>
      <c r="AU94" s="2269"/>
      <c r="AV94" s="2269"/>
      <c r="AW94" s="2269"/>
      <c r="AX94" s="2269"/>
      <c r="AY94" s="2269"/>
      <c r="AZ94" s="2269"/>
      <c r="BA94" s="2269"/>
      <c r="BB94" s="2269"/>
      <c r="BC94" s="2269"/>
      <c r="BD94" s="2269"/>
      <c r="BE94" s="2269"/>
      <c r="BF94" s="2269"/>
      <c r="BG94" s="2269"/>
      <c r="BH94" s="2269"/>
      <c r="BI94" s="2269"/>
      <c r="BJ94" s="2269"/>
      <c r="BK94" s="2269"/>
      <c r="BL94" s="2269"/>
      <c r="BM94" s="2269"/>
      <c r="BN94" s="2269"/>
      <c r="BO94" s="2269"/>
      <c r="BP94" s="2269"/>
      <c r="BQ94" s="2269"/>
      <c r="BR94" s="2269"/>
      <c r="BS94" s="2269"/>
      <c r="BT94" s="2269"/>
      <c r="BU94" s="2269"/>
      <c r="BV94" s="2269"/>
      <c r="BW94" s="2269"/>
      <c r="BX94" s="2269"/>
      <c r="BY94" s="2269"/>
      <c r="BZ94" s="2269"/>
      <c r="CA94" s="2269"/>
    </row>
    <row r="95" spans="1:79">
      <c r="A95" s="15"/>
      <c r="B95" s="15"/>
      <c r="C95" s="15"/>
      <c r="D95" s="15"/>
      <c r="E95" s="15"/>
      <c r="F95" s="15"/>
      <c r="G95" s="15"/>
      <c r="H95" s="15"/>
      <c r="I95" s="15"/>
      <c r="J95" s="15"/>
      <c r="K95" s="15"/>
      <c r="L95" s="15"/>
      <c r="M95" s="15"/>
      <c r="N95" s="15"/>
      <c r="O95" s="15"/>
      <c r="P95" s="15"/>
      <c r="Q95" s="15"/>
      <c r="R95" s="15"/>
      <c r="S95" s="15"/>
      <c r="T95" s="15"/>
      <c r="U95" s="15"/>
      <c r="V95" s="2269"/>
      <c r="W95" s="2269"/>
      <c r="X95" s="2269"/>
      <c r="Y95" s="2269"/>
      <c r="Z95" s="2269"/>
      <c r="AA95" s="2269"/>
      <c r="AB95" s="2269"/>
      <c r="AC95" s="2269"/>
      <c r="AD95" s="2269"/>
      <c r="AE95" s="2269"/>
      <c r="AF95" s="2269"/>
      <c r="AG95" s="2269"/>
      <c r="AH95" s="2269"/>
      <c r="AI95" s="2269"/>
      <c r="AJ95" s="2269"/>
      <c r="AK95" s="2269"/>
      <c r="AL95" s="2269"/>
      <c r="AM95" s="2269"/>
      <c r="AN95" s="2269"/>
      <c r="AO95" s="2269"/>
      <c r="AP95" s="2269"/>
      <c r="AQ95" s="2269"/>
      <c r="AR95" s="2269"/>
      <c r="AS95" s="2269"/>
      <c r="AT95" s="2269"/>
      <c r="AU95" s="2269"/>
      <c r="AV95" s="2269"/>
      <c r="AW95" s="2269"/>
      <c r="AX95" s="2269"/>
      <c r="AY95" s="2269"/>
      <c r="AZ95" s="2269"/>
      <c r="BA95" s="2269"/>
      <c r="BB95" s="2269"/>
      <c r="BC95" s="2269"/>
      <c r="BD95" s="2269"/>
      <c r="BE95" s="2269"/>
      <c r="BF95" s="2269"/>
      <c r="BG95" s="2269"/>
      <c r="BH95" s="2269"/>
      <c r="BI95" s="2269"/>
      <c r="BJ95" s="2269"/>
      <c r="BK95" s="2269"/>
      <c r="BL95" s="2269"/>
      <c r="BM95" s="2269"/>
      <c r="BN95" s="2269"/>
      <c r="BO95" s="2269"/>
      <c r="BP95" s="2269"/>
      <c r="BQ95" s="2269"/>
      <c r="BR95" s="2269"/>
      <c r="BS95" s="2269"/>
      <c r="BT95" s="2269"/>
      <c r="BU95" s="2269"/>
      <c r="BV95" s="2269"/>
      <c r="BW95" s="2269"/>
      <c r="BX95" s="2269"/>
      <c r="BY95" s="2269"/>
      <c r="BZ95" s="2269"/>
      <c r="CA95" s="2269"/>
    </row>
    <row r="96" spans="1:79">
      <c r="A96" s="15"/>
      <c r="B96" s="15"/>
      <c r="C96" s="15"/>
      <c r="D96" s="15"/>
      <c r="E96" s="15"/>
      <c r="F96" s="15"/>
      <c r="G96" s="15"/>
      <c r="H96" s="15"/>
      <c r="I96" s="15"/>
      <c r="J96" s="15"/>
      <c r="K96" s="15"/>
      <c r="L96" s="15"/>
      <c r="M96" s="15"/>
      <c r="N96" s="15"/>
      <c r="O96" s="15"/>
      <c r="P96" s="15"/>
      <c r="Q96" s="15"/>
      <c r="R96" s="15"/>
      <c r="S96" s="15"/>
      <c r="T96" s="15"/>
      <c r="U96" s="15"/>
      <c r="V96" s="2269"/>
      <c r="W96" s="2269"/>
      <c r="X96" s="2269"/>
      <c r="Y96" s="2269"/>
      <c r="Z96" s="2269"/>
      <c r="AA96" s="2269"/>
      <c r="AB96" s="2269"/>
      <c r="AC96" s="2269"/>
      <c r="AD96" s="2269"/>
      <c r="AE96" s="2269"/>
      <c r="AF96" s="2269"/>
      <c r="AG96" s="2269"/>
      <c r="AH96" s="2269"/>
      <c r="AI96" s="2269"/>
      <c r="AJ96" s="2269"/>
      <c r="AK96" s="2269"/>
      <c r="AL96" s="2269"/>
      <c r="AM96" s="2269"/>
      <c r="AN96" s="2269"/>
      <c r="AO96" s="2269"/>
      <c r="AP96" s="2269"/>
      <c r="AQ96" s="2269"/>
      <c r="AR96" s="2269"/>
      <c r="AS96" s="2269"/>
      <c r="AT96" s="2269"/>
      <c r="AU96" s="2269"/>
      <c r="AV96" s="2269"/>
      <c r="AW96" s="2269"/>
      <c r="AX96" s="2269"/>
      <c r="AY96" s="2269"/>
      <c r="AZ96" s="2269"/>
      <c r="BA96" s="2269"/>
      <c r="BB96" s="2269"/>
      <c r="BC96" s="2269"/>
      <c r="BD96" s="2269"/>
      <c r="BE96" s="2269"/>
      <c r="BF96" s="2269"/>
      <c r="BG96" s="2269"/>
      <c r="BH96" s="2269"/>
      <c r="BI96" s="2269"/>
      <c r="BJ96" s="2269"/>
      <c r="BK96" s="2269"/>
      <c r="BL96" s="2269"/>
      <c r="BM96" s="2269"/>
      <c r="BN96" s="2269"/>
      <c r="BO96" s="2269"/>
      <c r="BP96" s="2269"/>
      <c r="BQ96" s="2269"/>
      <c r="BR96" s="2269"/>
      <c r="BS96" s="2269"/>
      <c r="BT96" s="2269"/>
      <c r="BU96" s="2269"/>
      <c r="BV96" s="2269"/>
      <c r="BW96" s="2269"/>
      <c r="BX96" s="2269"/>
      <c r="BY96" s="2269"/>
      <c r="BZ96" s="2269"/>
      <c r="CA96" s="2269"/>
    </row>
    <row r="97" spans="1:79">
      <c r="A97" s="15"/>
      <c r="B97" s="15"/>
      <c r="C97" s="15"/>
      <c r="D97" s="15"/>
      <c r="E97" s="15"/>
      <c r="F97" s="15"/>
      <c r="G97" s="15"/>
      <c r="H97" s="15"/>
      <c r="I97" s="15"/>
      <c r="J97" s="15"/>
      <c r="K97" s="15"/>
      <c r="L97" s="15"/>
      <c r="M97" s="15"/>
      <c r="N97" s="15"/>
      <c r="O97" s="15"/>
      <c r="P97" s="15"/>
      <c r="Q97" s="15"/>
      <c r="R97" s="15"/>
      <c r="S97" s="15"/>
      <c r="T97" s="15"/>
      <c r="U97" s="15"/>
      <c r="V97" s="2269"/>
      <c r="W97" s="2269"/>
      <c r="X97" s="2269"/>
      <c r="Y97" s="2269"/>
      <c r="Z97" s="2269"/>
      <c r="AA97" s="2269"/>
      <c r="AB97" s="2269"/>
      <c r="AC97" s="2269"/>
      <c r="AD97" s="2269"/>
      <c r="AE97" s="2269"/>
      <c r="AF97" s="2269"/>
      <c r="AG97" s="2269"/>
      <c r="AH97" s="2269"/>
      <c r="AI97" s="2269"/>
      <c r="AJ97" s="2269"/>
      <c r="AK97" s="2269"/>
      <c r="AL97" s="2269"/>
      <c r="AM97" s="2269"/>
      <c r="AN97" s="2269"/>
      <c r="AO97" s="2269"/>
      <c r="AP97" s="2269"/>
      <c r="AQ97" s="2269"/>
      <c r="AR97" s="2269"/>
      <c r="AS97" s="2269"/>
      <c r="AT97" s="2269"/>
      <c r="AU97" s="2269"/>
      <c r="AV97" s="2269"/>
      <c r="AW97" s="2269"/>
      <c r="AX97" s="2269"/>
      <c r="AY97" s="2269"/>
      <c r="AZ97" s="2269"/>
      <c r="BA97" s="2269"/>
      <c r="BB97" s="2269"/>
      <c r="BC97" s="2269"/>
      <c r="BD97" s="2269"/>
      <c r="BE97" s="2269"/>
      <c r="BF97" s="2269"/>
      <c r="BG97" s="2269"/>
      <c r="BH97" s="2269"/>
      <c r="BI97" s="2269"/>
      <c r="BJ97" s="2269"/>
      <c r="BK97" s="2269"/>
      <c r="BL97" s="2269"/>
      <c r="BM97" s="2269"/>
      <c r="BN97" s="2269"/>
      <c r="BO97" s="2269"/>
      <c r="BP97" s="2269"/>
      <c r="BQ97" s="2269"/>
      <c r="BR97" s="2269"/>
      <c r="BS97" s="2269"/>
      <c r="BT97" s="2269"/>
      <c r="BU97" s="2269"/>
      <c r="BV97" s="2269"/>
      <c r="BW97" s="2269"/>
      <c r="BX97" s="2269"/>
      <c r="BY97" s="2269"/>
      <c r="BZ97" s="2269"/>
      <c r="CA97" s="2269"/>
    </row>
    <row r="98" spans="1:79">
      <c r="A98" s="15"/>
      <c r="B98" s="15"/>
      <c r="C98" s="15"/>
      <c r="D98" s="15"/>
      <c r="E98" s="15"/>
      <c r="F98" s="15"/>
      <c r="G98" s="15"/>
      <c r="H98" s="15"/>
      <c r="I98" s="15"/>
      <c r="J98" s="15"/>
      <c r="K98" s="15"/>
      <c r="L98" s="15"/>
      <c r="M98" s="15"/>
      <c r="N98" s="15"/>
      <c r="O98" s="15"/>
      <c r="P98" s="15"/>
      <c r="Q98" s="15"/>
      <c r="R98" s="15"/>
      <c r="S98" s="15"/>
      <c r="T98" s="15"/>
      <c r="U98" s="15"/>
      <c r="V98" s="2269"/>
      <c r="W98" s="2269"/>
      <c r="X98" s="2269"/>
      <c r="Y98" s="2269"/>
      <c r="Z98" s="2269"/>
      <c r="AA98" s="2269"/>
      <c r="AB98" s="2269"/>
      <c r="AC98" s="2269"/>
      <c r="AD98" s="2269"/>
      <c r="AE98" s="2269"/>
      <c r="AF98" s="2269"/>
      <c r="AG98" s="2269"/>
      <c r="AH98" s="2269"/>
      <c r="AI98" s="2269"/>
      <c r="AJ98" s="2269"/>
      <c r="AK98" s="2269"/>
      <c r="AL98" s="2269"/>
      <c r="AM98" s="2269"/>
      <c r="AN98" s="2269"/>
      <c r="AO98" s="2269"/>
      <c r="AP98" s="2269"/>
      <c r="AQ98" s="2269"/>
      <c r="AR98" s="2269"/>
      <c r="AS98" s="2269"/>
      <c r="AT98" s="2269"/>
      <c r="AU98" s="2269"/>
      <c r="AV98" s="2269"/>
      <c r="AW98" s="2269"/>
      <c r="AX98" s="2269"/>
      <c r="AY98" s="2269"/>
      <c r="AZ98" s="2269"/>
      <c r="BA98" s="2269"/>
      <c r="BB98" s="2269"/>
      <c r="BC98" s="2269"/>
      <c r="BD98" s="2269"/>
      <c r="BE98" s="2269"/>
      <c r="BF98" s="2269"/>
      <c r="BG98" s="2269"/>
      <c r="BH98" s="2269"/>
      <c r="BI98" s="2269"/>
      <c r="BJ98" s="2269"/>
      <c r="BK98" s="2269"/>
      <c r="BL98" s="2269"/>
      <c r="BM98" s="2269"/>
      <c r="BN98" s="2269"/>
      <c r="BO98" s="2269"/>
      <c r="BP98" s="2269"/>
      <c r="BQ98" s="2269"/>
      <c r="BR98" s="2269"/>
      <c r="BS98" s="2269"/>
      <c r="BT98" s="2269"/>
      <c r="BU98" s="2269"/>
      <c r="BV98" s="2269"/>
      <c r="BW98" s="2269"/>
      <c r="BX98" s="2269"/>
      <c r="BY98" s="2269"/>
      <c r="BZ98" s="2269"/>
      <c r="CA98" s="2269"/>
    </row>
    <row r="99" spans="1:79">
      <c r="A99" s="15"/>
      <c r="B99" s="15"/>
      <c r="C99" s="15"/>
      <c r="D99" s="15"/>
      <c r="E99" s="15"/>
      <c r="F99" s="15"/>
      <c r="G99" s="15"/>
      <c r="H99" s="15"/>
      <c r="I99" s="15"/>
      <c r="J99" s="15"/>
      <c r="K99" s="15"/>
      <c r="L99" s="15"/>
      <c r="M99" s="15"/>
      <c r="N99" s="15"/>
      <c r="O99" s="15"/>
      <c r="P99" s="15"/>
      <c r="Q99" s="15"/>
      <c r="R99" s="15"/>
      <c r="S99" s="15"/>
      <c r="T99" s="15"/>
      <c r="U99" s="15"/>
      <c r="V99" s="2269"/>
      <c r="W99" s="2269"/>
      <c r="X99" s="2269"/>
      <c r="Y99" s="2269"/>
      <c r="Z99" s="2269"/>
      <c r="AA99" s="2269"/>
      <c r="AB99" s="2269"/>
      <c r="AC99" s="2269"/>
      <c r="AD99" s="2269"/>
      <c r="AE99" s="2269"/>
      <c r="AF99" s="2269"/>
      <c r="AG99" s="2269"/>
      <c r="AH99" s="2269"/>
      <c r="AI99" s="2269"/>
      <c r="AJ99" s="2269"/>
      <c r="AK99" s="2269"/>
      <c r="AL99" s="2269"/>
      <c r="AM99" s="2269"/>
      <c r="AN99" s="2269"/>
      <c r="AO99" s="2269"/>
      <c r="AP99" s="2269"/>
      <c r="AQ99" s="2269"/>
      <c r="AR99" s="2269"/>
      <c r="AS99" s="2269"/>
      <c r="AT99" s="2269"/>
      <c r="AU99" s="2269"/>
      <c r="AV99" s="2269"/>
      <c r="AW99" s="2269"/>
      <c r="AX99" s="2269"/>
      <c r="AY99" s="2269"/>
      <c r="AZ99" s="2269"/>
      <c r="BA99" s="2269"/>
      <c r="BB99" s="2269"/>
      <c r="BC99" s="2269"/>
      <c r="BD99" s="2269"/>
      <c r="BE99" s="2269"/>
      <c r="BF99" s="2269"/>
      <c r="BG99" s="2269"/>
      <c r="BH99" s="2269"/>
      <c r="BI99" s="2269"/>
      <c r="BJ99" s="2269"/>
      <c r="BK99" s="2269"/>
      <c r="BL99" s="2269"/>
      <c r="BM99" s="2269"/>
      <c r="BN99" s="2269"/>
      <c r="BO99" s="2269"/>
      <c r="BP99" s="2269"/>
      <c r="BQ99" s="2269"/>
      <c r="BR99" s="2269"/>
      <c r="BS99" s="2269"/>
      <c r="BT99" s="2269"/>
      <c r="BU99" s="2269"/>
      <c r="BV99" s="2269"/>
      <c r="BW99" s="2269"/>
      <c r="BX99" s="2269"/>
      <c r="BY99" s="2269"/>
      <c r="BZ99" s="2269"/>
      <c r="CA99" s="2269"/>
    </row>
    <row r="100" spans="1:79">
      <c r="A100" s="15"/>
      <c r="B100" s="15"/>
      <c r="C100" s="15"/>
      <c r="D100" s="15"/>
      <c r="E100" s="15"/>
      <c r="F100" s="15"/>
      <c r="G100" s="15"/>
      <c r="H100" s="15"/>
      <c r="I100" s="15"/>
      <c r="J100" s="15"/>
      <c r="K100" s="15"/>
      <c r="L100" s="15"/>
      <c r="M100" s="15"/>
      <c r="N100" s="15"/>
      <c r="O100" s="15"/>
      <c r="P100" s="15"/>
      <c r="Q100" s="15"/>
      <c r="R100" s="15"/>
      <c r="S100" s="15"/>
      <c r="T100" s="15"/>
      <c r="U100" s="15"/>
      <c r="V100" s="2269"/>
      <c r="W100" s="2269"/>
      <c r="X100" s="2269"/>
      <c r="Y100" s="2269"/>
      <c r="Z100" s="2269"/>
      <c r="AA100" s="2269"/>
      <c r="AB100" s="2269"/>
      <c r="AC100" s="2269"/>
      <c r="AD100" s="2269"/>
      <c r="AE100" s="2269"/>
      <c r="AF100" s="2269"/>
      <c r="AG100" s="2269"/>
      <c r="AH100" s="2269"/>
      <c r="AI100" s="2269"/>
      <c r="AJ100" s="2269"/>
      <c r="AK100" s="2269"/>
      <c r="AL100" s="2269"/>
      <c r="AM100" s="2269"/>
      <c r="AN100" s="2269"/>
      <c r="AO100" s="2269"/>
      <c r="AP100" s="2269"/>
      <c r="AQ100" s="2269"/>
      <c r="AR100" s="2269"/>
      <c r="AS100" s="2269"/>
      <c r="AT100" s="2269"/>
      <c r="AU100" s="2269"/>
      <c r="AV100" s="2269"/>
      <c r="AW100" s="2269"/>
      <c r="AX100" s="2269"/>
      <c r="AY100" s="2269"/>
      <c r="AZ100" s="2269"/>
      <c r="BA100" s="2269"/>
      <c r="BB100" s="2269"/>
      <c r="BC100" s="2269"/>
      <c r="BD100" s="2269"/>
      <c r="BE100" s="2269"/>
      <c r="BF100" s="2269"/>
      <c r="BG100" s="2269"/>
      <c r="BH100" s="2269"/>
      <c r="BI100" s="2269"/>
      <c r="BJ100" s="2269"/>
      <c r="BK100" s="2269"/>
      <c r="BL100" s="2269"/>
      <c r="BM100" s="2269"/>
      <c r="BN100" s="2269"/>
      <c r="BO100" s="2269"/>
      <c r="BP100" s="2269"/>
      <c r="BQ100" s="2269"/>
      <c r="BR100" s="2269"/>
      <c r="BS100" s="2269"/>
      <c r="BT100" s="2269"/>
      <c r="BU100" s="2269"/>
      <c r="BV100" s="2269"/>
      <c r="BW100" s="2269"/>
      <c r="BX100" s="2269"/>
      <c r="BY100" s="2269"/>
      <c r="BZ100" s="2269"/>
      <c r="CA100" s="2269"/>
    </row>
    <row r="101" spans="1:79">
      <c r="A101" s="15"/>
      <c r="B101" s="15"/>
      <c r="C101" s="15"/>
      <c r="D101" s="15"/>
      <c r="E101" s="15"/>
      <c r="F101" s="15"/>
      <c r="G101" s="15"/>
      <c r="H101" s="15"/>
      <c r="I101" s="15"/>
      <c r="J101" s="15"/>
      <c r="K101" s="15"/>
      <c r="L101" s="15"/>
      <c r="M101" s="15"/>
      <c r="N101" s="15"/>
      <c r="O101" s="15"/>
      <c r="P101" s="15"/>
      <c r="Q101" s="15"/>
      <c r="R101" s="15"/>
      <c r="S101" s="15"/>
      <c r="T101" s="15"/>
      <c r="U101" s="15"/>
      <c r="V101" s="2269"/>
      <c r="W101" s="2269"/>
      <c r="X101" s="2269"/>
      <c r="Y101" s="2269"/>
      <c r="Z101" s="2269"/>
      <c r="AA101" s="2269"/>
      <c r="AB101" s="2269"/>
      <c r="AC101" s="2269"/>
      <c r="AD101" s="2269"/>
      <c r="AE101" s="2269"/>
      <c r="AF101" s="2269"/>
      <c r="AG101" s="2269"/>
      <c r="AH101" s="2269"/>
      <c r="AI101" s="2269"/>
      <c r="AJ101" s="2269"/>
      <c r="AK101" s="2269"/>
      <c r="AL101" s="2269"/>
      <c r="AM101" s="2269"/>
      <c r="AN101" s="2269"/>
      <c r="AO101" s="2269"/>
      <c r="AP101" s="2269"/>
      <c r="AQ101" s="2269"/>
      <c r="AR101" s="2269"/>
      <c r="AS101" s="2269"/>
      <c r="AT101" s="2269"/>
      <c r="AU101" s="2269"/>
      <c r="AV101" s="2269"/>
      <c r="AW101" s="2269"/>
      <c r="AX101" s="2269"/>
      <c r="AY101" s="2269"/>
      <c r="AZ101" s="2269"/>
      <c r="BA101" s="2269"/>
      <c r="BB101" s="2269"/>
      <c r="BC101" s="2269"/>
      <c r="BD101" s="2269"/>
      <c r="BE101" s="2269"/>
      <c r="BF101" s="2269"/>
      <c r="BG101" s="2269"/>
      <c r="BH101" s="2269"/>
      <c r="BI101" s="2269"/>
      <c r="BJ101" s="2269"/>
      <c r="BK101" s="2269"/>
      <c r="BL101" s="2269"/>
      <c r="BM101" s="2269"/>
      <c r="BN101" s="2269"/>
      <c r="BO101" s="2269"/>
      <c r="BP101" s="2269"/>
      <c r="BQ101" s="2269"/>
      <c r="BR101" s="2269"/>
      <c r="BS101" s="2269"/>
      <c r="BT101" s="2269"/>
      <c r="BU101" s="2269"/>
      <c r="BV101" s="2269"/>
      <c r="BW101" s="2269"/>
      <c r="BX101" s="2269"/>
      <c r="BY101" s="2269"/>
      <c r="BZ101" s="2269"/>
      <c r="CA101" s="2269"/>
    </row>
    <row r="102" spans="1:79">
      <c r="A102" s="15"/>
      <c r="B102" s="15"/>
      <c r="C102" s="15"/>
      <c r="D102" s="15"/>
      <c r="E102" s="15"/>
      <c r="F102" s="15"/>
      <c r="G102" s="15"/>
      <c r="H102" s="15"/>
      <c r="I102" s="15"/>
      <c r="J102" s="15"/>
      <c r="K102" s="15"/>
      <c r="L102" s="15"/>
      <c r="M102" s="15"/>
      <c r="N102" s="15"/>
      <c r="O102" s="15"/>
      <c r="P102" s="15"/>
      <c r="Q102" s="15"/>
      <c r="R102" s="15"/>
      <c r="S102" s="15"/>
      <c r="T102" s="15"/>
      <c r="U102" s="15"/>
      <c r="V102" s="2269"/>
      <c r="W102" s="2269"/>
      <c r="X102" s="2269"/>
      <c r="Y102" s="2269"/>
      <c r="Z102" s="2269"/>
      <c r="AA102" s="2269"/>
      <c r="AB102" s="2269"/>
      <c r="AC102" s="2269"/>
      <c r="AD102" s="2269"/>
      <c r="AE102" s="2269"/>
      <c r="AF102" s="2269"/>
      <c r="AG102" s="2269"/>
      <c r="AH102" s="2269"/>
      <c r="AI102" s="2269"/>
      <c r="AJ102" s="2269"/>
      <c r="AK102" s="2269"/>
      <c r="AL102" s="2269"/>
      <c r="AM102" s="2269"/>
      <c r="AN102" s="2269"/>
      <c r="AO102" s="2269"/>
      <c r="AP102" s="2269"/>
      <c r="AQ102" s="2269"/>
      <c r="AR102" s="2269"/>
      <c r="AS102" s="2269"/>
      <c r="AT102" s="2269"/>
      <c r="AU102" s="2269"/>
      <c r="AV102" s="2269"/>
      <c r="AW102" s="2269"/>
      <c r="AX102" s="2269"/>
      <c r="AY102" s="2269"/>
      <c r="AZ102" s="2269"/>
      <c r="BA102" s="2269"/>
      <c r="BB102" s="2269"/>
      <c r="BC102" s="2269"/>
      <c r="BD102" s="2269"/>
      <c r="BE102" s="2269"/>
      <c r="BF102" s="2269"/>
      <c r="BG102" s="2269"/>
      <c r="BH102" s="2269"/>
      <c r="BI102" s="2269"/>
      <c r="BJ102" s="2269"/>
      <c r="BK102" s="2269"/>
      <c r="BL102" s="2269"/>
      <c r="BM102" s="2269"/>
      <c r="BN102" s="2269"/>
      <c r="BO102" s="2269"/>
      <c r="BP102" s="2269"/>
      <c r="BQ102" s="2269"/>
      <c r="BR102" s="2269"/>
      <c r="BS102" s="2269"/>
      <c r="BT102" s="2269"/>
      <c r="BU102" s="2269"/>
      <c r="BV102" s="2269"/>
      <c r="BW102" s="2269"/>
      <c r="BX102" s="2269"/>
      <c r="BY102" s="2269"/>
      <c r="BZ102" s="2269"/>
      <c r="CA102" s="2269"/>
    </row>
    <row r="103" spans="1:79">
      <c r="A103" s="15"/>
      <c r="B103" s="15"/>
      <c r="C103" s="15"/>
      <c r="D103" s="15"/>
      <c r="E103" s="15"/>
      <c r="F103" s="15"/>
      <c r="G103" s="15"/>
      <c r="H103" s="15"/>
      <c r="I103" s="15"/>
      <c r="J103" s="15"/>
      <c r="K103" s="15"/>
      <c r="L103" s="15"/>
      <c r="M103" s="15"/>
      <c r="N103" s="15"/>
      <c r="O103" s="15"/>
      <c r="P103" s="15"/>
      <c r="Q103" s="15"/>
      <c r="R103" s="15"/>
      <c r="S103" s="15"/>
      <c r="T103" s="15"/>
      <c r="U103" s="15"/>
      <c r="V103" s="2269"/>
      <c r="W103" s="2269"/>
      <c r="X103" s="2269"/>
      <c r="Y103" s="2269"/>
      <c r="Z103" s="2269"/>
      <c r="AA103" s="2269"/>
      <c r="AB103" s="2269"/>
      <c r="AC103" s="2269"/>
      <c r="AD103" s="2269"/>
      <c r="AE103" s="2269"/>
      <c r="AF103" s="2269"/>
      <c r="AG103" s="2269"/>
      <c r="AH103" s="2269"/>
      <c r="AI103" s="2269"/>
      <c r="AJ103" s="2269"/>
      <c r="AK103" s="2269"/>
      <c r="AL103" s="2269"/>
      <c r="AM103" s="2269"/>
      <c r="AN103" s="2269"/>
      <c r="AO103" s="2269"/>
      <c r="AP103" s="2269"/>
      <c r="AQ103" s="2269"/>
      <c r="AR103" s="2269"/>
      <c r="AS103" s="2269"/>
      <c r="AT103" s="2269"/>
      <c r="AU103" s="2269"/>
      <c r="AV103" s="2269"/>
      <c r="AW103" s="2269"/>
      <c r="AX103" s="2269"/>
      <c r="AY103" s="2269"/>
      <c r="AZ103" s="2269"/>
      <c r="BA103" s="2269"/>
      <c r="BB103" s="2269"/>
      <c r="BC103" s="2269"/>
      <c r="BD103" s="2269"/>
      <c r="BE103" s="2269"/>
      <c r="BF103" s="2269"/>
      <c r="BG103" s="2269"/>
      <c r="BH103" s="2269"/>
      <c r="BI103" s="2269"/>
      <c r="BJ103" s="2269"/>
      <c r="BK103" s="2269"/>
      <c r="BL103" s="2269"/>
      <c r="BM103" s="2269"/>
      <c r="BN103" s="2269"/>
      <c r="BO103" s="2269"/>
      <c r="BP103" s="2269"/>
      <c r="BQ103" s="2269"/>
      <c r="BR103" s="2269"/>
      <c r="BS103" s="2269"/>
      <c r="BT103" s="2269"/>
      <c r="BU103" s="2269"/>
      <c r="BV103" s="2269"/>
      <c r="BW103" s="2269"/>
      <c r="BX103" s="2269"/>
      <c r="BY103" s="2269"/>
      <c r="BZ103" s="2269"/>
      <c r="CA103" s="2269"/>
    </row>
    <row r="104" spans="1:79">
      <c r="A104" s="15"/>
      <c r="B104" s="15"/>
      <c r="C104" s="15"/>
      <c r="D104" s="15"/>
      <c r="E104" s="15"/>
      <c r="F104" s="15"/>
      <c r="G104" s="15"/>
      <c r="H104" s="15"/>
      <c r="I104" s="15"/>
      <c r="J104" s="15"/>
      <c r="K104" s="15"/>
      <c r="L104" s="15"/>
      <c r="M104" s="15"/>
      <c r="N104" s="15"/>
      <c r="O104" s="15"/>
      <c r="P104" s="15"/>
      <c r="Q104" s="15"/>
      <c r="R104" s="15"/>
      <c r="S104" s="15"/>
      <c r="T104" s="15"/>
      <c r="U104" s="15"/>
      <c r="V104" s="2269"/>
      <c r="W104" s="2269"/>
      <c r="X104" s="2269"/>
      <c r="Y104" s="2269"/>
      <c r="Z104" s="2269"/>
      <c r="AA104" s="2269"/>
      <c r="AB104" s="2269"/>
      <c r="AC104" s="2269"/>
      <c r="AD104" s="2269"/>
      <c r="AE104" s="2269"/>
      <c r="AF104" s="2269"/>
      <c r="AG104" s="2269"/>
      <c r="AH104" s="2269"/>
      <c r="AI104" s="2269"/>
      <c r="AJ104" s="2269"/>
      <c r="AK104" s="2269"/>
      <c r="AL104" s="2269"/>
      <c r="AM104" s="2269"/>
      <c r="AN104" s="2269"/>
      <c r="AO104" s="2269"/>
      <c r="AP104" s="2269"/>
      <c r="AQ104" s="2269"/>
      <c r="AR104" s="2269"/>
      <c r="AS104" s="2269"/>
      <c r="AT104" s="2269"/>
      <c r="AU104" s="2269"/>
      <c r="AV104" s="2269"/>
      <c r="AW104" s="2269"/>
      <c r="AX104" s="2269"/>
      <c r="AY104" s="2269"/>
      <c r="AZ104" s="2269"/>
      <c r="BA104" s="2269"/>
      <c r="BB104" s="2269"/>
      <c r="BC104" s="2269"/>
      <c r="BD104" s="2269"/>
      <c r="BE104" s="2269"/>
      <c r="BF104" s="2269"/>
      <c r="BG104" s="2269"/>
      <c r="BH104" s="2269"/>
      <c r="BI104" s="2269"/>
      <c r="BJ104" s="2269"/>
      <c r="BK104" s="2269"/>
      <c r="BL104" s="2269"/>
      <c r="BM104" s="2269"/>
      <c r="BN104" s="2269"/>
      <c r="BO104" s="2269"/>
      <c r="BP104" s="2269"/>
      <c r="BQ104" s="2269"/>
      <c r="BR104" s="2269"/>
      <c r="BS104" s="2269"/>
      <c r="BT104" s="2269"/>
      <c r="BU104" s="2269"/>
      <c r="BV104" s="2269"/>
      <c r="BW104" s="2269"/>
      <c r="BX104" s="2269"/>
      <c r="BY104" s="2269"/>
      <c r="BZ104" s="2269"/>
      <c r="CA104" s="2269"/>
    </row>
    <row r="105" spans="1:79">
      <c r="A105" s="15"/>
      <c r="B105" s="15"/>
      <c r="C105" s="15"/>
      <c r="D105" s="15"/>
      <c r="E105" s="15"/>
      <c r="F105" s="15"/>
      <c r="G105" s="15"/>
      <c r="H105" s="15"/>
      <c r="I105" s="15"/>
      <c r="J105" s="15"/>
      <c r="K105" s="15"/>
      <c r="L105" s="15"/>
      <c r="M105" s="15"/>
      <c r="N105" s="15"/>
      <c r="O105" s="15"/>
      <c r="P105" s="15"/>
      <c r="Q105" s="15"/>
      <c r="R105" s="15"/>
      <c r="S105" s="15"/>
      <c r="T105" s="15"/>
      <c r="U105" s="15"/>
      <c r="V105" s="2269"/>
      <c r="W105" s="2269"/>
      <c r="X105" s="2269"/>
      <c r="Y105" s="2269"/>
      <c r="Z105" s="2269"/>
      <c r="AA105" s="2269"/>
      <c r="AB105" s="2269"/>
      <c r="AC105" s="2269"/>
      <c r="AD105" s="2269"/>
      <c r="AE105" s="2269"/>
      <c r="AF105" s="2269"/>
      <c r="AG105" s="2269"/>
      <c r="AH105" s="2269"/>
      <c r="AI105" s="2269"/>
      <c r="AJ105" s="2269"/>
      <c r="AK105" s="2269"/>
      <c r="AL105" s="2269"/>
      <c r="AM105" s="2269"/>
      <c r="AN105" s="2269"/>
      <c r="AO105" s="2269"/>
      <c r="AP105" s="2269"/>
      <c r="AQ105" s="2269"/>
      <c r="AR105" s="2269"/>
      <c r="AS105" s="2269"/>
      <c r="AT105" s="2269"/>
      <c r="AU105" s="2269"/>
      <c r="AV105" s="2269"/>
      <c r="AW105" s="2269"/>
      <c r="AX105" s="2269"/>
      <c r="AY105" s="2269"/>
      <c r="AZ105" s="2269"/>
      <c r="BA105" s="2269"/>
      <c r="BB105" s="2269"/>
      <c r="BC105" s="2269"/>
      <c r="BD105" s="2269"/>
      <c r="BE105" s="2269"/>
      <c r="BF105" s="2269"/>
      <c r="BG105" s="2269"/>
      <c r="BH105" s="2269"/>
      <c r="BI105" s="2269"/>
      <c r="BJ105" s="2269"/>
      <c r="BK105" s="2269"/>
      <c r="BL105" s="2269"/>
      <c r="BM105" s="2269"/>
      <c r="BN105" s="2269"/>
      <c r="BO105" s="2269"/>
      <c r="BP105" s="2269"/>
      <c r="BQ105" s="2269"/>
      <c r="BR105" s="2269"/>
      <c r="BS105" s="2269"/>
      <c r="BT105" s="2269"/>
      <c r="BU105" s="2269"/>
      <c r="BV105" s="2269"/>
      <c r="BW105" s="2269"/>
      <c r="BX105" s="2269"/>
      <c r="BY105" s="2269"/>
      <c r="BZ105" s="2269"/>
      <c r="CA105" s="2269"/>
    </row>
    <row r="106" spans="1:79">
      <c r="A106" s="15"/>
      <c r="B106" s="15"/>
      <c r="C106" s="15"/>
      <c r="D106" s="15"/>
      <c r="E106" s="15"/>
      <c r="F106" s="15"/>
      <c r="G106" s="15"/>
      <c r="H106" s="15"/>
      <c r="I106" s="15"/>
      <c r="J106" s="15"/>
      <c r="K106" s="15"/>
      <c r="L106" s="15"/>
      <c r="M106" s="15"/>
      <c r="N106" s="15"/>
      <c r="O106" s="15"/>
      <c r="P106" s="15"/>
      <c r="Q106" s="15"/>
      <c r="R106" s="15"/>
      <c r="S106" s="15"/>
      <c r="T106" s="15"/>
      <c r="U106" s="15"/>
      <c r="V106" s="2269"/>
      <c r="W106" s="2269"/>
      <c r="X106" s="2269"/>
      <c r="Y106" s="2269"/>
      <c r="Z106" s="2269"/>
      <c r="AA106" s="2269"/>
      <c r="AB106" s="2269"/>
      <c r="AC106" s="2269"/>
      <c r="AD106" s="2269"/>
      <c r="AE106" s="2269"/>
      <c r="AF106" s="2269"/>
      <c r="AG106" s="2269"/>
      <c r="AH106" s="2269"/>
      <c r="AI106" s="2269"/>
      <c r="AJ106" s="2269"/>
      <c r="AK106" s="2269"/>
      <c r="AL106" s="2269"/>
      <c r="AM106" s="2269"/>
      <c r="AN106" s="2269"/>
      <c r="AO106" s="2269"/>
      <c r="AP106" s="2269"/>
      <c r="AQ106" s="2269"/>
      <c r="AR106" s="2269"/>
      <c r="AS106" s="2269"/>
      <c r="AT106" s="2269"/>
      <c r="AU106" s="2269"/>
      <c r="AV106" s="2269"/>
      <c r="AW106" s="2269"/>
      <c r="AX106" s="2269"/>
      <c r="AY106" s="2269"/>
      <c r="AZ106" s="2269"/>
      <c r="BA106" s="2269"/>
      <c r="BB106" s="2269"/>
      <c r="BC106" s="2269"/>
      <c r="BD106" s="2269"/>
      <c r="BE106" s="2269"/>
      <c r="BF106" s="2269"/>
      <c r="BG106" s="2269"/>
      <c r="BH106" s="2269"/>
      <c r="BI106" s="2269"/>
      <c r="BJ106" s="2269"/>
      <c r="BK106" s="2269"/>
      <c r="BL106" s="2269"/>
      <c r="BM106" s="2269"/>
      <c r="BN106" s="2269"/>
      <c r="BO106" s="2269"/>
      <c r="BP106" s="2269"/>
      <c r="BQ106" s="2269"/>
      <c r="BR106" s="2269"/>
      <c r="BS106" s="2269"/>
      <c r="BT106" s="2269"/>
      <c r="BU106" s="2269"/>
      <c r="BV106" s="2269"/>
      <c r="BW106" s="2269"/>
      <c r="BX106" s="2269"/>
      <c r="BY106" s="2269"/>
      <c r="BZ106" s="2269"/>
      <c r="CA106" s="2269"/>
    </row>
    <row r="107" spans="1:79">
      <c r="A107" s="15"/>
      <c r="B107" s="15"/>
      <c r="C107" s="15"/>
      <c r="D107" s="15"/>
      <c r="E107" s="15"/>
      <c r="F107" s="15"/>
      <c r="G107" s="15"/>
      <c r="H107" s="15"/>
      <c r="I107" s="15"/>
      <c r="J107" s="15"/>
      <c r="K107" s="15"/>
      <c r="L107" s="15"/>
      <c r="M107" s="15"/>
      <c r="N107" s="15"/>
      <c r="O107" s="15"/>
      <c r="P107" s="15"/>
      <c r="Q107" s="15"/>
      <c r="R107" s="15"/>
      <c r="S107" s="15"/>
      <c r="T107" s="15"/>
      <c r="U107" s="15"/>
      <c r="V107" s="2269"/>
      <c r="W107" s="2269"/>
      <c r="X107" s="2269"/>
      <c r="Y107" s="2269"/>
      <c r="Z107" s="2269"/>
      <c r="AA107" s="2269"/>
      <c r="AB107" s="2269"/>
      <c r="AC107" s="2269"/>
      <c r="AD107" s="2269"/>
      <c r="AE107" s="2269"/>
      <c r="AF107" s="2269"/>
      <c r="AG107" s="2269"/>
      <c r="AH107" s="2269"/>
      <c r="AI107" s="2269"/>
      <c r="AJ107" s="2269"/>
      <c r="AK107" s="2269"/>
      <c r="AL107" s="2269"/>
      <c r="AM107" s="2269"/>
      <c r="AN107" s="2269"/>
      <c r="AO107" s="2269"/>
      <c r="AP107" s="2269"/>
      <c r="AQ107" s="2269"/>
      <c r="AR107" s="2269"/>
      <c r="AS107" s="2269"/>
      <c r="AT107" s="2269"/>
      <c r="AU107" s="2269"/>
      <c r="AV107" s="2269"/>
      <c r="AW107" s="2269"/>
      <c r="AX107" s="2269"/>
      <c r="AY107" s="2269"/>
      <c r="AZ107" s="2269"/>
      <c r="BA107" s="2269"/>
      <c r="BB107" s="2269"/>
      <c r="BC107" s="2269"/>
      <c r="BD107" s="2269"/>
      <c r="BE107" s="2269"/>
      <c r="BF107" s="2269"/>
      <c r="BG107" s="2269"/>
      <c r="BH107" s="2269"/>
      <c r="BI107" s="2269"/>
      <c r="BJ107" s="2269"/>
      <c r="BK107" s="2269"/>
      <c r="BL107" s="2269"/>
      <c r="BM107" s="2269"/>
      <c r="BN107" s="2269"/>
      <c r="BO107" s="2269"/>
      <c r="BP107" s="2269"/>
      <c r="BQ107" s="2269"/>
      <c r="BR107" s="2269"/>
      <c r="BS107" s="2269"/>
      <c r="BT107" s="2269"/>
      <c r="BU107" s="2269"/>
      <c r="BV107" s="2269"/>
      <c r="BW107" s="2269"/>
      <c r="BX107" s="2269"/>
      <c r="BY107" s="2269"/>
      <c r="BZ107" s="2269"/>
      <c r="CA107" s="2269"/>
    </row>
    <row r="108" spans="1:79">
      <c r="A108" s="15"/>
      <c r="B108" s="15"/>
      <c r="C108" s="15"/>
      <c r="D108" s="15"/>
      <c r="E108" s="15"/>
      <c r="F108" s="15"/>
      <c r="G108" s="15"/>
      <c r="H108" s="15"/>
      <c r="I108" s="15"/>
      <c r="J108" s="15"/>
      <c r="K108" s="15"/>
      <c r="L108" s="15"/>
      <c r="M108" s="15"/>
      <c r="N108" s="15"/>
      <c r="O108" s="15"/>
      <c r="P108" s="15"/>
      <c r="Q108" s="15"/>
      <c r="R108" s="15"/>
      <c r="S108" s="15"/>
      <c r="T108" s="15"/>
      <c r="U108" s="15"/>
      <c r="V108" s="2269"/>
      <c r="W108" s="2269"/>
      <c r="X108" s="2269"/>
      <c r="Y108" s="2269"/>
      <c r="Z108" s="2269"/>
      <c r="AA108" s="2269"/>
      <c r="AB108" s="2269"/>
      <c r="AC108" s="2269"/>
      <c r="AD108" s="2269"/>
      <c r="AE108" s="2269"/>
      <c r="AF108" s="2269"/>
      <c r="AG108" s="2269"/>
      <c r="AH108" s="2269"/>
      <c r="AI108" s="2269"/>
      <c r="AJ108" s="2269"/>
      <c r="AK108" s="2269"/>
      <c r="AL108" s="2269"/>
      <c r="AM108" s="2269"/>
      <c r="AN108" s="2269"/>
      <c r="AO108" s="2269"/>
      <c r="AP108" s="2269"/>
      <c r="AQ108" s="2269"/>
      <c r="AR108" s="2269"/>
      <c r="AS108" s="2269"/>
      <c r="AT108" s="2269"/>
      <c r="AU108" s="2269"/>
      <c r="AV108" s="2269"/>
      <c r="AW108" s="2269"/>
      <c r="AX108" s="2269"/>
      <c r="AY108" s="2269"/>
      <c r="AZ108" s="2269"/>
      <c r="BA108" s="2269"/>
      <c r="BB108" s="2269"/>
      <c r="BC108" s="2269"/>
      <c r="BD108" s="2269"/>
      <c r="BE108" s="2269"/>
      <c r="BF108" s="2269"/>
      <c r="BG108" s="2269"/>
      <c r="BH108" s="2269"/>
      <c r="BI108" s="2269"/>
      <c r="BJ108" s="2269"/>
      <c r="BK108" s="2269"/>
      <c r="BL108" s="2269"/>
      <c r="BM108" s="2269"/>
      <c r="BN108" s="2269"/>
      <c r="BO108" s="2269"/>
      <c r="BP108" s="2269"/>
      <c r="BQ108" s="2269"/>
      <c r="BR108" s="2269"/>
      <c r="BS108" s="2269"/>
      <c r="BT108" s="2269"/>
      <c r="BU108" s="2269"/>
      <c r="BV108" s="2269"/>
      <c r="BW108" s="2269"/>
      <c r="BX108" s="2269"/>
      <c r="BY108" s="2269"/>
      <c r="BZ108" s="2269"/>
      <c r="CA108" s="2269"/>
    </row>
    <row r="109" spans="1:79">
      <c r="A109" s="15"/>
      <c r="B109" s="15"/>
      <c r="C109" s="15"/>
      <c r="D109" s="15"/>
      <c r="E109" s="15"/>
      <c r="F109" s="15"/>
      <c r="G109" s="15"/>
      <c r="H109" s="15"/>
      <c r="I109" s="15"/>
      <c r="J109" s="15"/>
      <c r="K109" s="15"/>
      <c r="L109" s="15"/>
      <c r="M109" s="15"/>
      <c r="N109" s="15"/>
      <c r="O109" s="15"/>
      <c r="P109" s="15"/>
      <c r="Q109" s="15"/>
      <c r="R109" s="15"/>
      <c r="S109" s="15"/>
      <c r="T109" s="15"/>
      <c r="U109" s="15"/>
      <c r="V109" s="2269"/>
      <c r="W109" s="2269"/>
      <c r="X109" s="2269"/>
      <c r="Y109" s="2269"/>
      <c r="Z109" s="2269"/>
      <c r="AA109" s="2269"/>
      <c r="AB109" s="2269"/>
      <c r="AC109" s="2269"/>
      <c r="AD109" s="2269"/>
      <c r="AE109" s="2269"/>
      <c r="AF109" s="2269"/>
      <c r="AG109" s="2269"/>
      <c r="AH109" s="2269"/>
      <c r="AI109" s="2269"/>
      <c r="AJ109" s="2269"/>
      <c r="AK109" s="2269"/>
      <c r="AL109" s="2269"/>
      <c r="AM109" s="2269"/>
      <c r="AN109" s="2269"/>
      <c r="AO109" s="2269"/>
      <c r="AP109" s="2269"/>
      <c r="AQ109" s="2269"/>
      <c r="AR109" s="2269"/>
      <c r="AS109" s="2269"/>
      <c r="AT109" s="2269"/>
      <c r="AU109" s="2269"/>
      <c r="AV109" s="2269"/>
      <c r="AW109" s="2269"/>
      <c r="AX109" s="2269"/>
      <c r="AY109" s="2269"/>
      <c r="AZ109" s="2269"/>
      <c r="BA109" s="2269"/>
      <c r="BB109" s="2269"/>
      <c r="BC109" s="2269"/>
      <c r="BD109" s="2269"/>
      <c r="BE109" s="2269"/>
      <c r="BF109" s="2269"/>
      <c r="BG109" s="2269"/>
      <c r="BH109" s="2269"/>
      <c r="BI109" s="2269"/>
      <c r="BJ109" s="2269"/>
      <c r="BK109" s="2269"/>
      <c r="BL109" s="2269"/>
      <c r="BM109" s="2269"/>
      <c r="BN109" s="2269"/>
      <c r="BO109" s="2269"/>
      <c r="BP109" s="2269"/>
      <c r="BQ109" s="2269"/>
      <c r="BR109" s="2269"/>
      <c r="BS109" s="2269"/>
      <c r="BT109" s="2269"/>
      <c r="BU109" s="2269"/>
      <c r="BV109" s="2269"/>
      <c r="BW109" s="2269"/>
      <c r="BX109" s="2269"/>
      <c r="BY109" s="2269"/>
      <c r="BZ109" s="2269"/>
      <c r="CA109" s="2269"/>
    </row>
    <row r="110" spans="1:79">
      <c r="A110" s="15"/>
      <c r="B110" s="15"/>
      <c r="C110" s="15"/>
      <c r="D110" s="15"/>
      <c r="E110" s="15"/>
      <c r="F110" s="15"/>
      <c r="G110" s="15"/>
      <c r="H110" s="15"/>
      <c r="I110" s="15"/>
      <c r="J110" s="15"/>
      <c r="K110" s="15"/>
      <c r="L110" s="15"/>
      <c r="M110" s="15"/>
      <c r="N110" s="15"/>
      <c r="O110" s="15"/>
      <c r="P110" s="15"/>
      <c r="Q110" s="15"/>
      <c r="R110" s="15"/>
      <c r="S110" s="15"/>
      <c r="T110" s="15"/>
      <c r="U110" s="15"/>
      <c r="V110" s="2269"/>
      <c r="W110" s="2269"/>
      <c r="X110" s="2269"/>
      <c r="Y110" s="2269"/>
      <c r="Z110" s="2269"/>
      <c r="AA110" s="2269"/>
      <c r="AB110" s="2269"/>
      <c r="AC110" s="2269"/>
      <c r="AD110" s="2269"/>
      <c r="AE110" s="2269"/>
      <c r="AF110" s="2269"/>
      <c r="AG110" s="2269"/>
      <c r="AH110" s="2269"/>
      <c r="AI110" s="2269"/>
      <c r="AJ110" s="2269"/>
      <c r="AK110" s="2269"/>
      <c r="AL110" s="2269"/>
      <c r="AM110" s="2269"/>
      <c r="AN110" s="2269"/>
      <c r="AO110" s="2269"/>
      <c r="AP110" s="2269"/>
      <c r="AQ110" s="2269"/>
      <c r="AR110" s="2269"/>
      <c r="AS110" s="2269"/>
      <c r="AT110" s="2269"/>
      <c r="AU110" s="2269"/>
      <c r="AV110" s="2269"/>
      <c r="AW110" s="2269"/>
      <c r="AX110" s="2269"/>
      <c r="AY110" s="2269"/>
      <c r="AZ110" s="2269"/>
      <c r="BA110" s="2269"/>
      <c r="BB110" s="2269"/>
      <c r="BC110" s="2269"/>
      <c r="BD110" s="2269"/>
      <c r="BE110" s="2269"/>
      <c r="BF110" s="2269"/>
      <c r="BG110" s="2269"/>
      <c r="BH110" s="2269"/>
      <c r="BI110" s="2269"/>
      <c r="BJ110" s="2269"/>
      <c r="BK110" s="2269"/>
      <c r="BL110" s="2269"/>
      <c r="BM110" s="2269"/>
      <c r="BN110" s="2269"/>
      <c r="BO110" s="2269"/>
      <c r="BP110" s="2269"/>
      <c r="BQ110" s="2269"/>
      <c r="BR110" s="2269"/>
      <c r="BS110" s="2269"/>
      <c r="BT110" s="2269"/>
      <c r="BU110" s="2269"/>
      <c r="BV110" s="2269"/>
      <c r="BW110" s="2269"/>
      <c r="BX110" s="2269"/>
      <c r="BY110" s="2269"/>
      <c r="BZ110" s="2269"/>
      <c r="CA110" s="2269"/>
    </row>
    <row r="111" spans="1:79">
      <c r="A111" s="15"/>
      <c r="B111" s="15"/>
      <c r="C111" s="15"/>
      <c r="D111" s="15"/>
      <c r="E111" s="15"/>
      <c r="F111" s="15"/>
      <c r="G111" s="15"/>
      <c r="H111" s="15"/>
      <c r="I111" s="15"/>
      <c r="J111" s="15"/>
      <c r="K111" s="15"/>
      <c r="L111" s="15"/>
      <c r="M111" s="15"/>
      <c r="N111" s="15"/>
      <c r="O111" s="15"/>
      <c r="P111" s="15"/>
      <c r="Q111" s="15"/>
      <c r="R111" s="15"/>
      <c r="S111" s="15"/>
      <c r="T111" s="15"/>
      <c r="U111" s="15"/>
      <c r="V111" s="2269"/>
      <c r="W111" s="2269"/>
      <c r="X111" s="2269"/>
      <c r="Y111" s="2269"/>
      <c r="Z111" s="2269"/>
      <c r="AA111" s="2269"/>
      <c r="AB111" s="2269"/>
      <c r="AC111" s="2269"/>
      <c r="AD111" s="2269"/>
      <c r="AE111" s="2269"/>
      <c r="AF111" s="2269"/>
      <c r="AG111" s="2269"/>
      <c r="AH111" s="2269"/>
      <c r="AI111" s="2269"/>
      <c r="AJ111" s="2269"/>
      <c r="AK111" s="2269"/>
      <c r="AL111" s="2269"/>
      <c r="AM111" s="2269"/>
      <c r="AN111" s="2269"/>
      <c r="AO111" s="2269"/>
      <c r="AP111" s="2269"/>
      <c r="AQ111" s="2269"/>
      <c r="AR111" s="2269"/>
      <c r="AS111" s="2269"/>
      <c r="AT111" s="2269"/>
      <c r="AU111" s="2269"/>
      <c r="AV111" s="2269"/>
      <c r="AW111" s="2269"/>
      <c r="AX111" s="2269"/>
      <c r="AY111" s="2269"/>
      <c r="AZ111" s="2269"/>
      <c r="BA111" s="2269"/>
      <c r="BB111" s="2269"/>
      <c r="BC111" s="2269"/>
      <c r="BD111" s="2269"/>
      <c r="BE111" s="2269"/>
      <c r="BF111" s="2269"/>
      <c r="BG111" s="2269"/>
      <c r="BH111" s="2269"/>
      <c r="BI111" s="2269"/>
      <c r="BJ111" s="2269"/>
      <c r="BK111" s="2269"/>
      <c r="BL111" s="2269"/>
      <c r="BM111" s="2269"/>
      <c r="BN111" s="2269"/>
      <c r="BO111" s="2269"/>
      <c r="BP111" s="2269"/>
      <c r="BQ111" s="2269"/>
      <c r="BR111" s="2269"/>
      <c r="BS111" s="2269"/>
      <c r="BT111" s="2269"/>
      <c r="BU111" s="2269"/>
      <c r="BV111" s="2269"/>
      <c r="BW111" s="2269"/>
      <c r="BX111" s="2269"/>
      <c r="BY111" s="2269"/>
      <c r="BZ111" s="2269"/>
      <c r="CA111" s="2269"/>
    </row>
    <row r="112" spans="1:79">
      <c r="A112" s="15"/>
      <c r="B112" s="15"/>
      <c r="C112" s="15"/>
      <c r="D112" s="15"/>
      <c r="E112" s="15"/>
      <c r="F112" s="15"/>
      <c r="G112" s="15"/>
      <c r="H112" s="15"/>
      <c r="I112" s="15"/>
      <c r="J112" s="15"/>
      <c r="K112" s="15"/>
      <c r="L112" s="15"/>
      <c r="M112" s="15"/>
      <c r="N112" s="15"/>
      <c r="O112" s="15"/>
      <c r="P112" s="15"/>
      <c r="Q112" s="15"/>
      <c r="R112" s="15"/>
      <c r="S112" s="15"/>
      <c r="T112" s="15"/>
      <c r="U112" s="15"/>
      <c r="V112" s="2269"/>
      <c r="W112" s="2269"/>
      <c r="X112" s="2269"/>
      <c r="Y112" s="2269"/>
      <c r="Z112" s="2269"/>
      <c r="AA112" s="2269"/>
      <c r="AB112" s="2269"/>
      <c r="AC112" s="2269"/>
      <c r="AD112" s="2269"/>
      <c r="AE112" s="2269"/>
      <c r="AF112" s="2269"/>
      <c r="AG112" s="2269"/>
      <c r="AH112" s="2269"/>
      <c r="AI112" s="2269"/>
      <c r="AJ112" s="2269"/>
      <c r="AK112" s="2269"/>
      <c r="AL112" s="2269"/>
      <c r="AM112" s="2269"/>
      <c r="AN112" s="2269"/>
      <c r="AO112" s="2269"/>
      <c r="AP112" s="2269"/>
      <c r="AQ112" s="2269"/>
      <c r="AR112" s="2269"/>
      <c r="AS112" s="2269"/>
      <c r="AT112" s="2269"/>
      <c r="AU112" s="2269"/>
      <c r="AV112" s="2269"/>
      <c r="AW112" s="2269"/>
      <c r="AX112" s="2269"/>
      <c r="AY112" s="2269"/>
      <c r="AZ112" s="2269"/>
      <c r="BA112" s="2269"/>
      <c r="BB112" s="2269"/>
      <c r="BC112" s="2269"/>
      <c r="BD112" s="2269"/>
      <c r="BE112" s="2269"/>
      <c r="BF112" s="2269"/>
      <c r="BG112" s="2269"/>
      <c r="BH112" s="2269"/>
      <c r="BI112" s="2269"/>
      <c r="BJ112" s="2269"/>
      <c r="BK112" s="2269"/>
      <c r="BL112" s="2269"/>
      <c r="BM112" s="2269"/>
      <c r="BN112" s="2269"/>
      <c r="BO112" s="2269"/>
      <c r="BP112" s="2269"/>
      <c r="BQ112" s="2269"/>
      <c r="BR112" s="2269"/>
      <c r="BS112" s="2269"/>
      <c r="BT112" s="2269"/>
      <c r="BU112" s="2269"/>
      <c r="BV112" s="2269"/>
      <c r="BW112" s="2269"/>
      <c r="BX112" s="2269"/>
      <c r="BY112" s="2269"/>
      <c r="BZ112" s="2269"/>
      <c r="CA112" s="2269"/>
    </row>
    <row r="113" spans="1:79">
      <c r="A113" s="15"/>
      <c r="B113" s="15"/>
      <c r="C113" s="15"/>
      <c r="D113" s="15"/>
      <c r="E113" s="15"/>
      <c r="F113" s="15"/>
      <c r="G113" s="15"/>
      <c r="H113" s="15"/>
      <c r="I113" s="15"/>
      <c r="J113" s="15"/>
      <c r="K113" s="15"/>
      <c r="L113" s="15"/>
      <c r="M113" s="15"/>
      <c r="N113" s="15"/>
      <c r="O113" s="15"/>
      <c r="P113" s="15"/>
      <c r="Q113" s="15"/>
      <c r="R113" s="15"/>
      <c r="S113" s="15"/>
      <c r="T113" s="15"/>
      <c r="U113" s="15"/>
      <c r="V113" s="2269"/>
      <c r="W113" s="2269"/>
      <c r="X113" s="2269"/>
      <c r="Y113" s="2269"/>
      <c r="Z113" s="2269"/>
      <c r="AA113" s="2269"/>
      <c r="AB113" s="2269"/>
      <c r="AC113" s="2269"/>
      <c r="AD113" s="2269"/>
      <c r="AE113" s="2269"/>
      <c r="AF113" s="2269"/>
      <c r="AG113" s="2269"/>
      <c r="AH113" s="2269"/>
      <c r="AI113" s="2269"/>
      <c r="AJ113" s="2269"/>
      <c r="AK113" s="2269"/>
      <c r="AL113" s="2269"/>
      <c r="AM113" s="2269"/>
      <c r="AN113" s="2269"/>
      <c r="AO113" s="2269"/>
      <c r="AP113" s="2269"/>
      <c r="AQ113" s="2269"/>
      <c r="AR113" s="2269"/>
      <c r="AS113" s="2269"/>
      <c r="AT113" s="2269"/>
      <c r="AU113" s="2269"/>
      <c r="AV113" s="2269"/>
      <c r="AW113" s="2269"/>
      <c r="AX113" s="2269"/>
      <c r="AY113" s="2269"/>
      <c r="AZ113" s="2269"/>
      <c r="BA113" s="2269"/>
      <c r="BB113" s="2269"/>
      <c r="BC113" s="2269"/>
      <c r="BD113" s="2269"/>
      <c r="BE113" s="2269"/>
      <c r="BF113" s="2269"/>
      <c r="BG113" s="2269"/>
      <c r="BH113" s="2269"/>
      <c r="BI113" s="2269"/>
      <c r="BJ113" s="2269"/>
      <c r="BK113" s="2269"/>
      <c r="BL113" s="2269"/>
      <c r="BM113" s="2269"/>
      <c r="BN113" s="2269"/>
      <c r="BO113" s="2269"/>
      <c r="BP113" s="2269"/>
      <c r="BQ113" s="2269"/>
      <c r="BR113" s="2269"/>
      <c r="BS113" s="2269"/>
      <c r="BT113" s="2269"/>
      <c r="BU113" s="2269"/>
      <c r="BV113" s="2269"/>
      <c r="BW113" s="2269"/>
      <c r="BX113" s="2269"/>
      <c r="BY113" s="2269"/>
      <c r="BZ113" s="2269"/>
      <c r="CA113" s="2269"/>
    </row>
    <row r="114" spans="1:79">
      <c r="A114" s="15"/>
      <c r="B114" s="15"/>
      <c r="C114" s="15"/>
      <c r="D114" s="15"/>
      <c r="E114" s="15"/>
      <c r="F114" s="15"/>
      <c r="G114" s="15"/>
      <c r="H114" s="15"/>
      <c r="I114" s="15"/>
      <c r="J114" s="15"/>
      <c r="K114" s="15"/>
      <c r="L114" s="15"/>
      <c r="M114" s="15"/>
      <c r="N114" s="15"/>
      <c r="O114" s="15"/>
      <c r="P114" s="15"/>
      <c r="Q114" s="15"/>
      <c r="R114" s="15"/>
      <c r="S114" s="15"/>
      <c r="T114" s="15"/>
      <c r="U114" s="15"/>
      <c r="V114" s="2269"/>
      <c r="W114" s="2269"/>
      <c r="X114" s="2269"/>
      <c r="Y114" s="2269"/>
      <c r="Z114" s="2269"/>
      <c r="AA114" s="2269"/>
      <c r="AB114" s="2269"/>
      <c r="AC114" s="2269"/>
      <c r="AD114" s="2269"/>
      <c r="AE114" s="2269"/>
      <c r="AF114" s="2269"/>
      <c r="AG114" s="2269"/>
      <c r="AH114" s="2269"/>
      <c r="AI114" s="2269"/>
      <c r="AJ114" s="2269"/>
      <c r="AK114" s="2269"/>
      <c r="AL114" s="2269"/>
      <c r="AM114" s="2269"/>
      <c r="AN114" s="2269"/>
      <c r="AO114" s="2269"/>
      <c r="AP114" s="2269"/>
      <c r="AQ114" s="2269"/>
      <c r="AR114" s="2269"/>
      <c r="AS114" s="2269"/>
      <c r="AT114" s="2269"/>
      <c r="AU114" s="2269"/>
      <c r="AV114" s="2269"/>
      <c r="AW114" s="2269"/>
      <c r="AX114" s="2269"/>
      <c r="AY114" s="2269"/>
      <c r="AZ114" s="2269"/>
      <c r="BA114" s="2269"/>
      <c r="BB114" s="2269"/>
      <c r="BC114" s="2269"/>
      <c r="BD114" s="2269"/>
      <c r="BE114" s="2269"/>
      <c r="BF114" s="2269"/>
      <c r="BG114" s="2269"/>
      <c r="BH114" s="2269"/>
      <c r="BI114" s="2269"/>
      <c r="BJ114" s="2269"/>
      <c r="BK114" s="2269"/>
      <c r="BL114" s="2269"/>
      <c r="BM114" s="2269"/>
      <c r="BN114" s="2269"/>
      <c r="BO114" s="2269"/>
      <c r="BP114" s="2269"/>
      <c r="BQ114" s="2269"/>
      <c r="BR114" s="2269"/>
      <c r="BS114" s="2269"/>
      <c r="BT114" s="2269"/>
      <c r="BU114" s="2269"/>
      <c r="BV114" s="2269"/>
      <c r="BW114" s="2269"/>
      <c r="BX114" s="2269"/>
      <c r="BY114" s="2269"/>
      <c r="BZ114" s="2269"/>
      <c r="CA114" s="2269"/>
    </row>
    <row r="115" spans="1:79">
      <c r="A115" s="15"/>
      <c r="B115" s="15"/>
      <c r="C115" s="15"/>
      <c r="D115" s="15"/>
      <c r="E115" s="15"/>
      <c r="F115" s="15"/>
      <c r="G115" s="15"/>
      <c r="H115" s="15"/>
      <c r="I115" s="15"/>
      <c r="J115" s="15"/>
      <c r="K115" s="15"/>
      <c r="L115" s="15"/>
      <c r="M115" s="15"/>
      <c r="N115" s="15"/>
      <c r="O115" s="15"/>
      <c r="P115" s="15"/>
      <c r="Q115" s="15"/>
      <c r="R115" s="15"/>
      <c r="S115" s="15"/>
      <c r="T115" s="15"/>
      <c r="U115" s="15"/>
      <c r="V115" s="2269"/>
      <c r="W115" s="2269"/>
      <c r="X115" s="2269"/>
      <c r="Y115" s="2269"/>
      <c r="Z115" s="2269"/>
      <c r="AA115" s="2269"/>
      <c r="AB115" s="2269"/>
      <c r="AC115" s="2269"/>
      <c r="AD115" s="2269"/>
      <c r="AE115" s="2269"/>
      <c r="AF115" s="2269"/>
      <c r="AG115" s="2269"/>
      <c r="AH115" s="2269"/>
      <c r="AI115" s="2269"/>
      <c r="AJ115" s="2269"/>
      <c r="AK115" s="2269"/>
      <c r="AL115" s="2269"/>
      <c r="AM115" s="2269"/>
      <c r="AN115" s="2269"/>
      <c r="AO115" s="2269"/>
      <c r="AP115" s="2269"/>
      <c r="AQ115" s="2269"/>
      <c r="AR115" s="2269"/>
      <c r="AS115" s="2269"/>
      <c r="AT115" s="2269"/>
      <c r="AU115" s="2269"/>
      <c r="AV115" s="2269"/>
      <c r="AW115" s="2269"/>
      <c r="AX115" s="2269"/>
      <c r="AY115" s="2269"/>
      <c r="AZ115" s="2269"/>
      <c r="BA115" s="2269"/>
      <c r="BB115" s="2269"/>
      <c r="BC115" s="2269"/>
      <c r="BD115" s="2269"/>
      <c r="BE115" s="2269"/>
      <c r="BF115" s="2269"/>
      <c r="BG115" s="2269"/>
      <c r="BH115" s="2269"/>
      <c r="BI115" s="2269"/>
      <c r="BJ115" s="2269"/>
      <c r="BK115" s="2269"/>
      <c r="BL115" s="2269"/>
      <c r="BM115" s="2269"/>
      <c r="BN115" s="2269"/>
      <c r="BO115" s="2269"/>
      <c r="BP115" s="2269"/>
      <c r="BQ115" s="2269"/>
      <c r="BR115" s="2269"/>
      <c r="BS115" s="2269"/>
      <c r="BT115" s="2269"/>
      <c r="BU115" s="2269"/>
      <c r="BV115" s="2269"/>
      <c r="BW115" s="2269"/>
      <c r="BX115" s="2269"/>
      <c r="BY115" s="2269"/>
      <c r="BZ115" s="2269"/>
      <c r="CA115" s="2269"/>
    </row>
    <row r="116" spans="1:79">
      <c r="A116" s="15"/>
      <c r="B116" s="15"/>
      <c r="C116" s="15"/>
      <c r="D116" s="15"/>
      <c r="E116" s="15"/>
      <c r="F116" s="15"/>
      <c r="G116" s="15"/>
      <c r="H116" s="15"/>
      <c r="I116" s="15"/>
      <c r="J116" s="15"/>
      <c r="K116" s="15"/>
      <c r="L116" s="15"/>
      <c r="M116" s="15"/>
      <c r="N116" s="15"/>
      <c r="O116" s="15"/>
      <c r="P116" s="15"/>
      <c r="Q116" s="15"/>
      <c r="R116" s="15"/>
      <c r="S116" s="15"/>
      <c r="T116" s="15"/>
      <c r="U116" s="15"/>
      <c r="V116" s="2269"/>
      <c r="W116" s="2269"/>
      <c r="X116" s="2269"/>
      <c r="Y116" s="2269"/>
      <c r="Z116" s="2269"/>
      <c r="AA116" s="2269"/>
      <c r="AB116" s="2269"/>
      <c r="AC116" s="2269"/>
      <c r="AD116" s="2269"/>
      <c r="AE116" s="2269"/>
      <c r="AF116" s="2269"/>
      <c r="AG116" s="2269"/>
      <c r="AH116" s="2269"/>
      <c r="AI116" s="2269"/>
      <c r="AJ116" s="2269"/>
      <c r="AK116" s="2269"/>
      <c r="AL116" s="2269"/>
      <c r="AM116" s="2269"/>
      <c r="AN116" s="2269"/>
      <c r="AO116" s="2269"/>
      <c r="AP116" s="2269"/>
      <c r="AQ116" s="2269"/>
      <c r="AR116" s="2269"/>
      <c r="AS116" s="2269"/>
      <c r="AT116" s="2269"/>
      <c r="AU116" s="2269"/>
      <c r="AV116" s="2269"/>
      <c r="AW116" s="2269"/>
      <c r="AX116" s="2269"/>
      <c r="AY116" s="2269"/>
      <c r="AZ116" s="2269"/>
      <c r="BA116" s="2269"/>
      <c r="BB116" s="2269"/>
      <c r="BC116" s="2269"/>
      <c r="BD116" s="2269"/>
      <c r="BE116" s="2269"/>
      <c r="BF116" s="2269"/>
      <c r="BG116" s="2269"/>
      <c r="BH116" s="2269"/>
      <c r="BI116" s="2269"/>
      <c r="BJ116" s="2269"/>
      <c r="BK116" s="2269"/>
      <c r="BL116" s="2269"/>
      <c r="BM116" s="2269"/>
      <c r="BN116" s="2269"/>
      <c r="BO116" s="2269"/>
      <c r="BP116" s="2269"/>
      <c r="BQ116" s="2269"/>
      <c r="BR116" s="2269"/>
      <c r="BS116" s="2269"/>
      <c r="BT116" s="2269"/>
      <c r="BU116" s="2269"/>
      <c r="BV116" s="2269"/>
      <c r="BW116" s="2269"/>
      <c r="BX116" s="2269"/>
      <c r="BY116" s="2269"/>
      <c r="BZ116" s="2269"/>
      <c r="CA116" s="2269"/>
    </row>
    <row r="117" spans="1:79">
      <c r="A117" s="15"/>
      <c r="B117" s="15"/>
      <c r="C117" s="15"/>
      <c r="D117" s="15"/>
      <c r="E117" s="15"/>
      <c r="F117" s="15"/>
      <c r="G117" s="15"/>
      <c r="H117" s="15"/>
      <c r="I117" s="15"/>
      <c r="J117" s="15"/>
      <c r="K117" s="15"/>
      <c r="L117" s="15"/>
      <c r="M117" s="15"/>
      <c r="N117" s="15"/>
      <c r="O117" s="15"/>
      <c r="P117" s="15"/>
      <c r="Q117" s="15"/>
      <c r="R117" s="15"/>
      <c r="S117" s="15"/>
      <c r="T117" s="15"/>
      <c r="U117" s="15"/>
      <c r="V117" s="2269"/>
      <c r="W117" s="2269"/>
      <c r="X117" s="2269"/>
      <c r="Y117" s="2269"/>
      <c r="Z117" s="2269"/>
      <c r="AA117" s="2269"/>
      <c r="AB117" s="2269"/>
      <c r="AC117" s="2269"/>
      <c r="AD117" s="2269"/>
      <c r="AE117" s="2269"/>
      <c r="AF117" s="2269"/>
      <c r="AG117" s="2269"/>
      <c r="AH117" s="2269"/>
      <c r="AI117" s="2269"/>
      <c r="AJ117" s="2269"/>
      <c r="AK117" s="2269"/>
      <c r="AL117" s="2269"/>
      <c r="AM117" s="2269"/>
      <c r="AN117" s="2269"/>
      <c r="AO117" s="2269"/>
      <c r="AP117" s="2269"/>
      <c r="AQ117" s="2269"/>
      <c r="AR117" s="2269"/>
      <c r="AS117" s="2269"/>
      <c r="AT117" s="2269"/>
      <c r="AU117" s="2269"/>
      <c r="AV117" s="2269"/>
      <c r="AW117" s="2269"/>
      <c r="AX117" s="2269"/>
      <c r="AY117" s="2269"/>
      <c r="AZ117" s="2269"/>
      <c r="BA117" s="2269"/>
      <c r="BB117" s="2269"/>
      <c r="BC117" s="2269"/>
      <c r="BD117" s="2269"/>
      <c r="BE117" s="2269"/>
      <c r="BF117" s="2269"/>
      <c r="BG117" s="2269"/>
      <c r="BH117" s="2269"/>
      <c r="BI117" s="2269"/>
      <c r="BJ117" s="2269"/>
      <c r="BK117" s="2269"/>
      <c r="BL117" s="2269"/>
      <c r="BM117" s="2269"/>
      <c r="BN117" s="2269"/>
      <c r="BO117" s="2269"/>
      <c r="BP117" s="2269"/>
      <c r="BQ117" s="2269"/>
      <c r="BR117" s="2269"/>
      <c r="BS117" s="2269"/>
      <c r="BT117" s="2269"/>
      <c r="BU117" s="2269"/>
      <c r="BV117" s="2269"/>
      <c r="BW117" s="2269"/>
      <c r="BX117" s="2269"/>
      <c r="BY117" s="2269"/>
      <c r="BZ117" s="2269"/>
      <c r="CA117" s="2269"/>
    </row>
    <row r="118" spans="1:79">
      <c r="A118" s="15"/>
      <c r="B118" s="15"/>
      <c r="C118" s="15"/>
      <c r="D118" s="15"/>
      <c r="E118" s="15"/>
      <c r="F118" s="15"/>
      <c r="G118" s="15"/>
      <c r="H118" s="15"/>
      <c r="I118" s="15"/>
      <c r="J118" s="15"/>
      <c r="K118" s="15"/>
      <c r="L118" s="15"/>
      <c r="M118" s="15"/>
      <c r="N118" s="15"/>
      <c r="O118" s="15"/>
      <c r="P118" s="15"/>
      <c r="Q118" s="15"/>
      <c r="R118" s="15"/>
      <c r="S118" s="15"/>
      <c r="T118" s="15"/>
      <c r="U118" s="15"/>
      <c r="V118" s="2269"/>
      <c r="W118" s="2269"/>
      <c r="X118" s="2269"/>
      <c r="Y118" s="2269"/>
      <c r="Z118" s="2269"/>
      <c r="AA118" s="2269"/>
      <c r="AB118" s="2269"/>
      <c r="AC118" s="2269"/>
      <c r="AD118" s="2269"/>
      <c r="AE118" s="2269"/>
      <c r="AF118" s="2269"/>
      <c r="AG118" s="2269"/>
      <c r="AH118" s="2269"/>
      <c r="AI118" s="2269"/>
      <c r="AJ118" s="2269"/>
      <c r="AK118" s="2269"/>
      <c r="AL118" s="2269"/>
      <c r="AM118" s="2269"/>
      <c r="AN118" s="2269"/>
      <c r="AO118" s="2269"/>
      <c r="AP118" s="2269"/>
      <c r="AQ118" s="2269"/>
      <c r="AR118" s="2269"/>
      <c r="AS118" s="2269"/>
      <c r="AT118" s="2269"/>
      <c r="AU118" s="2269"/>
      <c r="AV118" s="2269"/>
      <c r="AW118" s="2269"/>
      <c r="AX118" s="2269"/>
      <c r="AY118" s="2269"/>
      <c r="AZ118" s="2269"/>
      <c r="BA118" s="2269"/>
      <c r="BB118" s="2269"/>
      <c r="BC118" s="2269"/>
      <c r="BD118" s="2269"/>
      <c r="BE118" s="2269"/>
      <c r="BF118" s="2269"/>
      <c r="BG118" s="2269"/>
      <c r="BH118" s="2269"/>
      <c r="BI118" s="2269"/>
      <c r="BJ118" s="2269"/>
      <c r="BK118" s="2269"/>
      <c r="BL118" s="2269"/>
      <c r="BM118" s="2269"/>
      <c r="BN118" s="2269"/>
      <c r="BO118" s="2269"/>
      <c r="BP118" s="2269"/>
      <c r="BQ118" s="2269"/>
      <c r="BR118" s="2269"/>
      <c r="BS118" s="2269"/>
      <c r="BT118" s="2269"/>
      <c r="BU118" s="2269"/>
      <c r="BV118" s="2269"/>
      <c r="BW118" s="2269"/>
      <c r="BX118" s="2269"/>
      <c r="BY118" s="2269"/>
      <c r="BZ118" s="2269"/>
      <c r="CA118" s="2269"/>
    </row>
    <row r="119" spans="1:79">
      <c r="A119" s="15"/>
      <c r="B119" s="15"/>
      <c r="C119" s="15"/>
      <c r="D119" s="15"/>
      <c r="E119" s="15"/>
      <c r="F119" s="15"/>
      <c r="G119" s="15"/>
      <c r="H119" s="15"/>
      <c r="I119" s="15"/>
      <c r="J119" s="15"/>
      <c r="K119" s="15"/>
      <c r="L119" s="15"/>
      <c r="M119" s="15"/>
      <c r="N119" s="15"/>
      <c r="O119" s="15"/>
      <c r="P119" s="15"/>
      <c r="Q119" s="15"/>
      <c r="R119" s="15"/>
      <c r="S119" s="15"/>
      <c r="T119" s="15"/>
      <c r="U119" s="15"/>
      <c r="V119" s="2269"/>
      <c r="W119" s="2269"/>
      <c r="X119" s="2269"/>
      <c r="Y119" s="2269"/>
      <c r="Z119" s="2269"/>
      <c r="AA119" s="2269"/>
      <c r="AB119" s="2269"/>
      <c r="AC119" s="2269"/>
      <c r="AD119" s="2269"/>
      <c r="AE119" s="2269"/>
      <c r="AF119" s="2269"/>
      <c r="AG119" s="2269"/>
      <c r="AH119" s="2269"/>
      <c r="AI119" s="2269"/>
      <c r="AJ119" s="2269"/>
      <c r="AK119" s="2269"/>
      <c r="AL119" s="2269"/>
      <c r="AM119" s="2269"/>
      <c r="AN119" s="2269"/>
      <c r="AO119" s="2269"/>
      <c r="AP119" s="2269"/>
      <c r="AQ119" s="2269"/>
      <c r="AR119" s="2269"/>
      <c r="AS119" s="2269"/>
      <c r="AT119" s="2269"/>
      <c r="AU119" s="2269"/>
      <c r="AV119" s="2269"/>
      <c r="AW119" s="2269"/>
      <c r="AX119" s="2269"/>
      <c r="AY119" s="2269"/>
      <c r="AZ119" s="2269"/>
      <c r="BA119" s="2269"/>
      <c r="BB119" s="2269"/>
      <c r="BC119" s="2269"/>
      <c r="BD119" s="2269"/>
      <c r="BE119" s="2269"/>
      <c r="BF119" s="2269"/>
      <c r="BG119" s="2269"/>
      <c r="BH119" s="2269"/>
      <c r="BI119" s="2269"/>
      <c r="BJ119" s="2269"/>
      <c r="BK119" s="2269"/>
      <c r="BL119" s="2269"/>
      <c r="BM119" s="2269"/>
      <c r="BN119" s="2269"/>
      <c r="BO119" s="2269"/>
      <c r="BP119" s="2269"/>
      <c r="BQ119" s="2269"/>
      <c r="BR119" s="2269"/>
      <c r="BS119" s="2269"/>
      <c r="BT119" s="2269"/>
      <c r="BU119" s="2269"/>
      <c r="BV119" s="2269"/>
      <c r="BW119" s="2269"/>
      <c r="BX119" s="2269"/>
      <c r="BY119" s="2269"/>
      <c r="BZ119" s="2269"/>
      <c r="CA119" s="2269"/>
    </row>
    <row r="120" spans="1:79">
      <c r="A120" s="15"/>
      <c r="B120" s="15"/>
      <c r="C120" s="15"/>
      <c r="D120" s="15"/>
      <c r="E120" s="15"/>
      <c r="F120" s="15"/>
      <c r="G120" s="15"/>
      <c r="H120" s="15"/>
      <c r="I120" s="15"/>
      <c r="J120" s="15"/>
      <c r="K120" s="15"/>
      <c r="L120" s="15"/>
      <c r="M120" s="15"/>
      <c r="N120" s="15"/>
      <c r="O120" s="15"/>
      <c r="P120" s="15"/>
      <c r="Q120" s="15"/>
      <c r="R120" s="15"/>
      <c r="S120" s="15"/>
      <c r="T120" s="15"/>
      <c r="U120" s="15"/>
      <c r="V120" s="2269"/>
      <c r="W120" s="2269"/>
      <c r="X120" s="2269"/>
      <c r="Y120" s="2269"/>
      <c r="Z120" s="2269"/>
      <c r="AA120" s="2269"/>
      <c r="AB120" s="2269"/>
      <c r="AC120" s="2269"/>
      <c r="AD120" s="2269"/>
      <c r="AE120" s="2269"/>
      <c r="AF120" s="2269"/>
      <c r="AG120" s="2269"/>
      <c r="AH120" s="2269"/>
      <c r="AI120" s="2269"/>
      <c r="AJ120" s="2269"/>
      <c r="AK120" s="2269"/>
      <c r="AL120" s="2269"/>
      <c r="AM120" s="2269"/>
      <c r="AN120" s="2269"/>
      <c r="AO120" s="2269"/>
      <c r="AP120" s="2269"/>
      <c r="AQ120" s="2269"/>
      <c r="AR120" s="2269"/>
      <c r="AS120" s="2269"/>
      <c r="AT120" s="2269"/>
      <c r="AU120" s="2269"/>
      <c r="AV120" s="2269"/>
      <c r="AW120" s="2269"/>
      <c r="AX120" s="2269"/>
      <c r="AY120" s="2269"/>
      <c r="AZ120" s="2269"/>
      <c r="BA120" s="2269"/>
      <c r="BB120" s="2269"/>
      <c r="BC120" s="2269"/>
      <c r="BD120" s="2269"/>
      <c r="BE120" s="2269"/>
      <c r="BF120" s="2269"/>
      <c r="BG120" s="2269"/>
      <c r="BH120" s="2269"/>
      <c r="BI120" s="2269"/>
      <c r="BJ120" s="2269"/>
      <c r="BK120" s="2269"/>
      <c r="BL120" s="2269"/>
      <c r="BM120" s="2269"/>
      <c r="BN120" s="2269"/>
      <c r="BO120" s="2269"/>
      <c r="BP120" s="2269"/>
      <c r="BQ120" s="2269"/>
      <c r="BR120" s="2269"/>
      <c r="BS120" s="2269"/>
      <c r="BT120" s="2269"/>
      <c r="BU120" s="2269"/>
      <c r="BV120" s="2269"/>
      <c r="BW120" s="2269"/>
      <c r="BX120" s="2269"/>
      <c r="BY120" s="2269"/>
      <c r="BZ120" s="2269"/>
      <c r="CA120" s="2269"/>
    </row>
    <row r="121" spans="1:79">
      <c r="A121" s="15"/>
      <c r="B121" s="15"/>
      <c r="C121" s="15"/>
      <c r="D121" s="15"/>
      <c r="E121" s="15"/>
      <c r="F121" s="15"/>
      <c r="G121" s="15"/>
      <c r="H121" s="15"/>
      <c r="I121" s="15"/>
      <c r="J121" s="15"/>
      <c r="K121" s="15"/>
      <c r="L121" s="15"/>
      <c r="M121" s="15"/>
      <c r="N121" s="15"/>
      <c r="O121" s="15"/>
      <c r="P121" s="15"/>
      <c r="Q121" s="15"/>
      <c r="R121" s="15"/>
      <c r="S121" s="15"/>
      <c r="T121" s="15"/>
      <c r="U121" s="15"/>
      <c r="V121" s="2269"/>
      <c r="W121" s="2269"/>
      <c r="X121" s="2269"/>
      <c r="Y121" s="2269"/>
      <c r="Z121" s="2269"/>
      <c r="AA121" s="2269"/>
      <c r="AB121" s="2269"/>
      <c r="AC121" s="2269"/>
      <c r="AD121" s="2269"/>
      <c r="AE121" s="2269"/>
      <c r="AF121" s="2269"/>
      <c r="AG121" s="2269"/>
      <c r="AH121" s="2269"/>
      <c r="AI121" s="2269"/>
      <c r="AJ121" s="2269"/>
      <c r="AK121" s="2269"/>
      <c r="AL121" s="2269"/>
      <c r="AM121" s="2269"/>
      <c r="AN121" s="2269"/>
      <c r="AO121" s="2269"/>
      <c r="AP121" s="2269"/>
      <c r="AQ121" s="2269"/>
      <c r="AR121" s="2269"/>
      <c r="AS121" s="2269"/>
      <c r="AT121" s="2269"/>
      <c r="AU121" s="2269"/>
      <c r="AV121" s="2269"/>
      <c r="AW121" s="2269"/>
      <c r="AX121" s="2269"/>
      <c r="AY121" s="2269"/>
      <c r="AZ121" s="2269"/>
      <c r="BA121" s="2269"/>
      <c r="BB121" s="2269"/>
      <c r="BC121" s="2269"/>
      <c r="BD121" s="2269"/>
      <c r="BE121" s="2269"/>
      <c r="BF121" s="2269"/>
      <c r="BG121" s="2269"/>
      <c r="BH121" s="2269"/>
      <c r="BI121" s="2269"/>
      <c r="BJ121" s="2269"/>
      <c r="BK121" s="2269"/>
      <c r="BL121" s="2269"/>
      <c r="BM121" s="2269"/>
      <c r="BN121" s="2269"/>
      <c r="BO121" s="2269"/>
      <c r="BP121" s="2269"/>
      <c r="BQ121" s="2269"/>
      <c r="BR121" s="2269"/>
      <c r="BS121" s="2269"/>
      <c r="BT121" s="2269"/>
      <c r="BU121" s="2269"/>
      <c r="BV121" s="2269"/>
      <c r="BW121" s="2269"/>
      <c r="BX121" s="2269"/>
      <c r="BY121" s="2269"/>
      <c r="BZ121" s="2269"/>
      <c r="CA121" s="2269"/>
    </row>
    <row r="122" spans="1:79">
      <c r="A122" s="15"/>
      <c r="B122" s="15"/>
      <c r="C122" s="15"/>
      <c r="D122" s="15"/>
      <c r="E122" s="15"/>
      <c r="F122" s="15"/>
      <c r="G122" s="15"/>
      <c r="H122" s="15"/>
      <c r="I122" s="15"/>
      <c r="J122" s="15"/>
      <c r="K122" s="15"/>
      <c r="L122" s="15"/>
      <c r="M122" s="15"/>
      <c r="N122" s="15"/>
      <c r="O122" s="15"/>
      <c r="P122" s="15"/>
      <c r="Q122" s="15"/>
      <c r="R122" s="15"/>
      <c r="S122" s="15"/>
      <c r="T122" s="15"/>
      <c r="U122" s="15"/>
      <c r="V122" s="2269"/>
      <c r="W122" s="2269"/>
      <c r="X122" s="2269"/>
      <c r="Y122" s="2269"/>
      <c r="Z122" s="2269"/>
      <c r="AA122" s="2269"/>
      <c r="AB122" s="2269"/>
      <c r="AC122" s="2269"/>
      <c r="AD122" s="2269"/>
      <c r="AE122" s="2269"/>
      <c r="AF122" s="2269"/>
      <c r="AG122" s="2269"/>
      <c r="AH122" s="2269"/>
      <c r="AI122" s="2269"/>
      <c r="AJ122" s="2269"/>
      <c r="AK122" s="2269"/>
      <c r="AL122" s="2269"/>
      <c r="AM122" s="2269"/>
      <c r="AN122" s="2269"/>
      <c r="AO122" s="2269"/>
      <c r="AP122" s="2269"/>
      <c r="AQ122" s="2269"/>
      <c r="AR122" s="2269"/>
      <c r="AS122" s="2269"/>
      <c r="AT122" s="2269"/>
      <c r="AU122" s="2269"/>
      <c r="AV122" s="2269"/>
      <c r="AW122" s="2269"/>
      <c r="AX122" s="2269"/>
      <c r="AY122" s="2269"/>
      <c r="AZ122" s="2269"/>
      <c r="BA122" s="2269"/>
      <c r="BB122" s="2269"/>
      <c r="BC122" s="2269"/>
      <c r="BD122" s="2269"/>
      <c r="BE122" s="2269"/>
      <c r="BF122" s="2269"/>
      <c r="BG122" s="2269"/>
      <c r="BH122" s="2269"/>
      <c r="BI122" s="2269"/>
      <c r="BJ122" s="2269"/>
      <c r="BK122" s="2269"/>
      <c r="BL122" s="2269"/>
      <c r="BM122" s="2269"/>
      <c r="BN122" s="2269"/>
      <c r="BO122" s="2269"/>
      <c r="BP122" s="2269"/>
      <c r="BQ122" s="2269"/>
      <c r="BR122" s="2269"/>
      <c r="BS122" s="2269"/>
      <c r="BT122" s="2269"/>
      <c r="BU122" s="2269"/>
      <c r="BV122" s="2269"/>
      <c r="BW122" s="2269"/>
      <c r="BX122" s="2269"/>
      <c r="BY122" s="2269"/>
      <c r="BZ122" s="2269"/>
      <c r="CA122" s="2269"/>
    </row>
    <row r="123" spans="1:79">
      <c r="A123" s="2269"/>
      <c r="B123" s="2269"/>
      <c r="C123" s="2269"/>
      <c r="D123" s="2269"/>
      <c r="E123" s="2269"/>
      <c r="F123" s="2269"/>
      <c r="G123" s="2269"/>
      <c r="H123" s="2269"/>
      <c r="I123" s="2269"/>
      <c r="J123" s="2269"/>
      <c r="K123" s="2269"/>
      <c r="L123" s="2269"/>
      <c r="M123" s="2269"/>
      <c r="N123" s="2269"/>
      <c r="O123" s="2269"/>
      <c r="P123" s="2269"/>
      <c r="Q123" s="2269"/>
      <c r="R123" s="2269"/>
      <c r="S123" s="2269"/>
      <c r="T123" s="2269"/>
      <c r="U123" s="2269"/>
      <c r="V123" s="2269"/>
      <c r="W123" s="2269"/>
      <c r="X123" s="2269"/>
      <c r="Y123" s="2269"/>
      <c r="Z123" s="2269"/>
      <c r="AA123" s="2269"/>
      <c r="AB123" s="2269"/>
      <c r="AC123" s="2269"/>
      <c r="AD123" s="2269"/>
      <c r="AE123" s="2269"/>
      <c r="AF123" s="2269"/>
      <c r="AG123" s="2269"/>
      <c r="AH123" s="2269"/>
      <c r="AI123" s="2269"/>
      <c r="AJ123" s="2269"/>
      <c r="AK123" s="2269"/>
      <c r="AL123" s="2269"/>
      <c r="AM123" s="2269"/>
      <c r="AN123" s="2269"/>
      <c r="AO123" s="2269"/>
      <c r="AP123" s="2269"/>
      <c r="AQ123" s="2269"/>
      <c r="AR123" s="2269"/>
      <c r="AS123" s="2269"/>
      <c r="AT123" s="2269"/>
      <c r="AU123" s="2269"/>
      <c r="AV123" s="2269"/>
      <c r="AW123" s="2269"/>
      <c r="AX123" s="2269"/>
      <c r="AY123" s="2269"/>
      <c r="AZ123" s="2269"/>
      <c r="BA123" s="2269"/>
      <c r="BB123" s="2269"/>
      <c r="BC123" s="2269"/>
      <c r="BD123" s="2269"/>
      <c r="BE123" s="2269"/>
      <c r="BF123" s="2269"/>
      <c r="BG123" s="2269"/>
      <c r="BH123" s="2269"/>
      <c r="BI123" s="2269"/>
      <c r="BJ123" s="2269"/>
      <c r="BK123" s="2269"/>
      <c r="BL123" s="2269"/>
      <c r="BM123" s="2269"/>
      <c r="BN123" s="2269"/>
      <c r="BO123" s="2269"/>
      <c r="BP123" s="2269"/>
      <c r="BQ123" s="2269"/>
      <c r="BR123" s="2269"/>
      <c r="BS123" s="2269"/>
      <c r="BT123" s="2269"/>
      <c r="BU123" s="2269"/>
      <c r="BV123" s="2269"/>
      <c r="BW123" s="2269"/>
      <c r="BX123" s="2269"/>
      <c r="BY123" s="2269"/>
      <c r="BZ123" s="2269"/>
      <c r="CA123" s="2269"/>
    </row>
    <row r="124" spans="1:79">
      <c r="A124" s="2269"/>
      <c r="B124" s="2269"/>
      <c r="C124" s="2269"/>
      <c r="D124" s="2269"/>
      <c r="E124" s="2269"/>
      <c r="F124" s="2269"/>
      <c r="G124" s="2269"/>
      <c r="H124" s="2269"/>
      <c r="I124" s="2269"/>
      <c r="J124" s="2269"/>
      <c r="K124" s="2269"/>
      <c r="L124" s="2269"/>
      <c r="M124" s="2269"/>
      <c r="N124" s="2269"/>
      <c r="O124" s="2269"/>
      <c r="P124" s="2269"/>
      <c r="Q124" s="2269"/>
      <c r="R124" s="2269"/>
      <c r="S124" s="2269"/>
      <c r="T124" s="2269"/>
      <c r="U124" s="2269"/>
      <c r="V124" s="2269"/>
      <c r="W124" s="2269"/>
      <c r="X124" s="2269"/>
      <c r="Y124" s="2269"/>
      <c r="Z124" s="2269"/>
      <c r="AA124" s="2269"/>
      <c r="AB124" s="2269"/>
      <c r="AC124" s="2269"/>
      <c r="AD124" s="2269"/>
      <c r="AE124" s="2269"/>
      <c r="AF124" s="2269"/>
      <c r="AG124" s="2269"/>
      <c r="AH124" s="2269"/>
      <c r="AI124" s="2269"/>
      <c r="AJ124" s="2269"/>
      <c r="AK124" s="2269"/>
      <c r="AL124" s="2269"/>
      <c r="AM124" s="2269"/>
      <c r="AN124" s="2269"/>
      <c r="AO124" s="2269"/>
      <c r="AP124" s="2269"/>
      <c r="AQ124" s="2269"/>
      <c r="AR124" s="2269"/>
      <c r="AS124" s="2269"/>
      <c r="AT124" s="2269"/>
      <c r="AU124" s="2269"/>
      <c r="AV124" s="2269"/>
      <c r="AW124" s="2269"/>
      <c r="AX124" s="2269"/>
      <c r="AY124" s="2269"/>
      <c r="AZ124" s="2269"/>
      <c r="BA124" s="2269"/>
      <c r="BB124" s="2269"/>
      <c r="BC124" s="2269"/>
      <c r="BD124" s="2269"/>
      <c r="BE124" s="2269"/>
      <c r="BF124" s="2269"/>
      <c r="BG124" s="2269"/>
      <c r="BH124" s="2269"/>
      <c r="BI124" s="2269"/>
      <c r="BJ124" s="2269"/>
      <c r="BK124" s="2269"/>
      <c r="BL124" s="2269"/>
      <c r="BM124" s="2269"/>
      <c r="BN124" s="2269"/>
      <c r="BO124" s="2269"/>
      <c r="BP124" s="2269"/>
      <c r="BQ124" s="2269"/>
      <c r="BR124" s="2269"/>
      <c r="BS124" s="2269"/>
      <c r="BT124" s="2269"/>
      <c r="BU124" s="2269"/>
      <c r="BV124" s="2269"/>
      <c r="BW124" s="2269"/>
      <c r="BX124" s="2269"/>
      <c r="BY124" s="2269"/>
      <c r="BZ124" s="2269"/>
      <c r="CA124" s="2269"/>
    </row>
    <row r="125" spans="1:79">
      <c r="A125" s="2269"/>
      <c r="B125" s="2269"/>
      <c r="C125" s="2269"/>
      <c r="D125" s="2269"/>
      <c r="E125" s="2269"/>
      <c r="F125" s="2269"/>
      <c r="G125" s="2269"/>
      <c r="H125" s="2269"/>
      <c r="I125" s="2269"/>
      <c r="J125" s="2269"/>
      <c r="K125" s="2269"/>
      <c r="L125" s="2269"/>
      <c r="M125" s="2269"/>
      <c r="N125" s="2269"/>
      <c r="O125" s="2269"/>
      <c r="P125" s="2269"/>
      <c r="Q125" s="2269"/>
      <c r="R125" s="2269"/>
      <c r="S125" s="2269"/>
      <c r="T125" s="2269"/>
      <c r="U125" s="2269"/>
      <c r="V125" s="2269"/>
      <c r="W125" s="2269"/>
      <c r="X125" s="2269"/>
      <c r="Y125" s="2269"/>
      <c r="Z125" s="2269"/>
      <c r="AA125" s="2269"/>
      <c r="AB125" s="2269"/>
      <c r="AC125" s="2269"/>
      <c r="AD125" s="2269"/>
      <c r="AE125" s="2269"/>
      <c r="AF125" s="2269"/>
      <c r="AG125" s="2269"/>
      <c r="AH125" s="2269"/>
      <c r="AI125" s="2269"/>
      <c r="AJ125" s="2269"/>
      <c r="AK125" s="2269"/>
      <c r="AL125" s="2269"/>
      <c r="AM125" s="2269"/>
      <c r="AN125" s="2269"/>
      <c r="AO125" s="2269"/>
      <c r="AP125" s="2269"/>
      <c r="AQ125" s="2269"/>
      <c r="AR125" s="2269"/>
      <c r="AS125" s="2269"/>
      <c r="AT125" s="2269"/>
      <c r="AU125" s="2269"/>
      <c r="AV125" s="2269"/>
      <c r="AW125" s="2269"/>
      <c r="AX125" s="2269"/>
      <c r="AY125" s="2269"/>
      <c r="AZ125" s="2269"/>
      <c r="BA125" s="2269"/>
      <c r="BB125" s="2269"/>
      <c r="BC125" s="2269"/>
      <c r="BD125" s="2269"/>
      <c r="BE125" s="2269"/>
      <c r="BF125" s="2269"/>
      <c r="BG125" s="2269"/>
      <c r="BH125" s="2269"/>
      <c r="BI125" s="2269"/>
      <c r="BJ125" s="2269"/>
      <c r="BK125" s="2269"/>
      <c r="BL125" s="2269"/>
      <c r="BM125" s="2269"/>
      <c r="BN125" s="2269"/>
      <c r="BO125" s="2269"/>
      <c r="BP125" s="2269"/>
      <c r="BQ125" s="2269"/>
      <c r="BR125" s="2269"/>
      <c r="BS125" s="2269"/>
      <c r="BT125" s="2269"/>
      <c r="BU125" s="2269"/>
      <c r="BV125" s="2269"/>
      <c r="BW125" s="2269"/>
      <c r="BX125" s="2269"/>
      <c r="BY125" s="2269"/>
      <c r="BZ125" s="2269"/>
      <c r="CA125" s="2269"/>
    </row>
    <row r="126" spans="1:79">
      <c r="A126" s="2269"/>
      <c r="B126" s="2269"/>
      <c r="C126" s="2269"/>
      <c r="D126" s="2269"/>
      <c r="E126" s="2269"/>
      <c r="F126" s="2269"/>
      <c r="G126" s="2269"/>
      <c r="H126" s="2269"/>
      <c r="I126" s="2269"/>
      <c r="J126" s="2269"/>
      <c r="K126" s="2269"/>
      <c r="L126" s="2269"/>
      <c r="M126" s="2269"/>
      <c r="N126" s="2269"/>
      <c r="O126" s="2269"/>
      <c r="P126" s="2269"/>
      <c r="Q126" s="2269"/>
      <c r="R126" s="2269"/>
      <c r="S126" s="2269"/>
      <c r="T126" s="2269"/>
      <c r="U126" s="2269"/>
      <c r="V126" s="2269"/>
      <c r="W126" s="2269"/>
      <c r="X126" s="2269"/>
      <c r="Y126" s="2269"/>
      <c r="Z126" s="2269"/>
      <c r="AA126" s="2269"/>
      <c r="AB126" s="2269"/>
      <c r="AC126" s="2269"/>
      <c r="AD126" s="2269"/>
      <c r="AE126" s="2269"/>
      <c r="AF126" s="2269"/>
      <c r="AG126" s="2269"/>
      <c r="AH126" s="2269"/>
      <c r="AI126" s="2269"/>
      <c r="AJ126" s="2269"/>
      <c r="AK126" s="2269"/>
      <c r="AL126" s="2269"/>
      <c r="AM126" s="2269"/>
      <c r="AN126" s="2269"/>
      <c r="AO126" s="2269"/>
      <c r="AP126" s="2269"/>
      <c r="AQ126" s="2269"/>
      <c r="AR126" s="2269"/>
      <c r="AS126" s="2269"/>
      <c r="AT126" s="2269"/>
      <c r="AU126" s="2269"/>
      <c r="AV126" s="2269"/>
      <c r="AW126" s="2269"/>
      <c r="AX126" s="2269"/>
      <c r="AY126" s="2269"/>
      <c r="AZ126" s="2269"/>
      <c r="BA126" s="2269"/>
      <c r="BB126" s="2269"/>
      <c r="BC126" s="2269"/>
      <c r="BD126" s="2269"/>
      <c r="BE126" s="2269"/>
      <c r="BF126" s="2269"/>
      <c r="BG126" s="2269"/>
      <c r="BH126" s="2269"/>
      <c r="BI126" s="2269"/>
      <c r="BJ126" s="2269"/>
      <c r="BK126" s="2269"/>
      <c r="BL126" s="2269"/>
      <c r="BM126" s="2269"/>
      <c r="BN126" s="2269"/>
      <c r="BO126" s="2269"/>
      <c r="BP126" s="2269"/>
      <c r="BQ126" s="2269"/>
      <c r="BR126" s="2269"/>
      <c r="BS126" s="2269"/>
      <c r="BT126" s="2269"/>
      <c r="BU126" s="2269"/>
      <c r="BV126" s="2269"/>
      <c r="BW126" s="2269"/>
      <c r="BX126" s="2269"/>
      <c r="BY126" s="2269"/>
      <c r="BZ126" s="2269"/>
      <c r="CA126" s="2269"/>
    </row>
    <row r="127" spans="1:79">
      <c r="A127" s="2269"/>
      <c r="B127" s="2269"/>
      <c r="C127" s="2269"/>
      <c r="D127" s="2269"/>
      <c r="E127" s="2269"/>
      <c r="F127" s="2269"/>
      <c r="G127" s="2269"/>
      <c r="H127" s="2269"/>
      <c r="I127" s="2269"/>
      <c r="J127" s="2269"/>
      <c r="K127" s="2269"/>
      <c r="L127" s="2269"/>
      <c r="M127" s="2269"/>
      <c r="N127" s="2269"/>
      <c r="O127" s="2269"/>
      <c r="P127" s="2269"/>
      <c r="Q127" s="2269"/>
      <c r="R127" s="2269"/>
      <c r="S127" s="2269"/>
      <c r="T127" s="2269"/>
      <c r="U127" s="2269"/>
      <c r="V127" s="2269"/>
      <c r="W127" s="2269"/>
      <c r="X127" s="2269"/>
      <c r="Y127" s="2269"/>
      <c r="Z127" s="2269"/>
      <c r="AA127" s="2269"/>
      <c r="AB127" s="2269"/>
      <c r="AC127" s="2269"/>
      <c r="AD127" s="2269"/>
      <c r="AE127" s="2269"/>
      <c r="AF127" s="2269"/>
      <c r="AG127" s="2269"/>
      <c r="AH127" s="2269"/>
      <c r="AI127" s="2269"/>
      <c r="AJ127" s="2269"/>
      <c r="AK127" s="2269"/>
      <c r="AL127" s="2269"/>
      <c r="AM127" s="2269"/>
      <c r="AN127" s="2269"/>
      <c r="AO127" s="2269"/>
      <c r="AP127" s="2269"/>
      <c r="AQ127" s="2269"/>
      <c r="AR127" s="2269"/>
      <c r="AS127" s="2269"/>
      <c r="AT127" s="2269"/>
      <c r="AU127" s="2269"/>
      <c r="AV127" s="2269"/>
      <c r="AW127" s="2269"/>
      <c r="AX127" s="2269"/>
      <c r="AY127" s="2269"/>
      <c r="AZ127" s="2269"/>
      <c r="BA127" s="2269"/>
      <c r="BB127" s="2269"/>
      <c r="BC127" s="2269"/>
      <c r="BD127" s="2269"/>
      <c r="BE127" s="2269"/>
      <c r="BF127" s="2269"/>
      <c r="BG127" s="2269"/>
      <c r="BH127" s="2269"/>
      <c r="BI127" s="2269"/>
      <c r="BJ127" s="2269"/>
      <c r="BK127" s="2269"/>
      <c r="BL127" s="2269"/>
      <c r="BM127" s="2269"/>
      <c r="BN127" s="2269"/>
      <c r="BO127" s="2269"/>
      <c r="BP127" s="2269"/>
      <c r="BQ127" s="2269"/>
      <c r="BR127" s="2269"/>
      <c r="BS127" s="2269"/>
      <c r="BT127" s="2269"/>
      <c r="BU127" s="2269"/>
      <c r="BV127" s="2269"/>
      <c r="BW127" s="2269"/>
      <c r="BX127" s="2269"/>
      <c r="BY127" s="2269"/>
      <c r="BZ127" s="2269"/>
      <c r="CA127" s="2269"/>
    </row>
    <row r="128" spans="1:79">
      <c r="A128" s="2269"/>
      <c r="B128" s="2269"/>
      <c r="C128" s="2269"/>
      <c r="D128" s="2269"/>
      <c r="E128" s="2269"/>
      <c r="F128" s="2269"/>
      <c r="G128" s="2269"/>
      <c r="H128" s="2269"/>
      <c r="I128" s="2269"/>
      <c r="J128" s="2269"/>
      <c r="K128" s="2269"/>
      <c r="L128" s="2269"/>
      <c r="M128" s="2269"/>
      <c r="N128" s="2269"/>
      <c r="O128" s="2269"/>
      <c r="P128" s="2269"/>
      <c r="Q128" s="2269"/>
      <c r="R128" s="2269"/>
      <c r="S128" s="2269"/>
      <c r="T128" s="2269"/>
      <c r="U128" s="2269"/>
      <c r="V128" s="2269"/>
      <c r="W128" s="2269"/>
      <c r="X128" s="2269"/>
      <c r="Y128" s="2269"/>
      <c r="Z128" s="2269"/>
      <c r="AA128" s="2269"/>
      <c r="AB128" s="2269"/>
      <c r="AC128" s="2269"/>
      <c r="AD128" s="2269"/>
      <c r="AE128" s="2269"/>
      <c r="AF128" s="2269"/>
      <c r="AG128" s="2269"/>
      <c r="AH128" s="2269"/>
      <c r="AI128" s="2269"/>
      <c r="AJ128" s="2269"/>
      <c r="AK128" s="2269"/>
      <c r="AL128" s="2269"/>
      <c r="AM128" s="2269"/>
      <c r="AN128" s="2269"/>
      <c r="AO128" s="2269"/>
      <c r="AP128" s="2269"/>
      <c r="AQ128" s="2269"/>
      <c r="AR128" s="2269"/>
      <c r="AS128" s="2269"/>
      <c r="AT128" s="2269"/>
      <c r="AU128" s="2269"/>
      <c r="AV128" s="2269"/>
      <c r="AW128" s="2269"/>
      <c r="AX128" s="2269"/>
      <c r="AY128" s="2269"/>
      <c r="AZ128" s="2269"/>
      <c r="BA128" s="2269"/>
      <c r="BB128" s="2269"/>
      <c r="BC128" s="2269"/>
      <c r="BD128" s="2269"/>
      <c r="BE128" s="2269"/>
      <c r="BF128" s="2269"/>
      <c r="BG128" s="2269"/>
      <c r="BH128" s="2269"/>
      <c r="BI128" s="2269"/>
      <c r="BJ128" s="2269"/>
      <c r="BK128" s="2269"/>
      <c r="BL128" s="2269"/>
      <c r="BM128" s="2269"/>
      <c r="BN128" s="2269"/>
      <c r="BO128" s="2269"/>
      <c r="BP128" s="2269"/>
      <c r="BQ128" s="2269"/>
      <c r="BR128" s="2269"/>
      <c r="BS128" s="2269"/>
      <c r="BT128" s="2269"/>
      <c r="BU128" s="2269"/>
      <c r="BV128" s="2269"/>
      <c r="BW128" s="2269"/>
      <c r="BX128" s="2269"/>
      <c r="BY128" s="2269"/>
      <c r="BZ128" s="2269"/>
      <c r="CA128" s="2269"/>
    </row>
    <row r="129" spans="1:79">
      <c r="A129" s="2269"/>
      <c r="B129" s="2269"/>
      <c r="C129" s="2269"/>
      <c r="D129" s="2269"/>
      <c r="E129" s="2269"/>
      <c r="F129" s="2269"/>
      <c r="G129" s="2269"/>
      <c r="H129" s="2269"/>
      <c r="I129" s="2269"/>
      <c r="J129" s="2269"/>
      <c r="K129" s="2269"/>
      <c r="L129" s="2269"/>
      <c r="M129" s="2269"/>
      <c r="N129" s="2269"/>
      <c r="O129" s="2269"/>
      <c r="P129" s="2269"/>
      <c r="Q129" s="2269"/>
      <c r="R129" s="2269"/>
      <c r="S129" s="2269"/>
      <c r="T129" s="2269"/>
      <c r="U129" s="2269"/>
      <c r="V129" s="2269"/>
      <c r="W129" s="2269"/>
      <c r="X129" s="2269"/>
      <c r="Y129" s="2269"/>
      <c r="Z129" s="2269"/>
      <c r="AA129" s="2269"/>
      <c r="AB129" s="2269"/>
      <c r="AC129" s="2269"/>
      <c r="AD129" s="2269"/>
      <c r="AE129" s="2269"/>
      <c r="AF129" s="2269"/>
      <c r="AG129" s="2269"/>
      <c r="AH129" s="2269"/>
      <c r="AI129" s="2269"/>
      <c r="AJ129" s="2269"/>
      <c r="AK129" s="2269"/>
      <c r="AL129" s="2269"/>
      <c r="AM129" s="2269"/>
      <c r="AN129" s="2269"/>
      <c r="AO129" s="2269"/>
      <c r="AP129" s="2269"/>
      <c r="AQ129" s="2269"/>
      <c r="AR129" s="2269"/>
      <c r="AS129" s="2269"/>
      <c r="AT129" s="2269"/>
      <c r="AU129" s="2269"/>
      <c r="AV129" s="2269"/>
      <c r="AW129" s="2269"/>
      <c r="AX129" s="2269"/>
      <c r="AY129" s="2269"/>
      <c r="AZ129" s="2269"/>
      <c r="BA129" s="2269"/>
      <c r="BB129" s="2269"/>
      <c r="BC129" s="2269"/>
      <c r="BD129" s="2269"/>
      <c r="BE129" s="2269"/>
      <c r="BF129" s="2269"/>
      <c r="BG129" s="2269"/>
      <c r="BH129" s="2269"/>
      <c r="BI129" s="2269"/>
      <c r="BJ129" s="2269"/>
      <c r="BK129" s="2269"/>
      <c r="BL129" s="2269"/>
      <c r="BM129" s="2269"/>
      <c r="BN129" s="2269"/>
      <c r="BO129" s="2269"/>
      <c r="BP129" s="2269"/>
      <c r="BQ129" s="2269"/>
      <c r="BR129" s="2269"/>
      <c r="BS129" s="2269"/>
      <c r="BT129" s="2269"/>
      <c r="BU129" s="2269"/>
      <c r="BV129" s="2269"/>
      <c r="BW129" s="2269"/>
      <c r="BX129" s="2269"/>
      <c r="BY129" s="2269"/>
      <c r="BZ129" s="2269"/>
      <c r="CA129" s="2269"/>
    </row>
    <row r="130" spans="1:79">
      <c r="A130" s="2269"/>
      <c r="B130" s="2269"/>
      <c r="C130" s="2269"/>
      <c r="D130" s="2269"/>
      <c r="E130" s="2269"/>
      <c r="F130" s="2269"/>
      <c r="G130" s="2269"/>
      <c r="H130" s="2269"/>
      <c r="I130" s="2269"/>
      <c r="J130" s="2269"/>
      <c r="K130" s="2269"/>
      <c r="L130" s="2269"/>
      <c r="M130" s="2269"/>
      <c r="N130" s="2269"/>
      <c r="O130" s="2269"/>
      <c r="P130" s="2269"/>
      <c r="Q130" s="2269"/>
      <c r="R130" s="2269"/>
      <c r="S130" s="2269"/>
      <c r="T130" s="2269"/>
      <c r="U130" s="2269"/>
      <c r="V130" s="2269"/>
      <c r="W130" s="2269"/>
      <c r="X130" s="2269"/>
      <c r="Y130" s="2269"/>
      <c r="Z130" s="2269"/>
      <c r="AA130" s="2269"/>
      <c r="AB130" s="2269"/>
      <c r="AC130" s="2269"/>
      <c r="AD130" s="2269"/>
      <c r="AE130" s="2269"/>
      <c r="AF130" s="2269"/>
      <c r="AG130" s="2269"/>
      <c r="AH130" s="2269"/>
      <c r="AI130" s="2269"/>
      <c r="AJ130" s="2269"/>
      <c r="AK130" s="2269"/>
      <c r="AL130" s="2269"/>
      <c r="AM130" s="2269"/>
      <c r="AN130" s="2269"/>
      <c r="AO130" s="2269"/>
      <c r="AP130" s="2269"/>
      <c r="AQ130" s="2269"/>
      <c r="AR130" s="2269"/>
      <c r="AS130" s="2269"/>
      <c r="AT130" s="2269"/>
      <c r="AU130" s="2269"/>
      <c r="AV130" s="2269"/>
      <c r="AW130" s="2269"/>
      <c r="AX130" s="2269"/>
      <c r="AY130" s="2269"/>
      <c r="AZ130" s="2269"/>
      <c r="BA130" s="2269"/>
      <c r="BB130" s="2269"/>
      <c r="BC130" s="2269"/>
      <c r="BD130" s="2269"/>
      <c r="BE130" s="2269"/>
      <c r="BF130" s="2269"/>
      <c r="BG130" s="2269"/>
      <c r="BH130" s="2269"/>
      <c r="BI130" s="2269"/>
      <c r="BJ130" s="2269"/>
      <c r="BK130" s="2269"/>
      <c r="BL130" s="2269"/>
      <c r="BM130" s="2269"/>
      <c r="BN130" s="2269"/>
      <c r="BO130" s="2269"/>
      <c r="BP130" s="2269"/>
      <c r="BQ130" s="2269"/>
      <c r="BR130" s="2269"/>
      <c r="BS130" s="2269"/>
      <c r="BT130" s="2269"/>
      <c r="BU130" s="2269"/>
      <c r="BV130" s="2269"/>
      <c r="BW130" s="2269"/>
      <c r="BX130" s="2269"/>
      <c r="BY130" s="2269"/>
      <c r="BZ130" s="2269"/>
      <c r="CA130" s="2269"/>
    </row>
    <row r="131" spans="1:79">
      <c r="A131" s="2269"/>
      <c r="B131" s="2269"/>
      <c r="C131" s="2269"/>
      <c r="D131" s="2269"/>
      <c r="E131" s="2269"/>
      <c r="F131" s="2269"/>
      <c r="G131" s="2269"/>
      <c r="H131" s="2269"/>
      <c r="I131" s="2269"/>
      <c r="J131" s="2269"/>
      <c r="K131" s="2269"/>
      <c r="L131" s="2269"/>
      <c r="M131" s="2269"/>
      <c r="N131" s="2269"/>
      <c r="O131" s="2269"/>
      <c r="P131" s="2269"/>
      <c r="Q131" s="2269"/>
      <c r="R131" s="2269"/>
      <c r="S131" s="2269"/>
      <c r="T131" s="2269"/>
      <c r="U131" s="2269"/>
      <c r="V131" s="2269"/>
      <c r="W131" s="2269"/>
      <c r="X131" s="2269"/>
      <c r="Y131" s="2269"/>
      <c r="Z131" s="2269"/>
      <c r="AA131" s="2269"/>
      <c r="AB131" s="2269"/>
      <c r="AC131" s="2269"/>
      <c r="AD131" s="2269"/>
      <c r="AE131" s="2269"/>
      <c r="AF131" s="2269"/>
      <c r="AG131" s="2269"/>
      <c r="AH131" s="2269"/>
      <c r="AI131" s="2269"/>
      <c r="AJ131" s="2269"/>
      <c r="AK131" s="2269"/>
      <c r="AL131" s="2269"/>
      <c r="AM131" s="2269"/>
      <c r="AN131" s="2269"/>
      <c r="AO131" s="2269"/>
      <c r="AP131" s="2269"/>
      <c r="AQ131" s="2269"/>
      <c r="AR131" s="2269"/>
      <c r="AS131" s="2269"/>
      <c r="AT131" s="2269"/>
      <c r="AU131" s="2269"/>
      <c r="AV131" s="2269"/>
      <c r="AW131" s="2269"/>
      <c r="AX131" s="2269"/>
      <c r="AY131" s="2269"/>
      <c r="AZ131" s="2269"/>
      <c r="BA131" s="2269"/>
      <c r="BB131" s="2269"/>
      <c r="BC131" s="2269"/>
      <c r="BD131" s="2269"/>
      <c r="BE131" s="2269"/>
      <c r="BF131" s="2269"/>
      <c r="BG131" s="2269"/>
      <c r="BH131" s="2269"/>
      <c r="BI131" s="2269"/>
      <c r="BJ131" s="2269"/>
      <c r="BK131" s="2269"/>
      <c r="BL131" s="2269"/>
      <c r="BM131" s="2269"/>
      <c r="BN131" s="2269"/>
      <c r="BO131" s="2269"/>
      <c r="BP131" s="2269"/>
      <c r="BQ131" s="2269"/>
      <c r="BR131" s="2269"/>
      <c r="BS131" s="2269"/>
      <c r="BT131" s="2269"/>
      <c r="BU131" s="2269"/>
      <c r="BV131" s="2269"/>
      <c r="BW131" s="2269"/>
      <c r="BX131" s="2269"/>
      <c r="BY131" s="2269"/>
      <c r="BZ131" s="2269"/>
      <c r="CA131" s="2269"/>
    </row>
    <row r="132" spans="1:79">
      <c r="A132" s="2269"/>
      <c r="B132" s="2269"/>
      <c r="C132" s="2269"/>
      <c r="D132" s="2269"/>
      <c r="E132" s="2269"/>
      <c r="F132" s="2269"/>
      <c r="G132" s="2269"/>
      <c r="H132" s="2269"/>
      <c r="I132" s="2269"/>
      <c r="J132" s="2269"/>
      <c r="K132" s="2269"/>
      <c r="L132" s="2269"/>
      <c r="M132" s="2269"/>
      <c r="N132" s="2269"/>
      <c r="O132" s="2269"/>
      <c r="P132" s="2269"/>
      <c r="Q132" s="2269"/>
      <c r="R132" s="2269"/>
      <c r="S132" s="2269"/>
      <c r="T132" s="2269"/>
      <c r="U132" s="2269"/>
      <c r="V132" s="2269"/>
      <c r="W132" s="2269"/>
      <c r="X132" s="2269"/>
      <c r="Y132" s="2269"/>
      <c r="Z132" s="2269"/>
      <c r="AA132" s="2269"/>
      <c r="AB132" s="2269"/>
      <c r="AC132" s="2269"/>
      <c r="AD132" s="2269"/>
      <c r="AE132" s="2269"/>
      <c r="AF132" s="2269"/>
      <c r="AG132" s="2269"/>
      <c r="AH132" s="2269"/>
      <c r="AI132" s="2269"/>
      <c r="AJ132" s="2269"/>
      <c r="AK132" s="2269"/>
      <c r="AL132" s="2269"/>
      <c r="AM132" s="2269"/>
      <c r="AN132" s="2269"/>
      <c r="AO132" s="2269"/>
      <c r="AP132" s="2269"/>
      <c r="AQ132" s="2269"/>
      <c r="AR132" s="2269"/>
      <c r="AS132" s="2269"/>
      <c r="AT132" s="2269"/>
      <c r="AU132" s="2269"/>
      <c r="AV132" s="2269"/>
      <c r="AW132" s="2269"/>
      <c r="AX132" s="2269"/>
      <c r="AY132" s="2269"/>
      <c r="AZ132" s="2269"/>
      <c r="BA132" s="2269"/>
      <c r="BB132" s="2269"/>
      <c r="BC132" s="2269"/>
      <c r="BD132" s="2269"/>
      <c r="BE132" s="2269"/>
      <c r="BF132" s="2269"/>
      <c r="BG132" s="2269"/>
      <c r="BH132" s="2269"/>
      <c r="BI132" s="2269"/>
      <c r="BJ132" s="2269"/>
      <c r="BK132" s="2269"/>
      <c r="BL132" s="2269"/>
      <c r="BM132" s="2269"/>
      <c r="BN132" s="2269"/>
      <c r="BO132" s="2269"/>
      <c r="BP132" s="2269"/>
      <c r="BQ132" s="2269"/>
      <c r="BR132" s="2269"/>
      <c r="BS132" s="2269"/>
      <c r="BT132" s="2269"/>
      <c r="BU132" s="2269"/>
      <c r="BV132" s="2269"/>
      <c r="BW132" s="2269"/>
      <c r="BX132" s="2269"/>
      <c r="BY132" s="2269"/>
      <c r="BZ132" s="2269"/>
      <c r="CA132" s="2269"/>
    </row>
    <row r="133" spans="1:79">
      <c r="A133" s="2269"/>
      <c r="B133" s="2269"/>
      <c r="C133" s="2269"/>
      <c r="D133" s="2269"/>
      <c r="E133" s="2269"/>
      <c r="F133" s="2269"/>
      <c r="G133" s="2269"/>
      <c r="H133" s="2269"/>
      <c r="I133" s="2269"/>
      <c r="J133" s="2269"/>
      <c r="K133" s="2269"/>
      <c r="L133" s="2269"/>
      <c r="M133" s="2269"/>
      <c r="N133" s="2269"/>
      <c r="O133" s="2269"/>
      <c r="P133" s="2269"/>
      <c r="Q133" s="2269"/>
      <c r="R133" s="2269"/>
      <c r="S133" s="2269"/>
      <c r="T133" s="2269"/>
      <c r="U133" s="2269"/>
      <c r="V133" s="2269"/>
      <c r="W133" s="2269"/>
      <c r="X133" s="2269"/>
      <c r="Y133" s="2269"/>
      <c r="Z133" s="2269"/>
      <c r="AA133" s="2269"/>
      <c r="AB133" s="2269"/>
      <c r="AC133" s="2269"/>
      <c r="AD133" s="2269"/>
      <c r="AE133" s="2269"/>
      <c r="AF133" s="2269"/>
      <c r="AG133" s="2269"/>
      <c r="AH133" s="2269"/>
      <c r="AI133" s="2269"/>
      <c r="AJ133" s="2269"/>
      <c r="AK133" s="2269"/>
      <c r="AL133" s="2269"/>
      <c r="AM133" s="2269"/>
      <c r="AN133" s="2269"/>
      <c r="AO133" s="2269"/>
      <c r="AP133" s="2269"/>
      <c r="AQ133" s="2269"/>
      <c r="AR133" s="2269"/>
      <c r="AS133" s="2269"/>
      <c r="AT133" s="2269"/>
      <c r="AU133" s="2269"/>
      <c r="AV133" s="2269"/>
      <c r="AW133" s="2269"/>
      <c r="AX133" s="2269"/>
      <c r="AY133" s="2269"/>
      <c r="AZ133" s="2269"/>
      <c r="BA133" s="2269"/>
      <c r="BB133" s="2269"/>
      <c r="BC133" s="2269"/>
      <c r="BD133" s="2269"/>
      <c r="BE133" s="2269"/>
      <c r="BF133" s="2269"/>
      <c r="BG133" s="2269"/>
      <c r="BH133" s="2269"/>
      <c r="BI133" s="2269"/>
      <c r="BJ133" s="2269"/>
      <c r="BK133" s="2269"/>
      <c r="BL133" s="2269"/>
      <c r="BM133" s="2269"/>
      <c r="BN133" s="2269"/>
      <c r="BO133" s="2269"/>
      <c r="BP133" s="2269"/>
      <c r="BQ133" s="2269"/>
      <c r="BR133" s="2269"/>
      <c r="BS133" s="2269"/>
      <c r="BT133" s="2269"/>
      <c r="BU133" s="2269"/>
      <c r="BV133" s="2269"/>
      <c r="BW133" s="2269"/>
      <c r="BX133" s="2269"/>
      <c r="BY133" s="2269"/>
      <c r="BZ133" s="2269"/>
      <c r="CA133" s="2269"/>
    </row>
    <row r="134" spans="1:79">
      <c r="A134" s="2269"/>
      <c r="B134" s="2269"/>
      <c r="C134" s="2269"/>
      <c r="D134" s="2269"/>
      <c r="E134" s="2269"/>
      <c r="F134" s="2269"/>
      <c r="G134" s="2269"/>
      <c r="H134" s="2269"/>
      <c r="I134" s="2269"/>
      <c r="J134" s="2269"/>
      <c r="K134" s="2269"/>
      <c r="L134" s="2269"/>
      <c r="M134" s="2269"/>
      <c r="N134" s="2269"/>
      <c r="O134" s="2269"/>
      <c r="P134" s="2269"/>
      <c r="Q134" s="2269"/>
      <c r="R134" s="2269"/>
      <c r="S134" s="2269"/>
      <c r="T134" s="2269"/>
      <c r="U134" s="2269"/>
      <c r="V134" s="2269"/>
      <c r="W134" s="2269"/>
      <c r="X134" s="2269"/>
      <c r="Y134" s="2269"/>
      <c r="Z134" s="2269"/>
      <c r="AA134" s="2269"/>
      <c r="AB134" s="2269"/>
      <c r="AC134" s="2269"/>
      <c r="AD134" s="2269"/>
      <c r="AE134" s="2269"/>
      <c r="AF134" s="2269"/>
      <c r="AG134" s="2269"/>
      <c r="AH134" s="2269"/>
      <c r="AI134" s="2269"/>
      <c r="AJ134" s="2269"/>
      <c r="AK134" s="2269"/>
      <c r="AL134" s="2269"/>
      <c r="AM134" s="2269"/>
      <c r="AN134" s="2269"/>
      <c r="AO134" s="2269"/>
      <c r="AP134" s="2269"/>
      <c r="AQ134" s="2269"/>
      <c r="AR134" s="2269"/>
      <c r="AS134" s="2269"/>
      <c r="AT134" s="2269"/>
      <c r="AU134" s="2269"/>
      <c r="AV134" s="2269"/>
      <c r="AW134" s="2269"/>
      <c r="AX134" s="2269"/>
      <c r="AY134" s="2269"/>
      <c r="AZ134" s="2269"/>
      <c r="BA134" s="2269"/>
      <c r="BB134" s="2269"/>
      <c r="BC134" s="2269"/>
      <c r="BD134" s="2269"/>
      <c r="BE134" s="2269"/>
      <c r="BF134" s="2269"/>
      <c r="BG134" s="2269"/>
      <c r="BH134" s="2269"/>
      <c r="BI134" s="2269"/>
      <c r="BJ134" s="2269"/>
      <c r="BK134" s="2269"/>
      <c r="BL134" s="2269"/>
      <c r="BM134" s="2269"/>
      <c r="BN134" s="2269"/>
      <c r="BO134" s="2269"/>
      <c r="BP134" s="2269"/>
      <c r="BQ134" s="2269"/>
      <c r="BR134" s="2269"/>
      <c r="BS134" s="2269"/>
      <c r="BT134" s="2269"/>
      <c r="BU134" s="2269"/>
      <c r="BV134" s="2269"/>
      <c r="BW134" s="2269"/>
      <c r="BX134" s="2269"/>
      <c r="BY134" s="2269"/>
      <c r="BZ134" s="2269"/>
      <c r="CA134" s="2269"/>
    </row>
    <row r="135" spans="1:79">
      <c r="A135" s="2269"/>
      <c r="B135" s="2269"/>
      <c r="C135" s="2269"/>
      <c r="D135" s="2269"/>
      <c r="E135" s="2269"/>
      <c r="F135" s="2269"/>
      <c r="G135" s="2269"/>
      <c r="H135" s="2269"/>
      <c r="I135" s="2269"/>
      <c r="J135" s="2269"/>
      <c r="K135" s="2269"/>
      <c r="L135" s="2269"/>
      <c r="M135" s="2269"/>
      <c r="N135" s="2269"/>
      <c r="O135" s="2269"/>
      <c r="P135" s="2269"/>
      <c r="Q135" s="2269"/>
      <c r="R135" s="2269"/>
      <c r="S135" s="2269"/>
      <c r="T135" s="2269"/>
      <c r="U135" s="2269"/>
      <c r="V135" s="2269"/>
      <c r="W135" s="2269"/>
      <c r="X135" s="2269"/>
      <c r="Y135" s="2269"/>
      <c r="Z135" s="2269"/>
      <c r="AA135" s="2269"/>
      <c r="AB135" s="2269"/>
      <c r="AC135" s="2269"/>
      <c r="AD135" s="2269"/>
      <c r="AE135" s="2269"/>
      <c r="AF135" s="2269"/>
      <c r="AG135" s="2269"/>
      <c r="AH135" s="2269"/>
      <c r="AI135" s="2269"/>
      <c r="AJ135" s="2269"/>
      <c r="AK135" s="2269"/>
      <c r="AL135" s="2269"/>
      <c r="AM135" s="2269"/>
      <c r="AN135" s="2269"/>
      <c r="AO135" s="2269"/>
      <c r="AP135" s="2269"/>
      <c r="AQ135" s="2269"/>
      <c r="AR135" s="2269"/>
      <c r="AS135" s="2269"/>
      <c r="AT135" s="2269"/>
      <c r="AU135" s="2269"/>
      <c r="AV135" s="2269"/>
      <c r="AW135" s="2269"/>
      <c r="AX135" s="2269"/>
      <c r="AY135" s="2269"/>
      <c r="AZ135" s="2269"/>
      <c r="BA135" s="2269"/>
      <c r="BB135" s="2269"/>
      <c r="BC135" s="2269"/>
      <c r="BD135" s="2269"/>
      <c r="BE135" s="2269"/>
      <c r="BF135" s="2269"/>
      <c r="BG135" s="2269"/>
      <c r="BH135" s="2269"/>
      <c r="BI135" s="2269"/>
      <c r="BJ135" s="2269"/>
      <c r="BK135" s="2269"/>
      <c r="BL135" s="2269"/>
      <c r="BM135" s="2269"/>
      <c r="BN135" s="2269"/>
      <c r="BO135" s="2269"/>
      <c r="BP135" s="2269"/>
      <c r="BQ135" s="2269"/>
      <c r="BR135" s="2269"/>
      <c r="BS135" s="2269"/>
      <c r="BT135" s="2269"/>
      <c r="BU135" s="2269"/>
      <c r="BV135" s="2269"/>
      <c r="BW135" s="2269"/>
      <c r="BX135" s="2269"/>
      <c r="BY135" s="2269"/>
      <c r="BZ135" s="2269"/>
      <c r="CA135" s="2269"/>
    </row>
    <row r="136" spans="1:79">
      <c r="A136" s="2269"/>
      <c r="B136" s="2269"/>
      <c r="C136" s="2269"/>
      <c r="D136" s="2269"/>
      <c r="E136" s="2269"/>
      <c r="F136" s="2269"/>
      <c r="G136" s="2269"/>
      <c r="H136" s="2269"/>
      <c r="I136" s="2269"/>
      <c r="J136" s="2269"/>
      <c r="K136" s="2269"/>
      <c r="L136" s="2269"/>
      <c r="M136" s="2269"/>
      <c r="N136" s="2269"/>
      <c r="O136" s="2269"/>
      <c r="P136" s="2269"/>
      <c r="Q136" s="2269"/>
      <c r="R136" s="2269"/>
      <c r="S136" s="2269"/>
      <c r="T136" s="2269"/>
      <c r="U136" s="2269"/>
      <c r="V136" s="2269"/>
      <c r="W136" s="2269"/>
      <c r="X136" s="2269"/>
      <c r="Y136" s="2269"/>
      <c r="Z136" s="2269"/>
      <c r="AA136" s="2269"/>
      <c r="AB136" s="2269"/>
      <c r="AC136" s="2269"/>
      <c r="AD136" s="2269"/>
      <c r="AE136" s="2269"/>
      <c r="AF136" s="2269"/>
      <c r="AG136" s="2269"/>
      <c r="AH136" s="2269"/>
      <c r="AI136" s="2269"/>
      <c r="AJ136" s="2269"/>
      <c r="AK136" s="2269"/>
      <c r="AL136" s="2269"/>
      <c r="AM136" s="2269"/>
      <c r="AN136" s="2269"/>
      <c r="AO136" s="2269"/>
      <c r="AP136" s="2269"/>
      <c r="AQ136" s="2269"/>
      <c r="AR136" s="2269"/>
      <c r="AS136" s="2269"/>
      <c r="AT136" s="2269"/>
      <c r="AU136" s="2269"/>
      <c r="AV136" s="2269"/>
      <c r="AW136" s="2269"/>
      <c r="AX136" s="2269"/>
      <c r="AY136" s="2269"/>
      <c r="AZ136" s="2269"/>
      <c r="BA136" s="2269"/>
      <c r="BB136" s="2269"/>
      <c r="BC136" s="2269"/>
      <c r="BD136" s="2269"/>
      <c r="BE136" s="2269"/>
      <c r="BF136" s="2269"/>
      <c r="BG136" s="2269"/>
      <c r="BH136" s="2269"/>
      <c r="BI136" s="2269"/>
      <c r="BJ136" s="2269"/>
      <c r="BK136" s="2269"/>
      <c r="BL136" s="2269"/>
      <c r="BM136" s="2269"/>
      <c r="BN136" s="2269"/>
      <c r="BO136" s="2269"/>
      <c r="BP136" s="2269"/>
      <c r="BQ136" s="2269"/>
      <c r="BR136" s="2269"/>
      <c r="BS136" s="2269"/>
      <c r="BT136" s="2269"/>
      <c r="BU136" s="2269"/>
      <c r="BV136" s="2269"/>
      <c r="BW136" s="2269"/>
      <c r="BX136" s="2269"/>
      <c r="BY136" s="2269"/>
      <c r="BZ136" s="2269"/>
      <c r="CA136" s="2269"/>
    </row>
    <row r="137" spans="1:79">
      <c r="A137" s="2269"/>
      <c r="B137" s="2269"/>
      <c r="C137" s="2269"/>
      <c r="D137" s="2269"/>
      <c r="E137" s="2269"/>
      <c r="F137" s="2269"/>
      <c r="G137" s="2269"/>
      <c r="H137" s="2269"/>
      <c r="I137" s="2269"/>
      <c r="J137" s="2269"/>
      <c r="K137" s="2269"/>
      <c r="L137" s="2269"/>
      <c r="M137" s="2269"/>
      <c r="N137" s="2269"/>
      <c r="O137" s="2269"/>
      <c r="P137" s="2269"/>
      <c r="Q137" s="2269"/>
      <c r="R137" s="2269"/>
      <c r="S137" s="2269"/>
      <c r="T137" s="2269"/>
      <c r="U137" s="2269"/>
      <c r="V137" s="2269"/>
      <c r="W137" s="2269"/>
      <c r="X137" s="2269"/>
      <c r="Y137" s="2269"/>
      <c r="Z137" s="2269"/>
      <c r="AA137" s="2269"/>
      <c r="AB137" s="2269"/>
      <c r="AC137" s="2269"/>
      <c r="AD137" s="2269"/>
      <c r="AE137" s="2269"/>
      <c r="AF137" s="2269"/>
      <c r="AG137" s="2269"/>
      <c r="AH137" s="2269"/>
      <c r="AI137" s="2269"/>
      <c r="AJ137" s="2269"/>
      <c r="AK137" s="2269"/>
      <c r="AL137" s="2269"/>
      <c r="AM137" s="2269"/>
      <c r="AN137" s="2269"/>
      <c r="AO137" s="2269"/>
      <c r="AP137" s="2269"/>
      <c r="AQ137" s="2269"/>
      <c r="AR137" s="2269"/>
      <c r="AS137" s="2269"/>
      <c r="AT137" s="2269"/>
      <c r="AU137" s="2269"/>
      <c r="AV137" s="2269"/>
      <c r="AW137" s="2269"/>
      <c r="AX137" s="2269"/>
      <c r="AY137" s="2269"/>
      <c r="AZ137" s="2269"/>
      <c r="BA137" s="2269"/>
      <c r="BB137" s="2269"/>
      <c r="BC137" s="2269"/>
      <c r="BD137" s="2269"/>
      <c r="BE137" s="2269"/>
      <c r="BF137" s="2269"/>
      <c r="BG137" s="2269"/>
      <c r="BH137" s="2269"/>
      <c r="BI137" s="2269"/>
      <c r="BJ137" s="2269"/>
      <c r="BK137" s="2269"/>
      <c r="BL137" s="2269"/>
      <c r="BM137" s="2269"/>
      <c r="BN137" s="2269"/>
      <c r="BO137" s="2269"/>
      <c r="BP137" s="2269"/>
      <c r="BQ137" s="2269"/>
      <c r="BR137" s="2269"/>
      <c r="BS137" s="2269"/>
      <c r="BT137" s="2269"/>
      <c r="BU137" s="2269"/>
      <c r="BV137" s="2269"/>
      <c r="BW137" s="2269"/>
      <c r="BX137" s="2269"/>
      <c r="BY137" s="2269"/>
      <c r="BZ137" s="2269"/>
      <c r="CA137" s="2269"/>
    </row>
    <row r="138" spans="1:79">
      <c r="A138" s="2269"/>
      <c r="B138" s="2269"/>
      <c r="C138" s="2269"/>
      <c r="D138" s="2269"/>
      <c r="E138" s="2269"/>
      <c r="F138" s="2269"/>
      <c r="G138" s="2269"/>
      <c r="H138" s="2269"/>
      <c r="I138" s="2269"/>
      <c r="J138" s="2269"/>
      <c r="K138" s="2269"/>
      <c r="L138" s="2269"/>
      <c r="M138" s="2269"/>
      <c r="N138" s="2269"/>
      <c r="O138" s="2269"/>
      <c r="P138" s="2269"/>
      <c r="Q138" s="2269"/>
      <c r="R138" s="2269"/>
      <c r="S138" s="2269"/>
      <c r="T138" s="2269"/>
      <c r="U138" s="2269"/>
      <c r="V138" s="2269"/>
      <c r="W138" s="2269"/>
      <c r="X138" s="2269"/>
      <c r="Y138" s="2269"/>
      <c r="Z138" s="2269"/>
      <c r="AA138" s="2269"/>
      <c r="AB138" s="2269"/>
      <c r="AC138" s="2269"/>
      <c r="AD138" s="2269"/>
      <c r="AE138" s="2269"/>
      <c r="AF138" s="2269"/>
      <c r="AG138" s="2269"/>
      <c r="AH138" s="2269"/>
      <c r="AI138" s="2269"/>
      <c r="AJ138" s="2269"/>
      <c r="AK138" s="2269"/>
      <c r="AL138" s="2269"/>
      <c r="AM138" s="2269"/>
      <c r="AN138" s="2269"/>
      <c r="AO138" s="2269"/>
      <c r="AP138" s="2269"/>
      <c r="AQ138" s="2269"/>
      <c r="AR138" s="2269"/>
      <c r="AS138" s="2269"/>
      <c r="AT138" s="2269"/>
      <c r="AU138" s="2269"/>
      <c r="AV138" s="2269"/>
      <c r="AW138" s="2269"/>
      <c r="AX138" s="2269"/>
      <c r="AY138" s="2269"/>
      <c r="AZ138" s="2269"/>
      <c r="BA138" s="2269"/>
      <c r="BB138" s="2269"/>
      <c r="BC138" s="2269"/>
      <c r="BD138" s="2269"/>
      <c r="BE138" s="2269"/>
      <c r="BF138" s="2269"/>
      <c r="BG138" s="2269"/>
      <c r="BH138" s="2269"/>
      <c r="BI138" s="2269"/>
      <c r="BJ138" s="2269"/>
      <c r="BK138" s="2269"/>
      <c r="BL138" s="2269"/>
      <c r="BM138" s="2269"/>
      <c r="BN138" s="2269"/>
      <c r="BO138" s="2269"/>
      <c r="BP138" s="2269"/>
      <c r="BQ138" s="2269"/>
      <c r="BR138" s="2269"/>
      <c r="BS138" s="2269"/>
      <c r="BT138" s="2269"/>
      <c r="BU138" s="2269"/>
      <c r="BV138" s="2269"/>
      <c r="BW138" s="2269"/>
      <c r="BX138" s="2269"/>
      <c r="BY138" s="2269"/>
      <c r="BZ138" s="2269"/>
      <c r="CA138" s="2269"/>
    </row>
    <row r="139" spans="1:79">
      <c r="A139" s="2269"/>
      <c r="B139" s="2269"/>
      <c r="C139" s="2269"/>
      <c r="D139" s="2269"/>
      <c r="E139" s="2269"/>
      <c r="F139" s="2269"/>
      <c r="G139" s="2269"/>
      <c r="H139" s="2269"/>
      <c r="I139" s="2269"/>
      <c r="J139" s="2269"/>
      <c r="K139" s="2269"/>
      <c r="L139" s="2269"/>
      <c r="M139" s="2269"/>
      <c r="N139" s="2269"/>
      <c r="O139" s="2269"/>
      <c r="P139" s="2269"/>
      <c r="Q139" s="2269"/>
      <c r="R139" s="2269"/>
      <c r="S139" s="2269"/>
      <c r="T139" s="2269"/>
      <c r="U139" s="2269"/>
      <c r="V139" s="2269"/>
      <c r="W139" s="2269"/>
      <c r="X139" s="2269"/>
      <c r="Y139" s="2269"/>
      <c r="Z139" s="2269"/>
      <c r="AA139" s="2269"/>
      <c r="AB139" s="2269"/>
      <c r="AC139" s="2269"/>
      <c r="AD139" s="2269"/>
      <c r="AE139" s="2269"/>
      <c r="AF139" s="2269"/>
      <c r="AG139" s="2269"/>
      <c r="AH139" s="2269"/>
      <c r="AI139" s="2269"/>
      <c r="AJ139" s="2269"/>
      <c r="AK139" s="2269"/>
      <c r="AL139" s="2269"/>
      <c r="AM139" s="2269"/>
      <c r="AN139" s="2269"/>
      <c r="AO139" s="2269"/>
      <c r="AP139" s="2269"/>
      <c r="AQ139" s="2269"/>
      <c r="AR139" s="2269"/>
      <c r="AS139" s="2269"/>
      <c r="AT139" s="2269"/>
      <c r="AU139" s="2269"/>
      <c r="AV139" s="2269"/>
      <c r="AW139" s="2269"/>
      <c r="AX139" s="2269"/>
      <c r="AY139" s="2269"/>
      <c r="AZ139" s="2269"/>
      <c r="BA139" s="2269"/>
      <c r="BB139" s="2269"/>
      <c r="BC139" s="2269"/>
      <c r="BD139" s="2269"/>
      <c r="BE139" s="2269"/>
      <c r="BF139" s="2269"/>
      <c r="BG139" s="2269"/>
      <c r="BH139" s="2269"/>
      <c r="BI139" s="2269"/>
      <c r="BJ139" s="2269"/>
      <c r="BK139" s="2269"/>
      <c r="BL139" s="2269"/>
      <c r="BM139" s="2269"/>
      <c r="BN139" s="2269"/>
      <c r="BO139" s="2269"/>
      <c r="BP139" s="2269"/>
      <c r="BQ139" s="2269"/>
      <c r="BR139" s="2269"/>
      <c r="BS139" s="2269"/>
      <c r="BT139" s="2269"/>
      <c r="BU139" s="2269"/>
      <c r="BV139" s="2269"/>
      <c r="BW139" s="2269"/>
      <c r="BX139" s="2269"/>
      <c r="BY139" s="2269"/>
      <c r="BZ139" s="2269"/>
      <c r="CA139" s="2269"/>
    </row>
    <row r="140" spans="1:79">
      <c r="A140" s="2269"/>
      <c r="B140" s="2269"/>
      <c r="C140" s="2269"/>
      <c r="D140" s="2269"/>
      <c r="E140" s="2269"/>
      <c r="F140" s="2269"/>
      <c r="G140" s="2269"/>
      <c r="H140" s="2269"/>
      <c r="I140" s="2269"/>
      <c r="J140" s="2269"/>
      <c r="K140" s="2269"/>
      <c r="L140" s="2269"/>
      <c r="M140" s="2269"/>
      <c r="N140" s="2269"/>
      <c r="O140" s="2269"/>
      <c r="P140" s="2269"/>
      <c r="Q140" s="2269"/>
      <c r="R140" s="2269"/>
      <c r="S140" s="2269"/>
      <c r="T140" s="2269"/>
      <c r="U140" s="2269"/>
      <c r="V140" s="2269"/>
      <c r="W140" s="2269"/>
      <c r="X140" s="2269"/>
      <c r="Y140" s="2269"/>
      <c r="Z140" s="2269"/>
      <c r="AA140" s="2269"/>
      <c r="AB140" s="2269"/>
      <c r="AC140" s="2269"/>
      <c r="AD140" s="2269"/>
      <c r="AE140" s="2269"/>
      <c r="AF140" s="2269"/>
      <c r="AG140" s="2269"/>
      <c r="AH140" s="2269"/>
      <c r="AI140" s="2269"/>
      <c r="AJ140" s="2269"/>
      <c r="AK140" s="2269"/>
      <c r="AL140" s="2269"/>
      <c r="AM140" s="2269"/>
      <c r="AN140" s="2269"/>
      <c r="AO140" s="2269"/>
      <c r="AP140" s="2269"/>
      <c r="AQ140" s="2269"/>
      <c r="AR140" s="2269"/>
      <c r="AS140" s="2269"/>
      <c r="AT140" s="2269"/>
      <c r="AU140" s="2269"/>
      <c r="AV140" s="2269"/>
      <c r="AW140" s="2269"/>
      <c r="AX140" s="2269"/>
      <c r="AY140" s="2269"/>
      <c r="AZ140" s="2269"/>
      <c r="BA140" s="2269"/>
      <c r="BB140" s="2269"/>
      <c r="BC140" s="2269"/>
      <c r="BD140" s="2269"/>
      <c r="BE140" s="2269"/>
      <c r="BF140" s="2269"/>
      <c r="BG140" s="2269"/>
      <c r="BH140" s="2269"/>
      <c r="BI140" s="2269"/>
      <c r="BJ140" s="2269"/>
      <c r="BK140" s="2269"/>
      <c r="BL140" s="2269"/>
      <c r="BM140" s="2269"/>
      <c r="BN140" s="2269"/>
      <c r="BO140" s="2269"/>
      <c r="BP140" s="2269"/>
      <c r="BQ140" s="2269"/>
      <c r="BR140" s="2269"/>
      <c r="BS140" s="2269"/>
      <c r="BT140" s="2269"/>
      <c r="BU140" s="2269"/>
      <c r="BV140" s="2269"/>
      <c r="BW140" s="2269"/>
      <c r="BX140" s="2269"/>
      <c r="BY140" s="2269"/>
      <c r="BZ140" s="2269"/>
      <c r="CA140" s="2269"/>
    </row>
    <row r="141" spans="1:79">
      <c r="A141" s="2269"/>
      <c r="B141" s="2269"/>
      <c r="C141" s="2269"/>
      <c r="D141" s="2269"/>
      <c r="E141" s="2269"/>
      <c r="F141" s="2269"/>
      <c r="G141" s="2269"/>
      <c r="H141" s="2269"/>
      <c r="I141" s="2269"/>
      <c r="J141" s="2269"/>
      <c r="K141" s="2269"/>
      <c r="L141" s="2269"/>
      <c r="M141" s="2269"/>
      <c r="N141" s="2269"/>
      <c r="O141" s="2269"/>
      <c r="P141" s="2269"/>
      <c r="Q141" s="2269"/>
      <c r="R141" s="2269"/>
      <c r="S141" s="2269"/>
      <c r="T141" s="2269"/>
      <c r="U141" s="2269"/>
      <c r="V141" s="2269"/>
      <c r="W141" s="2269"/>
      <c r="X141" s="2269"/>
      <c r="Y141" s="2269"/>
      <c r="Z141" s="2269"/>
      <c r="AA141" s="2269"/>
      <c r="AB141" s="2269"/>
      <c r="AC141" s="2269"/>
      <c r="AD141" s="2269"/>
      <c r="AE141" s="2269"/>
      <c r="AF141" s="2269"/>
      <c r="AG141" s="2269"/>
      <c r="AH141" s="2269"/>
      <c r="AI141" s="2269"/>
      <c r="AJ141" s="2269"/>
      <c r="AK141" s="2269"/>
      <c r="AL141" s="2269"/>
      <c r="AM141" s="2269"/>
      <c r="AN141" s="2269"/>
      <c r="AO141" s="2269"/>
      <c r="AP141" s="2269"/>
      <c r="AQ141" s="2269"/>
      <c r="AR141" s="2269"/>
      <c r="AS141" s="2269"/>
      <c r="AT141" s="2269"/>
      <c r="AU141" s="2269"/>
      <c r="AV141" s="2269"/>
      <c r="AW141" s="2269"/>
      <c r="AX141" s="2269"/>
      <c r="AY141" s="2269"/>
      <c r="AZ141" s="2269"/>
      <c r="BA141" s="2269"/>
      <c r="BB141" s="2269"/>
      <c r="BC141" s="2269"/>
      <c r="BD141" s="2269"/>
      <c r="BE141" s="2269"/>
      <c r="BF141" s="2269"/>
      <c r="BG141" s="2269"/>
      <c r="BH141" s="2269"/>
      <c r="BI141" s="2269"/>
      <c r="BJ141" s="2269"/>
      <c r="BK141" s="2269"/>
      <c r="BL141" s="2269"/>
      <c r="BM141" s="2269"/>
      <c r="BN141" s="2269"/>
      <c r="BO141" s="2269"/>
      <c r="BP141" s="2269"/>
      <c r="BQ141" s="2269"/>
      <c r="BR141" s="2269"/>
      <c r="BS141" s="2269"/>
      <c r="BT141" s="2269"/>
      <c r="BU141" s="2269"/>
      <c r="BV141" s="2269"/>
      <c r="BW141" s="2269"/>
      <c r="BX141" s="2269"/>
      <c r="BY141" s="2269"/>
      <c r="BZ141" s="2269"/>
      <c r="CA141" s="2269"/>
    </row>
    <row r="142" spans="1:79">
      <c r="A142" s="2269"/>
      <c r="B142" s="2269"/>
      <c r="C142" s="2269"/>
      <c r="D142" s="2269"/>
      <c r="E142" s="2269"/>
      <c r="F142" s="2269"/>
      <c r="G142" s="2269"/>
      <c r="H142" s="2269"/>
      <c r="I142" s="2269"/>
      <c r="J142" s="2269"/>
      <c r="K142" s="2269"/>
      <c r="L142" s="2269"/>
      <c r="M142" s="2269"/>
      <c r="N142" s="2269"/>
      <c r="O142" s="2269"/>
      <c r="P142" s="2269"/>
      <c r="Q142" s="2269"/>
      <c r="R142" s="2269"/>
      <c r="S142" s="2269"/>
      <c r="T142" s="2269"/>
      <c r="U142" s="2269"/>
      <c r="V142" s="2269"/>
      <c r="W142" s="2269"/>
      <c r="X142" s="2269"/>
      <c r="Y142" s="2269"/>
      <c r="Z142" s="2269"/>
      <c r="AA142" s="2269"/>
      <c r="AB142" s="2269"/>
      <c r="AC142" s="2269"/>
      <c r="AD142" s="2269"/>
      <c r="AE142" s="2269"/>
      <c r="AF142" s="2269"/>
      <c r="AG142" s="2269"/>
      <c r="AH142" s="2269"/>
      <c r="AI142" s="2269"/>
      <c r="AJ142" s="2269"/>
      <c r="AK142" s="2269"/>
      <c r="AL142" s="2269"/>
      <c r="AM142" s="2269"/>
      <c r="AN142" s="2269"/>
      <c r="AO142" s="2269"/>
      <c r="AP142" s="2269"/>
      <c r="AQ142" s="2269"/>
      <c r="AR142" s="2269"/>
      <c r="AS142" s="2269"/>
      <c r="AT142" s="2269"/>
      <c r="AU142" s="2269"/>
      <c r="AV142" s="2269"/>
      <c r="AW142" s="2269"/>
      <c r="AX142" s="2269"/>
      <c r="AY142" s="2269"/>
      <c r="AZ142" s="2269"/>
      <c r="BA142" s="2269"/>
      <c r="BB142" s="2269"/>
      <c r="BC142" s="2269"/>
      <c r="BD142" s="2269"/>
      <c r="BE142" s="2269"/>
      <c r="BF142" s="2269"/>
      <c r="BG142" s="2269"/>
      <c r="BH142" s="2269"/>
      <c r="BI142" s="2269"/>
      <c r="BJ142" s="2269"/>
      <c r="BK142" s="2269"/>
      <c r="BL142" s="2269"/>
      <c r="BM142" s="2269"/>
      <c r="BN142" s="2269"/>
      <c r="BO142" s="2269"/>
      <c r="BP142" s="2269"/>
      <c r="BQ142" s="2269"/>
      <c r="BR142" s="2269"/>
      <c r="BS142" s="2269"/>
      <c r="BT142" s="2269"/>
      <c r="BU142" s="2269"/>
      <c r="BV142" s="2269"/>
      <c r="BW142" s="2269"/>
      <c r="BX142" s="2269"/>
      <c r="BY142" s="2269"/>
      <c r="BZ142" s="2269"/>
      <c r="CA142" s="2269"/>
    </row>
    <row r="143" spans="1:79">
      <c r="A143" s="2269"/>
      <c r="B143" s="2269"/>
      <c r="C143" s="2269"/>
      <c r="D143" s="2269"/>
      <c r="E143" s="2269"/>
      <c r="F143" s="2269"/>
      <c r="G143" s="2269"/>
      <c r="H143" s="2269"/>
      <c r="I143" s="2269"/>
      <c r="J143" s="2269"/>
      <c r="K143" s="2269"/>
      <c r="L143" s="2269"/>
      <c r="M143" s="2269"/>
      <c r="N143" s="2269"/>
      <c r="O143" s="2269"/>
      <c r="P143" s="2269"/>
      <c r="Q143" s="2269"/>
      <c r="R143" s="2269"/>
      <c r="S143" s="2269"/>
      <c r="T143" s="2269"/>
      <c r="U143" s="2269"/>
      <c r="V143" s="2269"/>
      <c r="W143" s="2269"/>
      <c r="X143" s="2269"/>
      <c r="Y143" s="2269"/>
      <c r="Z143" s="2269"/>
      <c r="AA143" s="2269"/>
      <c r="AB143" s="2269"/>
      <c r="AC143" s="2269"/>
      <c r="AD143" s="2269"/>
      <c r="AE143" s="2269"/>
      <c r="AF143" s="2269"/>
      <c r="AG143" s="2269"/>
      <c r="AH143" s="2269"/>
      <c r="AI143" s="2269"/>
      <c r="AJ143" s="2269"/>
      <c r="AK143" s="2269"/>
      <c r="AL143" s="2269"/>
      <c r="AM143" s="2269"/>
      <c r="AN143" s="2269"/>
      <c r="AO143" s="2269"/>
      <c r="AP143" s="2269"/>
      <c r="AQ143" s="2269"/>
      <c r="AR143" s="2269"/>
      <c r="AS143" s="2269"/>
      <c r="AT143" s="2269"/>
      <c r="AU143" s="2269"/>
      <c r="AV143" s="2269"/>
      <c r="AW143" s="2269"/>
      <c r="AX143" s="2269"/>
      <c r="AY143" s="2269"/>
      <c r="AZ143" s="2269"/>
      <c r="BA143" s="2269"/>
      <c r="BB143" s="2269"/>
      <c r="BC143" s="2269"/>
      <c r="BD143" s="2269"/>
      <c r="BE143" s="2269"/>
      <c r="BF143" s="2269"/>
      <c r="BG143" s="2269"/>
      <c r="BH143" s="2269"/>
      <c r="BI143" s="2269"/>
      <c r="BJ143" s="2269"/>
      <c r="BK143" s="2269"/>
      <c r="BL143" s="2269"/>
      <c r="BM143" s="2269"/>
      <c r="BN143" s="2269"/>
      <c r="BO143" s="2269"/>
      <c r="BP143" s="2269"/>
      <c r="BQ143" s="2269"/>
      <c r="BR143" s="2269"/>
      <c r="BS143" s="2269"/>
      <c r="BT143" s="2269"/>
      <c r="BU143" s="2269"/>
      <c r="BV143" s="2269"/>
      <c r="BW143" s="2269"/>
      <c r="BX143" s="2269"/>
      <c r="BY143" s="2269"/>
      <c r="BZ143" s="2269"/>
      <c r="CA143" s="2269"/>
    </row>
    <row r="144" spans="1:79">
      <c r="A144" s="2269"/>
      <c r="B144" s="2269"/>
      <c r="C144" s="2269"/>
      <c r="D144" s="2269"/>
      <c r="E144" s="2269"/>
      <c r="F144" s="2269"/>
      <c r="G144" s="2269"/>
      <c r="H144" s="2269"/>
      <c r="I144" s="2269"/>
      <c r="J144" s="2269"/>
      <c r="K144" s="2269"/>
      <c r="L144" s="2269"/>
      <c r="M144" s="2269"/>
      <c r="N144" s="2269"/>
      <c r="O144" s="2269"/>
      <c r="P144" s="2269"/>
      <c r="Q144" s="2269"/>
      <c r="R144" s="2269"/>
      <c r="S144" s="2269"/>
      <c r="T144" s="2269"/>
      <c r="U144" s="2269"/>
      <c r="V144" s="2269"/>
      <c r="W144" s="2269"/>
      <c r="X144" s="2269"/>
      <c r="Y144" s="2269"/>
      <c r="Z144" s="2269"/>
      <c r="AA144" s="2269"/>
      <c r="AB144" s="2269"/>
      <c r="AC144" s="2269"/>
      <c r="AD144" s="2269"/>
      <c r="AE144" s="2269"/>
      <c r="AF144" s="2269"/>
      <c r="AG144" s="2269"/>
      <c r="AH144" s="2269"/>
      <c r="AI144" s="2269"/>
      <c r="AJ144" s="2269"/>
      <c r="AK144" s="2269"/>
      <c r="AL144" s="2269"/>
      <c r="AM144" s="2269"/>
      <c r="AN144" s="2269"/>
      <c r="AO144" s="2269"/>
      <c r="AP144" s="2269"/>
      <c r="AQ144" s="2269"/>
      <c r="AR144" s="2269"/>
      <c r="AS144" s="2269"/>
      <c r="AT144" s="2269"/>
      <c r="AU144" s="2269"/>
      <c r="AV144" s="2269"/>
      <c r="AW144" s="2269"/>
      <c r="AX144" s="2269"/>
      <c r="AY144" s="2269"/>
      <c r="AZ144" s="2269"/>
      <c r="BA144" s="2269"/>
      <c r="BB144" s="2269"/>
      <c r="BC144" s="2269"/>
      <c r="BD144" s="2269"/>
      <c r="BE144" s="2269"/>
      <c r="BF144" s="2269"/>
      <c r="BG144" s="2269"/>
      <c r="BH144" s="2269"/>
      <c r="BI144" s="2269"/>
      <c r="BJ144" s="2269"/>
      <c r="BK144" s="2269"/>
      <c r="BL144" s="2269"/>
      <c r="BM144" s="2269"/>
      <c r="BN144" s="2269"/>
      <c r="BO144" s="2269"/>
      <c r="BP144" s="2269"/>
      <c r="BQ144" s="2269"/>
      <c r="BR144" s="2269"/>
      <c r="BS144" s="2269"/>
      <c r="BT144" s="2269"/>
      <c r="BU144" s="2269"/>
      <c r="BV144" s="2269"/>
      <c r="BW144" s="2269"/>
      <c r="BX144" s="2269"/>
      <c r="BY144" s="2269"/>
      <c r="BZ144" s="2269"/>
      <c r="CA144" s="2269"/>
    </row>
    <row r="145" spans="1:79">
      <c r="A145" s="2269"/>
      <c r="B145" s="2269"/>
      <c r="C145" s="2269"/>
      <c r="D145" s="2269"/>
      <c r="E145" s="2269"/>
      <c r="F145" s="2269"/>
      <c r="G145" s="2269"/>
      <c r="H145" s="2269"/>
      <c r="I145" s="2269"/>
      <c r="J145" s="2269"/>
      <c r="K145" s="2269"/>
      <c r="L145" s="2269"/>
      <c r="M145" s="2269"/>
      <c r="N145" s="2269"/>
      <c r="O145" s="2269"/>
      <c r="P145" s="2269"/>
      <c r="Q145" s="2269"/>
      <c r="R145" s="2269"/>
      <c r="S145" s="2269"/>
      <c r="T145" s="2269"/>
      <c r="U145" s="2269"/>
      <c r="V145" s="2269"/>
      <c r="W145" s="2269"/>
      <c r="X145" s="2269"/>
      <c r="Y145" s="2269"/>
      <c r="Z145" s="2269"/>
      <c r="AA145" s="2269"/>
      <c r="AB145" s="2269"/>
      <c r="AC145" s="2269"/>
      <c r="AD145" s="2269"/>
      <c r="AE145" s="2269"/>
      <c r="AF145" s="2269"/>
      <c r="AG145" s="2269"/>
      <c r="AH145" s="2269"/>
      <c r="AI145" s="2269"/>
      <c r="AJ145" s="2269"/>
      <c r="AK145" s="2269"/>
      <c r="AL145" s="2269"/>
      <c r="AM145" s="2269"/>
      <c r="AN145" s="2269"/>
      <c r="AO145" s="2269"/>
      <c r="AP145" s="2269"/>
      <c r="AQ145" s="2269"/>
      <c r="AR145" s="2269"/>
      <c r="AS145" s="2269"/>
      <c r="AT145" s="2269"/>
      <c r="AU145" s="2269"/>
      <c r="AV145" s="2269"/>
      <c r="AW145" s="2269"/>
      <c r="AX145" s="2269"/>
      <c r="AY145" s="2269"/>
      <c r="AZ145" s="2269"/>
      <c r="BA145" s="2269"/>
      <c r="BB145" s="2269"/>
      <c r="BC145" s="2269"/>
      <c r="BD145" s="2269"/>
      <c r="BE145" s="2269"/>
      <c r="BF145" s="2269"/>
      <c r="BG145" s="2269"/>
      <c r="BH145" s="2269"/>
      <c r="BI145" s="2269"/>
      <c r="BJ145" s="2269"/>
      <c r="BK145" s="2269"/>
      <c r="BL145" s="2269"/>
      <c r="BM145" s="2269"/>
      <c r="BN145" s="2269"/>
      <c r="BO145" s="2269"/>
      <c r="BP145" s="2269"/>
      <c r="BQ145" s="2269"/>
      <c r="BR145" s="2269"/>
      <c r="BS145" s="2269"/>
      <c r="BT145" s="2269"/>
      <c r="BU145" s="2269"/>
      <c r="BV145" s="2269"/>
      <c r="BW145" s="2269"/>
      <c r="BX145" s="2269"/>
      <c r="BY145" s="2269"/>
      <c r="BZ145" s="2269"/>
      <c r="CA145" s="2269"/>
    </row>
    <row r="146" spans="1:79">
      <c r="A146" s="2269"/>
      <c r="B146" s="2269"/>
      <c r="C146" s="2269"/>
      <c r="D146" s="2269"/>
      <c r="E146" s="2269"/>
      <c r="F146" s="2269"/>
      <c r="G146" s="2269"/>
      <c r="H146" s="2269"/>
      <c r="I146" s="2269"/>
      <c r="J146" s="2269"/>
      <c r="K146" s="2269"/>
      <c r="L146" s="2269"/>
      <c r="M146" s="2269"/>
      <c r="N146" s="2269"/>
      <c r="O146" s="2269"/>
      <c r="P146" s="2269"/>
      <c r="Q146" s="2269"/>
      <c r="R146" s="2269"/>
      <c r="S146" s="2269"/>
      <c r="T146" s="2269"/>
      <c r="U146" s="2269"/>
      <c r="V146" s="2269"/>
      <c r="W146" s="2269"/>
      <c r="X146" s="2269"/>
      <c r="Y146" s="2269"/>
      <c r="Z146" s="2269"/>
      <c r="AA146" s="2269"/>
      <c r="AB146" s="2269"/>
      <c r="AC146" s="2269"/>
      <c r="AD146" s="2269"/>
      <c r="AE146" s="2269"/>
      <c r="AF146" s="2269"/>
      <c r="AG146" s="2269"/>
      <c r="AH146" s="2269"/>
      <c r="AI146" s="2269"/>
      <c r="AJ146" s="2269"/>
      <c r="AK146" s="2269"/>
      <c r="AL146" s="2269"/>
      <c r="AM146" s="2269"/>
      <c r="AN146" s="2269"/>
      <c r="AO146" s="2269"/>
      <c r="AP146" s="2269"/>
      <c r="AQ146" s="2269"/>
      <c r="AR146" s="2269"/>
      <c r="AS146" s="2269"/>
      <c r="AT146" s="2269"/>
      <c r="AU146" s="2269"/>
      <c r="AV146" s="2269"/>
      <c r="AW146" s="2269"/>
      <c r="AX146" s="2269"/>
      <c r="AY146" s="2269"/>
      <c r="AZ146" s="2269"/>
      <c r="BA146" s="2269"/>
      <c r="BB146" s="2269"/>
      <c r="BC146" s="2269"/>
      <c r="BD146" s="2269"/>
      <c r="BE146" s="2269"/>
      <c r="BF146" s="2269"/>
      <c r="BG146" s="2269"/>
      <c r="BH146" s="2269"/>
      <c r="BI146" s="2269"/>
      <c r="BJ146" s="2269"/>
      <c r="BK146" s="2269"/>
      <c r="BL146" s="2269"/>
      <c r="BM146" s="2269"/>
      <c r="BN146" s="2269"/>
      <c r="BO146" s="2269"/>
      <c r="BP146" s="2269"/>
      <c r="BQ146" s="2269"/>
      <c r="BR146" s="2269"/>
      <c r="BS146" s="2269"/>
      <c r="BT146" s="2269"/>
      <c r="BU146" s="2269"/>
      <c r="BV146" s="2269"/>
      <c r="BW146" s="2269"/>
      <c r="BX146" s="2269"/>
      <c r="BY146" s="2269"/>
      <c r="BZ146" s="2269"/>
      <c r="CA146" s="2269"/>
    </row>
    <row r="147" spans="1:79">
      <c r="A147" s="2269"/>
      <c r="B147" s="2269"/>
      <c r="C147" s="2269"/>
      <c r="D147" s="2269"/>
      <c r="E147" s="2269"/>
      <c r="F147" s="2269"/>
      <c r="G147" s="2269"/>
      <c r="H147" s="2269"/>
      <c r="I147" s="2269"/>
      <c r="J147" s="2269"/>
      <c r="K147" s="2269"/>
      <c r="L147" s="2269"/>
      <c r="M147" s="2269"/>
      <c r="N147" s="2269"/>
      <c r="O147" s="2269"/>
      <c r="P147" s="2269"/>
      <c r="Q147" s="2269"/>
      <c r="R147" s="2269"/>
      <c r="S147" s="2269"/>
      <c r="T147" s="2269"/>
      <c r="U147" s="2269"/>
      <c r="V147" s="2269"/>
      <c r="W147" s="2269"/>
      <c r="X147" s="2269"/>
      <c r="Y147" s="2269"/>
      <c r="Z147" s="2269"/>
      <c r="AA147" s="2269"/>
      <c r="AB147" s="2269"/>
      <c r="AC147" s="2269"/>
      <c r="AD147" s="2269"/>
      <c r="AE147" s="2269"/>
      <c r="AF147" s="2269"/>
      <c r="AG147" s="2269"/>
      <c r="AH147" s="2269"/>
      <c r="AI147" s="2269"/>
      <c r="AJ147" s="2269"/>
      <c r="AK147" s="2269"/>
      <c r="AL147" s="2269"/>
      <c r="AM147" s="2269"/>
      <c r="AN147" s="2269"/>
      <c r="AO147" s="2269"/>
      <c r="AP147" s="2269"/>
      <c r="AQ147" s="2269"/>
      <c r="AR147" s="2269"/>
      <c r="AS147" s="2269"/>
      <c r="AT147" s="2269"/>
      <c r="AU147" s="2269"/>
      <c r="AV147" s="2269"/>
      <c r="AW147" s="2269"/>
      <c r="AX147" s="2269"/>
      <c r="AY147" s="2269"/>
      <c r="AZ147" s="2269"/>
      <c r="BA147" s="2269"/>
      <c r="BB147" s="2269"/>
      <c r="BC147" s="2269"/>
      <c r="BD147" s="2269"/>
      <c r="BE147" s="2269"/>
      <c r="BF147" s="2269"/>
      <c r="BG147" s="2269"/>
      <c r="BH147" s="2269"/>
      <c r="BI147" s="2269"/>
      <c r="BJ147" s="2269"/>
      <c r="BK147" s="2269"/>
      <c r="BL147" s="2269"/>
      <c r="BM147" s="2269"/>
      <c r="BN147" s="2269"/>
      <c r="BO147" s="2269"/>
      <c r="BP147" s="2269"/>
      <c r="BQ147" s="2269"/>
      <c r="BR147" s="2269"/>
      <c r="BS147" s="2269"/>
      <c r="BT147" s="2269"/>
      <c r="BU147" s="2269"/>
      <c r="BV147" s="2269"/>
      <c r="BW147" s="2269"/>
      <c r="BX147" s="2269"/>
      <c r="BY147" s="2269"/>
      <c r="BZ147" s="2269"/>
      <c r="CA147" s="2269"/>
    </row>
    <row r="148" spans="1:79">
      <c r="A148" s="2269"/>
      <c r="B148" s="2269"/>
      <c r="C148" s="2269"/>
      <c r="D148" s="2269"/>
      <c r="E148" s="2269"/>
      <c r="F148" s="2269"/>
      <c r="G148" s="2269"/>
      <c r="H148" s="2269"/>
      <c r="I148" s="2269"/>
      <c r="J148" s="2269"/>
      <c r="K148" s="2269"/>
      <c r="L148" s="2269"/>
      <c r="M148" s="2269"/>
      <c r="N148" s="2269"/>
      <c r="O148" s="2269"/>
      <c r="P148" s="2269"/>
      <c r="Q148" s="2269"/>
      <c r="R148" s="2269"/>
      <c r="S148" s="2269"/>
      <c r="T148" s="2269"/>
      <c r="U148" s="2269"/>
      <c r="V148" s="2269"/>
      <c r="W148" s="2269"/>
      <c r="X148" s="2269"/>
      <c r="Y148" s="2269"/>
      <c r="Z148" s="2269"/>
      <c r="AA148" s="2269"/>
      <c r="AB148" s="2269"/>
      <c r="AC148" s="2269"/>
      <c r="AD148" s="2269"/>
      <c r="AE148" s="2269"/>
      <c r="AF148" s="2269"/>
      <c r="AG148" s="2269"/>
      <c r="AH148" s="2269"/>
      <c r="AI148" s="2269"/>
      <c r="AJ148" s="2269"/>
      <c r="AK148" s="2269"/>
      <c r="AL148" s="2269"/>
      <c r="AM148" s="2269"/>
      <c r="AN148" s="2269"/>
      <c r="AO148" s="2269"/>
      <c r="AP148" s="2269"/>
      <c r="AQ148" s="2269"/>
      <c r="AR148" s="2269"/>
      <c r="AS148" s="2269"/>
      <c r="AT148" s="2269"/>
      <c r="AU148" s="2269"/>
      <c r="AV148" s="2269"/>
      <c r="AW148" s="2269"/>
      <c r="AX148" s="2269"/>
      <c r="AY148" s="2269"/>
      <c r="AZ148" s="2269"/>
      <c r="BA148" s="2269"/>
      <c r="BB148" s="2269"/>
      <c r="BC148" s="2269"/>
      <c r="BD148" s="2269"/>
      <c r="BE148" s="2269"/>
      <c r="BF148" s="2269"/>
      <c r="BG148" s="2269"/>
      <c r="BH148" s="2269"/>
      <c r="BI148" s="2269"/>
      <c r="BJ148" s="2269"/>
      <c r="BK148" s="2269"/>
      <c r="BL148" s="2269"/>
      <c r="BM148" s="2269"/>
      <c r="BN148" s="2269"/>
      <c r="BO148" s="2269"/>
      <c r="BP148" s="2269"/>
      <c r="BQ148" s="2269"/>
      <c r="BR148" s="2269"/>
      <c r="BS148" s="2269"/>
      <c r="BT148" s="2269"/>
      <c r="BU148" s="2269"/>
      <c r="BV148" s="2269"/>
      <c r="BW148" s="2269"/>
      <c r="BX148" s="2269"/>
      <c r="BY148" s="2269"/>
      <c r="BZ148" s="2269"/>
      <c r="CA148" s="2269"/>
    </row>
    <row r="149" spans="1:79">
      <c r="A149" s="2269"/>
      <c r="B149" s="2269"/>
      <c r="C149" s="2269"/>
      <c r="D149" s="2269"/>
      <c r="E149" s="2269"/>
      <c r="F149" s="2269"/>
      <c r="G149" s="2269"/>
      <c r="H149" s="2269"/>
      <c r="I149" s="2269"/>
      <c r="J149" s="2269"/>
      <c r="K149" s="2269"/>
      <c r="L149" s="2269"/>
      <c r="M149" s="2269"/>
      <c r="N149" s="2269"/>
      <c r="O149" s="2269"/>
      <c r="P149" s="2269"/>
      <c r="Q149" s="2269"/>
      <c r="R149" s="2269"/>
      <c r="S149" s="2269"/>
      <c r="T149" s="2269"/>
      <c r="U149" s="2269"/>
      <c r="V149" s="2269"/>
      <c r="W149" s="2269"/>
      <c r="X149" s="2269"/>
      <c r="Y149" s="2269"/>
      <c r="Z149" s="2269"/>
      <c r="AA149" s="2269"/>
      <c r="AB149" s="2269"/>
      <c r="AC149" s="2269"/>
      <c r="AD149" s="2269"/>
      <c r="AE149" s="2269"/>
      <c r="AF149" s="2269"/>
      <c r="AG149" s="2269"/>
      <c r="AH149" s="2269"/>
      <c r="AI149" s="2269"/>
      <c r="AJ149" s="2269"/>
      <c r="AK149" s="2269"/>
      <c r="AL149" s="2269"/>
      <c r="AM149" s="2269"/>
      <c r="AN149" s="2269"/>
      <c r="AO149" s="2269"/>
      <c r="AP149" s="2269"/>
      <c r="AQ149" s="2269"/>
      <c r="AR149" s="2269"/>
      <c r="AS149" s="2269"/>
      <c r="AT149" s="2269"/>
      <c r="AU149" s="2269"/>
      <c r="AV149" s="2269"/>
      <c r="AW149" s="2269"/>
      <c r="AX149" s="2269"/>
      <c r="AY149" s="2269"/>
      <c r="AZ149" s="2269"/>
      <c r="BA149" s="2269"/>
      <c r="BB149" s="2269"/>
      <c r="BC149" s="2269"/>
      <c r="BD149" s="2269"/>
      <c r="BE149" s="2269"/>
      <c r="BF149" s="2269"/>
      <c r="BG149" s="2269"/>
      <c r="BH149" s="2269"/>
      <c r="BI149" s="2269"/>
      <c r="BJ149" s="2269"/>
      <c r="BK149" s="2269"/>
      <c r="BL149" s="2269"/>
      <c r="BM149" s="2269"/>
      <c r="BN149" s="2269"/>
      <c r="BO149" s="2269"/>
      <c r="BP149" s="2269"/>
      <c r="BQ149" s="2269"/>
      <c r="BR149" s="2269"/>
      <c r="BS149" s="2269"/>
      <c r="BT149" s="2269"/>
      <c r="BU149" s="2269"/>
      <c r="BV149" s="2269"/>
      <c r="BW149" s="2269"/>
      <c r="BX149" s="2269"/>
      <c r="BY149" s="2269"/>
      <c r="BZ149" s="2269"/>
      <c r="CA149" s="2269"/>
    </row>
    <row r="150" spans="1:79">
      <c r="A150" s="2269"/>
      <c r="B150" s="2269"/>
      <c r="C150" s="2269"/>
      <c r="D150" s="2269"/>
      <c r="E150" s="2269"/>
      <c r="F150" s="2269"/>
      <c r="G150" s="2269"/>
      <c r="H150" s="2269"/>
      <c r="I150" s="2269"/>
      <c r="J150" s="2269"/>
      <c r="K150" s="2269"/>
      <c r="L150" s="2269"/>
      <c r="M150" s="2269"/>
      <c r="N150" s="2269"/>
      <c r="O150" s="2269"/>
      <c r="P150" s="2269"/>
      <c r="Q150" s="2269"/>
      <c r="R150" s="2269"/>
      <c r="S150" s="2269"/>
      <c r="T150" s="2269"/>
      <c r="U150" s="2269"/>
      <c r="V150" s="2269"/>
      <c r="W150" s="2269"/>
      <c r="X150" s="2269"/>
      <c r="Y150" s="2269"/>
      <c r="Z150" s="2269"/>
      <c r="AA150" s="2269"/>
      <c r="AB150" s="2269"/>
      <c r="AC150" s="2269"/>
      <c r="AD150" s="2269"/>
      <c r="AE150" s="2269"/>
      <c r="AF150" s="2269"/>
      <c r="AG150" s="2269"/>
      <c r="AH150" s="2269"/>
      <c r="AI150" s="2269"/>
      <c r="AJ150" s="2269"/>
      <c r="AK150" s="2269"/>
      <c r="AL150" s="2269"/>
      <c r="AM150" s="2269"/>
      <c r="AN150" s="2269"/>
      <c r="AO150" s="2269"/>
      <c r="AP150" s="2269"/>
      <c r="AQ150" s="2269"/>
      <c r="AR150" s="2269"/>
      <c r="AS150" s="2269"/>
      <c r="AT150" s="2269"/>
      <c r="AU150" s="2269"/>
      <c r="AV150" s="2269"/>
      <c r="AW150" s="2269"/>
      <c r="AX150" s="2269"/>
      <c r="AY150" s="2269"/>
      <c r="AZ150" s="2269"/>
      <c r="BA150" s="2269"/>
      <c r="BB150" s="2269"/>
      <c r="BC150" s="2269"/>
      <c r="BD150" s="2269"/>
      <c r="BE150" s="2269"/>
      <c r="BF150" s="2269"/>
      <c r="BG150" s="2269"/>
      <c r="BH150" s="2269"/>
      <c r="BI150" s="2269"/>
      <c r="BJ150" s="2269"/>
      <c r="BK150" s="2269"/>
      <c r="BL150" s="2269"/>
      <c r="BM150" s="2269"/>
      <c r="BN150" s="2269"/>
      <c r="BO150" s="2269"/>
      <c r="BP150" s="2269"/>
      <c r="BQ150" s="2269"/>
      <c r="BR150" s="2269"/>
      <c r="BS150" s="2269"/>
      <c r="BT150" s="2269"/>
      <c r="BU150" s="2269"/>
      <c r="BV150" s="2269"/>
      <c r="BW150" s="2269"/>
      <c r="BX150" s="2269"/>
      <c r="BY150" s="2269"/>
      <c r="BZ150" s="2269"/>
      <c r="CA150" s="2269"/>
    </row>
    <row r="151" spans="1:79">
      <c r="A151" s="2269"/>
      <c r="B151" s="2269"/>
      <c r="C151" s="2269"/>
      <c r="D151" s="2269"/>
      <c r="E151" s="2269"/>
      <c r="F151" s="2269"/>
      <c r="G151" s="2269"/>
      <c r="H151" s="2269"/>
      <c r="I151" s="2269"/>
      <c r="J151" s="2269"/>
      <c r="K151" s="2269"/>
      <c r="L151" s="2269"/>
      <c r="M151" s="2269"/>
      <c r="N151" s="2269"/>
      <c r="O151" s="2269"/>
      <c r="P151" s="2269"/>
      <c r="Q151" s="2269"/>
      <c r="R151" s="2269"/>
      <c r="S151" s="2269"/>
      <c r="T151" s="2269"/>
      <c r="U151" s="2269"/>
      <c r="V151" s="2269"/>
      <c r="W151" s="2269"/>
      <c r="X151" s="2269"/>
      <c r="Y151" s="2269"/>
      <c r="Z151" s="2269"/>
      <c r="AA151" s="2269"/>
      <c r="AB151" s="2269"/>
      <c r="AC151" s="2269"/>
      <c r="AD151" s="2269"/>
      <c r="AE151" s="2269"/>
      <c r="AF151" s="2269"/>
      <c r="AG151" s="2269"/>
      <c r="AH151" s="2269"/>
      <c r="AI151" s="2269"/>
      <c r="AJ151" s="2269"/>
      <c r="AK151" s="2269"/>
      <c r="AL151" s="2269"/>
      <c r="AM151" s="2269"/>
      <c r="AN151" s="2269"/>
      <c r="AO151" s="2269"/>
      <c r="AP151" s="2269"/>
      <c r="AQ151" s="2269"/>
      <c r="AR151" s="2269"/>
      <c r="AS151" s="2269"/>
      <c r="AT151" s="2269"/>
      <c r="AU151" s="2269"/>
      <c r="AV151" s="2269"/>
      <c r="AW151" s="2269"/>
      <c r="AX151" s="2269"/>
      <c r="AY151" s="2269"/>
      <c r="AZ151" s="2269"/>
      <c r="BA151" s="2269"/>
      <c r="BB151" s="2269"/>
      <c r="BC151" s="2269"/>
      <c r="BD151" s="2269"/>
      <c r="BE151" s="2269"/>
      <c r="BF151" s="2269"/>
      <c r="BG151" s="2269"/>
      <c r="BH151" s="2269"/>
      <c r="BI151" s="2269"/>
      <c r="BJ151" s="2269"/>
      <c r="BK151" s="2269"/>
      <c r="BL151" s="2269"/>
      <c r="BM151" s="2269"/>
      <c r="BN151" s="2269"/>
      <c r="BO151" s="2269"/>
      <c r="BP151" s="2269"/>
      <c r="BQ151" s="2269"/>
      <c r="BR151" s="2269"/>
      <c r="BS151" s="2269"/>
      <c r="BT151" s="2269"/>
      <c r="BU151" s="2269"/>
      <c r="BV151" s="2269"/>
      <c r="BW151" s="2269"/>
      <c r="BX151" s="2269"/>
      <c r="BY151" s="2269"/>
      <c r="BZ151" s="2269"/>
      <c r="CA151" s="2269"/>
    </row>
    <row r="152" spans="1:79">
      <c r="A152" s="2269"/>
      <c r="B152" s="2269"/>
      <c r="C152" s="2269"/>
      <c r="D152" s="2269"/>
      <c r="E152" s="2269"/>
      <c r="F152" s="2269"/>
      <c r="G152" s="2269"/>
      <c r="H152" s="2269"/>
      <c r="I152" s="2269"/>
      <c r="J152" s="2269"/>
      <c r="K152" s="2269"/>
      <c r="L152" s="2269"/>
      <c r="M152" s="2269"/>
      <c r="N152" s="2269"/>
      <c r="O152" s="2269"/>
      <c r="P152" s="2269"/>
      <c r="Q152" s="2269"/>
      <c r="R152" s="2269"/>
      <c r="S152" s="2269"/>
      <c r="T152" s="2269"/>
      <c r="U152" s="2269"/>
      <c r="V152" s="2269"/>
      <c r="W152" s="2269"/>
      <c r="X152" s="2269"/>
      <c r="Y152" s="2269"/>
      <c r="Z152" s="2269"/>
      <c r="AA152" s="2269"/>
      <c r="AB152" s="2269"/>
      <c r="AC152" s="2269"/>
      <c r="AD152" s="2269"/>
      <c r="AE152" s="2269"/>
      <c r="AF152" s="2269"/>
      <c r="AG152" s="2269"/>
      <c r="AH152" s="2269"/>
      <c r="AI152" s="2269"/>
      <c r="AJ152" s="2269"/>
      <c r="AK152" s="2269"/>
      <c r="AL152" s="2269"/>
      <c r="AM152" s="2269"/>
      <c r="AN152" s="2269"/>
      <c r="AO152" s="2269"/>
      <c r="AP152" s="2269"/>
      <c r="AQ152" s="2269"/>
      <c r="AR152" s="2269"/>
      <c r="AS152" s="2269"/>
      <c r="AT152" s="2269"/>
      <c r="AU152" s="2269"/>
      <c r="AV152" s="2269"/>
      <c r="AW152" s="2269"/>
      <c r="AX152" s="2269"/>
      <c r="AY152" s="2269"/>
      <c r="AZ152" s="2269"/>
      <c r="BA152" s="2269"/>
      <c r="BB152" s="2269"/>
      <c r="BC152" s="2269"/>
      <c r="BD152" s="2269"/>
      <c r="BE152" s="2269"/>
      <c r="BF152" s="2269"/>
      <c r="BG152" s="2269"/>
      <c r="BH152" s="2269"/>
      <c r="BI152" s="2269"/>
      <c r="BJ152" s="2269"/>
      <c r="BK152" s="2269"/>
      <c r="BL152" s="2269"/>
      <c r="BM152" s="2269"/>
      <c r="BN152" s="2269"/>
      <c r="BO152" s="2269"/>
      <c r="BP152" s="2269"/>
      <c r="BQ152" s="2269"/>
      <c r="BR152" s="2269"/>
      <c r="BS152" s="2269"/>
      <c r="BT152" s="2269"/>
      <c r="BU152" s="2269"/>
      <c r="BV152" s="2269"/>
      <c r="BW152" s="2269"/>
      <c r="BX152" s="2269"/>
      <c r="BY152" s="2269"/>
      <c r="BZ152" s="2269"/>
      <c r="CA152" s="2269"/>
    </row>
    <row r="153" spans="1:79">
      <c r="A153" s="2269"/>
      <c r="B153" s="2269"/>
      <c r="C153" s="2269"/>
      <c r="D153" s="2269"/>
      <c r="E153" s="2269"/>
      <c r="F153" s="2269"/>
      <c r="G153" s="2269"/>
      <c r="H153" s="2269"/>
      <c r="I153" s="2269"/>
      <c r="J153" s="2269"/>
      <c r="K153" s="2269"/>
      <c r="L153" s="2269"/>
      <c r="M153" s="2269"/>
      <c r="N153" s="2269"/>
      <c r="O153" s="2269"/>
      <c r="P153" s="2269"/>
      <c r="Q153" s="2269"/>
      <c r="R153" s="2269"/>
      <c r="S153" s="2269"/>
      <c r="T153" s="2269"/>
      <c r="U153" s="2269"/>
      <c r="V153" s="2269"/>
      <c r="W153" s="2269"/>
      <c r="X153" s="2269"/>
      <c r="Y153" s="2269"/>
      <c r="Z153" s="2269"/>
      <c r="AA153" s="2269"/>
      <c r="AB153" s="2269"/>
      <c r="AC153" s="2269"/>
      <c r="AD153" s="2269"/>
      <c r="AE153" s="2269"/>
      <c r="AF153" s="2269"/>
      <c r="AG153" s="2269"/>
      <c r="AH153" s="2269"/>
      <c r="AI153" s="2269"/>
      <c r="AJ153" s="2269"/>
      <c r="AK153" s="2269"/>
      <c r="AL153" s="2269"/>
      <c r="AM153" s="2269"/>
      <c r="AN153" s="2269"/>
      <c r="AO153" s="2269"/>
      <c r="AP153" s="2269"/>
      <c r="AQ153" s="2269"/>
      <c r="AR153" s="2269"/>
      <c r="AS153" s="2269"/>
      <c r="AT153" s="2269"/>
      <c r="AU153" s="2269"/>
      <c r="AV153" s="2269"/>
      <c r="AW153" s="2269"/>
      <c r="AX153" s="2269"/>
      <c r="AY153" s="2269"/>
      <c r="AZ153" s="2269"/>
      <c r="BA153" s="2269"/>
      <c r="BB153" s="2269"/>
      <c r="BC153" s="2269"/>
      <c r="BD153" s="2269"/>
      <c r="BE153" s="2269"/>
      <c r="BF153" s="2269"/>
      <c r="BG153" s="2269"/>
      <c r="BH153" s="2269"/>
      <c r="BI153" s="2269"/>
      <c r="BJ153" s="2269"/>
      <c r="BK153" s="2269"/>
      <c r="BL153" s="2269"/>
      <c r="BM153" s="2269"/>
      <c r="BN153" s="2269"/>
      <c r="BO153" s="2269"/>
      <c r="BP153" s="2269"/>
      <c r="BQ153" s="2269"/>
      <c r="BR153" s="2269"/>
      <c r="BS153" s="2269"/>
      <c r="BT153" s="2269"/>
      <c r="BU153" s="2269"/>
      <c r="BV153" s="2269"/>
      <c r="BW153" s="2269"/>
      <c r="BX153" s="2269"/>
      <c r="BY153" s="2269"/>
      <c r="BZ153" s="2269"/>
      <c r="CA153" s="2269"/>
    </row>
    <row r="154" spans="1:79">
      <c r="A154" s="2269"/>
      <c r="B154" s="2269"/>
      <c r="C154" s="2269"/>
      <c r="D154" s="2269"/>
      <c r="E154" s="2269"/>
      <c r="F154" s="2269"/>
      <c r="G154" s="2269"/>
      <c r="H154" s="2269"/>
      <c r="I154" s="2269"/>
      <c r="J154" s="2269"/>
      <c r="K154" s="2269"/>
      <c r="L154" s="2269"/>
      <c r="M154" s="2269"/>
      <c r="N154" s="2269"/>
      <c r="O154" s="2269"/>
      <c r="P154" s="2269"/>
      <c r="Q154" s="2269"/>
      <c r="R154" s="2269"/>
      <c r="S154" s="2269"/>
      <c r="T154" s="2269"/>
      <c r="U154" s="2269"/>
      <c r="V154" s="2269"/>
      <c r="W154" s="2269"/>
      <c r="X154" s="2269"/>
      <c r="Y154" s="2269"/>
      <c r="Z154" s="2269"/>
      <c r="AA154" s="2269"/>
      <c r="AB154" s="2269"/>
      <c r="AC154" s="2269"/>
      <c r="AD154" s="2269"/>
      <c r="AE154" s="2269"/>
      <c r="AF154" s="2269"/>
      <c r="AG154" s="2269"/>
      <c r="AH154" s="2269"/>
      <c r="AI154" s="2269"/>
      <c r="AJ154" s="2269"/>
      <c r="AK154" s="2269"/>
      <c r="AL154" s="2269"/>
      <c r="AM154" s="2269"/>
      <c r="AN154" s="2269"/>
      <c r="AO154" s="2269"/>
      <c r="AP154" s="2269"/>
      <c r="AQ154" s="2269"/>
      <c r="AR154" s="2269"/>
      <c r="AS154" s="2269"/>
      <c r="AT154" s="2269"/>
      <c r="AU154" s="2269"/>
      <c r="AV154" s="2269"/>
      <c r="AW154" s="2269"/>
      <c r="AX154" s="2269"/>
      <c r="AY154" s="2269"/>
      <c r="AZ154" s="2269"/>
      <c r="BA154" s="2269"/>
      <c r="BB154" s="2269"/>
      <c r="BC154" s="2269"/>
      <c r="BD154" s="2269"/>
      <c r="BE154" s="2269"/>
      <c r="BF154" s="2269"/>
      <c r="BG154" s="2269"/>
      <c r="BH154" s="2269"/>
      <c r="BI154" s="2269"/>
      <c r="BJ154" s="2269"/>
      <c r="BK154" s="2269"/>
      <c r="BL154" s="2269"/>
      <c r="BM154" s="2269"/>
      <c r="BN154" s="2269"/>
      <c r="BO154" s="2269"/>
      <c r="BP154" s="2269"/>
      <c r="BQ154" s="2269"/>
      <c r="BR154" s="2269"/>
      <c r="BS154" s="2269"/>
      <c r="BT154" s="2269"/>
      <c r="BU154" s="2269"/>
      <c r="BV154" s="2269"/>
      <c r="BW154" s="2269"/>
      <c r="BX154" s="2269"/>
      <c r="BY154" s="2269"/>
      <c r="BZ154" s="2269"/>
      <c r="CA154" s="2269"/>
    </row>
    <row r="155" spans="1:79">
      <c r="A155" s="2269"/>
      <c r="B155" s="2269"/>
      <c r="C155" s="2269"/>
      <c r="D155" s="2269"/>
      <c r="E155" s="2269"/>
      <c r="F155" s="2269"/>
      <c r="G155" s="2269"/>
      <c r="H155" s="2269"/>
      <c r="I155" s="2269"/>
      <c r="J155" s="2269"/>
      <c r="K155" s="2269"/>
      <c r="L155" s="2269"/>
      <c r="M155" s="2269"/>
      <c r="N155" s="2269"/>
      <c r="O155" s="2269"/>
      <c r="P155" s="2269"/>
      <c r="Q155" s="2269"/>
      <c r="R155" s="2269"/>
      <c r="S155" s="2269"/>
      <c r="T155" s="2269"/>
      <c r="U155" s="2269"/>
      <c r="V155" s="2269"/>
      <c r="W155" s="2269"/>
      <c r="X155" s="2269"/>
      <c r="Y155" s="2269"/>
      <c r="Z155" s="2269"/>
      <c r="AA155" s="2269"/>
      <c r="AB155" s="2269"/>
      <c r="AC155" s="2269"/>
      <c r="AD155" s="2269"/>
      <c r="AE155" s="2269"/>
      <c r="AF155" s="2269"/>
      <c r="AG155" s="2269"/>
      <c r="AH155" s="2269"/>
      <c r="AI155" s="2269"/>
      <c r="AJ155" s="2269"/>
      <c r="AK155" s="2269"/>
      <c r="AL155" s="2269"/>
      <c r="AM155" s="2269"/>
      <c r="AN155" s="2269"/>
      <c r="AO155" s="2269"/>
      <c r="AP155" s="2269"/>
      <c r="AQ155" s="2269"/>
      <c r="AR155" s="2269"/>
      <c r="AS155" s="2269"/>
      <c r="AT155" s="2269"/>
      <c r="AU155" s="2269"/>
      <c r="AV155" s="2269"/>
      <c r="AW155" s="2269"/>
      <c r="AX155" s="2269"/>
      <c r="AY155" s="2269"/>
      <c r="AZ155" s="2269"/>
      <c r="BA155" s="2269"/>
      <c r="BB155" s="2269"/>
      <c r="BC155" s="2269"/>
      <c r="BD155" s="2269"/>
      <c r="BE155" s="2269"/>
      <c r="BF155" s="2269"/>
      <c r="BG155" s="2269"/>
      <c r="BH155" s="2269"/>
      <c r="BI155" s="2269"/>
      <c r="BJ155" s="2269"/>
      <c r="BK155" s="2269"/>
      <c r="BL155" s="2269"/>
      <c r="BM155" s="2269"/>
      <c r="BN155" s="2269"/>
      <c r="BO155" s="2269"/>
      <c r="BP155" s="2269"/>
      <c r="BQ155" s="2269"/>
      <c r="BR155" s="2269"/>
      <c r="BS155" s="2269"/>
      <c r="BT155" s="2269"/>
      <c r="BU155" s="2269"/>
      <c r="BV155" s="2269"/>
      <c r="BW155" s="2269"/>
      <c r="BX155" s="2269"/>
      <c r="BY155" s="2269"/>
      <c r="BZ155" s="2269"/>
      <c r="CA155" s="2269"/>
    </row>
    <row r="156" spans="1:79">
      <c r="A156" s="2269"/>
      <c r="B156" s="2269"/>
      <c r="C156" s="2269"/>
      <c r="D156" s="2269"/>
      <c r="E156" s="2269"/>
      <c r="F156" s="2269"/>
      <c r="G156" s="2269"/>
      <c r="H156" s="2269"/>
      <c r="I156" s="2269"/>
      <c r="J156" s="2269"/>
      <c r="K156" s="2269"/>
      <c r="L156" s="2269"/>
      <c r="M156" s="2269"/>
      <c r="N156" s="2269"/>
      <c r="O156" s="2269"/>
      <c r="P156" s="2269"/>
      <c r="Q156" s="2269"/>
      <c r="R156" s="2269"/>
      <c r="S156" s="2269"/>
      <c r="T156" s="2269"/>
      <c r="U156" s="2269"/>
      <c r="V156" s="2269"/>
      <c r="W156" s="2269"/>
      <c r="X156" s="2269"/>
      <c r="Y156" s="2269"/>
      <c r="Z156" s="2269"/>
      <c r="AA156" s="2269"/>
      <c r="AB156" s="2269"/>
      <c r="AC156" s="2269"/>
      <c r="AD156" s="2269"/>
      <c r="AE156" s="2269"/>
      <c r="AF156" s="2269"/>
      <c r="AG156" s="2269"/>
      <c r="AH156" s="2269"/>
      <c r="AI156" s="2269"/>
      <c r="AJ156" s="2269"/>
      <c r="AK156" s="2269"/>
      <c r="AL156" s="2269"/>
      <c r="AM156" s="2269"/>
      <c r="AN156" s="2269"/>
      <c r="AO156" s="2269"/>
      <c r="AP156" s="2269"/>
      <c r="AQ156" s="2269"/>
      <c r="AR156" s="2269"/>
      <c r="AS156" s="2269"/>
      <c r="AT156" s="2269"/>
      <c r="AU156" s="2269"/>
      <c r="AV156" s="2269"/>
      <c r="AW156" s="2269"/>
      <c r="AX156" s="2269"/>
      <c r="AY156" s="2269"/>
      <c r="AZ156" s="2269"/>
      <c r="BA156" s="2269"/>
      <c r="BB156" s="2269"/>
      <c r="BC156" s="2269"/>
      <c r="BD156" s="2269"/>
      <c r="BE156" s="2269"/>
      <c r="BF156" s="2269"/>
      <c r="BG156" s="2269"/>
      <c r="BH156" s="2269"/>
      <c r="BI156" s="2269"/>
      <c r="BJ156" s="2269"/>
      <c r="BK156" s="2269"/>
      <c r="BL156" s="2269"/>
      <c r="BM156" s="2269"/>
      <c r="BN156" s="2269"/>
      <c r="BO156" s="2269"/>
      <c r="BP156" s="2269"/>
      <c r="BQ156" s="2269"/>
      <c r="BR156" s="2269"/>
      <c r="BS156" s="2269"/>
      <c r="BT156" s="2269"/>
      <c r="BU156" s="2269"/>
      <c r="BV156" s="2269"/>
      <c r="BW156" s="2269"/>
      <c r="BX156" s="2269"/>
      <c r="BY156" s="2269"/>
      <c r="BZ156" s="2269"/>
      <c r="CA156" s="2269"/>
    </row>
    <row r="157" spans="1:79">
      <c r="A157" s="2269"/>
      <c r="B157" s="2269"/>
      <c r="C157" s="2269"/>
      <c r="D157" s="2269"/>
      <c r="E157" s="2269"/>
      <c r="F157" s="2269"/>
      <c r="G157" s="2269"/>
      <c r="H157" s="2269"/>
      <c r="I157" s="2269"/>
      <c r="J157" s="2269"/>
      <c r="K157" s="2269"/>
      <c r="L157" s="2269"/>
      <c r="M157" s="2269"/>
      <c r="N157" s="2269"/>
      <c r="O157" s="2269"/>
      <c r="P157" s="2269"/>
      <c r="Q157" s="2269"/>
      <c r="R157" s="2269"/>
      <c r="S157" s="2269"/>
      <c r="T157" s="2269"/>
      <c r="U157" s="2269"/>
      <c r="V157" s="2269"/>
      <c r="W157" s="2269"/>
      <c r="X157" s="2269"/>
      <c r="Y157" s="2269"/>
      <c r="Z157" s="2269"/>
      <c r="AA157" s="2269"/>
      <c r="AB157" s="2269"/>
      <c r="AC157" s="2269"/>
      <c r="AD157" s="2269"/>
      <c r="AE157" s="2269"/>
      <c r="AF157" s="2269"/>
      <c r="AG157" s="2269"/>
      <c r="AH157" s="2269"/>
      <c r="AI157" s="2269"/>
      <c r="AJ157" s="2269"/>
      <c r="AK157" s="2269"/>
      <c r="AL157" s="2269"/>
      <c r="AM157" s="2269"/>
      <c r="AN157" s="2269"/>
      <c r="AO157" s="2269"/>
      <c r="AP157" s="2269"/>
      <c r="AQ157" s="2269"/>
      <c r="AR157" s="2269"/>
      <c r="AS157" s="2269"/>
      <c r="AT157" s="2269"/>
      <c r="AU157" s="2269"/>
      <c r="AV157" s="2269"/>
      <c r="AW157" s="2269"/>
      <c r="AX157" s="2269"/>
      <c r="AY157" s="2269"/>
      <c r="AZ157" s="2269"/>
      <c r="BA157" s="2269"/>
      <c r="BB157" s="2269"/>
      <c r="BC157" s="2269"/>
      <c r="BD157" s="2269"/>
      <c r="BE157" s="2269"/>
      <c r="BF157" s="2269"/>
      <c r="BG157" s="2269"/>
      <c r="BH157" s="2269"/>
      <c r="BI157" s="2269"/>
      <c r="BJ157" s="2269"/>
      <c r="BK157" s="2269"/>
      <c r="BL157" s="2269"/>
      <c r="BM157" s="2269"/>
      <c r="BN157" s="2269"/>
      <c r="BO157" s="2269"/>
      <c r="BP157" s="2269"/>
      <c r="BQ157" s="2269"/>
      <c r="BR157" s="2269"/>
      <c r="BS157" s="2269"/>
      <c r="BT157" s="2269"/>
      <c r="BU157" s="2269"/>
      <c r="BV157" s="2269"/>
      <c r="BW157" s="2269"/>
      <c r="BX157" s="2269"/>
      <c r="BY157" s="2269"/>
      <c r="BZ157" s="2269"/>
      <c r="CA157" s="2269"/>
    </row>
    <row r="158" spans="1:79">
      <c r="A158" s="2269"/>
      <c r="B158" s="2269"/>
      <c r="C158" s="2269"/>
      <c r="D158" s="2269"/>
      <c r="E158" s="2269"/>
      <c r="F158" s="2269"/>
      <c r="G158" s="2269"/>
      <c r="H158" s="2269"/>
      <c r="I158" s="2269"/>
      <c r="J158" s="2269"/>
      <c r="K158" s="2269"/>
      <c r="L158" s="2269"/>
      <c r="M158" s="2269"/>
      <c r="N158" s="2269"/>
      <c r="O158" s="2269"/>
      <c r="P158" s="2269"/>
      <c r="Q158" s="2269"/>
      <c r="R158" s="2269"/>
      <c r="S158" s="2269"/>
      <c r="T158" s="2269"/>
      <c r="U158" s="2269"/>
      <c r="V158" s="2269"/>
      <c r="W158" s="2269"/>
      <c r="X158" s="2269"/>
      <c r="Y158" s="2269"/>
      <c r="Z158" s="2269"/>
      <c r="AA158" s="2269"/>
      <c r="AB158" s="2269"/>
      <c r="AC158" s="2269"/>
      <c r="AD158" s="2269"/>
      <c r="AE158" s="2269"/>
      <c r="AF158" s="2269"/>
      <c r="AG158" s="2269"/>
      <c r="AH158" s="2269"/>
      <c r="AI158" s="2269"/>
      <c r="AJ158" s="2269"/>
      <c r="AK158" s="2269"/>
      <c r="AL158" s="2269"/>
      <c r="AM158" s="2269"/>
      <c r="AN158" s="2269"/>
      <c r="AO158" s="2269"/>
      <c r="AP158" s="2269"/>
      <c r="AQ158" s="2269"/>
      <c r="AR158" s="2269"/>
      <c r="AS158" s="2269"/>
      <c r="AT158" s="2269"/>
      <c r="AU158" s="2269"/>
      <c r="AV158" s="2269"/>
      <c r="AW158" s="2269"/>
      <c r="AX158" s="2269"/>
      <c r="AY158" s="2269"/>
      <c r="AZ158" s="2269"/>
      <c r="BA158" s="2269"/>
      <c r="BB158" s="2269"/>
      <c r="BC158" s="2269"/>
      <c r="BD158" s="2269"/>
      <c r="BE158" s="2269"/>
      <c r="BF158" s="2269"/>
      <c r="BG158" s="2269"/>
      <c r="BH158" s="2269"/>
      <c r="BI158" s="2269"/>
      <c r="BJ158" s="2269"/>
      <c r="BK158" s="2269"/>
      <c r="BL158" s="2269"/>
      <c r="BM158" s="2269"/>
      <c r="BN158" s="2269"/>
      <c r="BO158" s="2269"/>
      <c r="BP158" s="2269"/>
      <c r="BQ158" s="2269"/>
      <c r="BR158" s="2269"/>
      <c r="BS158" s="2269"/>
      <c r="BT158" s="2269"/>
      <c r="BU158" s="2269"/>
      <c r="BV158" s="2269"/>
      <c r="BW158" s="2269"/>
      <c r="BX158" s="2269"/>
      <c r="BY158" s="2269"/>
      <c r="BZ158" s="2269"/>
      <c r="CA158" s="2269"/>
    </row>
    <row r="159" spans="1:79">
      <c r="A159" s="2269"/>
      <c r="B159" s="2269"/>
      <c r="C159" s="2269"/>
      <c r="D159" s="2269"/>
      <c r="E159" s="2269"/>
      <c r="F159" s="2269"/>
      <c r="G159" s="2269"/>
      <c r="H159" s="2269"/>
      <c r="I159" s="2269"/>
      <c r="J159" s="2269"/>
      <c r="K159" s="2269"/>
      <c r="L159" s="2269"/>
      <c r="M159" s="2269"/>
      <c r="N159" s="2269"/>
      <c r="O159" s="2269"/>
      <c r="P159" s="2269"/>
      <c r="Q159" s="2269"/>
      <c r="R159" s="2269"/>
      <c r="S159" s="2269"/>
      <c r="T159" s="2269"/>
      <c r="U159" s="2269"/>
      <c r="V159" s="2269"/>
      <c r="W159" s="2269"/>
      <c r="X159" s="2269"/>
      <c r="Y159" s="2269"/>
      <c r="Z159" s="2269"/>
      <c r="AA159" s="2269"/>
      <c r="AB159" s="2269"/>
      <c r="AC159" s="2269"/>
      <c r="AD159" s="2269"/>
      <c r="AE159" s="2269"/>
      <c r="AF159" s="2269"/>
      <c r="AG159" s="2269"/>
      <c r="AH159" s="2269"/>
      <c r="AI159" s="2269"/>
      <c r="AJ159" s="2269"/>
      <c r="AK159" s="2269"/>
      <c r="AL159" s="2269"/>
      <c r="AM159" s="2269"/>
      <c r="AN159" s="2269"/>
      <c r="AO159" s="2269"/>
      <c r="AP159" s="2269"/>
      <c r="AQ159" s="2269"/>
      <c r="AR159" s="2269"/>
      <c r="AS159" s="2269"/>
      <c r="AT159" s="2269"/>
      <c r="AU159" s="2269"/>
      <c r="AV159" s="2269"/>
      <c r="AW159" s="2269"/>
      <c r="AX159" s="2269"/>
      <c r="AY159" s="2269"/>
      <c r="AZ159" s="2269"/>
      <c r="BA159" s="2269"/>
      <c r="BB159" s="2269"/>
      <c r="BC159" s="2269"/>
      <c r="BD159" s="2269"/>
      <c r="BE159" s="2269"/>
      <c r="BF159" s="2269"/>
      <c r="BG159" s="2269"/>
      <c r="BH159" s="2269"/>
      <c r="BI159" s="2269"/>
      <c r="BJ159" s="2269"/>
      <c r="BK159" s="2269"/>
      <c r="BL159" s="2269"/>
      <c r="BM159" s="2269"/>
      <c r="BN159" s="2269"/>
      <c r="BO159" s="2269"/>
      <c r="BP159" s="2269"/>
      <c r="BQ159" s="2269"/>
      <c r="BR159" s="2269"/>
      <c r="BS159" s="2269"/>
      <c r="BT159" s="2269"/>
      <c r="BU159" s="2269"/>
      <c r="BV159" s="2269"/>
      <c r="BW159" s="2269"/>
      <c r="BX159" s="2269"/>
      <c r="BY159" s="2269"/>
      <c r="BZ159" s="2269"/>
      <c r="CA159" s="2269"/>
    </row>
    <row r="160" spans="1:79">
      <c r="A160" s="2269"/>
      <c r="B160" s="2269"/>
      <c r="C160" s="2269"/>
      <c r="D160" s="2269"/>
      <c r="E160" s="2269"/>
      <c r="F160" s="2269"/>
      <c r="G160" s="2269"/>
      <c r="H160" s="2269"/>
      <c r="I160" s="2269"/>
      <c r="J160" s="2269"/>
      <c r="K160" s="2269"/>
      <c r="L160" s="2269"/>
      <c r="M160" s="2269"/>
      <c r="N160" s="2269"/>
      <c r="O160" s="2269"/>
      <c r="P160" s="2269"/>
      <c r="Q160" s="2269"/>
      <c r="R160" s="2269"/>
      <c r="S160" s="2269"/>
      <c r="T160" s="2269"/>
      <c r="U160" s="2269"/>
      <c r="V160" s="2269"/>
      <c r="W160" s="2269"/>
      <c r="X160" s="2269"/>
      <c r="Y160" s="2269"/>
      <c r="Z160" s="2269"/>
      <c r="AA160" s="2269"/>
      <c r="AB160" s="2269"/>
      <c r="AC160" s="2269"/>
      <c r="AD160" s="2269"/>
      <c r="AE160" s="2269"/>
      <c r="AF160" s="2269"/>
      <c r="AG160" s="2269"/>
      <c r="AH160" s="2269"/>
      <c r="AI160" s="2269"/>
      <c r="AJ160" s="2269"/>
      <c r="AK160" s="2269"/>
      <c r="AL160" s="2269"/>
      <c r="AM160" s="2269"/>
      <c r="AN160" s="2269"/>
      <c r="AO160" s="2269"/>
      <c r="AP160" s="2269"/>
      <c r="AQ160" s="2269"/>
      <c r="AR160" s="2269"/>
      <c r="AS160" s="2269"/>
      <c r="AT160" s="2269"/>
      <c r="AU160" s="2269"/>
      <c r="AV160" s="2269"/>
      <c r="AW160" s="2269"/>
      <c r="AX160" s="2269"/>
      <c r="AY160" s="2269"/>
      <c r="AZ160" s="2269"/>
      <c r="BA160" s="2269"/>
      <c r="BB160" s="2269"/>
      <c r="BC160" s="2269"/>
      <c r="BD160" s="2269"/>
      <c r="BE160" s="2269"/>
      <c r="BF160" s="2269"/>
      <c r="BG160" s="2269"/>
      <c r="BH160" s="2269"/>
      <c r="BI160" s="2269"/>
      <c r="BJ160" s="2269"/>
      <c r="BK160" s="2269"/>
      <c r="BL160" s="2269"/>
      <c r="BM160" s="2269"/>
      <c r="BN160" s="2269"/>
      <c r="BO160" s="2269"/>
      <c r="BP160" s="2269"/>
      <c r="BQ160" s="2269"/>
      <c r="BR160" s="2269"/>
      <c r="BS160" s="2269"/>
      <c r="BT160" s="2269"/>
      <c r="BU160" s="2269"/>
      <c r="BV160" s="2269"/>
      <c r="BW160" s="2269"/>
      <c r="BX160" s="2269"/>
      <c r="BY160" s="2269"/>
      <c r="BZ160" s="2269"/>
      <c r="CA160" s="2269"/>
    </row>
    <row r="161" spans="1:79">
      <c r="A161" s="2269"/>
      <c r="B161" s="2269"/>
      <c r="C161" s="2269"/>
      <c r="D161" s="2269"/>
      <c r="E161" s="2269"/>
      <c r="F161" s="2269"/>
      <c r="G161" s="2269"/>
      <c r="H161" s="2269"/>
      <c r="I161" s="2269"/>
      <c r="J161" s="2269"/>
      <c r="K161" s="2269"/>
      <c r="L161" s="2269"/>
      <c r="M161" s="2269"/>
      <c r="N161" s="2269"/>
      <c r="O161" s="2269"/>
      <c r="P161" s="2269"/>
      <c r="Q161" s="2269"/>
      <c r="R161" s="2269"/>
      <c r="S161" s="2269"/>
      <c r="T161" s="2269"/>
      <c r="U161" s="2269"/>
      <c r="V161" s="2269"/>
      <c r="W161" s="2269"/>
      <c r="X161" s="2269"/>
      <c r="Y161" s="2269"/>
      <c r="Z161" s="2269"/>
      <c r="AA161" s="2269"/>
      <c r="AB161" s="2269"/>
      <c r="AC161" s="2269"/>
      <c r="AD161" s="2269"/>
      <c r="AE161" s="2269"/>
      <c r="AF161" s="2269"/>
      <c r="AG161" s="2269"/>
      <c r="AH161" s="2269"/>
      <c r="AI161" s="2269"/>
      <c r="AJ161" s="2269"/>
      <c r="AK161" s="2269"/>
      <c r="AL161" s="2269"/>
      <c r="AM161" s="2269"/>
      <c r="AN161" s="2269"/>
      <c r="AO161" s="2269"/>
      <c r="AP161" s="2269"/>
      <c r="AQ161" s="2269"/>
      <c r="AR161" s="2269"/>
      <c r="AS161" s="2269"/>
      <c r="AT161" s="2269"/>
      <c r="AU161" s="2269"/>
      <c r="AV161" s="2269"/>
      <c r="AW161" s="2269"/>
      <c r="AX161" s="2269"/>
      <c r="AY161" s="2269"/>
      <c r="AZ161" s="2269"/>
      <c r="BA161" s="2269"/>
      <c r="BB161" s="2269"/>
      <c r="BC161" s="2269"/>
      <c r="BD161" s="2269"/>
      <c r="BE161" s="2269"/>
      <c r="BF161" s="2269"/>
      <c r="BG161" s="2269"/>
      <c r="BH161" s="2269"/>
      <c r="BI161" s="2269"/>
      <c r="BJ161" s="2269"/>
      <c r="BK161" s="2269"/>
      <c r="BL161" s="2269"/>
      <c r="BM161" s="2269"/>
      <c r="BN161" s="2269"/>
      <c r="BO161" s="2269"/>
      <c r="BP161" s="2269"/>
      <c r="BQ161" s="2269"/>
      <c r="BR161" s="2269"/>
      <c r="BS161" s="2269"/>
      <c r="BT161" s="2269"/>
      <c r="BU161" s="2269"/>
      <c r="BV161" s="2269"/>
      <c r="BW161" s="2269"/>
      <c r="BX161" s="2269"/>
      <c r="BY161" s="2269"/>
      <c r="BZ161" s="2269"/>
      <c r="CA161" s="2269"/>
    </row>
    <row r="162" spans="1:79">
      <c r="A162" s="2269"/>
      <c r="B162" s="2269"/>
      <c r="C162" s="2269"/>
      <c r="D162" s="2269"/>
      <c r="E162" s="2269"/>
      <c r="F162" s="2269"/>
      <c r="G162" s="2269"/>
      <c r="H162" s="2269"/>
      <c r="I162" s="2269"/>
      <c r="J162" s="2269"/>
      <c r="K162" s="2269"/>
      <c r="L162" s="2269"/>
      <c r="M162" s="2269"/>
      <c r="N162" s="2269"/>
      <c r="O162" s="2269"/>
      <c r="P162" s="2269"/>
      <c r="Q162" s="2269"/>
      <c r="R162" s="2269"/>
      <c r="S162" s="2269"/>
      <c r="T162" s="2269"/>
      <c r="U162" s="2269"/>
      <c r="V162" s="2269"/>
      <c r="W162" s="2269"/>
      <c r="X162" s="2269"/>
      <c r="Y162" s="2269"/>
      <c r="Z162" s="2269"/>
      <c r="AA162" s="2269"/>
      <c r="AB162" s="2269"/>
      <c r="AC162" s="2269"/>
      <c r="AD162" s="2269"/>
      <c r="AE162" s="2269"/>
      <c r="AF162" s="2269"/>
      <c r="AG162" s="2269"/>
      <c r="AH162" s="2269"/>
      <c r="AI162" s="2269"/>
      <c r="AJ162" s="2269"/>
      <c r="AK162" s="2269"/>
      <c r="AL162" s="2269"/>
      <c r="AM162" s="2269"/>
      <c r="AN162" s="2269"/>
      <c r="AO162" s="2269"/>
      <c r="AP162" s="2269"/>
      <c r="AQ162" s="2269"/>
      <c r="AR162" s="2269"/>
      <c r="AS162" s="2269"/>
      <c r="AT162" s="2269"/>
      <c r="AU162" s="2269"/>
      <c r="AV162" s="2269"/>
      <c r="AW162" s="2269"/>
      <c r="AX162" s="2269"/>
      <c r="AY162" s="2269"/>
      <c r="AZ162" s="2269"/>
      <c r="BA162" s="2269"/>
      <c r="BB162" s="2269"/>
      <c r="BC162" s="2269"/>
      <c r="BD162" s="2269"/>
      <c r="BE162" s="2269"/>
      <c r="BF162" s="2269"/>
      <c r="BG162" s="2269"/>
      <c r="BH162" s="2269"/>
      <c r="BI162" s="2269"/>
      <c r="BJ162" s="2269"/>
      <c r="BK162" s="2269"/>
      <c r="BL162" s="2269"/>
      <c r="BM162" s="2269"/>
      <c r="BN162" s="2269"/>
      <c r="BO162" s="2269"/>
      <c r="BP162" s="2269"/>
      <c r="BQ162" s="2269"/>
      <c r="BR162" s="2269"/>
      <c r="BS162" s="2269"/>
      <c r="BT162" s="2269"/>
      <c r="BU162" s="2269"/>
      <c r="BV162" s="2269"/>
      <c r="BW162" s="2269"/>
      <c r="BX162" s="2269"/>
      <c r="BY162" s="2269"/>
      <c r="BZ162" s="2269"/>
      <c r="CA162" s="2269"/>
    </row>
    <row r="163" spans="1:79">
      <c r="A163" s="2269"/>
      <c r="B163" s="2269"/>
      <c r="C163" s="2269"/>
      <c r="D163" s="2269"/>
      <c r="E163" s="2269"/>
      <c r="F163" s="2269"/>
      <c r="G163" s="2269"/>
      <c r="H163" s="2269"/>
      <c r="I163" s="2269"/>
      <c r="J163" s="2269"/>
      <c r="K163" s="2269"/>
      <c r="L163" s="2269"/>
      <c r="M163" s="2269"/>
      <c r="N163" s="2269"/>
      <c r="O163" s="2269"/>
      <c r="P163" s="2269"/>
      <c r="Q163" s="2269"/>
      <c r="R163" s="2269"/>
      <c r="S163" s="2269"/>
      <c r="T163" s="2269"/>
      <c r="U163" s="2269"/>
      <c r="V163" s="2269"/>
      <c r="W163" s="2269"/>
      <c r="X163" s="2269"/>
      <c r="Y163" s="2269"/>
      <c r="Z163" s="2269"/>
      <c r="AA163" s="2269"/>
      <c r="AB163" s="2269"/>
      <c r="AC163" s="2269"/>
      <c r="AD163" s="2269"/>
      <c r="AE163" s="2269"/>
      <c r="AF163" s="2269"/>
      <c r="AG163" s="2269"/>
      <c r="AH163" s="2269"/>
      <c r="AI163" s="2269"/>
      <c r="AJ163" s="2269"/>
      <c r="AK163" s="2269"/>
      <c r="AL163" s="2269"/>
      <c r="AM163" s="2269"/>
      <c r="AN163" s="2269"/>
      <c r="AO163" s="2269"/>
      <c r="AP163" s="2269"/>
      <c r="AQ163" s="2269"/>
      <c r="AR163" s="2269"/>
      <c r="AS163" s="2269"/>
      <c r="AT163" s="2269"/>
      <c r="AU163" s="2269"/>
      <c r="AV163" s="2269"/>
      <c r="AW163" s="2269"/>
      <c r="AX163" s="2269"/>
      <c r="AY163" s="2269"/>
      <c r="AZ163" s="2269"/>
      <c r="BA163" s="2269"/>
      <c r="BB163" s="2269"/>
      <c r="BC163" s="2269"/>
      <c r="BD163" s="2269"/>
      <c r="BE163" s="2269"/>
      <c r="BF163" s="2269"/>
      <c r="BG163" s="2269"/>
      <c r="BH163" s="2269"/>
      <c r="BI163" s="2269"/>
      <c r="BJ163" s="2269"/>
      <c r="BK163" s="2269"/>
      <c r="BL163" s="2269"/>
      <c r="BM163" s="2269"/>
      <c r="BN163" s="2269"/>
      <c r="BO163" s="2269"/>
      <c r="BP163" s="2269"/>
      <c r="BQ163" s="2269"/>
      <c r="BR163" s="2269"/>
      <c r="BS163" s="2269"/>
      <c r="BT163" s="2269"/>
      <c r="BU163" s="2269"/>
      <c r="BV163" s="2269"/>
      <c r="BW163" s="2269"/>
      <c r="BX163" s="2269"/>
      <c r="BY163" s="2269"/>
      <c r="BZ163" s="2269"/>
      <c r="CA163" s="2269"/>
    </row>
    <row r="164" spans="1:79">
      <c r="A164" s="2269"/>
      <c r="B164" s="2269"/>
      <c r="C164" s="2269"/>
      <c r="D164" s="2269"/>
      <c r="E164" s="2269"/>
      <c r="F164" s="2269"/>
      <c r="G164" s="2269"/>
      <c r="H164" s="2269"/>
      <c r="I164" s="2269"/>
      <c r="J164" s="2269"/>
      <c r="K164" s="2269"/>
      <c r="L164" s="2269"/>
      <c r="M164" s="2269"/>
      <c r="N164" s="2269"/>
      <c r="O164" s="2269"/>
      <c r="P164" s="2269"/>
      <c r="Q164" s="2269"/>
      <c r="R164" s="2269"/>
      <c r="S164" s="2269"/>
      <c r="T164" s="2269"/>
      <c r="U164" s="2269"/>
      <c r="V164" s="2269"/>
      <c r="W164" s="2269"/>
      <c r="X164" s="2269"/>
      <c r="Y164" s="2269"/>
      <c r="Z164" s="2269"/>
      <c r="AA164" s="2269"/>
      <c r="AB164" s="2269"/>
      <c r="AC164" s="2269"/>
      <c r="AD164" s="2269"/>
      <c r="AE164" s="2269"/>
      <c r="AF164" s="2269"/>
      <c r="AG164" s="2269"/>
      <c r="AH164" s="2269"/>
      <c r="AI164" s="2269"/>
      <c r="AJ164" s="2269"/>
      <c r="AK164" s="2269"/>
      <c r="AL164" s="2269"/>
      <c r="AM164" s="2269"/>
      <c r="AN164" s="2269"/>
      <c r="AO164" s="2269"/>
      <c r="AP164" s="2269"/>
      <c r="AQ164" s="2269"/>
      <c r="AR164" s="2269"/>
      <c r="AS164" s="2269"/>
      <c r="AT164" s="2269"/>
      <c r="AU164" s="2269"/>
      <c r="AV164" s="2269"/>
      <c r="AW164" s="2269"/>
      <c r="AX164" s="2269"/>
      <c r="AY164" s="2269"/>
      <c r="AZ164" s="2269"/>
      <c r="BA164" s="2269"/>
      <c r="BB164" s="2269"/>
      <c r="BC164" s="2269"/>
      <c r="BD164" s="2269"/>
      <c r="BE164" s="2269"/>
      <c r="BF164" s="2269"/>
      <c r="BG164" s="2269"/>
      <c r="BH164" s="2269"/>
      <c r="BI164" s="2269"/>
      <c r="BJ164" s="2269"/>
      <c r="BK164" s="2269"/>
      <c r="BL164" s="2269"/>
      <c r="BM164" s="2269"/>
      <c r="BN164" s="2269"/>
      <c r="BO164" s="2269"/>
      <c r="BP164" s="2269"/>
      <c r="BQ164" s="2269"/>
      <c r="BR164" s="2269"/>
      <c r="BS164" s="2269"/>
      <c r="BT164" s="2269"/>
      <c r="BU164" s="2269"/>
      <c r="BV164" s="2269"/>
      <c r="BW164" s="2269"/>
      <c r="BX164" s="2269"/>
      <c r="BY164" s="2269"/>
      <c r="BZ164" s="2269"/>
      <c r="CA164" s="2269"/>
    </row>
    <row r="165" spans="1:79">
      <c r="A165" s="2269"/>
      <c r="B165" s="2269"/>
      <c r="C165" s="2269"/>
      <c r="D165" s="2269"/>
      <c r="E165" s="2269"/>
      <c r="F165" s="2269"/>
      <c r="G165" s="2269"/>
      <c r="H165" s="2269"/>
      <c r="I165" s="2269"/>
      <c r="J165" s="2269"/>
      <c r="K165" s="2269"/>
      <c r="L165" s="2269"/>
      <c r="M165" s="2269"/>
      <c r="N165" s="2269"/>
      <c r="O165" s="2269"/>
      <c r="P165" s="2269"/>
      <c r="Q165" s="2269"/>
      <c r="R165" s="2269"/>
      <c r="S165" s="2269"/>
      <c r="T165" s="2269"/>
      <c r="U165" s="2269"/>
      <c r="V165" s="2269"/>
      <c r="W165" s="2269"/>
      <c r="X165" s="2269"/>
      <c r="Y165" s="2269"/>
      <c r="Z165" s="2269"/>
      <c r="AA165" s="2269"/>
      <c r="AB165" s="2269"/>
      <c r="AC165" s="2269"/>
      <c r="AD165" s="2269"/>
      <c r="AE165" s="2269"/>
      <c r="AF165" s="2269"/>
      <c r="AG165" s="2269"/>
      <c r="AH165" s="2269"/>
      <c r="AI165" s="2269"/>
      <c r="AJ165" s="2269"/>
      <c r="AK165" s="2269"/>
      <c r="AL165" s="2269"/>
      <c r="AM165" s="2269"/>
      <c r="AN165" s="2269"/>
      <c r="AO165" s="2269"/>
      <c r="AP165" s="2269"/>
      <c r="AQ165" s="2269"/>
      <c r="AR165" s="2269"/>
      <c r="AS165" s="2269"/>
      <c r="AT165" s="2269"/>
      <c r="AU165" s="2269"/>
      <c r="AV165" s="2269"/>
      <c r="AW165" s="2269"/>
      <c r="AX165" s="2269"/>
      <c r="AY165" s="2269"/>
      <c r="AZ165" s="2269"/>
      <c r="BA165" s="2269"/>
      <c r="BB165" s="2269"/>
      <c r="BC165" s="2269"/>
      <c r="BD165" s="2269"/>
      <c r="BE165" s="2269"/>
      <c r="BF165" s="2269"/>
      <c r="BG165" s="2269"/>
      <c r="BH165" s="2269"/>
      <c r="BI165" s="2269"/>
      <c r="BJ165" s="2269"/>
      <c r="BK165" s="2269"/>
      <c r="BL165" s="2269"/>
      <c r="BM165" s="2269"/>
      <c r="BN165" s="2269"/>
      <c r="BO165" s="2269"/>
      <c r="BP165" s="2269"/>
      <c r="BQ165" s="2269"/>
      <c r="BR165" s="2269"/>
      <c r="BS165" s="2269"/>
      <c r="BT165" s="2269"/>
      <c r="BU165" s="2269"/>
      <c r="BV165" s="2269"/>
      <c r="BW165" s="2269"/>
      <c r="BX165" s="2269"/>
      <c r="BY165" s="2269"/>
      <c r="BZ165" s="2269"/>
      <c r="CA165" s="2269"/>
    </row>
    <row r="166" spans="1:79">
      <c r="A166" s="2269"/>
      <c r="B166" s="2269"/>
      <c r="C166" s="2269"/>
      <c r="D166" s="2269"/>
      <c r="E166" s="2269"/>
      <c r="F166" s="2269"/>
      <c r="G166" s="2269"/>
      <c r="H166" s="2269"/>
      <c r="I166" s="2269"/>
      <c r="J166" s="2269"/>
      <c r="K166" s="2269"/>
      <c r="L166" s="2269"/>
      <c r="M166" s="2269"/>
      <c r="N166" s="2269"/>
      <c r="O166" s="2269"/>
      <c r="P166" s="2269"/>
      <c r="Q166" s="2269"/>
      <c r="R166" s="2269"/>
      <c r="S166" s="2269"/>
      <c r="T166" s="2269"/>
      <c r="U166" s="2269"/>
      <c r="V166" s="2269"/>
      <c r="W166" s="2269"/>
      <c r="X166" s="2269"/>
      <c r="Y166" s="2269"/>
      <c r="Z166" s="2269"/>
      <c r="AA166" s="2269"/>
      <c r="AB166" s="2269"/>
      <c r="AC166" s="2269"/>
      <c r="AD166" s="2269"/>
      <c r="AE166" s="2269"/>
      <c r="AF166" s="2269"/>
      <c r="AG166" s="2269"/>
      <c r="AH166" s="2269"/>
      <c r="AI166" s="2269"/>
      <c r="AJ166" s="2269"/>
      <c r="AK166" s="2269"/>
      <c r="AL166" s="2269"/>
      <c r="AM166" s="2269"/>
      <c r="AN166" s="2269"/>
      <c r="AO166" s="2269"/>
      <c r="AP166" s="2269"/>
      <c r="AQ166" s="2269"/>
      <c r="AR166" s="2269"/>
      <c r="AS166" s="2269"/>
      <c r="AT166" s="2269"/>
      <c r="AU166" s="2269"/>
      <c r="AV166" s="2269"/>
      <c r="AW166" s="2269"/>
      <c r="AX166" s="2269"/>
      <c r="AY166" s="2269"/>
      <c r="AZ166" s="2269"/>
      <c r="BA166" s="2269"/>
      <c r="BB166" s="2269"/>
      <c r="BC166" s="2269"/>
      <c r="BD166" s="2269"/>
      <c r="BE166" s="2269"/>
      <c r="BF166" s="2269"/>
      <c r="BG166" s="2269"/>
      <c r="BH166" s="2269"/>
      <c r="BI166" s="2269"/>
      <c r="BJ166" s="2269"/>
      <c r="BK166" s="2269"/>
      <c r="BL166" s="2269"/>
      <c r="BM166" s="2269"/>
      <c r="BN166" s="2269"/>
      <c r="BO166" s="2269"/>
      <c r="BP166" s="2269"/>
      <c r="BQ166" s="2269"/>
      <c r="BR166" s="2269"/>
      <c r="BS166" s="2269"/>
      <c r="BT166" s="2269"/>
      <c r="BU166" s="2269"/>
      <c r="BV166" s="2269"/>
      <c r="BW166" s="2269"/>
      <c r="BX166" s="2269"/>
      <c r="BY166" s="2269"/>
      <c r="BZ166" s="2269"/>
      <c r="CA166" s="2269"/>
    </row>
    <row r="167" spans="1:79">
      <c r="A167" s="2269"/>
      <c r="B167" s="2269"/>
      <c r="C167" s="2269"/>
      <c r="D167" s="2269"/>
      <c r="E167" s="2269"/>
      <c r="F167" s="2269"/>
      <c r="G167" s="2269"/>
      <c r="H167" s="2269"/>
      <c r="I167" s="2269"/>
      <c r="J167" s="2269"/>
      <c r="K167" s="2269"/>
      <c r="L167" s="2269"/>
      <c r="M167" s="2269"/>
      <c r="N167" s="2269"/>
      <c r="O167" s="2269"/>
      <c r="P167" s="2269"/>
      <c r="Q167" s="2269"/>
      <c r="R167" s="2269"/>
      <c r="S167" s="2269"/>
      <c r="T167" s="2269"/>
      <c r="U167" s="2269"/>
      <c r="V167" s="2269"/>
      <c r="W167" s="2269"/>
      <c r="X167" s="2269"/>
      <c r="Y167" s="2269"/>
      <c r="Z167" s="2269"/>
      <c r="AA167" s="2269"/>
      <c r="AB167" s="2269"/>
      <c r="AC167" s="2269"/>
      <c r="AD167" s="2269"/>
      <c r="AE167" s="2269"/>
      <c r="AF167" s="2269"/>
      <c r="AG167" s="2269"/>
      <c r="AH167" s="2269"/>
      <c r="AI167" s="2269"/>
      <c r="AJ167" s="2269"/>
      <c r="AK167" s="2269"/>
      <c r="AL167" s="2269"/>
      <c r="AM167" s="2269"/>
      <c r="AN167" s="2269"/>
      <c r="AO167" s="2269"/>
      <c r="AP167" s="2269"/>
      <c r="AQ167" s="2269"/>
      <c r="AR167" s="2269"/>
      <c r="AS167" s="2269"/>
      <c r="AT167" s="2269"/>
      <c r="AU167" s="2269"/>
      <c r="AV167" s="2269"/>
      <c r="AW167" s="2269"/>
      <c r="AX167" s="2269"/>
      <c r="AY167" s="2269"/>
      <c r="AZ167" s="2269"/>
      <c r="BA167" s="2269"/>
      <c r="BB167" s="2269"/>
      <c r="BC167" s="2269"/>
      <c r="BD167" s="2269"/>
      <c r="BE167" s="2269"/>
      <c r="BF167" s="2269"/>
      <c r="BG167" s="2269"/>
      <c r="BH167" s="2269"/>
      <c r="BI167" s="2269"/>
      <c r="BJ167" s="2269"/>
      <c r="BK167" s="2269"/>
      <c r="BL167" s="2269"/>
      <c r="BM167" s="2269"/>
      <c r="BN167" s="2269"/>
      <c r="BO167" s="2269"/>
      <c r="BP167" s="2269"/>
      <c r="BQ167" s="2269"/>
      <c r="BR167" s="2269"/>
      <c r="BS167" s="2269"/>
      <c r="BT167" s="2269"/>
      <c r="BU167" s="2269"/>
      <c r="BV167" s="2269"/>
      <c r="BW167" s="2269"/>
      <c r="BX167" s="2269"/>
      <c r="BY167" s="2269"/>
      <c r="BZ167" s="2269"/>
      <c r="CA167" s="2269"/>
    </row>
    <row r="168" spans="1:79">
      <c r="A168" s="2269"/>
      <c r="B168" s="2269"/>
      <c r="C168" s="2269"/>
      <c r="D168" s="2269"/>
      <c r="E168" s="2269"/>
      <c r="F168" s="2269"/>
      <c r="G168" s="2269"/>
      <c r="H168" s="2269"/>
      <c r="I168" s="2269"/>
      <c r="J168" s="2269"/>
      <c r="K168" s="2269"/>
      <c r="L168" s="2269"/>
      <c r="M168" s="2269"/>
      <c r="N168" s="2269"/>
      <c r="O168" s="2269"/>
      <c r="P168" s="2269"/>
      <c r="Q168" s="2269"/>
      <c r="R168" s="2269"/>
      <c r="S168" s="2269"/>
      <c r="T168" s="2269"/>
      <c r="U168" s="2269"/>
      <c r="V168" s="2269"/>
      <c r="W168" s="2269"/>
      <c r="X168" s="2269"/>
      <c r="Y168" s="2269"/>
      <c r="Z168" s="2269"/>
      <c r="AA168" s="2269"/>
      <c r="AB168" s="2269"/>
      <c r="AC168" s="2269"/>
      <c r="AD168" s="2269"/>
      <c r="AE168" s="2269"/>
      <c r="AF168" s="2269"/>
      <c r="AG168" s="2269"/>
      <c r="AH168" s="2269"/>
      <c r="AI168" s="2269"/>
      <c r="AJ168" s="2269"/>
      <c r="AK168" s="2269"/>
      <c r="AL168" s="2269"/>
      <c r="AM168" s="2269"/>
      <c r="AN168" s="2269"/>
      <c r="AO168" s="2269"/>
      <c r="AP168" s="2269"/>
      <c r="AQ168" s="2269"/>
      <c r="AR168" s="2269"/>
      <c r="AS168" s="2269"/>
      <c r="AT168" s="2269"/>
      <c r="AU168" s="2269"/>
      <c r="AV168" s="2269"/>
      <c r="AW168" s="2269"/>
      <c r="AX168" s="2269"/>
      <c r="AY168" s="2269"/>
      <c r="AZ168" s="2269"/>
      <c r="BA168" s="2269"/>
      <c r="BB168" s="2269"/>
      <c r="BC168" s="2269"/>
      <c r="BD168" s="2269"/>
      <c r="BE168" s="2269"/>
      <c r="BF168" s="2269"/>
      <c r="BG168" s="2269"/>
      <c r="BH168" s="2269"/>
      <c r="BI168" s="2269"/>
      <c r="BJ168" s="2269"/>
      <c r="BK168" s="2269"/>
      <c r="BL168" s="2269"/>
      <c r="BM168" s="2269"/>
      <c r="BN168" s="2269"/>
      <c r="BO168" s="2269"/>
      <c r="BP168" s="2269"/>
      <c r="BQ168" s="2269"/>
      <c r="BR168" s="2269"/>
      <c r="BS168" s="2269"/>
      <c r="BT168" s="2269"/>
      <c r="BU168" s="2269"/>
      <c r="BV168" s="2269"/>
      <c r="BW168" s="2269"/>
      <c r="BX168" s="2269"/>
      <c r="BY168" s="2269"/>
      <c r="BZ168" s="2269"/>
      <c r="CA168" s="2269"/>
    </row>
    <row r="169" spans="1:79">
      <c r="A169" s="2269"/>
      <c r="B169" s="2269"/>
      <c r="C169" s="2269"/>
      <c r="D169" s="2269"/>
      <c r="E169" s="2269"/>
      <c r="F169" s="2269"/>
      <c r="G169" s="2269"/>
      <c r="H169" s="2269"/>
      <c r="I169" s="2269"/>
      <c r="J169" s="2269"/>
      <c r="K169" s="2269"/>
      <c r="L169" s="2269"/>
      <c r="M169" s="2269"/>
      <c r="N169" s="2269"/>
      <c r="O169" s="2269"/>
      <c r="P169" s="2269"/>
      <c r="Q169" s="2269"/>
      <c r="R169" s="2269"/>
      <c r="S169" s="2269"/>
      <c r="T169" s="2269"/>
      <c r="U169" s="2269"/>
      <c r="V169" s="2269"/>
      <c r="W169" s="2269"/>
      <c r="X169" s="2269"/>
      <c r="Y169" s="2269"/>
      <c r="Z169" s="2269"/>
      <c r="AA169" s="2269"/>
      <c r="AB169" s="2269"/>
      <c r="AC169" s="2269"/>
      <c r="AD169" s="2269"/>
      <c r="AE169" s="2269"/>
      <c r="AF169" s="2269"/>
      <c r="AG169" s="2269"/>
      <c r="AH169" s="2269"/>
      <c r="AI169" s="2269"/>
      <c r="AJ169" s="2269"/>
      <c r="AK169" s="2269"/>
      <c r="AL169" s="2269"/>
      <c r="AM169" s="2269"/>
      <c r="AN169" s="2269"/>
      <c r="AO169" s="2269"/>
      <c r="AP169" s="2269"/>
      <c r="AQ169" s="2269"/>
      <c r="AR169" s="2269"/>
      <c r="AS169" s="2269"/>
      <c r="AT169" s="2269"/>
      <c r="AU169" s="2269"/>
      <c r="AV169" s="2269"/>
      <c r="AW169" s="2269"/>
      <c r="AX169" s="2269"/>
      <c r="AY169" s="2269"/>
      <c r="AZ169" s="2269"/>
      <c r="BA169" s="2269"/>
      <c r="BB169" s="2269"/>
      <c r="BC169" s="2269"/>
      <c r="BD169" s="2269"/>
      <c r="BE169" s="2269"/>
      <c r="BF169" s="2269"/>
      <c r="BG169" s="2269"/>
      <c r="BH169" s="2269"/>
      <c r="BI169" s="2269"/>
      <c r="BJ169" s="2269"/>
      <c r="BK169" s="2269"/>
      <c r="BL169" s="2269"/>
      <c r="BM169" s="2269"/>
      <c r="BN169" s="2269"/>
      <c r="BO169" s="2269"/>
      <c r="BP169" s="2269"/>
      <c r="BQ169" s="2269"/>
      <c r="BR169" s="2269"/>
      <c r="BS169" s="2269"/>
      <c r="BT169" s="2269"/>
      <c r="BU169" s="2269"/>
      <c r="BV169" s="2269"/>
      <c r="BW169" s="2269"/>
      <c r="BX169" s="2269"/>
      <c r="BY169" s="2269"/>
      <c r="BZ169" s="2269"/>
      <c r="CA169" s="2269"/>
    </row>
    <row r="170" spans="1:79">
      <c r="A170" s="2269"/>
      <c r="B170" s="2269"/>
      <c r="C170" s="2269"/>
      <c r="D170" s="2269"/>
      <c r="E170" s="2269"/>
      <c r="F170" s="2269"/>
      <c r="G170" s="2269"/>
      <c r="H170" s="2269"/>
      <c r="I170" s="2269"/>
      <c r="J170" s="2269"/>
      <c r="K170" s="2269"/>
      <c r="L170" s="2269"/>
      <c r="M170" s="2269"/>
      <c r="N170" s="2269"/>
      <c r="O170" s="2269"/>
      <c r="P170" s="2269"/>
      <c r="Q170" s="2269"/>
      <c r="R170" s="2269"/>
      <c r="S170" s="2269"/>
      <c r="T170" s="2269"/>
      <c r="U170" s="2269"/>
      <c r="V170" s="2269"/>
      <c r="W170" s="2269"/>
      <c r="X170" s="2269"/>
      <c r="Y170" s="2269"/>
      <c r="Z170" s="2269"/>
      <c r="AA170" s="2269"/>
      <c r="AB170" s="2269"/>
      <c r="AC170" s="2269"/>
      <c r="AD170" s="2269"/>
      <c r="AE170" s="2269"/>
      <c r="AF170" s="2269"/>
      <c r="AG170" s="2269"/>
      <c r="AH170" s="2269"/>
      <c r="AI170" s="2269"/>
      <c r="AJ170" s="2269"/>
      <c r="AK170" s="2269"/>
      <c r="AL170" s="2269"/>
      <c r="AM170" s="2269"/>
      <c r="AN170" s="2269"/>
      <c r="AO170" s="2269"/>
      <c r="AP170" s="2269"/>
      <c r="AQ170" s="2269"/>
      <c r="AR170" s="2269"/>
      <c r="AS170" s="2269"/>
      <c r="AT170" s="2269"/>
      <c r="AU170" s="2269"/>
      <c r="AV170" s="2269"/>
      <c r="AW170" s="2269"/>
      <c r="AX170" s="2269"/>
      <c r="AY170" s="2269"/>
      <c r="AZ170" s="2269"/>
      <c r="BA170" s="2269"/>
      <c r="BB170" s="2269"/>
      <c r="BC170" s="2269"/>
      <c r="BD170" s="2269"/>
      <c r="BE170" s="2269"/>
      <c r="BF170" s="2269"/>
      <c r="BG170" s="2269"/>
      <c r="BH170" s="2269"/>
      <c r="BI170" s="2269"/>
      <c r="BJ170" s="2269"/>
      <c r="BK170" s="2269"/>
      <c r="BL170" s="2269"/>
      <c r="BM170" s="2269"/>
      <c r="BN170" s="2269"/>
      <c r="BO170" s="2269"/>
      <c r="BP170" s="2269"/>
      <c r="BQ170" s="2269"/>
      <c r="BR170" s="2269"/>
      <c r="BS170" s="2269"/>
      <c r="BT170" s="2269"/>
      <c r="BU170" s="2269"/>
      <c r="BV170" s="2269"/>
      <c r="BW170" s="2269"/>
      <c r="BX170" s="2269"/>
      <c r="BY170" s="2269"/>
      <c r="BZ170" s="2269"/>
      <c r="CA170" s="2269"/>
    </row>
    <row r="171" spans="1:79">
      <c r="A171" s="2269"/>
      <c r="B171" s="2269"/>
      <c r="C171" s="2269"/>
      <c r="D171" s="2269"/>
      <c r="E171" s="2269"/>
      <c r="F171" s="2269"/>
      <c r="G171" s="2269"/>
      <c r="H171" s="2269"/>
      <c r="I171" s="2269"/>
      <c r="J171" s="2269"/>
      <c r="K171" s="2269"/>
      <c r="L171" s="2269"/>
      <c r="M171" s="2269"/>
      <c r="N171" s="2269"/>
      <c r="O171" s="2269"/>
      <c r="P171" s="2269"/>
      <c r="Q171" s="2269"/>
      <c r="R171" s="2269"/>
      <c r="S171" s="2269"/>
      <c r="T171" s="2269"/>
      <c r="U171" s="2269"/>
      <c r="V171" s="2269"/>
      <c r="W171" s="2269"/>
      <c r="X171" s="2269"/>
      <c r="Y171" s="2269"/>
      <c r="Z171" s="2269"/>
      <c r="AA171" s="2269"/>
      <c r="AB171" s="2269"/>
      <c r="AC171" s="2269"/>
      <c r="AD171" s="2269"/>
      <c r="AE171" s="2269"/>
      <c r="AF171" s="2269"/>
      <c r="AG171" s="2269"/>
      <c r="AH171" s="2269"/>
      <c r="AI171" s="2269"/>
      <c r="AJ171" s="2269"/>
      <c r="AK171" s="2269"/>
      <c r="AL171" s="2269"/>
      <c r="AM171" s="2269"/>
      <c r="AN171" s="2269"/>
      <c r="AO171" s="2269"/>
      <c r="AP171" s="2269"/>
      <c r="AQ171" s="2269"/>
      <c r="AR171" s="2269"/>
      <c r="AS171" s="2269"/>
      <c r="AT171" s="2269"/>
      <c r="AU171" s="2269"/>
      <c r="AV171" s="2269"/>
      <c r="AW171" s="2269"/>
      <c r="AX171" s="2269"/>
      <c r="AY171" s="2269"/>
      <c r="AZ171" s="2269"/>
      <c r="BA171" s="2269"/>
      <c r="BB171" s="2269"/>
      <c r="BC171" s="2269"/>
      <c r="BD171" s="2269"/>
      <c r="BE171" s="2269"/>
      <c r="BF171" s="2269"/>
      <c r="BG171" s="2269"/>
      <c r="BH171" s="2269"/>
      <c r="BI171" s="2269"/>
      <c r="BJ171" s="2269"/>
      <c r="BK171" s="2269"/>
      <c r="BL171" s="2269"/>
      <c r="BM171" s="2269"/>
      <c r="BN171" s="2269"/>
      <c r="BO171" s="2269"/>
      <c r="BP171" s="2269"/>
      <c r="BQ171" s="2269"/>
      <c r="BR171" s="2269"/>
      <c r="BS171" s="2269"/>
      <c r="BT171" s="2269"/>
      <c r="BU171" s="2269"/>
      <c r="BV171" s="2269"/>
      <c r="BW171" s="2269"/>
      <c r="BX171" s="2269"/>
      <c r="BY171" s="2269"/>
      <c r="BZ171" s="2269"/>
      <c r="CA171" s="2269"/>
    </row>
    <row r="172" spans="1:79">
      <c r="A172" s="2269"/>
      <c r="B172" s="2269"/>
      <c r="C172" s="2269"/>
      <c r="D172" s="2269"/>
      <c r="E172" s="2269"/>
      <c r="F172" s="2269"/>
      <c r="G172" s="2269"/>
      <c r="H172" s="2269"/>
      <c r="I172" s="2269"/>
      <c r="J172" s="2269"/>
      <c r="K172" s="2269"/>
      <c r="L172" s="2269"/>
      <c r="M172" s="2269"/>
      <c r="N172" s="2269"/>
      <c r="O172" s="2269"/>
      <c r="P172" s="2269"/>
      <c r="Q172" s="2269"/>
      <c r="R172" s="2269"/>
      <c r="S172" s="2269"/>
      <c r="T172" s="2269"/>
      <c r="U172" s="2269"/>
      <c r="V172" s="2269"/>
      <c r="W172" s="2269"/>
      <c r="X172" s="2269"/>
      <c r="Y172" s="2269"/>
      <c r="Z172" s="2269"/>
      <c r="AA172" s="2269"/>
      <c r="AB172" s="2269"/>
      <c r="AC172" s="2269"/>
      <c r="AD172" s="2269"/>
      <c r="AE172" s="2269"/>
      <c r="AF172" s="2269"/>
      <c r="AG172" s="2269"/>
      <c r="AH172" s="2269"/>
      <c r="AI172" s="2269"/>
      <c r="AJ172" s="2269"/>
      <c r="AK172" s="2269"/>
      <c r="AL172" s="2269"/>
      <c r="AM172" s="2269"/>
      <c r="AN172" s="2269"/>
      <c r="AO172" s="2269"/>
      <c r="AP172" s="2269"/>
      <c r="AQ172" s="2269"/>
      <c r="AR172" s="2269"/>
      <c r="AS172" s="2269"/>
      <c r="AT172" s="2269"/>
      <c r="AU172" s="2269"/>
      <c r="AV172" s="2269"/>
      <c r="AW172" s="2269"/>
      <c r="AX172" s="2269"/>
      <c r="AY172" s="2269"/>
      <c r="AZ172" s="2269"/>
      <c r="BA172" s="2269"/>
      <c r="BB172" s="2269"/>
      <c r="BC172" s="2269"/>
      <c r="BD172" s="2269"/>
      <c r="BE172" s="2269"/>
      <c r="BF172" s="2269"/>
      <c r="BG172" s="2269"/>
      <c r="BH172" s="2269"/>
      <c r="BI172" s="2269"/>
      <c r="BJ172" s="2269"/>
      <c r="BK172" s="2269"/>
      <c r="BL172" s="2269"/>
      <c r="BM172" s="2269"/>
      <c r="BN172" s="2269"/>
      <c r="BO172" s="2269"/>
      <c r="BP172" s="2269"/>
      <c r="BQ172" s="2269"/>
      <c r="BR172" s="2269"/>
      <c r="BS172" s="2269"/>
      <c r="BT172" s="2269"/>
      <c r="BU172" s="2269"/>
      <c r="BV172" s="2269"/>
      <c r="BW172" s="2269"/>
      <c r="BX172" s="2269"/>
      <c r="BY172" s="2269"/>
      <c r="BZ172" s="2269"/>
      <c r="CA172" s="2269"/>
    </row>
    <row r="173" spans="1:79">
      <c r="A173" s="2269"/>
      <c r="B173" s="2269"/>
      <c r="C173" s="2269"/>
      <c r="D173" s="2269"/>
      <c r="E173" s="2269"/>
      <c r="F173" s="2269"/>
      <c r="G173" s="2269"/>
      <c r="H173" s="2269"/>
      <c r="I173" s="2269"/>
      <c r="J173" s="2269"/>
      <c r="K173" s="2269"/>
      <c r="L173" s="2269"/>
      <c r="M173" s="2269"/>
      <c r="N173" s="2269"/>
      <c r="O173" s="2269"/>
      <c r="P173" s="2269"/>
      <c r="Q173" s="2269"/>
      <c r="R173" s="2269"/>
      <c r="S173" s="2269"/>
      <c r="T173" s="2269"/>
      <c r="U173" s="2269"/>
      <c r="V173" s="2269"/>
      <c r="W173" s="2269"/>
      <c r="X173" s="2269"/>
      <c r="Y173" s="2269"/>
      <c r="Z173" s="2269"/>
      <c r="AA173" s="2269"/>
      <c r="AB173" s="2269"/>
      <c r="AC173" s="2269"/>
      <c r="AD173" s="2269"/>
      <c r="AE173" s="2269"/>
      <c r="AF173" s="2269"/>
      <c r="AG173" s="2269"/>
      <c r="AH173" s="2269"/>
      <c r="AI173" s="2269"/>
      <c r="AJ173" s="2269"/>
      <c r="AK173" s="2269"/>
      <c r="AL173" s="2269"/>
      <c r="AM173" s="2269"/>
      <c r="AN173" s="2269"/>
      <c r="AO173" s="2269"/>
      <c r="AP173" s="2269"/>
      <c r="AQ173" s="2269"/>
      <c r="AR173" s="2269"/>
      <c r="AS173" s="2269"/>
      <c r="AT173" s="2269"/>
      <c r="AU173" s="2269"/>
      <c r="AV173" s="2269"/>
      <c r="AW173" s="2269"/>
      <c r="AX173" s="2269"/>
      <c r="AY173" s="2269"/>
      <c r="AZ173" s="2269"/>
      <c r="BA173" s="2269"/>
      <c r="BB173" s="2269"/>
      <c r="BC173" s="2269"/>
      <c r="BD173" s="2269"/>
      <c r="BE173" s="2269"/>
      <c r="BF173" s="2269"/>
      <c r="BG173" s="2269"/>
      <c r="BH173" s="2269"/>
      <c r="BI173" s="2269"/>
      <c r="BJ173" s="2269"/>
      <c r="BK173" s="2269"/>
      <c r="BL173" s="2269"/>
      <c r="BM173" s="2269"/>
      <c r="BN173" s="2269"/>
      <c r="BO173" s="2269"/>
      <c r="BP173" s="2269"/>
      <c r="BQ173" s="2269"/>
      <c r="BR173" s="2269"/>
      <c r="BS173" s="2269"/>
      <c r="BT173" s="2269"/>
      <c r="BU173" s="2269"/>
      <c r="BV173" s="2269"/>
      <c r="BW173" s="2269"/>
      <c r="BX173" s="2269"/>
      <c r="BY173" s="2269"/>
      <c r="BZ173" s="2269"/>
      <c r="CA173" s="2269"/>
    </row>
    <row r="174" spans="1:79">
      <c r="A174" s="2269"/>
      <c r="B174" s="2269"/>
      <c r="C174" s="2269"/>
      <c r="D174" s="2269"/>
      <c r="E174" s="2269"/>
      <c r="F174" s="2269"/>
      <c r="G174" s="2269"/>
      <c r="H174" s="2269"/>
      <c r="I174" s="2269"/>
      <c r="J174" s="2269"/>
      <c r="K174" s="2269"/>
      <c r="L174" s="2269"/>
      <c r="M174" s="2269"/>
      <c r="N174" s="2269"/>
      <c r="O174" s="2269"/>
      <c r="P174" s="2269"/>
      <c r="Q174" s="2269"/>
      <c r="R174" s="2269"/>
      <c r="S174" s="2269"/>
      <c r="T174" s="2269"/>
      <c r="U174" s="2269"/>
      <c r="V174" s="2269"/>
      <c r="W174" s="2269"/>
      <c r="X174" s="2269"/>
      <c r="Y174" s="2269"/>
      <c r="Z174" s="2269"/>
      <c r="AA174" s="2269"/>
      <c r="AB174" s="2269"/>
      <c r="AC174" s="2269"/>
      <c r="AD174" s="2269"/>
      <c r="AE174" s="2269"/>
      <c r="AF174" s="2269"/>
      <c r="AG174" s="2269"/>
      <c r="AH174" s="2269"/>
      <c r="AI174" s="2269"/>
      <c r="AJ174" s="2269"/>
      <c r="AK174" s="2269"/>
      <c r="AL174" s="2269"/>
      <c r="AM174" s="2269"/>
      <c r="AN174" s="2269"/>
      <c r="AO174" s="2269"/>
      <c r="AP174" s="2269"/>
      <c r="AQ174" s="2269"/>
      <c r="AR174" s="2269"/>
      <c r="AS174" s="2269"/>
      <c r="AT174" s="2269"/>
      <c r="AU174" s="2269"/>
      <c r="AV174" s="2269"/>
      <c r="AW174" s="2269"/>
      <c r="AX174" s="2269"/>
      <c r="AY174" s="2269"/>
      <c r="AZ174" s="2269"/>
      <c r="BA174" s="2269"/>
      <c r="BB174" s="2269"/>
      <c r="BC174" s="2269"/>
      <c r="BD174" s="2269"/>
      <c r="BE174" s="2269"/>
      <c r="BF174" s="2269"/>
      <c r="BG174" s="2269"/>
      <c r="BH174" s="2269"/>
      <c r="BI174" s="2269"/>
      <c r="BJ174" s="2269"/>
      <c r="BK174" s="2269"/>
      <c r="BL174" s="2269"/>
      <c r="BM174" s="2269"/>
      <c r="BN174" s="2269"/>
      <c r="BO174" s="2269"/>
      <c r="BP174" s="2269"/>
      <c r="BQ174" s="2269"/>
      <c r="BR174" s="2269"/>
      <c r="BS174" s="2269"/>
      <c r="BT174" s="2269"/>
      <c r="BU174" s="2269"/>
      <c r="BV174" s="2269"/>
      <c r="BW174" s="2269"/>
      <c r="BX174" s="2269"/>
      <c r="BY174" s="2269"/>
      <c r="BZ174" s="2269"/>
      <c r="CA174" s="2269"/>
    </row>
    <row r="175" spans="1:79">
      <c r="A175" s="2269"/>
      <c r="B175" s="2269"/>
      <c r="C175" s="2269"/>
      <c r="D175" s="2269"/>
      <c r="E175" s="2269"/>
      <c r="F175" s="2269"/>
      <c r="G175" s="2269"/>
      <c r="H175" s="2269"/>
      <c r="I175" s="2269"/>
      <c r="J175" s="2269"/>
      <c r="K175" s="2269"/>
      <c r="L175" s="2269"/>
      <c r="M175" s="2269"/>
      <c r="N175" s="2269"/>
      <c r="O175" s="2269"/>
      <c r="P175" s="2269"/>
      <c r="Q175" s="2269"/>
      <c r="R175" s="2269"/>
      <c r="S175" s="2269"/>
      <c r="T175" s="2269"/>
      <c r="U175" s="2269"/>
      <c r="V175" s="2269"/>
      <c r="W175" s="2269"/>
      <c r="X175" s="2269"/>
      <c r="Y175" s="2269"/>
      <c r="Z175" s="2269"/>
      <c r="AA175" s="2269"/>
      <c r="AB175" s="2269"/>
      <c r="AC175" s="2269"/>
      <c r="AD175" s="2269"/>
      <c r="AE175" s="2269"/>
      <c r="AF175" s="2269"/>
      <c r="AG175" s="2269"/>
      <c r="AH175" s="2269"/>
      <c r="AI175" s="2269"/>
      <c r="AJ175" s="2269"/>
      <c r="AK175" s="2269"/>
      <c r="AL175" s="2269"/>
      <c r="AM175" s="2269"/>
      <c r="AN175" s="2269"/>
      <c r="AO175" s="2269"/>
      <c r="AP175" s="2269"/>
      <c r="AQ175" s="2269"/>
      <c r="AR175" s="2269"/>
      <c r="AS175" s="2269"/>
      <c r="AT175" s="2269"/>
      <c r="AU175" s="2269"/>
      <c r="AV175" s="2269"/>
      <c r="AW175" s="2269"/>
      <c r="AX175" s="2269"/>
      <c r="AY175" s="2269"/>
      <c r="AZ175" s="2269"/>
      <c r="BA175" s="2269"/>
      <c r="BB175" s="2269"/>
      <c r="BC175" s="2269"/>
      <c r="BD175" s="2269"/>
      <c r="BE175" s="2269"/>
      <c r="BF175" s="2269"/>
      <c r="BG175" s="2269"/>
      <c r="BH175" s="2269"/>
      <c r="BI175" s="2269"/>
      <c r="BJ175" s="2269"/>
      <c r="BK175" s="2269"/>
      <c r="BL175" s="2269"/>
      <c r="BM175" s="2269"/>
      <c r="BN175" s="2269"/>
      <c r="BO175" s="2269"/>
      <c r="BP175" s="2269"/>
      <c r="BQ175" s="2269"/>
      <c r="BR175" s="2269"/>
      <c r="BS175" s="2269"/>
      <c r="BT175" s="2269"/>
      <c r="BU175" s="2269"/>
      <c r="BV175" s="2269"/>
      <c r="BW175" s="2269"/>
      <c r="BX175" s="2269"/>
      <c r="BY175" s="2269"/>
      <c r="BZ175" s="2269"/>
      <c r="CA175" s="2269"/>
    </row>
    <row r="176" spans="1:79">
      <c r="A176" s="2269"/>
      <c r="B176" s="2269"/>
      <c r="C176" s="2269"/>
      <c r="D176" s="2269"/>
      <c r="E176" s="2269"/>
      <c r="F176" s="2269"/>
      <c r="G176" s="2269"/>
      <c r="H176" s="2269"/>
      <c r="I176" s="2269"/>
      <c r="J176" s="2269"/>
      <c r="K176" s="2269"/>
      <c r="L176" s="2269"/>
      <c r="M176" s="2269"/>
      <c r="N176" s="2269"/>
      <c r="O176" s="2269"/>
      <c r="P176" s="2269"/>
      <c r="Q176" s="2269"/>
      <c r="R176" s="2269"/>
      <c r="S176" s="2269"/>
      <c r="T176" s="2269"/>
      <c r="U176" s="2269"/>
      <c r="V176" s="2269"/>
      <c r="W176" s="2269"/>
      <c r="X176" s="2269"/>
      <c r="Y176" s="2269"/>
      <c r="Z176" s="2269"/>
      <c r="AA176" s="2269"/>
      <c r="AB176" s="2269"/>
      <c r="AC176" s="2269"/>
      <c r="AD176" s="2269"/>
      <c r="AE176" s="2269"/>
      <c r="AF176" s="2269"/>
      <c r="AG176" s="2269"/>
      <c r="AH176" s="2269"/>
      <c r="AI176" s="2269"/>
      <c r="AJ176" s="2269"/>
      <c r="AK176" s="2269"/>
      <c r="AL176" s="2269"/>
      <c r="AM176" s="2269"/>
      <c r="AN176" s="2269"/>
      <c r="AO176" s="2269"/>
      <c r="AP176" s="2269"/>
      <c r="AQ176" s="2269"/>
      <c r="AR176" s="2269"/>
      <c r="AS176" s="2269"/>
      <c r="AT176" s="2269"/>
      <c r="AU176" s="2269"/>
      <c r="AV176" s="2269"/>
      <c r="AW176" s="2269"/>
      <c r="AX176" s="2269"/>
      <c r="AY176" s="2269"/>
      <c r="AZ176" s="2269"/>
      <c r="BA176" s="2269"/>
      <c r="BB176" s="2269"/>
      <c r="BC176" s="2269"/>
      <c r="BD176" s="2269"/>
      <c r="BE176" s="2269"/>
      <c r="BF176" s="2269"/>
      <c r="BG176" s="2269"/>
      <c r="BH176" s="2269"/>
      <c r="BI176" s="2269"/>
      <c r="BJ176" s="2269"/>
      <c r="BK176" s="2269"/>
      <c r="BL176" s="2269"/>
      <c r="BM176" s="2269"/>
      <c r="BN176" s="2269"/>
      <c r="BO176" s="2269"/>
      <c r="BP176" s="2269"/>
      <c r="BQ176" s="2269"/>
      <c r="BR176" s="2269"/>
      <c r="BS176" s="2269"/>
      <c r="BT176" s="2269"/>
      <c r="BU176" s="2269"/>
      <c r="BV176" s="2269"/>
      <c r="BW176" s="2269"/>
      <c r="BX176" s="2269"/>
      <c r="BY176" s="2269"/>
      <c r="BZ176" s="2269"/>
      <c r="CA176" s="2269"/>
    </row>
    <row r="177" spans="1:79">
      <c r="A177" s="2269"/>
      <c r="B177" s="2269"/>
      <c r="C177" s="2269"/>
      <c r="D177" s="2269"/>
      <c r="E177" s="2269"/>
      <c r="F177" s="2269"/>
      <c r="G177" s="2269"/>
      <c r="H177" s="2269"/>
      <c r="I177" s="2269"/>
      <c r="J177" s="2269"/>
      <c r="K177" s="2269"/>
      <c r="L177" s="2269"/>
      <c r="M177" s="2269"/>
      <c r="N177" s="2269"/>
      <c r="O177" s="2269"/>
      <c r="P177" s="2269"/>
      <c r="Q177" s="2269"/>
      <c r="R177" s="2269"/>
      <c r="S177" s="2269"/>
      <c r="T177" s="2269"/>
      <c r="U177" s="2269"/>
      <c r="V177" s="2269"/>
      <c r="W177" s="2269"/>
      <c r="X177" s="2269"/>
      <c r="Y177" s="2269"/>
      <c r="Z177" s="2269"/>
      <c r="AA177" s="2269"/>
      <c r="AB177" s="2269"/>
      <c r="AC177" s="2269"/>
      <c r="AD177" s="2269"/>
      <c r="AE177" s="2269"/>
      <c r="AF177" s="2269"/>
      <c r="AG177" s="2269"/>
      <c r="AH177" s="2269"/>
      <c r="AI177" s="2269"/>
      <c r="AJ177" s="2269"/>
      <c r="AK177" s="2269"/>
      <c r="AL177" s="2269"/>
      <c r="AM177" s="2269"/>
      <c r="AN177" s="2269"/>
      <c r="AO177" s="2269"/>
      <c r="AP177" s="2269"/>
      <c r="AQ177" s="2269"/>
      <c r="AR177" s="2269"/>
      <c r="AS177" s="2269"/>
      <c r="AT177" s="2269"/>
      <c r="AU177" s="2269"/>
      <c r="AV177" s="2269"/>
      <c r="AW177" s="2269"/>
      <c r="AX177" s="2269"/>
      <c r="AY177" s="2269"/>
      <c r="AZ177" s="2269"/>
      <c r="BA177" s="2269"/>
      <c r="BB177" s="2269"/>
      <c r="BC177" s="2269"/>
      <c r="BD177" s="2269"/>
      <c r="BE177" s="2269"/>
      <c r="BF177" s="2269"/>
      <c r="BG177" s="2269"/>
      <c r="BH177" s="2269"/>
      <c r="BI177" s="2269"/>
      <c r="BJ177" s="2269"/>
      <c r="BK177" s="2269"/>
      <c r="BL177" s="2269"/>
      <c r="BM177" s="2269"/>
      <c r="BN177" s="2269"/>
      <c r="BO177" s="2269"/>
      <c r="BP177" s="2269"/>
      <c r="BQ177" s="2269"/>
      <c r="BR177" s="2269"/>
      <c r="BS177" s="2269"/>
      <c r="BT177" s="2269"/>
      <c r="BU177" s="2269"/>
      <c r="BV177" s="2269"/>
      <c r="BW177" s="2269"/>
      <c r="BX177" s="2269"/>
      <c r="BY177" s="2269"/>
      <c r="BZ177" s="2269"/>
      <c r="CA177" s="2269"/>
    </row>
    <row r="178" spans="1:79">
      <c r="A178" s="2269"/>
      <c r="B178" s="2269"/>
      <c r="C178" s="2269"/>
      <c r="D178" s="2269"/>
      <c r="E178" s="2269"/>
      <c r="F178" s="2269"/>
      <c r="G178" s="2269"/>
      <c r="H178" s="2269"/>
      <c r="I178" s="2269"/>
      <c r="J178" s="2269"/>
      <c r="K178" s="2269"/>
      <c r="L178" s="2269"/>
      <c r="M178" s="2269"/>
      <c r="N178" s="2269"/>
      <c r="O178" s="2269"/>
      <c r="P178" s="2269"/>
      <c r="Q178" s="2269"/>
      <c r="R178" s="2269"/>
      <c r="S178" s="2269"/>
      <c r="T178" s="2269"/>
      <c r="U178" s="2269"/>
      <c r="V178" s="2269"/>
      <c r="W178" s="2269"/>
      <c r="X178" s="2269"/>
      <c r="Y178" s="2269"/>
      <c r="Z178" s="2269"/>
      <c r="AA178" s="2269"/>
      <c r="AB178" s="2269"/>
      <c r="AC178" s="2269"/>
      <c r="AD178" s="2269"/>
      <c r="AE178" s="2269"/>
      <c r="AF178" s="2269"/>
      <c r="AG178" s="2269"/>
      <c r="AH178" s="2269"/>
      <c r="AI178" s="2269"/>
      <c r="AJ178" s="2269"/>
      <c r="AK178" s="2269"/>
      <c r="AL178" s="2269"/>
      <c r="AM178" s="2269"/>
      <c r="AN178" s="2269"/>
      <c r="AO178" s="2269"/>
      <c r="AP178" s="2269"/>
      <c r="AQ178" s="2269"/>
      <c r="AR178" s="2269"/>
      <c r="AS178" s="2269"/>
      <c r="AT178" s="2269"/>
      <c r="AU178" s="2269"/>
      <c r="AV178" s="2269"/>
      <c r="AW178" s="2269"/>
      <c r="AX178" s="2269"/>
      <c r="AY178" s="2269"/>
      <c r="AZ178" s="2269"/>
      <c r="BA178" s="2269"/>
      <c r="BB178" s="2269"/>
      <c r="BC178" s="2269"/>
      <c r="BD178" s="2269"/>
      <c r="BE178" s="2269"/>
      <c r="BF178" s="2269"/>
      <c r="BG178" s="2269"/>
      <c r="BH178" s="2269"/>
      <c r="BI178" s="2269"/>
      <c r="BJ178" s="2269"/>
      <c r="BK178" s="2269"/>
      <c r="BL178" s="2269"/>
      <c r="BM178" s="2269"/>
      <c r="BN178" s="2269"/>
      <c r="BO178" s="2269"/>
      <c r="BP178" s="2269"/>
      <c r="BQ178" s="2269"/>
      <c r="BR178" s="2269"/>
      <c r="BS178" s="2269"/>
      <c r="BT178" s="2269"/>
      <c r="BU178" s="2269"/>
      <c r="BV178" s="2269"/>
      <c r="BW178" s="2269"/>
      <c r="BX178" s="2269"/>
      <c r="BY178" s="2269"/>
      <c r="BZ178" s="2269"/>
      <c r="CA178" s="2269"/>
    </row>
    <row r="179" spans="1:79">
      <c r="A179" s="2269"/>
      <c r="B179" s="2269"/>
      <c r="C179" s="2269"/>
      <c r="D179" s="2269"/>
      <c r="E179" s="2269"/>
      <c r="F179" s="2269"/>
      <c r="G179" s="2269"/>
      <c r="H179" s="2269"/>
      <c r="I179" s="2269"/>
      <c r="J179" s="2269"/>
      <c r="K179" s="2269"/>
      <c r="L179" s="2269"/>
      <c r="M179" s="2269"/>
      <c r="N179" s="2269"/>
      <c r="O179" s="2269"/>
      <c r="P179" s="2269"/>
      <c r="Q179" s="2269"/>
      <c r="R179" s="2269"/>
      <c r="S179" s="2269"/>
      <c r="T179" s="2269"/>
      <c r="U179" s="2269"/>
      <c r="V179" s="2269"/>
      <c r="W179" s="2269"/>
      <c r="X179" s="2269"/>
      <c r="Y179" s="2269"/>
      <c r="Z179" s="2269"/>
      <c r="AA179" s="2269"/>
      <c r="AB179" s="2269"/>
      <c r="AC179" s="2269"/>
      <c r="AD179" s="2269"/>
      <c r="AE179" s="2269"/>
      <c r="AF179" s="2269"/>
      <c r="AG179" s="2269"/>
      <c r="AH179" s="2269"/>
      <c r="AI179" s="2269"/>
      <c r="AJ179" s="2269"/>
      <c r="AK179" s="2269"/>
      <c r="AL179" s="2269"/>
      <c r="AM179" s="2269"/>
      <c r="AN179" s="2269"/>
      <c r="AO179" s="2269"/>
      <c r="AP179" s="2269"/>
      <c r="AQ179" s="2269"/>
      <c r="AR179" s="2269"/>
      <c r="AS179" s="2269"/>
      <c r="AT179" s="2269"/>
      <c r="AU179" s="2269"/>
      <c r="AV179" s="2269"/>
      <c r="AW179" s="2269"/>
      <c r="AX179" s="2269"/>
      <c r="AY179" s="2269"/>
      <c r="AZ179" s="2269"/>
      <c r="BA179" s="2269"/>
      <c r="BB179" s="2269"/>
      <c r="BC179" s="2269"/>
      <c r="BD179" s="2269"/>
      <c r="BE179" s="2269"/>
      <c r="BF179" s="2269"/>
      <c r="BG179" s="2269"/>
      <c r="BH179" s="2269"/>
      <c r="BI179" s="2269"/>
      <c r="BJ179" s="2269"/>
      <c r="BK179" s="2269"/>
      <c r="BL179" s="2269"/>
      <c r="BM179" s="2269"/>
      <c r="BN179" s="2269"/>
      <c r="BO179" s="2269"/>
      <c r="BP179" s="2269"/>
      <c r="BQ179" s="2269"/>
      <c r="BR179" s="2269"/>
      <c r="BS179" s="2269"/>
      <c r="BT179" s="2269"/>
      <c r="BU179" s="2269"/>
      <c r="BV179" s="2269"/>
      <c r="BW179" s="2269"/>
      <c r="BX179" s="2269"/>
      <c r="BY179" s="2269"/>
      <c r="BZ179" s="2269"/>
      <c r="CA179" s="2269"/>
    </row>
    <row r="180" spans="1:79">
      <c r="A180" s="2269"/>
      <c r="B180" s="2269"/>
      <c r="C180" s="2269"/>
      <c r="D180" s="2269"/>
      <c r="E180" s="2269"/>
      <c r="F180" s="2269"/>
      <c r="G180" s="2269"/>
      <c r="H180" s="2269"/>
      <c r="I180" s="2269"/>
      <c r="J180" s="2269"/>
      <c r="K180" s="2269"/>
      <c r="L180" s="2269"/>
      <c r="M180" s="2269"/>
      <c r="N180" s="2269"/>
      <c r="O180" s="2269"/>
      <c r="P180" s="2269"/>
      <c r="Q180" s="2269"/>
      <c r="R180" s="2269"/>
      <c r="S180" s="2269"/>
      <c r="T180" s="2269"/>
      <c r="U180" s="2269"/>
      <c r="V180" s="2269"/>
      <c r="W180" s="2269"/>
      <c r="X180" s="2269"/>
      <c r="Y180" s="2269"/>
      <c r="Z180" s="2269"/>
      <c r="AA180" s="2269"/>
      <c r="AB180" s="2269"/>
      <c r="AC180" s="2269"/>
      <c r="AD180" s="2269"/>
      <c r="AE180" s="2269"/>
      <c r="AF180" s="2269"/>
      <c r="AG180" s="2269"/>
      <c r="AH180" s="2269"/>
      <c r="AI180" s="2269"/>
      <c r="AJ180" s="2269"/>
      <c r="AK180" s="2269"/>
      <c r="AL180" s="2269"/>
      <c r="AM180" s="2269"/>
      <c r="AN180" s="2269"/>
      <c r="AO180" s="2269"/>
      <c r="AP180" s="2269"/>
      <c r="AQ180" s="2269"/>
      <c r="AR180" s="2269"/>
      <c r="AS180" s="2269"/>
      <c r="AT180" s="2269"/>
      <c r="AU180" s="2269"/>
      <c r="AV180" s="2269"/>
      <c r="AW180" s="2269"/>
      <c r="AX180" s="2269"/>
      <c r="AY180" s="2269"/>
      <c r="AZ180" s="2269"/>
      <c r="BA180" s="2269"/>
      <c r="BB180" s="2269"/>
      <c r="BC180" s="2269"/>
      <c r="BD180" s="2269"/>
      <c r="BE180" s="2269"/>
      <c r="BF180" s="2269"/>
      <c r="BG180" s="2269"/>
      <c r="BH180" s="2269"/>
      <c r="BI180" s="2269"/>
      <c r="BJ180" s="2269"/>
      <c r="BK180" s="2269"/>
      <c r="BL180" s="2269"/>
      <c r="BM180" s="2269"/>
      <c r="BN180" s="2269"/>
      <c r="BO180" s="2269"/>
      <c r="BP180" s="2269"/>
      <c r="BQ180" s="2269"/>
      <c r="BR180" s="2269"/>
      <c r="BS180" s="2269"/>
      <c r="BT180" s="2269"/>
      <c r="BU180" s="2269"/>
      <c r="BV180" s="2269"/>
      <c r="BW180" s="2269"/>
      <c r="BX180" s="2269"/>
      <c r="BY180" s="2269"/>
      <c r="BZ180" s="2269"/>
      <c r="CA180" s="2269"/>
    </row>
    <row r="181" spans="1:79">
      <c r="A181" s="2269"/>
      <c r="B181" s="2269"/>
      <c r="C181" s="2269"/>
      <c r="D181" s="2269"/>
      <c r="E181" s="2269"/>
      <c r="F181" s="2269"/>
      <c r="G181" s="2269"/>
      <c r="H181" s="2269"/>
      <c r="I181" s="2269"/>
      <c r="J181" s="2269"/>
      <c r="K181" s="2269"/>
      <c r="L181" s="2269"/>
      <c r="M181" s="2269"/>
      <c r="N181" s="2269"/>
      <c r="O181" s="2269"/>
      <c r="P181" s="2269"/>
      <c r="Q181" s="2269"/>
      <c r="R181" s="2269"/>
      <c r="S181" s="2269"/>
      <c r="T181" s="2269"/>
      <c r="U181" s="2269"/>
      <c r="V181" s="2269"/>
      <c r="W181" s="2269"/>
      <c r="X181" s="2269"/>
      <c r="Y181" s="2269"/>
      <c r="Z181" s="2269"/>
      <c r="AA181" s="2269"/>
      <c r="AB181" s="2269"/>
      <c r="AC181" s="2269"/>
      <c r="AD181" s="2269"/>
      <c r="AE181" s="2269"/>
      <c r="AF181" s="2269"/>
      <c r="AG181" s="2269"/>
      <c r="AH181" s="2269"/>
      <c r="AI181" s="2269"/>
      <c r="AJ181" s="2269"/>
      <c r="AK181" s="2269"/>
      <c r="AL181" s="2269"/>
      <c r="AM181" s="2269"/>
      <c r="AN181" s="2269"/>
      <c r="AO181" s="2269"/>
      <c r="AP181" s="2269"/>
      <c r="AQ181" s="2269"/>
      <c r="AR181" s="2269"/>
      <c r="AS181" s="2269"/>
      <c r="AT181" s="2269"/>
      <c r="AU181" s="2269"/>
      <c r="AV181" s="2269"/>
      <c r="AW181" s="2269"/>
      <c r="AX181" s="2269"/>
      <c r="AY181" s="2269"/>
      <c r="AZ181" s="2269"/>
      <c r="BA181" s="2269"/>
      <c r="BB181" s="2269"/>
      <c r="BC181" s="2269"/>
      <c r="BD181" s="2269"/>
      <c r="BE181" s="2269"/>
      <c r="BF181" s="2269"/>
      <c r="BG181" s="2269"/>
      <c r="BH181" s="2269"/>
      <c r="BI181" s="2269"/>
      <c r="BJ181" s="2269"/>
      <c r="BK181" s="2269"/>
      <c r="BL181" s="2269"/>
      <c r="BM181" s="2269"/>
      <c r="BN181" s="2269"/>
      <c r="BO181" s="2269"/>
      <c r="BP181" s="2269"/>
      <c r="BQ181" s="2269"/>
      <c r="BR181" s="2269"/>
      <c r="BS181" s="2269"/>
      <c r="BT181" s="2269"/>
      <c r="BU181" s="2269"/>
      <c r="BV181" s="2269"/>
      <c r="BW181" s="2269"/>
      <c r="BX181" s="2269"/>
      <c r="BY181" s="2269"/>
      <c r="BZ181" s="2269"/>
      <c r="CA181" s="2269"/>
    </row>
    <row r="182" spans="1:79">
      <c r="A182" s="2269"/>
      <c r="B182" s="2269"/>
      <c r="C182" s="2269"/>
      <c r="D182" s="2269"/>
      <c r="E182" s="2269"/>
      <c r="F182" s="2269"/>
      <c r="G182" s="2269"/>
      <c r="H182" s="2269"/>
      <c r="I182" s="2269"/>
      <c r="J182" s="2269"/>
      <c r="K182" s="2269"/>
      <c r="L182" s="2269"/>
      <c r="M182" s="2269"/>
      <c r="N182" s="2269"/>
      <c r="O182" s="2269"/>
      <c r="P182" s="2269"/>
      <c r="Q182" s="2269"/>
      <c r="R182" s="2269"/>
      <c r="S182" s="2269"/>
      <c r="T182" s="2269"/>
      <c r="U182" s="2269"/>
      <c r="V182" s="2269"/>
      <c r="W182" s="2269"/>
      <c r="X182" s="2269"/>
      <c r="Y182" s="2269"/>
      <c r="Z182" s="2269"/>
      <c r="AA182" s="2269"/>
      <c r="AB182" s="2269"/>
      <c r="AC182" s="2269"/>
      <c r="AD182" s="2269"/>
      <c r="AE182" s="2269"/>
      <c r="AF182" s="2269"/>
      <c r="AG182" s="2269"/>
      <c r="AH182" s="2269"/>
      <c r="AI182" s="2269"/>
      <c r="AJ182" s="2269"/>
      <c r="AK182" s="2269"/>
      <c r="AL182" s="2269"/>
      <c r="AM182" s="2269"/>
      <c r="AN182" s="2269"/>
      <c r="AO182" s="2269"/>
      <c r="AP182" s="2269"/>
      <c r="AQ182" s="2269"/>
      <c r="AR182" s="2269"/>
      <c r="AS182" s="2269"/>
      <c r="AT182" s="2269"/>
      <c r="AU182" s="2269"/>
      <c r="AV182" s="2269"/>
      <c r="AW182" s="2269"/>
      <c r="AX182" s="2269"/>
      <c r="AY182" s="2269"/>
      <c r="AZ182" s="2269"/>
      <c r="BA182" s="2269"/>
      <c r="BB182" s="2269"/>
      <c r="BC182" s="2269"/>
      <c r="BD182" s="2269"/>
      <c r="BE182" s="2269"/>
      <c r="BF182" s="2269"/>
      <c r="BG182" s="2269"/>
      <c r="BH182" s="2269"/>
      <c r="BI182" s="2269"/>
      <c r="BJ182" s="2269"/>
      <c r="BK182" s="2269"/>
      <c r="BL182" s="2269"/>
      <c r="BM182" s="2269"/>
      <c r="BN182" s="2269"/>
      <c r="BO182" s="2269"/>
      <c r="BP182" s="2269"/>
      <c r="BQ182" s="2269"/>
      <c r="BR182" s="2269"/>
      <c r="BS182" s="2269"/>
      <c r="BT182" s="2269"/>
      <c r="BU182" s="2269"/>
      <c r="BV182" s="2269"/>
      <c r="BW182" s="2269"/>
      <c r="BX182" s="2269"/>
      <c r="BY182" s="2269"/>
      <c r="BZ182" s="2269"/>
      <c r="CA182" s="2269"/>
    </row>
    <row r="183" spans="1:79">
      <c r="A183" s="2269"/>
      <c r="B183" s="2269"/>
      <c r="C183" s="2269"/>
      <c r="D183" s="2269"/>
      <c r="E183" s="2269"/>
      <c r="F183" s="2269"/>
      <c r="G183" s="2269"/>
      <c r="H183" s="2269"/>
      <c r="I183" s="2269"/>
      <c r="J183" s="2269"/>
      <c r="K183" s="2269"/>
      <c r="L183" s="2269"/>
      <c r="M183" s="2269"/>
      <c r="N183" s="2269"/>
      <c r="O183" s="2269"/>
      <c r="P183" s="2269"/>
      <c r="Q183" s="2269"/>
      <c r="R183" s="2269"/>
      <c r="S183" s="2269"/>
      <c r="T183" s="2269"/>
      <c r="U183" s="2269"/>
      <c r="V183" s="2269"/>
      <c r="W183" s="2269"/>
      <c r="X183" s="2269"/>
      <c r="Y183" s="2269"/>
      <c r="Z183" s="2269"/>
      <c r="AA183" s="2269"/>
      <c r="AB183" s="2269"/>
      <c r="AC183" s="2269"/>
      <c r="AD183" s="2269"/>
      <c r="AE183" s="2269"/>
      <c r="AF183" s="2269"/>
      <c r="AG183" s="2269"/>
      <c r="AH183" s="2269"/>
      <c r="AI183" s="2269"/>
      <c r="AJ183" s="2269"/>
      <c r="AK183" s="2269"/>
      <c r="AL183" s="2269"/>
      <c r="AM183" s="2269"/>
      <c r="AN183" s="2269"/>
      <c r="AO183" s="2269"/>
      <c r="AP183" s="2269"/>
      <c r="AQ183" s="2269"/>
      <c r="AR183" s="2269"/>
      <c r="AS183" s="2269"/>
      <c r="AT183" s="2269"/>
      <c r="AU183" s="2269"/>
      <c r="AV183" s="2269"/>
      <c r="AW183" s="2269"/>
      <c r="AX183" s="2269"/>
      <c r="AY183" s="2269"/>
      <c r="AZ183" s="2269"/>
      <c r="BA183" s="2269"/>
      <c r="BB183" s="2269"/>
      <c r="BC183" s="2269"/>
      <c r="BD183" s="2269"/>
      <c r="BE183" s="2269"/>
      <c r="BF183" s="2269"/>
      <c r="BG183" s="2269"/>
      <c r="BH183" s="2269"/>
      <c r="BI183" s="2269"/>
      <c r="BJ183" s="2269"/>
      <c r="BK183" s="2269"/>
      <c r="BL183" s="2269"/>
      <c r="BM183" s="2269"/>
      <c r="BN183" s="2269"/>
      <c r="BO183" s="2269"/>
      <c r="BP183" s="2269"/>
      <c r="BQ183" s="2269"/>
      <c r="BR183" s="2269"/>
      <c r="BS183" s="2269"/>
      <c r="BT183" s="2269"/>
      <c r="BU183" s="2269"/>
      <c r="BV183" s="2269"/>
      <c r="BW183" s="2269"/>
      <c r="BX183" s="2269"/>
      <c r="BY183" s="2269"/>
      <c r="BZ183" s="2269"/>
      <c r="CA183" s="2269"/>
    </row>
    <row r="184" spans="1:79">
      <c r="A184" s="2269"/>
      <c r="B184" s="2269"/>
      <c r="C184" s="2269"/>
      <c r="D184" s="2269"/>
      <c r="E184" s="2269"/>
      <c r="F184" s="2269"/>
      <c r="G184" s="2269"/>
      <c r="H184" s="2269"/>
      <c r="I184" s="2269"/>
      <c r="J184" s="2269"/>
      <c r="K184" s="2269"/>
      <c r="L184" s="2269"/>
      <c r="M184" s="2269"/>
      <c r="N184" s="2269"/>
      <c r="O184" s="2269"/>
      <c r="P184" s="2269"/>
      <c r="Q184" s="2269"/>
      <c r="R184" s="2269"/>
      <c r="S184" s="2269"/>
      <c r="T184" s="2269"/>
      <c r="U184" s="2269"/>
      <c r="V184" s="2269"/>
      <c r="W184" s="2269"/>
      <c r="X184" s="2269"/>
      <c r="Y184" s="2269"/>
      <c r="Z184" s="2269"/>
      <c r="AA184" s="2269"/>
      <c r="AB184" s="2269"/>
      <c r="AC184" s="2269"/>
      <c r="AD184" s="2269"/>
      <c r="AE184" s="2269"/>
      <c r="AF184" s="2269"/>
      <c r="AG184" s="2269"/>
      <c r="AH184" s="2269"/>
      <c r="AI184" s="2269"/>
      <c r="AJ184" s="2269"/>
      <c r="AK184" s="2269"/>
      <c r="AL184" s="2269"/>
      <c r="AM184" s="2269"/>
      <c r="AN184" s="2269"/>
      <c r="AO184" s="2269"/>
      <c r="AP184" s="2269"/>
      <c r="AQ184" s="2269"/>
      <c r="AR184" s="2269"/>
      <c r="AS184" s="2269"/>
      <c r="AT184" s="2269"/>
      <c r="AU184" s="2269"/>
      <c r="AV184" s="2269"/>
      <c r="AW184" s="2269"/>
      <c r="AX184" s="2269"/>
      <c r="AY184" s="2269"/>
      <c r="AZ184" s="2269"/>
      <c r="BA184" s="2269"/>
      <c r="BB184" s="2269"/>
      <c r="BC184" s="2269"/>
      <c r="BD184" s="2269"/>
      <c r="BE184" s="2269"/>
      <c r="BF184" s="2269"/>
      <c r="BG184" s="2269"/>
      <c r="BH184" s="2269"/>
      <c r="BI184" s="2269"/>
      <c r="BJ184" s="2269"/>
      <c r="BK184" s="2269"/>
      <c r="BL184" s="2269"/>
      <c r="BM184" s="2269"/>
      <c r="BN184" s="2269"/>
      <c r="BO184" s="2269"/>
      <c r="BP184" s="2269"/>
      <c r="BQ184" s="2269"/>
      <c r="BR184" s="2269"/>
      <c r="BS184" s="2269"/>
      <c r="BT184" s="2269"/>
      <c r="BU184" s="2269"/>
      <c r="BV184" s="2269"/>
      <c r="BW184" s="2269"/>
      <c r="BX184" s="2269"/>
      <c r="BY184" s="2269"/>
      <c r="BZ184" s="2269"/>
      <c r="CA184" s="2269"/>
    </row>
    <row r="185" spans="1:79">
      <c r="A185" s="2269"/>
      <c r="B185" s="2269"/>
      <c r="C185" s="2269"/>
      <c r="D185" s="2269"/>
      <c r="E185" s="2269"/>
      <c r="F185" s="2269"/>
      <c r="G185" s="2269"/>
      <c r="H185" s="2269"/>
      <c r="I185" s="2269"/>
      <c r="J185" s="2269"/>
      <c r="K185" s="2269"/>
      <c r="L185" s="2269"/>
      <c r="M185" s="2269"/>
      <c r="N185" s="2269"/>
      <c r="O185" s="2269"/>
      <c r="P185" s="2269"/>
      <c r="Q185" s="2269"/>
      <c r="R185" s="2269"/>
      <c r="S185" s="2269"/>
      <c r="T185" s="2269"/>
      <c r="U185" s="2269"/>
      <c r="V185" s="2269"/>
      <c r="W185" s="2269"/>
      <c r="X185" s="2269"/>
      <c r="Y185" s="2269"/>
      <c r="Z185" s="2269"/>
      <c r="AA185" s="2269"/>
      <c r="AB185" s="2269"/>
      <c r="AC185" s="2269"/>
      <c r="AD185" s="2269"/>
      <c r="AE185" s="2269"/>
      <c r="AF185" s="2269"/>
      <c r="AG185" s="2269"/>
      <c r="AH185" s="2269"/>
      <c r="AI185" s="2269"/>
      <c r="AJ185" s="2269"/>
      <c r="AK185" s="2269"/>
      <c r="AL185" s="2269"/>
      <c r="AM185" s="2269"/>
      <c r="AN185" s="2269"/>
      <c r="AO185" s="2269"/>
      <c r="AP185" s="2269"/>
      <c r="AQ185" s="2269"/>
      <c r="AR185" s="2269"/>
      <c r="AS185" s="2269"/>
      <c r="AT185" s="2269"/>
      <c r="AU185" s="2269"/>
      <c r="AV185" s="2269"/>
      <c r="AW185" s="2269"/>
      <c r="AX185" s="2269"/>
      <c r="AY185" s="2269"/>
      <c r="AZ185" s="2269"/>
      <c r="BA185" s="2269"/>
      <c r="BB185" s="2269"/>
      <c r="BC185" s="2269"/>
      <c r="BD185" s="2269"/>
      <c r="BE185" s="2269"/>
      <c r="BF185" s="2269"/>
      <c r="BG185" s="2269"/>
      <c r="BH185" s="2269"/>
      <c r="BI185" s="2269"/>
      <c r="BJ185" s="2269"/>
      <c r="BK185" s="2269"/>
      <c r="BL185" s="2269"/>
      <c r="BM185" s="2269"/>
      <c r="BN185" s="2269"/>
      <c r="BO185" s="2269"/>
      <c r="BP185" s="2269"/>
      <c r="BQ185" s="2269"/>
      <c r="BR185" s="2269"/>
      <c r="BS185" s="2269"/>
      <c r="BT185" s="2269"/>
      <c r="BU185" s="2269"/>
      <c r="BV185" s="2269"/>
      <c r="BW185" s="2269"/>
      <c r="BX185" s="2269"/>
      <c r="BY185" s="2269"/>
      <c r="BZ185" s="2269"/>
      <c r="CA185" s="2269"/>
    </row>
    <row r="186" spans="1:79">
      <c r="A186" s="2269"/>
      <c r="B186" s="2269"/>
      <c r="C186" s="2269"/>
      <c r="D186" s="2269"/>
      <c r="E186" s="2269"/>
      <c r="F186" s="2269"/>
      <c r="G186" s="2269"/>
      <c r="H186" s="2269"/>
      <c r="I186" s="2269"/>
      <c r="J186" s="2269"/>
      <c r="K186" s="2269"/>
      <c r="L186" s="2269"/>
      <c r="M186" s="2269"/>
      <c r="N186" s="2269"/>
      <c r="O186" s="2269"/>
      <c r="P186" s="2269"/>
      <c r="Q186" s="2269"/>
      <c r="R186" s="2269"/>
      <c r="S186" s="2269"/>
      <c r="T186" s="2269"/>
      <c r="U186" s="2269"/>
      <c r="V186" s="2269"/>
      <c r="W186" s="2269"/>
      <c r="X186" s="2269"/>
      <c r="Y186" s="2269"/>
      <c r="Z186" s="2269"/>
      <c r="AA186" s="2269"/>
      <c r="AB186" s="2269"/>
      <c r="AC186" s="2269"/>
      <c r="AD186" s="2269"/>
      <c r="AE186" s="2269"/>
      <c r="AF186" s="2269"/>
      <c r="AG186" s="2269"/>
      <c r="AH186" s="2269"/>
      <c r="AI186" s="2269"/>
      <c r="AJ186" s="2269"/>
      <c r="AK186" s="2269"/>
      <c r="AL186" s="2269"/>
      <c r="AM186" s="2269"/>
      <c r="AN186" s="2269"/>
      <c r="AO186" s="2269"/>
      <c r="AP186" s="2269"/>
      <c r="AQ186" s="2269"/>
      <c r="AR186" s="2269"/>
      <c r="AS186" s="2269"/>
      <c r="AT186" s="2269"/>
      <c r="AU186" s="2269"/>
      <c r="AV186" s="2269"/>
      <c r="AW186" s="2269"/>
      <c r="AX186" s="2269"/>
      <c r="AY186" s="2269"/>
      <c r="AZ186" s="2269"/>
      <c r="BA186" s="2269"/>
      <c r="BB186" s="2269"/>
      <c r="BC186" s="2269"/>
      <c r="BD186" s="2269"/>
      <c r="BE186" s="2269"/>
      <c r="BF186" s="2269"/>
      <c r="BG186" s="2269"/>
      <c r="BH186" s="2269"/>
      <c r="BI186" s="2269"/>
      <c r="BJ186" s="2269"/>
      <c r="BK186" s="2269"/>
      <c r="BL186" s="2269"/>
      <c r="BM186" s="2269"/>
      <c r="BN186" s="2269"/>
      <c r="BO186" s="2269"/>
      <c r="BP186" s="2269"/>
      <c r="BQ186" s="2269"/>
      <c r="BR186" s="2269"/>
      <c r="BS186" s="2269"/>
      <c r="BT186" s="2269"/>
      <c r="BU186" s="2269"/>
      <c r="BV186" s="2269"/>
      <c r="BW186" s="2269"/>
      <c r="BX186" s="2269"/>
      <c r="BY186" s="2269"/>
      <c r="BZ186" s="2269"/>
      <c r="CA186" s="2269"/>
    </row>
    <row r="187" spans="1:79">
      <c r="A187" s="2269"/>
      <c r="B187" s="2269"/>
      <c r="C187" s="2269"/>
      <c r="D187" s="2269"/>
      <c r="E187" s="2269"/>
      <c r="F187" s="2269"/>
      <c r="G187" s="2269"/>
      <c r="H187" s="2269"/>
      <c r="I187" s="2269"/>
      <c r="J187" s="2269"/>
      <c r="K187" s="2269"/>
      <c r="L187" s="2269"/>
      <c r="M187" s="2269"/>
      <c r="N187" s="2269"/>
      <c r="O187" s="2269"/>
      <c r="P187" s="2269"/>
      <c r="Q187" s="2269"/>
      <c r="R187" s="2269"/>
      <c r="S187" s="2269"/>
      <c r="T187" s="2269"/>
      <c r="U187" s="2269"/>
      <c r="V187" s="2269"/>
      <c r="W187" s="2269"/>
      <c r="X187" s="2269"/>
      <c r="Y187" s="2269"/>
      <c r="Z187" s="2269"/>
      <c r="AA187" s="2269"/>
      <c r="AB187" s="2269"/>
      <c r="AC187" s="2269"/>
      <c r="AD187" s="2269"/>
      <c r="AE187" s="2269"/>
      <c r="AF187" s="2269"/>
      <c r="AG187" s="2269"/>
      <c r="AH187" s="2269"/>
      <c r="AI187" s="2269"/>
      <c r="AJ187" s="2269"/>
      <c r="AK187" s="2269"/>
      <c r="AL187" s="2269"/>
      <c r="AM187" s="2269"/>
      <c r="AN187" s="2269"/>
      <c r="AO187" s="2269"/>
      <c r="AP187" s="2269"/>
      <c r="AQ187" s="2269"/>
      <c r="AR187" s="2269"/>
      <c r="AS187" s="2269"/>
      <c r="AT187" s="2269"/>
      <c r="AU187" s="2269"/>
      <c r="AV187" s="2269"/>
      <c r="AW187" s="2269"/>
      <c r="AX187" s="2269"/>
      <c r="AY187" s="2269"/>
      <c r="AZ187" s="2269"/>
      <c r="BA187" s="2269"/>
      <c r="BB187" s="2269"/>
      <c r="BC187" s="2269"/>
      <c r="BD187" s="2269"/>
      <c r="BE187" s="2269"/>
      <c r="BF187" s="2269"/>
      <c r="BG187" s="2269"/>
      <c r="BH187" s="2269"/>
      <c r="BI187" s="2269"/>
      <c r="BJ187" s="2269"/>
      <c r="BK187" s="2269"/>
      <c r="BL187" s="2269"/>
      <c r="BM187" s="2269"/>
      <c r="BN187" s="2269"/>
      <c r="BO187" s="2269"/>
      <c r="BP187" s="2269"/>
      <c r="BQ187" s="2269"/>
      <c r="BR187" s="2269"/>
      <c r="BS187" s="2269"/>
      <c r="BT187" s="2269"/>
      <c r="BU187" s="2269"/>
      <c r="BV187" s="2269"/>
      <c r="BW187" s="2269"/>
      <c r="BX187" s="2269"/>
      <c r="BY187" s="2269"/>
      <c r="BZ187" s="2269"/>
      <c r="CA187" s="2269"/>
    </row>
    <row r="188" spans="1:79">
      <c r="A188" s="2269"/>
      <c r="B188" s="2269"/>
      <c r="C188" s="2269"/>
      <c r="D188" s="2269"/>
      <c r="E188" s="2269"/>
      <c r="F188" s="2269"/>
      <c r="G188" s="2269"/>
      <c r="H188" s="2269"/>
      <c r="I188" s="2269"/>
      <c r="J188" s="2269"/>
      <c r="K188" s="2269"/>
      <c r="L188" s="2269"/>
      <c r="M188" s="2269"/>
      <c r="N188" s="2269"/>
      <c r="O188" s="2269"/>
      <c r="P188" s="2269"/>
      <c r="Q188" s="2269"/>
      <c r="R188" s="2269"/>
      <c r="S188" s="2269"/>
      <c r="T188" s="2269"/>
      <c r="U188" s="2269"/>
      <c r="V188" s="2269"/>
      <c r="W188" s="2269"/>
      <c r="X188" s="2269"/>
      <c r="Y188" s="2269"/>
      <c r="Z188" s="2269"/>
      <c r="AA188" s="2269"/>
      <c r="AB188" s="2269"/>
      <c r="AC188" s="2269"/>
      <c r="AD188" s="2269"/>
      <c r="AE188" s="2269"/>
      <c r="AF188" s="2269"/>
      <c r="AG188" s="2269"/>
      <c r="AH188" s="2269"/>
      <c r="AI188" s="2269"/>
      <c r="AJ188" s="2269"/>
      <c r="AK188" s="2269"/>
      <c r="AL188" s="2269"/>
      <c r="AM188" s="2269"/>
      <c r="AN188" s="2269"/>
      <c r="AO188" s="2269"/>
      <c r="AP188" s="2269"/>
      <c r="AQ188" s="2269"/>
      <c r="AR188" s="2269"/>
      <c r="AS188" s="2269"/>
      <c r="AT188" s="2269"/>
      <c r="AU188" s="2269"/>
      <c r="AV188" s="2269"/>
      <c r="AW188" s="2269"/>
      <c r="AX188" s="2269"/>
      <c r="AY188" s="2269"/>
      <c r="AZ188" s="2269"/>
      <c r="BA188" s="2269"/>
      <c r="BB188" s="2269"/>
      <c r="BC188" s="2269"/>
      <c r="BD188" s="2269"/>
      <c r="BE188" s="2269"/>
      <c r="BF188" s="2269"/>
      <c r="BG188" s="2269"/>
      <c r="BH188" s="2269"/>
      <c r="BI188" s="2269"/>
      <c r="BJ188" s="2269"/>
      <c r="BK188" s="2269"/>
      <c r="BL188" s="2269"/>
      <c r="BM188" s="2269"/>
      <c r="BN188" s="2269"/>
      <c r="BO188" s="2269"/>
      <c r="BP188" s="2269"/>
      <c r="BQ188" s="2269"/>
      <c r="BR188" s="2269"/>
      <c r="BS188" s="2269"/>
      <c r="BT188" s="2269"/>
      <c r="BU188" s="2269"/>
      <c r="BV188" s="2269"/>
      <c r="BW188" s="2269"/>
      <c r="BX188" s="2269"/>
      <c r="BY188" s="2269"/>
      <c r="BZ188" s="2269"/>
      <c r="CA188" s="2269"/>
    </row>
    <row r="189" spans="1:79">
      <c r="A189" s="2269"/>
      <c r="B189" s="2269"/>
      <c r="C189" s="2269"/>
      <c r="D189" s="2269"/>
      <c r="E189" s="2269"/>
      <c r="F189" s="2269"/>
      <c r="G189" s="2269"/>
      <c r="H189" s="2269"/>
      <c r="I189" s="2269"/>
      <c r="J189" s="2269"/>
      <c r="K189" s="2269"/>
      <c r="L189" s="2269"/>
      <c r="M189" s="2269"/>
      <c r="N189" s="2269"/>
      <c r="O189" s="2269"/>
      <c r="P189" s="2269"/>
      <c r="Q189" s="2269"/>
      <c r="R189" s="2269"/>
      <c r="S189" s="2269"/>
      <c r="T189" s="2269"/>
      <c r="U189" s="2269"/>
      <c r="V189" s="2269"/>
      <c r="W189" s="2269"/>
      <c r="X189" s="2269"/>
      <c r="Y189" s="2269"/>
      <c r="Z189" s="2269"/>
      <c r="AA189" s="2269"/>
      <c r="AB189" s="2269"/>
      <c r="AC189" s="2269"/>
      <c r="AD189" s="2269"/>
      <c r="AE189" s="2269"/>
      <c r="AF189" s="2269"/>
      <c r="AG189" s="2269"/>
      <c r="AH189" s="2269"/>
      <c r="AI189" s="2269"/>
      <c r="AJ189" s="2269"/>
      <c r="AK189" s="2269"/>
      <c r="AL189" s="2269"/>
      <c r="AM189" s="2269"/>
      <c r="AN189" s="2269"/>
      <c r="AO189" s="2269"/>
      <c r="AP189" s="2269"/>
      <c r="AQ189" s="2269"/>
      <c r="AR189" s="2269"/>
      <c r="AS189" s="2269"/>
      <c r="AT189" s="2269"/>
      <c r="AU189" s="2269"/>
      <c r="AV189" s="2269"/>
      <c r="AW189" s="2269"/>
      <c r="AX189" s="2269"/>
      <c r="AY189" s="2269"/>
      <c r="AZ189" s="2269"/>
      <c r="BA189" s="2269"/>
      <c r="BB189" s="2269"/>
      <c r="BC189" s="2269"/>
      <c r="BD189" s="2269"/>
      <c r="BE189" s="2269"/>
      <c r="BF189" s="2269"/>
      <c r="BG189" s="2269"/>
      <c r="BH189" s="2269"/>
      <c r="BI189" s="2269"/>
      <c r="BJ189" s="2269"/>
      <c r="BK189" s="2269"/>
      <c r="BL189" s="2269"/>
      <c r="BM189" s="2269"/>
      <c r="BN189" s="2269"/>
      <c r="BO189" s="2269"/>
      <c r="BP189" s="2269"/>
      <c r="BQ189" s="2269"/>
      <c r="BR189" s="2269"/>
      <c r="BS189" s="2269"/>
      <c r="BT189" s="2269"/>
      <c r="BU189" s="2269"/>
      <c r="BV189" s="2269"/>
      <c r="BW189" s="2269"/>
      <c r="BX189" s="2269"/>
      <c r="BY189" s="2269"/>
      <c r="BZ189" s="2269"/>
      <c r="CA189" s="2269"/>
    </row>
    <row r="190" spans="1:79">
      <c r="A190" s="2269"/>
      <c r="B190" s="2269"/>
      <c r="C190" s="2269"/>
      <c r="D190" s="2269"/>
      <c r="E190" s="2269"/>
      <c r="F190" s="2269"/>
      <c r="G190" s="2269"/>
      <c r="H190" s="2269"/>
      <c r="I190" s="2269"/>
      <c r="J190" s="2269"/>
      <c r="K190" s="2269"/>
      <c r="L190" s="2269"/>
      <c r="M190" s="2269"/>
      <c r="N190" s="2269"/>
      <c r="O190" s="2269"/>
      <c r="P190" s="2269"/>
      <c r="Q190" s="2269"/>
      <c r="R190" s="2269"/>
      <c r="S190" s="2269"/>
      <c r="T190" s="2269"/>
      <c r="U190" s="2269"/>
      <c r="V190" s="2269"/>
      <c r="W190" s="2269"/>
      <c r="X190" s="2269"/>
      <c r="Y190" s="2269"/>
      <c r="Z190" s="2269"/>
      <c r="AA190" s="2269"/>
      <c r="AB190" s="2269"/>
      <c r="AC190" s="2269"/>
      <c r="AD190" s="2269"/>
      <c r="AE190" s="2269"/>
      <c r="AF190" s="2269"/>
      <c r="AG190" s="2269"/>
      <c r="AH190" s="2269"/>
      <c r="AI190" s="2269"/>
      <c r="AJ190" s="2269"/>
      <c r="AK190" s="2269"/>
      <c r="AL190" s="2269"/>
      <c r="AM190" s="2269"/>
      <c r="AN190" s="2269"/>
      <c r="AO190" s="2269"/>
      <c r="AP190" s="2269"/>
      <c r="AQ190" s="2269"/>
      <c r="AR190" s="2269"/>
      <c r="AS190" s="2269"/>
      <c r="AT190" s="2269"/>
      <c r="AU190" s="2269"/>
      <c r="AV190" s="2269"/>
      <c r="AW190" s="2269"/>
      <c r="AX190" s="2269"/>
      <c r="AY190" s="2269"/>
      <c r="AZ190" s="2269"/>
      <c r="BA190" s="2269"/>
      <c r="BB190" s="2269"/>
      <c r="BC190" s="2269"/>
      <c r="BD190" s="2269"/>
      <c r="BE190" s="2269"/>
      <c r="BF190" s="2269"/>
      <c r="BG190" s="2269"/>
      <c r="BH190" s="2269"/>
      <c r="BI190" s="2269"/>
      <c r="BJ190" s="2269"/>
      <c r="BK190" s="2269"/>
      <c r="BL190" s="2269"/>
      <c r="BM190" s="2269"/>
      <c r="BN190" s="2269"/>
      <c r="BO190" s="2269"/>
      <c r="BP190" s="2269"/>
      <c r="BQ190" s="2269"/>
      <c r="BR190" s="2269"/>
      <c r="BS190" s="2269"/>
      <c r="BT190" s="2269"/>
      <c r="BU190" s="2269"/>
      <c r="BV190" s="2269"/>
      <c r="BW190" s="2269"/>
      <c r="BX190" s="2269"/>
      <c r="BY190" s="2269"/>
      <c r="BZ190" s="2269"/>
      <c r="CA190" s="2269"/>
    </row>
    <row r="191" spans="1:79">
      <c r="A191" s="2269"/>
      <c r="B191" s="2269"/>
      <c r="C191" s="2269"/>
      <c r="D191" s="2269"/>
      <c r="E191" s="2269"/>
      <c r="F191" s="2269"/>
      <c r="G191" s="2269"/>
      <c r="H191" s="2269"/>
      <c r="I191" s="2269"/>
      <c r="J191" s="2269"/>
      <c r="K191" s="2269"/>
      <c r="L191" s="2269"/>
      <c r="M191" s="2269"/>
      <c r="N191" s="2269"/>
      <c r="O191" s="2269"/>
      <c r="P191" s="2269"/>
      <c r="Q191" s="2269"/>
      <c r="R191" s="2269"/>
      <c r="S191" s="2269"/>
      <c r="T191" s="2269"/>
      <c r="U191" s="2269"/>
      <c r="V191" s="2269"/>
      <c r="W191" s="2269"/>
      <c r="X191" s="2269"/>
      <c r="Y191" s="2269"/>
      <c r="Z191" s="2269"/>
      <c r="AA191" s="2269"/>
      <c r="AB191" s="2269"/>
      <c r="AC191" s="2269"/>
      <c r="AD191" s="2269"/>
      <c r="AE191" s="2269"/>
      <c r="AF191" s="2269"/>
      <c r="AG191" s="2269"/>
      <c r="AH191" s="2269"/>
      <c r="AI191" s="2269"/>
      <c r="AJ191" s="2269"/>
      <c r="AK191" s="2269"/>
      <c r="AL191" s="2269"/>
      <c r="AM191" s="2269"/>
      <c r="AN191" s="2269"/>
      <c r="AO191" s="2269"/>
      <c r="AP191" s="2269"/>
      <c r="AQ191" s="2269"/>
      <c r="AR191" s="2269"/>
      <c r="AS191" s="2269"/>
      <c r="AT191" s="2269"/>
      <c r="AU191" s="2269"/>
      <c r="AV191" s="2269"/>
      <c r="AW191" s="2269"/>
      <c r="AX191" s="2269"/>
      <c r="AY191" s="2269"/>
      <c r="AZ191" s="2269"/>
      <c r="BA191" s="2269"/>
      <c r="BB191" s="2269"/>
      <c r="BC191" s="2269"/>
      <c r="BD191" s="2269"/>
      <c r="BE191" s="2269"/>
      <c r="BF191" s="2269"/>
      <c r="BG191" s="2269"/>
      <c r="BH191" s="2269"/>
      <c r="BI191" s="2269"/>
      <c r="BJ191" s="2269"/>
      <c r="BK191" s="2269"/>
      <c r="BL191" s="2269"/>
      <c r="BM191" s="2269"/>
      <c r="BN191" s="2269"/>
      <c r="BO191" s="2269"/>
      <c r="BP191" s="2269"/>
      <c r="BQ191" s="2269"/>
      <c r="BR191" s="2269"/>
      <c r="BS191" s="2269"/>
      <c r="BT191" s="2269"/>
      <c r="BU191" s="2269"/>
      <c r="BV191" s="2269"/>
      <c r="BW191" s="2269"/>
      <c r="BX191" s="2269"/>
      <c r="BY191" s="2269"/>
      <c r="BZ191" s="2269"/>
      <c r="CA191" s="2269"/>
    </row>
    <row r="192" spans="1:79">
      <c r="A192" s="2269"/>
      <c r="B192" s="2269"/>
      <c r="C192" s="2269"/>
      <c r="D192" s="2269"/>
      <c r="E192" s="2269"/>
      <c r="F192" s="2269"/>
      <c r="G192" s="2269"/>
      <c r="H192" s="2269"/>
      <c r="I192" s="2269"/>
      <c r="J192" s="2269"/>
      <c r="K192" s="2269"/>
      <c r="L192" s="2269"/>
      <c r="M192" s="2269"/>
      <c r="N192" s="2269"/>
      <c r="O192" s="2269"/>
      <c r="P192" s="2269"/>
      <c r="Q192" s="2269"/>
      <c r="R192" s="2269"/>
      <c r="S192" s="2269"/>
      <c r="T192" s="2269"/>
      <c r="U192" s="2269"/>
      <c r="V192" s="2269"/>
      <c r="W192" s="2269"/>
      <c r="X192" s="2269"/>
      <c r="Y192" s="2269"/>
      <c r="Z192" s="2269"/>
      <c r="AA192" s="2269"/>
      <c r="AB192" s="2269"/>
      <c r="AC192" s="2269"/>
      <c r="AD192" s="2269"/>
      <c r="AE192" s="2269"/>
      <c r="AF192" s="2269"/>
      <c r="AG192" s="2269"/>
      <c r="AH192" s="2269"/>
      <c r="AI192" s="2269"/>
      <c r="AJ192" s="2269"/>
      <c r="AK192" s="2269"/>
      <c r="AL192" s="2269"/>
      <c r="AM192" s="2269"/>
      <c r="AN192" s="2269"/>
      <c r="AO192" s="2269"/>
      <c r="AP192" s="2269"/>
      <c r="AQ192" s="2269"/>
      <c r="AR192" s="2269"/>
      <c r="AS192" s="2269"/>
      <c r="AT192" s="2269"/>
      <c r="AU192" s="2269"/>
      <c r="AV192" s="2269"/>
      <c r="AW192" s="2269"/>
      <c r="AX192" s="2269"/>
      <c r="AY192" s="2269"/>
      <c r="AZ192" s="2269"/>
      <c r="BA192" s="2269"/>
      <c r="BB192" s="2269"/>
      <c r="BC192" s="2269"/>
      <c r="BD192" s="2269"/>
      <c r="BE192" s="2269"/>
      <c r="BF192" s="2269"/>
      <c r="BG192" s="2269"/>
      <c r="BH192" s="2269"/>
      <c r="BI192" s="2269"/>
      <c r="BJ192" s="2269"/>
      <c r="BK192" s="2269"/>
      <c r="BL192" s="2269"/>
      <c r="BM192" s="2269"/>
      <c r="BN192" s="2269"/>
      <c r="BO192" s="2269"/>
      <c r="BP192" s="2269"/>
      <c r="BQ192" s="2269"/>
      <c r="BR192" s="2269"/>
      <c r="BS192" s="2269"/>
      <c r="BT192" s="2269"/>
      <c r="BU192" s="2269"/>
      <c r="BV192" s="2269"/>
      <c r="BW192" s="2269"/>
      <c r="BX192" s="2269"/>
      <c r="BY192" s="2269"/>
      <c r="BZ192" s="2269"/>
      <c r="CA192" s="2269"/>
    </row>
    <row r="193" spans="1:79">
      <c r="A193" s="2269"/>
      <c r="B193" s="2269"/>
      <c r="C193" s="2269"/>
      <c r="D193" s="2269"/>
      <c r="E193" s="2269"/>
      <c r="F193" s="2269"/>
      <c r="G193" s="2269"/>
      <c r="H193" s="2269"/>
      <c r="I193" s="2269"/>
      <c r="J193" s="2269"/>
      <c r="K193" s="2269"/>
      <c r="L193" s="2269"/>
      <c r="M193" s="2269"/>
      <c r="N193" s="2269"/>
      <c r="O193" s="2269"/>
      <c r="P193" s="2269"/>
      <c r="Q193" s="2269"/>
      <c r="R193" s="2269"/>
      <c r="S193" s="2269"/>
      <c r="T193" s="2269"/>
      <c r="U193" s="2269"/>
      <c r="V193" s="2269"/>
      <c r="W193" s="2269"/>
      <c r="X193" s="2269"/>
      <c r="Y193" s="2269"/>
      <c r="Z193" s="2269"/>
      <c r="AA193" s="2269"/>
      <c r="AB193" s="2269"/>
      <c r="AC193" s="2269"/>
      <c r="AD193" s="2269"/>
      <c r="AE193" s="2269"/>
      <c r="AF193" s="2269"/>
      <c r="AG193" s="2269"/>
      <c r="AH193" s="2269"/>
      <c r="AI193" s="2269"/>
      <c r="AJ193" s="2269"/>
      <c r="AK193" s="2269"/>
      <c r="AL193" s="2269"/>
      <c r="AM193" s="2269"/>
      <c r="AN193" s="2269"/>
      <c r="AO193" s="2269"/>
      <c r="AP193" s="2269"/>
      <c r="AQ193" s="2269"/>
      <c r="AR193" s="2269"/>
      <c r="AS193" s="2269"/>
      <c r="AT193" s="2269"/>
      <c r="AU193" s="2269"/>
      <c r="AV193" s="2269"/>
      <c r="AW193" s="2269"/>
      <c r="AX193" s="2269"/>
      <c r="AY193" s="2269"/>
      <c r="AZ193" s="2269"/>
      <c r="BA193" s="2269"/>
      <c r="BB193" s="2269"/>
      <c r="BC193" s="2269"/>
      <c r="BD193" s="2269"/>
      <c r="BE193" s="2269"/>
      <c r="BF193" s="2269"/>
      <c r="BG193" s="2269"/>
      <c r="BH193" s="2269"/>
      <c r="BI193" s="2269"/>
      <c r="BJ193" s="2269"/>
      <c r="BK193" s="2269"/>
      <c r="BL193" s="2269"/>
      <c r="BM193" s="2269"/>
      <c r="BN193" s="2269"/>
      <c r="BO193" s="2269"/>
      <c r="BP193" s="2269"/>
      <c r="BQ193" s="2269"/>
      <c r="BR193" s="2269"/>
      <c r="BS193" s="2269"/>
      <c r="BT193" s="2269"/>
      <c r="BU193" s="2269"/>
      <c r="BV193" s="2269"/>
      <c r="BW193" s="2269"/>
      <c r="BX193" s="2269"/>
      <c r="BY193" s="2269"/>
      <c r="BZ193" s="2269"/>
      <c r="CA193" s="2269"/>
    </row>
    <row r="194" spans="1:79">
      <c r="A194" s="2269"/>
      <c r="B194" s="2269"/>
      <c r="C194" s="2269"/>
      <c r="D194" s="2269"/>
      <c r="E194" s="2269"/>
      <c r="F194" s="2269"/>
      <c r="G194" s="2269"/>
      <c r="H194" s="2269"/>
      <c r="I194" s="2269"/>
      <c r="J194" s="2269"/>
      <c r="K194" s="2269"/>
      <c r="L194" s="2269"/>
      <c r="M194" s="2269"/>
      <c r="N194" s="2269"/>
      <c r="O194" s="2269"/>
      <c r="P194" s="2269"/>
      <c r="Q194" s="2269"/>
      <c r="R194" s="2269"/>
      <c r="S194" s="2269"/>
      <c r="T194" s="2269"/>
      <c r="U194" s="2269"/>
      <c r="V194" s="2269"/>
      <c r="W194" s="2269"/>
      <c r="X194" s="2269"/>
      <c r="Y194" s="2269"/>
      <c r="Z194" s="2269"/>
      <c r="AA194" s="2269"/>
      <c r="AB194" s="2269"/>
      <c r="AC194" s="2269"/>
      <c r="AD194" s="2269"/>
      <c r="AE194" s="2269"/>
      <c r="AF194" s="2269"/>
      <c r="AG194" s="2269"/>
      <c r="AH194" s="2269"/>
      <c r="AI194" s="2269"/>
      <c r="AJ194" s="2269"/>
      <c r="AK194" s="2269"/>
      <c r="AL194" s="2269"/>
      <c r="AM194" s="2269"/>
      <c r="AN194" s="2269"/>
      <c r="AO194" s="2269"/>
      <c r="AP194" s="2269"/>
      <c r="AQ194" s="2269"/>
      <c r="AR194" s="2269"/>
      <c r="AS194" s="2269"/>
      <c r="AT194" s="2269"/>
      <c r="AU194" s="2269"/>
      <c r="AV194" s="2269"/>
      <c r="AW194" s="2269"/>
      <c r="AX194" s="2269"/>
      <c r="AY194" s="2269"/>
      <c r="AZ194" s="2269"/>
      <c r="BA194" s="2269"/>
      <c r="BB194" s="2269"/>
      <c r="BC194" s="2269"/>
      <c r="BD194" s="2269"/>
      <c r="BE194" s="2269"/>
      <c r="BF194" s="2269"/>
      <c r="BG194" s="2269"/>
      <c r="BH194" s="2269"/>
      <c r="BI194" s="2269"/>
      <c r="BJ194" s="2269"/>
      <c r="BK194" s="2269"/>
      <c r="BL194" s="2269"/>
      <c r="BM194" s="2269"/>
      <c r="BN194" s="2269"/>
      <c r="BO194" s="2269"/>
      <c r="BP194" s="2269"/>
      <c r="BQ194" s="2269"/>
      <c r="BR194" s="2269"/>
      <c r="BS194" s="2269"/>
      <c r="BT194" s="2269"/>
      <c r="BU194" s="2269"/>
      <c r="BV194" s="2269"/>
      <c r="BW194" s="2269"/>
      <c r="BX194" s="2269"/>
      <c r="BY194" s="2269"/>
      <c r="BZ194" s="2269"/>
      <c r="CA194" s="2269"/>
    </row>
    <row r="195" spans="1:79">
      <c r="A195" s="2269"/>
      <c r="B195" s="2269"/>
      <c r="C195" s="2269"/>
      <c r="D195" s="2269"/>
      <c r="E195" s="2269"/>
      <c r="F195" s="2269"/>
      <c r="G195" s="2269"/>
      <c r="H195" s="2269"/>
      <c r="I195" s="2269"/>
      <c r="J195" s="2269"/>
      <c r="K195" s="2269"/>
      <c r="L195" s="2269"/>
      <c r="M195" s="2269"/>
      <c r="N195" s="2269"/>
      <c r="O195" s="2269"/>
      <c r="P195" s="2269"/>
      <c r="Q195" s="2269"/>
      <c r="R195" s="2269"/>
      <c r="S195" s="2269"/>
      <c r="T195" s="2269"/>
      <c r="U195" s="2269"/>
      <c r="V195" s="2269"/>
      <c r="W195" s="2269"/>
      <c r="X195" s="2269"/>
      <c r="Y195" s="2269"/>
      <c r="Z195" s="2269"/>
      <c r="AA195" s="2269"/>
      <c r="AB195" s="2269"/>
      <c r="AC195" s="2269"/>
      <c r="AD195" s="2269"/>
      <c r="AE195" s="2269"/>
      <c r="AF195" s="2269"/>
      <c r="AG195" s="2269"/>
      <c r="AH195" s="2269"/>
      <c r="AI195" s="2269"/>
      <c r="AJ195" s="2269"/>
      <c r="AK195" s="2269"/>
      <c r="AL195" s="2269"/>
      <c r="AM195" s="2269"/>
      <c r="AN195" s="2269"/>
      <c r="AO195" s="2269"/>
      <c r="AP195" s="2269"/>
      <c r="AQ195" s="2269"/>
      <c r="AR195" s="2269"/>
      <c r="AS195" s="2269"/>
      <c r="AT195" s="2269"/>
      <c r="AU195" s="2269"/>
      <c r="AV195" s="2269"/>
      <c r="AW195" s="2269"/>
      <c r="AX195" s="2269"/>
      <c r="AY195" s="2269"/>
      <c r="AZ195" s="2269"/>
      <c r="BA195" s="2269"/>
      <c r="BB195" s="2269"/>
      <c r="BC195" s="2269"/>
      <c r="BD195" s="2269"/>
      <c r="BE195" s="2269"/>
      <c r="BF195" s="2269"/>
      <c r="BG195" s="2269"/>
      <c r="BH195" s="2269"/>
      <c r="BI195" s="2269"/>
      <c r="BJ195" s="2269"/>
      <c r="BK195" s="2269"/>
      <c r="BL195" s="2269"/>
      <c r="BM195" s="2269"/>
      <c r="BN195" s="2269"/>
      <c r="BO195" s="2269"/>
      <c r="BP195" s="2269"/>
      <c r="BQ195" s="2269"/>
      <c r="BR195" s="2269"/>
      <c r="BS195" s="2269"/>
      <c r="BT195" s="2269"/>
      <c r="BU195" s="2269"/>
      <c r="BV195" s="2269"/>
      <c r="BW195" s="2269"/>
      <c r="BX195" s="2269"/>
      <c r="BY195" s="2269"/>
      <c r="BZ195" s="2269"/>
      <c r="CA195" s="2269"/>
    </row>
    <row r="196" spans="1:79">
      <c r="A196" s="2269"/>
      <c r="B196" s="2269"/>
      <c r="C196" s="2269"/>
      <c r="D196" s="2269"/>
      <c r="E196" s="2269"/>
      <c r="F196" s="2269"/>
      <c r="G196" s="2269"/>
      <c r="H196" s="2269"/>
      <c r="I196" s="2269"/>
      <c r="J196" s="2269"/>
      <c r="K196" s="2269"/>
      <c r="L196" s="2269"/>
      <c r="M196" s="2269"/>
      <c r="N196" s="2269"/>
      <c r="O196" s="2269"/>
      <c r="P196" s="2269"/>
      <c r="Q196" s="2269"/>
      <c r="R196" s="2269"/>
      <c r="S196" s="2269"/>
      <c r="T196" s="2269"/>
      <c r="U196" s="2269"/>
      <c r="V196" s="2269"/>
      <c r="W196" s="2269"/>
      <c r="X196" s="2269"/>
      <c r="Y196" s="2269"/>
      <c r="Z196" s="2269"/>
      <c r="AA196" s="2269"/>
      <c r="AB196" s="2269"/>
      <c r="AC196" s="2269"/>
      <c r="AD196" s="2269"/>
      <c r="AE196" s="2269"/>
      <c r="AF196" s="2269"/>
      <c r="AG196" s="2269"/>
      <c r="AH196" s="2269"/>
      <c r="AI196" s="2269"/>
      <c r="AJ196" s="2269"/>
      <c r="AK196" s="2269"/>
      <c r="AL196" s="2269"/>
      <c r="AM196" s="2269"/>
      <c r="AN196" s="2269"/>
      <c r="AO196" s="2269"/>
      <c r="AP196" s="2269"/>
      <c r="AQ196" s="2269"/>
      <c r="AR196" s="2269"/>
      <c r="AS196" s="2269"/>
      <c r="AT196" s="2269"/>
      <c r="AU196" s="2269"/>
      <c r="AV196" s="2269"/>
      <c r="AW196" s="2269"/>
      <c r="AX196" s="2269"/>
      <c r="AY196" s="2269"/>
      <c r="AZ196" s="2269"/>
      <c r="BA196" s="2269"/>
      <c r="BB196" s="2269"/>
      <c r="BC196" s="2269"/>
      <c r="BD196" s="2269"/>
      <c r="BE196" s="2269"/>
      <c r="BF196" s="2269"/>
      <c r="BG196" s="2269"/>
      <c r="BH196" s="2269"/>
      <c r="BI196" s="2269"/>
      <c r="BJ196" s="2269"/>
      <c r="BK196" s="2269"/>
      <c r="BL196" s="2269"/>
      <c r="BM196" s="2269"/>
      <c r="BN196" s="2269"/>
      <c r="BO196" s="2269"/>
      <c r="BP196" s="2269"/>
      <c r="BQ196" s="2269"/>
      <c r="BR196" s="2269"/>
      <c r="BS196" s="2269"/>
      <c r="BT196" s="2269"/>
      <c r="BU196" s="2269"/>
      <c r="BV196" s="2269"/>
      <c r="BW196" s="2269"/>
      <c r="BX196" s="2269"/>
      <c r="BY196" s="2269"/>
      <c r="BZ196" s="2269"/>
      <c r="CA196" s="2269"/>
    </row>
    <row r="197" spans="1:79">
      <c r="A197" s="2269"/>
      <c r="B197" s="2269"/>
      <c r="C197" s="2269"/>
      <c r="D197" s="2269"/>
      <c r="E197" s="2269"/>
      <c r="F197" s="2269"/>
      <c r="G197" s="2269"/>
      <c r="H197" s="2269"/>
      <c r="I197" s="2269"/>
      <c r="J197" s="2269"/>
      <c r="K197" s="2269"/>
      <c r="L197" s="2269"/>
      <c r="M197" s="2269"/>
      <c r="N197" s="2269"/>
      <c r="O197" s="2269"/>
      <c r="P197" s="2269"/>
      <c r="Q197" s="2269"/>
      <c r="R197" s="2269"/>
      <c r="S197" s="2269"/>
      <c r="T197" s="2269"/>
      <c r="U197" s="2269"/>
      <c r="V197" s="2269"/>
      <c r="W197" s="2269"/>
      <c r="X197" s="2269"/>
      <c r="Y197" s="2269"/>
      <c r="Z197" s="2269"/>
      <c r="AA197" s="2269"/>
      <c r="AB197" s="2269"/>
      <c r="AC197" s="2269"/>
      <c r="AD197" s="2269"/>
      <c r="AE197" s="2269"/>
      <c r="AF197" s="2269"/>
      <c r="AG197" s="2269"/>
      <c r="AH197" s="2269"/>
      <c r="AI197" s="2269"/>
      <c r="AJ197" s="2269"/>
      <c r="AK197" s="2269"/>
      <c r="AL197" s="2269"/>
      <c r="AM197" s="2269"/>
      <c r="AN197" s="2269"/>
      <c r="AO197" s="2269"/>
      <c r="AP197" s="2269"/>
      <c r="AQ197" s="2269"/>
      <c r="AR197" s="2269"/>
      <c r="AS197" s="2269"/>
      <c r="AT197" s="2269"/>
      <c r="AU197" s="2269"/>
      <c r="AV197" s="2269"/>
      <c r="AW197" s="2269"/>
      <c r="AX197" s="2269"/>
      <c r="AY197" s="2269"/>
      <c r="AZ197" s="2269"/>
      <c r="BA197" s="2269"/>
      <c r="BB197" s="2269"/>
      <c r="BC197" s="2269"/>
      <c r="BD197" s="2269"/>
      <c r="BE197" s="2269"/>
      <c r="BF197" s="2269"/>
      <c r="BG197" s="2269"/>
      <c r="BH197" s="2269"/>
      <c r="BI197" s="2269"/>
      <c r="BJ197" s="2269"/>
      <c r="BK197" s="2269"/>
      <c r="BL197" s="2269"/>
      <c r="BM197" s="2269"/>
      <c r="BN197" s="2269"/>
      <c r="BO197" s="2269"/>
      <c r="BP197" s="2269"/>
      <c r="BQ197" s="2269"/>
      <c r="BR197" s="2269"/>
      <c r="BS197" s="2269"/>
      <c r="BT197" s="2269"/>
      <c r="BU197" s="2269"/>
      <c r="BV197" s="2269"/>
      <c r="BW197" s="2269"/>
      <c r="BX197" s="2269"/>
      <c r="BY197" s="2269"/>
      <c r="BZ197" s="2269"/>
      <c r="CA197" s="2269"/>
    </row>
    <row r="198" spans="1:79">
      <c r="A198" s="2269"/>
      <c r="B198" s="2269"/>
      <c r="C198" s="2269"/>
      <c r="D198" s="2269"/>
      <c r="E198" s="2269"/>
      <c r="F198" s="2269"/>
      <c r="G198" s="2269"/>
      <c r="H198" s="2269"/>
      <c r="I198" s="2269"/>
      <c r="J198" s="2269"/>
      <c r="K198" s="2269"/>
      <c r="L198" s="2269"/>
      <c r="M198" s="2269"/>
      <c r="N198" s="2269"/>
      <c r="O198" s="2269"/>
      <c r="P198" s="2269"/>
      <c r="Q198" s="2269"/>
      <c r="R198" s="2269"/>
      <c r="S198" s="2269"/>
      <c r="T198" s="2269"/>
      <c r="U198" s="2269"/>
      <c r="V198" s="2269"/>
      <c r="W198" s="2269"/>
      <c r="X198" s="2269"/>
      <c r="Y198" s="2269"/>
      <c r="Z198" s="2269"/>
      <c r="AA198" s="2269"/>
      <c r="AB198" s="2269"/>
      <c r="AC198" s="2269"/>
      <c r="AD198" s="2269"/>
      <c r="AE198" s="2269"/>
      <c r="AF198" s="2269"/>
      <c r="AG198" s="2269"/>
      <c r="AH198" s="2269"/>
      <c r="AI198" s="2269"/>
      <c r="AJ198" s="2269"/>
      <c r="AK198" s="2269"/>
      <c r="AL198" s="2269"/>
      <c r="AM198" s="2269"/>
      <c r="AN198" s="2269"/>
      <c r="AO198" s="2269"/>
      <c r="AP198" s="2269"/>
      <c r="AQ198" s="2269"/>
      <c r="AR198" s="2269"/>
      <c r="AS198" s="2269"/>
      <c r="AT198" s="2269"/>
      <c r="AU198" s="2269"/>
      <c r="AV198" s="2269"/>
      <c r="AW198" s="2269"/>
      <c r="AX198" s="2269"/>
      <c r="AY198" s="2269"/>
      <c r="AZ198" s="2269"/>
      <c r="BA198" s="2269"/>
      <c r="BB198" s="2269"/>
      <c r="BC198" s="2269"/>
      <c r="BD198" s="2269"/>
      <c r="BE198" s="2269"/>
      <c r="BF198" s="2269"/>
      <c r="BG198" s="2269"/>
      <c r="BH198" s="2269"/>
      <c r="BI198" s="2269"/>
      <c r="BJ198" s="2269"/>
      <c r="BK198" s="2269"/>
      <c r="BL198" s="2269"/>
      <c r="BM198" s="2269"/>
      <c r="BN198" s="2269"/>
      <c r="BO198" s="2269"/>
      <c r="BP198" s="2269"/>
      <c r="BQ198" s="2269"/>
      <c r="BR198" s="2269"/>
      <c r="BS198" s="2269"/>
      <c r="BT198" s="2269"/>
      <c r="BU198" s="2269"/>
      <c r="BV198" s="2269"/>
      <c r="BW198" s="2269"/>
      <c r="BX198" s="2269"/>
      <c r="BY198" s="2269"/>
      <c r="BZ198" s="2269"/>
      <c r="CA198" s="2269"/>
    </row>
    <row r="199" spans="1:79">
      <c r="A199" s="2269"/>
      <c r="B199" s="2269"/>
      <c r="C199" s="2269"/>
      <c r="D199" s="2269"/>
      <c r="E199" s="2269"/>
      <c r="F199" s="2269"/>
      <c r="G199" s="2269"/>
      <c r="H199" s="2269"/>
      <c r="I199" s="2269"/>
      <c r="J199" s="2269"/>
      <c r="K199" s="2269"/>
      <c r="L199" s="2269"/>
      <c r="M199" s="2269"/>
      <c r="N199" s="2269"/>
      <c r="O199" s="2269"/>
      <c r="P199" s="2269"/>
      <c r="Q199" s="2269"/>
      <c r="R199" s="2269"/>
      <c r="S199" s="2269"/>
      <c r="T199" s="2269"/>
      <c r="U199" s="2269"/>
      <c r="V199" s="2269"/>
      <c r="W199" s="2269"/>
      <c r="X199" s="2269"/>
      <c r="Y199" s="2269"/>
      <c r="Z199" s="2269"/>
      <c r="AA199" s="2269"/>
      <c r="AB199" s="2269"/>
      <c r="AC199" s="2269"/>
      <c r="AD199" s="2269"/>
      <c r="AE199" s="2269"/>
      <c r="AF199" s="2269"/>
      <c r="AG199" s="2269"/>
      <c r="AH199" s="2269"/>
      <c r="AI199" s="2269"/>
      <c r="AJ199" s="2269"/>
      <c r="AK199" s="2269"/>
      <c r="AL199" s="2269"/>
      <c r="AM199" s="2269"/>
      <c r="AN199" s="2269"/>
      <c r="AO199" s="2269"/>
      <c r="AP199" s="2269"/>
      <c r="AQ199" s="2269"/>
      <c r="AR199" s="2269"/>
      <c r="AS199" s="2269"/>
      <c r="AT199" s="2269"/>
      <c r="AU199" s="2269"/>
      <c r="AV199" s="2269"/>
      <c r="AW199" s="2269"/>
      <c r="AX199" s="2269"/>
      <c r="AY199" s="2269"/>
      <c r="AZ199" s="2269"/>
      <c r="BA199" s="2269"/>
      <c r="BB199" s="2269"/>
      <c r="BC199" s="2269"/>
      <c r="BD199" s="2269"/>
      <c r="BE199" s="2269"/>
      <c r="BF199" s="2269"/>
      <c r="BG199" s="2269"/>
      <c r="BH199" s="2269"/>
      <c r="BI199" s="2269"/>
      <c r="BJ199" s="2269"/>
      <c r="BK199" s="2269"/>
      <c r="BL199" s="2269"/>
      <c r="BM199" s="2269"/>
      <c r="BN199" s="2269"/>
      <c r="BO199" s="2269"/>
      <c r="BP199" s="2269"/>
      <c r="BQ199" s="2269"/>
      <c r="BR199" s="2269"/>
      <c r="BS199" s="2269"/>
      <c r="BT199" s="2269"/>
      <c r="BU199" s="2269"/>
      <c r="BV199" s="2269"/>
      <c r="BW199" s="2269"/>
      <c r="BX199" s="2269"/>
      <c r="BY199" s="2269"/>
      <c r="BZ199" s="2269"/>
      <c r="CA199" s="2269"/>
    </row>
    <row r="200" spans="1:79">
      <c r="A200" s="2269"/>
      <c r="B200" s="2269"/>
      <c r="C200" s="2269"/>
      <c r="D200" s="2269"/>
      <c r="E200" s="2269"/>
      <c r="F200" s="2269"/>
      <c r="G200" s="2269"/>
      <c r="H200" s="2269"/>
      <c r="I200" s="2269"/>
      <c r="J200" s="2269"/>
      <c r="K200" s="2269"/>
      <c r="L200" s="2269"/>
      <c r="M200" s="2269"/>
      <c r="N200" s="2269"/>
      <c r="O200" s="2269"/>
      <c r="P200" s="2269"/>
      <c r="Q200" s="2269"/>
      <c r="R200" s="2269"/>
      <c r="S200" s="2269"/>
      <c r="T200" s="2269"/>
      <c r="U200" s="2269"/>
      <c r="V200" s="2269"/>
      <c r="W200" s="2269"/>
      <c r="X200" s="2269"/>
      <c r="Y200" s="2269"/>
      <c r="Z200" s="2269"/>
      <c r="AA200" s="2269"/>
      <c r="AB200" s="2269"/>
      <c r="AC200" s="2269"/>
      <c r="AD200" s="2269"/>
      <c r="AE200" s="2269"/>
      <c r="AF200" s="2269"/>
      <c r="AG200" s="2269"/>
      <c r="AH200" s="2269"/>
      <c r="AI200" s="2269"/>
      <c r="AJ200" s="2269"/>
      <c r="AK200" s="2269"/>
      <c r="AL200" s="2269"/>
      <c r="AM200" s="2269"/>
      <c r="AN200" s="2269"/>
      <c r="AO200" s="2269"/>
      <c r="AP200" s="2269"/>
      <c r="AQ200" s="2269"/>
      <c r="AR200" s="2269"/>
      <c r="AS200" s="2269"/>
      <c r="AT200" s="2269"/>
      <c r="AU200" s="2269"/>
      <c r="AV200" s="2269"/>
      <c r="AW200" s="2269"/>
      <c r="AX200" s="2269"/>
      <c r="AY200" s="2269"/>
      <c r="AZ200" s="2269"/>
      <c r="BA200" s="2269"/>
      <c r="BB200" s="2269"/>
      <c r="BC200" s="2269"/>
      <c r="BD200" s="2269"/>
      <c r="BE200" s="2269"/>
      <c r="BF200" s="2269"/>
      <c r="BG200" s="2269"/>
      <c r="BH200" s="2269"/>
      <c r="BI200" s="2269"/>
      <c r="BJ200" s="2269"/>
      <c r="BK200" s="2269"/>
      <c r="BL200" s="2269"/>
      <c r="BM200" s="2269"/>
      <c r="BN200" s="2269"/>
      <c r="BO200" s="2269"/>
      <c r="BP200" s="2269"/>
      <c r="BQ200" s="2269"/>
      <c r="BR200" s="2269"/>
      <c r="BS200" s="2269"/>
      <c r="BT200" s="2269"/>
      <c r="BU200" s="2269"/>
      <c r="BV200" s="2269"/>
      <c r="BW200" s="2269"/>
      <c r="BX200" s="2269"/>
      <c r="BY200" s="2269"/>
      <c r="BZ200" s="2269"/>
      <c r="CA200" s="2269"/>
    </row>
    <row r="201" spans="1:79">
      <c r="A201" s="2269"/>
      <c r="B201" s="2269"/>
      <c r="C201" s="2269"/>
      <c r="D201" s="2269"/>
      <c r="E201" s="2269"/>
      <c r="F201" s="2269"/>
      <c r="G201" s="2269"/>
      <c r="H201" s="2269"/>
      <c r="I201" s="2269"/>
      <c r="J201" s="2269"/>
      <c r="K201" s="2269"/>
      <c r="L201" s="2269"/>
      <c r="M201" s="2269"/>
      <c r="N201" s="2269"/>
      <c r="O201" s="2269"/>
      <c r="P201" s="2269"/>
      <c r="Q201" s="2269"/>
      <c r="R201" s="2269"/>
      <c r="S201" s="2269"/>
      <c r="T201" s="2269"/>
      <c r="U201" s="2269"/>
      <c r="V201" s="2269"/>
      <c r="W201" s="2269"/>
      <c r="X201" s="2269"/>
      <c r="Y201" s="2269"/>
      <c r="Z201" s="2269"/>
      <c r="AA201" s="2269"/>
      <c r="AB201" s="2269"/>
      <c r="AC201" s="2269"/>
      <c r="AD201" s="2269"/>
      <c r="AE201" s="2269"/>
      <c r="AF201" s="2269"/>
      <c r="AG201" s="2269"/>
      <c r="AH201" s="2269"/>
      <c r="AI201" s="2269"/>
      <c r="AJ201" s="2269"/>
      <c r="AK201" s="2269"/>
      <c r="AL201" s="2269"/>
      <c r="AM201" s="2269"/>
      <c r="AN201" s="2269"/>
      <c r="AO201" s="2269"/>
      <c r="AP201" s="2269"/>
      <c r="AQ201" s="2269"/>
      <c r="AR201" s="2269"/>
      <c r="AS201" s="2269"/>
      <c r="AT201" s="2269"/>
      <c r="AU201" s="2269"/>
      <c r="AV201" s="2269"/>
      <c r="AW201" s="2269"/>
      <c r="AX201" s="2269"/>
      <c r="AY201" s="2269"/>
      <c r="AZ201" s="2269"/>
      <c r="BA201" s="2269"/>
      <c r="BB201" s="2269"/>
      <c r="BC201" s="2269"/>
      <c r="BD201" s="2269"/>
      <c r="BE201" s="2269"/>
      <c r="BF201" s="2269"/>
      <c r="BG201" s="2269"/>
      <c r="BH201" s="2269"/>
      <c r="BI201" s="2269"/>
      <c r="BJ201" s="2269"/>
      <c r="BK201" s="2269"/>
      <c r="BL201" s="2269"/>
      <c r="BM201" s="2269"/>
      <c r="BN201" s="2269"/>
      <c r="BO201" s="2269"/>
      <c r="BP201" s="2269"/>
      <c r="BQ201" s="2269"/>
      <c r="BR201" s="2269"/>
      <c r="BS201" s="2269"/>
      <c r="BT201" s="2269"/>
      <c r="BU201" s="2269"/>
      <c r="BV201" s="2269"/>
      <c r="BW201" s="2269"/>
      <c r="BX201" s="2269"/>
      <c r="BY201" s="2269"/>
      <c r="BZ201" s="2269"/>
      <c r="CA201" s="2269"/>
    </row>
    <row r="202" spans="1:79">
      <c r="A202" s="2269"/>
      <c r="B202" s="2269"/>
      <c r="C202" s="2269"/>
      <c r="D202" s="2269"/>
      <c r="E202" s="2269"/>
      <c r="F202" s="2269"/>
      <c r="G202" s="2269"/>
      <c r="H202" s="2269"/>
      <c r="I202" s="2269"/>
      <c r="J202" s="2269"/>
      <c r="K202" s="2269"/>
      <c r="L202" s="2269"/>
      <c r="M202" s="2269"/>
      <c r="N202" s="2269"/>
      <c r="O202" s="2269"/>
      <c r="P202" s="2269"/>
      <c r="Q202" s="2269"/>
      <c r="R202" s="2269"/>
      <c r="S202" s="2269"/>
      <c r="T202" s="2269"/>
      <c r="U202" s="2269"/>
      <c r="V202" s="2269"/>
      <c r="W202" s="2269"/>
      <c r="X202" s="2269"/>
      <c r="Y202" s="2269"/>
      <c r="Z202" s="2269"/>
      <c r="AA202" s="2269"/>
      <c r="AB202" s="2269"/>
      <c r="AC202" s="2269"/>
      <c r="AD202" s="2269"/>
      <c r="AE202" s="2269"/>
      <c r="AF202" s="2269"/>
      <c r="AG202" s="2269"/>
      <c r="AH202" s="2269"/>
      <c r="AI202" s="2269"/>
      <c r="AJ202" s="2269"/>
      <c r="AK202" s="2269"/>
      <c r="AL202" s="2269"/>
      <c r="AM202" s="2269"/>
      <c r="AN202" s="2269"/>
      <c r="AO202" s="2269"/>
      <c r="AP202" s="2269"/>
      <c r="AQ202" s="2269"/>
      <c r="AR202" s="2269"/>
      <c r="AS202" s="2269"/>
      <c r="AT202" s="2269"/>
      <c r="AU202" s="2269"/>
      <c r="AV202" s="2269"/>
      <c r="AW202" s="2269"/>
      <c r="AX202" s="2269"/>
      <c r="AY202" s="2269"/>
      <c r="AZ202" s="2269"/>
      <c r="BA202" s="2269"/>
      <c r="BB202" s="2269"/>
      <c r="BC202" s="2269"/>
      <c r="BD202" s="2269"/>
      <c r="BE202" s="2269"/>
      <c r="BF202" s="2269"/>
      <c r="BG202" s="2269"/>
      <c r="BH202" s="2269"/>
      <c r="BI202" s="2269"/>
      <c r="BJ202" s="2269"/>
      <c r="BK202" s="2269"/>
      <c r="BL202" s="2269"/>
      <c r="BM202" s="2269"/>
      <c r="BN202" s="2269"/>
      <c r="BO202" s="2269"/>
      <c r="BP202" s="2269"/>
      <c r="BQ202" s="2269"/>
      <c r="BR202" s="2269"/>
      <c r="BS202" s="2269"/>
      <c r="BT202" s="2269"/>
      <c r="BU202" s="2269"/>
      <c r="BV202" s="2269"/>
      <c r="BW202" s="2269"/>
      <c r="BX202" s="2269"/>
      <c r="BY202" s="2269"/>
      <c r="BZ202" s="2269"/>
      <c r="CA202" s="2269"/>
    </row>
    <row r="203" spans="1:79">
      <c r="A203" s="2269"/>
      <c r="B203" s="2269"/>
      <c r="C203" s="2269"/>
      <c r="D203" s="2269"/>
      <c r="E203" s="2269"/>
      <c r="F203" s="2269"/>
      <c r="G203" s="2269"/>
      <c r="H203" s="2269"/>
      <c r="I203" s="2269"/>
      <c r="J203" s="2269"/>
      <c r="K203" s="2269"/>
      <c r="L203" s="2269"/>
      <c r="M203" s="2269"/>
      <c r="N203" s="2269"/>
      <c r="O203" s="2269"/>
      <c r="P203" s="2269"/>
      <c r="Q203" s="2269"/>
      <c r="R203" s="2269"/>
      <c r="S203" s="2269"/>
      <c r="T203" s="2269"/>
      <c r="U203" s="2269"/>
      <c r="V203" s="2269"/>
      <c r="W203" s="2269"/>
      <c r="X203" s="2269"/>
      <c r="Y203" s="2269"/>
      <c r="Z203" s="2269"/>
      <c r="AA203" s="2269"/>
      <c r="AB203" s="2269"/>
      <c r="AC203" s="2269"/>
      <c r="AD203" s="2269"/>
      <c r="AE203" s="2269"/>
      <c r="AF203" s="2269"/>
      <c r="AG203" s="2269"/>
      <c r="AH203" s="2269"/>
      <c r="AI203" s="2269"/>
      <c r="AJ203" s="2269"/>
      <c r="AK203" s="2269"/>
      <c r="AL203" s="2269"/>
      <c r="AM203" s="2269"/>
      <c r="AN203" s="2269"/>
      <c r="AO203" s="2269"/>
      <c r="AP203" s="2269"/>
      <c r="AQ203" s="2269"/>
      <c r="AR203" s="2269"/>
      <c r="AS203" s="2269"/>
      <c r="AT203" s="2269"/>
      <c r="AU203" s="2269"/>
      <c r="AV203" s="2269"/>
      <c r="AW203" s="2269"/>
      <c r="AX203" s="2269"/>
      <c r="AY203" s="2269"/>
      <c r="AZ203" s="2269"/>
      <c r="BA203" s="2269"/>
      <c r="BB203" s="2269"/>
      <c r="BC203" s="2269"/>
      <c r="BD203" s="2269"/>
      <c r="BE203" s="2269"/>
      <c r="BF203" s="2269"/>
      <c r="BG203" s="2269"/>
      <c r="BH203" s="2269"/>
      <c r="BI203" s="2269"/>
      <c r="BJ203" s="2269"/>
      <c r="BK203" s="2269"/>
      <c r="BL203" s="2269"/>
      <c r="BM203" s="2269"/>
      <c r="BN203" s="2269"/>
      <c r="BO203" s="2269"/>
      <c r="BP203" s="2269"/>
      <c r="BQ203" s="2269"/>
      <c r="BR203" s="2269"/>
      <c r="BS203" s="2269"/>
      <c r="BT203" s="2269"/>
      <c r="BU203" s="2269"/>
      <c r="BV203" s="2269"/>
      <c r="BW203" s="2269"/>
      <c r="BX203" s="2269"/>
      <c r="BY203" s="2269"/>
      <c r="BZ203" s="2269"/>
      <c r="CA203" s="2269"/>
    </row>
    <row r="204" spans="1:79">
      <c r="A204" s="2269"/>
      <c r="B204" s="2269"/>
      <c r="C204" s="2269"/>
      <c r="D204" s="2269"/>
      <c r="E204" s="2269"/>
      <c r="F204" s="2269"/>
      <c r="G204" s="2269"/>
      <c r="H204" s="2269"/>
      <c r="I204" s="2269"/>
      <c r="J204" s="2269"/>
      <c r="K204" s="2269"/>
      <c r="L204" s="2269"/>
      <c r="M204" s="2269"/>
      <c r="N204" s="2269"/>
      <c r="O204" s="2269"/>
      <c r="P204" s="2269"/>
      <c r="Q204" s="2269"/>
      <c r="R204" s="2269"/>
      <c r="S204" s="2269"/>
      <c r="T204" s="2269"/>
      <c r="U204" s="2269"/>
      <c r="V204" s="2269"/>
      <c r="W204" s="2269"/>
      <c r="X204" s="2269"/>
      <c r="Y204" s="2269"/>
      <c r="Z204" s="2269"/>
      <c r="AA204" s="2269"/>
      <c r="AB204" s="2269"/>
      <c r="AC204" s="2269"/>
      <c r="AD204" s="2269"/>
      <c r="AE204" s="2269"/>
      <c r="AF204" s="2269"/>
      <c r="AG204" s="2269"/>
      <c r="AH204" s="2269"/>
      <c r="AI204" s="2269"/>
      <c r="AJ204" s="2269"/>
      <c r="AK204" s="2269"/>
      <c r="AL204" s="2269"/>
      <c r="AM204" s="2269"/>
      <c r="AN204" s="2269"/>
      <c r="AO204" s="2269"/>
      <c r="AP204" s="2269"/>
      <c r="AQ204" s="2269"/>
      <c r="AR204" s="2269"/>
      <c r="AS204" s="2269"/>
      <c r="AT204" s="2269"/>
      <c r="AU204" s="2269"/>
      <c r="AV204" s="2269"/>
      <c r="AW204" s="2269"/>
      <c r="AX204" s="2269"/>
      <c r="AY204" s="2269"/>
      <c r="AZ204" s="2269"/>
      <c r="BA204" s="2269"/>
      <c r="BB204" s="2269"/>
      <c r="BC204" s="2269"/>
      <c r="BD204" s="2269"/>
      <c r="BE204" s="2269"/>
      <c r="BF204" s="2269"/>
      <c r="BG204" s="2269"/>
      <c r="BH204" s="2269"/>
      <c r="BI204" s="2269"/>
      <c r="BJ204" s="2269"/>
      <c r="BK204" s="2269"/>
      <c r="BL204" s="2269"/>
      <c r="BM204" s="2269"/>
      <c r="BN204" s="2269"/>
      <c r="BO204" s="2269"/>
      <c r="BP204" s="2269"/>
      <c r="BQ204" s="2269"/>
      <c r="BR204" s="2269"/>
      <c r="BS204" s="2269"/>
      <c r="BT204" s="2269"/>
      <c r="BU204" s="2269"/>
      <c r="BV204" s="2269"/>
      <c r="BW204" s="2269"/>
      <c r="BX204" s="2269"/>
      <c r="BY204" s="2269"/>
      <c r="BZ204" s="2269"/>
      <c r="CA204" s="2269"/>
    </row>
    <row r="205" spans="1:79">
      <c r="A205" s="2269"/>
      <c r="B205" s="2269"/>
      <c r="C205" s="2269"/>
      <c r="D205" s="2269"/>
      <c r="E205" s="2269"/>
      <c r="F205" s="2269"/>
      <c r="G205" s="2269"/>
      <c r="H205" s="2269"/>
      <c r="I205" s="2269"/>
      <c r="J205" s="2269"/>
      <c r="K205" s="2269"/>
      <c r="L205" s="2269"/>
      <c r="M205" s="2269"/>
      <c r="N205" s="2269"/>
      <c r="O205" s="2269"/>
      <c r="P205" s="2269"/>
      <c r="Q205" s="2269"/>
      <c r="R205" s="2269"/>
      <c r="S205" s="2269"/>
      <c r="T205" s="2269"/>
      <c r="U205" s="2269"/>
      <c r="V205" s="2269"/>
      <c r="W205" s="2269"/>
      <c r="X205" s="2269"/>
      <c r="Y205" s="2269"/>
      <c r="Z205" s="2269"/>
      <c r="AA205" s="2269"/>
      <c r="AB205" s="2269"/>
      <c r="AC205" s="2269"/>
      <c r="AD205" s="2269"/>
      <c r="AE205" s="2269"/>
      <c r="AF205" s="2269"/>
      <c r="AG205" s="2269"/>
      <c r="AH205" s="2269"/>
      <c r="AI205" s="2269"/>
      <c r="AJ205" s="2269"/>
      <c r="AK205" s="2269"/>
      <c r="AL205" s="2269"/>
      <c r="AM205" s="2269"/>
      <c r="AN205" s="2269"/>
      <c r="AO205" s="2269"/>
      <c r="AP205" s="2269"/>
      <c r="AQ205" s="2269"/>
      <c r="AR205" s="2269"/>
      <c r="AS205" s="2269"/>
      <c r="AT205" s="2269"/>
      <c r="AU205" s="2269"/>
      <c r="AV205" s="2269"/>
      <c r="AW205" s="2269"/>
      <c r="AX205" s="2269"/>
      <c r="AY205" s="2269"/>
      <c r="AZ205" s="2269"/>
      <c r="BA205" s="2269"/>
      <c r="BB205" s="2269"/>
      <c r="BC205" s="2269"/>
      <c r="BD205" s="2269"/>
      <c r="BE205" s="2269"/>
      <c r="BF205" s="2269"/>
      <c r="BG205" s="2269"/>
      <c r="BH205" s="2269"/>
      <c r="BI205" s="2269"/>
      <c r="BJ205" s="2269"/>
      <c r="BK205" s="2269"/>
      <c r="BL205" s="2269"/>
      <c r="BM205" s="2269"/>
      <c r="BN205" s="2269"/>
      <c r="BO205" s="2269"/>
      <c r="BP205" s="2269"/>
      <c r="BQ205" s="2269"/>
      <c r="BR205" s="2269"/>
      <c r="BS205" s="2269"/>
      <c r="BT205" s="2269"/>
      <c r="BU205" s="2269"/>
      <c r="BV205" s="2269"/>
      <c r="BW205" s="2269"/>
      <c r="BX205" s="2269"/>
      <c r="BY205" s="2269"/>
      <c r="BZ205" s="2269"/>
      <c r="CA205" s="2269"/>
    </row>
    <row r="206" spans="1:79">
      <c r="A206" s="2269"/>
      <c r="B206" s="2269"/>
      <c r="C206" s="2269"/>
      <c r="D206" s="2269"/>
      <c r="E206" s="2269"/>
      <c r="F206" s="2269"/>
      <c r="G206" s="2269"/>
      <c r="H206" s="2269"/>
      <c r="I206" s="2269"/>
      <c r="J206" s="2269"/>
      <c r="K206" s="2269"/>
      <c r="L206" s="2269"/>
      <c r="M206" s="2269"/>
      <c r="N206" s="2269"/>
      <c r="O206" s="2269"/>
      <c r="P206" s="2269"/>
      <c r="Q206" s="2269"/>
      <c r="R206" s="2269"/>
      <c r="S206" s="2269"/>
      <c r="T206" s="2269"/>
      <c r="U206" s="2269"/>
      <c r="V206" s="2269"/>
      <c r="W206" s="2269"/>
      <c r="X206" s="2269"/>
      <c r="Y206" s="2269"/>
      <c r="Z206" s="2269"/>
      <c r="AA206" s="2269"/>
      <c r="AB206" s="2269"/>
      <c r="AC206" s="2269"/>
      <c r="AD206" s="2269"/>
      <c r="AE206" s="2269"/>
      <c r="AF206" s="2269"/>
      <c r="AG206" s="2269"/>
      <c r="AH206" s="2269"/>
      <c r="AI206" s="2269"/>
      <c r="AJ206" s="2269"/>
      <c r="AK206" s="2269"/>
      <c r="AL206" s="2269"/>
      <c r="AM206" s="2269"/>
      <c r="AN206" s="2269"/>
      <c r="AO206" s="2269"/>
      <c r="AP206" s="2269"/>
      <c r="AQ206" s="2269"/>
      <c r="AR206" s="2269"/>
      <c r="AS206" s="2269"/>
      <c r="AT206" s="2269"/>
      <c r="AU206" s="2269"/>
      <c r="AV206" s="2269"/>
      <c r="AW206" s="2269"/>
      <c r="AX206" s="2269"/>
      <c r="AY206" s="2269"/>
      <c r="AZ206" s="2269"/>
      <c r="BA206" s="2269"/>
      <c r="BB206" s="2269"/>
      <c r="BC206" s="2269"/>
      <c r="BD206" s="2269"/>
      <c r="BE206" s="2269"/>
      <c r="BF206" s="2269"/>
      <c r="BG206" s="2269"/>
      <c r="BH206" s="2269"/>
      <c r="BI206" s="2269"/>
      <c r="BJ206" s="2269"/>
      <c r="BK206" s="2269"/>
      <c r="BL206" s="2269"/>
      <c r="BM206" s="2269"/>
      <c r="BN206" s="2269"/>
      <c r="BO206" s="2269"/>
      <c r="BP206" s="2269"/>
      <c r="BQ206" s="2269"/>
      <c r="BR206" s="2269"/>
      <c r="BS206" s="2269"/>
      <c r="BT206" s="2269"/>
      <c r="BU206" s="2269"/>
      <c r="BV206" s="2269"/>
      <c r="BW206" s="2269"/>
      <c r="BX206" s="2269"/>
      <c r="BY206" s="2269"/>
      <c r="BZ206" s="2269"/>
      <c r="CA206" s="2269"/>
    </row>
    <row r="207" spans="1:79">
      <c r="A207" s="2269"/>
      <c r="B207" s="2269"/>
      <c r="C207" s="2269"/>
      <c r="D207" s="2269"/>
      <c r="E207" s="2269"/>
      <c r="F207" s="2269"/>
      <c r="G207" s="2269"/>
      <c r="H207" s="2269"/>
      <c r="I207" s="2269"/>
      <c r="J207" s="2269"/>
      <c r="K207" s="2269"/>
      <c r="L207" s="2269"/>
      <c r="M207" s="2269"/>
      <c r="N207" s="2269"/>
      <c r="O207" s="2269"/>
      <c r="P207" s="2269"/>
      <c r="Q207" s="2269"/>
      <c r="R207" s="2269"/>
      <c r="S207" s="2269"/>
      <c r="T207" s="2269"/>
      <c r="U207" s="2269"/>
      <c r="V207" s="2269"/>
      <c r="W207" s="2269"/>
      <c r="X207" s="2269"/>
      <c r="Y207" s="2269"/>
      <c r="Z207" s="2269"/>
      <c r="AA207" s="2269"/>
      <c r="AB207" s="2269"/>
      <c r="AC207" s="2269"/>
      <c r="AD207" s="2269"/>
      <c r="AE207" s="2269"/>
      <c r="AF207" s="2269"/>
      <c r="AG207" s="2269"/>
      <c r="AH207" s="2269"/>
      <c r="AI207" s="2269"/>
      <c r="AJ207" s="2269"/>
      <c r="AK207" s="2269"/>
      <c r="AL207" s="2269"/>
      <c r="AM207" s="2269"/>
      <c r="AN207" s="2269"/>
      <c r="AO207" s="2269"/>
      <c r="AP207" s="2269"/>
      <c r="AQ207" s="2269"/>
      <c r="AR207" s="2269"/>
      <c r="AS207" s="2269"/>
      <c r="AT207" s="2269"/>
      <c r="AU207" s="2269"/>
      <c r="AV207" s="2269"/>
      <c r="AW207" s="2269"/>
      <c r="AX207" s="2269"/>
      <c r="AY207" s="2269"/>
      <c r="AZ207" s="2269"/>
      <c r="BA207" s="2269"/>
      <c r="BB207" s="2269"/>
      <c r="BC207" s="2269"/>
      <c r="BD207" s="2269"/>
      <c r="BE207" s="2269"/>
      <c r="BF207" s="2269"/>
      <c r="BG207" s="2269"/>
      <c r="BH207" s="2269"/>
      <c r="BI207" s="2269"/>
      <c r="BJ207" s="2269"/>
      <c r="BK207" s="2269"/>
      <c r="BL207" s="2269"/>
      <c r="BM207" s="2269"/>
      <c r="BN207" s="2269"/>
      <c r="BO207" s="2269"/>
      <c r="BP207" s="2269"/>
      <c r="BQ207" s="2269"/>
      <c r="BR207" s="2269"/>
      <c r="BS207" s="2269"/>
      <c r="BT207" s="2269"/>
      <c r="BU207" s="2269"/>
      <c r="BV207" s="2269"/>
      <c r="BW207" s="2269"/>
      <c r="BX207" s="2269"/>
      <c r="BY207" s="2269"/>
      <c r="BZ207" s="2269"/>
      <c r="CA207" s="2269"/>
    </row>
    <row r="208" spans="1:79">
      <c r="A208" s="2269"/>
      <c r="B208" s="2269"/>
      <c r="C208" s="2269"/>
      <c r="D208" s="2269"/>
      <c r="E208" s="2269"/>
      <c r="F208" s="2269"/>
      <c r="G208" s="2269"/>
      <c r="H208" s="2269"/>
      <c r="I208" s="2269"/>
      <c r="J208" s="2269"/>
      <c r="K208" s="2269"/>
      <c r="L208" s="2269"/>
      <c r="M208" s="2269"/>
      <c r="N208" s="2269"/>
      <c r="O208" s="2269"/>
      <c r="P208" s="2269"/>
      <c r="Q208" s="2269"/>
      <c r="R208" s="2269"/>
      <c r="S208" s="2269"/>
      <c r="T208" s="2269"/>
      <c r="U208" s="2269"/>
      <c r="V208" s="2269"/>
      <c r="W208" s="2269"/>
      <c r="X208" s="2269"/>
      <c r="Y208" s="2269"/>
      <c r="Z208" s="2269"/>
      <c r="AA208" s="2269"/>
      <c r="AB208" s="2269"/>
      <c r="AC208" s="2269"/>
      <c r="AD208" s="2269"/>
      <c r="AE208" s="2269"/>
      <c r="AF208" s="2269"/>
      <c r="AG208" s="2269"/>
      <c r="AH208" s="2269"/>
      <c r="AI208" s="2269"/>
      <c r="AJ208" s="2269"/>
      <c r="AK208" s="2269"/>
      <c r="AL208" s="2269"/>
      <c r="AM208" s="2269"/>
      <c r="AN208" s="2269"/>
      <c r="AO208" s="2269"/>
      <c r="AP208" s="2269"/>
      <c r="AQ208" s="2269"/>
      <c r="AR208" s="2269"/>
      <c r="AS208" s="2269"/>
      <c r="AT208" s="2269"/>
      <c r="AU208" s="2269"/>
      <c r="AV208" s="2269"/>
      <c r="AW208" s="2269"/>
      <c r="AX208" s="2269"/>
      <c r="AY208" s="2269"/>
      <c r="AZ208" s="2269"/>
      <c r="BA208" s="2269"/>
      <c r="BB208" s="2269"/>
      <c r="BC208" s="2269"/>
      <c r="BD208" s="2269"/>
      <c r="BE208" s="2269"/>
      <c r="BF208" s="2269"/>
      <c r="BG208" s="2269"/>
      <c r="BH208" s="2269"/>
      <c r="BI208" s="2269"/>
      <c r="BJ208" s="2269"/>
      <c r="BK208" s="2269"/>
      <c r="BL208" s="2269"/>
      <c r="BM208" s="2269"/>
      <c r="BN208" s="2269"/>
      <c r="BO208" s="2269"/>
      <c r="BP208" s="2269"/>
      <c r="BQ208" s="2269"/>
      <c r="BR208" s="2269"/>
      <c r="BS208" s="2269"/>
      <c r="BT208" s="2269"/>
      <c r="BU208" s="2269"/>
      <c r="BV208" s="2269"/>
      <c r="BW208" s="2269"/>
      <c r="BX208" s="2269"/>
      <c r="BY208" s="2269"/>
      <c r="BZ208" s="2269"/>
      <c r="CA208" s="2269"/>
    </row>
    <row r="209" spans="1:79">
      <c r="A209" s="2269"/>
      <c r="B209" s="2269"/>
      <c r="C209" s="2269"/>
      <c r="D209" s="2269"/>
      <c r="E209" s="2269"/>
      <c r="F209" s="2269"/>
      <c r="G209" s="2269"/>
      <c r="H209" s="2269"/>
      <c r="I209" s="2269"/>
      <c r="J209" s="2269"/>
      <c r="K209" s="2269"/>
      <c r="L209" s="2269"/>
      <c r="M209" s="2269"/>
      <c r="N209" s="2269"/>
      <c r="O209" s="2269"/>
      <c r="P209" s="2269"/>
      <c r="Q209" s="2269"/>
      <c r="R209" s="2269"/>
      <c r="S209" s="2269"/>
      <c r="T209" s="2269"/>
      <c r="U209" s="2269"/>
      <c r="V209" s="2269"/>
      <c r="W209" s="2269"/>
      <c r="X209" s="2269"/>
      <c r="Y209" s="2269"/>
      <c r="Z209" s="2269"/>
      <c r="AA209" s="2269"/>
      <c r="AB209" s="2269"/>
      <c r="AC209" s="2269"/>
      <c r="AD209" s="2269"/>
      <c r="AE209" s="2269"/>
      <c r="AF209" s="2269"/>
      <c r="AG209" s="2269"/>
      <c r="AH209" s="2269"/>
      <c r="AI209" s="2269"/>
      <c r="AJ209" s="2269"/>
      <c r="AK209" s="2269"/>
      <c r="AL209" s="2269"/>
      <c r="AM209" s="2269"/>
      <c r="AN209" s="2269"/>
      <c r="AO209" s="2269"/>
      <c r="AP209" s="2269"/>
      <c r="AQ209" s="2269"/>
      <c r="AR209" s="2269"/>
      <c r="AS209" s="2269"/>
      <c r="AT209" s="2269"/>
      <c r="AU209" s="2269"/>
      <c r="AV209" s="2269"/>
      <c r="AW209" s="2269"/>
      <c r="AX209" s="2269"/>
      <c r="AY209" s="2269"/>
      <c r="AZ209" s="2269"/>
      <c r="BA209" s="2269"/>
      <c r="BB209" s="2269"/>
      <c r="BC209" s="2269"/>
      <c r="BD209" s="2269"/>
      <c r="BE209" s="2269"/>
      <c r="BF209" s="2269"/>
      <c r="BG209" s="2269"/>
      <c r="BH209" s="2269"/>
      <c r="BI209" s="2269"/>
      <c r="BJ209" s="2269"/>
      <c r="BK209" s="2269"/>
      <c r="BL209" s="2269"/>
      <c r="BM209" s="2269"/>
      <c r="BN209" s="2269"/>
      <c r="BO209" s="2269"/>
      <c r="BP209" s="2269"/>
      <c r="BQ209" s="2269"/>
      <c r="BR209" s="2269"/>
      <c r="BS209" s="2269"/>
      <c r="BT209" s="2269"/>
      <c r="BU209" s="2269"/>
      <c r="BV209" s="2269"/>
      <c r="BW209" s="2269"/>
      <c r="BX209" s="2269"/>
      <c r="BY209" s="2269"/>
      <c r="BZ209" s="2269"/>
      <c r="CA209" s="2269"/>
    </row>
    <row r="210" spans="1:79">
      <c r="A210" s="2269"/>
      <c r="B210" s="2269"/>
      <c r="C210" s="2269"/>
      <c r="D210" s="2269"/>
      <c r="E210" s="2269"/>
      <c r="F210" s="2269"/>
      <c r="G210" s="2269"/>
      <c r="H210" s="2269"/>
      <c r="I210" s="2269"/>
      <c r="J210" s="2269"/>
      <c r="K210" s="2269"/>
      <c r="L210" s="2269"/>
      <c r="M210" s="2269"/>
      <c r="N210" s="2269"/>
      <c r="O210" s="2269"/>
      <c r="P210" s="2269"/>
      <c r="Q210" s="2269"/>
      <c r="R210" s="2269"/>
      <c r="S210" s="2269"/>
      <c r="T210" s="2269"/>
      <c r="U210" s="2269"/>
      <c r="V210" s="2269"/>
      <c r="W210" s="2269"/>
      <c r="X210" s="2269"/>
      <c r="Y210" s="2269"/>
      <c r="Z210" s="2269"/>
      <c r="AA210" s="2269"/>
      <c r="AB210" s="2269"/>
      <c r="AC210" s="2269"/>
      <c r="AD210" s="2269"/>
      <c r="AE210" s="2269"/>
      <c r="AF210" s="2269"/>
      <c r="AG210" s="2269"/>
      <c r="AH210" s="2269"/>
      <c r="AI210" s="2269"/>
      <c r="AJ210" s="2269"/>
      <c r="AK210" s="2269"/>
      <c r="AL210" s="2269"/>
      <c r="AM210" s="2269"/>
      <c r="AN210" s="2269"/>
      <c r="AO210" s="2269"/>
      <c r="AP210" s="2269"/>
      <c r="AQ210" s="2269"/>
      <c r="AR210" s="2269"/>
      <c r="AS210" s="2269"/>
      <c r="AT210" s="2269"/>
      <c r="AU210" s="2269"/>
      <c r="AV210" s="2269"/>
      <c r="AW210" s="2269"/>
      <c r="AX210" s="2269"/>
      <c r="AY210" s="2269"/>
      <c r="AZ210" s="2269"/>
      <c r="BA210" s="2269"/>
      <c r="BB210" s="2269"/>
      <c r="BC210" s="2269"/>
      <c r="BD210" s="2269"/>
      <c r="BE210" s="2269"/>
      <c r="BF210" s="2269"/>
      <c r="BG210" s="2269"/>
      <c r="BH210" s="2269"/>
      <c r="BI210" s="2269"/>
      <c r="BJ210" s="2269"/>
      <c r="BK210" s="2269"/>
      <c r="BL210" s="2269"/>
      <c r="BM210" s="2269"/>
      <c r="BN210" s="2269"/>
      <c r="BO210" s="2269"/>
      <c r="BP210" s="2269"/>
      <c r="BQ210" s="2269"/>
      <c r="BR210" s="2269"/>
      <c r="BS210" s="2269"/>
      <c r="BT210" s="2269"/>
      <c r="BU210" s="2269"/>
      <c r="BV210" s="2269"/>
      <c r="BW210" s="2269"/>
      <c r="BX210" s="2269"/>
      <c r="BY210" s="2269"/>
      <c r="BZ210" s="2269"/>
      <c r="CA210" s="2269"/>
    </row>
    <row r="211" spans="1:79">
      <c r="A211" s="2269"/>
      <c r="B211" s="2269"/>
      <c r="C211" s="2269"/>
      <c r="D211" s="2269"/>
      <c r="E211" s="2269"/>
      <c r="F211" s="2269"/>
      <c r="G211" s="2269"/>
      <c r="H211" s="2269"/>
      <c r="I211" s="2269"/>
      <c r="J211" s="2269"/>
      <c r="K211" s="2269"/>
      <c r="L211" s="2269"/>
      <c r="M211" s="2269"/>
      <c r="N211" s="2269"/>
      <c r="O211" s="2269"/>
      <c r="P211" s="2269"/>
      <c r="Q211" s="2269"/>
      <c r="R211" s="2269"/>
      <c r="S211" s="2269"/>
      <c r="T211" s="2269"/>
      <c r="U211" s="2269"/>
      <c r="V211" s="2269"/>
      <c r="W211" s="2269"/>
      <c r="X211" s="2269"/>
      <c r="Y211" s="2269"/>
      <c r="Z211" s="2269"/>
      <c r="AA211" s="2269"/>
      <c r="AB211" s="2269"/>
      <c r="AC211" s="2269"/>
      <c r="AD211" s="2269"/>
      <c r="AE211" s="2269"/>
      <c r="AF211" s="2269"/>
      <c r="AG211" s="2269"/>
      <c r="AH211" s="2269"/>
      <c r="AI211" s="2269"/>
      <c r="AJ211" s="2269"/>
      <c r="AK211" s="2269"/>
      <c r="AL211" s="2269"/>
      <c r="AM211" s="2269"/>
      <c r="AN211" s="2269"/>
      <c r="AO211" s="2269"/>
      <c r="AP211" s="2269"/>
      <c r="AQ211" s="2269"/>
      <c r="AR211" s="2269"/>
      <c r="AS211" s="2269"/>
      <c r="AT211" s="2269"/>
      <c r="AU211" s="2269"/>
      <c r="AV211" s="2269"/>
      <c r="AW211" s="2269"/>
      <c r="AX211" s="2269"/>
      <c r="AY211" s="2269"/>
      <c r="AZ211" s="2269"/>
      <c r="BA211" s="2269"/>
      <c r="BB211" s="2269"/>
      <c r="BC211" s="2269"/>
      <c r="BD211" s="2269"/>
      <c r="BE211" s="2269"/>
      <c r="BF211" s="2269"/>
      <c r="BG211" s="2269"/>
      <c r="BH211" s="2269"/>
      <c r="BI211" s="2269"/>
      <c r="BJ211" s="2269"/>
      <c r="BK211" s="2269"/>
      <c r="BL211" s="2269"/>
      <c r="BM211" s="2269"/>
      <c r="BN211" s="2269"/>
      <c r="BO211" s="2269"/>
      <c r="BP211" s="2269"/>
      <c r="BQ211" s="2269"/>
      <c r="BR211" s="2269"/>
      <c r="BS211" s="2269"/>
      <c r="BT211" s="2269"/>
      <c r="BU211" s="2269"/>
      <c r="BV211" s="2269"/>
      <c r="BW211" s="2269"/>
      <c r="BX211" s="2269"/>
      <c r="BY211" s="2269"/>
      <c r="BZ211" s="2269"/>
      <c r="CA211" s="2269"/>
    </row>
    <row r="212" spans="1:79">
      <c r="A212" s="2269"/>
      <c r="B212" s="2269"/>
      <c r="C212" s="2269"/>
      <c r="D212" s="2269"/>
      <c r="E212" s="2269"/>
      <c r="F212" s="2269"/>
      <c r="G212" s="2269"/>
      <c r="H212" s="2269"/>
      <c r="I212" s="2269"/>
      <c r="J212" s="2269"/>
      <c r="K212" s="2269"/>
      <c r="L212" s="2269"/>
      <c r="M212" s="2269"/>
      <c r="N212" s="2269"/>
      <c r="O212" s="2269"/>
      <c r="P212" s="2269"/>
      <c r="Q212" s="2269"/>
      <c r="R212" s="2269"/>
      <c r="S212" s="2269"/>
      <c r="T212" s="2269"/>
      <c r="U212" s="2269"/>
      <c r="V212" s="2269"/>
      <c r="W212" s="2269"/>
      <c r="X212" s="2269"/>
      <c r="Y212" s="2269"/>
      <c r="Z212" s="2269"/>
      <c r="AA212" s="2269"/>
      <c r="AB212" s="2269"/>
      <c r="AC212" s="2269"/>
      <c r="AD212" s="2269"/>
      <c r="AE212" s="2269"/>
      <c r="AF212" s="2269"/>
      <c r="AG212" s="2269"/>
      <c r="AH212" s="2269"/>
      <c r="AI212" s="2269"/>
      <c r="AJ212" s="2269"/>
      <c r="AK212" s="2269"/>
      <c r="AL212" s="2269"/>
      <c r="AM212" s="2269"/>
      <c r="AN212" s="2269"/>
      <c r="AO212" s="2269"/>
      <c r="AP212" s="2269"/>
      <c r="AQ212" s="2269"/>
      <c r="AR212" s="2269"/>
      <c r="AS212" s="2269"/>
      <c r="AT212" s="2269"/>
      <c r="AU212" s="2269"/>
      <c r="AV212" s="2269"/>
      <c r="AW212" s="2269"/>
      <c r="AX212" s="2269"/>
      <c r="AY212" s="2269"/>
      <c r="AZ212" s="2269"/>
      <c r="BA212" s="2269"/>
      <c r="BB212" s="2269"/>
      <c r="BC212" s="2269"/>
      <c r="BD212" s="2269"/>
      <c r="BE212" s="2269"/>
      <c r="BF212" s="2269"/>
      <c r="BG212" s="2269"/>
      <c r="BH212" s="2269"/>
      <c r="BI212" s="2269"/>
      <c r="BJ212" s="2269"/>
      <c r="BK212" s="2269"/>
      <c r="BL212" s="2269"/>
      <c r="BM212" s="2269"/>
      <c r="BN212" s="2269"/>
      <c r="BO212" s="2269"/>
      <c r="BP212" s="2269"/>
      <c r="BQ212" s="2269"/>
      <c r="BR212" s="2269"/>
      <c r="BS212" s="2269"/>
      <c r="BT212" s="2269"/>
      <c r="BU212" s="2269"/>
      <c r="BV212" s="2269"/>
      <c r="BW212" s="2269"/>
      <c r="BX212" s="2269"/>
      <c r="BY212" s="2269"/>
      <c r="BZ212" s="2269"/>
      <c r="CA212" s="2269"/>
    </row>
    <row r="213" spans="1:79">
      <c r="A213" s="2269"/>
      <c r="B213" s="2269"/>
      <c r="C213" s="2269"/>
      <c r="D213" s="2269"/>
      <c r="E213" s="2269"/>
      <c r="F213" s="2269"/>
      <c r="G213" s="2269"/>
      <c r="H213" s="2269"/>
      <c r="I213" s="2269"/>
      <c r="J213" s="2269"/>
      <c r="K213" s="2269"/>
      <c r="L213" s="2269"/>
      <c r="M213" s="2269"/>
      <c r="N213" s="2269"/>
      <c r="O213" s="2269"/>
      <c r="P213" s="2269"/>
      <c r="Q213" s="2269"/>
      <c r="R213" s="2269"/>
      <c r="S213" s="2269"/>
      <c r="T213" s="2269"/>
      <c r="U213" s="2269"/>
      <c r="V213" s="2269"/>
      <c r="W213" s="2269"/>
      <c r="X213" s="2269"/>
      <c r="Y213" s="2269"/>
      <c r="Z213" s="2269"/>
      <c r="AA213" s="2269"/>
      <c r="AB213" s="2269"/>
      <c r="AC213" s="2269"/>
      <c r="AD213" s="2269"/>
      <c r="AE213" s="2269"/>
      <c r="AF213" s="2269"/>
      <c r="AG213" s="2269"/>
      <c r="AH213" s="2269"/>
      <c r="AI213" s="2269"/>
      <c r="AJ213" s="2269"/>
      <c r="AK213" s="2269"/>
      <c r="AL213" s="2269"/>
      <c r="AM213" s="2269"/>
      <c r="AN213" s="2269"/>
      <c r="AO213" s="2269"/>
      <c r="AP213" s="2269"/>
      <c r="AQ213" s="2269"/>
      <c r="AR213" s="2269"/>
      <c r="AS213" s="2269"/>
      <c r="AT213" s="2269"/>
      <c r="AU213" s="2269"/>
      <c r="AV213" s="2269"/>
      <c r="AW213" s="2269"/>
      <c r="AX213" s="2269"/>
      <c r="AY213" s="2269"/>
      <c r="AZ213" s="2269"/>
      <c r="BA213" s="2269"/>
      <c r="BB213" s="2269"/>
      <c r="BC213" s="2269"/>
      <c r="BD213" s="2269"/>
      <c r="BE213" s="2269"/>
      <c r="BF213" s="2269"/>
      <c r="BG213" s="2269"/>
      <c r="BH213" s="2269"/>
      <c r="BI213" s="2269"/>
      <c r="BJ213" s="2269"/>
      <c r="BK213" s="2269"/>
      <c r="BL213" s="2269"/>
      <c r="BM213" s="2269"/>
      <c r="BN213" s="2269"/>
      <c r="BO213" s="2269"/>
      <c r="BP213" s="2269"/>
      <c r="BQ213" s="2269"/>
      <c r="BR213" s="2269"/>
      <c r="BS213" s="2269"/>
      <c r="BT213" s="2269"/>
      <c r="BU213" s="2269"/>
      <c r="BV213" s="2269"/>
      <c r="BW213" s="2269"/>
      <c r="BX213" s="2269"/>
      <c r="BY213" s="2269"/>
      <c r="BZ213" s="2269"/>
      <c r="CA213" s="2269"/>
    </row>
    <row r="214" spans="1:79">
      <c r="A214" s="2269"/>
      <c r="B214" s="2269"/>
      <c r="C214" s="2269"/>
      <c r="D214" s="2269"/>
      <c r="E214" s="2269"/>
      <c r="F214" s="2269"/>
      <c r="G214" s="2269"/>
      <c r="H214" s="2269"/>
      <c r="I214" s="2269"/>
      <c r="J214" s="2269"/>
      <c r="K214" s="2269"/>
      <c r="L214" s="2269"/>
      <c r="M214" s="2269"/>
      <c r="N214" s="2269"/>
      <c r="O214" s="2269"/>
      <c r="P214" s="2269"/>
      <c r="Q214" s="2269"/>
      <c r="R214" s="2269"/>
      <c r="S214" s="2269"/>
      <c r="T214" s="2269"/>
      <c r="U214" s="2269"/>
      <c r="V214" s="2269"/>
      <c r="W214" s="2269"/>
      <c r="X214" s="2269"/>
      <c r="Y214" s="2269"/>
      <c r="Z214" s="2269"/>
      <c r="AA214" s="2269"/>
      <c r="AB214" s="2269"/>
      <c r="AC214" s="2269"/>
      <c r="AD214" s="2269"/>
      <c r="AE214" s="2269"/>
      <c r="AF214" s="2269"/>
      <c r="AG214" s="2269"/>
      <c r="AH214" s="2269"/>
      <c r="AI214" s="2269"/>
      <c r="AJ214" s="2269"/>
      <c r="AK214" s="2269"/>
      <c r="AL214" s="2269"/>
      <c r="AM214" s="2269"/>
      <c r="AN214" s="2269"/>
      <c r="AO214" s="2269"/>
      <c r="AP214" s="2269"/>
      <c r="AQ214" s="2269"/>
      <c r="AR214" s="2269"/>
      <c r="AS214" s="2269"/>
      <c r="AT214" s="2269"/>
      <c r="AU214" s="2269"/>
      <c r="AV214" s="2269"/>
      <c r="AW214" s="2269"/>
      <c r="AX214" s="2269"/>
      <c r="AY214" s="2269"/>
      <c r="AZ214" s="2269"/>
      <c r="BA214" s="2269"/>
      <c r="BB214" s="2269"/>
      <c r="BC214" s="2269"/>
      <c r="BD214" s="2269"/>
      <c r="BE214" s="2269"/>
      <c r="BF214" s="2269"/>
      <c r="BG214" s="2269"/>
      <c r="BH214" s="2269"/>
      <c r="BI214" s="2269"/>
      <c r="BJ214" s="2269"/>
      <c r="BK214" s="2269"/>
      <c r="BL214" s="2269"/>
      <c r="BM214" s="2269"/>
      <c r="BN214" s="2269"/>
      <c r="BO214" s="2269"/>
      <c r="BP214" s="2269"/>
      <c r="BQ214" s="2269"/>
      <c r="BR214" s="2269"/>
      <c r="BS214" s="2269"/>
      <c r="BT214" s="2269"/>
      <c r="BU214" s="2269"/>
      <c r="BV214" s="2269"/>
      <c r="BW214" s="2269"/>
      <c r="BX214" s="2269"/>
      <c r="BY214" s="2269"/>
      <c r="BZ214" s="2269"/>
      <c r="CA214" s="2269"/>
    </row>
    <row r="215" spans="1:79">
      <c r="A215" s="2269"/>
      <c r="B215" s="2269"/>
      <c r="C215" s="2269"/>
      <c r="D215" s="2269"/>
      <c r="E215" s="2269"/>
      <c r="F215" s="2269"/>
      <c r="G215" s="2269"/>
      <c r="H215" s="2269"/>
      <c r="I215" s="2269"/>
      <c r="J215" s="2269"/>
      <c r="K215" s="2269"/>
      <c r="L215" s="2269"/>
      <c r="M215" s="2269"/>
      <c r="N215" s="2269"/>
      <c r="O215" s="2269"/>
      <c r="P215" s="2269"/>
      <c r="Q215" s="2269"/>
      <c r="R215" s="2269"/>
      <c r="S215" s="2269"/>
      <c r="T215" s="2269"/>
      <c r="U215" s="2269"/>
      <c r="V215" s="2269"/>
      <c r="W215" s="2269"/>
      <c r="X215" s="2269"/>
      <c r="Y215" s="2269"/>
      <c r="Z215" s="2269"/>
      <c r="AA215" s="2269"/>
      <c r="AB215" s="2269"/>
      <c r="AC215" s="2269"/>
      <c r="AD215" s="2269"/>
      <c r="AE215" s="2269"/>
      <c r="AF215" s="2269"/>
      <c r="AG215" s="2269"/>
      <c r="AH215" s="2269"/>
      <c r="AI215" s="2269"/>
      <c r="AJ215" s="2269"/>
      <c r="AK215" s="2269"/>
      <c r="AL215" s="2269"/>
      <c r="AM215" s="2269"/>
      <c r="AN215" s="2269"/>
      <c r="AO215" s="2269"/>
      <c r="AP215" s="2269"/>
      <c r="AQ215" s="2269"/>
      <c r="AR215" s="2269"/>
      <c r="AS215" s="2269"/>
      <c r="AT215" s="2269"/>
      <c r="AU215" s="2269"/>
      <c r="AV215" s="2269"/>
      <c r="AW215" s="2269"/>
      <c r="AX215" s="2269"/>
      <c r="AY215" s="2269"/>
      <c r="AZ215" s="2269"/>
      <c r="BA215" s="2269"/>
      <c r="BB215" s="2269"/>
      <c r="BC215" s="2269"/>
      <c r="BD215" s="2269"/>
      <c r="BE215" s="2269"/>
      <c r="BF215" s="2269"/>
      <c r="BG215" s="2269"/>
      <c r="BH215" s="2269"/>
      <c r="BI215" s="2269"/>
      <c r="BJ215" s="2269"/>
      <c r="BK215" s="2269"/>
      <c r="BL215" s="2269"/>
      <c r="BM215" s="2269"/>
      <c r="BN215" s="2269"/>
      <c r="BO215" s="2269"/>
      <c r="BP215" s="2269"/>
      <c r="BQ215" s="2269"/>
      <c r="BR215" s="2269"/>
      <c r="BS215" s="2269"/>
      <c r="BT215" s="2269"/>
      <c r="BU215" s="2269"/>
      <c r="BV215" s="2269"/>
      <c r="BW215" s="2269"/>
      <c r="BX215" s="2269"/>
      <c r="BY215" s="2269"/>
      <c r="BZ215" s="2269"/>
      <c r="CA215" s="2269"/>
    </row>
    <row r="216" spans="1:79">
      <c r="A216" s="2269"/>
      <c r="B216" s="2269"/>
      <c r="C216" s="2269"/>
      <c r="D216" s="2269"/>
      <c r="E216" s="2269"/>
      <c r="F216" s="2269"/>
      <c r="G216" s="2269"/>
      <c r="H216" s="2269"/>
      <c r="I216" s="2269"/>
      <c r="J216" s="2269"/>
      <c r="K216" s="2269"/>
      <c r="L216" s="2269"/>
      <c r="M216" s="2269"/>
      <c r="N216" s="2269"/>
      <c r="O216" s="2269"/>
      <c r="P216" s="2269"/>
      <c r="Q216" s="2269"/>
      <c r="R216" s="2269"/>
      <c r="S216" s="2269"/>
      <c r="T216" s="2269"/>
      <c r="U216" s="2269"/>
      <c r="V216" s="2269"/>
      <c r="W216" s="2269"/>
      <c r="X216" s="2269"/>
      <c r="Y216" s="2269"/>
      <c r="Z216" s="2269"/>
      <c r="AA216" s="2269"/>
      <c r="AB216" s="2269"/>
      <c r="AC216" s="2269"/>
      <c r="AD216" s="2269"/>
      <c r="AE216" s="2269"/>
      <c r="AF216" s="2269"/>
      <c r="AG216" s="2269"/>
      <c r="AH216" s="2269"/>
      <c r="AI216" s="2269"/>
      <c r="AJ216" s="2269"/>
      <c r="AK216" s="2269"/>
      <c r="AL216" s="2269"/>
      <c r="AM216" s="2269"/>
      <c r="AN216" s="2269"/>
      <c r="AO216" s="2269"/>
      <c r="AP216" s="2269"/>
      <c r="AQ216" s="2269"/>
      <c r="AR216" s="2269"/>
      <c r="AS216" s="2269"/>
      <c r="AT216" s="2269"/>
      <c r="AU216" s="2269"/>
      <c r="AV216" s="2269"/>
      <c r="AW216" s="2269"/>
      <c r="AX216" s="2269"/>
      <c r="AY216" s="2269"/>
      <c r="AZ216" s="2269"/>
      <c r="BA216" s="2269"/>
      <c r="BB216" s="2269"/>
      <c r="BC216" s="2269"/>
      <c r="BD216" s="2269"/>
      <c r="BE216" s="2269"/>
      <c r="BF216" s="2269"/>
      <c r="BG216" s="2269"/>
      <c r="BH216" s="2269"/>
      <c r="BI216" s="2269"/>
      <c r="BJ216" s="2269"/>
      <c r="BK216" s="2269"/>
      <c r="BL216" s="2269"/>
      <c r="BM216" s="2269"/>
      <c r="BN216" s="2269"/>
      <c r="BO216" s="2269"/>
      <c r="BP216" s="2269"/>
      <c r="BQ216" s="2269"/>
      <c r="BR216" s="2269"/>
      <c r="BS216" s="2269"/>
      <c r="BT216" s="2269"/>
      <c r="BU216" s="2269"/>
      <c r="BV216" s="2269"/>
      <c r="BW216" s="2269"/>
      <c r="BX216" s="2269"/>
      <c r="BY216" s="2269"/>
      <c r="BZ216" s="2269"/>
      <c r="CA216" s="2269"/>
    </row>
    <row r="217" spans="1:79">
      <c r="A217" s="2269"/>
      <c r="B217" s="2269"/>
      <c r="C217" s="2269"/>
      <c r="D217" s="2269"/>
      <c r="E217" s="2269"/>
      <c r="F217" s="2269"/>
      <c r="G217" s="2269"/>
      <c r="H217" s="2269"/>
      <c r="I217" s="2269"/>
      <c r="J217" s="2269"/>
      <c r="K217" s="2269"/>
      <c r="L217" s="2269"/>
      <c r="M217" s="2269"/>
      <c r="N217" s="2269"/>
      <c r="O217" s="2269"/>
      <c r="P217" s="2269"/>
      <c r="Q217" s="2269"/>
      <c r="R217" s="2269"/>
      <c r="S217" s="2269"/>
      <c r="T217" s="2269"/>
      <c r="U217" s="2269"/>
      <c r="V217" s="2269"/>
      <c r="W217" s="2269"/>
      <c r="X217" s="2269"/>
      <c r="Y217" s="2269"/>
      <c r="Z217" s="2269"/>
      <c r="AA217" s="2269"/>
      <c r="AB217" s="2269"/>
      <c r="AC217" s="2269"/>
      <c r="AD217" s="2269"/>
      <c r="AE217" s="2269"/>
      <c r="AF217" s="2269"/>
      <c r="AG217" s="2269"/>
      <c r="AH217" s="2269"/>
      <c r="AI217" s="2269"/>
      <c r="AJ217" s="2269"/>
      <c r="AK217" s="2269"/>
      <c r="AL217" s="2269"/>
      <c r="AM217" s="2269"/>
      <c r="AN217" s="2269"/>
      <c r="AO217" s="2269"/>
      <c r="AP217" s="2269"/>
      <c r="AQ217" s="2269"/>
      <c r="AR217" s="2269"/>
      <c r="AS217" s="2269"/>
      <c r="AT217" s="2269"/>
      <c r="AU217" s="2269"/>
      <c r="AV217" s="2269"/>
      <c r="AW217" s="2269"/>
      <c r="AX217" s="2269"/>
      <c r="AY217" s="2269"/>
      <c r="AZ217" s="2269"/>
      <c r="BA217" s="2269"/>
      <c r="BB217" s="2269"/>
      <c r="BC217" s="2269"/>
      <c r="BD217" s="2269"/>
      <c r="BE217" s="2269"/>
      <c r="BF217" s="2269"/>
      <c r="BG217" s="2269"/>
      <c r="BH217" s="2269"/>
      <c r="BI217" s="2269"/>
      <c r="BJ217" s="2269"/>
      <c r="BK217" s="2269"/>
      <c r="BL217" s="2269"/>
      <c r="BM217" s="2269"/>
      <c r="BN217" s="2269"/>
      <c r="BO217" s="2269"/>
      <c r="BP217" s="2269"/>
      <c r="BQ217" s="2269"/>
      <c r="BR217" s="2269"/>
      <c r="BS217" s="2269"/>
      <c r="BT217" s="2269"/>
      <c r="BU217" s="2269"/>
      <c r="BV217" s="2269"/>
      <c r="BW217" s="2269"/>
      <c r="BX217" s="2269"/>
      <c r="BY217" s="2269"/>
      <c r="BZ217" s="2269"/>
      <c r="CA217" s="2269"/>
    </row>
    <row r="218" spans="1:79">
      <c r="A218" s="2269"/>
      <c r="B218" s="2269"/>
      <c r="C218" s="2269"/>
      <c r="D218" s="2269"/>
      <c r="E218" s="2269"/>
      <c r="F218" s="2269"/>
      <c r="G218" s="2269"/>
      <c r="H218" s="2269"/>
      <c r="I218" s="2269"/>
      <c r="J218" s="2269"/>
      <c r="K218" s="2269"/>
      <c r="L218" s="2269"/>
      <c r="M218" s="2269"/>
      <c r="N218" s="2269"/>
      <c r="O218" s="2269"/>
      <c r="P218" s="2269"/>
      <c r="Q218" s="2269"/>
      <c r="R218" s="2269"/>
      <c r="S218" s="2269"/>
      <c r="T218" s="2269"/>
      <c r="U218" s="2269"/>
      <c r="V218" s="2269"/>
      <c r="W218" s="2269"/>
      <c r="X218" s="2269"/>
      <c r="Y218" s="2269"/>
      <c r="Z218" s="2269"/>
      <c r="AA218" s="2269"/>
      <c r="AB218" s="2269"/>
      <c r="AC218" s="2269"/>
      <c r="AD218" s="2269"/>
      <c r="AE218" s="2269"/>
      <c r="AF218" s="2269"/>
      <c r="AG218" s="2269"/>
      <c r="AH218" s="2269"/>
      <c r="AI218" s="2269"/>
      <c r="AJ218" s="2269"/>
      <c r="AK218" s="2269"/>
      <c r="AL218" s="2269"/>
      <c r="AM218" s="2269"/>
      <c r="AN218" s="2269"/>
      <c r="AO218" s="2269"/>
      <c r="AP218" s="2269"/>
      <c r="AQ218" s="2269"/>
      <c r="AR218" s="2269"/>
      <c r="AS218" s="2269"/>
      <c r="AT218" s="2269"/>
      <c r="AU218" s="2269"/>
      <c r="AV218" s="2269"/>
      <c r="AW218" s="2269"/>
      <c r="AX218" s="2269"/>
      <c r="AY218" s="2269"/>
      <c r="AZ218" s="2269"/>
      <c r="BA218" s="2269"/>
      <c r="BB218" s="2269"/>
      <c r="BC218" s="2269"/>
      <c r="BD218" s="2269"/>
      <c r="BE218" s="2269"/>
      <c r="BF218" s="2269"/>
      <c r="BG218" s="2269"/>
      <c r="BH218" s="2269"/>
      <c r="BI218" s="2269"/>
      <c r="BJ218" s="2269"/>
      <c r="BK218" s="2269"/>
      <c r="BL218" s="2269"/>
      <c r="BM218" s="2269"/>
      <c r="BN218" s="2269"/>
      <c r="BO218" s="2269"/>
      <c r="BP218" s="2269"/>
      <c r="BQ218" s="2269"/>
      <c r="BR218" s="2269"/>
      <c r="BS218" s="2269"/>
      <c r="BT218" s="2269"/>
      <c r="BU218" s="2269"/>
      <c r="BV218" s="2269"/>
      <c r="BW218" s="2269"/>
      <c r="BX218" s="2269"/>
      <c r="BY218" s="2269"/>
      <c r="BZ218" s="2269"/>
      <c r="CA218" s="2269"/>
    </row>
    <row r="219" spans="1:79">
      <c r="A219" s="2269"/>
      <c r="B219" s="2269"/>
      <c r="C219" s="2269"/>
      <c r="D219" s="2269"/>
      <c r="E219" s="2269"/>
      <c r="F219" s="2269"/>
      <c r="G219" s="2269"/>
      <c r="H219" s="2269"/>
      <c r="I219" s="2269"/>
      <c r="J219" s="2269"/>
      <c r="K219" s="2269"/>
      <c r="L219" s="2269"/>
      <c r="M219" s="2269"/>
      <c r="N219" s="2269"/>
      <c r="O219" s="2269"/>
      <c r="P219" s="2269"/>
      <c r="Q219" s="2269"/>
      <c r="R219" s="2269"/>
      <c r="S219" s="2269"/>
      <c r="T219" s="2269"/>
      <c r="U219" s="2269"/>
      <c r="V219" s="2269"/>
      <c r="W219" s="2269"/>
      <c r="X219" s="2269"/>
      <c r="Y219" s="2269"/>
      <c r="Z219" s="2269"/>
      <c r="AA219" s="2269"/>
      <c r="AB219" s="2269"/>
      <c r="AC219" s="2269"/>
      <c r="AD219" s="2269"/>
      <c r="AE219" s="2269"/>
      <c r="AF219" s="2269"/>
      <c r="AG219" s="2269"/>
      <c r="AH219" s="2269"/>
      <c r="AI219" s="2269"/>
      <c r="AJ219" s="2269"/>
      <c r="AK219" s="2269"/>
      <c r="AL219" s="2269"/>
      <c r="AM219" s="2269"/>
      <c r="AN219" s="2269"/>
      <c r="AO219" s="2269"/>
      <c r="AP219" s="2269"/>
      <c r="AQ219" s="2269"/>
      <c r="AR219" s="2269"/>
      <c r="AS219" s="2269"/>
      <c r="AT219" s="2269"/>
      <c r="AU219" s="2269"/>
      <c r="AV219" s="2269"/>
      <c r="AW219" s="2269"/>
      <c r="AX219" s="2269"/>
      <c r="AY219" s="2269"/>
      <c r="AZ219" s="2269"/>
      <c r="BA219" s="2269"/>
      <c r="BB219" s="2269"/>
      <c r="BC219" s="2269"/>
      <c r="BD219" s="2269"/>
      <c r="BE219" s="2269"/>
      <c r="BF219" s="2269"/>
      <c r="BG219" s="2269"/>
      <c r="BH219" s="2269"/>
      <c r="BI219" s="2269"/>
      <c r="BJ219" s="2269"/>
      <c r="BK219" s="2269"/>
      <c r="BL219" s="2269"/>
      <c r="BM219" s="2269"/>
      <c r="BN219" s="2269"/>
      <c r="BO219" s="2269"/>
      <c r="BP219" s="2269"/>
      <c r="BQ219" s="2269"/>
      <c r="BR219" s="2269"/>
      <c r="BS219" s="2269"/>
      <c r="BT219" s="2269"/>
      <c r="BU219" s="2269"/>
      <c r="BV219" s="2269"/>
      <c r="BW219" s="2269"/>
      <c r="BX219" s="2269"/>
      <c r="BY219" s="2269"/>
      <c r="BZ219" s="2269"/>
      <c r="CA219" s="2269"/>
    </row>
    <row r="220" spans="1:79">
      <c r="A220" s="2269"/>
      <c r="B220" s="2269"/>
      <c r="C220" s="2269"/>
      <c r="D220" s="2269"/>
      <c r="E220" s="2269"/>
      <c r="F220" s="2269"/>
      <c r="G220" s="2269"/>
      <c r="H220" s="2269"/>
      <c r="I220" s="2269"/>
      <c r="J220" s="2269"/>
      <c r="K220" s="2269"/>
      <c r="L220" s="2269"/>
      <c r="M220" s="2269"/>
      <c r="N220" s="2269"/>
      <c r="O220" s="2269"/>
      <c r="P220" s="2269"/>
      <c r="Q220" s="2269"/>
      <c r="R220" s="2269"/>
      <c r="S220" s="2269"/>
      <c r="T220" s="2269"/>
      <c r="U220" s="2269"/>
      <c r="V220" s="2269"/>
      <c r="W220" s="2269"/>
      <c r="X220" s="2269"/>
      <c r="Y220" s="2269"/>
      <c r="Z220" s="2269"/>
      <c r="AA220" s="2269"/>
      <c r="AB220" s="2269"/>
      <c r="AC220" s="2269"/>
      <c r="AD220" s="2269"/>
      <c r="AE220" s="2269"/>
      <c r="AF220" s="2269"/>
      <c r="AG220" s="2269"/>
      <c r="AH220" s="2269"/>
      <c r="AI220" s="2269"/>
      <c r="AJ220" s="2269"/>
      <c r="AK220" s="2269"/>
      <c r="AL220" s="2269"/>
      <c r="AM220" s="2269"/>
      <c r="AN220" s="2269"/>
      <c r="AO220" s="2269"/>
      <c r="AP220" s="2269"/>
      <c r="AQ220" s="2269"/>
      <c r="AR220" s="2269"/>
      <c r="AS220" s="2269"/>
      <c r="AT220" s="2269"/>
      <c r="AU220" s="2269"/>
      <c r="AV220" s="2269"/>
      <c r="AW220" s="2269"/>
      <c r="AX220" s="2269"/>
      <c r="AY220" s="2269"/>
      <c r="AZ220" s="2269"/>
      <c r="BA220" s="2269"/>
      <c r="BB220" s="2269"/>
      <c r="BC220" s="2269"/>
      <c r="BD220" s="2269"/>
      <c r="BE220" s="2269"/>
      <c r="BF220" s="2269"/>
      <c r="BG220" s="2269"/>
      <c r="BH220" s="2269"/>
      <c r="BI220" s="2269"/>
      <c r="BJ220" s="2269"/>
      <c r="BK220" s="2269"/>
      <c r="BL220" s="2269"/>
      <c r="BM220" s="2269"/>
      <c r="BN220" s="2269"/>
      <c r="BO220" s="2269"/>
      <c r="BP220" s="2269"/>
      <c r="BQ220" s="2269"/>
      <c r="BR220" s="2269"/>
      <c r="BS220" s="2269"/>
      <c r="BT220" s="2269"/>
      <c r="BU220" s="2269"/>
      <c r="BV220" s="2269"/>
      <c r="BW220" s="2269"/>
      <c r="BX220" s="2269"/>
      <c r="BY220" s="2269"/>
      <c r="BZ220" s="2269"/>
      <c r="CA220" s="2269"/>
    </row>
    <row r="221" spans="1:79">
      <c r="A221" s="2269"/>
      <c r="B221" s="2269"/>
      <c r="C221" s="2269"/>
      <c r="D221" s="2269"/>
      <c r="E221" s="2269"/>
      <c r="F221" s="2269"/>
      <c r="G221" s="2269"/>
      <c r="H221" s="2269"/>
      <c r="I221" s="2269"/>
      <c r="J221" s="2269"/>
      <c r="K221" s="2269"/>
      <c r="L221" s="2269"/>
      <c r="M221" s="2269"/>
      <c r="N221" s="2269"/>
      <c r="O221" s="2269"/>
      <c r="P221" s="2269"/>
      <c r="Q221" s="2269"/>
      <c r="R221" s="2269"/>
      <c r="S221" s="2269"/>
      <c r="T221" s="2269"/>
      <c r="U221" s="2269"/>
      <c r="V221" s="2269"/>
      <c r="W221" s="2269"/>
      <c r="X221" s="2269"/>
      <c r="Y221" s="2269"/>
      <c r="Z221" s="2269"/>
      <c r="AA221" s="2269"/>
      <c r="AB221" s="2269"/>
      <c r="AC221" s="2269"/>
      <c r="AD221" s="2269"/>
      <c r="AE221" s="2269"/>
      <c r="AF221" s="2269"/>
      <c r="AG221" s="2269"/>
      <c r="AH221" s="2269"/>
      <c r="AI221" s="2269"/>
      <c r="AJ221" s="2269"/>
      <c r="AK221" s="2269"/>
      <c r="AL221" s="2269"/>
      <c r="AM221" s="2269"/>
      <c r="AN221" s="2269"/>
      <c r="AO221" s="2269"/>
      <c r="AP221" s="2269"/>
      <c r="AQ221" s="2269"/>
      <c r="AR221" s="2269"/>
      <c r="AS221" s="2269"/>
      <c r="AT221" s="2269"/>
      <c r="AU221" s="2269"/>
      <c r="AV221" s="2269"/>
      <c r="AW221" s="2269"/>
      <c r="AX221" s="2269"/>
      <c r="AY221" s="2269"/>
      <c r="AZ221" s="2269"/>
      <c r="BA221" s="2269"/>
      <c r="BB221" s="2269"/>
      <c r="BC221" s="2269"/>
      <c r="BD221" s="2269"/>
      <c r="BE221" s="2269"/>
      <c r="BF221" s="2269"/>
      <c r="BG221" s="2269"/>
      <c r="BH221" s="2269"/>
      <c r="BI221" s="2269"/>
      <c r="BJ221" s="2269"/>
      <c r="BK221" s="2269"/>
      <c r="BL221" s="2269"/>
      <c r="BM221" s="2269"/>
      <c r="BN221" s="2269"/>
      <c r="BO221" s="2269"/>
      <c r="BP221" s="2269"/>
      <c r="BQ221" s="2269"/>
      <c r="BR221" s="2269"/>
      <c r="BS221" s="2269"/>
      <c r="BT221" s="2269"/>
      <c r="BU221" s="2269"/>
      <c r="BV221" s="2269"/>
      <c r="BW221" s="2269"/>
      <c r="BX221" s="2269"/>
      <c r="BY221" s="2269"/>
      <c r="BZ221" s="2269"/>
      <c r="CA221" s="2269"/>
    </row>
    <row r="222" spans="1:79">
      <c r="A222" s="2269"/>
      <c r="B222" s="2269"/>
      <c r="C222" s="2269"/>
      <c r="D222" s="2269"/>
      <c r="E222" s="2269"/>
      <c r="F222" s="2269"/>
      <c r="G222" s="2269"/>
      <c r="H222" s="2269"/>
      <c r="I222" s="2269"/>
      <c r="J222" s="2269"/>
      <c r="K222" s="2269"/>
      <c r="L222" s="2269"/>
      <c r="M222" s="2269"/>
      <c r="N222" s="2269"/>
      <c r="O222" s="2269"/>
      <c r="P222" s="2269"/>
      <c r="Q222" s="2269"/>
      <c r="R222" s="2269"/>
      <c r="S222" s="2269"/>
      <c r="T222" s="2269"/>
      <c r="U222" s="2269"/>
      <c r="V222" s="2269"/>
      <c r="W222" s="2269"/>
      <c r="X222" s="2269"/>
      <c r="Y222" s="2269"/>
      <c r="Z222" s="2269"/>
      <c r="AA222" s="2269"/>
      <c r="AB222" s="2269"/>
      <c r="AC222" s="2269"/>
      <c r="AD222" s="2269"/>
      <c r="AE222" s="2269"/>
      <c r="AF222" s="2269"/>
      <c r="AG222" s="2269"/>
      <c r="AH222" s="2269"/>
      <c r="AI222" s="2269"/>
      <c r="AJ222" s="2269"/>
      <c r="AK222" s="2269"/>
      <c r="AL222" s="2269"/>
      <c r="AM222" s="2269"/>
      <c r="AN222" s="2269"/>
      <c r="AO222" s="2269"/>
      <c r="AP222" s="2269"/>
      <c r="AQ222" s="2269"/>
      <c r="AR222" s="2269"/>
      <c r="AS222" s="2269"/>
      <c r="AT222" s="2269"/>
      <c r="AU222" s="2269"/>
      <c r="AV222" s="2269"/>
      <c r="AW222" s="2269"/>
      <c r="AX222" s="2269"/>
      <c r="AY222" s="2269"/>
      <c r="AZ222" s="2269"/>
      <c r="BA222" s="2269"/>
      <c r="BB222" s="2269"/>
      <c r="BC222" s="2269"/>
      <c r="BD222" s="2269"/>
      <c r="BE222" s="2269"/>
      <c r="BF222" s="2269"/>
      <c r="BG222" s="2269"/>
      <c r="BH222" s="2269"/>
      <c r="BI222" s="2269"/>
      <c r="BJ222" s="2269"/>
      <c r="BK222" s="2269"/>
      <c r="BL222" s="2269"/>
      <c r="BM222" s="2269"/>
      <c r="BN222" s="2269"/>
      <c r="BO222" s="2269"/>
      <c r="BP222" s="2269"/>
      <c r="BQ222" s="2269"/>
      <c r="BR222" s="2269"/>
      <c r="BS222" s="2269"/>
      <c r="BT222" s="2269"/>
      <c r="BU222" s="2269"/>
      <c r="BV222" s="2269"/>
      <c r="BW222" s="2269"/>
      <c r="BX222" s="2269"/>
      <c r="BY222" s="2269"/>
      <c r="BZ222" s="2269"/>
      <c r="CA222" s="2269"/>
    </row>
    <row r="223" spans="1:79">
      <c r="A223" s="2269"/>
      <c r="B223" s="2269"/>
      <c r="C223" s="2269"/>
      <c r="D223" s="2269"/>
      <c r="E223" s="2269"/>
      <c r="F223" s="2269"/>
      <c r="G223" s="2269"/>
      <c r="H223" s="2269"/>
      <c r="I223" s="2269"/>
      <c r="J223" s="2269"/>
      <c r="K223" s="2269"/>
      <c r="L223" s="2269"/>
      <c r="M223" s="2269"/>
      <c r="N223" s="2269"/>
      <c r="O223" s="2269"/>
      <c r="P223" s="2269"/>
      <c r="Q223" s="2269"/>
      <c r="R223" s="2269"/>
      <c r="S223" s="2269"/>
      <c r="T223" s="2269"/>
      <c r="U223" s="2269"/>
      <c r="V223" s="2269"/>
      <c r="W223" s="2269"/>
      <c r="X223" s="2269"/>
      <c r="Y223" s="2269"/>
      <c r="Z223" s="2269"/>
      <c r="AA223" s="2269"/>
      <c r="AB223" s="2269"/>
      <c r="AC223" s="2269"/>
      <c r="AD223" s="2269"/>
      <c r="AE223" s="2269"/>
      <c r="AF223" s="2269"/>
      <c r="AG223" s="2269"/>
      <c r="AH223" s="2269"/>
      <c r="AI223" s="2269"/>
      <c r="AJ223" s="2269"/>
      <c r="AK223" s="2269"/>
      <c r="AL223" s="2269"/>
      <c r="AM223" s="2269"/>
      <c r="AN223" s="2269"/>
      <c r="AO223" s="2269"/>
      <c r="AP223" s="2269"/>
      <c r="AQ223" s="2269"/>
      <c r="AR223" s="2269"/>
      <c r="AS223" s="2269"/>
      <c r="AT223" s="2269"/>
      <c r="AU223" s="2269"/>
      <c r="AV223" s="2269"/>
      <c r="AW223" s="2269"/>
      <c r="AX223" s="2269"/>
      <c r="AY223" s="2269"/>
      <c r="AZ223" s="2269"/>
      <c r="BA223" s="2269"/>
      <c r="BB223" s="2269"/>
      <c r="BC223" s="2269"/>
      <c r="BD223" s="2269"/>
      <c r="BE223" s="2269"/>
      <c r="BF223" s="2269"/>
      <c r="BG223" s="2269"/>
      <c r="BH223" s="2269"/>
      <c r="BI223" s="2269"/>
      <c r="BJ223" s="2269"/>
      <c r="BK223" s="2269"/>
      <c r="BL223" s="2269"/>
      <c r="BM223" s="2269"/>
      <c r="BN223" s="2269"/>
      <c r="BO223" s="2269"/>
      <c r="BP223" s="2269"/>
      <c r="BQ223" s="2269"/>
      <c r="BR223" s="2269"/>
      <c r="BS223" s="2269"/>
      <c r="BT223" s="2269"/>
      <c r="BU223" s="2269"/>
      <c r="BV223" s="2269"/>
      <c r="BW223" s="2269"/>
      <c r="BX223" s="2269"/>
      <c r="BY223" s="2269"/>
      <c r="BZ223" s="2269"/>
      <c r="CA223" s="2269"/>
    </row>
    <row r="224" spans="1:79">
      <c r="A224" s="2269"/>
      <c r="B224" s="2269"/>
      <c r="C224" s="2269"/>
      <c r="D224" s="2269"/>
      <c r="E224" s="2269"/>
      <c r="F224" s="2269"/>
      <c r="G224" s="2269"/>
      <c r="H224" s="2269"/>
      <c r="I224" s="2269"/>
      <c r="J224" s="2269"/>
      <c r="K224" s="2269"/>
      <c r="L224" s="2269"/>
      <c r="M224" s="2269"/>
      <c r="N224" s="2269"/>
      <c r="O224" s="2269"/>
      <c r="P224" s="2269"/>
      <c r="Q224" s="2269"/>
      <c r="R224" s="2269"/>
      <c r="S224" s="2269"/>
      <c r="T224" s="2269"/>
      <c r="U224" s="2269"/>
      <c r="V224" s="2269"/>
      <c r="W224" s="2269"/>
      <c r="X224" s="2269"/>
      <c r="Y224" s="2269"/>
      <c r="Z224" s="2269"/>
      <c r="AA224" s="2269"/>
      <c r="AB224" s="2269"/>
      <c r="AC224" s="2269"/>
      <c r="AD224" s="2269"/>
      <c r="AE224" s="2269"/>
      <c r="AF224" s="2269"/>
      <c r="AG224" s="2269"/>
      <c r="AH224" s="2269"/>
      <c r="AI224" s="2269"/>
      <c r="AJ224" s="2269"/>
      <c r="AK224" s="2269"/>
      <c r="AL224" s="2269"/>
      <c r="AM224" s="2269"/>
      <c r="AN224" s="2269"/>
      <c r="AO224" s="2269"/>
      <c r="AP224" s="2269"/>
      <c r="AQ224" s="2269"/>
      <c r="AR224" s="2269"/>
      <c r="AS224" s="2269"/>
      <c r="AT224" s="2269"/>
      <c r="AU224" s="2269"/>
      <c r="AV224" s="2269"/>
      <c r="AW224" s="2269"/>
      <c r="AX224" s="2269"/>
      <c r="AY224" s="2269"/>
      <c r="AZ224" s="2269"/>
      <c r="BA224" s="2269"/>
      <c r="BB224" s="2269"/>
      <c r="BC224" s="2269"/>
      <c r="BD224" s="2269"/>
      <c r="BE224" s="2269"/>
      <c r="BF224" s="2269"/>
      <c r="BG224" s="2269"/>
      <c r="BH224" s="2269"/>
      <c r="BI224" s="2269"/>
      <c r="BJ224" s="2269"/>
      <c r="BK224" s="2269"/>
      <c r="BL224" s="2269"/>
      <c r="BM224" s="2269"/>
      <c r="BN224" s="2269"/>
      <c r="BO224" s="2269"/>
      <c r="BP224" s="2269"/>
      <c r="BQ224" s="2269"/>
      <c r="BR224" s="2269"/>
      <c r="BS224" s="2269"/>
      <c r="BT224" s="2269"/>
      <c r="BU224" s="2269"/>
      <c r="BV224" s="2269"/>
      <c r="BW224" s="2269"/>
      <c r="BX224" s="2269"/>
      <c r="BY224" s="2269"/>
      <c r="BZ224" s="2269"/>
      <c r="CA224" s="2269"/>
    </row>
    <row r="225" spans="1:79">
      <c r="A225" s="2269"/>
      <c r="B225" s="2269"/>
      <c r="C225" s="2269"/>
      <c r="D225" s="2269"/>
      <c r="E225" s="2269"/>
      <c r="F225" s="2269"/>
      <c r="G225" s="2269"/>
      <c r="H225" s="2269"/>
      <c r="I225" s="2269"/>
      <c r="J225" s="2269"/>
      <c r="K225" s="2269"/>
      <c r="L225" s="2269"/>
      <c r="M225" s="2269"/>
      <c r="N225" s="2269"/>
      <c r="O225" s="2269"/>
      <c r="P225" s="2269"/>
      <c r="Q225" s="2269"/>
      <c r="R225" s="2269"/>
      <c r="S225" s="2269"/>
      <c r="T225" s="2269"/>
      <c r="U225" s="2269"/>
      <c r="V225" s="2269"/>
      <c r="W225" s="2269"/>
      <c r="X225" s="2269"/>
      <c r="Y225" s="2269"/>
      <c r="Z225" s="2269"/>
      <c r="AA225" s="2269"/>
      <c r="AB225" s="2269"/>
      <c r="AC225" s="2269"/>
      <c r="AD225" s="2269"/>
      <c r="AE225" s="2269"/>
      <c r="AF225" s="2269"/>
      <c r="AG225" s="2269"/>
      <c r="AH225" s="2269"/>
      <c r="AI225" s="2269"/>
      <c r="AJ225" s="2269"/>
      <c r="AK225" s="2269"/>
      <c r="AL225" s="2269"/>
      <c r="AM225" s="2269"/>
      <c r="AN225" s="2269"/>
      <c r="AO225" s="2269"/>
      <c r="AP225" s="2269"/>
      <c r="AQ225" s="2269"/>
      <c r="AR225" s="2269"/>
      <c r="AS225" s="2269"/>
      <c r="AT225" s="2269"/>
      <c r="AU225" s="2269"/>
      <c r="AV225" s="2269"/>
      <c r="AW225" s="2269"/>
      <c r="AX225" s="2269"/>
      <c r="AY225" s="2269"/>
      <c r="AZ225" s="2269"/>
      <c r="BA225" s="2269"/>
      <c r="BB225" s="2269"/>
      <c r="BC225" s="2269"/>
      <c r="BD225" s="2269"/>
      <c r="BE225" s="2269"/>
      <c r="BF225" s="2269"/>
      <c r="BG225" s="2269"/>
      <c r="BH225" s="2269"/>
      <c r="BI225" s="2269"/>
      <c r="BJ225" s="2269"/>
      <c r="BK225" s="2269"/>
      <c r="BL225" s="2269"/>
      <c r="BM225" s="2269"/>
      <c r="BN225" s="2269"/>
      <c r="BO225" s="2269"/>
      <c r="BP225" s="2269"/>
      <c r="BQ225" s="2269"/>
      <c r="BR225" s="2269"/>
      <c r="BS225" s="2269"/>
      <c r="BT225" s="2269"/>
      <c r="BU225" s="2269"/>
      <c r="BV225" s="2269"/>
      <c r="BW225" s="2269"/>
      <c r="BX225" s="2269"/>
      <c r="BY225" s="2269"/>
      <c r="BZ225" s="2269"/>
      <c r="CA225" s="2269"/>
    </row>
    <row r="226" spans="1:79">
      <c r="A226" s="2269"/>
      <c r="B226" s="2269"/>
      <c r="C226" s="2269"/>
      <c r="D226" s="2269"/>
      <c r="E226" s="2269"/>
      <c r="F226" s="2269"/>
      <c r="G226" s="2269"/>
      <c r="H226" s="2269"/>
      <c r="I226" s="2269"/>
      <c r="J226" s="2269"/>
      <c r="K226" s="2269"/>
      <c r="L226" s="2269"/>
      <c r="M226" s="2269"/>
      <c r="N226" s="2269"/>
      <c r="O226" s="2269"/>
      <c r="P226" s="2269"/>
      <c r="Q226" s="2269"/>
      <c r="R226" s="2269"/>
      <c r="S226" s="2269"/>
      <c r="T226" s="2269"/>
      <c r="U226" s="2269"/>
      <c r="V226" s="2269"/>
      <c r="W226" s="2269"/>
      <c r="X226" s="2269"/>
      <c r="Y226" s="2269"/>
      <c r="Z226" s="2269"/>
      <c r="AA226" s="2269"/>
      <c r="AB226" s="2269"/>
      <c r="AC226" s="2269"/>
      <c r="AD226" s="2269"/>
      <c r="AE226" s="2269"/>
      <c r="AF226" s="2269"/>
      <c r="AG226" s="2269"/>
      <c r="AH226" s="2269"/>
      <c r="AI226" s="2269"/>
      <c r="AJ226" s="2269"/>
      <c r="AK226" s="2269"/>
      <c r="AL226" s="2269"/>
      <c r="AM226" s="2269"/>
      <c r="AN226" s="2269"/>
      <c r="AO226" s="2269"/>
      <c r="AP226" s="2269"/>
      <c r="AQ226" s="2269"/>
      <c r="AR226" s="2269"/>
      <c r="AS226" s="2269"/>
      <c r="AT226" s="2269"/>
      <c r="AU226" s="2269"/>
      <c r="AV226" s="2269"/>
      <c r="AW226" s="2269"/>
      <c r="AX226" s="2269"/>
      <c r="AY226" s="2269"/>
      <c r="AZ226" s="2269"/>
      <c r="BA226" s="2269"/>
      <c r="BB226" s="2269"/>
      <c r="BC226" s="2269"/>
      <c r="BD226" s="2269"/>
      <c r="BE226" s="2269"/>
      <c r="BF226" s="2269"/>
      <c r="BG226" s="2269"/>
      <c r="BH226" s="2269"/>
      <c r="BI226" s="2269"/>
      <c r="BJ226" s="2269"/>
      <c r="BK226" s="2269"/>
      <c r="BL226" s="2269"/>
      <c r="BM226" s="2269"/>
      <c r="BN226" s="2269"/>
      <c r="BO226" s="2269"/>
      <c r="BP226" s="2269"/>
      <c r="BQ226" s="2269"/>
      <c r="BR226" s="2269"/>
      <c r="BS226" s="2269"/>
      <c r="BT226" s="2269"/>
      <c r="BU226" s="2269"/>
      <c r="BV226" s="2269"/>
      <c r="BW226" s="2269"/>
      <c r="BX226" s="2269"/>
      <c r="BY226" s="2269"/>
      <c r="BZ226" s="2269"/>
      <c r="CA226" s="2269"/>
    </row>
    <row r="227" spans="1:79">
      <c r="A227" s="2269"/>
      <c r="B227" s="2269"/>
      <c r="C227" s="2269"/>
      <c r="D227" s="2269"/>
      <c r="E227" s="2269"/>
      <c r="F227" s="2269"/>
      <c r="G227" s="2269"/>
      <c r="H227" s="2269"/>
      <c r="I227" s="2269"/>
      <c r="J227" s="2269"/>
      <c r="K227" s="2269"/>
      <c r="L227" s="2269"/>
      <c r="M227" s="2269"/>
      <c r="N227" s="2269"/>
      <c r="O227" s="2269"/>
      <c r="P227" s="2269"/>
      <c r="Q227" s="2269"/>
      <c r="R227" s="2269"/>
      <c r="S227" s="2269"/>
      <c r="T227" s="2269"/>
      <c r="U227" s="2269"/>
      <c r="V227" s="2269"/>
      <c r="W227" s="2269"/>
      <c r="X227" s="2269"/>
      <c r="Y227" s="2269"/>
      <c r="Z227" s="2269"/>
      <c r="AA227" s="2269"/>
      <c r="AB227" s="2269"/>
      <c r="AC227" s="2269"/>
      <c r="AD227" s="2269"/>
      <c r="AE227" s="2269"/>
      <c r="AF227" s="2269"/>
      <c r="AG227" s="2269"/>
      <c r="AH227" s="2269"/>
      <c r="AI227" s="2269"/>
      <c r="AJ227" s="2269"/>
      <c r="AK227" s="2269"/>
      <c r="AL227" s="2269"/>
      <c r="AM227" s="2269"/>
      <c r="AN227" s="2269"/>
      <c r="AO227" s="2269"/>
      <c r="AP227" s="2269"/>
      <c r="AQ227" s="2269"/>
      <c r="AR227" s="2269"/>
      <c r="AS227" s="2269"/>
      <c r="AT227" s="2269"/>
      <c r="AU227" s="2269"/>
      <c r="AV227" s="2269"/>
      <c r="AW227" s="2269"/>
      <c r="AX227" s="2269"/>
      <c r="AY227" s="2269"/>
      <c r="AZ227" s="2269"/>
      <c r="BA227" s="2269"/>
      <c r="BB227" s="2269"/>
      <c r="BC227" s="2269"/>
      <c r="BD227" s="2269"/>
      <c r="BE227" s="2269"/>
      <c r="BF227" s="2269"/>
      <c r="BG227" s="2269"/>
      <c r="BH227" s="2269"/>
      <c r="BI227" s="2269"/>
      <c r="BJ227" s="2269"/>
      <c r="BK227" s="2269"/>
      <c r="BL227" s="2269"/>
      <c r="BM227" s="2269"/>
      <c r="BN227" s="2269"/>
      <c r="BO227" s="2269"/>
      <c r="BP227" s="2269"/>
      <c r="BQ227" s="2269"/>
      <c r="BR227" s="2269"/>
      <c r="BS227" s="2269"/>
      <c r="BT227" s="2269"/>
      <c r="BU227" s="2269"/>
      <c r="BV227" s="2269"/>
      <c r="BW227" s="2269"/>
      <c r="BX227" s="2269"/>
      <c r="BY227" s="2269"/>
      <c r="BZ227" s="2269"/>
      <c r="CA227" s="2269"/>
    </row>
    <row r="228" spans="1:79">
      <c r="A228" s="2269"/>
      <c r="B228" s="2269"/>
      <c r="C228" s="2269"/>
      <c r="D228" s="2269"/>
      <c r="E228" s="2269"/>
      <c r="F228" s="2269"/>
      <c r="G228" s="2269"/>
      <c r="H228" s="2269"/>
      <c r="I228" s="2269"/>
      <c r="J228" s="2269"/>
      <c r="K228" s="2269"/>
      <c r="L228" s="2269"/>
      <c r="M228" s="2269"/>
      <c r="N228" s="2269"/>
      <c r="O228" s="2269"/>
      <c r="P228" s="2269"/>
      <c r="Q228" s="2269"/>
      <c r="R228" s="2269"/>
      <c r="S228" s="2269"/>
      <c r="T228" s="2269"/>
      <c r="U228" s="2269"/>
      <c r="V228" s="2269"/>
      <c r="W228" s="2269"/>
      <c r="X228" s="2269"/>
      <c r="Y228" s="2269"/>
      <c r="Z228" s="2269"/>
      <c r="AA228" s="2269"/>
      <c r="AB228" s="2269"/>
      <c r="AC228" s="2269"/>
      <c r="AD228" s="2269"/>
      <c r="AE228" s="2269"/>
      <c r="AF228" s="2269"/>
      <c r="AG228" s="2269"/>
      <c r="AH228" s="2269"/>
      <c r="AI228" s="2269"/>
      <c r="AJ228" s="2269"/>
      <c r="AK228" s="2269"/>
      <c r="AL228" s="2269"/>
      <c r="AM228" s="2269"/>
      <c r="AN228" s="2269"/>
      <c r="AO228" s="2269"/>
      <c r="AP228" s="2269"/>
      <c r="AQ228" s="2269"/>
      <c r="AR228" s="2269"/>
      <c r="AS228" s="2269"/>
      <c r="AT228" s="2269"/>
      <c r="AU228" s="2269"/>
      <c r="AV228" s="2269"/>
      <c r="AW228" s="2269"/>
      <c r="AX228" s="2269"/>
      <c r="AY228" s="2269"/>
      <c r="AZ228" s="2269"/>
      <c r="BA228" s="2269"/>
      <c r="BB228" s="2269"/>
      <c r="BC228" s="2269"/>
      <c r="BD228" s="2269"/>
      <c r="BE228" s="2269"/>
      <c r="BF228" s="2269"/>
      <c r="BG228" s="2269"/>
      <c r="BH228" s="2269"/>
      <c r="BI228" s="2269"/>
      <c r="BJ228" s="2269"/>
      <c r="BK228" s="2269"/>
      <c r="BL228" s="2269"/>
      <c r="BM228" s="2269"/>
      <c r="BN228" s="2269"/>
      <c r="BO228" s="2269"/>
      <c r="BP228" s="2269"/>
      <c r="BQ228" s="2269"/>
      <c r="BR228" s="2269"/>
      <c r="BS228" s="2269"/>
      <c r="BT228" s="2269"/>
      <c r="BU228" s="2269"/>
      <c r="BV228" s="2269"/>
      <c r="BW228" s="2269"/>
      <c r="BX228" s="2269"/>
      <c r="BY228" s="2269"/>
      <c r="BZ228" s="2269"/>
      <c r="CA228" s="2269"/>
    </row>
    <row r="229" spans="1:79">
      <c r="A229" s="2269"/>
      <c r="B229" s="2269"/>
      <c r="C229" s="2269"/>
      <c r="D229" s="2269"/>
      <c r="E229" s="2269"/>
      <c r="F229" s="2269"/>
      <c r="G229" s="2269"/>
      <c r="H229" s="2269"/>
      <c r="I229" s="2269"/>
      <c r="J229" s="2269"/>
      <c r="K229" s="2269"/>
      <c r="L229" s="2269"/>
      <c r="M229" s="2269"/>
      <c r="N229" s="2269"/>
      <c r="O229" s="2269"/>
      <c r="P229" s="2269"/>
      <c r="Q229" s="2269"/>
      <c r="R229" s="2269"/>
      <c r="S229" s="2269"/>
      <c r="T229" s="2269"/>
      <c r="U229" s="2269"/>
      <c r="V229" s="2269"/>
      <c r="W229" s="2269"/>
      <c r="X229" s="2269"/>
      <c r="Y229" s="2269"/>
      <c r="Z229" s="2269"/>
      <c r="AA229" s="2269"/>
      <c r="AB229" s="2269"/>
      <c r="AC229" s="2269"/>
      <c r="AD229" s="2269"/>
      <c r="AE229" s="2269"/>
      <c r="AF229" s="2269"/>
      <c r="AG229" s="2269"/>
      <c r="AH229" s="2269"/>
      <c r="AI229" s="2269"/>
      <c r="AJ229" s="2269"/>
      <c r="AK229" s="2269"/>
      <c r="AL229" s="2269"/>
      <c r="AM229" s="2269"/>
      <c r="AN229" s="2269"/>
      <c r="AO229" s="2269"/>
      <c r="AP229" s="2269"/>
      <c r="AQ229" s="2269"/>
      <c r="AR229" s="2269"/>
      <c r="AS229" s="2269"/>
      <c r="AT229" s="2269"/>
      <c r="AU229" s="2269"/>
      <c r="AV229" s="2269"/>
      <c r="AW229" s="2269"/>
      <c r="AX229" s="2269"/>
      <c r="AY229" s="2269"/>
      <c r="AZ229" s="2269"/>
      <c r="BA229" s="2269"/>
      <c r="BB229" s="2269"/>
      <c r="BC229" s="2269"/>
      <c r="BD229" s="2269"/>
      <c r="BE229" s="2269"/>
      <c r="BF229" s="2269"/>
      <c r="BG229" s="2269"/>
      <c r="BH229" s="2269"/>
      <c r="BI229" s="2269"/>
      <c r="BJ229" s="2269"/>
      <c r="BK229" s="2269"/>
      <c r="BL229" s="2269"/>
      <c r="BM229" s="2269"/>
      <c r="BN229" s="2269"/>
      <c r="BO229" s="2269"/>
      <c r="BP229" s="2269"/>
      <c r="BQ229" s="2269"/>
      <c r="BR229" s="2269"/>
      <c r="BS229" s="2269"/>
      <c r="BT229" s="2269"/>
      <c r="BU229" s="2269"/>
      <c r="BV229" s="2269"/>
      <c r="BW229" s="2269"/>
      <c r="BX229" s="2269"/>
      <c r="BY229" s="2269"/>
      <c r="BZ229" s="2269"/>
      <c r="CA229" s="2269"/>
    </row>
    <row r="230" spans="1:79">
      <c r="A230" s="2269"/>
      <c r="B230" s="2269"/>
      <c r="C230" s="2269"/>
      <c r="D230" s="2269"/>
      <c r="E230" s="2269"/>
      <c r="F230" s="2269"/>
      <c r="G230" s="2269"/>
      <c r="H230" s="2269"/>
      <c r="I230" s="2269"/>
      <c r="J230" s="2269"/>
      <c r="K230" s="2269"/>
      <c r="L230" s="2269"/>
      <c r="M230" s="2269"/>
      <c r="N230" s="2269"/>
      <c r="O230" s="2269"/>
      <c r="P230" s="2269"/>
      <c r="Q230" s="2269"/>
      <c r="R230" s="2269"/>
      <c r="S230" s="2269"/>
      <c r="T230" s="2269"/>
      <c r="U230" s="2269"/>
      <c r="V230" s="2269"/>
      <c r="W230" s="2269"/>
      <c r="X230" s="2269"/>
      <c r="Y230" s="2269"/>
      <c r="Z230" s="2269"/>
      <c r="AA230" s="2269"/>
      <c r="AB230" s="2269"/>
      <c r="AC230" s="2269"/>
      <c r="AD230" s="2269"/>
      <c r="AE230" s="2269"/>
      <c r="AF230" s="2269"/>
      <c r="AG230" s="2269"/>
      <c r="AH230" s="2269"/>
      <c r="AI230" s="2269"/>
      <c r="AJ230" s="2269"/>
      <c r="AK230" s="2269"/>
      <c r="AL230" s="2269"/>
      <c r="AM230" s="2269"/>
      <c r="AN230" s="2269"/>
      <c r="AO230" s="2269"/>
      <c r="AP230" s="2269"/>
      <c r="AQ230" s="2269"/>
      <c r="AR230" s="2269"/>
      <c r="AS230" s="2269"/>
      <c r="AT230" s="2269"/>
      <c r="AU230" s="2269"/>
      <c r="AV230" s="2269"/>
      <c r="AW230" s="2269"/>
      <c r="AX230" s="2269"/>
      <c r="AY230" s="2269"/>
      <c r="AZ230" s="2269"/>
      <c r="BA230" s="2269"/>
      <c r="BB230" s="2269"/>
      <c r="BC230" s="2269"/>
      <c r="BD230" s="2269"/>
      <c r="BE230" s="2269"/>
      <c r="BF230" s="2269"/>
      <c r="BG230" s="2269"/>
      <c r="BH230" s="2269"/>
      <c r="BI230" s="2269"/>
      <c r="BJ230" s="2269"/>
      <c r="BK230" s="2269"/>
      <c r="BL230" s="2269"/>
      <c r="BM230" s="2269"/>
      <c r="BN230" s="2269"/>
      <c r="BO230" s="2269"/>
      <c r="BP230" s="2269"/>
      <c r="BQ230" s="2269"/>
      <c r="BR230" s="2269"/>
      <c r="BS230" s="2269"/>
      <c r="BT230" s="2269"/>
      <c r="BU230" s="2269"/>
      <c r="BV230" s="2269"/>
      <c r="BW230" s="2269"/>
      <c r="BX230" s="2269"/>
      <c r="BY230" s="2269"/>
      <c r="BZ230" s="2269"/>
      <c r="CA230" s="2269"/>
    </row>
    <row r="231" spans="1:79">
      <c r="A231" s="2269"/>
      <c r="B231" s="2269"/>
      <c r="C231" s="2269"/>
      <c r="D231" s="2269"/>
      <c r="E231" s="2269"/>
      <c r="F231" s="2269"/>
      <c r="G231" s="2269"/>
      <c r="H231" s="2269"/>
      <c r="I231" s="2269"/>
      <c r="J231" s="2269"/>
      <c r="K231" s="2269"/>
      <c r="L231" s="2269"/>
      <c r="M231" s="2269"/>
      <c r="N231" s="2269"/>
      <c r="O231" s="2269"/>
      <c r="P231" s="2269"/>
      <c r="Q231" s="2269"/>
      <c r="R231" s="2269"/>
      <c r="S231" s="2269"/>
      <c r="T231" s="2269"/>
      <c r="U231" s="2269"/>
      <c r="V231" s="2269"/>
      <c r="W231" s="2269"/>
      <c r="X231" s="2269"/>
      <c r="Y231" s="2269"/>
      <c r="Z231" s="2269"/>
      <c r="AA231" s="2269"/>
      <c r="AB231" s="2269"/>
      <c r="AC231" s="2269"/>
      <c r="AD231" s="2269"/>
      <c r="AE231" s="2269"/>
      <c r="AF231" s="2269"/>
      <c r="AG231" s="2269"/>
      <c r="AH231" s="2269"/>
      <c r="AI231" s="2269"/>
      <c r="AJ231" s="2269"/>
      <c r="AK231" s="2269"/>
      <c r="AL231" s="2269"/>
      <c r="AM231" s="2269"/>
      <c r="AN231" s="2269"/>
      <c r="AO231" s="2269"/>
      <c r="AP231" s="2269"/>
      <c r="AQ231" s="2269"/>
      <c r="AR231" s="2269"/>
      <c r="AS231" s="2269"/>
      <c r="AT231" s="2269"/>
      <c r="AU231" s="2269"/>
      <c r="AV231" s="2269"/>
      <c r="AW231" s="2269"/>
      <c r="AX231" s="2269"/>
      <c r="AY231" s="2269"/>
      <c r="AZ231" s="2269"/>
      <c r="BA231" s="2269"/>
      <c r="BB231" s="2269"/>
      <c r="BC231" s="2269"/>
      <c r="BD231" s="2269"/>
      <c r="BE231" s="2269"/>
      <c r="BF231" s="2269"/>
      <c r="BG231" s="2269"/>
      <c r="BH231" s="2269"/>
      <c r="BI231" s="2269"/>
      <c r="BJ231" s="2269"/>
      <c r="BK231" s="2269"/>
      <c r="BL231" s="2269"/>
      <c r="BM231" s="2269"/>
      <c r="BN231" s="2269"/>
      <c r="BO231" s="2269"/>
      <c r="BP231" s="2269"/>
      <c r="BQ231" s="2269"/>
      <c r="BR231" s="2269"/>
      <c r="BS231" s="2269"/>
      <c r="BT231" s="2269"/>
      <c r="BU231" s="2269"/>
      <c r="BV231" s="2269"/>
      <c r="BW231" s="2269"/>
      <c r="BX231" s="2269"/>
      <c r="BY231" s="2269"/>
      <c r="BZ231" s="2269"/>
      <c r="CA231" s="2269"/>
    </row>
    <row r="232" spans="1:79">
      <c r="A232" s="2269"/>
      <c r="B232" s="2269"/>
      <c r="C232" s="2269"/>
      <c r="D232" s="2269"/>
      <c r="E232" s="2269"/>
      <c r="F232" s="2269"/>
      <c r="G232" s="2269"/>
      <c r="H232" s="2269"/>
      <c r="I232" s="2269"/>
      <c r="J232" s="2269"/>
      <c r="K232" s="2269"/>
      <c r="L232" s="2269"/>
      <c r="M232" s="2269"/>
      <c r="N232" s="2269"/>
      <c r="O232" s="2269"/>
      <c r="P232" s="2269"/>
      <c r="Q232" s="2269"/>
      <c r="R232" s="2269"/>
      <c r="S232" s="2269"/>
      <c r="T232" s="2269"/>
      <c r="U232" s="2269"/>
      <c r="V232" s="2269"/>
      <c r="W232" s="2269"/>
      <c r="X232" s="2269"/>
      <c r="Y232" s="2269"/>
      <c r="Z232" s="2269"/>
      <c r="AA232" s="2269"/>
      <c r="AB232" s="2269"/>
      <c r="AC232" s="2269"/>
      <c r="AD232" s="2269"/>
      <c r="AE232" s="2269"/>
      <c r="AF232" s="2269"/>
      <c r="AG232" s="2269"/>
      <c r="AH232" s="2269"/>
      <c r="AI232" s="2269"/>
      <c r="AJ232" s="2269"/>
      <c r="AK232" s="2269"/>
      <c r="AL232" s="2269"/>
      <c r="AM232" s="2269"/>
      <c r="AN232" s="2269"/>
      <c r="AO232" s="2269"/>
      <c r="AP232" s="2269"/>
      <c r="AQ232" s="2269"/>
      <c r="AR232" s="2269"/>
      <c r="AS232" s="2269"/>
      <c r="AT232" s="2269"/>
      <c r="AU232" s="2269"/>
      <c r="AV232" s="2269"/>
      <c r="AW232" s="2269"/>
      <c r="AX232" s="2269"/>
      <c r="AY232" s="2269"/>
      <c r="AZ232" s="2269"/>
      <c r="BA232" s="2269"/>
      <c r="BB232" s="2269"/>
      <c r="BC232" s="2269"/>
      <c r="BD232" s="2269"/>
      <c r="BE232" s="2269"/>
      <c r="BF232" s="2269"/>
      <c r="BG232" s="2269"/>
      <c r="BH232" s="2269"/>
      <c r="BI232" s="2269"/>
      <c r="BJ232" s="2269"/>
      <c r="BK232" s="2269"/>
      <c r="BL232" s="2269"/>
      <c r="BM232" s="2269"/>
      <c r="BN232" s="2269"/>
      <c r="BO232" s="2269"/>
      <c r="BP232" s="2269"/>
      <c r="BQ232" s="2269"/>
      <c r="BR232" s="2269"/>
      <c r="BS232" s="2269"/>
      <c r="BT232" s="2269"/>
      <c r="BU232" s="2269"/>
      <c r="BV232" s="2269"/>
      <c r="BW232" s="2269"/>
      <c r="BX232" s="2269"/>
      <c r="BY232" s="2269"/>
      <c r="BZ232" s="2269"/>
      <c r="CA232" s="2269"/>
    </row>
    <row r="233" spans="1:79">
      <c r="A233" s="2269"/>
      <c r="B233" s="2269"/>
      <c r="C233" s="2269"/>
      <c r="D233" s="2269"/>
      <c r="E233" s="2269"/>
      <c r="F233" s="2269"/>
      <c r="G233" s="2269"/>
      <c r="H233" s="2269"/>
      <c r="I233" s="2269"/>
      <c r="J233" s="2269"/>
      <c r="K233" s="2269"/>
      <c r="L233" s="2269"/>
      <c r="M233" s="2269"/>
      <c r="N233" s="2269"/>
      <c r="O233" s="2269"/>
      <c r="P233" s="2269"/>
      <c r="Q233" s="2269"/>
      <c r="R233" s="2269"/>
      <c r="S233" s="2269"/>
      <c r="T233" s="2269"/>
      <c r="U233" s="2269"/>
      <c r="V233" s="2269"/>
      <c r="W233" s="2269"/>
      <c r="X233" s="2269"/>
      <c r="Y233" s="2269"/>
      <c r="Z233" s="2269"/>
      <c r="AA233" s="2269"/>
      <c r="AB233" s="2269"/>
      <c r="AC233" s="2269"/>
      <c r="AD233" s="2269"/>
      <c r="AE233" s="2269"/>
      <c r="AF233" s="2269"/>
      <c r="AG233" s="2269"/>
      <c r="AH233" s="2269"/>
      <c r="AI233" s="2269"/>
      <c r="AJ233" s="2269"/>
      <c r="AK233" s="2269"/>
      <c r="AL233" s="2269"/>
      <c r="AM233" s="2269"/>
      <c r="AN233" s="2269"/>
      <c r="AO233" s="2269"/>
      <c r="AP233" s="2269"/>
      <c r="AQ233" s="2269"/>
      <c r="AR233" s="2269"/>
      <c r="AS233" s="2269"/>
      <c r="AT233" s="2269"/>
      <c r="AU233" s="2269"/>
      <c r="AV233" s="2269"/>
      <c r="AW233" s="2269"/>
      <c r="AX233" s="2269"/>
      <c r="AY233" s="2269"/>
      <c r="AZ233" s="2269"/>
      <c r="BA233" s="2269"/>
      <c r="BB233" s="2269"/>
      <c r="BC233" s="2269"/>
      <c r="BD233" s="2269"/>
      <c r="BE233" s="2269"/>
      <c r="BF233" s="2269"/>
      <c r="BG233" s="2269"/>
      <c r="BH233" s="2269"/>
      <c r="BI233" s="2269"/>
      <c r="BJ233" s="2269"/>
      <c r="BK233" s="2269"/>
      <c r="BL233" s="2269"/>
      <c r="BM233" s="2269"/>
      <c r="BN233" s="2269"/>
      <c r="BO233" s="2269"/>
      <c r="BP233" s="2269"/>
      <c r="BQ233" s="2269"/>
      <c r="BR233" s="2269"/>
      <c r="BS233" s="2269"/>
      <c r="BT233" s="2269"/>
      <c r="BU233" s="2269"/>
      <c r="BV233" s="2269"/>
      <c r="BW233" s="2269"/>
      <c r="BX233" s="2269"/>
      <c r="BY233" s="2269"/>
      <c r="BZ233" s="2269"/>
      <c r="CA233" s="2269"/>
    </row>
    <row r="234" spans="1:79">
      <c r="A234" s="2269"/>
      <c r="B234" s="2269"/>
      <c r="C234" s="2269"/>
      <c r="D234" s="2269"/>
      <c r="E234" s="2269"/>
      <c r="F234" s="2269"/>
      <c r="G234" s="2269"/>
      <c r="H234" s="2269"/>
      <c r="I234" s="2269"/>
      <c r="J234" s="2269"/>
      <c r="K234" s="2269"/>
      <c r="L234" s="2269"/>
      <c r="M234" s="2269"/>
      <c r="N234" s="2269"/>
      <c r="O234" s="2269"/>
      <c r="P234" s="2269"/>
      <c r="Q234" s="2269"/>
      <c r="R234" s="2269"/>
      <c r="S234" s="2269"/>
      <c r="T234" s="2269"/>
      <c r="U234" s="2269"/>
      <c r="V234" s="2269"/>
      <c r="W234" s="2269"/>
      <c r="X234" s="2269"/>
      <c r="Y234" s="2269"/>
      <c r="Z234" s="2269"/>
      <c r="AA234" s="2269"/>
      <c r="AB234" s="2269"/>
      <c r="AC234" s="2269"/>
      <c r="AD234" s="2269"/>
      <c r="AE234" s="2269"/>
      <c r="AF234" s="2269"/>
      <c r="AG234" s="2269"/>
      <c r="AH234" s="2269"/>
      <c r="AI234" s="2269"/>
      <c r="AJ234" s="2269"/>
      <c r="AK234" s="2269"/>
      <c r="AL234" s="2269"/>
      <c r="AM234" s="2269"/>
      <c r="AN234" s="2269"/>
      <c r="AO234" s="2269"/>
      <c r="AP234" s="2269"/>
      <c r="AQ234" s="2269"/>
      <c r="AR234" s="2269"/>
      <c r="AS234" s="2269"/>
      <c r="AT234" s="2269"/>
      <c r="AU234" s="2269"/>
      <c r="AV234" s="2269"/>
      <c r="AW234" s="2269"/>
      <c r="AX234" s="2269"/>
      <c r="AY234" s="2269"/>
      <c r="AZ234" s="2269"/>
      <c r="BA234" s="2269"/>
      <c r="BB234" s="2269"/>
      <c r="BC234" s="2269"/>
      <c r="BD234" s="2269"/>
      <c r="BE234" s="2269"/>
      <c r="BF234" s="2269"/>
      <c r="BG234" s="2269"/>
      <c r="BH234" s="2269"/>
      <c r="BI234" s="2269"/>
      <c r="BJ234" s="2269"/>
      <c r="BK234" s="2269"/>
      <c r="BL234" s="2269"/>
      <c r="BM234" s="2269"/>
      <c r="BN234" s="2269"/>
      <c r="BO234" s="2269"/>
      <c r="BP234" s="2269"/>
      <c r="BQ234" s="2269"/>
      <c r="BR234" s="2269"/>
      <c r="BS234" s="2269"/>
      <c r="BT234" s="2269"/>
      <c r="BU234" s="2269"/>
      <c r="BV234" s="2269"/>
      <c r="BW234" s="2269"/>
      <c r="BX234" s="2269"/>
      <c r="BY234" s="2269"/>
      <c r="BZ234" s="2269"/>
      <c r="CA234" s="2269"/>
    </row>
    <row r="235" spans="1:79">
      <c r="A235" s="2269"/>
      <c r="B235" s="2269"/>
      <c r="C235" s="2269"/>
      <c r="D235" s="2269"/>
      <c r="E235" s="2269"/>
      <c r="F235" s="2269"/>
      <c r="G235" s="2269"/>
      <c r="H235" s="2269"/>
      <c r="I235" s="2269"/>
      <c r="J235" s="2269"/>
      <c r="K235" s="2269"/>
      <c r="L235" s="2269"/>
      <c r="M235" s="2269"/>
      <c r="N235" s="2269"/>
      <c r="O235" s="2269"/>
      <c r="P235" s="2269"/>
      <c r="Q235" s="2269"/>
      <c r="R235" s="2269"/>
      <c r="S235" s="2269"/>
      <c r="T235" s="2269"/>
      <c r="U235" s="2269"/>
      <c r="V235" s="2269"/>
      <c r="W235" s="2269"/>
      <c r="X235" s="2269"/>
      <c r="Y235" s="2269"/>
      <c r="Z235" s="2269"/>
      <c r="AA235" s="2269"/>
      <c r="AB235" s="2269"/>
      <c r="AC235" s="2269"/>
      <c r="AD235" s="2269"/>
      <c r="AE235" s="2269"/>
      <c r="AF235" s="2269"/>
      <c r="AG235" s="2269"/>
      <c r="AH235" s="2269"/>
      <c r="AI235" s="2269"/>
      <c r="AJ235" s="2269"/>
      <c r="AK235" s="2269"/>
      <c r="AL235" s="2269"/>
      <c r="AM235" s="2269"/>
      <c r="AN235" s="2269"/>
      <c r="AO235" s="2269"/>
      <c r="AP235" s="2269"/>
      <c r="AQ235" s="2269"/>
      <c r="AR235" s="2269"/>
      <c r="AS235" s="2269"/>
      <c r="AT235" s="2269"/>
      <c r="AU235" s="2269"/>
      <c r="AV235" s="2269"/>
      <c r="AW235" s="2269"/>
      <c r="AX235" s="2269"/>
      <c r="AY235" s="2269"/>
      <c r="AZ235" s="2269"/>
      <c r="BA235" s="2269"/>
      <c r="BB235" s="2269"/>
      <c r="BC235" s="2269"/>
      <c r="BD235" s="2269"/>
      <c r="BE235" s="2269"/>
      <c r="BF235" s="2269"/>
      <c r="BG235" s="2269"/>
      <c r="BH235" s="2269"/>
      <c r="BI235" s="2269"/>
      <c r="BJ235" s="2269"/>
      <c r="BK235" s="2269"/>
      <c r="BL235" s="2269"/>
      <c r="BM235" s="2269"/>
      <c r="BN235" s="2269"/>
      <c r="BO235" s="2269"/>
      <c r="BP235" s="2269"/>
      <c r="BQ235" s="2269"/>
      <c r="BR235" s="2269"/>
      <c r="BS235" s="2269"/>
      <c r="BT235" s="2269"/>
      <c r="BU235" s="2269"/>
      <c r="BV235" s="2269"/>
      <c r="BW235" s="2269"/>
      <c r="BX235" s="2269"/>
      <c r="BY235" s="2269"/>
      <c r="BZ235" s="2269"/>
      <c r="CA235" s="2269"/>
    </row>
    <row r="236" spans="1:79">
      <c r="A236" s="2269"/>
      <c r="B236" s="2269"/>
      <c r="C236" s="2269"/>
      <c r="D236" s="2269"/>
      <c r="E236" s="2269"/>
      <c r="F236" s="2269"/>
      <c r="G236" s="2269"/>
      <c r="H236" s="2269"/>
      <c r="I236" s="2269"/>
      <c r="J236" s="2269"/>
      <c r="K236" s="2269"/>
      <c r="L236" s="2269"/>
      <c r="M236" s="2269"/>
      <c r="N236" s="2269"/>
      <c r="O236" s="2269"/>
      <c r="P236" s="2269"/>
      <c r="Q236" s="2269"/>
      <c r="R236" s="2269"/>
      <c r="S236" s="2269"/>
      <c r="T236" s="2269"/>
      <c r="U236" s="2269"/>
      <c r="V236" s="2269"/>
      <c r="W236" s="2269"/>
      <c r="X236" s="2269"/>
      <c r="Y236" s="2269"/>
      <c r="Z236" s="2269"/>
      <c r="AA236" s="2269"/>
      <c r="AB236" s="2269"/>
      <c r="AC236" s="2269"/>
      <c r="AD236" s="2269"/>
      <c r="AE236" s="2269"/>
      <c r="AF236" s="2269"/>
      <c r="AG236" s="2269"/>
      <c r="AH236" s="2269"/>
      <c r="AI236" s="2269"/>
      <c r="AJ236" s="2269"/>
      <c r="AK236" s="2269"/>
      <c r="AL236" s="2269"/>
      <c r="AM236" s="2269"/>
      <c r="AN236" s="2269"/>
      <c r="AO236" s="2269"/>
      <c r="AP236" s="2269"/>
      <c r="AQ236" s="2269"/>
      <c r="AR236" s="2269"/>
      <c r="AS236" s="2269"/>
      <c r="AT236" s="2269"/>
      <c r="AU236" s="2269"/>
      <c r="AV236" s="2269"/>
      <c r="AW236" s="2269"/>
      <c r="AX236" s="2269"/>
      <c r="AY236" s="2269"/>
      <c r="AZ236" s="2269"/>
      <c r="BA236" s="2269"/>
      <c r="BB236" s="2269"/>
      <c r="BC236" s="2269"/>
      <c r="BD236" s="2269"/>
      <c r="BE236" s="2269"/>
      <c r="BF236" s="2269"/>
      <c r="BG236" s="2269"/>
      <c r="BH236" s="2269"/>
      <c r="BI236" s="2269"/>
      <c r="BJ236" s="2269"/>
      <c r="BK236" s="2269"/>
      <c r="BL236" s="2269"/>
      <c r="BM236" s="2269"/>
      <c r="BN236" s="2269"/>
      <c r="BO236" s="2269"/>
      <c r="BP236" s="2269"/>
      <c r="BQ236" s="2269"/>
      <c r="BR236" s="2269"/>
      <c r="BS236" s="2269"/>
      <c r="BT236" s="2269"/>
      <c r="BU236" s="2269"/>
      <c r="BV236" s="2269"/>
      <c r="BW236" s="2269"/>
      <c r="BX236" s="2269"/>
      <c r="BY236" s="2269"/>
      <c r="BZ236" s="2269"/>
      <c r="CA236" s="2269"/>
    </row>
    <row r="237" spans="1:79">
      <c r="A237" s="2269"/>
      <c r="B237" s="2269"/>
      <c r="C237" s="2269"/>
      <c r="D237" s="2269"/>
      <c r="E237" s="2269"/>
      <c r="F237" s="2269"/>
      <c r="G237" s="2269"/>
      <c r="H237" s="2269"/>
      <c r="I237" s="2269"/>
      <c r="J237" s="2269"/>
      <c r="K237" s="2269"/>
      <c r="L237" s="2269"/>
      <c r="M237" s="2269"/>
      <c r="N237" s="2269"/>
      <c r="O237" s="2269"/>
      <c r="P237" s="2269"/>
      <c r="Q237" s="2269"/>
      <c r="R237" s="2269"/>
      <c r="S237" s="2269"/>
      <c r="T237" s="2269"/>
      <c r="U237" s="2269"/>
      <c r="V237" s="2269"/>
      <c r="W237" s="2269"/>
      <c r="X237" s="2269"/>
      <c r="Y237" s="2269"/>
      <c r="Z237" s="2269"/>
      <c r="AA237" s="2269"/>
      <c r="AB237" s="2269"/>
      <c r="AC237" s="2269"/>
      <c r="AD237" s="2269"/>
      <c r="AE237" s="2269"/>
      <c r="AF237" s="2269"/>
      <c r="AG237" s="2269"/>
      <c r="AH237" s="2269"/>
      <c r="AI237" s="2269"/>
      <c r="AJ237" s="2269"/>
      <c r="AK237" s="2269"/>
      <c r="AL237" s="2269"/>
      <c r="AM237" s="2269"/>
      <c r="AN237" s="2269"/>
      <c r="AO237" s="2269"/>
      <c r="AP237" s="2269"/>
      <c r="AQ237" s="2269"/>
      <c r="AR237" s="2269"/>
      <c r="AS237" s="2269"/>
      <c r="AT237" s="2269"/>
      <c r="AU237" s="2269"/>
      <c r="AV237" s="2269"/>
      <c r="AW237" s="2269"/>
      <c r="AX237" s="2269"/>
      <c r="AY237" s="2269"/>
      <c r="AZ237" s="2269"/>
      <c r="BA237" s="2269"/>
      <c r="BB237" s="2269"/>
      <c r="BC237" s="2269"/>
      <c r="BD237" s="2269"/>
      <c r="BE237" s="2269"/>
      <c r="BF237" s="2269"/>
      <c r="BG237" s="2269"/>
      <c r="BH237" s="2269"/>
      <c r="BI237" s="2269"/>
      <c r="BJ237" s="2269"/>
      <c r="BK237" s="2269"/>
      <c r="BL237" s="2269"/>
      <c r="BM237" s="2269"/>
      <c r="BN237" s="2269"/>
      <c r="BO237" s="2269"/>
      <c r="BP237" s="2269"/>
      <c r="BQ237" s="2269"/>
      <c r="BR237" s="2269"/>
      <c r="BS237" s="2269"/>
      <c r="BT237" s="2269"/>
      <c r="BU237" s="2269"/>
      <c r="BV237" s="2269"/>
      <c r="BW237" s="2269"/>
      <c r="BX237" s="2269"/>
      <c r="BY237" s="2269"/>
      <c r="BZ237" s="2269"/>
      <c r="CA237" s="2269"/>
    </row>
    <row r="238" spans="1:79">
      <c r="A238" s="2269"/>
      <c r="B238" s="2269"/>
      <c r="C238" s="2269"/>
      <c r="D238" s="2269"/>
      <c r="E238" s="2269"/>
      <c r="F238" s="2269"/>
      <c r="G238" s="2269"/>
      <c r="H238" s="2269"/>
      <c r="I238" s="2269"/>
      <c r="J238" s="2269"/>
      <c r="K238" s="2269"/>
      <c r="L238" s="2269"/>
      <c r="M238" s="2269"/>
      <c r="N238" s="2269"/>
      <c r="O238" s="2269"/>
      <c r="P238" s="2269"/>
      <c r="Q238" s="2269"/>
      <c r="R238" s="2269"/>
      <c r="S238" s="2269"/>
      <c r="T238" s="2269"/>
      <c r="U238" s="2269"/>
      <c r="V238" s="2269"/>
      <c r="W238" s="2269"/>
      <c r="X238" s="2269"/>
      <c r="Y238" s="2269"/>
      <c r="Z238" s="2269"/>
      <c r="AA238" s="2269"/>
      <c r="AB238" s="2269"/>
      <c r="AC238" s="2269"/>
      <c r="AD238" s="2269"/>
      <c r="AE238" s="2269"/>
      <c r="AF238" s="2269"/>
      <c r="AG238" s="2269"/>
      <c r="AH238" s="2269"/>
      <c r="AI238" s="2269"/>
      <c r="AJ238" s="2269"/>
      <c r="AK238" s="2269"/>
      <c r="AL238" s="2269"/>
      <c r="AM238" s="2269"/>
      <c r="AN238" s="2269"/>
      <c r="AO238" s="2269"/>
      <c r="AP238" s="2269"/>
      <c r="AQ238" s="2269"/>
      <c r="AR238" s="2269"/>
      <c r="AS238" s="2269"/>
      <c r="AT238" s="2269"/>
      <c r="AU238" s="2269"/>
      <c r="AV238" s="2269"/>
      <c r="AW238" s="2269"/>
      <c r="AX238" s="2269"/>
      <c r="AY238" s="2269"/>
      <c r="AZ238" s="2269"/>
      <c r="BA238" s="2269"/>
      <c r="BB238" s="2269"/>
      <c r="BC238" s="2269"/>
      <c r="BD238" s="2269"/>
      <c r="BE238" s="2269"/>
      <c r="BF238" s="2269"/>
      <c r="BG238" s="2269"/>
      <c r="BH238" s="2269"/>
      <c r="BI238" s="2269"/>
      <c r="BJ238" s="2269"/>
      <c r="BK238" s="2269"/>
      <c r="BL238" s="2269"/>
      <c r="BM238" s="2269"/>
      <c r="BN238" s="2269"/>
      <c r="BO238" s="2269"/>
      <c r="BP238" s="2269"/>
      <c r="BQ238" s="2269"/>
      <c r="BR238" s="2269"/>
      <c r="BS238" s="2269"/>
      <c r="BT238" s="2269"/>
      <c r="BU238" s="2269"/>
      <c r="BV238" s="2269"/>
      <c r="BW238" s="2269"/>
      <c r="BX238" s="2269"/>
      <c r="BY238" s="2269"/>
      <c r="BZ238" s="2269"/>
      <c r="CA238" s="2269"/>
    </row>
    <row r="239" spans="1:79">
      <c r="A239" s="2269"/>
      <c r="B239" s="2269"/>
      <c r="C239" s="2269"/>
      <c r="D239" s="2269"/>
      <c r="E239" s="2269"/>
      <c r="F239" s="2269"/>
      <c r="G239" s="2269"/>
      <c r="H239" s="2269"/>
      <c r="I239" s="2269"/>
      <c r="J239" s="2269"/>
      <c r="K239" s="2269"/>
      <c r="L239" s="2269"/>
      <c r="M239" s="2269"/>
      <c r="N239" s="2269"/>
      <c r="O239" s="2269"/>
      <c r="P239" s="2269"/>
      <c r="Q239" s="2269"/>
      <c r="R239" s="2269"/>
      <c r="S239" s="2269"/>
      <c r="T239" s="2269"/>
      <c r="U239" s="2269"/>
      <c r="V239" s="2269"/>
      <c r="W239" s="2269"/>
      <c r="X239" s="2269"/>
      <c r="Y239" s="2269"/>
      <c r="Z239" s="2269"/>
      <c r="AA239" s="2269"/>
      <c r="AB239" s="2269"/>
      <c r="AC239" s="2269"/>
      <c r="AD239" s="2269"/>
      <c r="AE239" s="2269"/>
      <c r="AF239" s="2269"/>
      <c r="AG239" s="2269"/>
      <c r="AH239" s="2269"/>
      <c r="AI239" s="2269"/>
      <c r="AJ239" s="2269"/>
      <c r="AK239" s="2269"/>
      <c r="AL239" s="2269"/>
      <c r="AM239" s="2269"/>
      <c r="AN239" s="2269"/>
      <c r="AO239" s="2269"/>
      <c r="AP239" s="2269"/>
      <c r="AQ239" s="2269"/>
      <c r="AR239" s="2269"/>
      <c r="AS239" s="2269"/>
      <c r="AT239" s="2269"/>
      <c r="AU239" s="2269"/>
      <c r="AV239" s="2269"/>
      <c r="AW239" s="2269"/>
      <c r="AX239" s="2269"/>
      <c r="AY239" s="2269"/>
      <c r="AZ239" s="2269"/>
      <c r="BA239" s="2269"/>
      <c r="BB239" s="2269"/>
      <c r="BC239" s="2269"/>
      <c r="BD239" s="2269"/>
      <c r="BE239" s="2269"/>
      <c r="BF239" s="2269"/>
      <c r="BG239" s="2269"/>
      <c r="BH239" s="2269"/>
      <c r="BI239" s="2269"/>
      <c r="BJ239" s="2269"/>
      <c r="BK239" s="2269"/>
      <c r="BL239" s="2269"/>
      <c r="BM239" s="2269"/>
      <c r="BN239" s="2269"/>
      <c r="BO239" s="2269"/>
      <c r="BP239" s="2269"/>
      <c r="BQ239" s="2269"/>
      <c r="BR239" s="2269"/>
      <c r="BS239" s="2269"/>
      <c r="BT239" s="2269"/>
      <c r="BU239" s="2269"/>
      <c r="BV239" s="2269"/>
      <c r="BW239" s="2269"/>
      <c r="BX239" s="2269"/>
      <c r="BY239" s="2269"/>
      <c r="BZ239" s="2269"/>
      <c r="CA239" s="2269"/>
    </row>
    <row r="240" spans="1:79">
      <c r="A240" s="2269"/>
      <c r="B240" s="2269"/>
      <c r="C240" s="2269"/>
      <c r="D240" s="2269"/>
      <c r="E240" s="2269"/>
      <c r="F240" s="2269"/>
      <c r="G240" s="2269"/>
      <c r="H240" s="2269"/>
      <c r="I240" s="2269"/>
      <c r="J240" s="2269"/>
      <c r="K240" s="2269"/>
      <c r="L240" s="2269"/>
      <c r="M240" s="2269"/>
      <c r="N240" s="2269"/>
      <c r="O240" s="2269"/>
      <c r="P240" s="2269"/>
      <c r="Q240" s="2269"/>
      <c r="R240" s="2269"/>
      <c r="S240" s="2269"/>
      <c r="T240" s="2269"/>
      <c r="U240" s="2269"/>
      <c r="V240" s="2269"/>
      <c r="W240" s="2269"/>
      <c r="X240" s="2269"/>
      <c r="Y240" s="2269"/>
      <c r="Z240" s="2269"/>
      <c r="AA240" s="2269"/>
      <c r="AB240" s="2269"/>
      <c r="AC240" s="2269"/>
      <c r="AD240" s="2269"/>
      <c r="AE240" s="2269"/>
      <c r="AF240" s="2269"/>
      <c r="AG240" s="2269"/>
      <c r="AH240" s="2269"/>
      <c r="AI240" s="2269"/>
      <c r="AJ240" s="2269"/>
      <c r="AK240" s="2269"/>
      <c r="AL240" s="2269"/>
      <c r="AM240" s="2269"/>
      <c r="AN240" s="2269"/>
      <c r="AO240" s="2269"/>
      <c r="AP240" s="2269"/>
      <c r="AQ240" s="2269"/>
      <c r="AR240" s="2269"/>
      <c r="AS240" s="2269"/>
      <c r="AT240" s="2269"/>
      <c r="AU240" s="2269"/>
      <c r="AV240" s="2269"/>
      <c r="AW240" s="2269"/>
      <c r="AX240" s="2269"/>
      <c r="AY240" s="2269"/>
      <c r="AZ240" s="2269"/>
      <c r="BA240" s="2269"/>
      <c r="BB240" s="2269"/>
      <c r="BC240" s="2269"/>
      <c r="BD240" s="2269"/>
      <c r="BE240" s="2269"/>
      <c r="BF240" s="2269"/>
      <c r="BG240" s="2269"/>
      <c r="BH240" s="2269"/>
      <c r="BI240" s="2269"/>
      <c r="BJ240" s="2269"/>
      <c r="BK240" s="2269"/>
      <c r="BL240" s="2269"/>
      <c r="BM240" s="2269"/>
      <c r="BN240" s="2269"/>
      <c r="BO240" s="2269"/>
      <c r="BP240" s="2269"/>
      <c r="BQ240" s="2269"/>
      <c r="BR240" s="2269"/>
      <c r="BS240" s="2269"/>
      <c r="BT240" s="2269"/>
      <c r="BU240" s="2269"/>
      <c r="BV240" s="2269"/>
      <c r="BW240" s="2269"/>
      <c r="BX240" s="2269"/>
      <c r="BY240" s="2269"/>
      <c r="BZ240" s="2269"/>
      <c r="CA240" s="2269"/>
    </row>
    <row r="241" spans="1:79">
      <c r="A241" s="2269"/>
      <c r="B241" s="2269"/>
      <c r="C241" s="2269"/>
      <c r="D241" s="2269"/>
      <c r="E241" s="2269"/>
      <c r="F241" s="2269"/>
      <c r="G241" s="2269"/>
      <c r="H241" s="2269"/>
      <c r="I241" s="2269"/>
      <c r="J241" s="2269"/>
      <c r="K241" s="2269"/>
      <c r="L241" s="2269"/>
      <c r="M241" s="2269"/>
      <c r="N241" s="2269"/>
      <c r="O241" s="2269"/>
      <c r="P241" s="2269"/>
      <c r="Q241" s="2269"/>
      <c r="R241" s="2269"/>
      <c r="S241" s="2269"/>
      <c r="T241" s="2269"/>
      <c r="U241" s="2269"/>
      <c r="V241" s="2269"/>
      <c r="W241" s="2269"/>
      <c r="X241" s="2269"/>
      <c r="Y241" s="2269"/>
      <c r="Z241" s="2269"/>
      <c r="AA241" s="2269"/>
      <c r="AB241" s="2269"/>
      <c r="AC241" s="2269"/>
      <c r="AD241" s="2269"/>
      <c r="AE241" s="2269"/>
      <c r="AF241" s="2269"/>
      <c r="AG241" s="2269"/>
      <c r="AH241" s="2269"/>
      <c r="AI241" s="2269"/>
      <c r="AJ241" s="2269"/>
      <c r="AK241" s="2269"/>
      <c r="AL241" s="2269"/>
      <c r="AM241" s="2269"/>
      <c r="AN241" s="2269"/>
      <c r="AO241" s="2269"/>
      <c r="AP241" s="2269"/>
      <c r="AQ241" s="2269"/>
      <c r="AR241" s="2269"/>
      <c r="AS241" s="2269"/>
      <c r="AT241" s="2269"/>
      <c r="AU241" s="2269"/>
      <c r="AV241" s="2269"/>
      <c r="AW241" s="2269"/>
      <c r="AX241" s="2269"/>
      <c r="AY241" s="2269"/>
      <c r="AZ241" s="2269"/>
      <c r="BA241" s="2269"/>
      <c r="BB241" s="2269"/>
      <c r="BC241" s="2269"/>
      <c r="BD241" s="2269"/>
      <c r="BE241" s="2269"/>
      <c r="BF241" s="2269"/>
      <c r="BG241" s="2269"/>
      <c r="BH241" s="2269"/>
      <c r="BI241" s="2269"/>
      <c r="BJ241" s="2269"/>
      <c r="BK241" s="2269"/>
      <c r="BL241" s="2269"/>
      <c r="BM241" s="2269"/>
      <c r="BN241" s="2269"/>
      <c r="BO241" s="2269"/>
      <c r="BP241" s="2269"/>
      <c r="BQ241" s="2269"/>
      <c r="BR241" s="2269"/>
      <c r="BS241" s="2269"/>
      <c r="BT241" s="2269"/>
      <c r="BU241" s="2269"/>
      <c r="BV241" s="2269"/>
      <c r="BW241" s="2269"/>
      <c r="BX241" s="2269"/>
      <c r="BY241" s="2269"/>
      <c r="BZ241" s="2269"/>
      <c r="CA241" s="2269"/>
    </row>
    <row r="242" spans="1:79">
      <c r="A242" s="2269"/>
      <c r="B242" s="2269"/>
      <c r="C242" s="2269"/>
      <c r="D242" s="2269"/>
      <c r="E242" s="2269"/>
      <c r="F242" s="2269"/>
      <c r="G242" s="2269"/>
      <c r="H242" s="2269"/>
      <c r="I242" s="2269"/>
      <c r="J242" s="2269"/>
      <c r="K242" s="2269"/>
      <c r="L242" s="2269"/>
      <c r="M242" s="2269"/>
      <c r="N242" s="2269"/>
      <c r="O242" s="2269"/>
      <c r="P242" s="2269"/>
      <c r="Q242" s="2269"/>
      <c r="R242" s="2269"/>
      <c r="S242" s="2269"/>
      <c r="T242" s="2269"/>
      <c r="U242" s="2269"/>
      <c r="V242" s="2269"/>
      <c r="W242" s="2269"/>
      <c r="X242" s="2269"/>
      <c r="Y242" s="2269"/>
      <c r="Z242" s="2269"/>
      <c r="AA242" s="2269"/>
      <c r="AB242" s="2269"/>
      <c r="AC242" s="2269"/>
      <c r="AD242" s="2269"/>
      <c r="AE242" s="2269"/>
      <c r="AF242" s="2269"/>
      <c r="AG242" s="2269"/>
      <c r="AH242" s="2269"/>
      <c r="AI242" s="2269"/>
      <c r="AJ242" s="2269"/>
      <c r="AK242" s="2269"/>
      <c r="AL242" s="2269"/>
      <c r="AM242" s="2269"/>
      <c r="AN242" s="2269"/>
      <c r="AO242" s="2269"/>
      <c r="AP242" s="2269"/>
      <c r="AQ242" s="2269"/>
      <c r="AR242" s="2269"/>
      <c r="AS242" s="2269"/>
      <c r="AT242" s="2269"/>
      <c r="AU242" s="2269"/>
      <c r="AV242" s="2269"/>
      <c r="AW242" s="2269"/>
      <c r="AX242" s="2269"/>
      <c r="AY242" s="2269"/>
      <c r="AZ242" s="2269"/>
      <c r="BA242" s="2269"/>
      <c r="BB242" s="2269"/>
      <c r="BC242" s="2269"/>
      <c r="BD242" s="2269"/>
      <c r="BE242" s="2269"/>
      <c r="BF242" s="2269"/>
      <c r="BG242" s="2269"/>
      <c r="BH242" s="2269"/>
      <c r="BI242" s="2269"/>
      <c r="BJ242" s="2269"/>
      <c r="BK242" s="2269"/>
      <c r="BL242" s="2269"/>
      <c r="BM242" s="2269"/>
      <c r="BN242" s="2269"/>
      <c r="BO242" s="2269"/>
      <c r="BP242" s="2269"/>
      <c r="BQ242" s="2269"/>
      <c r="BR242" s="2269"/>
      <c r="BS242" s="2269"/>
      <c r="BT242" s="2269"/>
      <c r="BU242" s="2269"/>
      <c r="BV242" s="2269"/>
      <c r="BW242" s="2269"/>
      <c r="BX242" s="2269"/>
      <c r="BY242" s="2269"/>
      <c r="BZ242" s="2269"/>
      <c r="CA242" s="2269"/>
    </row>
    <row r="243" spans="1:79">
      <c r="A243" s="2269"/>
      <c r="B243" s="2269"/>
      <c r="C243" s="2269"/>
      <c r="D243" s="2269"/>
      <c r="E243" s="2269"/>
      <c r="F243" s="2269"/>
      <c r="G243" s="2269"/>
      <c r="H243" s="2269"/>
      <c r="I243" s="2269"/>
      <c r="J243" s="2269"/>
      <c r="K243" s="2269"/>
      <c r="L243" s="2269"/>
      <c r="M243" s="2269"/>
      <c r="N243" s="2269"/>
      <c r="O243" s="2269"/>
      <c r="P243" s="2269"/>
      <c r="Q243" s="2269"/>
      <c r="R243" s="2269"/>
      <c r="S243" s="2269"/>
      <c r="T243" s="2269"/>
      <c r="U243" s="2269"/>
      <c r="V243" s="2269"/>
      <c r="W243" s="2269"/>
      <c r="X243" s="2269"/>
      <c r="Y243" s="2269"/>
      <c r="Z243" s="2269"/>
      <c r="AA243" s="2269"/>
      <c r="AB243" s="2269"/>
      <c r="AC243" s="2269"/>
      <c r="AD243" s="2269"/>
      <c r="AE243" s="2269"/>
      <c r="AF243" s="2269"/>
      <c r="AG243" s="2269"/>
      <c r="AH243" s="2269"/>
      <c r="AI243" s="2269"/>
      <c r="AJ243" s="2269"/>
      <c r="AK243" s="2269"/>
      <c r="AL243" s="2269"/>
      <c r="AM243" s="2269"/>
      <c r="AN243" s="2269"/>
      <c r="AO243" s="2269"/>
      <c r="AP243" s="2269"/>
      <c r="AQ243" s="2269"/>
      <c r="AR243" s="2269"/>
      <c r="AS243" s="2269"/>
      <c r="AT243" s="2269"/>
      <c r="AU243" s="2269"/>
      <c r="AV243" s="2269"/>
      <c r="AW243" s="2269"/>
      <c r="AX243" s="2269"/>
      <c r="AY243" s="2269"/>
      <c r="AZ243" s="2269"/>
      <c r="BA243" s="2269"/>
      <c r="BB243" s="2269"/>
      <c r="BC243" s="2269"/>
      <c r="BD243" s="2269"/>
      <c r="BE243" s="2269"/>
      <c r="BF243" s="2269"/>
      <c r="BG243" s="2269"/>
      <c r="BH243" s="2269"/>
      <c r="BI243" s="2269"/>
      <c r="BJ243" s="2269"/>
      <c r="BK243" s="2269"/>
      <c r="BL243" s="2269"/>
      <c r="BM243" s="2269"/>
      <c r="BN243" s="2269"/>
      <c r="BO243" s="2269"/>
      <c r="BP243" s="2269"/>
      <c r="BQ243" s="2269"/>
      <c r="BR243" s="2269"/>
      <c r="BS243" s="2269"/>
      <c r="BT243" s="2269"/>
      <c r="BU243" s="2269"/>
      <c r="BV243" s="2269"/>
      <c r="BW243" s="2269"/>
      <c r="BX243" s="2269"/>
      <c r="BY243" s="2269"/>
      <c r="BZ243" s="2269"/>
      <c r="CA243" s="2269"/>
    </row>
    <row r="244" spans="1:79">
      <c r="A244" s="2269"/>
      <c r="B244" s="2269"/>
      <c r="C244" s="2269"/>
      <c r="D244" s="2269"/>
      <c r="E244" s="2269"/>
      <c r="F244" s="2269"/>
      <c r="G244" s="2269"/>
      <c r="H244" s="2269"/>
      <c r="I244" s="2269"/>
      <c r="J244" s="2269"/>
      <c r="K244" s="2269"/>
      <c r="L244" s="2269"/>
      <c r="M244" s="2269"/>
      <c r="N244" s="2269"/>
      <c r="O244" s="2269"/>
      <c r="P244" s="2269"/>
      <c r="Q244" s="2269"/>
      <c r="R244" s="2269"/>
      <c r="S244" s="2269"/>
      <c r="T244" s="2269"/>
      <c r="U244" s="2269"/>
      <c r="V244" s="2269"/>
      <c r="W244" s="2269"/>
      <c r="X244" s="2269"/>
      <c r="Y244" s="2269"/>
      <c r="Z244" s="2269"/>
      <c r="AA244" s="2269"/>
      <c r="AB244" s="2269"/>
      <c r="AC244" s="2269"/>
      <c r="AD244" s="2269"/>
      <c r="AE244" s="2269"/>
      <c r="AF244" s="2269"/>
      <c r="AG244" s="2269"/>
      <c r="AH244" s="2269"/>
      <c r="AI244" s="2269"/>
      <c r="AJ244" s="2269"/>
      <c r="AK244" s="2269"/>
      <c r="AL244" s="2269"/>
      <c r="AM244" s="2269"/>
      <c r="AN244" s="2269"/>
      <c r="AO244" s="2269"/>
      <c r="AP244" s="2269"/>
      <c r="AQ244" s="2269"/>
      <c r="AR244" s="2269"/>
      <c r="AS244" s="2269"/>
      <c r="AT244" s="2269"/>
      <c r="AU244" s="2269"/>
      <c r="AV244" s="2269"/>
      <c r="AW244" s="2269"/>
      <c r="AX244" s="2269"/>
      <c r="AY244" s="2269"/>
      <c r="AZ244" s="2269"/>
      <c r="BA244" s="2269"/>
      <c r="BB244" s="2269"/>
      <c r="BC244" s="2269"/>
      <c r="BD244" s="2269"/>
      <c r="BE244" s="2269"/>
      <c r="BF244" s="2269"/>
      <c r="BG244" s="2269"/>
      <c r="BH244" s="2269"/>
      <c r="BI244" s="2269"/>
      <c r="BJ244" s="2269"/>
      <c r="BK244" s="2269"/>
      <c r="BL244" s="2269"/>
      <c r="BM244" s="2269"/>
      <c r="BN244" s="2269"/>
      <c r="BO244" s="2269"/>
      <c r="BP244" s="2269"/>
      <c r="BQ244" s="2269"/>
      <c r="BR244" s="2269"/>
      <c r="BS244" s="2269"/>
      <c r="BT244" s="2269"/>
      <c r="BU244" s="2269"/>
      <c r="BV244" s="2269"/>
      <c r="BW244" s="2269"/>
      <c r="BX244" s="2269"/>
      <c r="BY244" s="2269"/>
      <c r="BZ244" s="2269"/>
      <c r="CA244" s="2269"/>
    </row>
    <row r="245" spans="1:79">
      <c r="A245" s="2269"/>
      <c r="B245" s="2269"/>
      <c r="C245" s="2269"/>
      <c r="D245" s="2269"/>
      <c r="E245" s="2269"/>
      <c r="F245" s="2269"/>
      <c r="G245" s="2269"/>
      <c r="H245" s="2269"/>
      <c r="I245" s="2269"/>
      <c r="J245" s="2269"/>
      <c r="K245" s="2269"/>
      <c r="L245" s="2269"/>
      <c r="M245" s="2269"/>
      <c r="N245" s="2269"/>
      <c r="O245" s="2269"/>
      <c r="P245" s="2269"/>
      <c r="Q245" s="2269"/>
      <c r="R245" s="2269"/>
      <c r="S245" s="2269"/>
      <c r="T245" s="2269"/>
      <c r="U245" s="2269"/>
      <c r="V245" s="2269"/>
      <c r="W245" s="2269"/>
      <c r="X245" s="2269"/>
      <c r="Y245" s="2269"/>
      <c r="Z245" s="2269"/>
      <c r="AA245" s="2269"/>
      <c r="AB245" s="2269"/>
      <c r="AC245" s="2269"/>
      <c r="AD245" s="2269"/>
      <c r="AE245" s="2269"/>
      <c r="AF245" s="2269"/>
      <c r="AG245" s="2269"/>
      <c r="AH245" s="2269"/>
      <c r="AI245" s="2269"/>
      <c r="AJ245" s="2269"/>
      <c r="AK245" s="2269"/>
      <c r="AL245" s="2269"/>
      <c r="AM245" s="2269"/>
      <c r="AN245" s="2269"/>
      <c r="AO245" s="2269"/>
      <c r="AP245" s="2269"/>
      <c r="AQ245" s="2269"/>
      <c r="AR245" s="2269"/>
      <c r="AS245" s="2269"/>
      <c r="AT245" s="2269"/>
      <c r="AU245" s="2269"/>
      <c r="AV245" s="2269"/>
      <c r="AW245" s="2269"/>
      <c r="AX245" s="2269"/>
      <c r="AY245" s="2269"/>
      <c r="AZ245" s="2269"/>
      <c r="BA245" s="2269"/>
      <c r="BB245" s="2269"/>
      <c r="BC245" s="2269"/>
      <c r="BD245" s="2269"/>
      <c r="BE245" s="2269"/>
      <c r="BF245" s="2269"/>
      <c r="BG245" s="2269"/>
      <c r="BH245" s="2269"/>
      <c r="BI245" s="2269"/>
      <c r="BJ245" s="2269"/>
      <c r="BK245" s="2269"/>
      <c r="BL245" s="2269"/>
      <c r="BM245" s="2269"/>
      <c r="BN245" s="2269"/>
      <c r="BO245" s="2269"/>
      <c r="BP245" s="2269"/>
      <c r="BQ245" s="2269"/>
      <c r="BR245" s="2269"/>
      <c r="BS245" s="2269"/>
      <c r="BT245" s="2269"/>
      <c r="BU245" s="2269"/>
      <c r="BV245" s="2269"/>
      <c r="BW245" s="2269"/>
      <c r="BX245" s="2269"/>
      <c r="BY245" s="2269"/>
      <c r="BZ245" s="2269"/>
      <c r="CA245" s="2269"/>
    </row>
    <row r="246" spans="1:79">
      <c r="A246" s="2269"/>
      <c r="B246" s="2269"/>
      <c r="C246" s="2269"/>
      <c r="D246" s="2269"/>
      <c r="E246" s="2269"/>
      <c r="F246" s="2269"/>
      <c r="G246" s="2269"/>
      <c r="H246" s="2269"/>
      <c r="I246" s="2269"/>
      <c r="J246" s="2269"/>
      <c r="K246" s="2269"/>
      <c r="L246" s="2269"/>
      <c r="M246" s="2269"/>
      <c r="N246" s="2269"/>
      <c r="O246" s="2269"/>
      <c r="P246" s="2269"/>
      <c r="Q246" s="2269"/>
      <c r="R246" s="2269"/>
      <c r="S246" s="2269"/>
      <c r="T246" s="2269"/>
      <c r="U246" s="2269"/>
      <c r="V246" s="2269"/>
      <c r="W246" s="2269"/>
      <c r="X246" s="2269"/>
      <c r="Y246" s="2269"/>
      <c r="Z246" s="2269"/>
      <c r="AA246" s="2269"/>
      <c r="AB246" s="2269"/>
      <c r="AC246" s="2269"/>
      <c r="AD246" s="2269"/>
      <c r="AE246" s="2269"/>
      <c r="AF246" s="2269"/>
      <c r="AG246" s="2269"/>
      <c r="AH246" s="2269"/>
      <c r="AI246" s="2269"/>
      <c r="AJ246" s="2269"/>
      <c r="AK246" s="2269"/>
      <c r="AL246" s="2269"/>
      <c r="AM246" s="2269"/>
      <c r="AN246" s="2269"/>
      <c r="AO246" s="2269"/>
      <c r="AP246" s="2269"/>
      <c r="AQ246" s="2269"/>
      <c r="AR246" s="2269"/>
      <c r="AS246" s="2269"/>
      <c r="AT246" s="2269"/>
      <c r="AU246" s="2269"/>
      <c r="AV246" s="2269"/>
      <c r="AW246" s="2269"/>
      <c r="AX246" s="2269"/>
      <c r="AY246" s="2269"/>
      <c r="AZ246" s="2269"/>
      <c r="BA246" s="2269"/>
      <c r="BB246" s="2269"/>
      <c r="BC246" s="2269"/>
      <c r="BD246" s="2269"/>
      <c r="BE246" s="2269"/>
      <c r="BF246" s="2269"/>
      <c r="BG246" s="2269"/>
      <c r="BH246" s="2269"/>
      <c r="BI246" s="2269"/>
      <c r="BJ246" s="2269"/>
      <c r="BK246" s="2269"/>
      <c r="BL246" s="2269"/>
      <c r="BM246" s="2269"/>
      <c r="BN246" s="2269"/>
      <c r="BO246" s="2269"/>
      <c r="BP246" s="2269"/>
      <c r="BQ246" s="2269"/>
      <c r="BR246" s="2269"/>
      <c r="BS246" s="2269"/>
      <c r="BT246" s="2269"/>
      <c r="BU246" s="2269"/>
      <c r="BV246" s="2269"/>
      <c r="BW246" s="2269"/>
      <c r="BX246" s="2269"/>
      <c r="BY246" s="2269"/>
      <c r="BZ246" s="2269"/>
      <c r="CA246" s="2269"/>
    </row>
    <row r="247" spans="1:79">
      <c r="A247" s="2269"/>
      <c r="B247" s="2269"/>
      <c r="C247" s="2269"/>
      <c r="D247" s="2269"/>
      <c r="E247" s="2269"/>
      <c r="F247" s="2269"/>
      <c r="G247" s="2269"/>
      <c r="H247" s="2269"/>
      <c r="I247" s="2269"/>
      <c r="J247" s="2269"/>
      <c r="K247" s="2269"/>
      <c r="L247" s="2269"/>
      <c r="M247" s="2269"/>
      <c r="N247" s="2269"/>
      <c r="O247" s="2269"/>
      <c r="P247" s="2269"/>
      <c r="Q247" s="2269"/>
      <c r="R247" s="2269"/>
      <c r="S247" s="2269"/>
      <c r="T247" s="2269"/>
      <c r="U247" s="2269"/>
      <c r="V247" s="2269"/>
      <c r="W247" s="2269"/>
      <c r="X247" s="2269"/>
      <c r="Y247" s="2269"/>
      <c r="Z247" s="2269"/>
      <c r="AA247" s="2269"/>
      <c r="AB247" s="2269"/>
      <c r="AC247" s="2269"/>
      <c r="AD247" s="2269"/>
      <c r="AE247" s="2269"/>
      <c r="AF247" s="2269"/>
      <c r="AG247" s="2269"/>
      <c r="AH247" s="2269"/>
      <c r="AI247" s="2269"/>
      <c r="AJ247" s="2269"/>
      <c r="AK247" s="2269"/>
      <c r="AL247" s="2269"/>
      <c r="AM247" s="2269"/>
      <c r="AN247" s="2269"/>
      <c r="AO247" s="2269"/>
      <c r="AP247" s="2269"/>
      <c r="AQ247" s="2269"/>
      <c r="AR247" s="2269"/>
      <c r="AS247" s="2269"/>
      <c r="AT247" s="2269"/>
      <c r="AU247" s="2269"/>
      <c r="AV247" s="2269"/>
      <c r="AW247" s="2269"/>
      <c r="AX247" s="2269"/>
      <c r="AY247" s="2269"/>
      <c r="AZ247" s="2269"/>
      <c r="BA247" s="2269"/>
      <c r="BB247" s="2269"/>
      <c r="BC247" s="2269"/>
      <c r="BD247" s="2269"/>
      <c r="BE247" s="2269"/>
      <c r="BF247" s="2269"/>
      <c r="BG247" s="2269"/>
      <c r="BH247" s="2269"/>
      <c r="BI247" s="2269"/>
      <c r="BJ247" s="2269"/>
      <c r="BK247" s="2269"/>
      <c r="BL247" s="2269"/>
      <c r="BM247" s="2269"/>
      <c r="BN247" s="2269"/>
      <c r="BO247" s="2269"/>
      <c r="BP247" s="2269"/>
      <c r="BQ247" s="2269"/>
      <c r="BR247" s="2269"/>
      <c r="BS247" s="2269"/>
      <c r="BT247" s="2269"/>
      <c r="BU247" s="2269"/>
      <c r="BV247" s="2269"/>
      <c r="BW247" s="2269"/>
      <c r="BX247" s="2269"/>
      <c r="BY247" s="2269"/>
      <c r="BZ247" s="2269"/>
      <c r="CA247" s="2269"/>
    </row>
    <row r="248" spans="1:79">
      <c r="A248" s="2269"/>
      <c r="B248" s="2269"/>
      <c r="C248" s="2269"/>
      <c r="D248" s="2269"/>
      <c r="E248" s="2269"/>
      <c r="F248" s="2269"/>
      <c r="G248" s="2269"/>
      <c r="H248" s="2269"/>
      <c r="I248" s="2269"/>
      <c r="J248" s="2269"/>
      <c r="K248" s="2269"/>
      <c r="L248" s="2269"/>
      <c r="M248" s="2269"/>
      <c r="N248" s="2269"/>
      <c r="O248" s="2269"/>
      <c r="P248" s="2269"/>
      <c r="Q248" s="2269"/>
      <c r="R248" s="2269"/>
      <c r="S248" s="2269"/>
      <c r="T248" s="2269"/>
      <c r="U248" s="2269"/>
      <c r="V248" s="2269"/>
      <c r="W248" s="2269"/>
      <c r="X248" s="2269"/>
      <c r="Y248" s="2269"/>
      <c r="Z248" s="2269"/>
      <c r="AA248" s="2269"/>
      <c r="AB248" s="2269"/>
      <c r="AC248" s="2269"/>
      <c r="AD248" s="2269"/>
      <c r="AE248" s="2269"/>
      <c r="AF248" s="2269"/>
      <c r="AG248" s="2269"/>
      <c r="AH248" s="2269"/>
      <c r="AI248" s="2269"/>
      <c r="AJ248" s="2269"/>
      <c r="AK248" s="2269"/>
      <c r="AL248" s="2269"/>
      <c r="AM248" s="2269"/>
      <c r="AN248" s="2269"/>
      <c r="AO248" s="2269"/>
      <c r="AP248" s="2269"/>
      <c r="AQ248" s="2269"/>
      <c r="AR248" s="2269"/>
      <c r="AS248" s="2269"/>
      <c r="AT248" s="2269"/>
      <c r="AU248" s="2269"/>
      <c r="AV248" s="2269"/>
      <c r="AW248" s="2269"/>
      <c r="AX248" s="2269"/>
      <c r="AY248" s="2269"/>
      <c r="AZ248" s="2269"/>
      <c r="BA248" s="2269"/>
      <c r="BB248" s="2269"/>
      <c r="BC248" s="2269"/>
      <c r="BD248" s="2269"/>
      <c r="BE248" s="2269"/>
      <c r="BF248" s="2269"/>
      <c r="BG248" s="2269"/>
      <c r="BH248" s="2269"/>
      <c r="BI248" s="2269"/>
      <c r="BJ248" s="2269"/>
      <c r="BK248" s="2269"/>
      <c r="BL248" s="2269"/>
      <c r="BM248" s="2269"/>
      <c r="BN248" s="2269"/>
      <c r="BO248" s="2269"/>
      <c r="BP248" s="2269"/>
      <c r="BQ248" s="2269"/>
      <c r="BR248" s="2269"/>
      <c r="BS248" s="2269"/>
      <c r="BT248" s="2269"/>
      <c r="BU248" s="2269"/>
      <c r="BV248" s="2269"/>
      <c r="BW248" s="2269"/>
      <c r="BX248" s="2269"/>
      <c r="BY248" s="2269"/>
      <c r="BZ248" s="2269"/>
      <c r="CA248" s="2269"/>
    </row>
    <row r="249" spans="1:79">
      <c r="A249" s="2269"/>
      <c r="B249" s="2269"/>
      <c r="C249" s="2269"/>
      <c r="D249" s="2269"/>
      <c r="E249" s="2269"/>
      <c r="F249" s="2269"/>
      <c r="G249" s="2269"/>
      <c r="H249" s="2269"/>
      <c r="I249" s="2269"/>
      <c r="J249" s="2269"/>
      <c r="K249" s="2269"/>
      <c r="L249" s="2269"/>
      <c r="M249" s="2269"/>
      <c r="N249" s="2269"/>
      <c r="O249" s="2269"/>
      <c r="P249" s="2269"/>
      <c r="Q249" s="2269"/>
      <c r="R249" s="2269"/>
      <c r="S249" s="2269"/>
      <c r="T249" s="2269"/>
      <c r="U249" s="2269"/>
      <c r="V249" s="2269"/>
      <c r="W249" s="2269"/>
      <c r="X249" s="2269"/>
      <c r="Y249" s="2269"/>
      <c r="Z249" s="2269"/>
      <c r="AA249" s="2269"/>
      <c r="AB249" s="2269"/>
      <c r="AC249" s="2269"/>
      <c r="AD249" s="2269"/>
      <c r="AE249" s="2269"/>
      <c r="AF249" s="2269"/>
      <c r="AG249" s="2269"/>
      <c r="AH249" s="2269"/>
      <c r="AI249" s="2269"/>
      <c r="AJ249" s="2269"/>
      <c r="AK249" s="2269"/>
      <c r="AL249" s="2269"/>
      <c r="AM249" s="2269"/>
      <c r="AN249" s="2269"/>
      <c r="AO249" s="2269"/>
      <c r="AP249" s="2269"/>
      <c r="AQ249" s="2269"/>
      <c r="AR249" s="2269"/>
      <c r="AS249" s="2269"/>
      <c r="AT249" s="2269"/>
      <c r="AU249" s="2269"/>
      <c r="AV249" s="2269"/>
      <c r="AW249" s="2269"/>
      <c r="AX249" s="2269"/>
      <c r="AY249" s="2269"/>
      <c r="AZ249" s="2269"/>
      <c r="BA249" s="2269"/>
      <c r="BB249" s="2269"/>
      <c r="BC249" s="2269"/>
      <c r="BD249" s="2269"/>
      <c r="BE249" s="2269"/>
      <c r="BF249" s="2269"/>
      <c r="BG249" s="2269"/>
      <c r="BH249" s="2269"/>
      <c r="BI249" s="2269"/>
      <c r="BJ249" s="2269"/>
      <c r="BK249" s="2269"/>
      <c r="BL249" s="2269"/>
      <c r="BM249" s="2269"/>
      <c r="BN249" s="2269"/>
      <c r="BO249" s="2269"/>
      <c r="BP249" s="2269"/>
      <c r="BQ249" s="2269"/>
      <c r="BR249" s="2269"/>
      <c r="BS249" s="2269"/>
      <c r="BT249" s="2269"/>
      <c r="BU249" s="2269"/>
      <c r="BV249" s="2269"/>
      <c r="BW249" s="2269"/>
      <c r="BX249" s="2269"/>
      <c r="BY249" s="2269"/>
      <c r="BZ249" s="2269"/>
      <c r="CA249" s="2269"/>
    </row>
    <row r="250" spans="1:79">
      <c r="A250" s="2269"/>
      <c r="B250" s="2269"/>
      <c r="C250" s="2269"/>
      <c r="D250" s="2269"/>
      <c r="E250" s="2269"/>
      <c r="F250" s="2269"/>
      <c r="G250" s="2269"/>
      <c r="H250" s="2269"/>
      <c r="I250" s="2269"/>
      <c r="J250" s="2269"/>
      <c r="K250" s="2269"/>
      <c r="L250" s="2269"/>
      <c r="M250" s="2269"/>
      <c r="N250" s="2269"/>
      <c r="O250" s="2269"/>
      <c r="P250" s="2269"/>
      <c r="Q250" s="2269"/>
      <c r="R250" s="2269"/>
      <c r="S250" s="2269"/>
      <c r="T250" s="2269"/>
      <c r="U250" s="2269"/>
      <c r="V250" s="2269"/>
      <c r="W250" s="2269"/>
      <c r="X250" s="2269"/>
      <c r="Y250" s="2269"/>
      <c r="Z250" s="2269"/>
      <c r="AA250" s="2269"/>
      <c r="AB250" s="2269"/>
      <c r="AC250" s="2269"/>
      <c r="AD250" s="2269"/>
      <c r="AE250" s="2269"/>
      <c r="AF250" s="2269"/>
      <c r="AG250" s="2269"/>
      <c r="AH250" s="2269"/>
      <c r="AI250" s="2269"/>
      <c r="AJ250" s="2269"/>
      <c r="AK250" s="2269"/>
      <c r="AL250" s="2269"/>
      <c r="AM250" s="2269"/>
      <c r="AN250" s="2269"/>
      <c r="AO250" s="2269"/>
      <c r="AP250" s="2269"/>
      <c r="AQ250" s="2269"/>
      <c r="AR250" s="2269"/>
      <c r="AS250" s="2269"/>
      <c r="AT250" s="2269"/>
      <c r="AU250" s="2269"/>
      <c r="AV250" s="2269"/>
      <c r="AW250" s="2269"/>
      <c r="AX250" s="2269"/>
      <c r="AY250" s="2269"/>
      <c r="AZ250" s="2269"/>
      <c r="BA250" s="2269"/>
      <c r="BB250" s="2269"/>
      <c r="BC250" s="2269"/>
      <c r="BD250" s="2269"/>
      <c r="BE250" s="2269"/>
      <c r="BF250" s="2269"/>
      <c r="BG250" s="2269"/>
      <c r="BH250" s="2269"/>
      <c r="BI250" s="2269"/>
      <c r="BJ250" s="2269"/>
      <c r="BK250" s="2269"/>
      <c r="BL250" s="2269"/>
      <c r="BM250" s="2269"/>
      <c r="BN250" s="2269"/>
      <c r="BO250" s="2269"/>
      <c r="BP250" s="2269"/>
      <c r="BQ250" s="2269"/>
      <c r="BR250" s="2269"/>
      <c r="BS250" s="2269"/>
      <c r="BT250" s="2269"/>
      <c r="BU250" s="2269"/>
      <c r="BV250" s="2269"/>
      <c r="BW250" s="2269"/>
      <c r="BX250" s="2269"/>
      <c r="BY250" s="2269"/>
      <c r="BZ250" s="2269"/>
      <c r="CA250" s="2269"/>
    </row>
    <row r="251" spans="1:79">
      <c r="A251" s="2269"/>
      <c r="B251" s="2269"/>
      <c r="C251" s="2269"/>
      <c r="D251" s="2269"/>
      <c r="E251" s="2269"/>
      <c r="F251" s="2269"/>
      <c r="G251" s="2269"/>
      <c r="H251" s="2269"/>
      <c r="I251" s="2269"/>
      <c r="J251" s="2269"/>
      <c r="K251" s="2269"/>
      <c r="L251" s="2269"/>
      <c r="M251" s="2269"/>
      <c r="N251" s="2269"/>
      <c r="O251" s="2269"/>
      <c r="P251" s="2269"/>
      <c r="Q251" s="2269"/>
      <c r="R251" s="2269"/>
      <c r="S251" s="2269"/>
      <c r="T251" s="2269"/>
      <c r="U251" s="2269"/>
      <c r="V251" s="2269"/>
      <c r="W251" s="2269"/>
      <c r="X251" s="2269"/>
      <c r="Y251" s="2269"/>
      <c r="Z251" s="2269"/>
      <c r="AA251" s="2269"/>
      <c r="AB251" s="2269"/>
      <c r="AC251" s="2269"/>
      <c r="AD251" s="2269"/>
      <c r="AE251" s="2269"/>
      <c r="AF251" s="2269"/>
      <c r="AG251" s="2269"/>
      <c r="AH251" s="2269"/>
      <c r="AI251" s="2269"/>
      <c r="AJ251" s="2269"/>
      <c r="AK251" s="2269"/>
      <c r="AL251" s="2269"/>
      <c r="AM251" s="2269"/>
      <c r="AN251" s="2269"/>
      <c r="AO251" s="2269"/>
      <c r="AP251" s="2269"/>
      <c r="AQ251" s="2269"/>
      <c r="AR251" s="2269"/>
      <c r="AS251" s="2269"/>
      <c r="AT251" s="2269"/>
      <c r="AU251" s="2269"/>
      <c r="AV251" s="2269"/>
      <c r="AW251" s="2269"/>
      <c r="AX251" s="2269"/>
      <c r="AY251" s="2269"/>
      <c r="AZ251" s="2269"/>
      <c r="BA251" s="2269"/>
      <c r="BB251" s="2269"/>
      <c r="BC251" s="2269"/>
      <c r="BD251" s="2269"/>
      <c r="BE251" s="2269"/>
      <c r="BF251" s="2269"/>
      <c r="BG251" s="2269"/>
      <c r="BH251" s="2269"/>
      <c r="BI251" s="2269"/>
      <c r="BJ251" s="2269"/>
      <c r="BK251" s="2269"/>
      <c r="BL251" s="2269"/>
      <c r="BM251" s="2269"/>
      <c r="BN251" s="2269"/>
      <c r="BO251" s="2269"/>
      <c r="BP251" s="2269"/>
      <c r="BQ251" s="2269"/>
      <c r="BR251" s="2269"/>
      <c r="BS251" s="2269"/>
      <c r="BT251" s="2269"/>
      <c r="BU251" s="2269"/>
      <c r="BV251" s="2269"/>
      <c r="BW251" s="2269"/>
      <c r="BX251" s="2269"/>
      <c r="BY251" s="2269"/>
      <c r="BZ251" s="2269"/>
      <c r="CA251" s="2269"/>
    </row>
    <row r="252" spans="1:79">
      <c r="A252" s="2269"/>
      <c r="B252" s="2269"/>
      <c r="C252" s="2269"/>
      <c r="D252" s="2269"/>
      <c r="E252" s="2269"/>
      <c r="F252" s="2269"/>
      <c r="G252" s="2269"/>
      <c r="H252" s="2269"/>
      <c r="I252" s="2269"/>
      <c r="J252" s="2269"/>
      <c r="K252" s="2269"/>
      <c r="L252" s="2269"/>
      <c r="M252" s="2269"/>
      <c r="N252" s="2269"/>
      <c r="O252" s="2269"/>
      <c r="P252" s="2269"/>
      <c r="Q252" s="2269"/>
      <c r="R252" s="2269"/>
      <c r="S252" s="2269"/>
      <c r="T252" s="2269"/>
      <c r="U252" s="2269"/>
      <c r="V252" s="2269"/>
      <c r="W252" s="2269"/>
      <c r="X252" s="2269"/>
      <c r="Y252" s="2269"/>
      <c r="Z252" s="2269"/>
      <c r="AA252" s="2269"/>
      <c r="AB252" s="2269"/>
      <c r="AC252" s="2269"/>
      <c r="AD252" s="2269"/>
      <c r="AE252" s="2269"/>
      <c r="AF252" s="2269"/>
      <c r="AG252" s="2269"/>
      <c r="AH252" s="2269"/>
      <c r="AI252" s="2269"/>
      <c r="AJ252" s="2269"/>
      <c r="AK252" s="2269"/>
      <c r="AL252" s="2269"/>
      <c r="AM252" s="2269"/>
      <c r="AN252" s="2269"/>
      <c r="AO252" s="2269"/>
      <c r="AP252" s="2269"/>
      <c r="AQ252" s="2269"/>
      <c r="AR252" s="2269"/>
      <c r="AS252" s="2269"/>
      <c r="AT252" s="2269"/>
      <c r="AU252" s="2269"/>
      <c r="AV252" s="2269"/>
      <c r="AW252" s="2269"/>
      <c r="AX252" s="2269"/>
      <c r="AY252" s="2269"/>
      <c r="AZ252" s="2269"/>
      <c r="BA252" s="2269"/>
      <c r="BB252" s="2269"/>
      <c r="BC252" s="2269"/>
      <c r="BD252" s="2269"/>
      <c r="BE252" s="2269"/>
      <c r="BF252" s="2269"/>
      <c r="BG252" s="2269"/>
      <c r="BH252" s="2269"/>
      <c r="BI252" s="2269"/>
      <c r="BJ252" s="2269"/>
      <c r="BK252" s="2269"/>
      <c r="BL252" s="2269"/>
      <c r="BM252" s="2269"/>
      <c r="BN252" s="2269"/>
      <c r="BO252" s="2269"/>
      <c r="BP252" s="2269"/>
      <c r="BQ252" s="2269"/>
      <c r="BR252" s="2269"/>
      <c r="BS252" s="2269"/>
      <c r="BT252" s="2269"/>
      <c r="BU252" s="2269"/>
      <c r="BV252" s="2269"/>
      <c r="BW252" s="2269"/>
      <c r="BX252" s="2269"/>
      <c r="BY252" s="2269"/>
      <c r="BZ252" s="2269"/>
      <c r="CA252" s="2269"/>
    </row>
    <row r="253" spans="1:79">
      <c r="A253" s="2269"/>
      <c r="B253" s="2269"/>
      <c r="C253" s="2269"/>
      <c r="D253" s="2269"/>
      <c r="E253" s="2269"/>
      <c r="F253" s="2269"/>
      <c r="G253" s="2269"/>
      <c r="H253" s="2269"/>
      <c r="I253" s="2269"/>
      <c r="J253" s="2269"/>
      <c r="K253" s="2269"/>
      <c r="L253" s="2269"/>
      <c r="M253" s="2269"/>
      <c r="N253" s="2269"/>
      <c r="O253" s="2269"/>
      <c r="P253" s="2269"/>
      <c r="Q253" s="2269"/>
      <c r="R253" s="2269"/>
      <c r="S253" s="2269"/>
      <c r="T253" s="2269"/>
      <c r="U253" s="2269"/>
      <c r="V253" s="2269"/>
      <c r="W253" s="2269"/>
      <c r="X253" s="2269"/>
      <c r="Y253" s="2269"/>
      <c r="Z253" s="2269"/>
      <c r="AA253" s="2269"/>
      <c r="AB253" s="2269"/>
      <c r="AC253" s="2269"/>
      <c r="AD253" s="2269"/>
      <c r="AE253" s="2269"/>
      <c r="AF253" s="2269"/>
      <c r="AG253" s="2269"/>
      <c r="AH253" s="2269"/>
      <c r="AI253" s="2269"/>
      <c r="AJ253" s="2269"/>
      <c r="AK253" s="2269"/>
      <c r="AL253" s="2269"/>
      <c r="AM253" s="2269"/>
      <c r="AN253" s="2269"/>
      <c r="AO253" s="2269"/>
      <c r="AP253" s="2269"/>
      <c r="AQ253" s="2269"/>
      <c r="AR253" s="2269"/>
      <c r="AS253" s="2269"/>
      <c r="AT253" s="2269"/>
      <c r="AU253" s="2269"/>
      <c r="AV253" s="2269"/>
      <c r="AW253" s="2269"/>
      <c r="AX253" s="2269"/>
      <c r="AY253" s="2269"/>
      <c r="AZ253" s="2269"/>
      <c r="BA253" s="2269"/>
      <c r="BB253" s="2269"/>
      <c r="BC253" s="2269"/>
      <c r="BD253" s="2269"/>
      <c r="BE253" s="2269"/>
      <c r="BF253" s="2269"/>
      <c r="BG253" s="2269"/>
      <c r="BH253" s="2269"/>
      <c r="BI253" s="2269"/>
      <c r="BJ253" s="2269"/>
      <c r="BK253" s="2269"/>
      <c r="BL253" s="2269"/>
      <c r="BM253" s="2269"/>
      <c r="BN253" s="2269"/>
      <c r="BO253" s="2269"/>
      <c r="BP253" s="2269"/>
      <c r="BQ253" s="2269"/>
      <c r="BR253" s="2269"/>
      <c r="BS253" s="2269"/>
      <c r="BT253" s="2269"/>
      <c r="BU253" s="2269"/>
      <c r="BV253" s="2269"/>
      <c r="BW253" s="2269"/>
      <c r="BX253" s="2269"/>
      <c r="BY253" s="2269"/>
      <c r="BZ253" s="2269"/>
      <c r="CA253" s="2269"/>
    </row>
    <row r="254" spans="1:79">
      <c r="A254" s="2269"/>
      <c r="B254" s="2269"/>
      <c r="C254" s="2269"/>
      <c r="D254" s="2269"/>
      <c r="E254" s="2269"/>
      <c r="F254" s="2269"/>
      <c r="G254" s="2269"/>
      <c r="H254" s="2269"/>
      <c r="I254" s="2269"/>
      <c r="J254" s="2269"/>
      <c r="K254" s="2269"/>
      <c r="L254" s="2269"/>
      <c r="M254" s="2269"/>
      <c r="N254" s="2269"/>
      <c r="O254" s="2269"/>
      <c r="P254" s="2269"/>
      <c r="Q254" s="2269"/>
      <c r="R254" s="2269"/>
      <c r="S254" s="2269"/>
      <c r="T254" s="2269"/>
      <c r="U254" s="2269"/>
      <c r="V254" s="2269"/>
      <c r="W254" s="2269"/>
      <c r="X254" s="2269"/>
      <c r="Y254" s="2269"/>
      <c r="Z254" s="2269"/>
      <c r="AA254" s="2269"/>
      <c r="AB254" s="2269"/>
      <c r="AC254" s="2269"/>
      <c r="AD254" s="2269"/>
      <c r="AE254" s="2269"/>
      <c r="AF254" s="2269"/>
      <c r="AG254" s="2269"/>
      <c r="AH254" s="2269"/>
      <c r="AI254" s="2269"/>
      <c r="AJ254" s="2269"/>
      <c r="AK254" s="2269"/>
      <c r="AL254" s="2269"/>
      <c r="AM254" s="2269"/>
      <c r="AN254" s="2269"/>
      <c r="AO254" s="2269"/>
      <c r="AP254" s="2269"/>
      <c r="AQ254" s="2269"/>
      <c r="AR254" s="2269"/>
      <c r="AS254" s="2269"/>
      <c r="AT254" s="2269"/>
      <c r="AU254" s="2269"/>
      <c r="AV254" s="2269"/>
      <c r="AW254" s="2269"/>
      <c r="AX254" s="2269"/>
      <c r="AY254" s="2269"/>
      <c r="AZ254" s="2269"/>
      <c r="BA254" s="2269"/>
      <c r="BB254" s="2269"/>
      <c r="BC254" s="2269"/>
      <c r="BD254" s="2269"/>
      <c r="BE254" s="2269"/>
      <c r="BF254" s="2269"/>
      <c r="BG254" s="2269"/>
      <c r="BH254" s="2269"/>
      <c r="BI254" s="2269"/>
      <c r="BJ254" s="2269"/>
      <c r="BK254" s="2269"/>
      <c r="BL254" s="2269"/>
      <c r="BM254" s="2269"/>
      <c r="BN254" s="2269"/>
      <c r="BO254" s="2269"/>
      <c r="BP254" s="2269"/>
      <c r="BQ254" s="2269"/>
      <c r="BR254" s="2269"/>
      <c r="BS254" s="2269"/>
      <c r="BT254" s="2269"/>
      <c r="BU254" s="2269"/>
      <c r="BV254" s="2269"/>
      <c r="BW254" s="2269"/>
      <c r="BX254" s="2269"/>
      <c r="BY254" s="2269"/>
      <c r="BZ254" s="2269"/>
      <c r="CA254" s="2269"/>
    </row>
    <row r="255" spans="1:79">
      <c r="A255" s="2269"/>
      <c r="B255" s="2269"/>
      <c r="C255" s="2269"/>
      <c r="D255" s="2269"/>
      <c r="E255" s="2269"/>
      <c r="F255" s="2269"/>
      <c r="G255" s="2269"/>
      <c r="H255" s="2269"/>
      <c r="I255" s="2269"/>
      <c r="J255" s="2269"/>
      <c r="K255" s="2269"/>
      <c r="L255" s="2269"/>
      <c r="M255" s="2269"/>
      <c r="N255" s="2269"/>
      <c r="O255" s="2269"/>
      <c r="P255" s="2269"/>
      <c r="Q255" s="2269"/>
      <c r="R255" s="2269"/>
      <c r="S255" s="2269"/>
      <c r="T255" s="2269"/>
      <c r="U255" s="2269"/>
      <c r="V255" s="2269"/>
      <c r="W255" s="2269"/>
      <c r="X255" s="2269"/>
      <c r="Y255" s="2269"/>
      <c r="Z255" s="2269"/>
      <c r="AA255" s="2269"/>
      <c r="AB255" s="2269"/>
      <c r="AC255" s="2269"/>
      <c r="AD255" s="2269"/>
      <c r="AE255" s="2269"/>
      <c r="AF255" s="2269"/>
      <c r="AG255" s="2269"/>
      <c r="AH255" s="2269"/>
      <c r="AI255" s="2269"/>
      <c r="AJ255" s="2269"/>
      <c r="AK255" s="2269"/>
      <c r="AL255" s="2269"/>
      <c r="AM255" s="2269"/>
      <c r="AN255" s="2269"/>
      <c r="AO255" s="2269"/>
      <c r="AP255" s="2269"/>
      <c r="AQ255" s="2269"/>
      <c r="AR255" s="2269"/>
      <c r="AS255" s="2269"/>
      <c r="AT255" s="2269"/>
      <c r="AU255" s="2269"/>
      <c r="AV255" s="2269"/>
      <c r="AW255" s="2269"/>
      <c r="AX255" s="2269"/>
      <c r="AY255" s="2269"/>
      <c r="AZ255" s="2269"/>
      <c r="BA255" s="2269"/>
      <c r="BB255" s="2269"/>
      <c r="BC255" s="2269"/>
      <c r="BD255" s="2269"/>
      <c r="BE255" s="2269"/>
      <c r="BF255" s="2269"/>
      <c r="BG255" s="2269"/>
      <c r="BH255" s="2269"/>
      <c r="BI255" s="2269"/>
      <c r="BJ255" s="2269"/>
      <c r="BK255" s="2269"/>
      <c r="BL255" s="2269"/>
      <c r="BM255" s="2269"/>
      <c r="BN255" s="2269"/>
      <c r="BO255" s="2269"/>
      <c r="BP255" s="2269"/>
      <c r="BQ255" s="2269"/>
      <c r="BR255" s="2269"/>
      <c r="BS255" s="2269"/>
      <c r="BT255" s="2269"/>
      <c r="BU255" s="2269"/>
      <c r="BV255" s="2269"/>
      <c r="BW255" s="2269"/>
      <c r="BX255" s="2269"/>
      <c r="BY255" s="2269"/>
      <c r="BZ255" s="2269"/>
      <c r="CA255" s="2269"/>
    </row>
    <row r="256" spans="1:79">
      <c r="A256" s="2269"/>
      <c r="B256" s="2269"/>
      <c r="C256" s="2269"/>
      <c r="D256" s="2269"/>
      <c r="E256" s="2269"/>
      <c r="F256" s="2269"/>
      <c r="G256" s="2269"/>
      <c r="H256" s="2269"/>
      <c r="I256" s="2269"/>
      <c r="J256" s="2269"/>
      <c r="K256" s="2269"/>
      <c r="L256" s="2269"/>
      <c r="M256" s="2269"/>
      <c r="N256" s="2269"/>
      <c r="O256" s="2269"/>
      <c r="P256" s="2269"/>
      <c r="Q256" s="2269"/>
      <c r="R256" s="2269"/>
      <c r="S256" s="2269"/>
      <c r="T256" s="2269"/>
      <c r="U256" s="2269"/>
      <c r="V256" s="2269"/>
      <c r="W256" s="2269"/>
      <c r="X256" s="2269"/>
      <c r="Y256" s="2269"/>
      <c r="Z256" s="2269"/>
      <c r="AA256" s="2269"/>
      <c r="AB256" s="2269"/>
      <c r="AC256" s="2269"/>
      <c r="AD256" s="2269"/>
      <c r="AE256" s="2269"/>
      <c r="AF256" s="2269"/>
      <c r="AG256" s="2269"/>
      <c r="AH256" s="2269"/>
      <c r="AI256" s="2269"/>
      <c r="AJ256" s="2269"/>
      <c r="AK256" s="2269"/>
      <c r="AL256" s="2269"/>
      <c r="AM256" s="2269"/>
      <c r="AN256" s="2269"/>
      <c r="AO256" s="2269"/>
      <c r="AP256" s="2269"/>
      <c r="AQ256" s="2269"/>
      <c r="AR256" s="2269"/>
      <c r="AS256" s="2269"/>
      <c r="AT256" s="2269"/>
      <c r="AU256" s="2269"/>
      <c r="AV256" s="2269"/>
      <c r="AW256" s="2269"/>
      <c r="AX256" s="2269"/>
      <c r="AY256" s="2269"/>
      <c r="AZ256" s="2269"/>
      <c r="BA256" s="2269"/>
      <c r="BB256" s="2269"/>
      <c r="BC256" s="2269"/>
      <c r="BD256" s="2269"/>
      <c r="BE256" s="2269"/>
      <c r="BF256" s="2269"/>
      <c r="BG256" s="2269"/>
      <c r="BH256" s="2269"/>
      <c r="BI256" s="2269"/>
      <c r="BJ256" s="2269"/>
      <c r="BK256" s="2269"/>
      <c r="BL256" s="2269"/>
      <c r="BM256" s="2269"/>
      <c r="BN256" s="2269"/>
      <c r="BO256" s="2269"/>
      <c r="BP256" s="2269"/>
      <c r="BQ256" s="2269"/>
      <c r="BR256" s="2269"/>
      <c r="BS256" s="2269"/>
      <c r="BT256" s="2269"/>
      <c r="BU256" s="2269"/>
      <c r="BV256" s="2269"/>
      <c r="BW256" s="2269"/>
      <c r="BX256" s="2269"/>
      <c r="BY256" s="2269"/>
      <c r="BZ256" s="2269"/>
      <c r="CA256" s="2269"/>
    </row>
    <row r="257" spans="1:79">
      <c r="A257" s="2269"/>
      <c r="B257" s="2269"/>
      <c r="C257" s="2269"/>
      <c r="D257" s="2269"/>
      <c r="E257" s="2269"/>
      <c r="F257" s="2269"/>
      <c r="G257" s="2269"/>
      <c r="H257" s="2269"/>
      <c r="I257" s="2269"/>
      <c r="J257" s="2269"/>
      <c r="K257" s="2269"/>
      <c r="L257" s="2269"/>
      <c r="M257" s="2269"/>
      <c r="N257" s="2269"/>
      <c r="O257" s="2269"/>
      <c r="P257" s="2269"/>
      <c r="Q257" s="2269"/>
      <c r="R257" s="2269"/>
      <c r="S257" s="2269"/>
      <c r="T257" s="2269"/>
      <c r="U257" s="2269"/>
      <c r="V257" s="2269"/>
      <c r="W257" s="2269"/>
      <c r="X257" s="2269"/>
      <c r="Y257" s="2269"/>
      <c r="Z257" s="2269"/>
      <c r="AA257" s="2269"/>
      <c r="AB257" s="2269"/>
      <c r="AC257" s="2269"/>
      <c r="AD257" s="2269"/>
      <c r="AE257" s="2269"/>
      <c r="AF257" s="2269"/>
      <c r="AG257" s="2269"/>
      <c r="AH257" s="2269"/>
      <c r="AI257" s="2269"/>
      <c r="AJ257" s="2269"/>
      <c r="AK257" s="2269"/>
      <c r="AL257" s="2269"/>
      <c r="AM257" s="2269"/>
      <c r="AN257" s="2269"/>
      <c r="AO257" s="2269"/>
      <c r="AP257" s="2269"/>
      <c r="AQ257" s="2269"/>
      <c r="AR257" s="2269"/>
      <c r="AS257" s="2269"/>
      <c r="AT257" s="2269"/>
      <c r="AU257" s="2269"/>
      <c r="AV257" s="2269"/>
      <c r="AW257" s="2269"/>
      <c r="AX257" s="2269"/>
      <c r="AY257" s="2269"/>
      <c r="AZ257" s="2269"/>
      <c r="BA257" s="2269"/>
      <c r="BB257" s="2269"/>
      <c r="BC257" s="2269"/>
      <c r="BD257" s="2269"/>
      <c r="BE257" s="2269"/>
      <c r="BF257" s="2269"/>
      <c r="BG257" s="2269"/>
      <c r="BH257" s="2269"/>
      <c r="BI257" s="2269"/>
      <c r="BJ257" s="2269"/>
      <c r="BK257" s="2269"/>
      <c r="BL257" s="2269"/>
      <c r="BM257" s="2269"/>
      <c r="BN257" s="2269"/>
      <c r="BO257" s="2269"/>
      <c r="BP257" s="2269"/>
      <c r="BQ257" s="2269"/>
      <c r="BR257" s="2269"/>
      <c r="BS257" s="2269"/>
      <c r="BT257" s="2269"/>
      <c r="BU257" s="2269"/>
      <c r="BV257" s="2269"/>
      <c r="BW257" s="2269"/>
      <c r="BX257" s="2269"/>
      <c r="BY257" s="2269"/>
      <c r="BZ257" s="2269"/>
      <c r="CA257" s="2269"/>
    </row>
    <row r="258" spans="1:79">
      <c r="A258" s="2269"/>
      <c r="B258" s="2269"/>
      <c r="C258" s="2269"/>
      <c r="D258" s="2269"/>
      <c r="E258" s="2269"/>
      <c r="F258" s="2269"/>
      <c r="G258" s="2269"/>
      <c r="H258" s="2269"/>
      <c r="I258" s="2269"/>
      <c r="J258" s="2269"/>
      <c r="K258" s="2269"/>
      <c r="L258" s="2269"/>
      <c r="M258" s="2269"/>
      <c r="N258" s="2269"/>
      <c r="O258" s="2269"/>
      <c r="P258" s="2269"/>
      <c r="Q258" s="2269"/>
      <c r="R258" s="2269"/>
      <c r="S258" s="2269"/>
      <c r="T258" s="2269"/>
      <c r="U258" s="2269"/>
      <c r="V258" s="2269"/>
      <c r="W258" s="2269"/>
      <c r="X258" s="2269"/>
      <c r="Y258" s="2269"/>
      <c r="Z258" s="2269"/>
      <c r="AA258" s="2269"/>
      <c r="AB258" s="2269"/>
      <c r="AC258" s="2269"/>
      <c r="AD258" s="2269"/>
      <c r="AE258" s="2269"/>
      <c r="AF258" s="2269"/>
      <c r="AG258" s="2269"/>
      <c r="AH258" s="2269"/>
      <c r="AI258" s="2269"/>
      <c r="AJ258" s="2269"/>
      <c r="AK258" s="2269"/>
      <c r="AL258" s="2269"/>
      <c r="AM258" s="2269"/>
      <c r="AN258" s="2269"/>
      <c r="AO258" s="2269"/>
      <c r="AP258" s="2269"/>
      <c r="AQ258" s="2269"/>
      <c r="AR258" s="2269"/>
      <c r="AS258" s="2269"/>
      <c r="AT258" s="2269"/>
      <c r="AU258" s="2269"/>
      <c r="AV258" s="2269"/>
      <c r="AW258" s="2269"/>
      <c r="AX258" s="2269"/>
      <c r="AY258" s="2269"/>
      <c r="AZ258" s="2269"/>
      <c r="BA258" s="2269"/>
      <c r="BB258" s="2269"/>
      <c r="BC258" s="2269"/>
      <c r="BD258" s="2269"/>
      <c r="BE258" s="2269"/>
      <c r="BF258" s="2269"/>
      <c r="BG258" s="2269"/>
      <c r="BH258" s="2269"/>
      <c r="BI258" s="2269"/>
      <c r="BJ258" s="2269"/>
      <c r="BK258" s="2269"/>
      <c r="BL258" s="2269"/>
      <c r="BM258" s="2269"/>
      <c r="BN258" s="2269"/>
      <c r="BO258" s="2269"/>
      <c r="BP258" s="2269"/>
      <c r="BQ258" s="2269"/>
      <c r="BR258" s="2269"/>
      <c r="BS258" s="2269"/>
      <c r="BT258" s="2269"/>
      <c r="BU258" s="2269"/>
      <c r="BV258" s="2269"/>
      <c r="BW258" s="2269"/>
      <c r="BX258" s="2269"/>
      <c r="BY258" s="2269"/>
      <c r="BZ258" s="2269"/>
      <c r="CA258" s="2269"/>
    </row>
    <row r="259" spans="1:79">
      <c r="A259" s="2269"/>
      <c r="B259" s="2269"/>
      <c r="C259" s="2269"/>
      <c r="D259" s="2269"/>
      <c r="E259" s="2269"/>
      <c r="F259" s="2269"/>
      <c r="G259" s="2269"/>
      <c r="H259" s="2269"/>
      <c r="I259" s="2269"/>
      <c r="J259" s="2269"/>
      <c r="K259" s="2269"/>
      <c r="L259" s="2269"/>
      <c r="M259" s="2269"/>
      <c r="N259" s="2269"/>
      <c r="O259" s="2269"/>
      <c r="P259" s="2269"/>
      <c r="Q259" s="2269"/>
      <c r="R259" s="2269"/>
      <c r="S259" s="2269"/>
      <c r="T259" s="2269"/>
      <c r="U259" s="2269"/>
      <c r="V259" s="2269"/>
      <c r="W259" s="2269"/>
      <c r="X259" s="2269"/>
      <c r="Y259" s="2269"/>
      <c r="Z259" s="2269"/>
      <c r="AA259" s="2269"/>
      <c r="AB259" s="2269"/>
      <c r="AC259" s="2269"/>
      <c r="AD259" s="2269"/>
      <c r="AE259" s="2269"/>
      <c r="AF259" s="2269"/>
      <c r="AG259" s="2269"/>
      <c r="AH259" s="2269"/>
      <c r="AI259" s="2269"/>
      <c r="AJ259" s="2269"/>
      <c r="AK259" s="2269"/>
      <c r="AL259" s="2269"/>
      <c r="AM259" s="2269"/>
      <c r="AN259" s="2269"/>
      <c r="AO259" s="2269"/>
      <c r="AP259" s="2269"/>
      <c r="AQ259" s="2269"/>
      <c r="AR259" s="2269"/>
      <c r="AS259" s="2269"/>
      <c r="AT259" s="2269"/>
      <c r="AU259" s="2269"/>
      <c r="AV259" s="2269"/>
      <c r="AW259" s="2269"/>
      <c r="AX259" s="2269"/>
      <c r="AY259" s="2269"/>
      <c r="AZ259" s="2269"/>
      <c r="BA259" s="2269"/>
      <c r="BB259" s="2269"/>
      <c r="BC259" s="2269"/>
      <c r="BD259" s="2269"/>
      <c r="BE259" s="2269"/>
      <c r="BF259" s="2269"/>
      <c r="BG259" s="2269"/>
      <c r="BH259" s="2269"/>
      <c r="BI259" s="2269"/>
      <c r="BJ259" s="2269"/>
      <c r="BK259" s="2269"/>
      <c r="BL259" s="2269"/>
      <c r="BM259" s="2269"/>
      <c r="BN259" s="2269"/>
      <c r="BO259" s="2269"/>
      <c r="BP259" s="2269"/>
      <c r="BQ259" s="2269"/>
      <c r="BR259" s="2269"/>
      <c r="BS259" s="2269"/>
      <c r="BT259" s="2269"/>
      <c r="BU259" s="2269"/>
      <c r="BV259" s="2269"/>
      <c r="BW259" s="2269"/>
      <c r="BX259" s="2269"/>
      <c r="BY259" s="2269"/>
      <c r="BZ259" s="2269"/>
      <c r="CA259" s="2269"/>
    </row>
    <row r="260" spans="1:79">
      <c r="A260" s="2269"/>
      <c r="B260" s="2269"/>
      <c r="C260" s="2269"/>
      <c r="D260" s="2269"/>
      <c r="E260" s="2269"/>
      <c r="F260" s="2269"/>
      <c r="G260" s="2269"/>
      <c r="H260" s="2269"/>
      <c r="I260" s="2269"/>
      <c r="J260" s="2269"/>
      <c r="K260" s="2269"/>
      <c r="L260" s="2269"/>
      <c r="M260" s="2269"/>
      <c r="N260" s="2269"/>
      <c r="O260" s="2269"/>
      <c r="P260" s="2269"/>
      <c r="Q260" s="2269"/>
      <c r="R260" s="2269"/>
      <c r="S260" s="2269"/>
      <c r="T260" s="2269"/>
      <c r="U260" s="2269"/>
      <c r="V260" s="2269"/>
      <c r="W260" s="2269"/>
      <c r="X260" s="2269"/>
      <c r="Y260" s="2269"/>
      <c r="Z260" s="2269"/>
      <c r="AA260" s="2269"/>
      <c r="AB260" s="2269"/>
      <c r="AC260" s="2269"/>
      <c r="AD260" s="2269"/>
      <c r="AE260" s="2269"/>
      <c r="AF260" s="2269"/>
      <c r="AG260" s="2269"/>
      <c r="AH260" s="2269"/>
      <c r="AI260" s="2269"/>
      <c r="AJ260" s="2269"/>
      <c r="AK260" s="2269"/>
      <c r="AL260" s="2269"/>
      <c r="AM260" s="2269"/>
      <c r="AN260" s="2269"/>
      <c r="AO260" s="2269"/>
      <c r="AP260" s="2269"/>
      <c r="AQ260" s="2269"/>
      <c r="AR260" s="2269"/>
      <c r="AS260" s="2269"/>
      <c r="AT260" s="2269"/>
      <c r="AU260" s="2269"/>
      <c r="AV260" s="2269"/>
      <c r="AW260" s="2269"/>
      <c r="AX260" s="2269"/>
      <c r="AY260" s="2269"/>
      <c r="AZ260" s="2269"/>
      <c r="BA260" s="2269"/>
      <c r="BB260" s="2269"/>
      <c r="BC260" s="2269"/>
      <c r="BD260" s="2269"/>
      <c r="BE260" s="2269"/>
      <c r="BF260" s="2269"/>
      <c r="BG260" s="2269"/>
      <c r="BH260" s="2269"/>
      <c r="BI260" s="2269"/>
      <c r="BJ260" s="2269"/>
      <c r="BK260" s="2269"/>
      <c r="BL260" s="2269"/>
      <c r="BM260" s="2269"/>
      <c r="BN260" s="2269"/>
      <c r="BO260" s="2269"/>
      <c r="BP260" s="2269"/>
      <c r="BQ260" s="2269"/>
      <c r="BR260" s="2269"/>
      <c r="BS260" s="2269"/>
      <c r="BT260" s="2269"/>
      <c r="BU260" s="2269"/>
      <c r="BV260" s="2269"/>
      <c r="BW260" s="2269"/>
      <c r="BX260" s="2269"/>
      <c r="BY260" s="2269"/>
      <c r="BZ260" s="2269"/>
      <c r="CA260" s="2269"/>
    </row>
    <row r="261" spans="1:79">
      <c r="A261" s="2269"/>
      <c r="B261" s="2269"/>
      <c r="C261" s="2269"/>
      <c r="D261" s="2269"/>
      <c r="E261" s="2269"/>
      <c r="F261" s="2269"/>
      <c r="G261" s="2269"/>
      <c r="H261" s="2269"/>
      <c r="I261" s="2269"/>
      <c r="J261" s="2269"/>
      <c r="K261" s="2269"/>
      <c r="L261" s="2269"/>
      <c r="M261" s="2269"/>
      <c r="N261" s="2269"/>
      <c r="O261" s="2269"/>
      <c r="P261" s="2269"/>
      <c r="Q261" s="2269"/>
      <c r="R261" s="2269"/>
      <c r="S261" s="2269"/>
      <c r="T261" s="2269"/>
      <c r="U261" s="2269"/>
      <c r="V261" s="2269"/>
      <c r="W261" s="2269"/>
      <c r="X261" s="2269"/>
      <c r="Y261" s="2269"/>
      <c r="Z261" s="2269"/>
      <c r="AA261" s="2269"/>
      <c r="AB261" s="2269"/>
      <c r="AC261" s="2269"/>
      <c r="AD261" s="2269"/>
      <c r="AE261" s="2269"/>
      <c r="AF261" s="2269"/>
      <c r="AG261" s="2269"/>
      <c r="AH261" s="2269"/>
      <c r="AI261" s="2269"/>
      <c r="AJ261" s="2269"/>
      <c r="AK261" s="2269"/>
      <c r="AL261" s="2269"/>
      <c r="AM261" s="2269"/>
      <c r="AN261" s="2269"/>
      <c r="AO261" s="2269"/>
      <c r="AP261" s="2269"/>
      <c r="AQ261" s="2269"/>
      <c r="AR261" s="2269"/>
      <c r="AS261" s="2269"/>
      <c r="AT261" s="2269"/>
      <c r="AU261" s="2269"/>
      <c r="AV261" s="2269"/>
      <c r="AW261" s="2269"/>
      <c r="AX261" s="2269"/>
      <c r="AY261" s="2269"/>
      <c r="AZ261" s="2269"/>
      <c r="BA261" s="2269"/>
      <c r="BB261" s="2269"/>
      <c r="BC261" s="2269"/>
      <c r="BD261" s="2269"/>
      <c r="BE261" s="2269"/>
      <c r="BF261" s="2269"/>
      <c r="BG261" s="2269"/>
      <c r="BH261" s="2269"/>
      <c r="BI261" s="2269"/>
      <c r="BJ261" s="2269"/>
      <c r="BK261" s="2269"/>
      <c r="BL261" s="2269"/>
      <c r="BM261" s="2269"/>
      <c r="BN261" s="2269"/>
      <c r="BO261" s="2269"/>
      <c r="BP261" s="2269"/>
      <c r="BQ261" s="2269"/>
      <c r="BR261" s="2269"/>
      <c r="BS261" s="2269"/>
      <c r="BT261" s="2269"/>
      <c r="BU261" s="2269"/>
      <c r="BV261" s="2269"/>
      <c r="BW261" s="2269"/>
      <c r="BX261" s="2269"/>
      <c r="BY261" s="2269"/>
      <c r="BZ261" s="2269"/>
      <c r="CA261" s="2269"/>
    </row>
    <row r="262" spans="1:79">
      <c r="A262" s="2269"/>
      <c r="B262" s="2269"/>
      <c r="C262" s="2269"/>
      <c r="D262" s="2269"/>
      <c r="E262" s="2269"/>
      <c r="F262" s="2269"/>
      <c r="G262" s="2269"/>
      <c r="H262" s="2269"/>
      <c r="I262" s="2269"/>
      <c r="J262" s="2269"/>
      <c r="K262" s="2269"/>
      <c r="L262" s="2269"/>
      <c r="M262" s="2269"/>
      <c r="N262" s="2269"/>
      <c r="O262" s="2269"/>
      <c r="P262" s="2269"/>
      <c r="Q262" s="2269"/>
      <c r="R262" s="2269"/>
      <c r="S262" s="2269"/>
      <c r="T262" s="2269"/>
      <c r="U262" s="2269"/>
      <c r="V262" s="2269"/>
      <c r="W262" s="2269"/>
      <c r="X262" s="2269"/>
      <c r="Y262" s="2269"/>
      <c r="Z262" s="2269"/>
      <c r="AA262" s="2269"/>
      <c r="AB262" s="2269"/>
      <c r="AC262" s="2269"/>
      <c r="AD262" s="2269"/>
      <c r="AE262" s="2269"/>
      <c r="AF262" s="2269"/>
      <c r="AG262" s="2269"/>
      <c r="AH262" s="2269"/>
      <c r="AI262" s="2269"/>
      <c r="AJ262" s="2269"/>
      <c r="AK262" s="2269"/>
      <c r="AL262" s="2269"/>
      <c r="AM262" s="2269"/>
      <c r="AN262" s="2269"/>
      <c r="AO262" s="2269"/>
      <c r="AP262" s="2269"/>
      <c r="AQ262" s="2269"/>
      <c r="AR262" s="2269"/>
      <c r="AS262" s="2269"/>
      <c r="AT262" s="2269"/>
      <c r="AU262" s="2269"/>
      <c r="AV262" s="2269"/>
      <c r="AW262" s="2269"/>
      <c r="AX262" s="2269"/>
      <c r="AY262" s="2269"/>
      <c r="AZ262" s="2269"/>
      <c r="BA262" s="2269"/>
      <c r="BB262" s="2269"/>
      <c r="BC262" s="2269"/>
      <c r="BD262" s="2269"/>
      <c r="BE262" s="2269"/>
      <c r="BF262" s="2269"/>
      <c r="BG262" s="2269"/>
      <c r="BH262" s="2269"/>
      <c r="BI262" s="2269"/>
      <c r="BJ262" s="2269"/>
      <c r="BK262" s="2269"/>
      <c r="BL262" s="2269"/>
      <c r="BM262" s="2269"/>
      <c r="BN262" s="2269"/>
      <c r="BO262" s="2269"/>
      <c r="BP262" s="2269"/>
      <c r="BQ262" s="2269"/>
      <c r="BR262" s="2269"/>
      <c r="BS262" s="2269"/>
      <c r="BT262" s="2269"/>
      <c r="BU262" s="2269"/>
      <c r="BV262" s="2269"/>
      <c r="BW262" s="2269"/>
      <c r="BX262" s="2269"/>
      <c r="BY262" s="2269"/>
      <c r="BZ262" s="2269"/>
      <c r="CA262" s="2269"/>
    </row>
    <row r="263" spans="1:79">
      <c r="A263" s="2269"/>
      <c r="B263" s="2269"/>
      <c r="C263" s="2269"/>
      <c r="D263" s="2269"/>
      <c r="E263" s="2269"/>
      <c r="F263" s="2269"/>
      <c r="G263" s="2269"/>
      <c r="H263" s="2269"/>
      <c r="I263" s="2269"/>
      <c r="J263" s="2269"/>
      <c r="K263" s="2269"/>
      <c r="L263" s="2269"/>
      <c r="M263" s="2269"/>
      <c r="N263" s="2269"/>
      <c r="O263" s="2269"/>
      <c r="P263" s="2269"/>
      <c r="Q263" s="2269"/>
      <c r="R263" s="2269"/>
      <c r="S263" s="2269"/>
      <c r="T263" s="2269"/>
      <c r="U263" s="2269"/>
      <c r="V263" s="2269"/>
      <c r="W263" s="2269"/>
      <c r="X263" s="2269"/>
      <c r="Y263" s="2269"/>
      <c r="Z263" s="2269"/>
      <c r="AA263" s="2269"/>
      <c r="AB263" s="2269"/>
      <c r="AC263" s="2269"/>
      <c r="AD263" s="2269"/>
      <c r="AE263" s="2269"/>
      <c r="AF263" s="2269"/>
      <c r="AG263" s="2269"/>
      <c r="AH263" s="2269"/>
      <c r="AI263" s="2269"/>
      <c r="AJ263" s="2269"/>
      <c r="AK263" s="2269"/>
      <c r="AL263" s="2269"/>
      <c r="AM263" s="2269"/>
      <c r="AN263" s="2269"/>
      <c r="AO263" s="2269"/>
      <c r="AP263" s="2269"/>
      <c r="AQ263" s="2269"/>
      <c r="AR263" s="2269"/>
      <c r="AS263" s="2269"/>
      <c r="AT263" s="2269"/>
      <c r="AU263" s="2269"/>
      <c r="AV263" s="2269"/>
      <c r="AW263" s="2269"/>
      <c r="AX263" s="2269"/>
      <c r="AY263" s="2269"/>
      <c r="AZ263" s="2269"/>
      <c r="BA263" s="2269"/>
      <c r="BB263" s="2269"/>
      <c r="BC263" s="2269"/>
      <c r="BD263" s="2269"/>
      <c r="BE263" s="2269"/>
      <c r="BF263" s="2269"/>
      <c r="BG263" s="2269"/>
      <c r="BH263" s="2269"/>
      <c r="BI263" s="2269"/>
      <c r="BJ263" s="2269"/>
      <c r="BK263" s="2269"/>
      <c r="BL263" s="2269"/>
      <c r="BM263" s="2269"/>
      <c r="BN263" s="2269"/>
      <c r="BO263" s="2269"/>
      <c r="BP263" s="2269"/>
      <c r="BQ263" s="2269"/>
      <c r="BR263" s="2269"/>
      <c r="BS263" s="2269"/>
      <c r="BT263" s="2269"/>
      <c r="BU263" s="2269"/>
      <c r="BV263" s="2269"/>
      <c r="BW263" s="2269"/>
      <c r="BX263" s="2269"/>
      <c r="BY263" s="2269"/>
      <c r="BZ263" s="2269"/>
      <c r="CA263" s="2269"/>
    </row>
    <row r="264" spans="1:79">
      <c r="A264" s="2269"/>
      <c r="B264" s="2269"/>
      <c r="C264" s="2269"/>
      <c r="D264" s="2269"/>
      <c r="E264" s="2269"/>
      <c r="F264" s="2269"/>
      <c r="G264" s="2269"/>
      <c r="H264" s="2269"/>
      <c r="I264" s="2269"/>
      <c r="J264" s="2269"/>
      <c r="K264" s="2269"/>
      <c r="L264" s="2269"/>
      <c r="M264" s="2269"/>
      <c r="N264" s="2269"/>
      <c r="O264" s="2269"/>
      <c r="P264" s="2269"/>
      <c r="Q264" s="2269"/>
      <c r="R264" s="2269"/>
      <c r="S264" s="2269"/>
      <c r="T264" s="2269"/>
      <c r="U264" s="2269"/>
      <c r="V264" s="2269"/>
      <c r="W264" s="2269"/>
      <c r="X264" s="2269"/>
      <c r="Y264" s="2269"/>
      <c r="Z264" s="2269"/>
      <c r="AA264" s="2269"/>
      <c r="AB264" s="2269"/>
      <c r="AC264" s="2269"/>
      <c r="AD264" s="2269"/>
      <c r="AE264" s="2269"/>
      <c r="AF264" s="2269"/>
      <c r="AG264" s="2269"/>
      <c r="AH264" s="2269"/>
      <c r="AI264" s="2269"/>
      <c r="AJ264" s="2269"/>
      <c r="AK264" s="2269"/>
      <c r="AL264" s="2269"/>
      <c r="AM264" s="2269"/>
      <c r="AN264" s="2269"/>
      <c r="AO264" s="2269"/>
      <c r="AP264" s="2269"/>
      <c r="AQ264" s="2269"/>
      <c r="AR264" s="2269"/>
      <c r="AS264" s="2269"/>
      <c r="AT264" s="2269"/>
      <c r="AU264" s="2269"/>
      <c r="AV264" s="2269"/>
      <c r="AW264" s="2269"/>
      <c r="AX264" s="2269"/>
      <c r="AY264" s="2269"/>
      <c r="AZ264" s="2269"/>
      <c r="BA264" s="2269"/>
      <c r="BB264" s="2269"/>
      <c r="BC264" s="2269"/>
      <c r="BD264" s="2269"/>
      <c r="BE264" s="2269"/>
      <c r="BF264" s="2269"/>
      <c r="BG264" s="2269"/>
      <c r="BH264" s="2269"/>
      <c r="BI264" s="2269"/>
      <c r="BJ264" s="2269"/>
      <c r="BK264" s="2269"/>
      <c r="BL264" s="2269"/>
      <c r="BM264" s="2269"/>
      <c r="BN264" s="2269"/>
      <c r="BO264" s="2269"/>
      <c r="BP264" s="2269"/>
      <c r="BQ264" s="2269"/>
      <c r="BR264" s="2269"/>
      <c r="BS264" s="2269"/>
      <c r="BT264" s="2269"/>
      <c r="BU264" s="2269"/>
      <c r="BV264" s="2269"/>
      <c r="BW264" s="2269"/>
      <c r="BX264" s="2269"/>
      <c r="BY264" s="2269"/>
      <c r="BZ264" s="2269"/>
      <c r="CA264" s="2269"/>
    </row>
    <row r="265" spans="1:79">
      <c r="A265" s="2269"/>
      <c r="B265" s="2269"/>
      <c r="C265" s="2269"/>
      <c r="D265" s="2269"/>
      <c r="E265" s="2269"/>
      <c r="F265" s="2269"/>
      <c r="G265" s="2269"/>
      <c r="H265" s="2269"/>
      <c r="I265" s="2269"/>
      <c r="J265" s="2269"/>
      <c r="K265" s="2269"/>
      <c r="L265" s="2269"/>
      <c r="M265" s="2269"/>
      <c r="N265" s="2269"/>
      <c r="O265" s="2269"/>
      <c r="P265" s="2269"/>
      <c r="Q265" s="2269"/>
      <c r="R265" s="2269"/>
      <c r="S265" s="2269"/>
      <c r="T265" s="2269"/>
      <c r="U265" s="2269"/>
      <c r="V265" s="2269"/>
      <c r="W265" s="2269"/>
      <c r="X265" s="2269"/>
      <c r="Y265" s="2269"/>
      <c r="Z265" s="2269"/>
      <c r="AA265" s="2269"/>
      <c r="AB265" s="2269"/>
      <c r="AC265" s="2269"/>
      <c r="AD265" s="2269"/>
      <c r="AE265" s="2269"/>
      <c r="AF265" s="2269"/>
      <c r="AG265" s="2269"/>
      <c r="AH265" s="2269"/>
      <c r="AI265" s="2269"/>
      <c r="AJ265" s="2269"/>
      <c r="AK265" s="2269"/>
      <c r="AL265" s="2269"/>
      <c r="AM265" s="2269"/>
      <c r="AN265" s="2269"/>
      <c r="AO265" s="2269"/>
      <c r="AP265" s="2269"/>
      <c r="AQ265" s="2269"/>
      <c r="AR265" s="2269"/>
      <c r="AS265" s="2269"/>
      <c r="AT265" s="2269"/>
      <c r="AU265" s="2269"/>
      <c r="AV265" s="2269"/>
      <c r="AW265" s="2269"/>
      <c r="AX265" s="2269"/>
      <c r="AY265" s="2269"/>
      <c r="AZ265" s="2269"/>
      <c r="BA265" s="2269"/>
      <c r="BB265" s="2269"/>
      <c r="BC265" s="2269"/>
      <c r="BD265" s="2269"/>
      <c r="BE265" s="2269"/>
      <c r="BF265" s="2269"/>
      <c r="BG265" s="2269"/>
      <c r="BH265" s="2269"/>
      <c r="BI265" s="2269"/>
      <c r="BJ265" s="2269"/>
      <c r="BK265" s="2269"/>
      <c r="BL265" s="2269"/>
      <c r="BM265" s="2269"/>
      <c r="BN265" s="2269"/>
      <c r="BO265" s="2269"/>
      <c r="BP265" s="2269"/>
      <c r="BQ265" s="2269"/>
      <c r="BR265" s="2269"/>
      <c r="BS265" s="2269"/>
      <c r="BT265" s="2269"/>
      <c r="BU265" s="2269"/>
      <c r="BV265" s="2269"/>
      <c r="BW265" s="2269"/>
      <c r="BX265" s="2269"/>
      <c r="BY265" s="2269"/>
      <c r="BZ265" s="2269"/>
      <c r="CA265" s="2269"/>
    </row>
    <row r="266" spans="1:79">
      <c r="A266" s="2269"/>
      <c r="B266" s="2269"/>
      <c r="C266" s="2269"/>
      <c r="D266" s="2269"/>
      <c r="E266" s="2269"/>
      <c r="F266" s="2269"/>
      <c r="G266" s="2269"/>
      <c r="H266" s="2269"/>
      <c r="I266" s="2269"/>
      <c r="J266" s="2269"/>
      <c r="K266" s="2269"/>
      <c r="L266" s="2269"/>
      <c r="M266" s="2269"/>
      <c r="N266" s="2269"/>
      <c r="O266" s="2269"/>
      <c r="P266" s="2269"/>
      <c r="Q266" s="2269"/>
      <c r="R266" s="2269"/>
      <c r="S266" s="2269"/>
      <c r="T266" s="2269"/>
      <c r="U266" s="2269"/>
      <c r="V266" s="2269"/>
      <c r="W266" s="2269"/>
      <c r="X266" s="2269"/>
      <c r="Y266" s="2269"/>
      <c r="Z266" s="2269"/>
      <c r="AA266" s="2269"/>
      <c r="AB266" s="2269"/>
      <c r="AC266" s="2269"/>
      <c r="AD266" s="2269"/>
      <c r="AE266" s="2269"/>
      <c r="AF266" s="2269"/>
      <c r="AG266" s="2269"/>
      <c r="AH266" s="2269"/>
      <c r="AI266" s="2269"/>
      <c r="AJ266" s="2269"/>
      <c r="AK266" s="2269"/>
      <c r="AL266" s="2269"/>
      <c r="AM266" s="2269"/>
      <c r="AN266" s="2269"/>
      <c r="AO266" s="2269"/>
      <c r="AP266" s="2269"/>
      <c r="AQ266" s="2269"/>
      <c r="AR266" s="2269"/>
      <c r="AS266" s="2269"/>
      <c r="AT266" s="2269"/>
      <c r="AU266" s="2269"/>
      <c r="AV266" s="2269"/>
      <c r="AW266" s="2269"/>
      <c r="AX266" s="2269"/>
      <c r="AY266" s="2269"/>
      <c r="AZ266" s="2269"/>
      <c r="BA266" s="2269"/>
      <c r="BB266" s="2269"/>
      <c r="BC266" s="2269"/>
      <c r="BD266" s="2269"/>
      <c r="BE266" s="2269"/>
      <c r="BF266" s="2269"/>
      <c r="BG266" s="2269"/>
      <c r="BH266" s="2269"/>
      <c r="BI266" s="2269"/>
      <c r="BJ266" s="2269"/>
      <c r="BK266" s="2269"/>
      <c r="BL266" s="2269"/>
      <c r="BM266" s="2269"/>
      <c r="BN266" s="2269"/>
      <c r="BO266" s="2269"/>
      <c r="BP266" s="2269"/>
      <c r="BQ266" s="2269"/>
      <c r="BR266" s="2269"/>
      <c r="BS266" s="2269"/>
      <c r="BT266" s="2269"/>
      <c r="BU266" s="2269"/>
      <c r="BV266" s="2269"/>
      <c r="BW266" s="2269"/>
      <c r="BX266" s="2269"/>
      <c r="BY266" s="2269"/>
      <c r="BZ266" s="2269"/>
      <c r="CA266" s="2269"/>
    </row>
    <row r="267" spans="1:79">
      <c r="A267" s="2269"/>
      <c r="B267" s="2269"/>
      <c r="C267" s="2269"/>
      <c r="D267" s="2269"/>
      <c r="E267" s="2269"/>
      <c r="F267" s="2269"/>
      <c r="G267" s="2269"/>
      <c r="H267" s="2269"/>
      <c r="I267" s="2269"/>
      <c r="J267" s="2269"/>
      <c r="K267" s="2269"/>
      <c r="L267" s="2269"/>
      <c r="M267" s="2269"/>
      <c r="N267" s="2269"/>
      <c r="O267" s="2269"/>
      <c r="P267" s="2269"/>
      <c r="Q267" s="2269"/>
      <c r="R267" s="2269"/>
      <c r="S267" s="2269"/>
      <c r="T267" s="2269"/>
      <c r="U267" s="2269"/>
      <c r="V267" s="2269"/>
      <c r="W267" s="2269"/>
      <c r="X267" s="2269"/>
      <c r="Y267" s="2269"/>
      <c r="Z267" s="2269"/>
      <c r="AA267" s="2269"/>
      <c r="AB267" s="2269"/>
      <c r="AC267" s="2269"/>
      <c r="AD267" s="2269"/>
      <c r="AE267" s="2269"/>
      <c r="AF267" s="2269"/>
      <c r="AG267" s="2269"/>
      <c r="AH267" s="2269"/>
      <c r="AI267" s="2269"/>
      <c r="AJ267" s="2269"/>
      <c r="AK267" s="2269"/>
      <c r="AL267" s="2269"/>
      <c r="AM267" s="2269"/>
      <c r="AN267" s="2269"/>
      <c r="AO267" s="2269"/>
      <c r="AP267" s="2269"/>
      <c r="AQ267" s="2269"/>
      <c r="AR267" s="2269"/>
      <c r="AS267" s="2269"/>
      <c r="AT267" s="2269"/>
      <c r="AU267" s="2269"/>
      <c r="AV267" s="2269"/>
      <c r="AW267" s="2269"/>
      <c r="AX267" s="2269"/>
      <c r="AY267" s="2269"/>
      <c r="AZ267" s="2269"/>
      <c r="BA267" s="2269"/>
      <c r="BB267" s="2269"/>
      <c r="BC267" s="2269"/>
      <c r="BD267" s="2269"/>
      <c r="BE267" s="2269"/>
      <c r="BF267" s="2269"/>
      <c r="BG267" s="2269"/>
      <c r="BH267" s="2269"/>
      <c r="BI267" s="2269"/>
      <c r="BJ267" s="2269"/>
      <c r="BK267" s="2269"/>
      <c r="BL267" s="2269"/>
      <c r="BM267" s="2269"/>
      <c r="BN267" s="2269"/>
      <c r="BO267" s="2269"/>
      <c r="BP267" s="2269"/>
      <c r="BQ267" s="2269"/>
      <c r="BR267" s="2269"/>
      <c r="BS267" s="2269"/>
      <c r="BT267" s="2269"/>
      <c r="BU267" s="2269"/>
      <c r="BV267" s="2269"/>
      <c r="BW267" s="2269"/>
      <c r="BX267" s="2269"/>
      <c r="BY267" s="2269"/>
      <c r="BZ267" s="2269"/>
      <c r="CA267" s="2269"/>
    </row>
    <row r="268" spans="1:79">
      <c r="A268" s="2269"/>
      <c r="B268" s="2269"/>
      <c r="C268" s="2269"/>
      <c r="D268" s="2269"/>
      <c r="E268" s="2269"/>
      <c r="F268" s="2269"/>
      <c r="G268" s="2269"/>
      <c r="H268" s="2269"/>
      <c r="I268" s="2269"/>
      <c r="J268" s="2269"/>
      <c r="K268" s="2269"/>
      <c r="L268" s="2269"/>
      <c r="M268" s="2269"/>
      <c r="N268" s="2269"/>
      <c r="O268" s="2269"/>
      <c r="P268" s="2269"/>
      <c r="Q268" s="2269"/>
      <c r="R268" s="2269"/>
      <c r="S268" s="2269"/>
      <c r="T268" s="2269"/>
      <c r="U268" s="2269"/>
      <c r="V268" s="2269"/>
      <c r="W268" s="2269"/>
      <c r="X268" s="2269"/>
      <c r="Y268" s="2269"/>
      <c r="Z268" s="2269"/>
      <c r="AA268" s="2269"/>
      <c r="AB268" s="2269"/>
      <c r="AC268" s="2269"/>
      <c r="AD268" s="2269"/>
      <c r="AE268" s="2269"/>
      <c r="AF268" s="2269"/>
      <c r="AG268" s="2269"/>
      <c r="AH268" s="2269"/>
      <c r="AI268" s="2269"/>
      <c r="AJ268" s="2269"/>
      <c r="AK268" s="2269"/>
      <c r="AL268" s="2269"/>
      <c r="AM268" s="2269"/>
      <c r="AN268" s="2269"/>
      <c r="AO268" s="2269"/>
      <c r="AP268" s="2269"/>
      <c r="AQ268" s="2269"/>
      <c r="AR268" s="2269"/>
      <c r="AS268" s="2269"/>
      <c r="AT268" s="2269"/>
      <c r="AU268" s="2269"/>
      <c r="AV268" s="2269"/>
      <c r="AW268" s="2269"/>
      <c r="AX268" s="2269"/>
      <c r="AY268" s="2269"/>
      <c r="AZ268" s="2269"/>
      <c r="BA268" s="2269"/>
      <c r="BB268" s="2269"/>
      <c r="BC268" s="2269"/>
      <c r="BD268" s="2269"/>
      <c r="BE268" s="2269"/>
      <c r="BF268" s="2269"/>
      <c r="BG268" s="2269"/>
      <c r="BH268" s="2269"/>
      <c r="BI268" s="2269"/>
      <c r="BJ268" s="2269"/>
      <c r="BK268" s="2269"/>
      <c r="BL268" s="2269"/>
      <c r="BM268" s="2269"/>
      <c r="BN268" s="2269"/>
      <c r="BO268" s="2269"/>
      <c r="BP268" s="2269"/>
      <c r="BQ268" s="2269"/>
      <c r="BR268" s="2269"/>
      <c r="BS268" s="2269"/>
      <c r="BT268" s="2269"/>
      <c r="BU268" s="2269"/>
      <c r="BV268" s="2269"/>
      <c r="BW268" s="2269"/>
      <c r="BX268" s="2269"/>
      <c r="BY268" s="2269"/>
      <c r="BZ268" s="2269"/>
      <c r="CA268" s="2269"/>
    </row>
    <row r="269" spans="1:79">
      <c r="A269" s="2269"/>
      <c r="B269" s="2269"/>
      <c r="C269" s="2269"/>
      <c r="D269" s="2269"/>
      <c r="E269" s="2269"/>
      <c r="F269" s="2269"/>
      <c r="G269" s="2269"/>
      <c r="H269" s="2269"/>
      <c r="I269" s="2269"/>
      <c r="J269" s="2269"/>
      <c r="K269" s="2269"/>
      <c r="L269" s="2269"/>
      <c r="M269" s="2269"/>
      <c r="N269" s="2269"/>
      <c r="O269" s="2269"/>
      <c r="P269" s="2269"/>
      <c r="Q269" s="2269"/>
      <c r="R269" s="2269"/>
      <c r="S269" s="2269"/>
      <c r="T269" s="2269"/>
      <c r="U269" s="2269"/>
      <c r="V269" s="2269"/>
      <c r="W269" s="2269"/>
      <c r="X269" s="2269"/>
      <c r="Y269" s="2269"/>
      <c r="Z269" s="2269"/>
      <c r="AA269" s="2269"/>
      <c r="AB269" s="2269"/>
      <c r="AC269" s="2269"/>
      <c r="AD269" s="2269"/>
      <c r="AE269" s="2269"/>
      <c r="AF269" s="2269"/>
      <c r="AG269" s="2269"/>
      <c r="AH269" s="2269"/>
      <c r="AI269" s="2269"/>
      <c r="AJ269" s="2269"/>
      <c r="AK269" s="2269"/>
      <c r="AL269" s="2269"/>
      <c r="AM269" s="2269"/>
      <c r="AN269" s="2269"/>
      <c r="AO269" s="2269"/>
      <c r="AP269" s="2269"/>
      <c r="AQ269" s="2269"/>
      <c r="AR269" s="2269"/>
      <c r="AS269" s="2269"/>
      <c r="AT269" s="2269"/>
      <c r="AU269" s="2269"/>
      <c r="AV269" s="2269"/>
      <c r="AW269" s="2269"/>
      <c r="AX269" s="2269"/>
      <c r="AY269" s="2269"/>
      <c r="AZ269" s="2269"/>
      <c r="BA269" s="2269"/>
      <c r="BB269" s="2269"/>
      <c r="BC269" s="2269"/>
      <c r="BD269" s="2269"/>
      <c r="BE269" s="2269"/>
      <c r="BF269" s="2269"/>
      <c r="BG269" s="2269"/>
      <c r="BH269" s="2269"/>
      <c r="BI269" s="2269"/>
      <c r="BJ269" s="2269"/>
      <c r="BK269" s="2269"/>
      <c r="BL269" s="2269"/>
      <c r="BM269" s="2269"/>
      <c r="BN269" s="2269"/>
      <c r="BO269" s="2269"/>
      <c r="BP269" s="2269"/>
      <c r="BQ269" s="2269"/>
      <c r="BR269" s="2269"/>
      <c r="BS269" s="2269"/>
      <c r="BT269" s="2269"/>
      <c r="BU269" s="2269"/>
      <c r="BV269" s="2269"/>
      <c r="BW269" s="2269"/>
      <c r="BX269" s="2269"/>
      <c r="BY269" s="2269"/>
      <c r="BZ269" s="2269"/>
      <c r="CA269" s="2269"/>
    </row>
    <row r="270" spans="1:79">
      <c r="A270" s="2269"/>
      <c r="B270" s="2269"/>
      <c r="C270" s="2269"/>
      <c r="D270" s="2269"/>
      <c r="E270" s="2269"/>
      <c r="F270" s="2269"/>
      <c r="G270" s="2269"/>
      <c r="H270" s="2269"/>
      <c r="I270" s="2269"/>
      <c r="J270" s="2269"/>
      <c r="K270" s="2269"/>
      <c r="L270" s="2269"/>
      <c r="M270" s="2269"/>
      <c r="N270" s="2269"/>
      <c r="O270" s="2269"/>
      <c r="P270" s="2269"/>
      <c r="Q270" s="2269"/>
      <c r="R270" s="2269"/>
      <c r="S270" s="2269"/>
      <c r="T270" s="2269"/>
      <c r="U270" s="2269"/>
      <c r="V270" s="2269"/>
      <c r="W270" s="2269"/>
      <c r="X270" s="2269"/>
      <c r="Y270" s="2269"/>
      <c r="Z270" s="2269"/>
      <c r="AA270" s="2269"/>
      <c r="AB270" s="2269"/>
      <c r="AC270" s="2269"/>
      <c r="AD270" s="2269"/>
      <c r="AE270" s="2269"/>
      <c r="AF270" s="2269"/>
      <c r="AG270" s="2269"/>
      <c r="AH270" s="2269"/>
      <c r="AI270" s="2269"/>
      <c r="AJ270" s="2269"/>
      <c r="AK270" s="2269"/>
      <c r="AL270" s="2269"/>
      <c r="AM270" s="2269"/>
      <c r="AN270" s="2269"/>
      <c r="AO270" s="2269"/>
      <c r="AP270" s="2269"/>
      <c r="AQ270" s="2269"/>
      <c r="AR270" s="2269"/>
      <c r="AS270" s="2269"/>
      <c r="AT270" s="2269"/>
      <c r="AU270" s="2269"/>
      <c r="AV270" s="2269"/>
      <c r="AW270" s="2269"/>
      <c r="AX270" s="2269"/>
      <c r="AY270" s="2269"/>
      <c r="AZ270" s="2269"/>
      <c r="BA270" s="2269"/>
      <c r="BB270" s="2269"/>
      <c r="BC270" s="2269"/>
      <c r="BD270" s="2269"/>
      <c r="BE270" s="2269"/>
      <c r="BF270" s="2269"/>
      <c r="BG270" s="2269"/>
      <c r="BH270" s="2269"/>
      <c r="BI270" s="2269"/>
      <c r="BJ270" s="2269"/>
      <c r="BK270" s="2269"/>
      <c r="BL270" s="2269"/>
      <c r="BM270" s="2269"/>
      <c r="BN270" s="2269"/>
      <c r="BO270" s="2269"/>
      <c r="BP270" s="2269"/>
      <c r="BQ270" s="2269"/>
      <c r="BR270" s="2269"/>
      <c r="BS270" s="2269"/>
      <c r="BT270" s="2269"/>
      <c r="BU270" s="2269"/>
      <c r="BV270" s="2269"/>
      <c r="BW270" s="2269"/>
      <c r="BX270" s="2269"/>
      <c r="BY270" s="2269"/>
      <c r="BZ270" s="2269"/>
      <c r="CA270" s="2269"/>
    </row>
    <row r="271" spans="1:79">
      <c r="A271" s="2269"/>
      <c r="B271" s="2269"/>
      <c r="C271" s="2269"/>
      <c r="D271" s="2269"/>
      <c r="E271" s="2269"/>
      <c r="F271" s="2269"/>
      <c r="G271" s="2269"/>
      <c r="H271" s="2269"/>
      <c r="I271" s="2269"/>
      <c r="J271" s="2269"/>
      <c r="K271" s="2269"/>
      <c r="L271" s="2269"/>
      <c r="M271" s="2269"/>
      <c r="N271" s="2269"/>
      <c r="O271" s="2269"/>
      <c r="P271" s="2269"/>
      <c r="Q271" s="2269"/>
      <c r="R271" s="2269"/>
      <c r="S271" s="2269"/>
      <c r="T271" s="2269"/>
      <c r="U271" s="2269"/>
      <c r="V271" s="2269"/>
      <c r="W271" s="2269"/>
      <c r="X271" s="2269"/>
      <c r="Y271" s="2269"/>
      <c r="Z271" s="2269"/>
      <c r="AA271" s="2269"/>
      <c r="AB271" s="2269"/>
      <c r="AC271" s="2269"/>
      <c r="AD271" s="2269"/>
      <c r="AE271" s="2269"/>
      <c r="AF271" s="2269"/>
      <c r="AG271" s="2269"/>
      <c r="AH271" s="2269"/>
      <c r="AI271" s="2269"/>
      <c r="AJ271" s="2269"/>
      <c r="AK271" s="2269"/>
      <c r="AL271" s="2269"/>
      <c r="AM271" s="2269"/>
      <c r="AN271" s="2269"/>
      <c r="AO271" s="2269"/>
      <c r="AP271" s="2269"/>
      <c r="AQ271" s="2269"/>
      <c r="AR271" s="2269"/>
      <c r="AS271" s="2269"/>
      <c r="AT271" s="2269"/>
      <c r="AU271" s="2269"/>
      <c r="AV271" s="2269"/>
      <c r="AW271" s="2269"/>
      <c r="AX271" s="2269"/>
      <c r="AY271" s="2269"/>
      <c r="AZ271" s="2269"/>
      <c r="BA271" s="2269"/>
      <c r="BB271" s="2269"/>
      <c r="BC271" s="2269"/>
      <c r="BD271" s="2269"/>
      <c r="BE271" s="2269"/>
      <c r="BF271" s="2269"/>
      <c r="BG271" s="2269"/>
      <c r="BH271" s="2269"/>
      <c r="BI271" s="2269"/>
      <c r="BJ271" s="2269"/>
      <c r="BK271" s="2269"/>
      <c r="BL271" s="2269"/>
      <c r="BM271" s="2269"/>
      <c r="BN271" s="2269"/>
      <c r="BO271" s="2269"/>
      <c r="BP271" s="2269"/>
      <c r="BQ271" s="2269"/>
      <c r="BR271" s="2269"/>
      <c r="BS271" s="2269"/>
      <c r="BT271" s="2269"/>
      <c r="BU271" s="2269"/>
      <c r="BV271" s="2269"/>
      <c r="BW271" s="2269"/>
      <c r="BX271" s="2269"/>
      <c r="BY271" s="2269"/>
      <c r="BZ271" s="2269"/>
      <c r="CA271" s="2269"/>
    </row>
    <row r="272" spans="1:79">
      <c r="A272" s="2269"/>
      <c r="B272" s="2269"/>
      <c r="C272" s="2269"/>
      <c r="D272" s="2269"/>
      <c r="E272" s="2269"/>
      <c r="F272" s="2269"/>
      <c r="G272" s="2269"/>
      <c r="H272" s="2269"/>
      <c r="I272" s="2269"/>
      <c r="J272" s="2269"/>
      <c r="K272" s="2269"/>
      <c r="L272" s="2269"/>
      <c r="M272" s="2269"/>
      <c r="N272" s="2269"/>
      <c r="O272" s="2269"/>
      <c r="P272" s="2269"/>
      <c r="Q272" s="2269"/>
      <c r="R272" s="2269"/>
      <c r="S272" s="2269"/>
      <c r="T272" s="2269"/>
      <c r="U272" s="2269"/>
      <c r="V272" s="2269"/>
      <c r="W272" s="2269"/>
      <c r="X272" s="2269"/>
      <c r="Y272" s="2269"/>
      <c r="Z272" s="2269"/>
      <c r="AA272" s="2269"/>
      <c r="AB272" s="2269"/>
      <c r="AC272" s="2269"/>
      <c r="AD272" s="2269"/>
      <c r="AE272" s="2269"/>
      <c r="AF272" s="2269"/>
      <c r="AG272" s="2269"/>
      <c r="AH272" s="2269"/>
      <c r="AI272" s="2269"/>
      <c r="AJ272" s="2269"/>
      <c r="AK272" s="2269"/>
      <c r="AL272" s="2269"/>
      <c r="AM272" s="2269"/>
      <c r="AN272" s="2269"/>
      <c r="AO272" s="2269"/>
      <c r="AP272" s="2269"/>
      <c r="AQ272" s="2269"/>
      <c r="AR272" s="2269"/>
      <c r="AS272" s="2269"/>
      <c r="AT272" s="2269"/>
      <c r="AU272" s="2269"/>
      <c r="AV272" s="2269"/>
      <c r="AW272" s="2269"/>
      <c r="AX272" s="2269"/>
      <c r="AY272" s="2269"/>
      <c r="AZ272" s="2269"/>
      <c r="BA272" s="2269"/>
      <c r="BB272" s="2269"/>
      <c r="BC272" s="2269"/>
      <c r="BD272" s="2269"/>
      <c r="BE272" s="2269"/>
      <c r="BF272" s="2269"/>
      <c r="BG272" s="2269"/>
      <c r="BH272" s="2269"/>
      <c r="BI272" s="2269"/>
      <c r="BJ272" s="2269"/>
      <c r="BK272" s="2269"/>
      <c r="BL272" s="2269"/>
      <c r="BM272" s="2269"/>
      <c r="BN272" s="2269"/>
      <c r="BO272" s="2269"/>
      <c r="BP272" s="2269"/>
      <c r="BQ272" s="2269"/>
      <c r="BR272" s="2269"/>
      <c r="BS272" s="2269"/>
      <c r="BT272" s="2269"/>
      <c r="BU272" s="2269"/>
      <c r="BV272" s="2269"/>
      <c r="BW272" s="2269"/>
      <c r="BX272" s="2269"/>
      <c r="BY272" s="2269"/>
      <c r="BZ272" s="2269"/>
      <c r="CA272" s="2269"/>
    </row>
    <row r="273" spans="1:79">
      <c r="A273" s="2269"/>
      <c r="B273" s="2269"/>
      <c r="C273" s="2269"/>
      <c r="D273" s="2269"/>
      <c r="E273" s="2269"/>
      <c r="F273" s="2269"/>
      <c r="G273" s="2269"/>
      <c r="H273" s="2269"/>
      <c r="I273" s="2269"/>
      <c r="J273" s="2269"/>
      <c r="K273" s="2269"/>
      <c r="L273" s="2269"/>
      <c r="M273" s="2269"/>
      <c r="N273" s="2269"/>
      <c r="O273" s="2269"/>
      <c r="P273" s="2269"/>
      <c r="Q273" s="2269"/>
      <c r="R273" s="2269"/>
      <c r="S273" s="2269"/>
      <c r="T273" s="2269"/>
      <c r="U273" s="2269"/>
      <c r="V273" s="2269"/>
      <c r="W273" s="2269"/>
      <c r="X273" s="2269"/>
      <c r="Y273" s="2269"/>
      <c r="Z273" s="2269"/>
      <c r="AA273" s="2269"/>
      <c r="AB273" s="2269"/>
      <c r="AC273" s="2269"/>
      <c r="AD273" s="2269"/>
      <c r="AE273" s="2269"/>
      <c r="AF273" s="2269"/>
      <c r="AG273" s="2269"/>
      <c r="AH273" s="2269"/>
      <c r="AI273" s="2269"/>
      <c r="AJ273" s="2269"/>
      <c r="AK273" s="2269"/>
      <c r="AL273" s="2269"/>
      <c r="AM273" s="2269"/>
      <c r="AN273" s="2269"/>
      <c r="AO273" s="2269"/>
      <c r="AP273" s="2269"/>
      <c r="AQ273" s="2269"/>
      <c r="AR273" s="2269"/>
      <c r="AS273" s="2269"/>
      <c r="AT273" s="2269"/>
      <c r="AU273" s="2269"/>
      <c r="AV273" s="2269"/>
      <c r="AW273" s="2269"/>
      <c r="AX273" s="2269"/>
      <c r="AY273" s="2269"/>
      <c r="AZ273" s="2269"/>
      <c r="BA273" s="2269"/>
      <c r="BB273" s="2269"/>
      <c r="BC273" s="2269"/>
      <c r="BD273" s="2269"/>
      <c r="BE273" s="2269"/>
      <c r="BF273" s="2269"/>
      <c r="BG273" s="2269"/>
      <c r="BH273" s="2269"/>
      <c r="BI273" s="2269"/>
      <c r="BJ273" s="2269"/>
      <c r="BK273" s="2269"/>
      <c r="BL273" s="2269"/>
      <c r="BM273" s="2269"/>
      <c r="BN273" s="2269"/>
      <c r="BO273" s="2269"/>
      <c r="BP273" s="2269"/>
      <c r="BQ273" s="2269"/>
      <c r="BR273" s="2269"/>
      <c r="BS273" s="2269"/>
      <c r="BT273" s="2269"/>
      <c r="BU273" s="2269"/>
      <c r="BV273" s="2269"/>
      <c r="BW273" s="2269"/>
      <c r="BX273" s="2269"/>
      <c r="BY273" s="2269"/>
      <c r="BZ273" s="2269"/>
      <c r="CA273" s="2269"/>
    </row>
    <row r="274" spans="1:79">
      <c r="A274" s="2269"/>
      <c r="B274" s="2269"/>
      <c r="C274" s="2269"/>
      <c r="D274" s="2269"/>
      <c r="E274" s="2269"/>
      <c r="F274" s="2269"/>
      <c r="G274" s="2269"/>
      <c r="H274" s="2269"/>
      <c r="I274" s="2269"/>
      <c r="J274" s="2269"/>
      <c r="K274" s="2269"/>
      <c r="L274" s="2269"/>
      <c r="M274" s="2269"/>
      <c r="N274" s="2269"/>
      <c r="O274" s="2269"/>
      <c r="P274" s="2269"/>
      <c r="Q274" s="2269"/>
      <c r="R274" s="2269"/>
      <c r="S274" s="2269"/>
      <c r="T274" s="2269"/>
      <c r="U274" s="2269"/>
      <c r="V274" s="2269"/>
      <c r="W274" s="2269"/>
      <c r="X274" s="2269"/>
      <c r="Y274" s="2269"/>
      <c r="Z274" s="2269"/>
      <c r="AA274" s="2269"/>
      <c r="AB274" s="2269"/>
      <c r="AC274" s="2269"/>
      <c r="AD274" s="2269"/>
      <c r="AE274" s="2269"/>
      <c r="AF274" s="2269"/>
      <c r="AG274" s="2269"/>
      <c r="AH274" s="2269"/>
      <c r="AI274" s="2269"/>
      <c r="AJ274" s="2269"/>
      <c r="AK274" s="2269"/>
      <c r="AL274" s="2269"/>
      <c r="AM274" s="2269"/>
      <c r="AN274" s="2269"/>
      <c r="AO274" s="2269"/>
      <c r="AP274" s="2269"/>
      <c r="AQ274" s="2269"/>
      <c r="AR274" s="2269"/>
      <c r="AS274" s="2269"/>
      <c r="AT274" s="2269"/>
      <c r="AU274" s="2269"/>
      <c r="AV274" s="2269"/>
      <c r="AW274" s="2269"/>
      <c r="AX274" s="2269"/>
      <c r="AY274" s="2269"/>
      <c r="AZ274" s="2269"/>
      <c r="BA274" s="2269"/>
      <c r="BB274" s="2269"/>
      <c r="BC274" s="2269"/>
      <c r="BD274" s="2269"/>
      <c r="BE274" s="2269"/>
      <c r="BF274" s="2269"/>
      <c r="BG274" s="2269"/>
      <c r="BH274" s="2269"/>
      <c r="BI274" s="2269"/>
      <c r="BJ274" s="2269"/>
      <c r="BK274" s="2269"/>
      <c r="BL274" s="2269"/>
      <c r="BM274" s="2269"/>
      <c r="BN274" s="2269"/>
      <c r="BO274" s="2269"/>
      <c r="BP274" s="2269"/>
      <c r="BQ274" s="2269"/>
      <c r="BR274" s="2269"/>
      <c r="BS274" s="2269"/>
      <c r="BT274" s="2269"/>
      <c r="BU274" s="2269"/>
      <c r="BV274" s="2269"/>
      <c r="BW274" s="2269"/>
      <c r="BX274" s="2269"/>
      <c r="BY274" s="2269"/>
      <c r="BZ274" s="2269"/>
      <c r="CA274" s="2269"/>
    </row>
    <row r="275" spans="1:79">
      <c r="A275" s="2269"/>
      <c r="B275" s="2269"/>
      <c r="C275" s="2269"/>
      <c r="D275" s="2269"/>
      <c r="E275" s="2269"/>
      <c r="F275" s="2269"/>
      <c r="G275" s="2269"/>
      <c r="H275" s="2269"/>
      <c r="I275" s="2269"/>
      <c r="J275" s="2269"/>
      <c r="K275" s="2269"/>
      <c r="L275" s="2269"/>
      <c r="M275" s="2269"/>
      <c r="N275" s="2269"/>
      <c r="O275" s="2269"/>
      <c r="P275" s="2269"/>
      <c r="Q275" s="2269"/>
      <c r="R275" s="2269"/>
      <c r="S275" s="2269"/>
      <c r="T275" s="2269"/>
      <c r="U275" s="2269"/>
      <c r="V275" s="2269"/>
      <c r="W275" s="2269"/>
      <c r="X275" s="2269"/>
      <c r="Y275" s="2269"/>
      <c r="Z275" s="2269"/>
      <c r="AA275" s="2269"/>
      <c r="AB275" s="2269"/>
      <c r="AC275" s="2269"/>
      <c r="AD275" s="2269"/>
      <c r="AE275" s="2269"/>
      <c r="AF275" s="2269"/>
      <c r="AG275" s="2269"/>
      <c r="AH275" s="2269"/>
      <c r="AI275" s="2269"/>
      <c r="AJ275" s="2269"/>
      <c r="AK275" s="2269"/>
      <c r="AL275" s="2269"/>
      <c r="AM275" s="2269"/>
      <c r="AN275" s="2269"/>
      <c r="AO275" s="2269"/>
      <c r="AP275" s="2269"/>
      <c r="AQ275" s="2269"/>
      <c r="AR275" s="2269"/>
      <c r="AS275" s="2269"/>
      <c r="AT275" s="2269"/>
      <c r="AU275" s="2269"/>
      <c r="AV275" s="2269"/>
      <c r="AW275" s="2269"/>
      <c r="AX275" s="2269"/>
      <c r="AY275" s="2269"/>
      <c r="AZ275" s="2269"/>
      <c r="BA275" s="2269"/>
      <c r="BB275" s="2269"/>
      <c r="BC275" s="2269"/>
      <c r="BD275" s="2269"/>
      <c r="BE275" s="2269"/>
      <c r="BF275" s="2269"/>
      <c r="BG275" s="2269"/>
      <c r="BH275" s="2269"/>
      <c r="BI275" s="2269"/>
      <c r="BJ275" s="2269"/>
      <c r="BK275" s="2269"/>
      <c r="BL275" s="2269"/>
      <c r="BM275" s="2269"/>
      <c r="BN275" s="2269"/>
      <c r="BO275" s="2269"/>
      <c r="BP275" s="2269"/>
      <c r="BQ275" s="2269"/>
      <c r="BR275" s="2269"/>
      <c r="BS275" s="2269"/>
      <c r="BT275" s="2269"/>
      <c r="BU275" s="2269"/>
      <c r="BV275" s="2269"/>
      <c r="BW275" s="2269"/>
      <c r="BX275" s="2269"/>
      <c r="BY275" s="2269"/>
      <c r="BZ275" s="2269"/>
      <c r="CA275" s="2269"/>
    </row>
    <row r="276" spans="1:79">
      <c r="A276" s="2269"/>
      <c r="B276" s="2269"/>
      <c r="C276" s="2269"/>
      <c r="D276" s="2269"/>
      <c r="E276" s="2269"/>
      <c r="F276" s="2269"/>
      <c r="G276" s="2269"/>
      <c r="H276" s="2269"/>
      <c r="I276" s="2269"/>
      <c r="J276" s="2269"/>
      <c r="K276" s="2269"/>
      <c r="L276" s="2269"/>
      <c r="M276" s="2269"/>
      <c r="N276" s="2269"/>
      <c r="O276" s="2269"/>
      <c r="P276" s="2269"/>
      <c r="Q276" s="2269"/>
      <c r="R276" s="2269"/>
      <c r="S276" s="2269"/>
      <c r="T276" s="2269"/>
      <c r="U276" s="2269"/>
      <c r="V276" s="2269"/>
      <c r="W276" s="2269"/>
      <c r="X276" s="2269"/>
      <c r="Y276" s="2269"/>
      <c r="Z276" s="2269"/>
      <c r="AA276" s="2269"/>
      <c r="AB276" s="2269"/>
      <c r="AC276" s="2269"/>
      <c r="AD276" s="2269"/>
      <c r="AE276" s="2269"/>
      <c r="AF276" s="2269"/>
      <c r="AG276" s="2269"/>
      <c r="AH276" s="2269"/>
      <c r="AI276" s="2269"/>
      <c r="AJ276" s="2269"/>
      <c r="AK276" s="2269"/>
      <c r="AL276" s="2269"/>
      <c r="AM276" s="2269"/>
      <c r="AN276" s="2269"/>
      <c r="AO276" s="2269"/>
      <c r="AP276" s="2269"/>
      <c r="AQ276" s="2269"/>
      <c r="AR276" s="2269"/>
      <c r="AS276" s="2269"/>
      <c r="AT276" s="2269"/>
      <c r="AU276" s="2269"/>
      <c r="AV276" s="2269"/>
      <c r="AW276" s="2269"/>
      <c r="AX276" s="2269"/>
      <c r="AY276" s="2269"/>
      <c r="AZ276" s="2269"/>
      <c r="BA276" s="2269"/>
      <c r="BB276" s="2269"/>
      <c r="BC276" s="2269"/>
      <c r="BD276" s="2269"/>
      <c r="BE276" s="2269"/>
      <c r="BF276" s="2269"/>
      <c r="BG276" s="2269"/>
      <c r="BH276" s="2269"/>
      <c r="BI276" s="2269"/>
      <c r="BJ276" s="2269"/>
      <c r="BK276" s="2269"/>
      <c r="BL276" s="2269"/>
      <c r="BM276" s="2269"/>
      <c r="BN276" s="2269"/>
      <c r="BO276" s="2269"/>
      <c r="BP276" s="2269"/>
      <c r="BQ276" s="2269"/>
      <c r="BR276" s="2269"/>
      <c r="BS276" s="2269"/>
      <c r="BT276" s="2269"/>
      <c r="BU276" s="2269"/>
      <c r="BV276" s="2269"/>
      <c r="BW276" s="2269"/>
      <c r="BX276" s="2269"/>
      <c r="BY276" s="2269"/>
      <c r="BZ276" s="2269"/>
      <c r="CA276" s="2269"/>
    </row>
    <row r="277" spans="1:79">
      <c r="A277" s="2269"/>
      <c r="B277" s="2269"/>
      <c r="C277" s="2269"/>
      <c r="D277" s="2269"/>
      <c r="E277" s="2269"/>
      <c r="F277" s="2269"/>
      <c r="G277" s="2269"/>
      <c r="H277" s="2269"/>
      <c r="I277" s="2269"/>
      <c r="J277" s="2269"/>
      <c r="K277" s="2269"/>
      <c r="L277" s="2269"/>
      <c r="M277" s="2269"/>
      <c r="N277" s="2269"/>
      <c r="O277" s="2269"/>
      <c r="P277" s="2269"/>
      <c r="Q277" s="2269"/>
      <c r="R277" s="2269"/>
      <c r="S277" s="2269"/>
      <c r="T277" s="2269"/>
      <c r="U277" s="2269"/>
      <c r="V277" s="2269"/>
      <c r="W277" s="2269"/>
      <c r="X277" s="2269"/>
      <c r="Y277" s="2269"/>
      <c r="Z277" s="2269"/>
      <c r="AA277" s="2269"/>
      <c r="AB277" s="2269"/>
      <c r="AC277" s="2269"/>
      <c r="AD277" s="2269"/>
      <c r="AE277" s="2269"/>
      <c r="AF277" s="2269"/>
      <c r="AG277" s="2269"/>
      <c r="AH277" s="2269"/>
      <c r="AI277" s="2269"/>
      <c r="AJ277" s="2269"/>
      <c r="AK277" s="2269"/>
      <c r="AL277" s="2269"/>
      <c r="AM277" s="2269"/>
      <c r="AN277" s="2269"/>
      <c r="AO277" s="2269"/>
      <c r="AP277" s="2269"/>
      <c r="AQ277" s="2269"/>
      <c r="AR277" s="2269"/>
      <c r="AS277" s="2269"/>
      <c r="AT277" s="2269"/>
      <c r="AU277" s="2269"/>
      <c r="AV277" s="2269"/>
      <c r="AW277" s="2269"/>
      <c r="AX277" s="2269"/>
      <c r="AY277" s="2269"/>
      <c r="AZ277" s="2269"/>
      <c r="BA277" s="2269"/>
      <c r="BB277" s="2269"/>
      <c r="BC277" s="2269"/>
      <c r="BD277" s="2269"/>
      <c r="BE277" s="2269"/>
      <c r="BF277" s="2269"/>
      <c r="BG277" s="2269"/>
      <c r="BH277" s="2269"/>
      <c r="BI277" s="2269"/>
      <c r="BJ277" s="2269"/>
      <c r="BK277" s="2269"/>
      <c r="BL277" s="2269"/>
      <c r="BM277" s="2269"/>
      <c r="BN277" s="2269"/>
      <c r="BO277" s="2269"/>
      <c r="BP277" s="2269"/>
      <c r="BQ277" s="2269"/>
      <c r="BR277" s="2269"/>
      <c r="BS277" s="2269"/>
      <c r="BT277" s="2269"/>
      <c r="BU277" s="2269"/>
      <c r="BV277" s="2269"/>
      <c r="BW277" s="2269"/>
      <c r="BX277" s="2269"/>
      <c r="BY277" s="2269"/>
      <c r="BZ277" s="2269"/>
      <c r="CA277" s="2269"/>
    </row>
    <row r="278" spans="1:79">
      <c r="A278" s="2269"/>
      <c r="B278" s="2269"/>
      <c r="C278" s="2269"/>
      <c r="D278" s="2269"/>
      <c r="E278" s="2269"/>
      <c r="F278" s="2269"/>
      <c r="G278" s="2269"/>
      <c r="H278" s="2269"/>
      <c r="I278" s="2269"/>
      <c r="J278" s="2269"/>
      <c r="K278" s="2269"/>
      <c r="L278" s="2269"/>
      <c r="M278" s="2269"/>
      <c r="N278" s="2269"/>
      <c r="O278" s="2269"/>
      <c r="P278" s="2269"/>
      <c r="Q278" s="2269"/>
      <c r="R278" s="2269"/>
      <c r="S278" s="2269"/>
      <c r="T278" s="2269"/>
      <c r="U278" s="2269"/>
      <c r="V278" s="2269"/>
      <c r="W278" s="2269"/>
      <c r="X278" s="2269"/>
      <c r="Y278" s="2269"/>
      <c r="Z278" s="2269"/>
      <c r="AA278" s="2269"/>
      <c r="AB278" s="2269"/>
      <c r="AC278" s="2269"/>
      <c r="AD278" s="2269"/>
      <c r="AE278" s="2269"/>
      <c r="AF278" s="2269"/>
      <c r="AG278" s="2269"/>
      <c r="AH278" s="2269"/>
      <c r="AI278" s="2269"/>
      <c r="AJ278" s="2269"/>
      <c r="AK278" s="2269"/>
      <c r="AL278" s="2269"/>
      <c r="AM278" s="2269"/>
      <c r="AN278" s="2269"/>
      <c r="AO278" s="2269"/>
      <c r="AP278" s="2269"/>
      <c r="AQ278" s="2269"/>
      <c r="AR278" s="2269"/>
      <c r="AS278" s="2269"/>
      <c r="AT278" s="2269"/>
      <c r="AU278" s="2269"/>
      <c r="AV278" s="2269"/>
      <c r="AW278" s="2269"/>
      <c r="AX278" s="2269"/>
      <c r="AY278" s="2269"/>
      <c r="AZ278" s="2269"/>
      <c r="BA278" s="2269"/>
      <c r="BB278" s="2269"/>
      <c r="BC278" s="2269"/>
      <c r="BD278" s="2269"/>
      <c r="BE278" s="2269"/>
      <c r="BF278" s="2269"/>
      <c r="BG278" s="2269"/>
      <c r="BH278" s="2269"/>
      <c r="BI278" s="2269"/>
      <c r="BJ278" s="2269"/>
      <c r="BK278" s="2269"/>
      <c r="BL278" s="2269"/>
      <c r="BM278" s="2269"/>
      <c r="BN278" s="2269"/>
      <c r="BO278" s="2269"/>
      <c r="BP278" s="2269"/>
      <c r="BQ278" s="2269"/>
      <c r="BR278" s="2269"/>
      <c r="BS278" s="2269"/>
      <c r="BT278" s="2269"/>
      <c r="BU278" s="2269"/>
      <c r="BV278" s="2269"/>
      <c r="BW278" s="2269"/>
      <c r="BX278" s="2269"/>
      <c r="BY278" s="2269"/>
      <c r="BZ278" s="2269"/>
      <c r="CA278" s="2269"/>
    </row>
    <row r="279" spans="1:79">
      <c r="A279" s="2269"/>
      <c r="B279" s="2269"/>
      <c r="C279" s="2269"/>
      <c r="D279" s="2269"/>
      <c r="E279" s="2269"/>
      <c r="F279" s="2269"/>
      <c r="G279" s="2269"/>
      <c r="H279" s="2269"/>
      <c r="I279" s="2269"/>
      <c r="J279" s="2269"/>
      <c r="K279" s="2269"/>
      <c r="L279" s="2269"/>
      <c r="M279" s="2269"/>
      <c r="N279" s="2269"/>
      <c r="O279" s="2269"/>
      <c r="P279" s="2269"/>
      <c r="Q279" s="2269"/>
      <c r="R279" s="2269"/>
      <c r="S279" s="2269"/>
      <c r="T279" s="2269"/>
      <c r="U279" s="2269"/>
      <c r="V279" s="2269"/>
      <c r="W279" s="2269"/>
      <c r="X279" s="2269"/>
      <c r="Y279" s="2269"/>
      <c r="Z279" s="2269"/>
      <c r="AA279" s="2269"/>
      <c r="AB279" s="2269"/>
      <c r="AC279" s="2269"/>
      <c r="AD279" s="2269"/>
      <c r="AE279" s="2269"/>
      <c r="AF279" s="2269"/>
      <c r="AG279" s="2269"/>
      <c r="AH279" s="2269"/>
      <c r="AI279" s="2269"/>
      <c r="AJ279" s="2269"/>
      <c r="AK279" s="2269"/>
      <c r="AL279" s="2269"/>
      <c r="AM279" s="2269"/>
      <c r="AN279" s="2269"/>
      <c r="AO279" s="2269"/>
      <c r="AP279" s="2269"/>
      <c r="AQ279" s="2269"/>
      <c r="AR279" s="2269"/>
      <c r="AS279" s="2269"/>
      <c r="AT279" s="2269"/>
      <c r="AU279" s="2269"/>
      <c r="AV279" s="2269"/>
      <c r="AW279" s="2269"/>
      <c r="AX279" s="2269"/>
      <c r="AY279" s="2269"/>
      <c r="AZ279" s="2269"/>
      <c r="BA279" s="2269"/>
      <c r="BB279" s="2269"/>
      <c r="BC279" s="2269"/>
      <c r="BD279" s="2269"/>
      <c r="BE279" s="2269"/>
      <c r="BF279" s="2269"/>
      <c r="BG279" s="2269"/>
      <c r="BH279" s="2269"/>
      <c r="BI279" s="2269"/>
      <c r="BJ279" s="2269"/>
      <c r="BK279" s="2269"/>
      <c r="BL279" s="2269"/>
      <c r="BM279" s="2269"/>
      <c r="BN279" s="2269"/>
      <c r="BO279" s="2269"/>
      <c r="BP279" s="2269"/>
      <c r="BQ279" s="2269"/>
      <c r="BR279" s="2269"/>
      <c r="BS279" s="2269"/>
      <c r="BT279" s="2269"/>
      <c r="BU279" s="2269"/>
      <c r="BV279" s="2269"/>
      <c r="BW279" s="2269"/>
      <c r="BX279" s="2269"/>
      <c r="BY279" s="2269"/>
      <c r="BZ279" s="2269"/>
      <c r="CA279" s="2269"/>
    </row>
    <row r="280" spans="1:79">
      <c r="A280" s="2269"/>
      <c r="B280" s="2269"/>
      <c r="C280" s="2269"/>
      <c r="D280" s="2269"/>
      <c r="E280" s="2269"/>
      <c r="F280" s="2269"/>
      <c r="G280" s="2269"/>
      <c r="H280" s="2269"/>
      <c r="I280" s="2269"/>
      <c r="J280" s="2269"/>
      <c r="K280" s="2269"/>
      <c r="L280" s="2269"/>
      <c r="M280" s="2269"/>
      <c r="N280" s="2269"/>
      <c r="O280" s="2269"/>
      <c r="P280" s="2269"/>
      <c r="Q280" s="2269"/>
      <c r="R280" s="2269"/>
      <c r="S280" s="2269"/>
      <c r="T280" s="2269"/>
      <c r="U280" s="2269"/>
      <c r="V280" s="2269"/>
      <c r="W280" s="2269"/>
      <c r="X280" s="2269"/>
      <c r="Y280" s="2269"/>
      <c r="Z280" s="2269"/>
      <c r="AA280" s="2269"/>
      <c r="AB280" s="2269"/>
      <c r="AC280" s="2269"/>
      <c r="AD280" s="2269"/>
      <c r="AE280" s="2269"/>
      <c r="AF280" s="2269"/>
      <c r="AG280" s="2269"/>
      <c r="AH280" s="2269"/>
      <c r="AI280" s="2269"/>
      <c r="AJ280" s="2269"/>
      <c r="AK280" s="2269"/>
      <c r="AL280" s="2269"/>
      <c r="AM280" s="2269"/>
      <c r="AN280" s="2269"/>
      <c r="AO280" s="2269"/>
      <c r="AP280" s="2269"/>
      <c r="AQ280" s="2269"/>
      <c r="AR280" s="2269"/>
      <c r="AS280" s="2269"/>
      <c r="AT280" s="2269"/>
      <c r="AU280" s="2269"/>
      <c r="AV280" s="2269"/>
      <c r="AW280" s="2269"/>
      <c r="AX280" s="2269"/>
      <c r="AY280" s="2269"/>
      <c r="AZ280" s="2269"/>
      <c r="BA280" s="2269"/>
      <c r="BB280" s="2269"/>
      <c r="BC280" s="2269"/>
      <c r="BD280" s="2269"/>
      <c r="BE280" s="2269"/>
      <c r="BF280" s="2269"/>
      <c r="BG280" s="2269"/>
      <c r="BH280" s="2269"/>
      <c r="BI280" s="2269"/>
      <c r="BJ280" s="2269"/>
      <c r="BK280" s="2269"/>
      <c r="BL280" s="2269"/>
      <c r="BM280" s="2269"/>
      <c r="BN280" s="2269"/>
      <c r="BO280" s="2269"/>
      <c r="BP280" s="2269"/>
      <c r="BQ280" s="2269"/>
      <c r="BR280" s="2269"/>
      <c r="BS280" s="2269"/>
      <c r="BT280" s="2269"/>
      <c r="BU280" s="2269"/>
      <c r="BV280" s="2269"/>
      <c r="BW280" s="2269"/>
      <c r="BX280" s="2269"/>
      <c r="BY280" s="2269"/>
      <c r="BZ280" s="2269"/>
      <c r="CA280" s="2269"/>
    </row>
    <row r="281" spans="1:79">
      <c r="A281" s="2269"/>
      <c r="B281" s="2269"/>
      <c r="C281" s="2269"/>
      <c r="D281" s="2269"/>
      <c r="E281" s="2269"/>
      <c r="F281" s="2269"/>
      <c r="G281" s="2269"/>
      <c r="H281" s="2269"/>
      <c r="I281" s="2269"/>
      <c r="J281" s="2269"/>
      <c r="K281" s="2269"/>
      <c r="L281" s="2269"/>
      <c r="M281" s="2269"/>
      <c r="N281" s="2269"/>
      <c r="O281" s="2269"/>
      <c r="P281" s="2269"/>
      <c r="Q281" s="2269"/>
      <c r="R281" s="2269"/>
      <c r="S281" s="2269"/>
      <c r="T281" s="2269"/>
      <c r="U281" s="2269"/>
      <c r="V281" s="2269"/>
      <c r="W281" s="2269"/>
      <c r="X281" s="2269"/>
      <c r="Y281" s="2269"/>
      <c r="Z281" s="2269"/>
      <c r="AA281" s="2269"/>
      <c r="AB281" s="2269"/>
      <c r="AC281" s="2269"/>
      <c r="AD281" s="2269"/>
      <c r="AE281" s="2269"/>
      <c r="AF281" s="2269"/>
      <c r="AG281" s="2269"/>
      <c r="AH281" s="2269"/>
      <c r="AI281" s="2269"/>
      <c r="AJ281" s="2269"/>
      <c r="AK281" s="2269"/>
      <c r="AL281" s="2269"/>
      <c r="AM281" s="2269"/>
      <c r="AN281" s="2269"/>
      <c r="AO281" s="2269"/>
      <c r="AP281" s="2269"/>
      <c r="AQ281" s="2269"/>
      <c r="AR281" s="2269"/>
      <c r="AS281" s="2269"/>
      <c r="AT281" s="2269"/>
      <c r="AU281" s="2269"/>
      <c r="AV281" s="2269"/>
      <c r="AW281" s="2269"/>
      <c r="AX281" s="2269"/>
      <c r="AY281" s="2269"/>
      <c r="AZ281" s="2269"/>
      <c r="BA281" s="2269"/>
      <c r="BB281" s="2269"/>
      <c r="BC281" s="2269"/>
      <c r="BD281" s="2269"/>
      <c r="BE281" s="2269"/>
      <c r="BF281" s="2269"/>
      <c r="BG281" s="2269"/>
      <c r="BH281" s="2269"/>
      <c r="BI281" s="2269"/>
      <c r="BJ281" s="2269"/>
      <c r="BK281" s="2269"/>
      <c r="BL281" s="2269"/>
      <c r="BM281" s="2269"/>
      <c r="BN281" s="2269"/>
      <c r="BO281" s="2269"/>
      <c r="BP281" s="2269"/>
      <c r="BQ281" s="2269"/>
      <c r="BR281" s="2269"/>
      <c r="BS281" s="2269"/>
      <c r="BT281" s="2269"/>
      <c r="BU281" s="2269"/>
      <c r="BV281" s="2269"/>
      <c r="BW281" s="2269"/>
      <c r="BX281" s="2269"/>
      <c r="BY281" s="2269"/>
      <c r="BZ281" s="2269"/>
      <c r="CA281" s="2269"/>
    </row>
    <row r="282" spans="1:79">
      <c r="A282" s="2269"/>
      <c r="B282" s="2269"/>
      <c r="C282" s="2269"/>
      <c r="D282" s="2269"/>
      <c r="E282" s="2269"/>
      <c r="F282" s="2269"/>
      <c r="G282" s="2269"/>
      <c r="H282" s="2269"/>
      <c r="I282" s="2269"/>
      <c r="J282" s="2269"/>
      <c r="K282" s="2269"/>
      <c r="L282" s="2269"/>
      <c r="M282" s="2269"/>
      <c r="N282" s="2269"/>
      <c r="O282" s="2269"/>
      <c r="P282" s="2269"/>
      <c r="Q282" s="2269"/>
      <c r="R282" s="2269"/>
      <c r="S282" s="2269"/>
      <c r="T282" s="2269"/>
      <c r="U282" s="2269"/>
      <c r="V282" s="2269"/>
      <c r="W282" s="2269"/>
      <c r="X282" s="2269"/>
      <c r="Y282" s="2269"/>
      <c r="Z282" s="2269"/>
      <c r="AA282" s="2269"/>
      <c r="AB282" s="2269"/>
      <c r="AC282" s="2269"/>
      <c r="AD282" s="2269"/>
      <c r="AE282" s="2269"/>
      <c r="AF282" s="2269"/>
      <c r="AG282" s="2269"/>
      <c r="AH282" s="2269"/>
      <c r="AI282" s="2269"/>
      <c r="AJ282" s="2269"/>
      <c r="AK282" s="2269"/>
      <c r="AL282" s="2269"/>
      <c r="AM282" s="2269"/>
      <c r="AN282" s="2269"/>
      <c r="AO282" s="2269"/>
      <c r="AP282" s="2269"/>
      <c r="AQ282" s="2269"/>
      <c r="AR282" s="2269"/>
      <c r="AS282" s="2269"/>
      <c r="AT282" s="2269"/>
      <c r="AU282" s="2269"/>
      <c r="AV282" s="2269"/>
      <c r="AW282" s="2269"/>
      <c r="AX282" s="2269"/>
      <c r="AY282" s="2269"/>
      <c r="AZ282" s="2269"/>
      <c r="BA282" s="2269"/>
      <c r="BB282" s="2269"/>
      <c r="BC282" s="2269"/>
      <c r="BD282" s="2269"/>
      <c r="BE282" s="2269"/>
      <c r="BF282" s="2269"/>
      <c r="BG282" s="2269"/>
      <c r="BH282" s="2269"/>
      <c r="BI282" s="2269"/>
      <c r="BJ282" s="2269"/>
      <c r="BK282" s="2269"/>
      <c r="BL282" s="2269"/>
      <c r="BM282" s="2269"/>
      <c r="BN282" s="2269"/>
      <c r="BO282" s="2269"/>
      <c r="BP282" s="2269"/>
      <c r="BQ282" s="2269"/>
      <c r="BR282" s="2269"/>
      <c r="BS282" s="2269"/>
      <c r="BT282" s="2269"/>
      <c r="BU282" s="2269"/>
      <c r="BV282" s="2269"/>
      <c r="BW282" s="2269"/>
      <c r="BX282" s="2269"/>
      <c r="BY282" s="2269"/>
      <c r="BZ282" s="2269"/>
      <c r="CA282" s="2269"/>
    </row>
    <row r="283" spans="1:79">
      <c r="A283" s="2269"/>
      <c r="B283" s="2269"/>
      <c r="C283" s="2269"/>
      <c r="D283" s="2269"/>
      <c r="E283" s="2269"/>
      <c r="F283" s="2269"/>
      <c r="G283" s="2269"/>
      <c r="H283" s="2269"/>
      <c r="I283" s="2269"/>
      <c r="J283" s="2269"/>
      <c r="K283" s="2269"/>
      <c r="L283" s="2269"/>
      <c r="M283" s="2269"/>
      <c r="N283" s="2269"/>
      <c r="O283" s="2269"/>
      <c r="P283" s="2269"/>
      <c r="Q283" s="2269"/>
      <c r="R283" s="2269"/>
      <c r="S283" s="2269"/>
      <c r="T283" s="2269"/>
      <c r="U283" s="2269"/>
      <c r="V283" s="2269"/>
      <c r="W283" s="2269"/>
      <c r="X283" s="2269"/>
      <c r="Y283" s="2269"/>
      <c r="Z283" s="2269"/>
      <c r="AA283" s="2269"/>
      <c r="AB283" s="2269"/>
      <c r="AC283" s="2269"/>
      <c r="AD283" s="2269"/>
      <c r="AE283" s="2269"/>
      <c r="AF283" s="2269"/>
      <c r="AG283" s="2269"/>
      <c r="AH283" s="2269"/>
      <c r="AI283" s="2269"/>
      <c r="AJ283" s="2269"/>
      <c r="AK283" s="2269"/>
      <c r="AL283" s="2269"/>
      <c r="AM283" s="2269"/>
      <c r="AN283" s="2269"/>
      <c r="AO283" s="2269"/>
      <c r="AP283" s="2269"/>
      <c r="AQ283" s="2269"/>
      <c r="AR283" s="2269"/>
      <c r="AS283" s="2269"/>
      <c r="AT283" s="2269"/>
      <c r="AU283" s="2269"/>
      <c r="AV283" s="2269"/>
      <c r="AW283" s="2269"/>
      <c r="AX283" s="2269"/>
      <c r="AY283" s="2269"/>
      <c r="AZ283" s="2269"/>
      <c r="BA283" s="2269"/>
      <c r="BB283" s="2269"/>
      <c r="BC283" s="2269"/>
      <c r="BD283" s="2269"/>
      <c r="BE283" s="2269"/>
      <c r="BF283" s="2269"/>
      <c r="BG283" s="2269"/>
      <c r="BH283" s="2269"/>
      <c r="BI283" s="2269"/>
      <c r="BJ283" s="2269"/>
      <c r="BK283" s="2269"/>
      <c r="BL283" s="2269"/>
      <c r="BM283" s="2269"/>
      <c r="BN283" s="2269"/>
      <c r="BO283" s="2269"/>
      <c r="BP283" s="2269"/>
      <c r="BQ283" s="2269"/>
      <c r="BR283" s="2269"/>
      <c r="BS283" s="2269"/>
      <c r="BT283" s="2269"/>
      <c r="BU283" s="2269"/>
      <c r="BV283" s="2269"/>
      <c r="BW283" s="2269"/>
      <c r="BX283" s="2269"/>
      <c r="BY283" s="2269"/>
      <c r="BZ283" s="2269"/>
      <c r="CA283" s="2269"/>
    </row>
    <row r="284" spans="1:79">
      <c r="A284" s="2269"/>
      <c r="B284" s="2269"/>
      <c r="C284" s="2269"/>
      <c r="D284" s="2269"/>
      <c r="E284" s="2269"/>
      <c r="F284" s="2269"/>
      <c r="G284" s="2269"/>
      <c r="H284" s="2269"/>
      <c r="I284" s="2269"/>
      <c r="J284" s="2269"/>
      <c r="K284" s="2269"/>
      <c r="L284" s="2269"/>
      <c r="M284" s="2269"/>
      <c r="N284" s="2269"/>
      <c r="O284" s="2269"/>
      <c r="P284" s="2269"/>
      <c r="Q284" s="2269"/>
      <c r="R284" s="2269"/>
      <c r="S284" s="2269"/>
      <c r="T284" s="2269"/>
      <c r="U284" s="2269"/>
      <c r="V284" s="2269"/>
      <c r="W284" s="2269"/>
      <c r="X284" s="2269"/>
      <c r="Y284" s="2269"/>
      <c r="Z284" s="2269"/>
      <c r="AA284" s="2269"/>
      <c r="AB284" s="2269"/>
      <c r="AC284" s="2269"/>
      <c r="AD284" s="2269"/>
      <c r="AE284" s="2269"/>
      <c r="AF284" s="2269"/>
      <c r="AG284" s="2269"/>
      <c r="AH284" s="2269"/>
      <c r="AI284" s="2269"/>
      <c r="AJ284" s="2269"/>
      <c r="AK284" s="2269"/>
      <c r="AL284" s="2269"/>
      <c r="AM284" s="2269"/>
      <c r="AN284" s="2269"/>
      <c r="AO284" s="2269"/>
      <c r="AP284" s="2269"/>
      <c r="AQ284" s="2269"/>
      <c r="AR284" s="2269"/>
      <c r="AS284" s="2269"/>
      <c r="AT284" s="2269"/>
      <c r="AU284" s="2269"/>
      <c r="AV284" s="2269"/>
      <c r="AW284" s="2269"/>
      <c r="AX284" s="2269"/>
      <c r="AY284" s="2269"/>
      <c r="AZ284" s="2269"/>
      <c r="BA284" s="2269"/>
      <c r="BB284" s="2269"/>
      <c r="BC284" s="2269"/>
      <c r="BD284" s="2269"/>
      <c r="BE284" s="2269"/>
      <c r="BF284" s="2269"/>
      <c r="BG284" s="2269"/>
      <c r="BH284" s="2269"/>
      <c r="BI284" s="2269"/>
      <c r="BJ284" s="2269"/>
      <c r="BK284" s="2269"/>
      <c r="BL284" s="2269"/>
      <c r="BM284" s="2269"/>
      <c r="BN284" s="2269"/>
      <c r="BO284" s="2269"/>
      <c r="BP284" s="2269"/>
      <c r="BQ284" s="2269"/>
      <c r="BR284" s="2269"/>
      <c r="BS284" s="2269"/>
      <c r="BT284" s="2269"/>
      <c r="BU284" s="2269"/>
      <c r="BV284" s="2269"/>
      <c r="BW284" s="2269"/>
      <c r="BX284" s="2269"/>
      <c r="BY284" s="2269"/>
      <c r="BZ284" s="2269"/>
      <c r="CA284" s="2269"/>
    </row>
    <row r="285" spans="1:79">
      <c r="A285" s="2269"/>
      <c r="B285" s="2269"/>
      <c r="C285" s="2269"/>
      <c r="D285" s="2269"/>
      <c r="E285" s="2269"/>
      <c r="F285" s="2269"/>
      <c r="G285" s="2269"/>
      <c r="H285" s="2269"/>
      <c r="I285" s="2269"/>
      <c r="J285" s="2269"/>
      <c r="K285" s="2269"/>
      <c r="L285" s="2269"/>
      <c r="M285" s="2269"/>
      <c r="N285" s="2269"/>
      <c r="O285" s="2269"/>
      <c r="P285" s="2269"/>
      <c r="Q285" s="2269"/>
      <c r="R285" s="2269"/>
      <c r="S285" s="2269"/>
      <c r="T285" s="2269"/>
      <c r="U285" s="2269"/>
      <c r="V285" s="2269"/>
      <c r="W285" s="2269"/>
      <c r="X285" s="2269"/>
      <c r="Y285" s="2269"/>
      <c r="Z285" s="2269"/>
      <c r="AA285" s="2269"/>
      <c r="AB285" s="2269"/>
      <c r="AC285" s="2269"/>
      <c r="AD285" s="2269"/>
      <c r="AE285" s="2269"/>
      <c r="AF285" s="2269"/>
      <c r="AG285" s="2269"/>
      <c r="AH285" s="2269"/>
      <c r="AI285" s="2269"/>
      <c r="AJ285" s="2269"/>
      <c r="AK285" s="2269"/>
      <c r="AL285" s="2269"/>
      <c r="AM285" s="2269"/>
      <c r="AN285" s="2269"/>
      <c r="AO285" s="2269"/>
      <c r="AP285" s="2269"/>
      <c r="AQ285" s="2269"/>
      <c r="AR285" s="2269"/>
      <c r="AS285" s="2269"/>
      <c r="AT285" s="2269"/>
      <c r="AU285" s="2269"/>
      <c r="AV285" s="2269"/>
      <c r="AW285" s="2269"/>
      <c r="AX285" s="2269"/>
      <c r="AY285" s="2269"/>
      <c r="AZ285" s="2269"/>
      <c r="BA285" s="2269"/>
      <c r="BB285" s="2269"/>
      <c r="BC285" s="2269"/>
      <c r="BD285" s="2269"/>
      <c r="BE285" s="2269"/>
      <c r="BF285" s="2269"/>
      <c r="BG285" s="2269"/>
      <c r="BH285" s="2269"/>
      <c r="BI285" s="2269"/>
      <c r="BJ285" s="2269"/>
      <c r="BK285" s="2269"/>
      <c r="BL285" s="2269"/>
      <c r="BM285" s="2269"/>
      <c r="BN285" s="2269"/>
      <c r="BO285" s="2269"/>
      <c r="BP285" s="2269"/>
      <c r="BQ285" s="2269"/>
      <c r="BR285" s="2269"/>
      <c r="BS285" s="2269"/>
      <c r="BT285" s="2269"/>
      <c r="BU285" s="2269"/>
      <c r="BV285" s="2269"/>
      <c r="BW285" s="2269"/>
      <c r="BX285" s="2269"/>
      <c r="BY285" s="2269"/>
      <c r="BZ285" s="2269"/>
      <c r="CA285" s="2269"/>
    </row>
    <row r="286" spans="1:79">
      <c r="A286" s="2269"/>
      <c r="B286" s="2269"/>
      <c r="C286" s="2269"/>
      <c r="D286" s="2269"/>
      <c r="E286" s="2269"/>
      <c r="F286" s="2269"/>
      <c r="G286" s="2269"/>
      <c r="H286" s="2269"/>
      <c r="I286" s="2269"/>
      <c r="J286" s="2269"/>
      <c r="K286" s="2269"/>
      <c r="L286" s="2269"/>
      <c r="M286" s="2269"/>
      <c r="N286" s="2269"/>
      <c r="O286" s="2269"/>
      <c r="P286" s="2269"/>
      <c r="Q286" s="2269"/>
      <c r="R286" s="2269"/>
      <c r="S286" s="2269"/>
      <c r="T286" s="2269"/>
      <c r="U286" s="2269"/>
      <c r="V286" s="2269"/>
      <c r="W286" s="2269"/>
      <c r="X286" s="2269"/>
      <c r="Y286" s="2269"/>
      <c r="Z286" s="2269"/>
      <c r="AA286" s="2269"/>
      <c r="AB286" s="2269"/>
      <c r="AC286" s="2269"/>
      <c r="AD286" s="2269"/>
      <c r="AE286" s="2269"/>
      <c r="AF286" s="2269"/>
      <c r="AG286" s="2269"/>
      <c r="AH286" s="2269"/>
      <c r="AI286" s="2269"/>
      <c r="AJ286" s="2269"/>
      <c r="AK286" s="2269"/>
      <c r="AL286" s="2269"/>
      <c r="AM286" s="2269"/>
      <c r="AN286" s="2269"/>
      <c r="AO286" s="2269"/>
      <c r="AP286" s="2269"/>
      <c r="AQ286" s="2269"/>
      <c r="AR286" s="2269"/>
      <c r="AS286" s="2269"/>
      <c r="AT286" s="2269"/>
      <c r="AU286" s="2269"/>
      <c r="AV286" s="2269"/>
      <c r="AW286" s="2269"/>
      <c r="AX286" s="2269"/>
      <c r="AY286" s="2269"/>
      <c r="AZ286" s="2269"/>
      <c r="BA286" s="2269"/>
      <c r="BB286" s="2269"/>
      <c r="BC286" s="2269"/>
      <c r="BD286" s="2269"/>
      <c r="BE286" s="2269"/>
      <c r="BF286" s="2269"/>
      <c r="BG286" s="2269"/>
      <c r="BH286" s="2269"/>
      <c r="BI286" s="2269"/>
      <c r="BJ286" s="2269"/>
      <c r="BK286" s="2269"/>
      <c r="BL286" s="2269"/>
      <c r="BM286" s="2269"/>
      <c r="BN286" s="2269"/>
      <c r="BO286" s="2269"/>
      <c r="BP286" s="2269"/>
      <c r="BQ286" s="2269"/>
      <c r="BR286" s="2269"/>
      <c r="BS286" s="2269"/>
      <c r="BT286" s="2269"/>
      <c r="BU286" s="2269"/>
      <c r="BV286" s="2269"/>
      <c r="BW286" s="2269"/>
      <c r="BX286" s="2269"/>
      <c r="BY286" s="2269"/>
      <c r="BZ286" s="2269"/>
      <c r="CA286" s="2269"/>
    </row>
    <row r="287" spans="1:79">
      <c r="A287" s="2269"/>
      <c r="B287" s="2269"/>
      <c r="C287" s="2269"/>
      <c r="D287" s="2269"/>
      <c r="E287" s="2269"/>
      <c r="F287" s="2269"/>
      <c r="G287" s="2269"/>
      <c r="H287" s="2269"/>
      <c r="I287" s="2269"/>
      <c r="J287" s="2269"/>
      <c r="K287" s="2269"/>
      <c r="L287" s="2269"/>
      <c r="M287" s="2269"/>
      <c r="N287" s="2269"/>
      <c r="O287" s="2269"/>
      <c r="P287" s="2269"/>
      <c r="Q287" s="2269"/>
      <c r="R287" s="2269"/>
      <c r="S287" s="2269"/>
      <c r="T287" s="2269"/>
      <c r="U287" s="2269"/>
      <c r="V287" s="2269"/>
      <c r="W287" s="2269"/>
      <c r="X287" s="2269"/>
      <c r="Y287" s="2269"/>
      <c r="Z287" s="2269"/>
      <c r="AA287" s="2269"/>
      <c r="AB287" s="2269"/>
      <c r="AC287" s="2269"/>
      <c r="AD287" s="2269"/>
      <c r="AE287" s="2269"/>
      <c r="AF287" s="2269"/>
      <c r="AG287" s="2269"/>
      <c r="AH287" s="2269"/>
      <c r="AI287" s="2269"/>
      <c r="AJ287" s="2269"/>
      <c r="AK287" s="2269"/>
      <c r="AL287" s="2269"/>
      <c r="AM287" s="2269"/>
      <c r="AN287" s="2269"/>
      <c r="AO287" s="2269"/>
      <c r="AP287" s="2269"/>
      <c r="AQ287" s="2269"/>
      <c r="AR287" s="2269"/>
      <c r="AS287" s="2269"/>
      <c r="AT287" s="2269"/>
      <c r="AU287" s="2269"/>
      <c r="AV287" s="2269"/>
      <c r="AW287" s="2269"/>
      <c r="AX287" s="2269"/>
      <c r="AY287" s="2269"/>
      <c r="AZ287" s="2269"/>
      <c r="BA287" s="2269"/>
      <c r="BB287" s="2269"/>
      <c r="BC287" s="2269"/>
      <c r="BD287" s="2269"/>
      <c r="BE287" s="2269"/>
      <c r="BF287" s="2269"/>
      <c r="BG287" s="2269"/>
      <c r="BH287" s="2269"/>
      <c r="BI287" s="2269"/>
      <c r="BJ287" s="2269"/>
      <c r="BK287" s="2269"/>
      <c r="BL287" s="2269"/>
      <c r="BM287" s="2269"/>
      <c r="BN287" s="2269"/>
      <c r="BO287" s="2269"/>
      <c r="BP287" s="2269"/>
      <c r="BQ287" s="2269"/>
      <c r="BR287" s="2269"/>
      <c r="BS287" s="2269"/>
      <c r="BT287" s="2269"/>
      <c r="BU287" s="2269"/>
      <c r="BV287" s="2269"/>
      <c r="BW287" s="2269"/>
      <c r="BX287" s="2269"/>
      <c r="BY287" s="2269"/>
      <c r="BZ287" s="2269"/>
      <c r="CA287" s="2269"/>
    </row>
    <row r="288" spans="1:79">
      <c r="A288" s="2269"/>
      <c r="B288" s="2269"/>
      <c r="C288" s="2269"/>
      <c r="D288" s="2269"/>
      <c r="E288" s="2269"/>
      <c r="F288" s="2269"/>
      <c r="G288" s="2269"/>
      <c r="H288" s="2269"/>
      <c r="I288" s="2269"/>
      <c r="J288" s="2269"/>
      <c r="K288" s="2269"/>
      <c r="L288" s="2269"/>
      <c r="M288" s="2269"/>
      <c r="N288" s="2269"/>
      <c r="O288" s="2269"/>
      <c r="P288" s="2269"/>
      <c r="Q288" s="2269"/>
      <c r="R288" s="2269"/>
      <c r="S288" s="2269"/>
      <c r="T288" s="2269"/>
      <c r="U288" s="2269"/>
      <c r="V288" s="2269"/>
      <c r="W288" s="2269"/>
      <c r="X288" s="2269"/>
      <c r="Y288" s="2269"/>
      <c r="Z288" s="2269"/>
      <c r="AA288" s="2269"/>
      <c r="AB288" s="2269"/>
      <c r="AC288" s="2269"/>
      <c r="AD288" s="2269"/>
      <c r="AE288" s="2269"/>
      <c r="AF288" s="2269"/>
      <c r="AG288" s="2269"/>
      <c r="AH288" s="2269"/>
      <c r="AI288" s="2269"/>
      <c r="AJ288" s="2269"/>
      <c r="AK288" s="2269"/>
      <c r="AL288" s="2269"/>
      <c r="AM288" s="2269"/>
      <c r="AN288" s="2269"/>
      <c r="AO288" s="2269"/>
      <c r="AP288" s="2269"/>
      <c r="AQ288" s="2269"/>
      <c r="AR288" s="2269"/>
      <c r="AS288" s="2269"/>
      <c r="AT288" s="2269"/>
      <c r="AU288" s="2269"/>
      <c r="AV288" s="2269"/>
      <c r="AW288" s="2269"/>
      <c r="AX288" s="2269"/>
      <c r="AY288" s="2269"/>
      <c r="AZ288" s="2269"/>
      <c r="BA288" s="2269"/>
      <c r="BB288" s="2269"/>
      <c r="BC288" s="2269"/>
      <c r="BD288" s="2269"/>
      <c r="BE288" s="2269"/>
      <c r="BF288" s="2269"/>
      <c r="BG288" s="2269"/>
      <c r="BH288" s="2269"/>
      <c r="BI288" s="2269"/>
      <c r="BJ288" s="2269"/>
      <c r="BK288" s="2269"/>
      <c r="BL288" s="2269"/>
      <c r="BM288" s="2269"/>
      <c r="BN288" s="2269"/>
      <c r="BO288" s="2269"/>
      <c r="BP288" s="2269"/>
      <c r="BQ288" s="2269"/>
      <c r="BR288" s="2269"/>
      <c r="BS288" s="2269"/>
      <c r="BT288" s="2269"/>
      <c r="BU288" s="2269"/>
      <c r="BV288" s="2269"/>
      <c r="BW288" s="2269"/>
      <c r="BX288" s="2269"/>
      <c r="BY288" s="2269"/>
      <c r="BZ288" s="2269"/>
      <c r="CA288" s="2269"/>
    </row>
    <row r="289" spans="1:79">
      <c r="A289" s="2269"/>
      <c r="B289" s="2269"/>
      <c r="C289" s="2269"/>
      <c r="D289" s="2269"/>
      <c r="E289" s="2269"/>
      <c r="F289" s="2269"/>
      <c r="G289" s="2269"/>
      <c r="H289" s="2269"/>
      <c r="I289" s="2269"/>
      <c r="J289" s="2269"/>
      <c r="K289" s="2269"/>
      <c r="L289" s="2269"/>
      <c r="M289" s="2269"/>
      <c r="N289" s="2269"/>
      <c r="O289" s="2269"/>
      <c r="P289" s="2269"/>
      <c r="Q289" s="2269"/>
      <c r="R289" s="2269"/>
      <c r="S289" s="2269"/>
      <c r="T289" s="2269"/>
      <c r="U289" s="2269"/>
      <c r="V289" s="2269"/>
      <c r="W289" s="2269"/>
      <c r="X289" s="2269"/>
      <c r="Y289" s="2269"/>
      <c r="Z289" s="2269"/>
      <c r="AA289" s="2269"/>
      <c r="AB289" s="2269"/>
      <c r="AC289" s="2269"/>
      <c r="AD289" s="2269"/>
      <c r="AE289" s="2269"/>
      <c r="AF289" s="2269"/>
      <c r="AG289" s="2269"/>
      <c r="AH289" s="2269"/>
      <c r="AI289" s="2269"/>
      <c r="AJ289" s="2269"/>
      <c r="AK289" s="2269"/>
      <c r="AL289" s="2269"/>
      <c r="AM289" s="2269"/>
      <c r="AN289" s="2269"/>
      <c r="AO289" s="2269"/>
      <c r="AP289" s="2269"/>
      <c r="AQ289" s="2269"/>
      <c r="AR289" s="2269"/>
      <c r="AS289" s="2269"/>
      <c r="AT289" s="2269"/>
      <c r="AU289" s="2269"/>
      <c r="AV289" s="2269"/>
      <c r="AW289" s="2269"/>
      <c r="AX289" s="2269"/>
      <c r="AY289" s="2269"/>
      <c r="AZ289" s="2269"/>
      <c r="BA289" s="2269"/>
      <c r="BB289" s="2269"/>
      <c r="BC289" s="2269"/>
      <c r="BD289" s="2269"/>
      <c r="BE289" s="2269"/>
      <c r="BF289" s="2269"/>
      <c r="BG289" s="2269"/>
      <c r="BH289" s="2269"/>
      <c r="BI289" s="2269"/>
      <c r="BJ289" s="2269"/>
      <c r="BK289" s="2269"/>
      <c r="BL289" s="2269"/>
      <c r="BM289" s="2269"/>
      <c r="BN289" s="2269"/>
      <c r="BO289" s="2269"/>
      <c r="BP289" s="2269"/>
      <c r="BQ289" s="2269"/>
      <c r="BR289" s="2269"/>
      <c r="BS289" s="2269"/>
      <c r="BT289" s="2269"/>
      <c r="BU289" s="2269"/>
      <c r="BV289" s="2269"/>
      <c r="BW289" s="2269"/>
      <c r="BX289" s="2269"/>
      <c r="BY289" s="2269"/>
      <c r="BZ289" s="2269"/>
      <c r="CA289" s="2269"/>
    </row>
    <row r="290" spans="1:79">
      <c r="A290" s="2269"/>
      <c r="B290" s="2269"/>
      <c r="C290" s="2269"/>
      <c r="D290" s="2269"/>
      <c r="E290" s="2269"/>
      <c r="F290" s="2269"/>
      <c r="G290" s="2269"/>
      <c r="H290" s="2269"/>
      <c r="I290" s="2269"/>
      <c r="J290" s="2269"/>
      <c r="K290" s="2269"/>
      <c r="L290" s="2269"/>
      <c r="M290" s="2269"/>
      <c r="N290" s="2269"/>
      <c r="O290" s="2269"/>
      <c r="P290" s="2269"/>
      <c r="Q290" s="2269"/>
      <c r="R290" s="2269"/>
      <c r="S290" s="2269"/>
      <c r="T290" s="2269"/>
      <c r="U290" s="2269"/>
      <c r="V290" s="2269"/>
      <c r="W290" s="2269"/>
      <c r="X290" s="2269"/>
      <c r="Y290" s="2269"/>
      <c r="Z290" s="2269"/>
      <c r="AA290" s="2269"/>
      <c r="AB290" s="2269"/>
      <c r="AC290" s="2269"/>
      <c r="AD290" s="2269"/>
      <c r="AE290" s="2269"/>
      <c r="AF290" s="2269"/>
      <c r="AG290" s="2269"/>
      <c r="AH290" s="2269"/>
      <c r="AI290" s="2269"/>
      <c r="AJ290" s="2269"/>
      <c r="AK290" s="2269"/>
      <c r="AL290" s="2269"/>
      <c r="AM290" s="2269"/>
      <c r="AN290" s="2269"/>
      <c r="AO290" s="2269"/>
      <c r="AP290" s="2269"/>
      <c r="AQ290" s="2269"/>
      <c r="AR290" s="2269"/>
      <c r="AS290" s="2269"/>
      <c r="AT290" s="2269"/>
      <c r="AU290" s="2269"/>
      <c r="AV290" s="2269"/>
      <c r="AW290" s="2269"/>
      <c r="AX290" s="2269"/>
      <c r="AY290" s="2269"/>
      <c r="AZ290" s="2269"/>
      <c r="BA290" s="2269"/>
      <c r="BB290" s="2269"/>
      <c r="BC290" s="2269"/>
      <c r="BD290" s="2269"/>
      <c r="BE290" s="2269"/>
      <c r="BF290" s="2269"/>
      <c r="BG290" s="2269"/>
      <c r="BH290" s="2269"/>
      <c r="BI290" s="2269"/>
      <c r="BJ290" s="2269"/>
      <c r="BK290" s="2269"/>
      <c r="BL290" s="2269"/>
      <c r="BM290" s="2269"/>
      <c r="BN290" s="2269"/>
      <c r="BO290" s="2269"/>
      <c r="BP290" s="2269"/>
      <c r="BQ290" s="2269"/>
      <c r="BR290" s="2269"/>
      <c r="BS290" s="2269"/>
      <c r="BT290" s="2269"/>
      <c r="BU290" s="2269"/>
      <c r="BV290" s="2269"/>
      <c r="BW290" s="2269"/>
      <c r="BX290" s="2269"/>
      <c r="BY290" s="2269"/>
      <c r="BZ290" s="2269"/>
      <c r="CA290" s="2269"/>
    </row>
    <row r="291" spans="1:79">
      <c r="A291" s="2269"/>
      <c r="B291" s="2269"/>
      <c r="C291" s="2269"/>
      <c r="D291" s="2269"/>
      <c r="E291" s="2269"/>
      <c r="F291" s="2269"/>
      <c r="G291" s="2269"/>
      <c r="H291" s="2269"/>
      <c r="I291" s="2269"/>
      <c r="J291" s="2269"/>
      <c r="K291" s="2269"/>
      <c r="L291" s="2269"/>
      <c r="M291" s="2269"/>
      <c r="N291" s="2269"/>
      <c r="O291" s="2269"/>
      <c r="P291" s="2269"/>
      <c r="Q291" s="2269"/>
      <c r="R291" s="2269"/>
      <c r="S291" s="2269"/>
      <c r="T291" s="2269"/>
      <c r="U291" s="2269"/>
      <c r="V291" s="2269"/>
      <c r="W291" s="2269"/>
      <c r="X291" s="2269"/>
      <c r="Y291" s="2269"/>
      <c r="Z291" s="2269"/>
      <c r="AA291" s="2269"/>
      <c r="AB291" s="2269"/>
      <c r="AC291" s="2269"/>
      <c r="AD291" s="2269"/>
      <c r="AE291" s="2269"/>
      <c r="AF291" s="2269"/>
      <c r="AG291" s="2269"/>
      <c r="AH291" s="2269"/>
      <c r="AI291" s="2269"/>
      <c r="AJ291" s="2269"/>
      <c r="AK291" s="2269"/>
      <c r="AL291" s="2269"/>
      <c r="AM291" s="2269"/>
      <c r="AN291" s="2269"/>
      <c r="AO291" s="2269"/>
      <c r="AP291" s="2269"/>
      <c r="AQ291" s="2269"/>
      <c r="AR291" s="2269"/>
      <c r="AS291" s="2269"/>
      <c r="AT291" s="2269"/>
      <c r="AU291" s="2269"/>
      <c r="AV291" s="2269"/>
      <c r="AW291" s="2269"/>
      <c r="AX291" s="2269"/>
      <c r="AY291" s="2269"/>
      <c r="AZ291" s="2269"/>
      <c r="BA291" s="2269"/>
      <c r="BB291" s="2269"/>
      <c r="BC291" s="2269"/>
      <c r="BD291" s="2269"/>
      <c r="BE291" s="2269"/>
      <c r="BF291" s="2269"/>
      <c r="BG291" s="2269"/>
      <c r="BH291" s="2269"/>
      <c r="BI291" s="2269"/>
      <c r="BJ291" s="2269"/>
      <c r="BK291" s="2269"/>
      <c r="BL291" s="2269"/>
      <c r="BM291" s="2269"/>
      <c r="BN291" s="2269"/>
      <c r="BO291" s="2269"/>
      <c r="BP291" s="2269"/>
      <c r="BQ291" s="2269"/>
      <c r="BR291" s="2269"/>
      <c r="BS291" s="2269"/>
      <c r="BT291" s="2269"/>
      <c r="BU291" s="2269"/>
      <c r="BV291" s="2269"/>
      <c r="BW291" s="2269"/>
      <c r="BX291" s="2269"/>
      <c r="BY291" s="2269"/>
      <c r="BZ291" s="2269"/>
      <c r="CA291" s="2269"/>
    </row>
    <row r="292" spans="1:79">
      <c r="A292" s="2269"/>
      <c r="B292" s="2269"/>
      <c r="C292" s="2269"/>
      <c r="D292" s="2269"/>
      <c r="E292" s="2269"/>
      <c r="F292" s="2269"/>
      <c r="G292" s="2269"/>
      <c r="H292" s="2269"/>
      <c r="I292" s="2269"/>
      <c r="J292" s="2269"/>
      <c r="K292" s="2269"/>
      <c r="L292" s="2269"/>
      <c r="M292" s="2269"/>
      <c r="N292" s="2269"/>
      <c r="O292" s="2269"/>
      <c r="P292" s="2269"/>
      <c r="Q292" s="2269"/>
      <c r="R292" s="2269"/>
      <c r="S292" s="2269"/>
      <c r="T292" s="2269"/>
      <c r="U292" s="2269"/>
      <c r="V292" s="2269"/>
      <c r="W292" s="2269"/>
      <c r="X292" s="2269"/>
      <c r="Y292" s="2269"/>
      <c r="Z292" s="2269"/>
      <c r="AA292" s="2269"/>
      <c r="AB292" s="2269"/>
      <c r="AC292" s="2269"/>
      <c r="AD292" s="2269"/>
      <c r="AE292" s="2269"/>
      <c r="AF292" s="2269"/>
      <c r="AG292" s="2269"/>
      <c r="AH292" s="2269"/>
      <c r="AI292" s="2269"/>
      <c r="AJ292" s="2269"/>
      <c r="AK292" s="2269"/>
      <c r="AL292" s="2269"/>
      <c r="AM292" s="2269"/>
      <c r="AN292" s="2269"/>
      <c r="AO292" s="2269"/>
      <c r="AP292" s="2269"/>
      <c r="AQ292" s="2269"/>
      <c r="AR292" s="2269"/>
      <c r="AS292" s="2269"/>
      <c r="AT292" s="2269"/>
      <c r="AU292" s="2269"/>
      <c r="AV292" s="2269"/>
      <c r="AW292" s="2269"/>
      <c r="AX292" s="2269"/>
      <c r="AY292" s="2269"/>
      <c r="AZ292" s="2269"/>
      <c r="BA292" s="2269"/>
      <c r="BB292" s="2269"/>
      <c r="BC292" s="2269"/>
      <c r="BD292" s="2269"/>
      <c r="BE292" s="2269"/>
      <c r="BF292" s="2269"/>
      <c r="BG292" s="2269"/>
      <c r="BH292" s="2269"/>
      <c r="BI292" s="2269"/>
      <c r="BJ292" s="2269"/>
      <c r="BK292" s="2269"/>
      <c r="BL292" s="2269"/>
      <c r="BM292" s="2269"/>
      <c r="BN292" s="2269"/>
      <c r="BO292" s="2269"/>
      <c r="BP292" s="2269"/>
      <c r="BQ292" s="2269"/>
      <c r="BR292" s="2269"/>
      <c r="BS292" s="2269"/>
      <c r="BT292" s="2269"/>
      <c r="BU292" s="2269"/>
      <c r="BV292" s="2269"/>
      <c r="BW292" s="2269"/>
      <c r="BX292" s="2269"/>
      <c r="BY292" s="2269"/>
      <c r="BZ292" s="2269"/>
      <c r="CA292" s="2269"/>
    </row>
    <row r="293" spans="1:79">
      <c r="A293" s="2269"/>
      <c r="B293" s="2269"/>
      <c r="C293" s="2269"/>
      <c r="D293" s="2269"/>
      <c r="E293" s="2269"/>
      <c r="F293" s="2269"/>
      <c r="G293" s="2269"/>
      <c r="H293" s="2269"/>
      <c r="I293" s="2269"/>
      <c r="J293" s="2269"/>
      <c r="K293" s="2269"/>
      <c r="L293" s="2269"/>
      <c r="M293" s="2269"/>
      <c r="N293" s="2269"/>
      <c r="O293" s="2269"/>
      <c r="P293" s="2269"/>
      <c r="Q293" s="2269"/>
      <c r="R293" s="2269"/>
      <c r="S293" s="2269"/>
      <c r="T293" s="2269"/>
      <c r="U293" s="2269"/>
      <c r="V293" s="2269"/>
      <c r="W293" s="2269"/>
      <c r="X293" s="2269"/>
      <c r="Y293" s="2269"/>
      <c r="Z293" s="2269"/>
      <c r="AA293" s="2269"/>
      <c r="AB293" s="2269"/>
      <c r="AC293" s="2269"/>
      <c r="AD293" s="2269"/>
      <c r="AE293" s="2269"/>
      <c r="AF293" s="2269"/>
      <c r="AG293" s="2269"/>
      <c r="AH293" s="2269"/>
      <c r="AI293" s="2269"/>
      <c r="AJ293" s="2269"/>
      <c r="AK293" s="2269"/>
      <c r="AL293" s="2269"/>
      <c r="AM293" s="2269"/>
      <c r="AN293" s="2269"/>
      <c r="AO293" s="2269"/>
      <c r="AP293" s="2269"/>
      <c r="AQ293" s="2269"/>
      <c r="AR293" s="2269"/>
      <c r="AS293" s="2269"/>
      <c r="AT293" s="2269"/>
      <c r="AU293" s="2269"/>
      <c r="AV293" s="2269"/>
      <c r="AW293" s="2269"/>
      <c r="AX293" s="2269"/>
      <c r="AY293" s="2269"/>
      <c r="AZ293" s="2269"/>
      <c r="BA293" s="2269"/>
      <c r="BB293" s="2269"/>
      <c r="BC293" s="2269"/>
      <c r="BD293" s="2269"/>
      <c r="BE293" s="2269"/>
      <c r="BF293" s="2269"/>
      <c r="BG293" s="2269"/>
      <c r="BH293" s="2269"/>
      <c r="BI293" s="2269"/>
      <c r="BJ293" s="2269"/>
      <c r="BK293" s="2269"/>
      <c r="BL293" s="2269"/>
      <c r="BM293" s="2269"/>
      <c r="BN293" s="2269"/>
      <c r="BO293" s="2269"/>
      <c r="BP293" s="2269"/>
      <c r="BQ293" s="2269"/>
      <c r="BR293" s="2269"/>
      <c r="BS293" s="2269"/>
      <c r="BT293" s="2269"/>
      <c r="BU293" s="2269"/>
      <c r="BV293" s="2269"/>
      <c r="BW293" s="2269"/>
      <c r="BX293" s="2269"/>
      <c r="BY293" s="2269"/>
      <c r="BZ293" s="2269"/>
      <c r="CA293" s="2269"/>
    </row>
    <row r="294" spans="1:79">
      <c r="A294" s="2269"/>
      <c r="B294" s="2269"/>
      <c r="C294" s="2269"/>
      <c r="D294" s="2269"/>
      <c r="E294" s="2269"/>
      <c r="F294" s="2269"/>
      <c r="G294" s="2269"/>
      <c r="H294" s="2269"/>
      <c r="I294" s="2269"/>
      <c r="J294" s="2269"/>
      <c r="K294" s="2269"/>
      <c r="L294" s="2269"/>
      <c r="M294" s="2269"/>
      <c r="N294" s="2269"/>
      <c r="O294" s="2269"/>
      <c r="P294" s="2269"/>
      <c r="Q294" s="2269"/>
      <c r="R294" s="2269"/>
      <c r="S294" s="2269"/>
      <c r="T294" s="2269"/>
      <c r="U294" s="2269"/>
      <c r="V294" s="2269"/>
      <c r="W294" s="2269"/>
      <c r="X294" s="2269"/>
      <c r="Y294" s="2269"/>
      <c r="Z294" s="2269"/>
      <c r="AA294" s="2269"/>
      <c r="AB294" s="2269"/>
      <c r="AC294" s="2269"/>
      <c r="AD294" s="2269"/>
      <c r="AE294" s="2269"/>
      <c r="AF294" s="2269"/>
      <c r="AG294" s="2269"/>
      <c r="AH294" s="2269"/>
      <c r="AI294" s="2269"/>
      <c r="AJ294" s="2269"/>
      <c r="AK294" s="2269"/>
      <c r="AL294" s="2269"/>
      <c r="AM294" s="2269"/>
      <c r="AN294" s="2269"/>
      <c r="AO294" s="2269"/>
      <c r="AP294" s="2269"/>
      <c r="AQ294" s="2269"/>
      <c r="AR294" s="2269"/>
      <c r="AS294" s="2269"/>
      <c r="AT294" s="2269"/>
      <c r="AU294" s="2269"/>
      <c r="AV294" s="2269"/>
      <c r="AW294" s="2269"/>
      <c r="AX294" s="2269"/>
      <c r="AY294" s="2269"/>
      <c r="AZ294" s="2269"/>
      <c r="BA294" s="2269"/>
      <c r="BB294" s="2269"/>
      <c r="BC294" s="2269"/>
      <c r="BD294" s="2269"/>
      <c r="BE294" s="2269"/>
      <c r="BF294" s="2269"/>
      <c r="BG294" s="2269"/>
      <c r="BH294" s="2269"/>
      <c r="BI294" s="2269"/>
      <c r="BJ294" s="2269"/>
      <c r="BK294" s="2269"/>
      <c r="BL294" s="2269"/>
      <c r="BM294" s="2269"/>
      <c r="BN294" s="2269"/>
      <c r="BO294" s="2269"/>
      <c r="BP294" s="2269"/>
      <c r="BQ294" s="2269"/>
      <c r="BR294" s="2269"/>
      <c r="BS294" s="2269"/>
      <c r="BT294" s="2269"/>
      <c r="BU294" s="2269"/>
      <c r="BV294" s="2269"/>
      <c r="BW294" s="2269"/>
      <c r="BX294" s="2269"/>
      <c r="BY294" s="2269"/>
      <c r="BZ294" s="2269"/>
      <c r="CA294" s="2269"/>
    </row>
    <row r="295" spans="1:79">
      <c r="A295" s="2269"/>
      <c r="B295" s="2269"/>
      <c r="C295" s="2269"/>
      <c r="D295" s="2269"/>
      <c r="E295" s="2269"/>
      <c r="F295" s="2269"/>
      <c r="G295" s="2269"/>
      <c r="H295" s="2269"/>
      <c r="I295" s="2269"/>
      <c r="J295" s="2269"/>
      <c r="K295" s="2269"/>
      <c r="L295" s="2269"/>
      <c r="M295" s="2269"/>
      <c r="N295" s="2269"/>
      <c r="O295" s="2269"/>
      <c r="P295" s="2269"/>
      <c r="Q295" s="2269"/>
      <c r="R295" s="2269"/>
      <c r="S295" s="2269"/>
      <c r="T295" s="2269"/>
      <c r="U295" s="2269"/>
      <c r="V295" s="2269"/>
      <c r="W295" s="2269"/>
      <c r="X295" s="2269"/>
      <c r="Y295" s="2269"/>
      <c r="Z295" s="2269"/>
      <c r="AA295" s="2269"/>
      <c r="AB295" s="2269"/>
      <c r="AC295" s="2269"/>
      <c r="AD295" s="2269"/>
      <c r="AE295" s="2269"/>
      <c r="AF295" s="2269"/>
      <c r="AG295" s="2269"/>
      <c r="AH295" s="2269"/>
      <c r="AI295" s="2269"/>
      <c r="AJ295" s="2269"/>
      <c r="AK295" s="2269"/>
      <c r="AL295" s="2269"/>
      <c r="AM295" s="2269"/>
      <c r="AN295" s="2269"/>
      <c r="AO295" s="2269"/>
      <c r="AP295" s="2269"/>
      <c r="AQ295" s="2269"/>
      <c r="AR295" s="2269"/>
      <c r="AS295" s="2269"/>
      <c r="AT295" s="2269"/>
      <c r="AU295" s="2269"/>
      <c r="AV295" s="2269"/>
      <c r="AW295" s="2269"/>
      <c r="AX295" s="2269"/>
      <c r="AY295" s="2269"/>
      <c r="AZ295" s="2269"/>
      <c r="BA295" s="2269"/>
      <c r="BB295" s="2269"/>
      <c r="BC295" s="2269"/>
      <c r="BD295" s="2269"/>
      <c r="BE295" s="2269"/>
      <c r="BF295" s="2269"/>
      <c r="BG295" s="2269"/>
      <c r="BH295" s="2269"/>
      <c r="BI295" s="2269"/>
      <c r="BJ295" s="2269"/>
      <c r="BK295" s="2269"/>
      <c r="BL295" s="2269"/>
      <c r="BM295" s="2269"/>
      <c r="BN295" s="2269"/>
      <c r="BO295" s="2269"/>
      <c r="BP295" s="2269"/>
      <c r="BQ295" s="2269"/>
      <c r="BR295" s="2269"/>
      <c r="BS295" s="2269"/>
      <c r="BT295" s="2269"/>
      <c r="BU295" s="2269"/>
      <c r="BV295" s="2269"/>
      <c r="BW295" s="2269"/>
      <c r="BX295" s="2269"/>
      <c r="BY295" s="2269"/>
      <c r="BZ295" s="2269"/>
      <c r="CA295" s="2269"/>
    </row>
    <row r="296" spans="1:79">
      <c r="A296" s="2269"/>
      <c r="B296" s="2269"/>
      <c r="C296" s="2269"/>
      <c r="D296" s="2269"/>
      <c r="E296" s="2269"/>
      <c r="F296" s="2269"/>
      <c r="G296" s="2269"/>
      <c r="H296" s="2269"/>
      <c r="I296" s="2269"/>
      <c r="J296" s="2269"/>
      <c r="K296" s="2269"/>
      <c r="L296" s="2269"/>
      <c r="M296" s="2269"/>
      <c r="N296" s="2269"/>
      <c r="O296" s="2269"/>
      <c r="P296" s="2269"/>
      <c r="Q296" s="2269"/>
      <c r="R296" s="2269"/>
      <c r="S296" s="2269"/>
      <c r="T296" s="2269"/>
      <c r="U296" s="2269"/>
      <c r="V296" s="2269"/>
      <c r="W296" s="2269"/>
      <c r="X296" s="2269"/>
      <c r="Y296" s="2269"/>
      <c r="Z296" s="2269"/>
      <c r="AA296" s="2269"/>
      <c r="AB296" s="2269"/>
      <c r="AC296" s="2269"/>
      <c r="AD296" s="2269"/>
      <c r="AE296" s="2269"/>
      <c r="AF296" s="2269"/>
      <c r="AG296" s="2269"/>
      <c r="AH296" s="2269"/>
      <c r="AI296" s="2269"/>
      <c r="AJ296" s="2269"/>
      <c r="AK296" s="2269"/>
      <c r="AL296" s="2269"/>
      <c r="AM296" s="2269"/>
      <c r="AN296" s="2269"/>
      <c r="AO296" s="2269"/>
      <c r="AP296" s="2269"/>
      <c r="AQ296" s="2269"/>
      <c r="AR296" s="2269"/>
      <c r="AS296" s="2269"/>
      <c r="AT296" s="2269"/>
      <c r="AU296" s="2269"/>
      <c r="AV296" s="2269"/>
      <c r="AW296" s="2269"/>
      <c r="AX296" s="2269"/>
      <c r="AY296" s="2269"/>
      <c r="AZ296" s="2269"/>
      <c r="BA296" s="2269"/>
      <c r="BB296" s="2269"/>
      <c r="BC296" s="2269"/>
      <c r="BD296" s="2269"/>
      <c r="BE296" s="2269"/>
      <c r="BF296" s="2269"/>
      <c r="BG296" s="2269"/>
      <c r="BH296" s="2269"/>
      <c r="BI296" s="2269"/>
      <c r="BJ296" s="2269"/>
      <c r="BK296" s="2269"/>
      <c r="BL296" s="2269"/>
      <c r="BM296" s="2269"/>
      <c r="BN296" s="2269"/>
      <c r="BO296" s="2269"/>
      <c r="BP296" s="2269"/>
      <c r="BQ296" s="2269"/>
      <c r="BR296" s="2269"/>
      <c r="BS296" s="2269"/>
      <c r="BT296" s="2269"/>
      <c r="BU296" s="2269"/>
      <c r="BV296" s="2269"/>
      <c r="BW296" s="2269"/>
      <c r="BX296" s="2269"/>
      <c r="BY296" s="2269"/>
      <c r="BZ296" s="2269"/>
      <c r="CA296" s="2269"/>
    </row>
    <row r="297" spans="1:79">
      <c r="A297" s="2269"/>
      <c r="B297" s="2269"/>
      <c r="C297" s="2269"/>
      <c r="D297" s="2269"/>
      <c r="E297" s="2269"/>
      <c r="F297" s="2269"/>
      <c r="G297" s="2269"/>
      <c r="H297" s="2269"/>
      <c r="I297" s="2269"/>
      <c r="J297" s="2269"/>
      <c r="K297" s="2269"/>
      <c r="L297" s="2269"/>
      <c r="M297" s="2269"/>
      <c r="N297" s="2269"/>
      <c r="O297" s="2269"/>
      <c r="P297" s="2269"/>
      <c r="Q297" s="2269"/>
      <c r="R297" s="2269"/>
      <c r="S297" s="2269"/>
      <c r="T297" s="2269"/>
      <c r="U297" s="2269"/>
      <c r="V297" s="2269"/>
      <c r="W297" s="2269"/>
      <c r="X297" s="2269"/>
      <c r="Y297" s="2269"/>
      <c r="Z297" s="2269"/>
      <c r="AA297" s="2269"/>
      <c r="AB297" s="2269"/>
      <c r="AC297" s="2269"/>
      <c r="AD297" s="2269"/>
      <c r="AE297" s="2269"/>
      <c r="AF297" s="2269"/>
      <c r="AG297" s="2269"/>
      <c r="AH297" s="2269"/>
      <c r="AI297" s="2269"/>
      <c r="AJ297" s="2269"/>
      <c r="AK297" s="2269"/>
      <c r="AL297" s="2269"/>
      <c r="AM297" s="2269"/>
      <c r="AN297" s="2269"/>
      <c r="AO297" s="2269"/>
      <c r="AP297" s="2269"/>
      <c r="AQ297" s="2269"/>
      <c r="AR297" s="2269"/>
      <c r="AS297" s="2269"/>
      <c r="AT297" s="2269"/>
      <c r="AU297" s="2269"/>
      <c r="AV297" s="2269"/>
      <c r="AW297" s="2269"/>
      <c r="AX297" s="2269"/>
      <c r="AY297" s="2269"/>
      <c r="AZ297" s="2269"/>
      <c r="BA297" s="2269"/>
      <c r="BB297" s="2269"/>
      <c r="BC297" s="2269"/>
      <c r="BD297" s="2269"/>
      <c r="BE297" s="2269"/>
      <c r="BF297" s="2269"/>
      <c r="BG297" s="2269"/>
      <c r="BH297" s="2269"/>
      <c r="BI297" s="2269"/>
      <c r="BJ297" s="2269"/>
      <c r="BK297" s="2269"/>
      <c r="BL297" s="2269"/>
      <c r="BM297" s="2269"/>
      <c r="BN297" s="2269"/>
      <c r="BO297" s="2269"/>
      <c r="BP297" s="2269"/>
      <c r="BQ297" s="2269"/>
      <c r="BR297" s="2269"/>
      <c r="BS297" s="2269"/>
      <c r="BT297" s="2269"/>
      <c r="BU297" s="2269"/>
      <c r="BV297" s="2269"/>
      <c r="BW297" s="2269"/>
      <c r="BX297" s="2269"/>
      <c r="BY297" s="2269"/>
      <c r="BZ297" s="2269"/>
      <c r="CA297" s="2269"/>
    </row>
    <row r="298" spans="1:79">
      <c r="A298" s="2269"/>
      <c r="B298" s="2269"/>
      <c r="C298" s="2269"/>
      <c r="D298" s="2269"/>
      <c r="E298" s="2269"/>
      <c r="F298" s="2269"/>
      <c r="G298" s="2269"/>
      <c r="H298" s="2269"/>
      <c r="I298" s="2269"/>
      <c r="J298" s="2269"/>
      <c r="K298" s="2269"/>
      <c r="L298" s="2269"/>
      <c r="M298" s="2269"/>
      <c r="N298" s="2269"/>
      <c r="O298" s="2269"/>
      <c r="P298" s="2269"/>
      <c r="Q298" s="2269"/>
      <c r="R298" s="2269"/>
      <c r="S298" s="2269"/>
      <c r="T298" s="2269"/>
      <c r="U298" s="2269"/>
      <c r="V298" s="2269"/>
      <c r="W298" s="2269"/>
      <c r="X298" s="2269"/>
      <c r="Y298" s="2269"/>
      <c r="Z298" s="2269"/>
      <c r="AA298" s="2269"/>
      <c r="AB298" s="2269"/>
      <c r="AC298" s="2269"/>
      <c r="AD298" s="2269"/>
      <c r="AE298" s="2269"/>
      <c r="AF298" s="2269"/>
      <c r="AG298" s="2269"/>
      <c r="AH298" s="2269"/>
      <c r="AI298" s="2269"/>
      <c r="AJ298" s="2269"/>
      <c r="AK298" s="2269"/>
      <c r="AL298" s="2269"/>
      <c r="AM298" s="2269"/>
      <c r="AN298" s="2269"/>
      <c r="AO298" s="2269"/>
      <c r="AP298" s="2269"/>
      <c r="AQ298" s="2269"/>
      <c r="AR298" s="2269"/>
      <c r="AS298" s="2269"/>
      <c r="AT298" s="2269"/>
      <c r="AU298" s="2269"/>
      <c r="AV298" s="2269"/>
      <c r="AW298" s="2269"/>
      <c r="AX298" s="2269"/>
      <c r="AY298" s="2269"/>
      <c r="AZ298" s="2269"/>
      <c r="BA298" s="2269"/>
      <c r="BB298" s="2269"/>
      <c r="BC298" s="2269"/>
      <c r="BD298" s="2269"/>
      <c r="BE298" s="2269"/>
      <c r="BF298" s="2269"/>
      <c r="BG298" s="2269"/>
      <c r="BH298" s="2269"/>
      <c r="BI298" s="2269"/>
      <c r="BJ298" s="2269"/>
      <c r="BK298" s="2269"/>
      <c r="BL298" s="2269"/>
      <c r="BM298" s="2269"/>
      <c r="BN298" s="2269"/>
      <c r="BO298" s="2269"/>
      <c r="BP298" s="2269"/>
      <c r="BQ298" s="2269"/>
      <c r="BR298" s="2269"/>
      <c r="BS298" s="2269"/>
      <c r="BT298" s="2269"/>
      <c r="BU298" s="2269"/>
      <c r="BV298" s="2269"/>
      <c r="BW298" s="2269"/>
      <c r="BX298" s="2269"/>
      <c r="BY298" s="2269"/>
      <c r="BZ298" s="2269"/>
      <c r="CA298" s="2269"/>
    </row>
    <row r="299" spans="1:79">
      <c r="A299" s="2269"/>
      <c r="B299" s="2269"/>
      <c r="C299" s="2269"/>
      <c r="D299" s="2269"/>
      <c r="E299" s="2269"/>
      <c r="F299" s="2269"/>
      <c r="G299" s="2269"/>
      <c r="H299" s="2269"/>
      <c r="I299" s="2269"/>
      <c r="J299" s="2269"/>
      <c r="K299" s="2269"/>
      <c r="L299" s="2269"/>
      <c r="M299" s="2269"/>
      <c r="N299" s="2269"/>
      <c r="O299" s="2269"/>
      <c r="P299" s="2269"/>
      <c r="Q299" s="2269"/>
      <c r="R299" s="2269"/>
      <c r="S299" s="2269"/>
      <c r="T299" s="2269"/>
      <c r="U299" s="2269"/>
      <c r="V299" s="2269"/>
      <c r="W299" s="2269"/>
      <c r="X299" s="2269"/>
      <c r="Y299" s="2269"/>
      <c r="Z299" s="2269"/>
      <c r="AA299" s="2269"/>
      <c r="AB299" s="2269"/>
      <c r="AC299" s="2269"/>
      <c r="AD299" s="2269"/>
      <c r="AE299" s="2269"/>
      <c r="AF299" s="2269"/>
      <c r="AG299" s="2269"/>
      <c r="AH299" s="2269"/>
      <c r="AI299" s="2269"/>
      <c r="AJ299" s="2269"/>
      <c r="AK299" s="2269"/>
      <c r="AL299" s="2269"/>
      <c r="AM299" s="2269"/>
      <c r="AN299" s="2269"/>
      <c r="AO299" s="2269"/>
      <c r="AP299" s="2269"/>
      <c r="AQ299" s="2269"/>
      <c r="AR299" s="2269"/>
      <c r="AS299" s="2269"/>
      <c r="AT299" s="2269"/>
      <c r="AU299" s="2269"/>
      <c r="AV299" s="2269"/>
      <c r="AW299" s="2269"/>
      <c r="AX299" s="2269"/>
      <c r="AY299" s="2269"/>
      <c r="AZ299" s="2269"/>
      <c r="BA299" s="2269"/>
      <c r="BB299" s="2269"/>
      <c r="BC299" s="2269"/>
      <c r="BD299" s="2269"/>
      <c r="BE299" s="2269"/>
      <c r="BF299" s="2269"/>
      <c r="BG299" s="2269"/>
      <c r="BH299" s="2269"/>
      <c r="BI299" s="2269"/>
      <c r="BJ299" s="2269"/>
      <c r="BK299" s="2269"/>
      <c r="BL299" s="2269"/>
      <c r="BM299" s="2269"/>
      <c r="BN299" s="2269"/>
      <c r="BO299" s="2269"/>
      <c r="BP299" s="2269"/>
      <c r="BQ299" s="2269"/>
      <c r="BR299" s="2269"/>
      <c r="BS299" s="2269"/>
      <c r="BT299" s="2269"/>
      <c r="BU299" s="2269"/>
      <c r="BV299" s="2269"/>
      <c r="BW299" s="2269"/>
      <c r="BX299" s="2269"/>
      <c r="BY299" s="2269"/>
      <c r="BZ299" s="2269"/>
      <c r="CA299" s="2269"/>
    </row>
    <row r="300" spans="1:79">
      <c r="A300" s="2269"/>
      <c r="B300" s="2269"/>
      <c r="C300" s="2269"/>
      <c r="D300" s="2269"/>
      <c r="E300" s="2269"/>
      <c r="F300" s="2269"/>
      <c r="G300" s="2269"/>
      <c r="H300" s="2269"/>
      <c r="I300" s="2269"/>
      <c r="J300" s="2269"/>
      <c r="K300" s="2269"/>
      <c r="L300" s="2269"/>
      <c r="M300" s="2269"/>
      <c r="N300" s="2269"/>
      <c r="O300" s="2269"/>
      <c r="P300" s="2269"/>
      <c r="Q300" s="2269"/>
      <c r="R300" s="2269"/>
      <c r="S300" s="2269"/>
      <c r="T300" s="2269"/>
      <c r="U300" s="2269"/>
      <c r="V300" s="2269"/>
      <c r="W300" s="2269"/>
      <c r="X300" s="2269"/>
      <c r="Y300" s="2269"/>
      <c r="Z300" s="2269"/>
      <c r="AA300" s="2269"/>
      <c r="AB300" s="2269"/>
      <c r="AC300" s="2269"/>
      <c r="AD300" s="2269"/>
      <c r="AE300" s="2269"/>
      <c r="AF300" s="2269"/>
      <c r="AG300" s="2269"/>
      <c r="AH300" s="2269"/>
      <c r="AI300" s="2269"/>
      <c r="AJ300" s="2269"/>
      <c r="AK300" s="2269"/>
      <c r="AL300" s="2269"/>
      <c r="AM300" s="2269"/>
      <c r="AN300" s="2269"/>
      <c r="AO300" s="2269"/>
      <c r="AP300" s="2269"/>
      <c r="AQ300" s="2269"/>
      <c r="AR300" s="2269"/>
      <c r="AS300" s="2269"/>
      <c r="AT300" s="2269"/>
      <c r="AU300" s="2269"/>
      <c r="AV300" s="2269"/>
      <c r="AW300" s="2269"/>
      <c r="AX300" s="2269"/>
      <c r="AY300" s="2269"/>
      <c r="AZ300" s="2269"/>
      <c r="BA300" s="2269"/>
      <c r="BB300" s="2269"/>
      <c r="BC300" s="2269"/>
      <c r="BD300" s="2269"/>
      <c r="BE300" s="2269"/>
      <c r="BF300" s="2269"/>
      <c r="BG300" s="2269"/>
      <c r="BH300" s="2269"/>
      <c r="BI300" s="2269"/>
      <c r="BJ300" s="2269"/>
      <c r="BK300" s="2269"/>
      <c r="BL300" s="2269"/>
      <c r="BM300" s="2269"/>
      <c r="BN300" s="2269"/>
      <c r="BO300" s="2269"/>
      <c r="BP300" s="2269"/>
      <c r="BQ300" s="2269"/>
      <c r="BR300" s="2269"/>
      <c r="BS300" s="2269"/>
      <c r="BT300" s="2269"/>
      <c r="BU300" s="2269"/>
      <c r="BV300" s="2269"/>
      <c r="BW300" s="2269"/>
      <c r="BX300" s="2269"/>
      <c r="BY300" s="2269"/>
      <c r="BZ300" s="2269"/>
      <c r="CA300" s="2269"/>
    </row>
    <row r="301" spans="1:79">
      <c r="A301" s="2269"/>
      <c r="B301" s="2269"/>
      <c r="C301" s="2269"/>
      <c r="D301" s="2269"/>
      <c r="E301" s="2269"/>
      <c r="F301" s="2269"/>
      <c r="G301" s="2269"/>
      <c r="H301" s="2269"/>
      <c r="I301" s="2269"/>
      <c r="J301" s="2269"/>
      <c r="K301" s="2269"/>
      <c r="L301" s="2269"/>
      <c r="M301" s="2269"/>
      <c r="N301" s="2269"/>
      <c r="O301" s="2269"/>
      <c r="P301" s="2269"/>
      <c r="Q301" s="2269"/>
      <c r="R301" s="2269"/>
      <c r="S301" s="2269"/>
      <c r="T301" s="2269"/>
      <c r="U301" s="2269"/>
      <c r="V301" s="2269"/>
      <c r="W301" s="2269"/>
      <c r="X301" s="2269"/>
      <c r="Y301" s="2269"/>
      <c r="Z301" s="2269"/>
      <c r="AA301" s="2269"/>
      <c r="AB301" s="2269"/>
      <c r="AC301" s="2269"/>
      <c r="AD301" s="2269"/>
      <c r="AE301" s="2269"/>
      <c r="AF301" s="2269"/>
      <c r="AG301" s="2269"/>
      <c r="AH301" s="2269"/>
      <c r="AI301" s="2269"/>
      <c r="AJ301" s="2269"/>
      <c r="AK301" s="2269"/>
      <c r="AL301" s="2269"/>
      <c r="AM301" s="2269"/>
      <c r="AN301" s="2269"/>
      <c r="AO301" s="2269"/>
      <c r="AP301" s="2269"/>
      <c r="AQ301" s="2269"/>
      <c r="AR301" s="2269"/>
      <c r="AS301" s="2269"/>
      <c r="AT301" s="2269"/>
      <c r="AU301" s="2269"/>
      <c r="AV301" s="2269"/>
      <c r="AW301" s="2269"/>
      <c r="AX301" s="2269"/>
      <c r="AY301" s="2269"/>
      <c r="AZ301" s="2269"/>
      <c r="BA301" s="2269"/>
      <c r="BB301" s="2269"/>
      <c r="BC301" s="2269"/>
      <c r="BD301" s="2269"/>
      <c r="BE301" s="2269"/>
      <c r="BF301" s="2269"/>
      <c r="BG301" s="2269"/>
      <c r="BH301" s="2269"/>
      <c r="BI301" s="2269"/>
      <c r="BJ301" s="2269"/>
      <c r="BK301" s="2269"/>
      <c r="BL301" s="2269"/>
      <c r="BM301" s="2269"/>
      <c r="BN301" s="2269"/>
      <c r="BO301" s="2269"/>
      <c r="BP301" s="2269"/>
      <c r="BQ301" s="2269"/>
      <c r="BR301" s="2269"/>
      <c r="BS301" s="2269"/>
      <c r="BT301" s="2269"/>
      <c r="BU301" s="2269"/>
      <c r="BV301" s="2269"/>
      <c r="BW301" s="2269"/>
      <c r="BX301" s="2269"/>
      <c r="BY301" s="2269"/>
      <c r="BZ301" s="2269"/>
      <c r="CA301" s="2269"/>
    </row>
    <row r="302" spans="1:79">
      <c r="A302" s="2269"/>
      <c r="B302" s="2269"/>
      <c r="C302" s="2269"/>
      <c r="D302" s="2269"/>
      <c r="E302" s="2269"/>
      <c r="F302" s="2269"/>
      <c r="G302" s="2269"/>
      <c r="H302" s="2269"/>
      <c r="I302" s="2269"/>
      <c r="J302" s="2269"/>
      <c r="K302" s="2269"/>
      <c r="L302" s="2269"/>
      <c r="M302" s="2269"/>
      <c r="N302" s="2269"/>
      <c r="O302" s="2269"/>
      <c r="P302" s="2269"/>
      <c r="Q302" s="2269"/>
      <c r="R302" s="2269"/>
      <c r="S302" s="2269"/>
      <c r="T302" s="2269"/>
      <c r="U302" s="2269"/>
      <c r="V302" s="2269"/>
      <c r="W302" s="2269"/>
      <c r="X302" s="2269"/>
      <c r="Y302" s="2269"/>
      <c r="Z302" s="2269"/>
      <c r="AA302" s="2269"/>
      <c r="AB302" s="2269"/>
      <c r="AC302" s="2269"/>
      <c r="AD302" s="2269"/>
      <c r="AE302" s="2269"/>
      <c r="AF302" s="2269"/>
      <c r="AG302" s="2269"/>
      <c r="AH302" s="2269"/>
      <c r="AI302" s="2269"/>
      <c r="AJ302" s="2269"/>
      <c r="AK302" s="2269"/>
      <c r="AL302" s="2269"/>
      <c r="AM302" s="2269"/>
      <c r="AN302" s="2269"/>
      <c r="AO302" s="2269"/>
      <c r="AP302" s="2269"/>
      <c r="AQ302" s="2269"/>
      <c r="AR302" s="2269"/>
      <c r="AS302" s="2269"/>
      <c r="AT302" s="2269"/>
      <c r="AU302" s="2269"/>
      <c r="AV302" s="2269"/>
      <c r="AW302" s="2269"/>
      <c r="AX302" s="2269"/>
      <c r="AY302" s="2269"/>
      <c r="AZ302" s="2269"/>
      <c r="BA302" s="2269"/>
      <c r="BB302" s="2269"/>
      <c r="BC302" s="2269"/>
      <c r="BD302" s="2269"/>
      <c r="BE302" s="2269"/>
      <c r="BF302" s="2269"/>
      <c r="BG302" s="2269"/>
      <c r="BH302" s="2269"/>
      <c r="BI302" s="2269"/>
      <c r="BJ302" s="2269"/>
      <c r="BK302" s="2269"/>
      <c r="BL302" s="2269"/>
      <c r="BM302" s="2269"/>
      <c r="BN302" s="2269"/>
      <c r="BO302" s="2269"/>
      <c r="BP302" s="2269"/>
      <c r="BQ302" s="2269"/>
      <c r="BR302" s="2269"/>
      <c r="BS302" s="2269"/>
      <c r="BT302" s="2269"/>
      <c r="BU302" s="2269"/>
      <c r="BV302" s="2269"/>
      <c r="BW302" s="2269"/>
      <c r="BX302" s="2269"/>
      <c r="BY302" s="2269"/>
      <c r="BZ302" s="2269"/>
      <c r="CA302" s="2269"/>
    </row>
    <row r="303" spans="1:79">
      <c r="A303" s="2269"/>
      <c r="B303" s="2269"/>
      <c r="C303" s="2269"/>
      <c r="D303" s="2269"/>
      <c r="E303" s="2269"/>
      <c r="F303" s="2269"/>
      <c r="G303" s="2269"/>
      <c r="H303" s="2269"/>
      <c r="I303" s="2269"/>
      <c r="J303" s="2269"/>
      <c r="K303" s="2269"/>
      <c r="L303" s="2269"/>
      <c r="M303" s="2269"/>
      <c r="N303" s="2269"/>
      <c r="O303" s="2269"/>
      <c r="P303" s="2269"/>
      <c r="Q303" s="2269"/>
      <c r="R303" s="2269"/>
      <c r="S303" s="2269"/>
      <c r="T303" s="2269"/>
      <c r="U303" s="2269"/>
      <c r="V303" s="2269"/>
      <c r="W303" s="2269"/>
      <c r="X303" s="2269"/>
      <c r="Y303" s="2269"/>
      <c r="Z303" s="2269"/>
      <c r="AA303" s="2269"/>
      <c r="AB303" s="2269"/>
      <c r="AC303" s="2269"/>
      <c r="AD303" s="2269"/>
      <c r="AE303" s="2269"/>
      <c r="AF303" s="2269"/>
      <c r="AG303" s="2269"/>
      <c r="AH303" s="2269"/>
      <c r="AI303" s="2269"/>
      <c r="AJ303" s="2269"/>
      <c r="AK303" s="2269"/>
      <c r="AL303" s="2269"/>
      <c r="AM303" s="2269"/>
      <c r="AN303" s="2269"/>
      <c r="AO303" s="2269"/>
      <c r="AP303" s="2269"/>
      <c r="AQ303" s="2269"/>
      <c r="AR303" s="2269"/>
      <c r="AS303" s="2269"/>
      <c r="AT303" s="2269"/>
      <c r="AU303" s="2269"/>
      <c r="AV303" s="2269"/>
      <c r="AW303" s="2269"/>
      <c r="AX303" s="2269"/>
      <c r="AY303" s="2269"/>
      <c r="AZ303" s="2269"/>
      <c r="BA303" s="2269"/>
      <c r="BB303" s="2269"/>
      <c r="BC303" s="2269"/>
      <c r="BD303" s="2269"/>
      <c r="BE303" s="2269"/>
      <c r="BF303" s="2269"/>
      <c r="BG303" s="2269"/>
      <c r="BH303" s="2269"/>
      <c r="BI303" s="2269"/>
      <c r="BJ303" s="2269"/>
      <c r="BK303" s="2269"/>
      <c r="BL303" s="2269"/>
      <c r="BM303" s="2269"/>
      <c r="BN303" s="2269"/>
      <c r="BO303" s="2269"/>
      <c r="BP303" s="2269"/>
      <c r="BQ303" s="2269"/>
      <c r="BR303" s="2269"/>
      <c r="BS303" s="2269"/>
      <c r="BT303" s="2269"/>
      <c r="BU303" s="2269"/>
      <c r="BV303" s="2269"/>
      <c r="BW303" s="2269"/>
      <c r="BX303" s="2269"/>
      <c r="BY303" s="2269"/>
      <c r="BZ303" s="2269"/>
      <c r="CA303" s="2269"/>
    </row>
    <row r="304" spans="1:79">
      <c r="A304" s="2269"/>
      <c r="B304" s="2269"/>
      <c r="C304" s="2269"/>
      <c r="D304" s="2269"/>
      <c r="E304" s="2269"/>
      <c r="F304" s="2269"/>
      <c r="G304" s="2269"/>
      <c r="H304" s="2269"/>
      <c r="I304" s="2269"/>
      <c r="J304" s="2269"/>
      <c r="K304" s="2269"/>
      <c r="L304" s="2269"/>
      <c r="M304" s="2269"/>
      <c r="N304" s="2269"/>
      <c r="O304" s="2269"/>
      <c r="P304" s="2269"/>
      <c r="Q304" s="2269"/>
      <c r="R304" s="2269"/>
      <c r="S304" s="2269"/>
      <c r="T304" s="2269"/>
      <c r="U304" s="2269"/>
      <c r="V304" s="2269"/>
      <c r="W304" s="2269"/>
      <c r="X304" s="2269"/>
      <c r="Y304" s="2269"/>
      <c r="Z304" s="2269"/>
      <c r="AA304" s="2269"/>
      <c r="AB304" s="2269"/>
      <c r="AC304" s="2269"/>
      <c r="AD304" s="2269"/>
      <c r="AE304" s="2269"/>
      <c r="AF304" s="2269"/>
      <c r="AG304" s="2269"/>
      <c r="AH304" s="2269"/>
      <c r="AI304" s="2269"/>
      <c r="AJ304" s="2269"/>
      <c r="AK304" s="2269"/>
      <c r="AL304" s="2269"/>
      <c r="AM304" s="2269"/>
      <c r="AN304" s="2269"/>
      <c r="AO304" s="2269"/>
      <c r="AP304" s="2269"/>
      <c r="AQ304" s="2269"/>
      <c r="AR304" s="2269"/>
      <c r="AS304" s="2269"/>
      <c r="AT304" s="2269"/>
      <c r="AU304" s="2269"/>
      <c r="AV304" s="2269"/>
      <c r="AW304" s="2269"/>
      <c r="AX304" s="2269"/>
      <c r="AY304" s="2269"/>
      <c r="AZ304" s="2269"/>
      <c r="BA304" s="2269"/>
      <c r="BB304" s="2269"/>
      <c r="BC304" s="2269"/>
      <c r="BD304" s="2269"/>
      <c r="BE304" s="2269"/>
      <c r="BF304" s="2269"/>
      <c r="BG304" s="2269"/>
      <c r="BH304" s="2269"/>
      <c r="BI304" s="2269"/>
      <c r="BJ304" s="2269"/>
      <c r="BK304" s="2269"/>
      <c r="BL304" s="2269"/>
      <c r="BM304" s="2269"/>
      <c r="BN304" s="2269"/>
      <c r="BO304" s="2269"/>
      <c r="BP304" s="2269"/>
      <c r="BQ304" s="2269"/>
      <c r="BR304" s="2269"/>
      <c r="BS304" s="2269"/>
      <c r="BT304" s="2269"/>
      <c r="BU304" s="2269"/>
      <c r="BV304" s="2269"/>
      <c r="BW304" s="2269"/>
      <c r="BX304" s="2269"/>
      <c r="BY304" s="2269"/>
      <c r="BZ304" s="2269"/>
      <c r="CA304" s="2269"/>
    </row>
    <row r="305" spans="1:79">
      <c r="A305" s="2269"/>
      <c r="B305" s="2269"/>
      <c r="C305" s="2269"/>
      <c r="D305" s="2269"/>
      <c r="E305" s="2269"/>
      <c r="F305" s="2269"/>
      <c r="G305" s="2269"/>
      <c r="H305" s="2269"/>
      <c r="I305" s="2269"/>
      <c r="J305" s="2269"/>
      <c r="K305" s="2269"/>
      <c r="L305" s="2269"/>
      <c r="M305" s="2269"/>
      <c r="N305" s="2269"/>
      <c r="O305" s="2269"/>
      <c r="P305" s="2269"/>
      <c r="Q305" s="2269"/>
      <c r="R305" s="2269"/>
      <c r="S305" s="2269"/>
      <c r="T305" s="2269"/>
      <c r="U305" s="2269"/>
      <c r="V305" s="2269"/>
      <c r="W305" s="2269"/>
      <c r="X305" s="2269"/>
      <c r="Y305" s="2269"/>
      <c r="Z305" s="2269"/>
      <c r="AA305" s="2269"/>
      <c r="AB305" s="2269"/>
      <c r="AC305" s="2269"/>
      <c r="AD305" s="2269"/>
      <c r="AE305" s="2269"/>
      <c r="AF305" s="2269"/>
      <c r="AG305" s="2269"/>
      <c r="AH305" s="2269"/>
      <c r="AI305" s="2269"/>
      <c r="AJ305" s="2269"/>
      <c r="AK305" s="2269"/>
      <c r="AL305" s="2269"/>
      <c r="AM305" s="2269"/>
      <c r="AN305" s="2269"/>
      <c r="AO305" s="2269"/>
      <c r="AP305" s="2269"/>
      <c r="AQ305" s="2269"/>
      <c r="AR305" s="2269"/>
      <c r="AS305" s="2269"/>
      <c r="AT305" s="2269"/>
      <c r="AU305" s="2269"/>
      <c r="AV305" s="2269"/>
      <c r="AW305" s="2269"/>
      <c r="AX305" s="2269"/>
      <c r="AY305" s="2269"/>
      <c r="AZ305" s="2269"/>
      <c r="BA305" s="2269"/>
      <c r="BB305" s="2269"/>
      <c r="BC305" s="2269"/>
      <c r="BD305" s="2269"/>
      <c r="BE305" s="2269"/>
      <c r="BF305" s="2269"/>
      <c r="BG305" s="2269"/>
      <c r="BH305" s="2269"/>
      <c r="BI305" s="2269"/>
      <c r="BJ305" s="2269"/>
      <c r="BK305" s="2269"/>
      <c r="BL305" s="2269"/>
      <c r="BM305" s="2269"/>
      <c r="BN305" s="2269"/>
      <c r="BO305" s="2269"/>
      <c r="BP305" s="2269"/>
      <c r="BQ305" s="2269"/>
      <c r="BR305" s="2269"/>
      <c r="BS305" s="2269"/>
      <c r="BT305" s="2269"/>
      <c r="BU305" s="2269"/>
      <c r="BV305" s="2269"/>
      <c r="BW305" s="2269"/>
      <c r="BX305" s="2269"/>
      <c r="BY305" s="2269"/>
      <c r="BZ305" s="2269"/>
      <c r="CA305" s="2269"/>
    </row>
    <row r="306" spans="1:79">
      <c r="A306" s="2269"/>
      <c r="B306" s="2269"/>
      <c r="C306" s="2269"/>
      <c r="D306" s="2269"/>
      <c r="E306" s="2269"/>
      <c r="F306" s="2269"/>
      <c r="G306" s="2269"/>
      <c r="H306" s="2269"/>
      <c r="I306" s="2269"/>
      <c r="J306" s="2269"/>
      <c r="K306" s="2269"/>
      <c r="L306" s="2269"/>
      <c r="M306" s="2269"/>
      <c r="N306" s="2269"/>
      <c r="O306" s="2269"/>
      <c r="P306" s="2269"/>
      <c r="Q306" s="2269"/>
      <c r="R306" s="2269"/>
      <c r="S306" s="2269"/>
      <c r="T306" s="2269"/>
      <c r="U306" s="2269"/>
      <c r="V306" s="2269"/>
      <c r="W306" s="2269"/>
      <c r="X306" s="2269"/>
      <c r="Y306" s="2269"/>
      <c r="Z306" s="2269"/>
      <c r="AA306" s="2269"/>
      <c r="AB306" s="2269"/>
      <c r="AC306" s="2269"/>
      <c r="AD306" s="2269"/>
      <c r="AE306" s="2269"/>
      <c r="AF306" s="2269"/>
      <c r="AG306" s="2269"/>
      <c r="AH306" s="2269"/>
      <c r="AI306" s="2269"/>
      <c r="AJ306" s="2269"/>
      <c r="AK306" s="2269"/>
      <c r="AL306" s="2269"/>
      <c r="AM306" s="2269"/>
      <c r="AN306" s="2269"/>
      <c r="AO306" s="2269"/>
      <c r="AP306" s="2269"/>
      <c r="AQ306" s="2269"/>
      <c r="AR306" s="2269"/>
      <c r="AS306" s="2269"/>
      <c r="AT306" s="2269"/>
      <c r="AU306" s="2269"/>
      <c r="AV306" s="2269"/>
      <c r="AW306" s="2269"/>
      <c r="AX306" s="2269"/>
      <c r="AY306" s="2269"/>
      <c r="AZ306" s="2269"/>
      <c r="BA306" s="2269"/>
      <c r="BB306" s="2269"/>
      <c r="BC306" s="2269"/>
      <c r="BD306" s="2269"/>
      <c r="BE306" s="2269"/>
      <c r="BF306" s="2269"/>
      <c r="BG306" s="2269"/>
      <c r="BH306" s="2269"/>
      <c r="BI306" s="2269"/>
      <c r="BJ306" s="2269"/>
      <c r="BK306" s="2269"/>
      <c r="BL306" s="2269"/>
      <c r="BM306" s="2269"/>
      <c r="BN306" s="2269"/>
      <c r="BO306" s="2269"/>
      <c r="BP306" s="2269"/>
      <c r="BQ306" s="2269"/>
      <c r="BR306" s="2269"/>
      <c r="BS306" s="2269"/>
      <c r="BT306" s="2269"/>
      <c r="BU306" s="2269"/>
      <c r="BV306" s="2269"/>
      <c r="BW306" s="2269"/>
      <c r="BX306" s="2269"/>
      <c r="BY306" s="2269"/>
      <c r="BZ306" s="2269"/>
      <c r="CA306" s="2269"/>
    </row>
    <row r="307" spans="1:79">
      <c r="A307" s="2269"/>
      <c r="B307" s="2269"/>
      <c r="C307" s="2269"/>
      <c r="D307" s="2269"/>
      <c r="E307" s="2269"/>
      <c r="F307" s="2269"/>
      <c r="G307" s="2269"/>
      <c r="H307" s="2269"/>
      <c r="I307" s="2269"/>
      <c r="J307" s="2269"/>
      <c r="K307" s="2269"/>
      <c r="L307" s="2269"/>
      <c r="M307" s="2269"/>
      <c r="N307" s="2269"/>
      <c r="O307" s="2269"/>
      <c r="P307" s="2269"/>
      <c r="Q307" s="2269"/>
      <c r="R307" s="2269"/>
      <c r="S307" s="2269"/>
      <c r="T307" s="2269"/>
      <c r="U307" s="2269"/>
      <c r="V307" s="2269"/>
      <c r="W307" s="2269"/>
      <c r="X307" s="2269"/>
      <c r="Y307" s="2269"/>
      <c r="Z307" s="2269"/>
      <c r="AA307" s="2269"/>
      <c r="AB307" s="2269"/>
      <c r="AC307" s="2269"/>
      <c r="AD307" s="2269"/>
      <c r="AE307" s="2269"/>
      <c r="AF307" s="2269"/>
      <c r="AG307" s="2269"/>
      <c r="AH307" s="2269"/>
      <c r="AI307" s="2269"/>
      <c r="AJ307" s="2269"/>
      <c r="AK307" s="2269"/>
      <c r="AL307" s="2269"/>
      <c r="AM307" s="2269"/>
      <c r="AN307" s="2269"/>
      <c r="AO307" s="2269"/>
      <c r="AP307" s="2269"/>
      <c r="AQ307" s="2269"/>
      <c r="AR307" s="2269"/>
      <c r="AS307" s="2269"/>
      <c r="AT307" s="2269"/>
      <c r="AU307" s="2269"/>
      <c r="AV307" s="2269"/>
      <c r="AW307" s="2269"/>
      <c r="AX307" s="2269"/>
      <c r="AY307" s="2269"/>
      <c r="AZ307" s="2269"/>
      <c r="BA307" s="2269"/>
      <c r="BB307" s="2269"/>
      <c r="BC307" s="2269"/>
      <c r="BD307" s="2269"/>
      <c r="BE307" s="2269"/>
      <c r="BF307" s="2269"/>
      <c r="BG307" s="2269"/>
      <c r="BH307" s="2269"/>
      <c r="BI307" s="2269"/>
      <c r="BJ307" s="2269"/>
      <c r="BK307" s="2269"/>
      <c r="BL307" s="2269"/>
      <c r="BM307" s="2269"/>
      <c r="BN307" s="2269"/>
      <c r="BO307" s="2269"/>
      <c r="BP307" s="2269"/>
      <c r="BQ307" s="2269"/>
      <c r="BR307" s="2269"/>
      <c r="BS307" s="2269"/>
      <c r="BT307" s="2269"/>
      <c r="BU307" s="2269"/>
      <c r="BV307" s="2269"/>
      <c r="BW307" s="2269"/>
      <c r="BX307" s="2269"/>
      <c r="BY307" s="2269"/>
      <c r="BZ307" s="2269"/>
      <c r="CA307" s="2269"/>
    </row>
    <row r="308" spans="1:79">
      <c r="A308" s="2269"/>
      <c r="B308" s="2269"/>
      <c r="C308" s="2269"/>
      <c r="D308" s="2269"/>
      <c r="E308" s="2269"/>
      <c r="F308" s="2269"/>
      <c r="G308" s="2269"/>
      <c r="H308" s="2269"/>
      <c r="I308" s="2269"/>
      <c r="J308" s="2269"/>
      <c r="K308" s="2269"/>
      <c r="L308" s="2269"/>
      <c r="M308" s="2269"/>
      <c r="N308" s="2269"/>
      <c r="O308" s="2269"/>
      <c r="P308" s="2269"/>
      <c r="Q308" s="2269"/>
      <c r="R308" s="2269"/>
      <c r="S308" s="2269"/>
      <c r="T308" s="2269"/>
      <c r="U308" s="2269"/>
      <c r="V308" s="2269"/>
      <c r="W308" s="2269"/>
      <c r="X308" s="2269"/>
      <c r="Y308" s="2269"/>
      <c r="Z308" s="2269"/>
      <c r="AA308" s="2269"/>
      <c r="AB308" s="2269"/>
      <c r="AC308" s="2269"/>
      <c r="AD308" s="2269"/>
      <c r="AE308" s="2269"/>
      <c r="AF308" s="2269"/>
      <c r="AG308" s="2269"/>
      <c r="AH308" s="2269"/>
      <c r="AI308" s="2269"/>
      <c r="AJ308" s="2269"/>
      <c r="AK308" s="2269"/>
      <c r="AL308" s="2269"/>
      <c r="AM308" s="2269"/>
      <c r="AN308" s="2269"/>
      <c r="AO308" s="2269"/>
      <c r="AP308" s="2269"/>
      <c r="AQ308" s="2269"/>
      <c r="AR308" s="2269"/>
      <c r="AS308" s="2269"/>
      <c r="AT308" s="2269"/>
      <c r="AU308" s="2269"/>
      <c r="AV308" s="2269"/>
      <c r="AW308" s="2269"/>
      <c r="AX308" s="2269"/>
      <c r="AY308" s="2269"/>
      <c r="AZ308" s="2269"/>
      <c r="BA308" s="2269"/>
      <c r="BB308" s="2269"/>
      <c r="BC308" s="2269"/>
      <c r="BD308" s="2269"/>
      <c r="BE308" s="2269"/>
      <c r="BF308" s="2269"/>
      <c r="BG308" s="2269"/>
      <c r="BH308" s="2269"/>
      <c r="BI308" s="2269"/>
      <c r="BJ308" s="2269"/>
      <c r="BK308" s="2269"/>
      <c r="BL308" s="2269"/>
      <c r="BM308" s="2269"/>
      <c r="BN308" s="2269"/>
      <c r="BO308" s="2269"/>
      <c r="BP308" s="2269"/>
      <c r="BQ308" s="2269"/>
      <c r="BR308" s="2269"/>
      <c r="BS308" s="2269"/>
      <c r="BT308" s="2269"/>
      <c r="BU308" s="2269"/>
      <c r="BV308" s="2269"/>
      <c r="BW308" s="2269"/>
      <c r="BX308" s="2269"/>
      <c r="BY308" s="2269"/>
      <c r="BZ308" s="2269"/>
      <c r="CA308" s="2269"/>
    </row>
    <row r="309" spans="1:79">
      <c r="A309" s="2269"/>
      <c r="B309" s="2269"/>
      <c r="C309" s="2269"/>
      <c r="D309" s="2269"/>
      <c r="E309" s="2269"/>
      <c r="F309" s="2269"/>
      <c r="G309" s="2269"/>
      <c r="H309" s="2269"/>
      <c r="I309" s="2269"/>
      <c r="J309" s="2269"/>
      <c r="K309" s="2269"/>
      <c r="L309" s="2269"/>
      <c r="M309" s="2269"/>
      <c r="N309" s="2269"/>
      <c r="O309" s="2269"/>
      <c r="P309" s="2269"/>
      <c r="Q309" s="2269"/>
      <c r="R309" s="2269"/>
      <c r="S309" s="2269"/>
      <c r="T309" s="2269"/>
      <c r="U309" s="2269"/>
      <c r="V309" s="2269"/>
      <c r="W309" s="2269"/>
      <c r="X309" s="2269"/>
      <c r="Y309" s="2269"/>
      <c r="Z309" s="2269"/>
      <c r="AA309" s="2269"/>
      <c r="AB309" s="2269"/>
      <c r="AC309" s="2269"/>
      <c r="AD309" s="2269"/>
      <c r="AE309" s="2269"/>
      <c r="AF309" s="2269"/>
      <c r="AG309" s="2269"/>
      <c r="AH309" s="2269"/>
      <c r="AI309" s="2269"/>
      <c r="AJ309" s="2269"/>
      <c r="AK309" s="2269"/>
      <c r="AL309" s="2269"/>
      <c r="AM309" s="2269"/>
      <c r="AN309" s="2269"/>
      <c r="AO309" s="2269"/>
      <c r="AP309" s="2269"/>
      <c r="AQ309" s="2269"/>
      <c r="AR309" s="2269"/>
      <c r="AS309" s="2269"/>
      <c r="AT309" s="2269"/>
      <c r="AU309" s="2269"/>
      <c r="AV309" s="2269"/>
      <c r="AW309" s="2269"/>
      <c r="AX309" s="2269"/>
      <c r="AY309" s="2269"/>
      <c r="AZ309" s="2269"/>
      <c r="BA309" s="2269"/>
      <c r="BB309" s="2269"/>
      <c r="BC309" s="2269"/>
      <c r="BD309" s="2269"/>
      <c r="BE309" s="2269"/>
      <c r="BF309" s="2269"/>
      <c r="BG309" s="2269"/>
      <c r="BH309" s="2269"/>
      <c r="BI309" s="2269"/>
      <c r="BJ309" s="2269"/>
      <c r="BK309" s="2269"/>
      <c r="BL309" s="2269"/>
      <c r="BM309" s="2269"/>
      <c r="BN309" s="2269"/>
      <c r="BO309" s="2269"/>
      <c r="BP309" s="2269"/>
      <c r="BQ309" s="2269"/>
      <c r="BR309" s="2269"/>
      <c r="BS309" s="2269"/>
      <c r="BT309" s="2269"/>
      <c r="BU309" s="2269"/>
      <c r="BV309" s="2269"/>
      <c r="BW309" s="2269"/>
      <c r="BX309" s="2269"/>
      <c r="BY309" s="2269"/>
      <c r="BZ309" s="2269"/>
      <c r="CA309" s="2269"/>
    </row>
    <row r="310" spans="1:79">
      <c r="A310" s="2269"/>
      <c r="B310" s="2269"/>
      <c r="C310" s="2269"/>
      <c r="D310" s="2269"/>
      <c r="E310" s="2269"/>
      <c r="F310" s="2269"/>
      <c r="G310" s="2269"/>
      <c r="H310" s="2269"/>
      <c r="I310" s="2269"/>
      <c r="J310" s="2269"/>
      <c r="K310" s="2269"/>
      <c r="L310" s="2269"/>
      <c r="M310" s="2269"/>
      <c r="N310" s="2269"/>
      <c r="O310" s="2269"/>
      <c r="P310" s="2269"/>
      <c r="Q310" s="2269"/>
      <c r="R310" s="2269"/>
      <c r="S310" s="2269"/>
      <c r="T310" s="2269"/>
      <c r="U310" s="2269"/>
      <c r="V310" s="2269"/>
      <c r="W310" s="2269"/>
      <c r="X310" s="2269"/>
      <c r="Y310" s="2269"/>
      <c r="Z310" s="2269"/>
      <c r="AA310" s="2269"/>
      <c r="AB310" s="2269"/>
      <c r="AC310" s="2269"/>
      <c r="AD310" s="2269"/>
      <c r="AE310" s="2269"/>
      <c r="AF310" s="2269"/>
      <c r="AG310" s="2269"/>
      <c r="AH310" s="2269"/>
      <c r="AI310" s="2269"/>
      <c r="AJ310" s="2269"/>
      <c r="AK310" s="2269"/>
      <c r="AL310" s="2269"/>
      <c r="AM310" s="2269"/>
      <c r="AN310" s="2269"/>
      <c r="AO310" s="2269"/>
      <c r="AP310" s="2269"/>
      <c r="AQ310" s="2269"/>
      <c r="AR310" s="2269"/>
      <c r="AS310" s="2269"/>
      <c r="AT310" s="2269"/>
      <c r="AU310" s="2269"/>
      <c r="AV310" s="2269"/>
      <c r="AW310" s="2269"/>
      <c r="AX310" s="2269"/>
      <c r="AY310" s="2269"/>
      <c r="AZ310" s="2269"/>
      <c r="BA310" s="2269"/>
      <c r="BB310" s="2269"/>
      <c r="BC310" s="2269"/>
      <c r="BD310" s="2269"/>
      <c r="BE310" s="2269"/>
      <c r="BF310" s="2269"/>
      <c r="BG310" s="2269"/>
      <c r="BH310" s="2269"/>
      <c r="BI310" s="2269"/>
      <c r="BJ310" s="2269"/>
      <c r="BK310" s="2269"/>
      <c r="BL310" s="2269"/>
      <c r="BM310" s="2269"/>
      <c r="BN310" s="2269"/>
      <c r="BO310" s="2269"/>
      <c r="BP310" s="2269"/>
      <c r="BQ310" s="2269"/>
      <c r="BR310" s="2269"/>
      <c r="BS310" s="2269"/>
      <c r="BT310" s="2269"/>
      <c r="BU310" s="2269"/>
      <c r="BV310" s="2269"/>
      <c r="BW310" s="2269"/>
      <c r="BX310" s="2269"/>
      <c r="BY310" s="2269"/>
      <c r="BZ310" s="2269"/>
      <c r="CA310" s="2269"/>
    </row>
    <row r="311" spans="1:79">
      <c r="A311" s="2269"/>
      <c r="B311" s="2269"/>
      <c r="C311" s="2269"/>
      <c r="D311" s="2269"/>
      <c r="E311" s="2269"/>
      <c r="F311" s="2269"/>
      <c r="G311" s="2269"/>
      <c r="H311" s="2269"/>
      <c r="I311" s="2269"/>
      <c r="J311" s="2269"/>
      <c r="K311" s="2269"/>
      <c r="L311" s="2269"/>
      <c r="M311" s="2269"/>
      <c r="N311" s="2269"/>
      <c r="O311" s="2269"/>
      <c r="P311" s="2269"/>
      <c r="Q311" s="2269"/>
      <c r="R311" s="2269"/>
      <c r="S311" s="2269"/>
      <c r="T311" s="2269"/>
      <c r="U311" s="2269"/>
      <c r="V311" s="2269"/>
      <c r="W311" s="2269"/>
      <c r="X311" s="2269"/>
      <c r="Y311" s="2269"/>
      <c r="Z311" s="2269"/>
      <c r="AA311" s="2269"/>
      <c r="AB311" s="2269"/>
      <c r="AC311" s="2269"/>
      <c r="AD311" s="2269"/>
      <c r="AE311" s="2269"/>
      <c r="AF311" s="2269"/>
      <c r="AG311" s="2269"/>
      <c r="AH311" s="2269"/>
      <c r="AI311" s="2269"/>
      <c r="AJ311" s="2269"/>
      <c r="AK311" s="2269"/>
      <c r="AL311" s="2269"/>
      <c r="AM311" s="2269"/>
      <c r="AN311" s="2269"/>
      <c r="AO311" s="2269"/>
      <c r="AP311" s="2269"/>
      <c r="AQ311" s="2269"/>
      <c r="AR311" s="2269"/>
      <c r="AS311" s="2269"/>
      <c r="AT311" s="2269"/>
      <c r="AU311" s="2269"/>
      <c r="AV311" s="2269"/>
      <c r="AW311" s="2269"/>
      <c r="AX311" s="2269"/>
      <c r="AY311" s="2269"/>
      <c r="AZ311" s="2269"/>
      <c r="BA311" s="2269"/>
      <c r="BB311" s="2269"/>
      <c r="BC311" s="2269"/>
      <c r="BD311" s="2269"/>
      <c r="BE311" s="2269"/>
      <c r="BF311" s="2269"/>
      <c r="BG311" s="2269"/>
      <c r="BH311" s="2269"/>
      <c r="BI311" s="2269"/>
      <c r="BJ311" s="2269"/>
      <c r="BK311" s="2269"/>
      <c r="BL311" s="2269"/>
      <c r="BM311" s="2269"/>
      <c r="BN311" s="2269"/>
      <c r="BO311" s="2269"/>
      <c r="BP311" s="2269"/>
      <c r="BQ311" s="2269"/>
      <c r="BR311" s="2269"/>
      <c r="BS311" s="2269"/>
      <c r="BT311" s="2269"/>
      <c r="BU311" s="2269"/>
      <c r="BV311" s="2269"/>
      <c r="BW311" s="2269"/>
      <c r="BX311" s="2269"/>
      <c r="BY311" s="2269"/>
      <c r="BZ311" s="2269"/>
      <c r="CA311" s="2269"/>
    </row>
    <row r="312" spans="1:79">
      <c r="A312" s="2269"/>
      <c r="B312" s="2269"/>
      <c r="C312" s="2269"/>
      <c r="D312" s="2269"/>
      <c r="E312" s="2269"/>
      <c r="F312" s="2269"/>
      <c r="G312" s="2269"/>
      <c r="H312" s="2269"/>
      <c r="I312" s="2269"/>
      <c r="J312" s="2269"/>
      <c r="K312" s="2269"/>
      <c r="L312" s="2269"/>
      <c r="M312" s="2269"/>
      <c r="N312" s="2269"/>
      <c r="O312" s="2269"/>
      <c r="P312" s="2269"/>
      <c r="Q312" s="2269"/>
      <c r="R312" s="2269"/>
      <c r="S312" s="2269"/>
      <c r="T312" s="2269"/>
      <c r="U312" s="2269"/>
      <c r="V312" s="2269"/>
      <c r="W312" s="2269"/>
      <c r="X312" s="2269"/>
      <c r="Y312" s="2269"/>
      <c r="Z312" s="2269"/>
      <c r="AA312" s="2269"/>
      <c r="AB312" s="2269"/>
      <c r="AC312" s="2269"/>
      <c r="AD312" s="2269"/>
      <c r="AE312" s="2269"/>
      <c r="AF312" s="2269"/>
      <c r="AG312" s="2269"/>
      <c r="AH312" s="2269"/>
      <c r="AI312" s="2269"/>
      <c r="AJ312" s="2269"/>
      <c r="AK312" s="2269"/>
      <c r="AL312" s="2269"/>
      <c r="AM312" s="2269"/>
      <c r="AN312" s="2269"/>
      <c r="AO312" s="2269"/>
      <c r="AP312" s="2269"/>
      <c r="AQ312" s="2269"/>
      <c r="AR312" s="2269"/>
      <c r="AS312" s="2269"/>
      <c r="AT312" s="2269"/>
      <c r="AU312" s="2269"/>
      <c r="AV312" s="2269"/>
      <c r="AW312" s="2269"/>
      <c r="AX312" s="2269"/>
      <c r="AY312" s="2269"/>
      <c r="AZ312" s="2269"/>
      <c r="BA312" s="2269"/>
      <c r="BB312" s="2269"/>
      <c r="BC312" s="2269"/>
      <c r="BD312" s="2269"/>
      <c r="BE312" s="2269"/>
      <c r="BF312" s="2269"/>
      <c r="BG312" s="2269"/>
      <c r="BH312" s="2269"/>
      <c r="BI312" s="2269"/>
      <c r="BJ312" s="2269"/>
      <c r="BK312" s="2269"/>
      <c r="BL312" s="2269"/>
      <c r="BM312" s="2269"/>
      <c r="BN312" s="2269"/>
      <c r="BO312" s="2269"/>
      <c r="BP312" s="2269"/>
      <c r="BQ312" s="2269"/>
      <c r="BR312" s="2269"/>
      <c r="BS312" s="2269"/>
      <c r="BT312" s="2269"/>
      <c r="BU312" s="2269"/>
      <c r="BV312" s="2269"/>
      <c r="BW312" s="2269"/>
      <c r="BX312" s="2269"/>
      <c r="BY312" s="2269"/>
      <c r="BZ312" s="2269"/>
      <c r="CA312" s="2269"/>
    </row>
    <row r="313" spans="1:79">
      <c r="A313" s="2269"/>
      <c r="B313" s="2269"/>
      <c r="C313" s="2269"/>
      <c r="D313" s="2269"/>
      <c r="E313" s="2269"/>
      <c r="F313" s="2269"/>
      <c r="G313" s="2269"/>
      <c r="H313" s="2269"/>
      <c r="I313" s="2269"/>
      <c r="J313" s="2269"/>
      <c r="K313" s="2269"/>
      <c r="L313" s="2269"/>
      <c r="M313" s="2269"/>
      <c r="N313" s="2269"/>
      <c r="O313" s="2269"/>
      <c r="P313" s="2269"/>
      <c r="Q313" s="2269"/>
      <c r="R313" s="2269"/>
      <c r="S313" s="2269"/>
      <c r="T313" s="2269"/>
      <c r="U313" s="2269"/>
      <c r="V313" s="2269"/>
      <c r="W313" s="2269"/>
      <c r="X313" s="2269"/>
      <c r="Y313" s="2269"/>
      <c r="Z313" s="2269"/>
      <c r="AA313" s="2269"/>
      <c r="AB313" s="2269"/>
      <c r="AC313" s="2269"/>
      <c r="AD313" s="2269"/>
      <c r="AE313" s="2269"/>
      <c r="AF313" s="2269"/>
      <c r="AG313" s="2269"/>
      <c r="AH313" s="2269"/>
      <c r="AI313" s="2269"/>
      <c r="AJ313" s="2269"/>
      <c r="AK313" s="2269"/>
      <c r="AL313" s="2269"/>
      <c r="AM313" s="2269"/>
      <c r="AN313" s="2269"/>
      <c r="AO313" s="2269"/>
      <c r="AP313" s="2269"/>
      <c r="AQ313" s="2269"/>
      <c r="AR313" s="2269"/>
      <c r="AS313" s="2269"/>
      <c r="AT313" s="2269"/>
      <c r="AU313" s="2269"/>
      <c r="AV313" s="2269"/>
      <c r="AW313" s="2269"/>
      <c r="AX313" s="2269"/>
      <c r="AY313" s="2269"/>
      <c r="AZ313" s="2269"/>
      <c r="BA313" s="2269"/>
      <c r="BB313" s="2269"/>
      <c r="BC313" s="2269"/>
      <c r="BD313" s="2269"/>
      <c r="BE313" s="2269"/>
      <c r="BF313" s="2269"/>
      <c r="BG313" s="2269"/>
      <c r="BH313" s="2269"/>
      <c r="BI313" s="2269"/>
      <c r="BJ313" s="2269"/>
      <c r="BK313" s="2269"/>
      <c r="BL313" s="2269"/>
      <c r="BM313" s="2269"/>
      <c r="BN313" s="2269"/>
      <c r="BO313" s="2269"/>
      <c r="BP313" s="2269"/>
      <c r="BQ313" s="2269"/>
      <c r="BR313" s="2269"/>
      <c r="BS313" s="2269"/>
      <c r="BT313" s="2269"/>
      <c r="BU313" s="2269"/>
      <c r="BV313" s="2269"/>
      <c r="BW313" s="2269"/>
      <c r="BX313" s="2269"/>
      <c r="BY313" s="2269"/>
      <c r="BZ313" s="2269"/>
      <c r="CA313" s="2269"/>
    </row>
    <row r="314" spans="1:79">
      <c r="A314" s="2269"/>
      <c r="B314" s="2269"/>
      <c r="C314" s="2269"/>
      <c r="D314" s="2269"/>
      <c r="E314" s="2269"/>
      <c r="F314" s="2269"/>
      <c r="G314" s="2269"/>
      <c r="H314" s="2269"/>
      <c r="I314" s="2269"/>
      <c r="J314" s="2269"/>
      <c r="K314" s="2269"/>
      <c r="L314" s="2269"/>
      <c r="M314" s="2269"/>
      <c r="N314" s="2269"/>
      <c r="O314" s="2269"/>
      <c r="P314" s="2269"/>
      <c r="Q314" s="2269"/>
      <c r="R314" s="2269"/>
      <c r="S314" s="2269"/>
      <c r="T314" s="2269"/>
      <c r="U314" s="2269"/>
      <c r="V314" s="2269"/>
      <c r="W314" s="2269"/>
      <c r="X314" s="2269"/>
      <c r="Y314" s="2269"/>
      <c r="Z314" s="2269"/>
      <c r="AA314" s="2269"/>
      <c r="AB314" s="2269"/>
      <c r="AC314" s="2269"/>
      <c r="AD314" s="2269"/>
      <c r="AE314" s="2269"/>
      <c r="AF314" s="2269"/>
      <c r="AG314" s="2269"/>
      <c r="AH314" s="2269"/>
      <c r="AI314" s="2269"/>
      <c r="AJ314" s="2269"/>
      <c r="AK314" s="2269"/>
      <c r="AL314" s="2269"/>
      <c r="AM314" s="2269"/>
      <c r="AN314" s="2269"/>
      <c r="AO314" s="2269"/>
      <c r="AP314" s="2269"/>
      <c r="AQ314" s="2269"/>
      <c r="AR314" s="2269"/>
      <c r="AS314" s="2269"/>
      <c r="AT314" s="2269"/>
      <c r="AU314" s="2269"/>
      <c r="AV314" s="2269"/>
      <c r="AW314" s="2269"/>
      <c r="AX314" s="2269"/>
      <c r="AY314" s="2269"/>
      <c r="AZ314" s="2269"/>
      <c r="BA314" s="2269"/>
      <c r="BB314" s="2269"/>
      <c r="BC314" s="2269"/>
      <c r="BD314" s="2269"/>
      <c r="BE314" s="2269"/>
      <c r="BF314" s="2269"/>
      <c r="BG314" s="2269"/>
      <c r="BH314" s="2269"/>
      <c r="BI314" s="2269"/>
      <c r="BJ314" s="2269"/>
      <c r="BK314" s="2269"/>
      <c r="BL314" s="2269"/>
      <c r="BM314" s="2269"/>
      <c r="BN314" s="2269"/>
      <c r="BO314" s="2269"/>
      <c r="BP314" s="2269"/>
      <c r="BQ314" s="2269"/>
      <c r="BR314" s="2269"/>
      <c r="BS314" s="2269"/>
      <c r="BT314" s="2269"/>
      <c r="BU314" s="2269"/>
      <c r="BV314" s="2269"/>
      <c r="BW314" s="2269"/>
      <c r="BX314" s="2269"/>
      <c r="BY314" s="2269"/>
      <c r="BZ314" s="2269"/>
      <c r="CA314" s="2269"/>
    </row>
    <row r="315" spans="1:79">
      <c r="A315" s="2269"/>
      <c r="B315" s="2269"/>
      <c r="C315" s="2269"/>
      <c r="D315" s="2269"/>
      <c r="E315" s="2269"/>
      <c r="F315" s="2269"/>
      <c r="G315" s="2269"/>
      <c r="H315" s="2269"/>
      <c r="I315" s="2269"/>
      <c r="J315" s="2269"/>
      <c r="K315" s="2269"/>
      <c r="L315" s="2269"/>
      <c r="M315" s="2269"/>
      <c r="N315" s="2269"/>
      <c r="O315" s="2269"/>
      <c r="P315" s="2269"/>
      <c r="Q315" s="2269"/>
      <c r="R315" s="2269"/>
      <c r="S315" s="2269"/>
      <c r="T315" s="2269"/>
      <c r="U315" s="2269"/>
      <c r="V315" s="2269"/>
      <c r="W315" s="2269"/>
      <c r="X315" s="2269"/>
      <c r="Y315" s="2269"/>
      <c r="Z315" s="2269"/>
      <c r="AA315" s="2269"/>
      <c r="AB315" s="2269"/>
      <c r="AC315" s="2269"/>
      <c r="AD315" s="2269"/>
      <c r="AE315" s="2269"/>
      <c r="AF315" s="2269"/>
      <c r="AG315" s="2269"/>
      <c r="AH315" s="2269"/>
      <c r="AI315" s="2269"/>
      <c r="AJ315" s="2269"/>
      <c r="AK315" s="2269"/>
      <c r="AL315" s="2269"/>
      <c r="AM315" s="2269"/>
      <c r="AN315" s="2269"/>
      <c r="AO315" s="2269"/>
      <c r="AP315" s="2269"/>
      <c r="AQ315" s="2269"/>
      <c r="AR315" s="2269"/>
      <c r="AS315" s="2269"/>
      <c r="AT315" s="2269"/>
      <c r="AU315" s="2269"/>
      <c r="AV315" s="2269"/>
      <c r="AW315" s="2269"/>
      <c r="AX315" s="2269"/>
      <c r="AY315" s="2269"/>
      <c r="AZ315" s="2269"/>
      <c r="BA315" s="2269"/>
      <c r="BB315" s="2269"/>
      <c r="BC315" s="2269"/>
      <c r="BD315" s="2269"/>
      <c r="BE315" s="2269"/>
      <c r="BF315" s="2269"/>
      <c r="BG315" s="2269"/>
      <c r="BH315" s="2269"/>
      <c r="BI315" s="2269"/>
      <c r="BJ315" s="2269"/>
      <c r="BK315" s="2269"/>
      <c r="BL315" s="2269"/>
      <c r="BM315" s="2269"/>
      <c r="BN315" s="2269"/>
      <c r="BO315" s="2269"/>
      <c r="BP315" s="2269"/>
      <c r="BQ315" s="2269"/>
      <c r="BR315" s="2269"/>
      <c r="BS315" s="2269"/>
      <c r="BT315" s="2269"/>
      <c r="BU315" s="2269"/>
      <c r="BV315" s="2269"/>
      <c r="BW315" s="2269"/>
      <c r="BX315" s="2269"/>
      <c r="BY315" s="2269"/>
      <c r="BZ315" s="2269"/>
      <c r="CA315" s="2269"/>
    </row>
    <row r="316" spans="1:79">
      <c r="A316" s="2269"/>
      <c r="B316" s="2269"/>
      <c r="C316" s="2269"/>
      <c r="D316" s="2269"/>
      <c r="E316" s="2269"/>
      <c r="F316" s="2269"/>
      <c r="G316" s="2269"/>
      <c r="H316" s="2269"/>
      <c r="I316" s="2269"/>
      <c r="J316" s="2269"/>
      <c r="K316" s="2269"/>
      <c r="L316" s="2269"/>
      <c r="M316" s="2269"/>
      <c r="N316" s="2269"/>
      <c r="O316" s="2269"/>
      <c r="P316" s="2269"/>
      <c r="Q316" s="2269"/>
      <c r="R316" s="2269"/>
      <c r="S316" s="2269"/>
      <c r="T316" s="2269"/>
      <c r="U316" s="2269"/>
      <c r="V316" s="2269"/>
      <c r="W316" s="2269"/>
      <c r="X316" s="2269"/>
      <c r="Y316" s="2269"/>
      <c r="Z316" s="2269"/>
      <c r="AA316" s="2269"/>
      <c r="AB316" s="2269"/>
      <c r="AC316" s="2269"/>
      <c r="AD316" s="2269"/>
      <c r="AE316" s="2269"/>
      <c r="AF316" s="2269"/>
      <c r="AG316" s="2269"/>
      <c r="AH316" s="2269"/>
      <c r="AI316" s="2269"/>
      <c r="AJ316" s="2269"/>
      <c r="AK316" s="2269"/>
      <c r="AL316" s="2269"/>
      <c r="AM316" s="2269"/>
      <c r="AN316" s="2269"/>
      <c r="AO316" s="2269"/>
      <c r="AP316" s="2269"/>
      <c r="AQ316" s="2269"/>
      <c r="AR316" s="2269"/>
      <c r="AS316" s="2269"/>
      <c r="AT316" s="2269"/>
      <c r="AU316" s="2269"/>
      <c r="AV316" s="2269"/>
      <c r="AW316" s="2269"/>
      <c r="AX316" s="2269"/>
      <c r="AY316" s="2269"/>
      <c r="AZ316" s="2269"/>
      <c r="BA316" s="2269"/>
      <c r="BB316" s="2269"/>
      <c r="BC316" s="2269"/>
      <c r="BD316" s="2269"/>
      <c r="BE316" s="2269"/>
      <c r="BF316" s="2269"/>
      <c r="BG316" s="2269"/>
      <c r="BH316" s="2269"/>
      <c r="BI316" s="2269"/>
      <c r="BJ316" s="2269"/>
      <c r="BK316" s="2269"/>
      <c r="BL316" s="2269"/>
      <c r="BM316" s="2269"/>
      <c r="BN316" s="2269"/>
      <c r="BO316" s="2269"/>
      <c r="BP316" s="2269"/>
      <c r="BQ316" s="2269"/>
      <c r="BR316" s="2269"/>
      <c r="BS316" s="2269"/>
      <c r="BT316" s="2269"/>
      <c r="BU316" s="2269"/>
      <c r="BV316" s="2269"/>
      <c r="BW316" s="2269"/>
      <c r="BX316" s="2269"/>
      <c r="BY316" s="2269"/>
      <c r="BZ316" s="2269"/>
      <c r="CA316" s="2269"/>
    </row>
    <row r="317" spans="1:79">
      <c r="A317" s="2269"/>
      <c r="B317" s="2269"/>
      <c r="C317" s="2269"/>
      <c r="D317" s="2269"/>
      <c r="E317" s="2269"/>
      <c r="F317" s="2269"/>
      <c r="G317" s="2269"/>
      <c r="H317" s="2269"/>
      <c r="I317" s="2269"/>
      <c r="J317" s="2269"/>
      <c r="K317" s="2269"/>
      <c r="L317" s="2269"/>
      <c r="M317" s="2269"/>
      <c r="N317" s="2269"/>
      <c r="O317" s="2269"/>
      <c r="P317" s="2269"/>
      <c r="Q317" s="2269"/>
      <c r="R317" s="2269"/>
      <c r="S317" s="2269"/>
      <c r="T317" s="2269"/>
      <c r="U317" s="2269"/>
      <c r="V317" s="2269"/>
      <c r="W317" s="2269"/>
      <c r="X317" s="2269"/>
      <c r="Y317" s="2269"/>
      <c r="Z317" s="2269"/>
      <c r="AA317" s="2269"/>
      <c r="AB317" s="2269"/>
      <c r="AC317" s="2269"/>
      <c r="AD317" s="2269"/>
      <c r="AE317" s="2269"/>
      <c r="AF317" s="2269"/>
      <c r="AG317" s="2269"/>
      <c r="AH317" s="2269"/>
      <c r="AI317" s="2269"/>
      <c r="AJ317" s="2269"/>
      <c r="AK317" s="2269"/>
      <c r="AL317" s="2269"/>
      <c r="AM317" s="2269"/>
      <c r="AN317" s="2269"/>
      <c r="AO317" s="2269"/>
      <c r="AP317" s="2269"/>
      <c r="AQ317" s="2269"/>
      <c r="AR317" s="2269"/>
      <c r="AS317" s="2269"/>
      <c r="AT317" s="2269"/>
      <c r="AU317" s="2269"/>
      <c r="AV317" s="2269"/>
      <c r="AW317" s="2269"/>
      <c r="AX317" s="2269"/>
      <c r="AY317" s="2269"/>
      <c r="AZ317" s="2269"/>
      <c r="BA317" s="2269"/>
      <c r="BB317" s="2269"/>
      <c r="BC317" s="2269"/>
      <c r="BD317" s="2269"/>
      <c r="BE317" s="2269"/>
      <c r="BF317" s="2269"/>
      <c r="BG317" s="2269"/>
      <c r="BH317" s="2269"/>
      <c r="BI317" s="2269"/>
      <c r="BJ317" s="2269"/>
      <c r="BK317" s="2269"/>
      <c r="BL317" s="2269"/>
      <c r="BM317" s="2269"/>
      <c r="BN317" s="2269"/>
      <c r="BO317" s="2269"/>
      <c r="BP317" s="2269"/>
      <c r="BQ317" s="2269"/>
      <c r="BR317" s="2269"/>
      <c r="BS317" s="2269"/>
      <c r="BT317" s="2269"/>
      <c r="BU317" s="2269"/>
      <c r="BV317" s="2269"/>
      <c r="BW317" s="2269"/>
      <c r="BX317" s="2269"/>
      <c r="BY317" s="2269"/>
      <c r="BZ317" s="2269"/>
      <c r="CA317" s="2269"/>
    </row>
    <row r="318" spans="1:79">
      <c r="A318" s="2269"/>
      <c r="B318" s="2269"/>
      <c r="C318" s="2269"/>
      <c r="D318" s="2269"/>
      <c r="E318" s="2269"/>
      <c r="F318" s="2269"/>
      <c r="G318" s="2269"/>
      <c r="H318" s="2269"/>
      <c r="I318" s="2269"/>
      <c r="J318" s="2269"/>
      <c r="K318" s="2269"/>
      <c r="L318" s="2269"/>
      <c r="M318" s="2269"/>
      <c r="N318" s="2269"/>
      <c r="O318" s="2269"/>
      <c r="P318" s="2269"/>
      <c r="Q318" s="2269"/>
      <c r="R318" s="2269"/>
      <c r="S318" s="2269"/>
      <c r="T318" s="2269"/>
      <c r="U318" s="2269"/>
      <c r="V318" s="2269"/>
      <c r="W318" s="2269"/>
      <c r="X318" s="2269"/>
      <c r="Y318" s="2269"/>
      <c r="Z318" s="2269"/>
      <c r="AA318" s="2269"/>
      <c r="AB318" s="2269"/>
      <c r="AC318" s="2269"/>
      <c r="AD318" s="2269"/>
      <c r="AE318" s="2269"/>
      <c r="AF318" s="2269"/>
      <c r="AG318" s="2269"/>
      <c r="AH318" s="2269"/>
      <c r="AI318" s="2269"/>
      <c r="AJ318" s="2269"/>
      <c r="AK318" s="2269"/>
      <c r="AL318" s="2269"/>
      <c r="AM318" s="2269"/>
      <c r="AN318" s="2269"/>
      <c r="AO318" s="2269"/>
      <c r="AP318" s="2269"/>
      <c r="AQ318" s="2269"/>
      <c r="AR318" s="2269"/>
      <c r="AS318" s="2269"/>
      <c r="AT318" s="2269"/>
      <c r="AU318" s="2269"/>
      <c r="AV318" s="2269"/>
      <c r="AW318" s="2269"/>
      <c r="AX318" s="2269"/>
      <c r="AY318" s="2269"/>
      <c r="AZ318" s="2269"/>
      <c r="BA318" s="2269"/>
      <c r="BB318" s="2269"/>
      <c r="BC318" s="2269"/>
      <c r="BD318" s="2269"/>
      <c r="BE318" s="2269"/>
      <c r="BF318" s="2269"/>
      <c r="BG318" s="2269"/>
      <c r="BH318" s="2269"/>
      <c r="BI318" s="2269"/>
      <c r="BJ318" s="2269"/>
      <c r="BK318" s="2269"/>
      <c r="BL318" s="2269"/>
      <c r="BM318" s="2269"/>
      <c r="BN318" s="2269"/>
      <c r="BO318" s="2269"/>
      <c r="BP318" s="2269"/>
      <c r="BQ318" s="2269"/>
      <c r="BR318" s="2269"/>
      <c r="BS318" s="2269"/>
      <c r="BT318" s="2269"/>
      <c r="BU318" s="2269"/>
      <c r="BV318" s="2269"/>
      <c r="BW318" s="2269"/>
      <c r="BX318" s="2269"/>
      <c r="BY318" s="2269"/>
      <c r="BZ318" s="2269"/>
      <c r="CA318" s="2269"/>
    </row>
    <row r="319" spans="1:79">
      <c r="A319" s="2269"/>
      <c r="B319" s="2269"/>
      <c r="C319" s="2269"/>
      <c r="D319" s="2269"/>
      <c r="E319" s="2269"/>
      <c r="F319" s="2269"/>
      <c r="G319" s="2269"/>
      <c r="H319" s="2269"/>
      <c r="I319" s="2269"/>
      <c r="J319" s="2269"/>
      <c r="K319" s="2269"/>
      <c r="L319" s="2269"/>
      <c r="M319" s="2269"/>
      <c r="N319" s="2269"/>
      <c r="O319" s="2269"/>
      <c r="P319" s="2269"/>
      <c r="Q319" s="2269"/>
      <c r="R319" s="2269"/>
      <c r="S319" s="2269"/>
      <c r="T319" s="2269"/>
      <c r="U319" s="2269"/>
      <c r="V319" s="2269"/>
      <c r="W319" s="2269"/>
      <c r="X319" s="2269"/>
      <c r="Y319" s="2269"/>
      <c r="Z319" s="2269"/>
      <c r="AA319" s="2269"/>
      <c r="AB319" s="2269"/>
      <c r="AC319" s="2269"/>
      <c r="AD319" s="2269"/>
      <c r="AE319" s="2269"/>
      <c r="AF319" s="2269"/>
      <c r="AG319" s="2269"/>
      <c r="AH319" s="2269"/>
      <c r="AI319" s="2269"/>
      <c r="AJ319" s="2269"/>
      <c r="AK319" s="2269"/>
      <c r="AL319" s="2269"/>
      <c r="AM319" s="2269"/>
      <c r="AN319" s="2269"/>
      <c r="AO319" s="2269"/>
      <c r="AP319" s="2269"/>
      <c r="AQ319" s="2269"/>
      <c r="AR319" s="2269"/>
      <c r="AS319" s="2269"/>
      <c r="AT319" s="2269"/>
      <c r="AU319" s="2269"/>
      <c r="AV319" s="2269"/>
      <c r="AW319" s="2269"/>
      <c r="AX319" s="2269"/>
      <c r="AY319" s="2269"/>
      <c r="AZ319" s="2269"/>
      <c r="BA319" s="2269"/>
      <c r="BB319" s="2269"/>
      <c r="BC319" s="2269"/>
      <c r="BD319" s="2269"/>
      <c r="BE319" s="2269"/>
      <c r="BF319" s="2269"/>
      <c r="BG319" s="2269"/>
      <c r="BH319" s="2269"/>
      <c r="BI319" s="2269"/>
      <c r="BJ319" s="2269"/>
      <c r="BK319" s="2269"/>
      <c r="BL319" s="2269"/>
      <c r="BM319" s="2269"/>
      <c r="BN319" s="2269"/>
      <c r="BO319" s="2269"/>
      <c r="BP319" s="2269"/>
      <c r="BQ319" s="2269"/>
      <c r="BR319" s="2269"/>
      <c r="BS319" s="2269"/>
      <c r="BT319" s="2269"/>
      <c r="BU319" s="2269"/>
      <c r="BV319" s="2269"/>
      <c r="BW319" s="2269"/>
      <c r="BX319" s="2269"/>
      <c r="BY319" s="2269"/>
      <c r="BZ319" s="2269"/>
      <c r="CA319" s="2269"/>
    </row>
    <row r="320" spans="1:79">
      <c r="A320" s="2269"/>
      <c r="B320" s="2269"/>
      <c r="C320" s="2269"/>
      <c r="D320" s="2269"/>
      <c r="E320" s="2269"/>
      <c r="F320" s="2269"/>
      <c r="G320" s="2269"/>
      <c r="H320" s="2269"/>
      <c r="I320" s="2269"/>
      <c r="J320" s="2269"/>
      <c r="K320" s="2269"/>
      <c r="L320" s="2269"/>
      <c r="M320" s="2269"/>
      <c r="N320" s="2269"/>
      <c r="O320" s="2269"/>
      <c r="P320" s="2269"/>
      <c r="Q320" s="2269"/>
      <c r="R320" s="2269"/>
      <c r="S320" s="2269"/>
      <c r="T320" s="2269"/>
      <c r="U320" s="2269"/>
      <c r="V320" s="2269"/>
      <c r="W320" s="2269"/>
      <c r="X320" s="2269"/>
      <c r="Y320" s="2269"/>
      <c r="Z320" s="2269"/>
      <c r="AA320" s="2269"/>
      <c r="AB320" s="2269"/>
      <c r="AC320" s="2269"/>
      <c r="AD320" s="2269"/>
      <c r="AE320" s="2269"/>
      <c r="AF320" s="2269"/>
      <c r="AG320" s="2269"/>
      <c r="AH320" s="2269"/>
      <c r="AI320" s="2269"/>
      <c r="AJ320" s="2269"/>
      <c r="AK320" s="2269"/>
      <c r="AL320" s="2269"/>
      <c r="AM320" s="2269"/>
      <c r="AN320" s="2269"/>
      <c r="AO320" s="2269"/>
      <c r="AP320" s="2269"/>
      <c r="AQ320" s="2269"/>
      <c r="AR320" s="2269"/>
      <c r="AS320" s="2269"/>
      <c r="AT320" s="2269"/>
      <c r="AU320" s="2269"/>
      <c r="AV320" s="2269"/>
      <c r="AW320" s="2269"/>
      <c r="AX320" s="2269"/>
      <c r="AY320" s="2269"/>
      <c r="AZ320" s="2269"/>
      <c r="BA320" s="2269"/>
      <c r="BB320" s="2269"/>
      <c r="BC320" s="2269"/>
      <c r="BD320" s="2269"/>
      <c r="BE320" s="2269"/>
      <c r="BF320" s="2269"/>
      <c r="BG320" s="2269"/>
      <c r="BH320" s="2269"/>
      <c r="BI320" s="2269"/>
      <c r="BJ320" s="2269"/>
      <c r="BK320" s="2269"/>
      <c r="BL320" s="2269"/>
      <c r="BM320" s="2269"/>
      <c r="BN320" s="2269"/>
      <c r="BO320" s="2269"/>
      <c r="BP320" s="2269"/>
      <c r="BQ320" s="2269"/>
      <c r="BR320" s="2269"/>
      <c r="BS320" s="2269"/>
      <c r="BT320" s="2269"/>
      <c r="BU320" s="2269"/>
      <c r="BV320" s="2269"/>
      <c r="BW320" s="2269"/>
      <c r="BX320" s="2269"/>
      <c r="BY320" s="2269"/>
      <c r="BZ320" s="2269"/>
      <c r="CA320" s="2269"/>
    </row>
    <row r="321" spans="1:79">
      <c r="A321" s="2269"/>
      <c r="B321" s="2269"/>
      <c r="C321" s="2269"/>
      <c r="D321" s="2269"/>
      <c r="E321" s="2269"/>
      <c r="F321" s="2269"/>
      <c r="G321" s="2269"/>
      <c r="H321" s="2269"/>
      <c r="I321" s="2269"/>
      <c r="J321" s="2269"/>
      <c r="K321" s="2269"/>
      <c r="L321" s="2269"/>
      <c r="M321" s="2269"/>
      <c r="N321" s="2269"/>
      <c r="O321" s="2269"/>
      <c r="P321" s="2269"/>
      <c r="Q321" s="2269"/>
      <c r="R321" s="2269"/>
      <c r="S321" s="2269"/>
      <c r="T321" s="2269"/>
      <c r="U321" s="2269"/>
      <c r="V321" s="2269"/>
      <c r="W321" s="2269"/>
      <c r="X321" s="2269"/>
      <c r="Y321" s="2269"/>
      <c r="Z321" s="2269"/>
      <c r="AA321" s="2269"/>
      <c r="AB321" s="2269"/>
      <c r="AC321" s="2269"/>
      <c r="AD321" s="2269"/>
      <c r="AE321" s="2269"/>
      <c r="AF321" s="2269"/>
      <c r="AG321" s="2269"/>
      <c r="AH321" s="2269"/>
      <c r="AI321" s="2269"/>
      <c r="AJ321" s="2269"/>
      <c r="AK321" s="2269"/>
      <c r="AL321" s="2269"/>
      <c r="AM321" s="2269"/>
      <c r="AN321" s="2269"/>
      <c r="AO321" s="2269"/>
      <c r="AP321" s="2269"/>
      <c r="AQ321" s="2269"/>
      <c r="AR321" s="2269"/>
      <c r="AS321" s="2269"/>
      <c r="AT321" s="2269"/>
      <c r="AU321" s="2269"/>
      <c r="AV321" s="2269"/>
      <c r="AW321" s="2269"/>
      <c r="AX321" s="2269"/>
      <c r="AY321" s="2269"/>
      <c r="AZ321" s="2269"/>
      <c r="BA321" s="2269"/>
      <c r="BB321" s="2269"/>
      <c r="BC321" s="2269"/>
      <c r="BD321" s="2269"/>
      <c r="BE321" s="2269"/>
      <c r="BF321" s="2269"/>
      <c r="BG321" s="2269"/>
      <c r="BH321" s="2269"/>
      <c r="BI321" s="2269"/>
      <c r="BJ321" s="2269"/>
      <c r="BK321" s="2269"/>
      <c r="BL321" s="2269"/>
      <c r="BM321" s="2269"/>
      <c r="BN321" s="2269"/>
      <c r="BO321" s="2269"/>
      <c r="BP321" s="2269"/>
      <c r="BQ321" s="2269"/>
      <c r="BR321" s="2269"/>
      <c r="BS321" s="2269"/>
      <c r="BT321" s="2269"/>
      <c r="BU321" s="2269"/>
      <c r="BV321" s="2269"/>
      <c r="BW321" s="2269"/>
      <c r="BX321" s="2269"/>
      <c r="BY321" s="2269"/>
      <c r="BZ321" s="2269"/>
      <c r="CA321" s="2269"/>
    </row>
    <row r="322" spans="1:79">
      <c r="A322" s="2269"/>
      <c r="B322" s="2269"/>
      <c r="C322" s="2269"/>
      <c r="D322" s="2269"/>
      <c r="E322" s="2269"/>
      <c r="F322" s="2269"/>
      <c r="G322" s="2269"/>
      <c r="H322" s="2269"/>
      <c r="I322" s="2269"/>
      <c r="J322" s="2269"/>
      <c r="K322" s="2269"/>
      <c r="L322" s="2269"/>
      <c r="M322" s="2269"/>
      <c r="N322" s="2269"/>
      <c r="O322" s="2269"/>
      <c r="P322" s="2269"/>
      <c r="Q322" s="2269"/>
      <c r="R322" s="2269"/>
      <c r="S322" s="2269"/>
      <c r="T322" s="2269"/>
      <c r="U322" s="2269"/>
      <c r="V322" s="2269"/>
      <c r="W322" s="2269"/>
      <c r="X322" s="2269"/>
      <c r="Y322" s="2269"/>
      <c r="Z322" s="2269"/>
      <c r="AA322" s="2269"/>
      <c r="AB322" s="2269"/>
      <c r="AC322" s="2269"/>
      <c r="AD322" s="2269"/>
      <c r="AE322" s="2269"/>
      <c r="AF322" s="2269"/>
      <c r="AG322" s="2269"/>
      <c r="AH322" s="2269"/>
      <c r="AI322" s="2269"/>
      <c r="AJ322" s="2269"/>
      <c r="AK322" s="2269"/>
      <c r="AL322" s="2269"/>
      <c r="AM322" s="2269"/>
      <c r="AN322" s="2269"/>
      <c r="AO322" s="2269"/>
      <c r="AP322" s="2269"/>
      <c r="AQ322" s="2269"/>
      <c r="AR322" s="2269"/>
      <c r="AS322" s="2269"/>
      <c r="AT322" s="2269"/>
      <c r="AU322" s="2269"/>
      <c r="AV322" s="2269"/>
      <c r="AW322" s="2269"/>
      <c r="AX322" s="2269"/>
      <c r="AY322" s="2269"/>
      <c r="AZ322" s="2269"/>
      <c r="BA322" s="2269"/>
      <c r="BB322" s="2269"/>
      <c r="BC322" s="2269"/>
      <c r="BD322" s="2269"/>
      <c r="BE322" s="2269"/>
      <c r="BF322" s="2269"/>
      <c r="BG322" s="2269"/>
      <c r="BH322" s="2269"/>
      <c r="BI322" s="2269"/>
      <c r="BJ322" s="2269"/>
      <c r="BK322" s="2269"/>
      <c r="BL322" s="2269"/>
      <c r="BM322" s="2269"/>
      <c r="BN322" s="2269"/>
      <c r="BO322" s="2269"/>
      <c r="BP322" s="2269"/>
      <c r="BQ322" s="2269"/>
      <c r="BR322" s="2269"/>
      <c r="BS322" s="2269"/>
      <c r="BT322" s="2269"/>
      <c r="BU322" s="2269"/>
      <c r="BV322" s="2269"/>
      <c r="BW322" s="2269"/>
      <c r="BX322" s="2269"/>
      <c r="BY322" s="2269"/>
      <c r="BZ322" s="2269"/>
      <c r="CA322" s="2269"/>
    </row>
    <row r="323" spans="1:79">
      <c r="A323" s="2269"/>
      <c r="B323" s="2269"/>
      <c r="C323" s="2269"/>
      <c r="D323" s="2269"/>
      <c r="E323" s="2269"/>
      <c r="F323" s="2269"/>
      <c r="G323" s="2269"/>
      <c r="H323" s="2269"/>
      <c r="I323" s="2269"/>
      <c r="J323" s="2269"/>
      <c r="K323" s="2269"/>
      <c r="L323" s="2269"/>
      <c r="M323" s="2269"/>
      <c r="N323" s="2269"/>
      <c r="O323" s="2269"/>
      <c r="P323" s="2269"/>
      <c r="Q323" s="2269"/>
      <c r="R323" s="2269"/>
      <c r="S323" s="2269"/>
      <c r="T323" s="2269"/>
      <c r="U323" s="2269"/>
      <c r="V323" s="2269"/>
      <c r="W323" s="2269"/>
      <c r="X323" s="2269"/>
      <c r="Y323" s="2269"/>
      <c r="Z323" s="2269"/>
      <c r="AA323" s="2269"/>
      <c r="AB323" s="2269"/>
      <c r="AC323" s="2269"/>
      <c r="AD323" s="2269"/>
      <c r="AE323" s="2269"/>
      <c r="AF323" s="2269"/>
      <c r="AG323" s="2269"/>
      <c r="AH323" s="2269"/>
      <c r="AI323" s="2269"/>
      <c r="AJ323" s="2269"/>
      <c r="AK323" s="2269"/>
      <c r="AL323" s="2269"/>
      <c r="AM323" s="2269"/>
      <c r="AN323" s="2269"/>
      <c r="AO323" s="2269"/>
      <c r="AP323" s="2269"/>
      <c r="AQ323" s="2269"/>
      <c r="AR323" s="2269"/>
      <c r="AS323" s="2269"/>
      <c r="AT323" s="2269"/>
      <c r="AU323" s="2269"/>
      <c r="AV323" s="2269"/>
      <c r="AW323" s="2269"/>
      <c r="AX323" s="2269"/>
      <c r="AY323" s="2269"/>
      <c r="AZ323" s="2269"/>
      <c r="BA323" s="2269"/>
      <c r="BB323" s="2269"/>
      <c r="BC323" s="2269"/>
      <c r="BD323" s="2269"/>
      <c r="BE323" s="2269"/>
      <c r="BF323" s="2269"/>
      <c r="BG323" s="2269"/>
      <c r="BH323" s="2269"/>
      <c r="BI323" s="2269"/>
      <c r="BJ323" s="2269"/>
      <c r="BK323" s="2269"/>
      <c r="BL323" s="2269"/>
      <c r="BM323" s="2269"/>
      <c r="BN323" s="2269"/>
      <c r="BO323" s="2269"/>
      <c r="BP323" s="2269"/>
      <c r="BQ323" s="2269"/>
      <c r="BR323" s="2269"/>
      <c r="BS323" s="2269"/>
      <c r="BT323" s="2269"/>
      <c r="BU323" s="2269"/>
      <c r="BV323" s="2269"/>
      <c r="BW323" s="2269"/>
      <c r="BX323" s="2269"/>
      <c r="BY323" s="2269"/>
      <c r="BZ323" s="2269"/>
      <c r="CA323" s="2269"/>
    </row>
    <row r="324" spans="1:79">
      <c r="A324" s="2269"/>
      <c r="B324" s="2269"/>
      <c r="C324" s="2269"/>
      <c r="D324" s="2269"/>
      <c r="E324" s="2269"/>
      <c r="F324" s="2269"/>
      <c r="G324" s="2269"/>
      <c r="H324" s="2269"/>
      <c r="I324" s="2269"/>
      <c r="J324" s="2269"/>
      <c r="K324" s="2269"/>
      <c r="L324" s="2269"/>
      <c r="M324" s="2269"/>
      <c r="N324" s="2269"/>
      <c r="O324" s="2269"/>
      <c r="P324" s="2269"/>
      <c r="Q324" s="2269"/>
      <c r="R324" s="2269"/>
      <c r="S324" s="2269"/>
      <c r="T324" s="2269"/>
      <c r="U324" s="2269"/>
      <c r="V324" s="2269"/>
      <c r="W324" s="2269"/>
      <c r="X324" s="2269"/>
      <c r="Y324" s="2269"/>
      <c r="Z324" s="2269"/>
      <c r="AA324" s="2269"/>
      <c r="AB324" s="2269"/>
      <c r="AC324" s="2269"/>
      <c r="AD324" s="2269"/>
      <c r="AE324" s="2269"/>
      <c r="AF324" s="2269"/>
      <c r="AG324" s="2269"/>
      <c r="AH324" s="2269"/>
      <c r="AI324" s="2269"/>
      <c r="AJ324" s="2269"/>
      <c r="AK324" s="2269"/>
      <c r="AL324" s="2269"/>
      <c r="AM324" s="2269"/>
      <c r="AN324" s="2269"/>
      <c r="AO324" s="2269"/>
      <c r="AP324" s="2269"/>
      <c r="AQ324" s="2269"/>
      <c r="AR324" s="2269"/>
      <c r="AS324" s="2269"/>
      <c r="AT324" s="2269"/>
      <c r="AU324" s="2269"/>
      <c r="AV324" s="2269"/>
      <c r="AW324" s="2269"/>
      <c r="AX324" s="2269"/>
      <c r="AY324" s="2269"/>
      <c r="AZ324" s="2269"/>
      <c r="BA324" s="2269"/>
      <c r="BB324" s="2269"/>
      <c r="BC324" s="2269"/>
      <c r="BD324" s="2269"/>
      <c r="BE324" s="2269"/>
      <c r="BF324" s="2269"/>
      <c r="BG324" s="2269"/>
      <c r="BH324" s="2269"/>
      <c r="BI324" s="2269"/>
      <c r="BJ324" s="2269"/>
      <c r="BK324" s="2269"/>
      <c r="BL324" s="2269"/>
      <c r="BM324" s="2269"/>
      <c r="BN324" s="2269"/>
      <c r="BO324" s="2269"/>
      <c r="BP324" s="2269"/>
      <c r="BQ324" s="2269"/>
      <c r="BR324" s="2269"/>
      <c r="BS324" s="2269"/>
      <c r="BT324" s="2269"/>
      <c r="BU324" s="2269"/>
      <c r="BV324" s="2269"/>
      <c r="BW324" s="2269"/>
      <c r="BX324" s="2269"/>
      <c r="BY324" s="2269"/>
      <c r="BZ324" s="2269"/>
      <c r="CA324" s="2269"/>
    </row>
    <row r="325" spans="1:79">
      <c r="A325" s="2269"/>
      <c r="B325" s="2269"/>
      <c r="C325" s="2269"/>
      <c r="D325" s="2269"/>
      <c r="E325" s="2269"/>
      <c r="F325" s="2269"/>
      <c r="G325" s="2269"/>
      <c r="H325" s="2269"/>
      <c r="I325" s="2269"/>
      <c r="J325" s="2269"/>
      <c r="K325" s="2269"/>
      <c r="L325" s="2269"/>
      <c r="M325" s="2269"/>
      <c r="N325" s="2269"/>
      <c r="O325" s="2269"/>
      <c r="P325" s="2269"/>
      <c r="Q325" s="2269"/>
      <c r="R325" s="2269"/>
      <c r="S325" s="2269"/>
      <c r="T325" s="2269"/>
      <c r="U325" s="2269"/>
      <c r="V325" s="2269"/>
      <c r="W325" s="2269"/>
      <c r="X325" s="2269"/>
      <c r="Y325" s="2269"/>
      <c r="Z325" s="2269"/>
      <c r="AA325" s="2269"/>
      <c r="AB325" s="2269"/>
      <c r="AC325" s="2269"/>
      <c r="AD325" s="2269"/>
      <c r="AE325" s="2269"/>
      <c r="AF325" s="2269"/>
      <c r="AG325" s="2269"/>
      <c r="AH325" s="2269"/>
      <c r="AI325" s="2269"/>
      <c r="AJ325" s="2269"/>
      <c r="AK325" s="2269"/>
      <c r="AL325" s="2269"/>
      <c r="AM325" s="2269"/>
      <c r="AN325" s="2269"/>
      <c r="AO325" s="2269"/>
      <c r="AP325" s="2269"/>
      <c r="AQ325" s="2269"/>
      <c r="AR325" s="2269"/>
      <c r="AS325" s="2269"/>
      <c r="AT325" s="2269"/>
      <c r="AU325" s="2269"/>
      <c r="AV325" s="2269"/>
      <c r="AW325" s="2269"/>
      <c r="AX325" s="2269"/>
      <c r="AY325" s="2269"/>
      <c r="AZ325" s="2269"/>
      <c r="BA325" s="2269"/>
      <c r="BB325" s="2269"/>
      <c r="BC325" s="2269"/>
      <c r="BD325" s="2269"/>
      <c r="BE325" s="2269"/>
      <c r="BF325" s="2269"/>
      <c r="BG325" s="2269"/>
      <c r="BH325" s="2269"/>
      <c r="BI325" s="2269"/>
      <c r="BJ325" s="2269"/>
      <c r="BK325" s="2269"/>
      <c r="BL325" s="2269"/>
      <c r="BM325" s="2269"/>
      <c r="BN325" s="2269"/>
      <c r="BO325" s="2269"/>
      <c r="BP325" s="2269"/>
      <c r="BQ325" s="2269"/>
      <c r="BR325" s="2269"/>
      <c r="BS325" s="2269"/>
      <c r="BT325" s="2269"/>
      <c r="BU325" s="2269"/>
      <c r="BV325" s="2269"/>
      <c r="BW325" s="2269"/>
      <c r="BX325" s="2269"/>
      <c r="BY325" s="2269"/>
      <c r="BZ325" s="2269"/>
      <c r="CA325" s="2269"/>
    </row>
    <row r="326" spans="1:79">
      <c r="A326" s="2269"/>
      <c r="B326" s="2269"/>
      <c r="C326" s="2269"/>
      <c r="D326" s="2269"/>
      <c r="E326" s="2269"/>
      <c r="F326" s="2269"/>
      <c r="G326" s="2269"/>
      <c r="H326" s="2269"/>
      <c r="I326" s="2269"/>
      <c r="J326" s="2269"/>
      <c r="K326" s="2269"/>
      <c r="L326" s="2269"/>
      <c r="M326" s="2269"/>
      <c r="N326" s="2269"/>
      <c r="O326" s="2269"/>
      <c r="P326" s="2269"/>
      <c r="Q326" s="2269"/>
      <c r="R326" s="2269"/>
      <c r="S326" s="2269"/>
      <c r="T326" s="2269"/>
      <c r="U326" s="2269"/>
      <c r="V326" s="2269"/>
      <c r="W326" s="2269"/>
      <c r="X326" s="2269"/>
      <c r="Y326" s="2269"/>
      <c r="Z326" s="2269"/>
      <c r="AA326" s="2269"/>
      <c r="AB326" s="2269"/>
      <c r="AC326" s="2269"/>
      <c r="AD326" s="2269"/>
      <c r="AE326" s="2269"/>
      <c r="AF326" s="2269"/>
      <c r="AG326" s="2269"/>
      <c r="AH326" s="2269"/>
      <c r="AI326" s="2269"/>
      <c r="AJ326" s="2269"/>
      <c r="AK326" s="2269"/>
      <c r="AL326" s="2269"/>
      <c r="AM326" s="2269"/>
      <c r="AN326" s="2269"/>
      <c r="AO326" s="2269"/>
      <c r="AP326" s="2269"/>
      <c r="AQ326" s="2269"/>
      <c r="AR326" s="2269"/>
      <c r="AS326" s="2269"/>
      <c r="AT326" s="2269"/>
      <c r="AU326" s="2269"/>
      <c r="AV326" s="2269"/>
      <c r="AW326" s="2269"/>
      <c r="AX326" s="2269"/>
      <c r="AY326" s="2269"/>
      <c r="AZ326" s="2269"/>
      <c r="BA326" s="2269"/>
      <c r="BB326" s="2269"/>
      <c r="BC326" s="2269"/>
      <c r="BD326" s="2269"/>
      <c r="BE326" s="2269"/>
      <c r="BF326" s="2269"/>
      <c r="BG326" s="2269"/>
      <c r="BH326" s="2269"/>
      <c r="BI326" s="2269"/>
      <c r="BJ326" s="2269"/>
      <c r="BK326" s="2269"/>
      <c r="BL326" s="2269"/>
      <c r="BM326" s="2269"/>
      <c r="BN326" s="2269"/>
      <c r="BO326" s="2269"/>
      <c r="BP326" s="2269"/>
      <c r="BQ326" s="2269"/>
      <c r="BR326" s="2269"/>
      <c r="BS326" s="2269"/>
      <c r="BT326" s="2269"/>
      <c r="BU326" s="2269"/>
      <c r="BV326" s="2269"/>
      <c r="BW326" s="2269"/>
      <c r="BX326" s="2269"/>
      <c r="BY326" s="2269"/>
      <c r="BZ326" s="2269"/>
      <c r="CA326" s="2269"/>
    </row>
    <row r="327" spans="1:79">
      <c r="A327" s="2269"/>
      <c r="B327" s="2269"/>
      <c r="C327" s="2269"/>
      <c r="D327" s="2269"/>
      <c r="E327" s="2269"/>
      <c r="F327" s="2269"/>
      <c r="G327" s="2269"/>
      <c r="H327" s="2269"/>
      <c r="I327" s="2269"/>
      <c r="J327" s="2269"/>
      <c r="K327" s="2269"/>
      <c r="L327" s="2269"/>
      <c r="M327" s="2269"/>
      <c r="N327" s="2269"/>
      <c r="O327" s="2269"/>
      <c r="P327" s="2269"/>
      <c r="Q327" s="2269"/>
      <c r="R327" s="2269"/>
      <c r="S327" s="2269"/>
      <c r="T327" s="2269"/>
      <c r="U327" s="2269"/>
      <c r="V327" s="2269"/>
      <c r="W327" s="2269"/>
      <c r="X327" s="2269"/>
      <c r="Y327" s="2269"/>
      <c r="Z327" s="2269"/>
      <c r="AA327" s="2269"/>
      <c r="AB327" s="2269"/>
      <c r="AC327" s="2269"/>
      <c r="AD327" s="2269"/>
      <c r="AE327" s="2269"/>
      <c r="AF327" s="2269"/>
      <c r="AG327" s="2269"/>
      <c r="AH327" s="2269"/>
      <c r="AI327" s="2269"/>
      <c r="AJ327" s="2269"/>
      <c r="AK327" s="2269"/>
      <c r="AL327" s="2269"/>
      <c r="AM327" s="2269"/>
      <c r="AN327" s="2269"/>
      <c r="AO327" s="2269"/>
      <c r="AP327" s="2269"/>
      <c r="AQ327" s="2269"/>
      <c r="AR327" s="2269"/>
      <c r="AS327" s="2269"/>
      <c r="AT327" s="2269"/>
      <c r="AU327" s="2269"/>
      <c r="AV327" s="2269"/>
      <c r="AW327" s="2269"/>
      <c r="AX327" s="2269"/>
      <c r="AY327" s="2269"/>
      <c r="AZ327" s="2269"/>
      <c r="BA327" s="2269"/>
      <c r="BB327" s="2269"/>
      <c r="BC327" s="2269"/>
      <c r="BD327" s="2269"/>
      <c r="BE327" s="2269"/>
      <c r="BF327" s="2269"/>
      <c r="BG327" s="2269"/>
      <c r="BH327" s="2269"/>
      <c r="BI327" s="2269"/>
      <c r="BJ327" s="2269"/>
      <c r="BK327" s="2269"/>
      <c r="BL327" s="2269"/>
      <c r="BM327" s="2269"/>
      <c r="BN327" s="2269"/>
      <c r="BO327" s="2269"/>
      <c r="BP327" s="2269"/>
      <c r="BQ327" s="2269"/>
      <c r="BR327" s="2269"/>
      <c r="BS327" s="2269"/>
      <c r="BT327" s="2269"/>
      <c r="BU327" s="2269"/>
      <c r="BV327" s="2269"/>
      <c r="BW327" s="2269"/>
      <c r="BX327" s="2269"/>
      <c r="BY327" s="2269"/>
      <c r="BZ327" s="2269"/>
      <c r="CA327" s="2269"/>
    </row>
    <row r="328" spans="1:79">
      <c r="A328" s="2269"/>
      <c r="B328" s="2269"/>
      <c r="C328" s="2269"/>
      <c r="D328" s="2269"/>
      <c r="E328" s="2269"/>
      <c r="F328" s="2269"/>
      <c r="G328" s="2269"/>
      <c r="H328" s="2269"/>
      <c r="I328" s="2269"/>
      <c r="J328" s="2269"/>
      <c r="K328" s="2269"/>
      <c r="L328" s="2269"/>
      <c r="M328" s="2269"/>
      <c r="N328" s="2269"/>
      <c r="O328" s="2269"/>
      <c r="P328" s="2269"/>
      <c r="Q328" s="2269"/>
      <c r="R328" s="2269"/>
      <c r="S328" s="2269"/>
      <c r="T328" s="2269"/>
      <c r="U328" s="2269"/>
      <c r="V328" s="2269"/>
      <c r="W328" s="2269"/>
      <c r="X328" s="2269"/>
      <c r="Y328" s="2269"/>
      <c r="Z328" s="2269"/>
      <c r="AA328" s="2269"/>
      <c r="AB328" s="2269"/>
      <c r="AC328" s="2269"/>
      <c r="AD328" s="2269"/>
      <c r="AE328" s="2269"/>
      <c r="AF328" s="2269"/>
      <c r="AG328" s="2269"/>
      <c r="AH328" s="2269"/>
      <c r="AI328" s="2269"/>
      <c r="AJ328" s="2269"/>
      <c r="AK328" s="2269"/>
      <c r="AL328" s="2269"/>
      <c r="AM328" s="2269"/>
      <c r="AN328" s="2269"/>
      <c r="AO328" s="2269"/>
      <c r="AP328" s="2269"/>
      <c r="AQ328" s="2269"/>
      <c r="AR328" s="2269"/>
      <c r="AS328" s="2269"/>
      <c r="AT328" s="2269"/>
      <c r="AU328" s="2269"/>
      <c r="AV328" s="2269"/>
      <c r="AW328" s="2269"/>
      <c r="AX328" s="2269"/>
      <c r="AY328" s="2269"/>
      <c r="AZ328" s="2269"/>
      <c r="BA328" s="2269"/>
      <c r="BB328" s="2269"/>
      <c r="BC328" s="2269"/>
      <c r="BD328" s="2269"/>
      <c r="BE328" s="2269"/>
      <c r="BF328" s="2269"/>
      <c r="BG328" s="2269"/>
      <c r="BH328" s="2269"/>
      <c r="BI328" s="2269"/>
      <c r="BJ328" s="2269"/>
      <c r="BK328" s="2269"/>
      <c r="BL328" s="2269"/>
      <c r="BM328" s="2269"/>
      <c r="BN328" s="2269"/>
      <c r="BO328" s="2269"/>
      <c r="BP328" s="2269"/>
      <c r="BQ328" s="2269"/>
      <c r="BR328" s="2269"/>
      <c r="BS328" s="2269"/>
      <c r="BT328" s="2269"/>
      <c r="BU328" s="2269"/>
      <c r="BV328" s="2269"/>
      <c r="BW328" s="2269"/>
      <c r="BX328" s="2269"/>
      <c r="BY328" s="2269"/>
      <c r="BZ328" s="2269"/>
      <c r="CA328" s="2269"/>
    </row>
    <row r="329" spans="1:79">
      <c r="A329" s="2269"/>
      <c r="B329" s="2269"/>
      <c r="C329" s="2269"/>
      <c r="D329" s="2269"/>
      <c r="E329" s="2269"/>
      <c r="F329" s="2269"/>
      <c r="G329" s="2269"/>
      <c r="H329" s="2269"/>
      <c r="I329" s="2269"/>
      <c r="J329" s="2269"/>
      <c r="K329" s="2269"/>
      <c r="L329" s="2269"/>
      <c r="M329" s="2269"/>
      <c r="N329" s="2269"/>
      <c r="O329" s="2269"/>
      <c r="P329" s="2269"/>
      <c r="Q329" s="2269"/>
      <c r="R329" s="2269"/>
      <c r="S329" s="2269"/>
      <c r="T329" s="2269"/>
      <c r="U329" s="2269"/>
      <c r="V329" s="2269"/>
      <c r="W329" s="2269"/>
      <c r="X329" s="2269"/>
      <c r="Y329" s="2269"/>
      <c r="Z329" s="2269"/>
      <c r="AA329" s="2269"/>
      <c r="AB329" s="2269"/>
      <c r="AC329" s="2269"/>
      <c r="AD329" s="2269"/>
      <c r="AE329" s="2269"/>
      <c r="AF329" s="2269"/>
      <c r="AG329" s="2269"/>
      <c r="AH329" s="2269"/>
      <c r="AI329" s="2269"/>
      <c r="AJ329" s="2269"/>
      <c r="AK329" s="2269"/>
      <c r="AL329" s="2269"/>
      <c r="AM329" s="2269"/>
      <c r="AN329" s="2269"/>
      <c r="AO329" s="2269"/>
      <c r="AP329" s="2269"/>
      <c r="AQ329" s="2269"/>
      <c r="AR329" s="2269"/>
      <c r="AS329" s="2269"/>
      <c r="AT329" s="2269"/>
      <c r="AU329" s="2269"/>
      <c r="AV329" s="2269"/>
      <c r="AW329" s="2269"/>
      <c r="AX329" s="2269"/>
      <c r="AY329" s="2269"/>
      <c r="AZ329" s="2269"/>
      <c r="BA329" s="2269"/>
      <c r="BB329" s="2269"/>
      <c r="BC329" s="2269"/>
      <c r="BD329" s="2269"/>
      <c r="BE329" s="2269"/>
      <c r="BF329" s="2269"/>
      <c r="BG329" s="2269"/>
      <c r="BH329" s="2269"/>
      <c r="BI329" s="2269"/>
      <c r="BJ329" s="2269"/>
      <c r="BK329" s="2269"/>
      <c r="BL329" s="2269"/>
      <c r="BM329" s="2269"/>
      <c r="BN329" s="2269"/>
      <c r="BO329" s="2269"/>
      <c r="BP329" s="2269"/>
      <c r="BQ329" s="2269"/>
      <c r="BR329" s="2269"/>
      <c r="BS329" s="2269"/>
      <c r="BT329" s="2269"/>
      <c r="BU329" s="2269"/>
      <c r="BV329" s="2269"/>
      <c r="BW329" s="2269"/>
      <c r="BX329" s="2269"/>
      <c r="BY329" s="2269"/>
      <c r="BZ329" s="2269"/>
      <c r="CA329" s="2269"/>
    </row>
    <row r="330" spans="1:79">
      <c r="A330" s="2269"/>
      <c r="B330" s="2269"/>
      <c r="C330" s="2269"/>
      <c r="D330" s="2269"/>
      <c r="E330" s="2269"/>
      <c r="F330" s="2269"/>
      <c r="G330" s="2269"/>
      <c r="H330" s="2269"/>
      <c r="I330" s="2269"/>
      <c r="J330" s="2269"/>
      <c r="K330" s="2269"/>
      <c r="L330" s="2269"/>
      <c r="M330" s="2269"/>
      <c r="N330" s="2269"/>
      <c r="O330" s="2269"/>
      <c r="P330" s="2269"/>
      <c r="Q330" s="2269"/>
      <c r="R330" s="2269"/>
      <c r="S330" s="2269"/>
      <c r="T330" s="2269"/>
      <c r="U330" s="2269"/>
      <c r="V330" s="2269"/>
      <c r="W330" s="2269"/>
      <c r="X330" s="2269"/>
      <c r="Y330" s="2269"/>
      <c r="Z330" s="2269"/>
      <c r="AA330" s="2269"/>
      <c r="AB330" s="2269"/>
      <c r="AC330" s="2269"/>
      <c r="AD330" s="2269"/>
      <c r="AE330" s="2269"/>
      <c r="AF330" s="2269"/>
      <c r="AG330" s="2269"/>
      <c r="AH330" s="2269"/>
      <c r="AI330" s="2269"/>
      <c r="AJ330" s="2269"/>
      <c r="AK330" s="2269"/>
      <c r="AL330" s="2269"/>
      <c r="AM330" s="2269"/>
      <c r="AN330" s="2269"/>
      <c r="AO330" s="2269"/>
      <c r="AP330" s="2269"/>
      <c r="AQ330" s="2269"/>
      <c r="AR330" s="2269"/>
      <c r="AS330" s="2269"/>
      <c r="AT330" s="2269"/>
      <c r="AU330" s="2269"/>
      <c r="AV330" s="2269"/>
      <c r="AW330" s="2269"/>
      <c r="AX330" s="2269"/>
      <c r="AY330" s="2269"/>
      <c r="AZ330" s="2269"/>
      <c r="BA330" s="2269"/>
      <c r="BB330" s="2269"/>
      <c r="BC330" s="2269"/>
      <c r="BD330" s="2269"/>
      <c r="BE330" s="2269"/>
      <c r="BF330" s="2269"/>
      <c r="BG330" s="2269"/>
      <c r="BH330" s="2269"/>
      <c r="BI330" s="2269"/>
      <c r="BJ330" s="2269"/>
      <c r="BK330" s="2269"/>
      <c r="BL330" s="2269"/>
      <c r="BM330" s="2269"/>
      <c r="BN330" s="2269"/>
      <c r="BO330" s="2269"/>
      <c r="BP330" s="2269"/>
      <c r="BQ330" s="2269"/>
      <c r="BR330" s="2269"/>
      <c r="BS330" s="2269"/>
      <c r="BT330" s="2269"/>
      <c r="BU330" s="2269"/>
      <c r="BV330" s="2269"/>
      <c r="BW330" s="2269"/>
      <c r="BX330" s="2269"/>
      <c r="BY330" s="2269"/>
      <c r="BZ330" s="2269"/>
      <c r="CA330" s="2269"/>
    </row>
    <row r="331" spans="1:79">
      <c r="A331" s="2269"/>
      <c r="B331" s="2269"/>
      <c r="C331" s="2269"/>
      <c r="D331" s="2269"/>
      <c r="E331" s="2269"/>
      <c r="F331" s="2269"/>
      <c r="G331" s="2269"/>
      <c r="H331" s="2269"/>
      <c r="I331" s="2269"/>
      <c r="J331" s="2269"/>
      <c r="K331" s="2269"/>
      <c r="L331" s="2269"/>
      <c r="M331" s="2269"/>
      <c r="N331" s="2269"/>
      <c r="O331" s="2269"/>
      <c r="P331" s="2269"/>
      <c r="Q331" s="2269"/>
      <c r="R331" s="2269"/>
      <c r="S331" s="2269"/>
      <c r="T331" s="2269"/>
      <c r="U331" s="2269"/>
      <c r="V331" s="2269"/>
      <c r="W331" s="2269"/>
      <c r="X331" s="2269"/>
      <c r="Y331" s="2269"/>
      <c r="Z331" s="2269"/>
      <c r="AA331" s="2269"/>
      <c r="AB331" s="2269"/>
      <c r="AC331" s="2269"/>
      <c r="AD331" s="2269"/>
      <c r="AE331" s="2269"/>
      <c r="AF331" s="2269"/>
      <c r="AG331" s="2269"/>
      <c r="AH331" s="2269"/>
      <c r="AI331" s="2269"/>
      <c r="AJ331" s="2269"/>
      <c r="AK331" s="2269"/>
      <c r="AL331" s="2269"/>
      <c r="AM331" s="2269"/>
      <c r="AN331" s="2269"/>
      <c r="AO331" s="2269"/>
      <c r="AP331" s="2269"/>
      <c r="AQ331" s="2269"/>
      <c r="AR331" s="2269"/>
      <c r="AS331" s="2269"/>
      <c r="AT331" s="2269"/>
      <c r="AU331" s="2269"/>
      <c r="AV331" s="2269"/>
      <c r="AW331" s="2269"/>
      <c r="AX331" s="2269"/>
      <c r="AY331" s="2269"/>
      <c r="AZ331" s="2269"/>
      <c r="BA331" s="2269"/>
      <c r="BB331" s="2269"/>
      <c r="BC331" s="2269"/>
      <c r="BD331" s="2269"/>
      <c r="BE331" s="2269"/>
      <c r="BF331" s="2269"/>
      <c r="BG331" s="2269"/>
      <c r="BH331" s="2269"/>
      <c r="BI331" s="2269"/>
      <c r="BJ331" s="2269"/>
      <c r="BK331" s="2269"/>
      <c r="BL331" s="2269"/>
      <c r="BM331" s="2269"/>
      <c r="BN331" s="2269"/>
      <c r="BO331" s="2269"/>
      <c r="BP331" s="2269"/>
      <c r="BQ331" s="2269"/>
      <c r="BR331" s="2269"/>
      <c r="BS331" s="2269"/>
      <c r="BT331" s="2269"/>
      <c r="BU331" s="2269"/>
      <c r="BV331" s="2269"/>
      <c r="BW331" s="2269"/>
      <c r="BX331" s="2269"/>
      <c r="BY331" s="2269"/>
      <c r="BZ331" s="2269"/>
      <c r="CA331" s="2269"/>
    </row>
    <row r="332" spans="1:79">
      <c r="A332" s="2269"/>
      <c r="B332" s="2269"/>
      <c r="C332" s="2269"/>
      <c r="D332" s="2269"/>
      <c r="E332" s="2269"/>
      <c r="F332" s="2269"/>
      <c r="G332" s="2269"/>
      <c r="H332" s="2269"/>
      <c r="I332" s="2269"/>
      <c r="J332" s="2269"/>
      <c r="K332" s="2269"/>
      <c r="L332" s="2269"/>
      <c r="M332" s="2269"/>
      <c r="N332" s="2269"/>
      <c r="O332" s="2269"/>
      <c r="P332" s="2269"/>
      <c r="Q332" s="2269"/>
      <c r="R332" s="2269"/>
      <c r="S332" s="2269"/>
      <c r="T332" s="2269"/>
      <c r="U332" s="2269"/>
      <c r="V332" s="2269"/>
      <c r="W332" s="2269"/>
      <c r="X332" s="2269"/>
      <c r="Y332" s="2269"/>
      <c r="Z332" s="2269"/>
      <c r="AA332" s="2269"/>
      <c r="AB332" s="2269"/>
      <c r="AC332" s="2269"/>
      <c r="AD332" s="2269"/>
      <c r="AE332" s="2269"/>
      <c r="AF332" s="2269"/>
      <c r="AG332" s="2269"/>
      <c r="AH332" s="2269"/>
      <c r="AI332" s="2269"/>
      <c r="AJ332" s="2269"/>
      <c r="AK332" s="2269"/>
      <c r="AL332" s="2269"/>
      <c r="AM332" s="2269"/>
      <c r="AN332" s="2269"/>
      <c r="AO332" s="2269"/>
      <c r="AP332" s="2269"/>
      <c r="AQ332" s="2269"/>
      <c r="AR332" s="2269"/>
      <c r="AS332" s="2269"/>
      <c r="AT332" s="2269"/>
      <c r="AU332" s="2269"/>
      <c r="AV332" s="2269"/>
      <c r="AW332" s="2269"/>
      <c r="AX332" s="2269"/>
      <c r="AY332" s="2269"/>
      <c r="AZ332" s="2269"/>
      <c r="BA332" s="2269"/>
      <c r="BB332" s="2269"/>
      <c r="BC332" s="2269"/>
      <c r="BD332" s="2269"/>
      <c r="BE332" s="2269"/>
      <c r="BF332" s="2269"/>
      <c r="BG332" s="2269"/>
      <c r="BH332" s="2269"/>
      <c r="BI332" s="2269"/>
      <c r="BJ332" s="2269"/>
      <c r="BK332" s="2269"/>
      <c r="BL332" s="2269"/>
      <c r="BM332" s="2269"/>
      <c r="BN332" s="2269"/>
      <c r="BO332" s="2269"/>
      <c r="BP332" s="2269"/>
      <c r="BQ332" s="2269"/>
      <c r="BR332" s="2269"/>
      <c r="BS332" s="2269"/>
      <c r="BT332" s="2269"/>
      <c r="BU332" s="2269"/>
      <c r="BV332" s="2269"/>
      <c r="BW332" s="2269"/>
      <c r="BX332" s="2269"/>
      <c r="BY332" s="2269"/>
      <c r="BZ332" s="2269"/>
      <c r="CA332" s="2269"/>
    </row>
    <row r="333" spans="1:79">
      <c r="A333" s="2269"/>
      <c r="B333" s="2269"/>
      <c r="C333" s="2269"/>
      <c r="D333" s="2269"/>
      <c r="E333" s="2269"/>
      <c r="F333" s="2269"/>
      <c r="G333" s="2269"/>
      <c r="H333" s="2269"/>
      <c r="I333" s="2269"/>
      <c r="J333" s="2269"/>
      <c r="K333" s="2269"/>
      <c r="L333" s="2269"/>
      <c r="M333" s="2269"/>
      <c r="N333" s="2269"/>
      <c r="O333" s="2269"/>
      <c r="P333" s="2269"/>
      <c r="Q333" s="2269"/>
      <c r="R333" s="2269"/>
      <c r="S333" s="2269"/>
      <c r="T333" s="2269"/>
      <c r="U333" s="2269"/>
      <c r="V333" s="2269"/>
      <c r="W333" s="2269"/>
      <c r="X333" s="2269"/>
      <c r="Y333" s="2269"/>
      <c r="Z333" s="2269"/>
      <c r="AA333" s="2269"/>
      <c r="AB333" s="2269"/>
      <c r="AC333" s="2269"/>
      <c r="AD333" s="2269"/>
      <c r="AE333" s="2269"/>
      <c r="AF333" s="2269"/>
      <c r="AG333" s="2269"/>
      <c r="AH333" s="2269"/>
      <c r="AI333" s="2269"/>
      <c r="AJ333" s="2269"/>
      <c r="AK333" s="2269"/>
      <c r="AL333" s="2269"/>
      <c r="AM333" s="2269"/>
      <c r="AN333" s="2269"/>
      <c r="AO333" s="2269"/>
      <c r="AP333" s="2269"/>
      <c r="AQ333" s="2269"/>
      <c r="AR333" s="2269"/>
      <c r="AS333" s="2269"/>
      <c r="AT333" s="2269"/>
      <c r="AU333" s="2269"/>
      <c r="AV333" s="2269"/>
      <c r="AW333" s="2269"/>
      <c r="AX333" s="2269"/>
      <c r="AY333" s="2269"/>
      <c r="AZ333" s="2269"/>
      <c r="BA333" s="2269"/>
      <c r="BB333" s="2269"/>
      <c r="BC333" s="2269"/>
      <c r="BD333" s="2269"/>
      <c r="BE333" s="2269"/>
      <c r="BF333" s="2269"/>
      <c r="BG333" s="2269"/>
      <c r="BH333" s="2269"/>
      <c r="BI333" s="2269"/>
      <c r="BJ333" s="2269"/>
      <c r="BK333" s="2269"/>
      <c r="BL333" s="2269"/>
      <c r="BM333" s="2269"/>
      <c r="BN333" s="2269"/>
      <c r="BO333" s="2269"/>
      <c r="BP333" s="2269"/>
      <c r="BQ333" s="2269"/>
      <c r="BR333" s="2269"/>
      <c r="BS333" s="2269"/>
      <c r="BT333" s="2269"/>
      <c r="BU333" s="2269"/>
      <c r="BV333" s="2269"/>
      <c r="BW333" s="2269"/>
      <c r="BX333" s="2269"/>
      <c r="BY333" s="2269"/>
      <c r="BZ333" s="2269"/>
      <c r="CA333" s="2269"/>
    </row>
    <row r="334" spans="1:79">
      <c r="A334" s="2269"/>
      <c r="B334" s="2269"/>
      <c r="C334" s="2269"/>
      <c r="D334" s="2269"/>
      <c r="E334" s="2269"/>
      <c r="F334" s="2269"/>
      <c r="G334" s="2269"/>
      <c r="H334" s="2269"/>
      <c r="I334" s="2269"/>
      <c r="J334" s="2269"/>
      <c r="K334" s="2269"/>
      <c r="L334" s="2269"/>
      <c r="M334" s="2269"/>
      <c r="N334" s="2269"/>
      <c r="O334" s="2269"/>
      <c r="P334" s="2269"/>
      <c r="Q334" s="2269"/>
      <c r="R334" s="2269"/>
      <c r="S334" s="2269"/>
      <c r="T334" s="2269"/>
      <c r="U334" s="2269"/>
      <c r="V334" s="2269"/>
      <c r="W334" s="2269"/>
      <c r="X334" s="2269"/>
      <c r="Y334" s="2269"/>
      <c r="Z334" s="2269"/>
      <c r="AA334" s="2269"/>
      <c r="AB334" s="2269"/>
      <c r="AC334" s="2269"/>
      <c r="AD334" s="2269"/>
      <c r="AE334" s="2269"/>
      <c r="AF334" s="2269"/>
      <c r="AG334" s="2269"/>
      <c r="AH334" s="2269"/>
      <c r="AI334" s="2269"/>
      <c r="AJ334" s="2269"/>
      <c r="AK334" s="2269"/>
      <c r="AL334" s="2269"/>
      <c r="AM334" s="2269"/>
      <c r="AN334" s="2269"/>
      <c r="AO334" s="2269"/>
      <c r="AP334" s="2269"/>
      <c r="AQ334" s="2269"/>
      <c r="AR334" s="2269"/>
      <c r="AS334" s="2269"/>
      <c r="AT334" s="2269"/>
      <c r="AU334" s="2269"/>
      <c r="AV334" s="2269"/>
      <c r="AW334" s="2269"/>
      <c r="AX334" s="2269"/>
      <c r="AY334" s="2269"/>
      <c r="AZ334" s="2269"/>
      <c r="BA334" s="2269"/>
      <c r="BB334" s="2269"/>
      <c r="BC334" s="2269"/>
      <c r="BD334" s="2269"/>
      <c r="BE334" s="2269"/>
      <c r="BF334" s="2269"/>
      <c r="BG334" s="2269"/>
      <c r="BH334" s="2269"/>
      <c r="BI334" s="2269"/>
      <c r="BJ334" s="2269"/>
      <c r="BK334" s="2269"/>
      <c r="BL334" s="2269"/>
      <c r="BM334" s="2269"/>
      <c r="BN334" s="2269"/>
      <c r="BO334" s="2269"/>
      <c r="BP334" s="2269"/>
      <c r="BQ334" s="2269"/>
      <c r="BR334" s="2269"/>
      <c r="BS334" s="2269"/>
      <c r="BT334" s="2269"/>
      <c r="BU334" s="2269"/>
      <c r="BV334" s="2269"/>
      <c r="BW334" s="2269"/>
      <c r="BX334" s="2269"/>
      <c r="BY334" s="2269"/>
      <c r="BZ334" s="2269"/>
      <c r="CA334" s="2269"/>
    </row>
    <row r="335" spans="1:79">
      <c r="A335" s="2269"/>
      <c r="B335" s="2269"/>
      <c r="C335" s="2269"/>
      <c r="D335" s="2269"/>
      <c r="E335" s="2269"/>
      <c r="F335" s="2269"/>
      <c r="G335" s="2269"/>
      <c r="H335" s="2269"/>
      <c r="I335" s="2269"/>
      <c r="J335" s="2269"/>
      <c r="K335" s="2269"/>
      <c r="L335" s="2269"/>
      <c r="M335" s="2269"/>
      <c r="N335" s="2269"/>
      <c r="O335" s="2269"/>
      <c r="P335" s="2269"/>
      <c r="Q335" s="2269"/>
      <c r="R335" s="2269"/>
      <c r="S335" s="2269"/>
      <c r="T335" s="2269"/>
      <c r="U335" s="2269"/>
      <c r="V335" s="2269"/>
      <c r="W335" s="2269"/>
      <c r="X335" s="2269"/>
      <c r="Y335" s="2269"/>
      <c r="Z335" s="2269"/>
      <c r="AA335" s="2269"/>
      <c r="AB335" s="2269"/>
      <c r="AC335" s="2269"/>
      <c r="AD335" s="2269"/>
      <c r="AE335" s="2269"/>
      <c r="AF335" s="2269"/>
      <c r="AG335" s="2269"/>
      <c r="AH335" s="2269"/>
      <c r="AI335" s="2269"/>
      <c r="AJ335" s="2269"/>
      <c r="AK335" s="2269"/>
      <c r="AL335" s="2269"/>
      <c r="AM335" s="2269"/>
      <c r="AN335" s="2269"/>
      <c r="AO335" s="2269"/>
      <c r="AP335" s="2269"/>
      <c r="AQ335" s="2269"/>
      <c r="AR335" s="2269"/>
      <c r="AS335" s="2269"/>
      <c r="AT335" s="2269"/>
      <c r="AU335" s="2269"/>
      <c r="AV335" s="2269"/>
      <c r="AW335" s="2269"/>
      <c r="AX335" s="2269"/>
      <c r="AY335" s="2269"/>
      <c r="AZ335" s="2269"/>
      <c r="BA335" s="2269"/>
      <c r="BB335" s="2269"/>
      <c r="BC335" s="2269"/>
      <c r="BD335" s="2269"/>
      <c r="BE335" s="2269"/>
      <c r="BF335" s="2269"/>
      <c r="BG335" s="2269"/>
      <c r="BH335" s="2269"/>
      <c r="BI335" s="2269"/>
      <c r="BJ335" s="2269"/>
      <c r="BK335" s="2269"/>
      <c r="BL335" s="2269"/>
      <c r="BM335" s="2269"/>
      <c r="BN335" s="2269"/>
      <c r="BO335" s="2269"/>
      <c r="BP335" s="2269"/>
      <c r="BQ335" s="2269"/>
      <c r="BR335" s="2269"/>
      <c r="BS335" s="2269"/>
      <c r="BT335" s="2269"/>
      <c r="BU335" s="2269"/>
      <c r="BV335" s="2269"/>
      <c r="BW335" s="2269"/>
      <c r="BX335" s="2269"/>
      <c r="BY335" s="2269"/>
      <c r="BZ335" s="2269"/>
      <c r="CA335" s="2269"/>
    </row>
    <row r="336" spans="1:79">
      <c r="A336" s="2269"/>
      <c r="B336" s="2269"/>
      <c r="C336" s="2269"/>
      <c r="D336" s="2269"/>
      <c r="E336" s="2269"/>
      <c r="F336" s="2269"/>
      <c r="G336" s="2269"/>
      <c r="H336" s="2269"/>
      <c r="I336" s="2269"/>
      <c r="J336" s="2269"/>
      <c r="K336" s="2269"/>
      <c r="L336" s="2269"/>
      <c r="M336" s="2269"/>
      <c r="N336" s="2269"/>
      <c r="O336" s="2269"/>
      <c r="P336" s="2269"/>
      <c r="Q336" s="2269"/>
      <c r="R336" s="2269"/>
      <c r="S336" s="2269"/>
      <c r="T336" s="2269"/>
      <c r="U336" s="2269"/>
      <c r="V336" s="2269"/>
      <c r="W336" s="2269"/>
      <c r="X336" s="2269"/>
      <c r="Y336" s="2269"/>
      <c r="Z336" s="2269"/>
      <c r="AA336" s="2269"/>
      <c r="AB336" s="2269"/>
      <c r="AC336" s="2269"/>
      <c r="AD336" s="2269"/>
      <c r="AE336" s="2269"/>
      <c r="AF336" s="2269"/>
      <c r="AG336" s="2269"/>
      <c r="AH336" s="2269"/>
      <c r="AI336" s="2269"/>
      <c r="AJ336" s="2269"/>
      <c r="AK336" s="2269"/>
      <c r="AL336" s="2269"/>
      <c r="AM336" s="2269"/>
      <c r="AN336" s="2269"/>
      <c r="AO336" s="2269"/>
      <c r="AP336" s="2269"/>
      <c r="AQ336" s="2269"/>
      <c r="AR336" s="2269"/>
      <c r="AS336" s="2269"/>
      <c r="AT336" s="2269"/>
      <c r="AU336" s="2269"/>
      <c r="AV336" s="2269"/>
      <c r="AW336" s="2269"/>
      <c r="AX336" s="2269"/>
      <c r="AY336" s="2269"/>
      <c r="AZ336" s="2269"/>
      <c r="BA336" s="2269"/>
      <c r="BB336" s="2269"/>
      <c r="BC336" s="2269"/>
      <c r="BD336" s="2269"/>
      <c r="BE336" s="2269"/>
      <c r="BF336" s="2269"/>
      <c r="BG336" s="2269"/>
      <c r="BH336" s="2269"/>
      <c r="BI336" s="2269"/>
      <c r="BJ336" s="2269"/>
      <c r="BK336" s="2269"/>
      <c r="BL336" s="2269"/>
      <c r="BM336" s="2269"/>
      <c r="BN336" s="2269"/>
      <c r="BO336" s="2269"/>
      <c r="BP336" s="2269"/>
      <c r="BQ336" s="2269"/>
      <c r="BR336" s="2269"/>
      <c r="BS336" s="2269"/>
      <c r="BT336" s="2269"/>
      <c r="BU336" s="2269"/>
      <c r="BV336" s="2269"/>
      <c r="BW336" s="2269"/>
      <c r="BX336" s="2269"/>
      <c r="BY336" s="2269"/>
      <c r="BZ336" s="2269"/>
      <c r="CA336" s="2269"/>
    </row>
    <row r="337" spans="1:79">
      <c r="A337" s="2269"/>
      <c r="B337" s="2269"/>
      <c r="C337" s="2269"/>
      <c r="D337" s="2269"/>
      <c r="E337" s="2269"/>
      <c r="F337" s="2269"/>
      <c r="G337" s="2269"/>
      <c r="H337" s="2269"/>
      <c r="I337" s="2269"/>
      <c r="J337" s="2269"/>
      <c r="K337" s="2269"/>
      <c r="L337" s="2269"/>
      <c r="M337" s="2269"/>
      <c r="N337" s="2269"/>
      <c r="O337" s="2269"/>
      <c r="P337" s="2269"/>
      <c r="Q337" s="2269"/>
      <c r="R337" s="2269"/>
      <c r="S337" s="2269"/>
      <c r="T337" s="2269"/>
      <c r="U337" s="2269"/>
      <c r="V337" s="2269"/>
      <c r="W337" s="2269"/>
      <c r="X337" s="2269"/>
      <c r="Y337" s="2269"/>
      <c r="Z337" s="2269"/>
      <c r="AA337" s="2269"/>
      <c r="AB337" s="2269"/>
      <c r="AC337" s="2269"/>
      <c r="AD337" s="2269"/>
      <c r="AE337" s="2269"/>
      <c r="AF337" s="2269"/>
      <c r="AG337" s="2269"/>
      <c r="AH337" s="2269"/>
      <c r="AI337" s="2269"/>
      <c r="AJ337" s="2269"/>
      <c r="AK337" s="2269"/>
      <c r="AL337" s="2269"/>
      <c r="AM337" s="2269"/>
      <c r="AN337" s="2269"/>
      <c r="AO337" s="2269"/>
      <c r="AP337" s="2269"/>
      <c r="AQ337" s="2269"/>
      <c r="AR337" s="2269"/>
      <c r="AS337" s="2269"/>
      <c r="AT337" s="2269"/>
      <c r="AU337" s="2269"/>
      <c r="AV337" s="2269"/>
      <c r="AW337" s="2269"/>
      <c r="AX337" s="2269"/>
      <c r="AY337" s="2269"/>
      <c r="AZ337" s="2269"/>
      <c r="BA337" s="2269"/>
      <c r="BB337" s="2269"/>
      <c r="BC337" s="2269"/>
      <c r="BD337" s="2269"/>
      <c r="BE337" s="2269"/>
      <c r="BF337" s="2269"/>
      <c r="BG337" s="2269"/>
      <c r="BH337" s="2269"/>
      <c r="BI337" s="2269"/>
      <c r="BJ337" s="2269"/>
      <c r="BK337" s="2269"/>
      <c r="BL337" s="2269"/>
      <c r="BM337" s="2269"/>
      <c r="BN337" s="2269"/>
      <c r="BO337" s="2269"/>
      <c r="BP337" s="2269"/>
      <c r="BQ337" s="2269"/>
      <c r="BR337" s="2269"/>
      <c r="BS337" s="2269"/>
      <c r="BT337" s="2269"/>
      <c r="BU337" s="2269"/>
      <c r="BV337" s="2269"/>
      <c r="BW337" s="2269"/>
      <c r="BX337" s="2269"/>
      <c r="BY337" s="2269"/>
      <c r="BZ337" s="2269"/>
      <c r="CA337" s="2269"/>
    </row>
    <row r="338" spans="1:79">
      <c r="A338" s="2269"/>
      <c r="B338" s="2269"/>
      <c r="C338" s="2269"/>
      <c r="D338" s="2269"/>
      <c r="E338" s="2269"/>
      <c r="F338" s="2269"/>
      <c r="G338" s="2269"/>
      <c r="H338" s="2269"/>
      <c r="I338" s="2269"/>
      <c r="J338" s="2269"/>
      <c r="K338" s="2269"/>
      <c r="L338" s="2269"/>
      <c r="M338" s="2269"/>
      <c r="N338" s="2269"/>
      <c r="O338" s="2269"/>
      <c r="P338" s="2269"/>
      <c r="Q338" s="2269"/>
      <c r="R338" s="2269"/>
      <c r="S338" s="2269"/>
      <c r="T338" s="2269"/>
      <c r="U338" s="2269"/>
      <c r="V338" s="2269"/>
      <c r="W338" s="2269"/>
      <c r="X338" s="2269"/>
      <c r="Y338" s="2269"/>
      <c r="Z338" s="2269"/>
      <c r="AA338" s="2269"/>
      <c r="AB338" s="2269"/>
      <c r="AC338" s="2269"/>
      <c r="AD338" s="2269"/>
      <c r="AE338" s="2269"/>
      <c r="AF338" s="2269"/>
      <c r="AG338" s="2269"/>
      <c r="AH338" s="2269"/>
      <c r="AI338" s="2269"/>
      <c r="AJ338" s="2269"/>
      <c r="AK338" s="2269"/>
      <c r="AL338" s="2269"/>
      <c r="AM338" s="2269"/>
      <c r="AN338" s="2269"/>
      <c r="AO338" s="2269"/>
      <c r="AP338" s="2269"/>
      <c r="AQ338" s="2269"/>
      <c r="AR338" s="2269"/>
      <c r="AS338" s="2269"/>
      <c r="AT338" s="2269"/>
      <c r="AU338" s="2269"/>
      <c r="AV338" s="2269"/>
      <c r="AW338" s="2269"/>
      <c r="AX338" s="2269"/>
      <c r="AY338" s="2269"/>
      <c r="AZ338" s="2269"/>
      <c r="BA338" s="2269"/>
      <c r="BB338" s="2269"/>
      <c r="BC338" s="2269"/>
      <c r="BD338" s="2269"/>
      <c r="BE338" s="2269"/>
      <c r="BF338" s="2269"/>
      <c r="BG338" s="2269"/>
      <c r="BH338" s="2269"/>
      <c r="BI338" s="2269"/>
      <c r="BJ338" s="2269"/>
      <c r="BK338" s="2269"/>
      <c r="BL338" s="2269"/>
      <c r="BM338" s="2269"/>
      <c r="BN338" s="2269"/>
      <c r="BO338" s="2269"/>
      <c r="BP338" s="2269"/>
      <c r="BQ338" s="2269"/>
      <c r="BR338" s="2269"/>
      <c r="BS338" s="2269"/>
      <c r="BT338" s="2269"/>
      <c r="BU338" s="2269"/>
      <c r="BV338" s="2269"/>
      <c r="BW338" s="2269"/>
      <c r="BX338" s="2269"/>
      <c r="BY338" s="2269"/>
      <c r="BZ338" s="2269"/>
      <c r="CA338" s="2269"/>
    </row>
    <row r="339" spans="1:79">
      <c r="A339" s="2269"/>
      <c r="B339" s="2269"/>
      <c r="C339" s="2269"/>
      <c r="D339" s="2269"/>
      <c r="E339" s="2269"/>
      <c r="F339" s="2269"/>
      <c r="G339" s="2269"/>
      <c r="H339" s="2269"/>
      <c r="I339" s="2269"/>
      <c r="J339" s="2269"/>
      <c r="K339" s="2269"/>
      <c r="L339" s="2269"/>
      <c r="M339" s="2269"/>
      <c r="N339" s="2269"/>
      <c r="O339" s="2269"/>
      <c r="P339" s="2269"/>
      <c r="Q339" s="2269"/>
      <c r="R339" s="2269"/>
      <c r="S339" s="2269"/>
      <c r="T339" s="2269"/>
      <c r="U339" s="2269"/>
      <c r="V339" s="2269"/>
      <c r="W339" s="2269"/>
      <c r="X339" s="2269"/>
      <c r="Y339" s="2269"/>
      <c r="Z339" s="2269"/>
      <c r="AA339" s="2269"/>
      <c r="AB339" s="2269"/>
      <c r="AC339" s="2269"/>
      <c r="AD339" s="2269"/>
      <c r="AE339" s="2269"/>
      <c r="AF339" s="2269"/>
      <c r="AG339" s="2269"/>
      <c r="AH339" s="2269"/>
      <c r="AI339" s="2269"/>
      <c r="AJ339" s="2269"/>
      <c r="AK339" s="2269"/>
      <c r="AL339" s="2269"/>
      <c r="AM339" s="2269"/>
      <c r="AN339" s="2269"/>
      <c r="AO339" s="2269"/>
      <c r="AP339" s="2269"/>
      <c r="AQ339" s="2269"/>
      <c r="AR339" s="2269"/>
      <c r="AS339" s="2269"/>
      <c r="AT339" s="2269"/>
      <c r="AU339" s="2269"/>
      <c r="AV339" s="2269"/>
      <c r="AW339" s="2269"/>
      <c r="AX339" s="2269"/>
      <c r="AY339" s="2269"/>
      <c r="AZ339" s="2269"/>
      <c r="BA339" s="2269"/>
      <c r="BB339" s="2269"/>
      <c r="BC339" s="2269"/>
      <c r="BD339" s="2269"/>
      <c r="BE339" s="2269"/>
      <c r="BF339" s="2269"/>
      <c r="BG339" s="2269"/>
      <c r="BH339" s="2269"/>
      <c r="BI339" s="2269"/>
      <c r="BJ339" s="2269"/>
      <c r="BK339" s="2269"/>
      <c r="BL339" s="2269"/>
      <c r="BM339" s="2269"/>
      <c r="BN339" s="2269"/>
      <c r="BO339" s="2269"/>
      <c r="BP339" s="2269"/>
      <c r="BQ339" s="2269"/>
      <c r="BR339" s="2269"/>
      <c r="BS339" s="2269"/>
      <c r="BT339" s="2269"/>
      <c r="BU339" s="2269"/>
      <c r="BV339" s="2269"/>
      <c r="BW339" s="2269"/>
      <c r="BX339" s="2269"/>
      <c r="BY339" s="2269"/>
      <c r="BZ339" s="2269"/>
      <c r="CA339" s="2269"/>
    </row>
    <row r="340" spans="1:79">
      <c r="A340" s="2269"/>
      <c r="B340" s="2269"/>
      <c r="C340" s="2269"/>
      <c r="D340" s="2269"/>
      <c r="E340" s="2269"/>
      <c r="F340" s="2269"/>
      <c r="G340" s="2269"/>
      <c r="H340" s="2269"/>
      <c r="I340" s="2269"/>
      <c r="J340" s="2269"/>
      <c r="K340" s="2269"/>
      <c r="L340" s="2269"/>
      <c r="M340" s="2269"/>
      <c r="N340" s="2269"/>
      <c r="O340" s="2269"/>
      <c r="P340" s="2269"/>
      <c r="Q340" s="2269"/>
      <c r="R340" s="2269"/>
      <c r="S340" s="2269"/>
      <c r="T340" s="2269"/>
      <c r="U340" s="2269"/>
      <c r="V340" s="2269"/>
      <c r="W340" s="2269"/>
      <c r="X340" s="2269"/>
      <c r="Y340" s="2269"/>
      <c r="Z340" s="2269"/>
      <c r="AA340" s="2269"/>
      <c r="AB340" s="2269"/>
      <c r="AC340" s="2269"/>
      <c r="AD340" s="2269"/>
      <c r="AE340" s="2269"/>
      <c r="AF340" s="2269"/>
      <c r="AG340" s="2269"/>
      <c r="AH340" s="2269"/>
      <c r="AI340" s="2269"/>
      <c r="AJ340" s="2269"/>
      <c r="AK340" s="2269"/>
      <c r="AL340" s="2269"/>
      <c r="AM340" s="2269"/>
      <c r="AN340" s="2269"/>
      <c r="AO340" s="2269"/>
      <c r="AP340" s="2269"/>
      <c r="AQ340" s="2269"/>
      <c r="AR340" s="2269"/>
      <c r="AS340" s="2269"/>
      <c r="AT340" s="2269"/>
      <c r="AU340" s="2269"/>
      <c r="AV340" s="2269"/>
      <c r="AW340" s="2269"/>
      <c r="AX340" s="2269"/>
      <c r="AY340" s="2269"/>
      <c r="AZ340" s="2269"/>
      <c r="BA340" s="2269"/>
      <c r="BB340" s="2269"/>
      <c r="BC340" s="2269"/>
      <c r="BD340" s="2269"/>
      <c r="BE340" s="2269"/>
      <c r="BF340" s="2269"/>
      <c r="BG340" s="2269"/>
      <c r="BH340" s="2269"/>
      <c r="BI340" s="2269"/>
      <c r="BJ340" s="2269"/>
      <c r="BK340" s="2269"/>
      <c r="BL340" s="2269"/>
      <c r="BM340" s="2269"/>
      <c r="BN340" s="2269"/>
      <c r="BO340" s="2269"/>
      <c r="BP340" s="2269"/>
      <c r="BQ340" s="2269"/>
      <c r="BR340" s="2269"/>
      <c r="BS340" s="2269"/>
      <c r="BT340" s="2269"/>
      <c r="BU340" s="2269"/>
      <c r="BV340" s="2269"/>
      <c r="BW340" s="2269"/>
      <c r="BX340" s="2269"/>
      <c r="BY340" s="2269"/>
      <c r="BZ340" s="2269"/>
      <c r="CA340" s="2269"/>
    </row>
    <row r="341" spans="1:79">
      <c r="A341" s="2269"/>
      <c r="B341" s="2269"/>
      <c r="C341" s="2269"/>
      <c r="D341" s="2269"/>
      <c r="E341" s="2269"/>
      <c r="F341" s="2269"/>
      <c r="G341" s="2269"/>
      <c r="H341" s="2269"/>
      <c r="I341" s="2269"/>
      <c r="J341" s="2269"/>
      <c r="K341" s="2269"/>
      <c r="L341" s="2269"/>
      <c r="M341" s="2269"/>
      <c r="N341" s="2269"/>
      <c r="O341" s="2269"/>
      <c r="P341" s="2269"/>
      <c r="Q341" s="2269"/>
      <c r="R341" s="2269"/>
      <c r="S341" s="2269"/>
      <c r="T341" s="2269"/>
      <c r="U341" s="2269"/>
      <c r="V341" s="2269"/>
      <c r="W341" s="2269"/>
      <c r="X341" s="2269"/>
      <c r="Y341" s="2269"/>
      <c r="Z341" s="2269"/>
      <c r="AA341" s="2269"/>
      <c r="AB341" s="2269"/>
      <c r="AC341" s="2269"/>
      <c r="AD341" s="2269"/>
      <c r="AE341" s="2269"/>
      <c r="AF341" s="2269"/>
      <c r="AG341" s="2269"/>
      <c r="AH341" s="2269"/>
      <c r="AI341" s="2269"/>
      <c r="AJ341" s="2269"/>
      <c r="AK341" s="2269"/>
      <c r="AL341" s="2269"/>
      <c r="AM341" s="2269"/>
      <c r="AN341" s="2269"/>
      <c r="AO341" s="2269"/>
      <c r="AP341" s="2269"/>
      <c r="AQ341" s="2269"/>
      <c r="AR341" s="2269"/>
      <c r="AS341" s="2269"/>
      <c r="AT341" s="2269"/>
      <c r="AU341" s="2269"/>
      <c r="AV341" s="2269"/>
      <c r="AW341" s="2269"/>
      <c r="AX341" s="2269"/>
      <c r="AY341" s="2269"/>
      <c r="AZ341" s="2269"/>
      <c r="BA341" s="2269"/>
      <c r="BB341" s="2269"/>
      <c r="BC341" s="2269"/>
      <c r="BD341" s="2269"/>
      <c r="BE341" s="2269"/>
      <c r="BF341" s="2269"/>
      <c r="BG341" s="2269"/>
      <c r="BH341" s="2269"/>
      <c r="BI341" s="2269"/>
      <c r="BJ341" s="2269"/>
      <c r="BK341" s="2269"/>
      <c r="BL341" s="2269"/>
      <c r="BM341" s="2269"/>
      <c r="BN341" s="2269"/>
      <c r="BO341" s="2269"/>
      <c r="BP341" s="2269"/>
      <c r="BQ341" s="2269"/>
      <c r="BR341" s="2269"/>
      <c r="BS341" s="2269"/>
      <c r="BT341" s="2269"/>
      <c r="BU341" s="2269"/>
      <c r="BV341" s="2269"/>
      <c r="BW341" s="2269"/>
      <c r="BX341" s="2269"/>
      <c r="BY341" s="2269"/>
      <c r="BZ341" s="2269"/>
      <c r="CA341" s="2269"/>
    </row>
    <row r="342" spans="1:79">
      <c r="A342" s="2269"/>
      <c r="B342" s="2269"/>
      <c r="C342" s="2269"/>
      <c r="D342" s="2269"/>
      <c r="E342" s="2269"/>
      <c r="F342" s="2269"/>
      <c r="G342" s="2269"/>
      <c r="H342" s="2269"/>
      <c r="I342" s="2269"/>
      <c r="J342" s="2269"/>
      <c r="K342" s="2269"/>
      <c r="L342" s="2269"/>
      <c r="M342" s="2269"/>
      <c r="N342" s="2269"/>
      <c r="O342" s="2269"/>
      <c r="P342" s="2269"/>
      <c r="Q342" s="2269"/>
      <c r="R342" s="2269"/>
      <c r="S342" s="2269"/>
      <c r="T342" s="2269"/>
      <c r="U342" s="2269"/>
      <c r="V342" s="2269"/>
      <c r="W342" s="2269"/>
      <c r="X342" s="2269"/>
      <c r="Y342" s="2269"/>
      <c r="Z342" s="2269"/>
      <c r="AA342" s="2269"/>
      <c r="AB342" s="2269"/>
      <c r="AC342" s="2269"/>
      <c r="AD342" s="2269"/>
      <c r="AE342" s="2269"/>
      <c r="AF342" s="2269"/>
      <c r="AG342" s="2269"/>
      <c r="AH342" s="2269"/>
      <c r="AI342" s="2269"/>
      <c r="AJ342" s="2269"/>
      <c r="AK342" s="2269"/>
      <c r="AL342" s="2269"/>
      <c r="AM342" s="2269"/>
      <c r="AN342" s="2269"/>
      <c r="AO342" s="2269"/>
      <c r="AP342" s="2269"/>
      <c r="AQ342" s="2269"/>
      <c r="AR342" s="2269"/>
      <c r="AS342" s="2269"/>
      <c r="AT342" s="2269"/>
      <c r="AU342" s="2269"/>
      <c r="AV342" s="2269"/>
      <c r="AW342" s="2269"/>
      <c r="AX342" s="2269"/>
      <c r="AY342" s="2269"/>
      <c r="AZ342" s="2269"/>
      <c r="BA342" s="2269"/>
      <c r="BB342" s="2269"/>
      <c r="BC342" s="2269"/>
      <c r="BD342" s="2269"/>
      <c r="BE342" s="2269"/>
      <c r="BF342" s="2269"/>
      <c r="BG342" s="2269"/>
      <c r="BH342" s="2269"/>
      <c r="BI342" s="2269"/>
      <c r="BJ342" s="2269"/>
      <c r="BK342" s="2269"/>
      <c r="BL342" s="2269"/>
      <c r="BM342" s="2269"/>
      <c r="BN342" s="2269"/>
      <c r="BO342" s="2269"/>
      <c r="BP342" s="2269"/>
      <c r="BQ342" s="2269"/>
      <c r="BR342" s="2269"/>
      <c r="BS342" s="2269"/>
      <c r="BT342" s="2269"/>
      <c r="BU342" s="2269"/>
      <c r="BV342" s="2269"/>
      <c r="BW342" s="2269"/>
      <c r="BX342" s="2269"/>
      <c r="BY342" s="2269"/>
      <c r="BZ342" s="2269"/>
      <c r="CA342" s="2269"/>
    </row>
    <row r="343" spans="1:79">
      <c r="A343" s="2269"/>
      <c r="B343" s="2269"/>
      <c r="C343" s="2269"/>
      <c r="D343" s="2269"/>
      <c r="E343" s="2269"/>
      <c r="F343" s="2269"/>
      <c r="G343" s="2269"/>
      <c r="H343" s="2269"/>
      <c r="I343" s="2269"/>
      <c r="J343" s="2269"/>
      <c r="K343" s="2269"/>
      <c r="L343" s="2269"/>
      <c r="M343" s="2269"/>
      <c r="N343" s="2269"/>
      <c r="O343" s="2269"/>
      <c r="P343" s="2269"/>
      <c r="Q343" s="2269"/>
      <c r="R343" s="2269"/>
      <c r="S343" s="2269"/>
      <c r="T343" s="2269"/>
      <c r="U343" s="2269"/>
      <c r="V343" s="2269"/>
      <c r="W343" s="2269"/>
      <c r="X343" s="2269"/>
      <c r="Y343" s="2269"/>
      <c r="Z343" s="2269"/>
      <c r="AA343" s="2269"/>
      <c r="AB343" s="2269"/>
      <c r="AC343" s="2269"/>
      <c r="AD343" s="2269"/>
      <c r="AE343" s="2269"/>
      <c r="AF343" s="2269"/>
      <c r="AG343" s="2269"/>
      <c r="AH343" s="2269"/>
      <c r="AI343" s="2269"/>
      <c r="AJ343" s="2269"/>
      <c r="AK343" s="2269"/>
      <c r="AL343" s="2269"/>
      <c r="AM343" s="2269"/>
      <c r="AN343" s="2269"/>
      <c r="AO343" s="2269"/>
      <c r="AP343" s="2269"/>
      <c r="AQ343" s="2269"/>
      <c r="AR343" s="2269"/>
      <c r="AS343" s="2269"/>
      <c r="AT343" s="2269"/>
      <c r="AU343" s="2269"/>
      <c r="AV343" s="2269"/>
      <c r="AW343" s="2269"/>
      <c r="AX343" s="2269"/>
      <c r="AY343" s="2269"/>
      <c r="AZ343" s="2269"/>
      <c r="BA343" s="2269"/>
      <c r="BB343" s="2269"/>
      <c r="BC343" s="2269"/>
      <c r="BD343" s="2269"/>
      <c r="BE343" s="2269"/>
      <c r="BF343" s="2269"/>
      <c r="BG343" s="2269"/>
      <c r="BH343" s="2269"/>
      <c r="BI343" s="2269"/>
      <c r="BJ343" s="2269"/>
      <c r="BK343" s="2269"/>
      <c r="BL343" s="2269"/>
      <c r="BM343" s="2269"/>
      <c r="BN343" s="2269"/>
      <c r="BO343" s="2269"/>
      <c r="BP343" s="2269"/>
      <c r="BQ343" s="2269"/>
      <c r="BR343" s="2269"/>
      <c r="BS343" s="2269"/>
      <c r="BT343" s="2269"/>
      <c r="BU343" s="2269"/>
      <c r="BV343" s="2269"/>
      <c r="BW343" s="2269"/>
      <c r="BX343" s="2269"/>
      <c r="BY343" s="2269"/>
      <c r="BZ343" s="2269"/>
      <c r="CA343" s="2269"/>
    </row>
    <row r="344" spans="1:79">
      <c r="A344" s="2269"/>
      <c r="B344" s="2269"/>
      <c r="C344" s="2269"/>
      <c r="D344" s="2269"/>
      <c r="E344" s="2269"/>
      <c r="F344" s="2269"/>
      <c r="G344" s="2269"/>
      <c r="H344" s="2269"/>
      <c r="I344" s="2269"/>
      <c r="J344" s="2269"/>
      <c r="K344" s="2269"/>
      <c r="L344" s="2269"/>
      <c r="M344" s="2269"/>
      <c r="N344" s="2269"/>
      <c r="O344" s="2269"/>
      <c r="P344" s="2269"/>
      <c r="Q344" s="2269"/>
      <c r="R344" s="2269"/>
      <c r="S344" s="2269"/>
      <c r="T344" s="2269"/>
      <c r="U344" s="2269"/>
      <c r="V344" s="2269"/>
      <c r="W344" s="2269"/>
      <c r="X344" s="2269"/>
      <c r="Y344" s="2269"/>
      <c r="Z344" s="2269"/>
      <c r="AA344" s="2269"/>
      <c r="AB344" s="2269"/>
      <c r="AC344" s="2269"/>
      <c r="AD344" s="2269"/>
      <c r="AE344" s="2269"/>
      <c r="AF344" s="2269"/>
      <c r="AG344" s="2269"/>
      <c r="AH344" s="2269"/>
      <c r="AI344" s="2269"/>
      <c r="AJ344" s="2269"/>
      <c r="AK344" s="2269"/>
      <c r="AL344" s="2269"/>
      <c r="AM344" s="2269"/>
      <c r="AN344" s="2269"/>
      <c r="AO344" s="2269"/>
      <c r="AP344" s="2269"/>
      <c r="AQ344" s="2269"/>
      <c r="AR344" s="2269"/>
      <c r="AS344" s="2269"/>
      <c r="AT344" s="2269"/>
      <c r="AU344" s="2269"/>
      <c r="AV344" s="2269"/>
      <c r="AW344" s="2269"/>
      <c r="AX344" s="2269"/>
      <c r="AY344" s="2269"/>
      <c r="AZ344" s="2269"/>
      <c r="BA344" s="2269"/>
      <c r="BB344" s="2269"/>
      <c r="BC344" s="2269"/>
      <c r="BD344" s="2269"/>
      <c r="BE344" s="2269"/>
      <c r="BF344" s="2269"/>
      <c r="BG344" s="2269"/>
      <c r="BH344" s="2269"/>
      <c r="BI344" s="2269"/>
      <c r="BJ344" s="2269"/>
      <c r="BK344" s="2269"/>
      <c r="BL344" s="2269"/>
      <c r="BM344" s="2269"/>
      <c r="BN344" s="2269"/>
      <c r="BO344" s="2269"/>
      <c r="BP344" s="2269"/>
      <c r="BQ344" s="2269"/>
      <c r="BR344" s="2269"/>
      <c r="BS344" s="2269"/>
      <c r="BT344" s="2269"/>
      <c r="BU344" s="2269"/>
      <c r="BV344" s="2269"/>
      <c r="BW344" s="2269"/>
      <c r="BX344" s="2269"/>
      <c r="BY344" s="2269"/>
      <c r="BZ344" s="2269"/>
      <c r="CA344" s="2269"/>
    </row>
    <row r="345" spans="1:79">
      <c r="A345" s="2269"/>
      <c r="B345" s="2269"/>
      <c r="C345" s="2269"/>
      <c r="D345" s="2269"/>
      <c r="E345" s="2269"/>
      <c r="F345" s="2269"/>
      <c r="G345" s="2269"/>
      <c r="H345" s="2269"/>
      <c r="I345" s="2269"/>
      <c r="J345" s="2269"/>
      <c r="K345" s="2269"/>
      <c r="L345" s="2269"/>
      <c r="M345" s="2269"/>
      <c r="N345" s="2269"/>
      <c r="O345" s="2269"/>
      <c r="P345" s="2269"/>
      <c r="Q345" s="2269"/>
      <c r="R345" s="2269"/>
      <c r="S345" s="2269"/>
      <c r="T345" s="2269"/>
      <c r="U345" s="2269"/>
      <c r="V345" s="2269"/>
      <c r="W345" s="2269"/>
      <c r="X345" s="2269"/>
      <c r="Y345" s="2269"/>
      <c r="Z345" s="2269"/>
      <c r="AA345" s="2269"/>
      <c r="AB345" s="2269"/>
      <c r="AC345" s="2269"/>
      <c r="AD345" s="2269"/>
      <c r="AE345" s="2269"/>
      <c r="AF345" s="2269"/>
      <c r="AG345" s="2269"/>
      <c r="AH345" s="2269"/>
      <c r="AI345" s="2269"/>
      <c r="AJ345" s="2269"/>
      <c r="AK345" s="2269"/>
      <c r="AL345" s="2269"/>
      <c r="AM345" s="2269"/>
      <c r="AN345" s="2269"/>
      <c r="AO345" s="2269"/>
      <c r="AP345" s="2269"/>
      <c r="AQ345" s="2269"/>
      <c r="AR345" s="2269"/>
      <c r="AS345" s="2269"/>
      <c r="AT345" s="2269"/>
      <c r="AU345" s="2269"/>
      <c r="AV345" s="2269"/>
      <c r="AW345" s="2269"/>
      <c r="AX345" s="2269"/>
      <c r="AY345" s="2269"/>
      <c r="AZ345" s="2269"/>
      <c r="BA345" s="2269"/>
      <c r="BB345" s="2269"/>
      <c r="BC345" s="2269"/>
      <c r="BD345" s="2269"/>
      <c r="BE345" s="2269"/>
      <c r="BF345" s="2269"/>
      <c r="BG345" s="2269"/>
      <c r="BH345" s="2269"/>
      <c r="BI345" s="2269"/>
      <c r="BJ345" s="2269"/>
      <c r="BK345" s="2269"/>
      <c r="BL345" s="2269"/>
      <c r="BM345" s="2269"/>
      <c r="BN345" s="2269"/>
      <c r="BO345" s="2269"/>
      <c r="BP345" s="2269"/>
      <c r="BQ345" s="2269"/>
      <c r="BR345" s="2269"/>
      <c r="BS345" s="2269"/>
      <c r="BT345" s="2269"/>
      <c r="BU345" s="2269"/>
      <c r="BV345" s="2269"/>
      <c r="BW345" s="2269"/>
      <c r="BX345" s="2269"/>
      <c r="BY345" s="2269"/>
      <c r="BZ345" s="2269"/>
      <c r="CA345" s="2269"/>
    </row>
    <row r="346" spans="1:79">
      <c r="A346" s="2269"/>
      <c r="B346" s="2269"/>
      <c r="C346" s="2269"/>
      <c r="D346" s="2269"/>
      <c r="E346" s="2269"/>
      <c r="F346" s="2269"/>
      <c r="G346" s="2269"/>
      <c r="H346" s="2269"/>
      <c r="I346" s="2269"/>
      <c r="J346" s="2269"/>
      <c r="K346" s="2269"/>
      <c r="L346" s="2269"/>
      <c r="M346" s="2269"/>
      <c r="N346" s="2269"/>
      <c r="O346" s="2269"/>
      <c r="P346" s="2269"/>
      <c r="Q346" s="2269"/>
      <c r="R346" s="2269"/>
      <c r="S346" s="2269"/>
      <c r="T346" s="2269"/>
      <c r="U346" s="2269"/>
      <c r="V346" s="2269"/>
      <c r="W346" s="2269"/>
      <c r="X346" s="2269"/>
      <c r="Y346" s="2269"/>
      <c r="Z346" s="2269"/>
      <c r="AA346" s="2269"/>
      <c r="AB346" s="2269"/>
      <c r="AC346" s="2269"/>
      <c r="AD346" s="2269"/>
      <c r="AE346" s="2269"/>
      <c r="AF346" s="2269"/>
      <c r="AG346" s="2269"/>
      <c r="AH346" s="2269"/>
      <c r="AI346" s="2269"/>
      <c r="AJ346" s="2269"/>
      <c r="AK346" s="2269"/>
      <c r="AL346" s="2269"/>
      <c r="AM346" s="2269"/>
      <c r="AN346" s="2269"/>
      <c r="AO346" s="2269"/>
      <c r="AP346" s="2269"/>
      <c r="AQ346" s="2269"/>
      <c r="AR346" s="2269"/>
      <c r="AS346" s="2269"/>
      <c r="AT346" s="2269"/>
      <c r="AU346" s="2269"/>
      <c r="AV346" s="2269"/>
      <c r="AW346" s="2269"/>
      <c r="AX346" s="2269"/>
      <c r="AY346" s="2269"/>
      <c r="AZ346" s="2269"/>
      <c r="BA346" s="2269"/>
      <c r="BB346" s="2269"/>
      <c r="BC346" s="2269"/>
      <c r="BD346" s="2269"/>
      <c r="BE346" s="2269"/>
      <c r="BF346" s="2269"/>
      <c r="BG346" s="2269"/>
      <c r="BH346" s="2269"/>
      <c r="BI346" s="2269"/>
      <c r="BJ346" s="2269"/>
      <c r="BK346" s="2269"/>
      <c r="BL346" s="2269"/>
      <c r="BM346" s="2269"/>
      <c r="BN346" s="2269"/>
      <c r="BO346" s="2269"/>
      <c r="BP346" s="2269"/>
      <c r="BQ346" s="2269"/>
      <c r="BR346" s="2269"/>
      <c r="BS346" s="2269"/>
      <c r="BT346" s="2269"/>
      <c r="BU346" s="2269"/>
      <c r="BV346" s="2269"/>
      <c r="BW346" s="2269"/>
      <c r="BX346" s="2269"/>
      <c r="BY346" s="2269"/>
      <c r="BZ346" s="2269"/>
      <c r="CA346" s="2269"/>
    </row>
    <row r="347" spans="1:79">
      <c r="A347" s="2269"/>
      <c r="B347" s="2269"/>
      <c r="C347" s="2269"/>
      <c r="D347" s="2269"/>
      <c r="E347" s="2269"/>
      <c r="F347" s="2269"/>
      <c r="G347" s="2269"/>
      <c r="H347" s="2269"/>
      <c r="I347" s="2269"/>
      <c r="J347" s="2269"/>
      <c r="K347" s="2269"/>
      <c r="L347" s="2269"/>
      <c r="M347" s="2269"/>
      <c r="N347" s="2269"/>
      <c r="O347" s="2269"/>
      <c r="P347" s="2269"/>
      <c r="Q347" s="2269"/>
      <c r="R347" s="2269"/>
      <c r="S347" s="2269"/>
      <c r="T347" s="2269"/>
      <c r="U347" s="2269"/>
      <c r="V347" s="2269"/>
      <c r="W347" s="2269"/>
      <c r="X347" s="2269"/>
      <c r="Y347" s="2269"/>
      <c r="Z347" s="2269"/>
      <c r="AA347" s="2269"/>
      <c r="AB347" s="2269"/>
      <c r="AC347" s="2269"/>
      <c r="AD347" s="2269"/>
      <c r="AE347" s="2269"/>
      <c r="AF347" s="2269"/>
      <c r="AG347" s="2269"/>
      <c r="AH347" s="2269"/>
      <c r="AI347" s="2269"/>
      <c r="AJ347" s="2269"/>
      <c r="AK347" s="2269"/>
      <c r="AL347" s="2269"/>
      <c r="AM347" s="2269"/>
      <c r="AN347" s="2269"/>
      <c r="AO347" s="2269"/>
      <c r="AP347" s="2269"/>
      <c r="AQ347" s="2269"/>
      <c r="AR347" s="2269"/>
      <c r="AS347" s="2269"/>
      <c r="AT347" s="2269"/>
      <c r="AU347" s="2269"/>
      <c r="AV347" s="2269"/>
      <c r="AW347" s="2269"/>
      <c r="AX347" s="2269"/>
      <c r="AY347" s="2269"/>
      <c r="AZ347" s="2269"/>
      <c r="BA347" s="2269"/>
      <c r="BB347" s="2269"/>
      <c r="BC347" s="2269"/>
      <c r="BD347" s="2269"/>
      <c r="BE347" s="2269"/>
      <c r="BF347" s="2269"/>
      <c r="BG347" s="2269"/>
      <c r="BH347" s="2269"/>
      <c r="BI347" s="2269"/>
      <c r="BJ347" s="2269"/>
      <c r="BK347" s="2269"/>
      <c r="BL347" s="2269"/>
      <c r="BM347" s="2269"/>
      <c r="BN347" s="2269"/>
      <c r="BO347" s="2269"/>
      <c r="BP347" s="2269"/>
      <c r="BQ347" s="2269"/>
      <c r="BR347" s="2269"/>
      <c r="BS347" s="2269"/>
      <c r="BT347" s="2269"/>
      <c r="BU347" s="2269"/>
      <c r="BV347" s="2269"/>
      <c r="BW347" s="2269"/>
      <c r="BX347" s="2269"/>
      <c r="BY347" s="2269"/>
      <c r="BZ347" s="2269"/>
      <c r="CA347" s="2269"/>
    </row>
    <row r="348" spans="1:79">
      <c r="A348" s="2269"/>
      <c r="B348" s="2269"/>
      <c r="C348" s="2269"/>
      <c r="D348" s="2269"/>
      <c r="E348" s="2269"/>
      <c r="F348" s="2269"/>
      <c r="G348" s="2269"/>
      <c r="H348" s="2269"/>
      <c r="I348" s="2269"/>
      <c r="J348" s="2269"/>
      <c r="K348" s="2269"/>
      <c r="L348" s="2269"/>
      <c r="M348" s="2269"/>
      <c r="N348" s="2269"/>
      <c r="O348" s="2269"/>
      <c r="P348" s="2269"/>
      <c r="Q348" s="2269"/>
      <c r="R348" s="2269"/>
      <c r="S348" s="2269"/>
      <c r="T348" s="2269"/>
      <c r="U348" s="2269"/>
      <c r="V348" s="2269"/>
      <c r="W348" s="2269"/>
      <c r="X348" s="2269"/>
      <c r="Y348" s="2269"/>
      <c r="Z348" s="2269"/>
      <c r="AA348" s="2269"/>
      <c r="AB348" s="2269"/>
      <c r="AC348" s="2269"/>
      <c r="AD348" s="2269"/>
      <c r="AE348" s="2269"/>
      <c r="AF348" s="2269"/>
      <c r="AG348" s="2269"/>
      <c r="AH348" s="2269"/>
      <c r="AI348" s="2269"/>
      <c r="AJ348" s="2269"/>
      <c r="AK348" s="2269"/>
      <c r="AL348" s="2269"/>
      <c r="AM348" s="2269"/>
      <c r="AN348" s="2269"/>
      <c r="AO348" s="2269"/>
      <c r="AP348" s="2269"/>
      <c r="AQ348" s="2269"/>
      <c r="AR348" s="2269"/>
      <c r="AS348" s="2269"/>
      <c r="AT348" s="2269"/>
      <c r="AU348" s="2269"/>
      <c r="AV348" s="2269"/>
      <c r="AW348" s="2269"/>
      <c r="AX348" s="2269"/>
      <c r="AY348" s="2269"/>
      <c r="AZ348" s="2269"/>
      <c r="BA348" s="2269"/>
      <c r="BB348" s="2269"/>
      <c r="BC348" s="2269"/>
      <c r="BD348" s="2269"/>
      <c r="BE348" s="2269"/>
      <c r="BF348" s="2269"/>
      <c r="BG348" s="2269"/>
      <c r="BH348" s="2269"/>
      <c r="BI348" s="2269"/>
      <c r="BJ348" s="2269"/>
      <c r="BK348" s="2269"/>
      <c r="BL348" s="2269"/>
      <c r="BM348" s="2269"/>
      <c r="BN348" s="2269"/>
      <c r="BO348" s="2269"/>
      <c r="BP348" s="2269"/>
      <c r="BQ348" s="2269"/>
      <c r="BR348" s="2269"/>
      <c r="BS348" s="2269"/>
      <c r="BT348" s="2269"/>
      <c r="BU348" s="2269"/>
      <c r="BV348" s="2269"/>
      <c r="BW348" s="2269"/>
      <c r="BX348" s="2269"/>
      <c r="BY348" s="2269"/>
      <c r="BZ348" s="2269"/>
      <c r="CA348" s="2269"/>
    </row>
    <row r="349" spans="1:79">
      <c r="A349" s="2269"/>
      <c r="B349" s="2269"/>
      <c r="C349" s="2269"/>
      <c r="D349" s="2269"/>
      <c r="E349" s="2269"/>
      <c r="F349" s="2269"/>
      <c r="G349" s="2269"/>
      <c r="H349" s="2269"/>
      <c r="I349" s="2269"/>
      <c r="J349" s="2269"/>
      <c r="K349" s="2269"/>
      <c r="L349" s="2269"/>
      <c r="M349" s="2269"/>
      <c r="N349" s="2269"/>
      <c r="O349" s="2269"/>
      <c r="P349" s="2269"/>
      <c r="Q349" s="2269"/>
      <c r="R349" s="2269"/>
      <c r="S349" s="2269"/>
      <c r="T349" s="2269"/>
      <c r="U349" s="2269"/>
      <c r="V349" s="2269"/>
      <c r="W349" s="2269"/>
      <c r="X349" s="2269"/>
      <c r="Y349" s="2269"/>
      <c r="Z349" s="2269"/>
      <c r="AA349" s="2269"/>
      <c r="AB349" s="2269"/>
      <c r="AC349" s="2269"/>
      <c r="AD349" s="2269"/>
      <c r="AE349" s="2269"/>
      <c r="AF349" s="2269"/>
      <c r="AG349" s="2269"/>
      <c r="AH349" s="2269"/>
      <c r="AI349" s="2269"/>
      <c r="AJ349" s="2269"/>
      <c r="AK349" s="2269"/>
      <c r="AL349" s="2269"/>
      <c r="AM349" s="2269"/>
      <c r="AN349" s="2269"/>
      <c r="AO349" s="2269"/>
      <c r="AP349" s="2269"/>
      <c r="AQ349" s="2269"/>
      <c r="AR349" s="2269"/>
      <c r="AS349" s="2269"/>
      <c r="AT349" s="2269"/>
      <c r="AU349" s="2269"/>
      <c r="AV349" s="2269"/>
      <c r="AW349" s="2269"/>
      <c r="AX349" s="2269"/>
      <c r="AY349" s="2269"/>
      <c r="AZ349" s="2269"/>
      <c r="BA349" s="2269"/>
      <c r="BB349" s="2269"/>
      <c r="BC349" s="2269"/>
      <c r="BD349" s="2269"/>
      <c r="BE349" s="2269"/>
      <c r="BF349" s="2269"/>
      <c r="BG349" s="2269"/>
      <c r="BH349" s="2269"/>
      <c r="BI349" s="2269"/>
      <c r="BJ349" s="2269"/>
      <c r="BK349" s="2269"/>
      <c r="BL349" s="2269"/>
      <c r="BM349" s="2269"/>
      <c r="BN349" s="2269"/>
      <c r="BO349" s="2269"/>
      <c r="BP349" s="2269"/>
      <c r="BQ349" s="2269"/>
      <c r="BR349" s="2269"/>
      <c r="BS349" s="2269"/>
      <c r="BT349" s="2269"/>
      <c r="BU349" s="2269"/>
      <c r="BV349" s="2269"/>
      <c r="BW349" s="2269"/>
      <c r="BX349" s="2269"/>
      <c r="BY349" s="2269"/>
      <c r="BZ349" s="2269"/>
      <c r="CA349" s="2269"/>
    </row>
    <row r="350" spans="1:79">
      <c r="A350" s="2269"/>
      <c r="B350" s="2269"/>
      <c r="C350" s="2269"/>
      <c r="D350" s="2269"/>
      <c r="E350" s="2269"/>
      <c r="F350" s="2269"/>
      <c r="G350" s="2269"/>
      <c r="H350" s="2269"/>
      <c r="I350" s="2269"/>
      <c r="J350" s="2269"/>
      <c r="K350" s="2269"/>
      <c r="L350" s="2269"/>
      <c r="M350" s="2269"/>
      <c r="N350" s="2269"/>
      <c r="O350" s="2269"/>
      <c r="P350" s="2269"/>
      <c r="Q350" s="2269"/>
      <c r="R350" s="2269"/>
      <c r="S350" s="2269"/>
      <c r="T350" s="2269"/>
      <c r="U350" s="2269"/>
      <c r="V350" s="2269"/>
      <c r="W350" s="2269"/>
      <c r="X350" s="2269"/>
      <c r="Y350" s="2269"/>
      <c r="Z350" s="2269"/>
      <c r="AA350" s="2269"/>
      <c r="AB350" s="2269"/>
      <c r="AC350" s="2269"/>
      <c r="AD350" s="2269"/>
      <c r="AE350" s="2269"/>
      <c r="AF350" s="2269"/>
      <c r="AG350" s="2269"/>
      <c r="AH350" s="2269"/>
      <c r="AI350" s="2269"/>
      <c r="AJ350" s="2269"/>
      <c r="AK350" s="2269"/>
      <c r="AL350" s="2269"/>
      <c r="AM350" s="2269"/>
      <c r="AN350" s="2269"/>
      <c r="AO350" s="2269"/>
      <c r="AP350" s="2269"/>
      <c r="AQ350" s="2269"/>
      <c r="AR350" s="2269"/>
      <c r="AS350" s="2269"/>
      <c r="AT350" s="2269"/>
      <c r="AU350" s="2269"/>
      <c r="AV350" s="2269"/>
      <c r="AW350" s="2269"/>
      <c r="AX350" s="2269"/>
      <c r="AY350" s="2269"/>
      <c r="AZ350" s="2269"/>
      <c r="BA350" s="2269"/>
      <c r="BB350" s="2269"/>
      <c r="BC350" s="2269"/>
      <c r="BD350" s="2269"/>
      <c r="BE350" s="2269"/>
      <c r="BF350" s="2269"/>
      <c r="BG350" s="2269"/>
      <c r="BH350" s="2269"/>
      <c r="BI350" s="2269"/>
      <c r="BJ350" s="2269"/>
      <c r="BK350" s="2269"/>
      <c r="BL350" s="2269"/>
      <c r="BM350" s="2269"/>
      <c r="BN350" s="2269"/>
      <c r="BO350" s="2269"/>
      <c r="BP350" s="2269"/>
      <c r="BQ350" s="2269"/>
      <c r="BR350" s="2269"/>
      <c r="BS350" s="2269"/>
      <c r="BT350" s="2269"/>
      <c r="BU350" s="2269"/>
      <c r="BV350" s="2269"/>
      <c r="BW350" s="2269"/>
      <c r="BX350" s="2269"/>
      <c r="BY350" s="2269"/>
      <c r="BZ350" s="2269"/>
      <c r="CA350" s="2269"/>
    </row>
    <row r="351" spans="1:79">
      <c r="A351" s="2269"/>
      <c r="B351" s="2269"/>
      <c r="C351" s="2269"/>
      <c r="D351" s="2269"/>
      <c r="E351" s="2269"/>
      <c r="F351" s="2269"/>
      <c r="G351" s="2269"/>
      <c r="H351" s="2269"/>
      <c r="I351" s="2269"/>
      <c r="J351" s="2269"/>
      <c r="K351" s="2269"/>
      <c r="L351" s="2269"/>
      <c r="M351" s="2269"/>
      <c r="N351" s="2269"/>
      <c r="O351" s="2269"/>
      <c r="P351" s="2269"/>
      <c r="Q351" s="2269"/>
      <c r="R351" s="2269"/>
      <c r="S351" s="2269"/>
      <c r="T351" s="2269"/>
      <c r="U351" s="2269"/>
      <c r="V351" s="2269"/>
      <c r="W351" s="2269"/>
      <c r="X351" s="2269"/>
      <c r="Y351" s="2269"/>
      <c r="Z351" s="2269"/>
      <c r="AA351" s="2269"/>
      <c r="AB351" s="2269"/>
      <c r="AC351" s="2269"/>
      <c r="AD351" s="2269"/>
      <c r="AE351" s="2269"/>
      <c r="AF351" s="2269"/>
      <c r="AG351" s="2269"/>
      <c r="AH351" s="2269"/>
      <c r="AI351" s="2269"/>
      <c r="AJ351" s="2269"/>
      <c r="AK351" s="2269"/>
      <c r="AL351" s="2269"/>
      <c r="AM351" s="2269"/>
      <c r="AN351" s="2269"/>
      <c r="AO351" s="2269"/>
      <c r="AP351" s="2269"/>
      <c r="AQ351" s="2269"/>
      <c r="AR351" s="2269"/>
      <c r="AS351" s="2269"/>
      <c r="AT351" s="2269"/>
      <c r="AU351" s="2269"/>
      <c r="AV351" s="2269"/>
      <c r="AW351" s="2269"/>
      <c r="AX351" s="2269"/>
      <c r="AY351" s="2269"/>
      <c r="AZ351" s="2269"/>
      <c r="BA351" s="2269"/>
      <c r="BB351" s="2269"/>
      <c r="BC351" s="2269"/>
      <c r="BD351" s="2269"/>
      <c r="BE351" s="2269"/>
      <c r="BF351" s="2269"/>
      <c r="BG351" s="2269"/>
      <c r="BH351" s="2269"/>
      <c r="BI351" s="2269"/>
      <c r="BJ351" s="2269"/>
      <c r="BK351" s="2269"/>
      <c r="BL351" s="2269"/>
      <c r="BM351" s="2269"/>
      <c r="BN351" s="2269"/>
      <c r="BO351" s="2269"/>
      <c r="BP351" s="2269"/>
      <c r="BQ351" s="2269"/>
      <c r="BR351" s="2269"/>
      <c r="BS351" s="2269"/>
      <c r="BT351" s="2269"/>
      <c r="BU351" s="2269"/>
      <c r="BV351" s="2269"/>
      <c r="BW351" s="2269"/>
      <c r="BX351" s="2269"/>
      <c r="BY351" s="2269"/>
      <c r="BZ351" s="2269"/>
      <c r="CA351" s="2269"/>
    </row>
    <row r="352" spans="1:79">
      <c r="A352" s="2269"/>
      <c r="B352" s="2269"/>
      <c r="C352" s="2269"/>
      <c r="D352" s="2269"/>
      <c r="E352" s="2269"/>
      <c r="F352" s="2269"/>
      <c r="G352" s="2269"/>
      <c r="H352" s="2269"/>
      <c r="I352" s="2269"/>
      <c r="J352" s="2269"/>
      <c r="K352" s="2269"/>
      <c r="L352" s="2269"/>
      <c r="M352" s="2269"/>
      <c r="N352" s="2269"/>
      <c r="O352" s="2269"/>
      <c r="P352" s="2269"/>
      <c r="Q352" s="2269"/>
      <c r="R352" s="2269"/>
      <c r="S352" s="2269"/>
      <c r="T352" s="2269"/>
      <c r="U352" s="2269"/>
      <c r="V352" s="2269"/>
      <c r="W352" s="2269"/>
      <c r="X352" s="2269"/>
      <c r="Y352" s="2269"/>
      <c r="Z352" s="2269"/>
      <c r="AA352" s="2269"/>
      <c r="AB352" s="2269"/>
      <c r="AC352" s="2269"/>
      <c r="AD352" s="2269"/>
      <c r="AE352" s="2269"/>
      <c r="AF352" s="2269"/>
      <c r="AG352" s="2269"/>
      <c r="AH352" s="2269"/>
      <c r="AI352" s="2269"/>
      <c r="AJ352" s="2269"/>
      <c r="AK352" s="2269"/>
      <c r="AL352" s="2269"/>
      <c r="AM352" s="2269"/>
      <c r="AN352" s="2269"/>
      <c r="AO352" s="2269"/>
      <c r="AP352" s="2269"/>
      <c r="AQ352" s="2269"/>
      <c r="AR352" s="2269"/>
      <c r="AS352" s="2269"/>
      <c r="AT352" s="2269"/>
      <c r="AU352" s="2269"/>
      <c r="AV352" s="2269"/>
      <c r="AW352" s="2269"/>
      <c r="AX352" s="2269"/>
      <c r="AY352" s="2269"/>
      <c r="AZ352" s="2269"/>
      <c r="BA352" s="2269"/>
      <c r="BB352" s="2269"/>
      <c r="BC352" s="2269"/>
      <c r="BD352" s="2269"/>
      <c r="BE352" s="2269"/>
      <c r="BF352" s="2269"/>
      <c r="BG352" s="2269"/>
      <c r="BH352" s="2269"/>
      <c r="BI352" s="2269"/>
      <c r="BJ352" s="2269"/>
      <c r="BK352" s="2269"/>
      <c r="BL352" s="2269"/>
      <c r="BM352" s="2269"/>
      <c r="BN352" s="2269"/>
      <c r="BO352" s="2269"/>
      <c r="BP352" s="2269"/>
      <c r="BQ352" s="2269"/>
      <c r="BR352" s="2269"/>
      <c r="BS352" s="2269"/>
      <c r="BT352" s="2269"/>
      <c r="BU352" s="2269"/>
      <c r="BV352" s="2269"/>
      <c r="BW352" s="2269"/>
      <c r="BX352" s="2269"/>
      <c r="BY352" s="2269"/>
      <c r="BZ352" s="2269"/>
      <c r="CA352" s="2269"/>
    </row>
    <row r="353" spans="1:79">
      <c r="A353" s="2269"/>
      <c r="B353" s="2269"/>
      <c r="C353" s="2269"/>
      <c r="D353" s="2269"/>
      <c r="E353" s="2269"/>
      <c r="F353" s="2269"/>
      <c r="G353" s="2269"/>
      <c r="H353" s="2269"/>
      <c r="I353" s="2269"/>
      <c r="J353" s="2269"/>
      <c r="K353" s="2269"/>
      <c r="L353" s="2269"/>
      <c r="M353" s="2269"/>
      <c r="N353" s="2269"/>
      <c r="O353" s="2269"/>
      <c r="P353" s="2269"/>
      <c r="Q353" s="2269"/>
      <c r="R353" s="2269"/>
      <c r="S353" s="2269"/>
      <c r="T353" s="2269"/>
      <c r="U353" s="2269"/>
      <c r="V353" s="2269"/>
      <c r="W353" s="2269"/>
      <c r="X353" s="2269"/>
      <c r="Y353" s="2269"/>
      <c r="Z353" s="2269"/>
      <c r="AA353" s="2269"/>
      <c r="AB353" s="2269"/>
      <c r="AC353" s="2269"/>
      <c r="AD353" s="2269"/>
      <c r="AE353" s="2269"/>
      <c r="AF353" s="2269"/>
      <c r="AG353" s="2269"/>
      <c r="AH353" s="2269"/>
      <c r="AI353" s="2269"/>
      <c r="AJ353" s="2269"/>
      <c r="AK353" s="2269"/>
      <c r="AL353" s="2269"/>
      <c r="AM353" s="2269"/>
      <c r="AN353" s="2269"/>
      <c r="AO353" s="2269"/>
      <c r="AP353" s="2269"/>
      <c r="AQ353" s="2269"/>
      <c r="AR353" s="2269"/>
      <c r="AS353" s="2269"/>
      <c r="AT353" s="2269"/>
      <c r="AU353" s="2269"/>
      <c r="AV353" s="2269"/>
      <c r="AW353" s="2269"/>
      <c r="AX353" s="2269"/>
      <c r="AY353" s="2269"/>
      <c r="AZ353" s="2269"/>
      <c r="BA353" s="2269"/>
      <c r="BB353" s="2269"/>
      <c r="BC353" s="2269"/>
      <c r="BD353" s="2269"/>
      <c r="BE353" s="2269"/>
      <c r="BF353" s="2269"/>
      <c r="BG353" s="2269"/>
      <c r="BH353" s="2269"/>
      <c r="BI353" s="2269"/>
      <c r="BJ353" s="2269"/>
      <c r="BK353" s="2269"/>
      <c r="BL353" s="2269"/>
      <c r="BM353" s="2269"/>
      <c r="BN353" s="2269"/>
      <c r="BO353" s="2269"/>
      <c r="BP353" s="2269"/>
      <c r="BQ353" s="2269"/>
      <c r="BR353" s="2269"/>
      <c r="BS353" s="2269"/>
      <c r="BT353" s="2269"/>
      <c r="BU353" s="2269"/>
      <c r="BV353" s="2269"/>
      <c r="BW353" s="2269"/>
      <c r="BX353" s="2269"/>
      <c r="BY353" s="2269"/>
      <c r="BZ353" s="2269"/>
      <c r="CA353" s="2269"/>
    </row>
    <row r="354" spans="1:79">
      <c r="A354" s="2269"/>
      <c r="B354" s="2269"/>
      <c r="C354" s="2269"/>
      <c r="D354" s="2269"/>
      <c r="E354" s="2269"/>
      <c r="F354" s="2269"/>
      <c r="G354" s="2269"/>
      <c r="H354" s="2269"/>
      <c r="I354" s="2269"/>
      <c r="J354" s="2269"/>
      <c r="K354" s="2269"/>
      <c r="L354" s="2269"/>
      <c r="M354" s="2269"/>
      <c r="N354" s="2269"/>
      <c r="O354" s="2269"/>
      <c r="P354" s="2269"/>
      <c r="Q354" s="2269"/>
      <c r="R354" s="2269"/>
      <c r="S354" s="2269"/>
      <c r="T354" s="2269"/>
      <c r="U354" s="2269"/>
      <c r="V354" s="2269"/>
      <c r="W354" s="2269"/>
      <c r="X354" s="2269"/>
      <c r="Y354" s="2269"/>
      <c r="Z354" s="2269"/>
      <c r="AA354" s="2269"/>
      <c r="AB354" s="2269"/>
      <c r="AC354" s="2269"/>
      <c r="AD354" s="2269"/>
      <c r="AE354" s="2269"/>
      <c r="AF354" s="2269"/>
      <c r="AG354" s="2269"/>
      <c r="AH354" s="2269"/>
      <c r="AI354" s="2269"/>
      <c r="AJ354" s="2269"/>
      <c r="AK354" s="2269"/>
      <c r="AL354" s="2269"/>
      <c r="AM354" s="2269"/>
      <c r="AN354" s="2269"/>
      <c r="AO354" s="2269"/>
      <c r="AP354" s="2269"/>
      <c r="AQ354" s="2269"/>
      <c r="AR354" s="2269"/>
      <c r="AS354" s="2269"/>
      <c r="AT354" s="2269"/>
      <c r="AU354" s="2269"/>
      <c r="AV354" s="2269"/>
      <c r="AW354" s="2269"/>
      <c r="AX354" s="2269"/>
      <c r="AY354" s="2269"/>
      <c r="AZ354" s="2269"/>
      <c r="BA354" s="2269"/>
      <c r="BB354" s="2269"/>
      <c r="BC354" s="2269"/>
      <c r="BD354" s="2269"/>
      <c r="BE354" s="2269"/>
      <c r="BF354" s="2269"/>
      <c r="BG354" s="2269"/>
      <c r="BH354" s="2269"/>
      <c r="BI354" s="2269"/>
      <c r="BJ354" s="2269"/>
      <c r="BK354" s="2269"/>
      <c r="BL354" s="2269"/>
      <c r="BM354" s="2269"/>
      <c r="BN354" s="2269"/>
      <c r="BO354" s="2269"/>
      <c r="BP354" s="2269"/>
      <c r="BQ354" s="2269"/>
      <c r="BR354" s="2269"/>
      <c r="BS354" s="2269"/>
      <c r="BT354" s="2269"/>
      <c r="BU354" s="2269"/>
      <c r="BV354" s="2269"/>
      <c r="BW354" s="2269"/>
      <c r="BX354" s="2269"/>
      <c r="BY354" s="2269"/>
      <c r="BZ354" s="2269"/>
      <c r="CA354" s="2269"/>
    </row>
    <row r="355" spans="1:79">
      <c r="A355" s="2269"/>
      <c r="B355" s="2269"/>
      <c r="C355" s="2269"/>
      <c r="D355" s="2269"/>
      <c r="E355" s="2269"/>
      <c r="F355" s="2269"/>
      <c r="G355" s="2269"/>
      <c r="H355" s="2269"/>
      <c r="I355" s="2269"/>
      <c r="J355" s="2269"/>
      <c r="K355" s="2269"/>
      <c r="L355" s="2269"/>
      <c r="M355" s="2269"/>
      <c r="N355" s="2269"/>
      <c r="O355" s="2269"/>
      <c r="P355" s="2269"/>
      <c r="Q355" s="2269"/>
      <c r="R355" s="2269"/>
      <c r="S355" s="2269"/>
      <c r="T355" s="2269"/>
      <c r="U355" s="2269"/>
      <c r="V355" s="2269"/>
      <c r="W355" s="2269"/>
      <c r="X355" s="2269"/>
      <c r="Y355" s="2269"/>
      <c r="Z355" s="2269"/>
      <c r="AA355" s="2269"/>
      <c r="AB355" s="2269"/>
      <c r="AC355" s="2269"/>
      <c r="AD355" s="2269"/>
      <c r="AE355" s="2269"/>
      <c r="AF355" s="2269"/>
      <c r="AG355" s="2269"/>
      <c r="AH355" s="2269"/>
      <c r="AI355" s="2269"/>
      <c r="AJ355" s="2269"/>
      <c r="AK355" s="2269"/>
      <c r="AL355" s="2269"/>
      <c r="AM355" s="2269"/>
      <c r="AN355" s="2269"/>
      <c r="AO355" s="2269"/>
      <c r="AP355" s="2269"/>
      <c r="AQ355" s="2269"/>
      <c r="AR355" s="2269"/>
      <c r="AS355" s="2269"/>
      <c r="AT355" s="2269"/>
      <c r="AU355" s="2269"/>
      <c r="AV355" s="2269"/>
      <c r="AW355" s="2269"/>
      <c r="AX355" s="2269"/>
      <c r="AY355" s="2269"/>
      <c r="AZ355" s="2269"/>
      <c r="BA355" s="2269"/>
      <c r="BB355" s="2269"/>
      <c r="BC355" s="2269"/>
      <c r="BD355" s="2269"/>
      <c r="BE355" s="2269"/>
      <c r="BF355" s="2269"/>
      <c r="BG355" s="2269"/>
      <c r="BH355" s="2269"/>
      <c r="BI355" s="2269"/>
      <c r="BJ355" s="2269"/>
      <c r="BK355" s="2269"/>
      <c r="BL355" s="2269"/>
      <c r="BM355" s="2269"/>
      <c r="BN355" s="2269"/>
      <c r="BO355" s="2269"/>
      <c r="BP355" s="2269"/>
      <c r="BQ355" s="2269"/>
      <c r="BR355" s="2269"/>
      <c r="BS355" s="2269"/>
      <c r="BT355" s="2269"/>
      <c r="BU355" s="2269"/>
      <c r="BV355" s="2269"/>
      <c r="BW355" s="2269"/>
      <c r="BX355" s="2269"/>
      <c r="BY355" s="2269"/>
      <c r="BZ355" s="2269"/>
      <c r="CA355" s="2269"/>
    </row>
    <row r="356" spans="1:79">
      <c r="A356" s="2269"/>
      <c r="B356" s="2269"/>
      <c r="C356" s="2269"/>
      <c r="D356" s="2269"/>
      <c r="E356" s="2269"/>
      <c r="F356" s="2269"/>
      <c r="G356" s="2269"/>
      <c r="H356" s="2269"/>
      <c r="I356" s="2269"/>
      <c r="J356" s="2269"/>
      <c r="K356" s="2269"/>
      <c r="L356" s="2269"/>
      <c r="M356" s="2269"/>
      <c r="N356" s="2269"/>
      <c r="O356" s="2269"/>
      <c r="P356" s="2269"/>
      <c r="Q356" s="2269"/>
      <c r="R356" s="2269"/>
      <c r="S356" s="2269"/>
      <c r="T356" s="2269"/>
      <c r="U356" s="2269"/>
      <c r="V356" s="2269"/>
      <c r="W356" s="2269"/>
      <c r="X356" s="2269"/>
      <c r="Y356" s="2269"/>
      <c r="Z356" s="2269"/>
      <c r="AA356" s="2269"/>
      <c r="AB356" s="2269"/>
      <c r="AC356" s="2269"/>
      <c r="AD356" s="2269"/>
      <c r="AE356" s="2269"/>
      <c r="AF356" s="2269"/>
      <c r="AG356" s="2269"/>
      <c r="AH356" s="2269"/>
      <c r="AI356" s="2269"/>
      <c r="AJ356" s="2269"/>
      <c r="AK356" s="2269"/>
      <c r="AL356" s="2269"/>
      <c r="AM356" s="2269"/>
      <c r="AN356" s="2269"/>
      <c r="AO356" s="2269"/>
      <c r="AP356" s="2269"/>
      <c r="AQ356" s="2269"/>
      <c r="AR356" s="2269"/>
      <c r="AS356" s="2269"/>
      <c r="AT356" s="2269"/>
      <c r="AU356" s="2269"/>
      <c r="AV356" s="2269"/>
      <c r="AW356" s="2269"/>
      <c r="AX356" s="2269"/>
      <c r="AY356" s="2269"/>
      <c r="AZ356" s="2269"/>
      <c r="BA356" s="2269"/>
      <c r="BB356" s="2269"/>
      <c r="BC356" s="2269"/>
      <c r="BD356" s="2269"/>
      <c r="BE356" s="2269"/>
      <c r="BF356" s="2269"/>
      <c r="BG356" s="2269"/>
      <c r="BH356" s="2269"/>
      <c r="BI356" s="2269"/>
      <c r="BJ356" s="2269"/>
      <c r="BK356" s="2269"/>
      <c r="BL356" s="2269"/>
      <c r="BM356" s="2269"/>
      <c r="BN356" s="2269"/>
      <c r="BO356" s="2269"/>
      <c r="BP356" s="2269"/>
      <c r="BQ356" s="2269"/>
      <c r="BR356" s="2269"/>
      <c r="BS356" s="2269"/>
      <c r="BT356" s="2269"/>
      <c r="BU356" s="2269"/>
      <c r="BV356" s="2269"/>
      <c r="BW356" s="2269"/>
      <c r="BX356" s="2269"/>
      <c r="BY356" s="2269"/>
      <c r="BZ356" s="2269"/>
      <c r="CA356" s="2269"/>
    </row>
    <row r="357" spans="1:79">
      <c r="A357" s="2269"/>
      <c r="B357" s="2269"/>
      <c r="C357" s="2269"/>
      <c r="D357" s="2269"/>
      <c r="E357" s="2269"/>
      <c r="F357" s="2269"/>
      <c r="G357" s="2269"/>
      <c r="H357" s="2269"/>
      <c r="I357" s="2269"/>
      <c r="J357" s="2269"/>
      <c r="K357" s="2269"/>
      <c r="L357" s="2269"/>
      <c r="M357" s="2269"/>
      <c r="N357" s="2269"/>
      <c r="O357" s="2269"/>
      <c r="P357" s="2269"/>
      <c r="Q357" s="2269"/>
      <c r="R357" s="2269"/>
      <c r="S357" s="2269"/>
      <c r="T357" s="2269"/>
      <c r="U357" s="2269"/>
      <c r="V357" s="2269"/>
      <c r="W357" s="2269"/>
      <c r="X357" s="2269"/>
      <c r="Y357" s="2269"/>
      <c r="Z357" s="2269"/>
      <c r="AA357" s="2269"/>
      <c r="AB357" s="2269"/>
      <c r="AC357" s="2269"/>
      <c r="AD357" s="2269"/>
      <c r="AE357" s="2269"/>
      <c r="AF357" s="2269"/>
      <c r="AG357" s="2269"/>
      <c r="AH357" s="2269"/>
      <c r="AI357" s="2269"/>
      <c r="AJ357" s="2269"/>
      <c r="AK357" s="2269"/>
      <c r="AL357" s="2269"/>
      <c r="AM357" s="2269"/>
      <c r="AN357" s="2269"/>
      <c r="AO357" s="2269"/>
      <c r="AP357" s="2269"/>
      <c r="AQ357" s="2269"/>
      <c r="AR357" s="2269"/>
      <c r="AS357" s="2269"/>
      <c r="AT357" s="2269"/>
      <c r="AU357" s="2269"/>
      <c r="AV357" s="2269"/>
      <c r="AW357" s="2269"/>
      <c r="AX357" s="2269"/>
      <c r="AY357" s="2269"/>
      <c r="AZ357" s="2269"/>
      <c r="BA357" s="2269"/>
      <c r="BB357" s="2269"/>
      <c r="BC357" s="2269"/>
      <c r="BD357" s="2269"/>
      <c r="BE357" s="2269"/>
      <c r="BF357" s="2269"/>
      <c r="BG357" s="2269"/>
      <c r="BH357" s="2269"/>
      <c r="BI357" s="2269"/>
      <c r="BJ357" s="2269"/>
      <c r="BK357" s="2269"/>
      <c r="BL357" s="2269"/>
      <c r="BM357" s="2269"/>
      <c r="BN357" s="2269"/>
      <c r="BO357" s="2269"/>
      <c r="BP357" s="2269"/>
      <c r="BQ357" s="2269"/>
      <c r="BR357" s="2269"/>
      <c r="BS357" s="2269"/>
      <c r="BT357" s="2269"/>
      <c r="BU357" s="2269"/>
      <c r="BV357" s="2269"/>
      <c r="BW357" s="2269"/>
      <c r="BX357" s="2269"/>
      <c r="BY357" s="2269"/>
      <c r="BZ357" s="2269"/>
      <c r="CA357" s="2269"/>
    </row>
    <row r="358" spans="1:79">
      <c r="A358" s="2269"/>
      <c r="B358" s="2269"/>
      <c r="C358" s="2269"/>
      <c r="D358" s="2269"/>
      <c r="E358" s="2269"/>
      <c r="F358" s="2269"/>
      <c r="G358" s="2269"/>
      <c r="H358" s="2269"/>
      <c r="I358" s="2269"/>
      <c r="J358" s="2269"/>
      <c r="K358" s="2269"/>
      <c r="L358" s="2269"/>
      <c r="M358" s="2269"/>
      <c r="N358" s="2269"/>
      <c r="O358" s="2269"/>
      <c r="P358" s="2269"/>
      <c r="Q358" s="2269"/>
      <c r="R358" s="2269"/>
      <c r="S358" s="2269"/>
      <c r="T358" s="2269"/>
      <c r="U358" s="2269"/>
      <c r="V358" s="2269"/>
      <c r="W358" s="2269"/>
      <c r="X358" s="2269"/>
      <c r="Y358" s="2269"/>
      <c r="Z358" s="2269"/>
      <c r="AA358" s="2269"/>
      <c r="AB358" s="2269"/>
      <c r="AC358" s="2269"/>
      <c r="AD358" s="2269"/>
      <c r="AE358" s="2269"/>
      <c r="AF358" s="2269"/>
      <c r="AG358" s="2269"/>
      <c r="AH358" s="2269"/>
      <c r="AI358" s="2269"/>
      <c r="AJ358" s="2269"/>
      <c r="AK358" s="2269"/>
      <c r="AL358" s="2269"/>
      <c r="AM358" s="2269"/>
      <c r="AN358" s="2269"/>
      <c r="AO358" s="2269"/>
      <c r="AP358" s="2269"/>
      <c r="AQ358" s="2269"/>
      <c r="AR358" s="2269"/>
      <c r="AS358" s="2269"/>
      <c r="AT358" s="2269"/>
      <c r="AU358" s="2269"/>
      <c r="AV358" s="2269"/>
      <c r="AW358" s="2269"/>
      <c r="AX358" s="2269"/>
      <c r="AY358" s="2269"/>
      <c r="AZ358" s="2269"/>
      <c r="BA358" s="2269"/>
      <c r="BB358" s="2269"/>
      <c r="BC358" s="2269"/>
      <c r="BD358" s="2269"/>
      <c r="BE358" s="2269"/>
      <c r="BF358" s="2269"/>
      <c r="BG358" s="2269"/>
      <c r="BH358" s="2269"/>
      <c r="BI358" s="2269"/>
      <c r="BJ358" s="2269"/>
      <c r="BK358" s="2269"/>
      <c r="BL358" s="2269"/>
      <c r="BM358" s="2269"/>
      <c r="BN358" s="2269"/>
      <c r="BO358" s="2269"/>
      <c r="BP358" s="2269"/>
      <c r="BQ358" s="2269"/>
      <c r="BR358" s="2269"/>
      <c r="BS358" s="2269"/>
      <c r="BT358" s="2269"/>
      <c r="BU358" s="2269"/>
      <c r="BV358" s="2269"/>
      <c r="BW358" s="2269"/>
      <c r="BX358" s="2269"/>
      <c r="BY358" s="2269"/>
      <c r="BZ358" s="2269"/>
      <c r="CA358" s="2269"/>
    </row>
    <row r="359" spans="1:79">
      <c r="A359" s="2269"/>
      <c r="B359" s="2269"/>
      <c r="C359" s="2269"/>
      <c r="D359" s="2269"/>
      <c r="E359" s="2269"/>
      <c r="F359" s="2269"/>
      <c r="G359" s="2269"/>
      <c r="H359" s="2269"/>
      <c r="I359" s="2269"/>
      <c r="J359" s="2269"/>
      <c r="K359" s="2269"/>
      <c r="L359" s="2269"/>
      <c r="M359" s="2269"/>
      <c r="N359" s="2269"/>
      <c r="O359" s="2269"/>
      <c r="P359" s="2269"/>
      <c r="Q359" s="2269"/>
      <c r="R359" s="2269"/>
      <c r="S359" s="2269"/>
      <c r="T359" s="2269"/>
      <c r="U359" s="2269"/>
      <c r="V359" s="2269"/>
      <c r="W359" s="2269"/>
      <c r="X359" s="2269"/>
      <c r="Y359" s="2269"/>
      <c r="Z359" s="2269"/>
      <c r="AA359" s="2269"/>
      <c r="AB359" s="2269"/>
      <c r="AC359" s="2269"/>
      <c r="AD359" s="2269"/>
      <c r="AE359" s="2269"/>
      <c r="AF359" s="2269"/>
      <c r="AG359" s="2269"/>
      <c r="AH359" s="2269"/>
      <c r="AI359" s="2269"/>
      <c r="AJ359" s="2269"/>
      <c r="AK359" s="2269"/>
      <c r="AL359" s="2269"/>
      <c r="AM359" s="2269"/>
      <c r="AN359" s="2269"/>
      <c r="AO359" s="2269"/>
      <c r="AP359" s="2269"/>
      <c r="AQ359" s="2269"/>
      <c r="AR359" s="2269"/>
      <c r="AS359" s="2269"/>
      <c r="AT359" s="2269"/>
      <c r="AU359" s="2269"/>
      <c r="AV359" s="2269"/>
      <c r="AW359" s="2269"/>
      <c r="AX359" s="2269"/>
      <c r="AY359" s="2269"/>
      <c r="AZ359" s="2269"/>
      <c r="BA359" s="2269"/>
      <c r="BB359" s="2269"/>
      <c r="BC359" s="2269"/>
      <c r="BD359" s="2269"/>
      <c r="BE359" s="2269"/>
      <c r="BF359" s="2269"/>
      <c r="BG359" s="2269"/>
      <c r="BH359" s="2269"/>
      <c r="BI359" s="2269"/>
      <c r="BJ359" s="2269"/>
      <c r="BK359" s="2269"/>
      <c r="BL359" s="2269"/>
      <c r="BM359" s="2269"/>
      <c r="BN359" s="2269"/>
      <c r="BO359" s="2269"/>
      <c r="BP359" s="2269"/>
      <c r="BQ359" s="2269"/>
      <c r="BR359" s="2269"/>
      <c r="BS359" s="2269"/>
      <c r="BT359" s="2269"/>
      <c r="BU359" s="2269"/>
      <c r="BV359" s="2269"/>
      <c r="BW359" s="2269"/>
      <c r="BX359" s="2269"/>
      <c r="BY359" s="2269"/>
      <c r="BZ359" s="2269"/>
      <c r="CA359" s="2269"/>
    </row>
    <row r="360" spans="1:79">
      <c r="A360" s="2269"/>
      <c r="B360" s="2269"/>
      <c r="C360" s="2269"/>
      <c r="D360" s="2269"/>
      <c r="E360" s="2269"/>
      <c r="F360" s="2269"/>
      <c r="G360" s="2269"/>
      <c r="H360" s="2269"/>
      <c r="I360" s="2269"/>
      <c r="J360" s="2269"/>
      <c r="K360" s="2269"/>
      <c r="L360" s="2269"/>
      <c r="M360" s="2269"/>
      <c r="N360" s="2269"/>
      <c r="O360" s="2269"/>
      <c r="P360" s="2269"/>
      <c r="Q360" s="2269"/>
      <c r="R360" s="2269"/>
      <c r="S360" s="2269"/>
      <c r="T360" s="2269"/>
      <c r="U360" s="2269"/>
      <c r="V360" s="2269"/>
      <c r="W360" s="2269"/>
      <c r="X360" s="2269"/>
      <c r="Y360" s="2269"/>
      <c r="Z360" s="2269"/>
      <c r="AA360" s="2269"/>
      <c r="AB360" s="2269"/>
      <c r="AC360" s="2269"/>
      <c r="AD360" s="2269"/>
      <c r="AE360" s="2269"/>
      <c r="AF360" s="2269"/>
      <c r="AG360" s="2269"/>
      <c r="AH360" s="2269"/>
      <c r="AI360" s="2269"/>
      <c r="AJ360" s="2269"/>
      <c r="AK360" s="2269"/>
      <c r="AL360" s="2269"/>
      <c r="AM360" s="2269"/>
      <c r="AN360" s="2269"/>
      <c r="AO360" s="2269"/>
      <c r="AP360" s="2269"/>
      <c r="AQ360" s="2269"/>
      <c r="AR360" s="2269"/>
      <c r="AS360" s="2269"/>
      <c r="AT360" s="2269"/>
      <c r="AU360" s="2269"/>
      <c r="AV360" s="2269"/>
      <c r="AW360" s="2269"/>
      <c r="AX360" s="2269"/>
      <c r="AY360" s="2269"/>
      <c r="AZ360" s="2269"/>
      <c r="BA360" s="2269"/>
      <c r="BB360" s="2269"/>
      <c r="BC360" s="2269"/>
      <c r="BD360" s="2269"/>
      <c r="BE360" s="2269"/>
      <c r="BF360" s="2269"/>
      <c r="BG360" s="2269"/>
      <c r="BH360" s="2269"/>
      <c r="BI360" s="2269"/>
      <c r="BJ360" s="2269"/>
      <c r="BK360" s="2269"/>
      <c r="BL360" s="2269"/>
      <c r="BM360" s="2269"/>
      <c r="BN360" s="2269"/>
      <c r="BO360" s="2269"/>
      <c r="BP360" s="2269"/>
      <c r="BQ360" s="2269"/>
      <c r="BR360" s="2269"/>
      <c r="BS360" s="2269"/>
      <c r="BT360" s="2269"/>
      <c r="BU360" s="2269"/>
      <c r="BV360" s="2269"/>
      <c r="BW360" s="2269"/>
      <c r="BX360" s="2269"/>
      <c r="BY360" s="2269"/>
      <c r="BZ360" s="2269"/>
      <c r="CA360" s="2269"/>
    </row>
    <row r="361" spans="1:79">
      <c r="A361" s="2269"/>
      <c r="B361" s="2269"/>
      <c r="C361" s="2269"/>
      <c r="D361" s="2269"/>
      <c r="E361" s="2269"/>
      <c r="F361" s="2269"/>
      <c r="G361" s="2269"/>
      <c r="H361" s="2269"/>
      <c r="I361" s="2269"/>
      <c r="J361" s="2269"/>
      <c r="K361" s="2269"/>
      <c r="L361" s="2269"/>
      <c r="M361" s="2269"/>
      <c r="N361" s="2269"/>
      <c r="O361" s="2269"/>
      <c r="P361" s="2269"/>
      <c r="Q361" s="2269"/>
      <c r="R361" s="2269"/>
      <c r="S361" s="2269"/>
      <c r="T361" s="2269"/>
      <c r="U361" s="2269"/>
      <c r="V361" s="2269"/>
      <c r="W361" s="2269"/>
      <c r="X361" s="2269"/>
      <c r="Y361" s="2269"/>
      <c r="Z361" s="2269"/>
      <c r="AA361" s="2269"/>
      <c r="AB361" s="2269"/>
      <c r="AC361" s="2269"/>
      <c r="AD361" s="2269"/>
      <c r="AE361" s="2269"/>
      <c r="AF361" s="2269"/>
      <c r="AG361" s="2269"/>
      <c r="AH361" s="2269"/>
      <c r="AI361" s="2269"/>
      <c r="AJ361" s="2269"/>
      <c r="AK361" s="2269"/>
      <c r="AL361" s="2269"/>
      <c r="AM361" s="2269"/>
      <c r="AN361" s="2269"/>
      <c r="AO361" s="2269"/>
      <c r="AP361" s="2269"/>
      <c r="AQ361" s="2269"/>
      <c r="AR361" s="2269"/>
      <c r="AS361" s="2269"/>
      <c r="AT361" s="2269"/>
      <c r="AU361" s="2269"/>
      <c r="AV361" s="2269"/>
      <c r="AW361" s="2269"/>
      <c r="AX361" s="2269"/>
      <c r="AY361" s="2269"/>
      <c r="AZ361" s="2269"/>
      <c r="BA361" s="2269"/>
      <c r="BB361" s="2269"/>
      <c r="BC361" s="2269"/>
      <c r="BD361" s="2269"/>
      <c r="BE361" s="2269"/>
      <c r="BF361" s="2269"/>
      <c r="BG361" s="2269"/>
      <c r="BH361" s="2269"/>
      <c r="BI361" s="2269"/>
      <c r="BJ361" s="2269"/>
      <c r="BK361" s="2269"/>
      <c r="BL361" s="2269"/>
      <c r="BM361" s="2269"/>
      <c r="BN361" s="2269"/>
      <c r="BO361" s="2269"/>
      <c r="BP361" s="2269"/>
      <c r="BQ361" s="2269"/>
      <c r="BR361" s="2269"/>
      <c r="BS361" s="2269"/>
      <c r="BT361" s="2269"/>
      <c r="BU361" s="2269"/>
      <c r="BV361" s="2269"/>
      <c r="BW361" s="2269"/>
      <c r="BX361" s="2269"/>
      <c r="BY361" s="2269"/>
      <c r="BZ361" s="2269"/>
      <c r="CA361" s="2269"/>
    </row>
    <row r="362" spans="1:79">
      <c r="A362" s="2269"/>
      <c r="B362" s="2269"/>
      <c r="C362" s="2269"/>
      <c r="D362" s="2269"/>
      <c r="E362" s="2269"/>
      <c r="F362" s="2269"/>
      <c r="G362" s="2269"/>
      <c r="H362" s="2269"/>
      <c r="I362" s="2269"/>
      <c r="J362" s="2269"/>
      <c r="K362" s="2269"/>
      <c r="L362" s="2269"/>
      <c r="M362" s="2269"/>
      <c r="N362" s="2269"/>
      <c r="O362" s="2269"/>
      <c r="P362" s="2269"/>
      <c r="Q362" s="2269"/>
      <c r="R362" s="2269"/>
      <c r="S362" s="2269"/>
      <c r="T362" s="2269"/>
      <c r="U362" s="2269"/>
      <c r="V362" s="2269"/>
      <c r="W362" s="2269"/>
      <c r="X362" s="2269"/>
      <c r="Y362" s="2269"/>
      <c r="Z362" s="2269"/>
      <c r="AA362" s="2269"/>
      <c r="AB362" s="2269"/>
      <c r="AC362" s="2269"/>
      <c r="AD362" s="2269"/>
      <c r="AE362" s="2269"/>
      <c r="AF362" s="2269"/>
      <c r="AG362" s="2269"/>
      <c r="AH362" s="2269"/>
      <c r="AI362" s="2269"/>
      <c r="AJ362" s="2269"/>
      <c r="AK362" s="2269"/>
      <c r="AL362" s="2269"/>
      <c r="AM362" s="2269"/>
      <c r="AN362" s="2269"/>
      <c r="AO362" s="2269"/>
      <c r="AP362" s="2269"/>
      <c r="AQ362" s="2269"/>
      <c r="AR362" s="2269"/>
      <c r="AS362" s="2269"/>
      <c r="AT362" s="2269"/>
      <c r="AU362" s="2269"/>
      <c r="AV362" s="2269"/>
      <c r="AW362" s="2269"/>
      <c r="AX362" s="2269"/>
      <c r="AY362" s="2269"/>
      <c r="AZ362" s="2269"/>
      <c r="BA362" s="2269"/>
      <c r="BB362" s="2269"/>
      <c r="BC362" s="2269"/>
      <c r="BD362" s="2269"/>
      <c r="BE362" s="2269"/>
      <c r="BF362" s="2269"/>
      <c r="BG362" s="2269"/>
      <c r="BH362" s="2269"/>
      <c r="BI362" s="2269"/>
      <c r="BJ362" s="2269"/>
      <c r="BK362" s="2269"/>
      <c r="BL362" s="2269"/>
      <c r="BM362" s="2269"/>
      <c r="BN362" s="2269"/>
      <c r="BO362" s="2269"/>
      <c r="BP362" s="2269"/>
      <c r="BQ362" s="2269"/>
      <c r="BR362" s="2269"/>
      <c r="BS362" s="2269"/>
      <c r="BT362" s="2269"/>
      <c r="BU362" s="2269"/>
      <c r="BV362" s="2269"/>
      <c r="BW362" s="2269"/>
      <c r="BX362" s="2269"/>
      <c r="BY362" s="2269"/>
      <c r="BZ362" s="2269"/>
      <c r="CA362" s="2269"/>
    </row>
    <row r="363" spans="1:79">
      <c r="A363" s="2269"/>
      <c r="B363" s="2269"/>
      <c r="C363" s="2269"/>
      <c r="D363" s="2269"/>
      <c r="E363" s="2269"/>
      <c r="F363" s="2269"/>
      <c r="G363" s="2269"/>
      <c r="H363" s="2269"/>
      <c r="I363" s="2269"/>
      <c r="J363" s="2269"/>
      <c r="K363" s="2269"/>
      <c r="L363" s="2269"/>
      <c r="M363" s="2269"/>
      <c r="N363" s="2269"/>
      <c r="O363" s="2269"/>
      <c r="P363" s="2269"/>
      <c r="Q363" s="2269"/>
      <c r="R363" s="2269"/>
      <c r="S363" s="2269"/>
      <c r="T363" s="2269"/>
      <c r="U363" s="2269"/>
      <c r="V363" s="2269"/>
      <c r="W363" s="2269"/>
      <c r="X363" s="2269"/>
      <c r="Y363" s="2269"/>
      <c r="Z363" s="2269"/>
      <c r="AA363" s="2269"/>
      <c r="AB363" s="2269"/>
      <c r="AC363" s="2269"/>
      <c r="AD363" s="2269"/>
      <c r="AE363" s="2269"/>
      <c r="AF363" s="2269"/>
      <c r="AG363" s="2269"/>
      <c r="AH363" s="2269"/>
      <c r="AI363" s="2269"/>
      <c r="AJ363" s="2269"/>
      <c r="AK363" s="2269"/>
      <c r="AL363" s="2269"/>
      <c r="AM363" s="2269"/>
      <c r="AN363" s="2269"/>
      <c r="AO363" s="2269"/>
      <c r="AP363" s="2269"/>
      <c r="AQ363" s="2269"/>
      <c r="AR363" s="2269"/>
      <c r="AS363" s="2269"/>
      <c r="AT363" s="2269"/>
      <c r="AU363" s="2269"/>
      <c r="AV363" s="2269"/>
      <c r="AW363" s="2269"/>
      <c r="AX363" s="2269"/>
      <c r="AY363" s="2269"/>
      <c r="AZ363" s="2269"/>
      <c r="BA363" s="2269"/>
      <c r="BB363" s="2269"/>
      <c r="BC363" s="2269"/>
      <c r="BD363" s="2269"/>
      <c r="BE363" s="2269"/>
      <c r="BF363" s="2269"/>
      <c r="BG363" s="2269"/>
      <c r="BH363" s="2269"/>
      <c r="BI363" s="2269"/>
      <c r="BJ363" s="2269"/>
      <c r="BK363" s="2269"/>
      <c r="BL363" s="2269"/>
      <c r="BM363" s="2269"/>
      <c r="BN363" s="2269"/>
      <c r="BO363" s="2269"/>
      <c r="BP363" s="2269"/>
      <c r="BQ363" s="2269"/>
      <c r="BR363" s="2269"/>
      <c r="BS363" s="2269"/>
      <c r="BT363" s="2269"/>
      <c r="BU363" s="2269"/>
      <c r="BV363" s="2269"/>
      <c r="BW363" s="2269"/>
      <c r="BX363" s="2269"/>
      <c r="BY363" s="2269"/>
      <c r="BZ363" s="2269"/>
      <c r="CA363" s="2269"/>
    </row>
    <row r="364" spans="1:79">
      <c r="A364" s="2269"/>
      <c r="B364" s="2269"/>
      <c r="C364" s="2269"/>
      <c r="D364" s="2269"/>
      <c r="E364" s="2269"/>
      <c r="F364" s="2269"/>
      <c r="G364" s="2269"/>
      <c r="H364" s="2269"/>
      <c r="I364" s="2269"/>
      <c r="J364" s="2269"/>
      <c r="K364" s="2269"/>
      <c r="L364" s="2269"/>
      <c r="M364" s="2269"/>
      <c r="N364" s="2269"/>
      <c r="O364" s="2269"/>
      <c r="P364" s="2269"/>
      <c r="Q364" s="2269"/>
      <c r="R364" s="2269"/>
      <c r="S364" s="2269"/>
      <c r="T364" s="2269"/>
      <c r="U364" s="2269"/>
      <c r="V364" s="2269"/>
      <c r="W364" s="2269"/>
      <c r="X364" s="2269"/>
      <c r="Y364" s="2269"/>
      <c r="Z364" s="2269"/>
      <c r="AA364" s="2269"/>
      <c r="AB364" s="2269"/>
      <c r="AC364" s="2269"/>
      <c r="AD364" s="2269"/>
      <c r="AE364" s="2269"/>
      <c r="AF364" s="2269"/>
      <c r="AG364" s="2269"/>
      <c r="AH364" s="2269"/>
      <c r="AI364" s="2269"/>
      <c r="AJ364" s="2269"/>
      <c r="AK364" s="2269"/>
      <c r="AL364" s="2269"/>
      <c r="AM364" s="2269"/>
      <c r="AN364" s="2269"/>
      <c r="AO364" s="2269"/>
      <c r="AP364" s="2269"/>
      <c r="AQ364" s="2269"/>
      <c r="AR364" s="2269"/>
      <c r="AS364" s="2269"/>
      <c r="AT364" s="2269"/>
      <c r="AU364" s="2269"/>
      <c r="AV364" s="2269"/>
      <c r="AW364" s="2269"/>
      <c r="AX364" s="2269"/>
      <c r="AY364" s="2269"/>
      <c r="AZ364" s="2269"/>
      <c r="BA364" s="2269"/>
      <c r="BB364" s="2269"/>
      <c r="BC364" s="2269"/>
      <c r="BD364" s="2269"/>
      <c r="BE364" s="2269"/>
      <c r="BF364" s="2269"/>
      <c r="BG364" s="2269"/>
      <c r="BH364" s="2269"/>
      <c r="BI364" s="2269"/>
      <c r="BJ364" s="2269"/>
      <c r="BK364" s="2269"/>
      <c r="BL364" s="2269"/>
      <c r="BM364" s="2269"/>
      <c r="BN364" s="2269"/>
      <c r="BO364" s="2269"/>
      <c r="BP364" s="2269"/>
      <c r="BQ364" s="2269"/>
      <c r="BR364" s="2269"/>
      <c r="BS364" s="2269"/>
      <c r="BT364" s="2269"/>
      <c r="BU364" s="2269"/>
      <c r="BV364" s="2269"/>
      <c r="BW364" s="2269"/>
      <c r="BX364" s="2269"/>
      <c r="BY364" s="2269"/>
      <c r="BZ364" s="2269"/>
      <c r="CA364" s="2269"/>
    </row>
    <row r="365" spans="1:79">
      <c r="A365" s="2269"/>
      <c r="B365" s="2269"/>
      <c r="C365" s="2269"/>
      <c r="D365" s="2269"/>
      <c r="E365" s="2269"/>
      <c r="F365" s="2269"/>
      <c r="G365" s="2269"/>
      <c r="H365" s="2269"/>
      <c r="I365" s="2269"/>
      <c r="J365" s="2269"/>
      <c r="K365" s="2269"/>
      <c r="L365" s="2269"/>
      <c r="M365" s="2269"/>
      <c r="N365" s="2269"/>
      <c r="O365" s="2269"/>
      <c r="P365" s="2269"/>
      <c r="Q365" s="2269"/>
      <c r="R365" s="2269"/>
      <c r="S365" s="2269"/>
      <c r="T365" s="2269"/>
      <c r="U365" s="2269"/>
      <c r="V365" s="2269"/>
      <c r="W365" s="2269"/>
      <c r="X365" s="2269"/>
      <c r="Y365" s="2269"/>
      <c r="Z365" s="2269"/>
      <c r="AA365" s="2269"/>
      <c r="AB365" s="2269"/>
      <c r="AC365" s="2269"/>
      <c r="AD365" s="2269"/>
      <c r="AE365" s="2269"/>
      <c r="AF365" s="2269"/>
      <c r="AG365" s="2269"/>
      <c r="AH365" s="2269"/>
      <c r="AI365" s="2269"/>
      <c r="AJ365" s="2269"/>
      <c r="AK365" s="2269"/>
      <c r="AL365" s="2269"/>
      <c r="AM365" s="2269"/>
      <c r="AN365" s="2269"/>
      <c r="AO365" s="2269"/>
      <c r="AP365" s="2269"/>
      <c r="AQ365" s="2269"/>
      <c r="AR365" s="2269"/>
      <c r="AS365" s="2269"/>
      <c r="AT365" s="2269"/>
      <c r="AU365" s="2269"/>
      <c r="AV365" s="2269"/>
      <c r="AW365" s="2269"/>
      <c r="AX365" s="2269"/>
      <c r="AY365" s="2269"/>
      <c r="AZ365" s="2269"/>
      <c r="BA365" s="2269"/>
      <c r="BB365" s="2269"/>
      <c r="BC365" s="2269"/>
      <c r="BD365" s="2269"/>
      <c r="BE365" s="2269"/>
      <c r="BF365" s="2269"/>
      <c r="BG365" s="2269"/>
      <c r="BH365" s="2269"/>
      <c r="BI365" s="2269"/>
      <c r="BJ365" s="2269"/>
      <c r="BK365" s="2269"/>
      <c r="BL365" s="2269"/>
      <c r="BM365" s="2269"/>
      <c r="BN365" s="2269"/>
      <c r="BO365" s="2269"/>
      <c r="BP365" s="2269"/>
      <c r="BQ365" s="2269"/>
      <c r="BR365" s="2269"/>
      <c r="BS365" s="2269"/>
      <c r="BT365" s="2269"/>
      <c r="BU365" s="2269"/>
      <c r="BV365" s="2269"/>
      <c r="BW365" s="2269"/>
      <c r="BX365" s="2269"/>
      <c r="BY365" s="2269"/>
      <c r="BZ365" s="2269"/>
      <c r="CA365" s="2269"/>
    </row>
    <row r="366" spans="1:79">
      <c r="A366" s="2269"/>
      <c r="B366" s="2269"/>
      <c r="C366" s="2269"/>
      <c r="D366" s="2269"/>
      <c r="E366" s="2269"/>
      <c r="F366" s="2269"/>
      <c r="G366" s="2269"/>
      <c r="H366" s="2269"/>
      <c r="I366" s="2269"/>
      <c r="J366" s="2269"/>
      <c r="K366" s="2269"/>
      <c r="L366" s="2269"/>
      <c r="M366" s="2269"/>
      <c r="N366" s="2269"/>
      <c r="O366" s="2269"/>
      <c r="P366" s="2269"/>
      <c r="Q366" s="2269"/>
      <c r="R366" s="2269"/>
      <c r="S366" s="2269"/>
      <c r="T366" s="2269"/>
      <c r="U366" s="2269"/>
      <c r="V366" s="2269"/>
      <c r="W366" s="2269"/>
      <c r="X366" s="2269"/>
      <c r="Y366" s="2269"/>
      <c r="Z366" s="2269"/>
      <c r="AA366" s="2269"/>
      <c r="AB366" s="2269"/>
      <c r="AC366" s="2269"/>
      <c r="AD366" s="2269"/>
      <c r="AE366" s="2269"/>
      <c r="AF366" s="2269"/>
      <c r="AG366" s="2269"/>
      <c r="AH366" s="2269"/>
      <c r="AI366" s="2269"/>
      <c r="AJ366" s="2269"/>
      <c r="AK366" s="2269"/>
      <c r="AL366" s="2269"/>
      <c r="AM366" s="2269"/>
      <c r="AN366" s="2269"/>
      <c r="AO366" s="2269"/>
      <c r="AP366" s="2269"/>
      <c r="AQ366" s="2269"/>
      <c r="AR366" s="2269"/>
      <c r="AS366" s="2269"/>
      <c r="AT366" s="2269"/>
      <c r="AU366" s="2269"/>
      <c r="AV366" s="2269"/>
      <c r="AW366" s="2269"/>
      <c r="AX366" s="2269"/>
      <c r="AY366" s="2269"/>
      <c r="AZ366" s="2269"/>
      <c r="BA366" s="2269"/>
      <c r="BB366" s="2269"/>
      <c r="BC366" s="2269"/>
      <c r="BD366" s="2269"/>
      <c r="BE366" s="2269"/>
      <c r="BF366" s="2269"/>
      <c r="BG366" s="2269"/>
      <c r="BH366" s="2269"/>
      <c r="BI366" s="2269"/>
      <c r="BJ366" s="2269"/>
      <c r="BK366" s="2269"/>
      <c r="BL366" s="2269"/>
      <c r="BM366" s="2269"/>
      <c r="BN366" s="2269"/>
      <c r="BO366" s="2269"/>
      <c r="BP366" s="2269"/>
      <c r="BQ366" s="2269"/>
      <c r="BR366" s="2269"/>
      <c r="BS366" s="2269"/>
      <c r="BT366" s="2269"/>
      <c r="BU366" s="2269"/>
      <c r="BV366" s="2269"/>
      <c r="BW366" s="2269"/>
      <c r="BX366" s="2269"/>
      <c r="BY366" s="2269"/>
      <c r="BZ366" s="2269"/>
      <c r="CA366" s="2269"/>
    </row>
    <row r="367" spans="1:79">
      <c r="A367" s="2269"/>
      <c r="B367" s="2269"/>
      <c r="C367" s="2269"/>
      <c r="D367" s="2269"/>
      <c r="E367" s="2269"/>
      <c r="F367" s="2269"/>
      <c r="G367" s="2269"/>
      <c r="H367" s="2269"/>
      <c r="I367" s="2269"/>
      <c r="J367" s="2269"/>
      <c r="K367" s="2269"/>
      <c r="L367" s="2269"/>
      <c r="M367" s="2269"/>
      <c r="N367" s="2269"/>
      <c r="O367" s="2269"/>
      <c r="P367" s="2269"/>
      <c r="Q367" s="2269"/>
      <c r="R367" s="2269"/>
      <c r="S367" s="2269"/>
      <c r="T367" s="2269"/>
      <c r="U367" s="2269"/>
      <c r="V367" s="2269"/>
      <c r="W367" s="2269"/>
      <c r="X367" s="2269"/>
      <c r="Y367" s="2269"/>
      <c r="Z367" s="2269"/>
      <c r="AA367" s="2269"/>
      <c r="AB367" s="2269"/>
      <c r="AC367" s="2269"/>
      <c r="AD367" s="2269"/>
      <c r="AE367" s="2269"/>
      <c r="AF367" s="2269"/>
      <c r="AG367" s="2269"/>
      <c r="AH367" s="2269"/>
      <c r="AI367" s="2269"/>
      <c r="AJ367" s="2269"/>
      <c r="AK367" s="2269"/>
      <c r="AL367" s="2269"/>
      <c r="AM367" s="2269"/>
      <c r="AN367" s="2269"/>
      <c r="AO367" s="2269"/>
      <c r="AP367" s="2269"/>
      <c r="AQ367" s="2269"/>
      <c r="AR367" s="2269"/>
      <c r="AS367" s="2269"/>
      <c r="AT367" s="2269"/>
      <c r="AU367" s="2269"/>
      <c r="AV367" s="2269"/>
      <c r="AW367" s="2269"/>
      <c r="AX367" s="2269"/>
      <c r="AY367" s="2269"/>
      <c r="AZ367" s="2269"/>
      <c r="BA367" s="2269"/>
      <c r="BB367" s="2269"/>
      <c r="BC367" s="2269"/>
      <c r="BD367" s="2269"/>
      <c r="BE367" s="2269"/>
      <c r="BF367" s="2269"/>
      <c r="BG367" s="2269"/>
      <c r="BH367" s="2269"/>
      <c r="BI367" s="2269"/>
      <c r="BJ367" s="2269"/>
      <c r="BK367" s="2269"/>
      <c r="BL367" s="2269"/>
      <c r="BM367" s="2269"/>
      <c r="BN367" s="2269"/>
      <c r="BO367" s="2269"/>
      <c r="BP367" s="2269"/>
      <c r="BQ367" s="2269"/>
      <c r="BR367" s="2269"/>
      <c r="BS367" s="2269"/>
      <c r="BT367" s="2269"/>
      <c r="BU367" s="2269"/>
      <c r="BV367" s="2269"/>
      <c r="BW367" s="2269"/>
      <c r="BX367" s="2269"/>
      <c r="BY367" s="2269"/>
      <c r="BZ367" s="2269"/>
      <c r="CA367" s="2269"/>
    </row>
    <row r="368" spans="1:79">
      <c r="A368" s="2269"/>
      <c r="B368" s="2269"/>
      <c r="C368" s="2269"/>
      <c r="D368" s="2269"/>
      <c r="E368" s="2269"/>
      <c r="F368" s="2269"/>
      <c r="G368" s="2269"/>
      <c r="H368" s="2269"/>
      <c r="I368" s="2269"/>
      <c r="J368" s="2269"/>
      <c r="K368" s="2269"/>
      <c r="L368" s="2269"/>
      <c r="M368" s="2269"/>
      <c r="N368" s="2269"/>
      <c r="O368" s="2269"/>
      <c r="P368" s="2269"/>
      <c r="Q368" s="2269"/>
      <c r="R368" s="2269"/>
      <c r="S368" s="2269"/>
      <c r="T368" s="2269"/>
      <c r="U368" s="2269"/>
      <c r="V368" s="2269"/>
      <c r="W368" s="2269"/>
      <c r="X368" s="2269"/>
      <c r="Y368" s="2269"/>
      <c r="Z368" s="2269"/>
      <c r="AA368" s="2269"/>
      <c r="AB368" s="2269"/>
      <c r="AC368" s="2269"/>
      <c r="AD368" s="2269"/>
      <c r="AE368" s="2269"/>
      <c r="AF368" s="2269"/>
      <c r="AG368" s="2269"/>
      <c r="AH368" s="2269"/>
      <c r="AI368" s="2269"/>
      <c r="AJ368" s="2269"/>
      <c r="AK368" s="2269"/>
      <c r="AL368" s="2269"/>
      <c r="AM368" s="2269"/>
      <c r="AN368" s="2269"/>
      <c r="AO368" s="2269"/>
      <c r="AP368" s="2269"/>
      <c r="AQ368" s="2269"/>
      <c r="AR368" s="2269"/>
      <c r="AS368" s="2269"/>
      <c r="AT368" s="2269"/>
      <c r="AU368" s="2269"/>
      <c r="AV368" s="2269"/>
      <c r="AW368" s="2269"/>
      <c r="AX368" s="2269"/>
      <c r="AY368" s="2269"/>
      <c r="AZ368" s="2269"/>
      <c r="BA368" s="2269"/>
      <c r="BB368" s="2269"/>
      <c r="BC368" s="2269"/>
      <c r="BD368" s="2269"/>
      <c r="BE368" s="2269"/>
      <c r="BF368" s="2269"/>
      <c r="BG368" s="2269"/>
      <c r="BH368" s="2269"/>
      <c r="BI368" s="2269"/>
      <c r="BJ368" s="2269"/>
      <c r="BK368" s="2269"/>
      <c r="BL368" s="2269"/>
      <c r="BM368" s="2269"/>
      <c r="BN368" s="2269"/>
      <c r="BO368" s="2269"/>
      <c r="BP368" s="2269"/>
      <c r="BQ368" s="2269"/>
      <c r="BR368" s="2269"/>
      <c r="BS368" s="2269"/>
      <c r="BT368" s="2269"/>
      <c r="BU368" s="2269"/>
      <c r="BV368" s="2269"/>
      <c r="BW368" s="2269"/>
      <c r="BX368" s="2269"/>
      <c r="BY368" s="2269"/>
      <c r="BZ368" s="2269"/>
      <c r="CA368" s="2269"/>
    </row>
    <row r="369" spans="1:79">
      <c r="A369" s="2269"/>
      <c r="B369" s="2269"/>
      <c r="C369" s="2269"/>
      <c r="D369" s="2269"/>
      <c r="E369" s="2269"/>
      <c r="F369" s="2269"/>
      <c r="G369" s="2269"/>
      <c r="H369" s="2269"/>
      <c r="I369" s="2269"/>
      <c r="J369" s="2269"/>
      <c r="K369" s="2269"/>
      <c r="L369" s="2269"/>
      <c r="M369" s="2269"/>
      <c r="N369" s="2269"/>
      <c r="O369" s="2269"/>
      <c r="P369" s="2269"/>
      <c r="Q369" s="2269"/>
      <c r="R369" s="2269"/>
      <c r="S369" s="2269"/>
      <c r="T369" s="2269"/>
      <c r="U369" s="2269"/>
      <c r="V369" s="2269"/>
      <c r="W369" s="2269"/>
      <c r="X369" s="2269"/>
      <c r="Y369" s="2269"/>
      <c r="Z369" s="2269"/>
      <c r="AA369" s="2269"/>
      <c r="AB369" s="2269"/>
      <c r="AC369" s="2269"/>
      <c r="AD369" s="2269"/>
      <c r="AE369" s="2269"/>
      <c r="AF369" s="2269"/>
      <c r="AG369" s="2269"/>
      <c r="AH369" s="2269"/>
      <c r="AI369" s="2269"/>
      <c r="AJ369" s="2269"/>
      <c r="AK369" s="2269"/>
      <c r="AL369" s="2269"/>
      <c r="AM369" s="2269"/>
      <c r="AN369" s="2269"/>
      <c r="AO369" s="2269"/>
      <c r="AP369" s="2269"/>
      <c r="AQ369" s="2269"/>
      <c r="AR369" s="2269"/>
      <c r="AS369" s="2269"/>
      <c r="AT369" s="2269"/>
      <c r="AU369" s="2269"/>
      <c r="AV369" s="2269"/>
      <c r="AW369" s="2269"/>
      <c r="AX369" s="2269"/>
      <c r="AY369" s="2269"/>
      <c r="AZ369" s="2269"/>
      <c r="BA369" s="2269"/>
      <c r="BB369" s="2269"/>
      <c r="BC369" s="2269"/>
      <c r="BD369" s="2269"/>
      <c r="BE369" s="2269"/>
      <c r="BF369" s="2269"/>
      <c r="BG369" s="2269"/>
      <c r="BH369" s="2269"/>
      <c r="BI369" s="2269"/>
      <c r="BJ369" s="2269"/>
      <c r="BK369" s="2269"/>
      <c r="BL369" s="2269"/>
      <c r="BM369" s="2269"/>
      <c r="BN369" s="2269"/>
      <c r="BO369" s="2269"/>
      <c r="BP369" s="2269"/>
      <c r="BQ369" s="2269"/>
      <c r="BR369" s="2269"/>
      <c r="BS369" s="2269"/>
      <c r="BT369" s="2269"/>
      <c r="BU369" s="2269"/>
      <c r="BV369" s="2269"/>
      <c r="BW369" s="2269"/>
      <c r="BX369" s="2269"/>
      <c r="BY369" s="2269"/>
      <c r="BZ369" s="2269"/>
      <c r="CA369" s="2269"/>
    </row>
    <row r="370" spans="1:79">
      <c r="A370" s="2269"/>
      <c r="B370" s="2269"/>
      <c r="C370" s="2269"/>
      <c r="D370" s="2269"/>
      <c r="E370" s="2269"/>
      <c r="F370" s="2269"/>
      <c r="G370" s="2269"/>
      <c r="H370" s="2269"/>
      <c r="I370" s="2269"/>
      <c r="J370" s="2269"/>
      <c r="K370" s="2269"/>
      <c r="L370" s="2269"/>
      <c r="M370" s="2269"/>
      <c r="N370" s="2269"/>
      <c r="O370" s="2269"/>
      <c r="P370" s="2269"/>
      <c r="Q370" s="2269"/>
      <c r="R370" s="2269"/>
      <c r="S370" s="2269"/>
      <c r="T370" s="2269"/>
      <c r="U370" s="2269"/>
      <c r="V370" s="2269"/>
      <c r="W370" s="2269"/>
      <c r="X370" s="2269"/>
      <c r="Y370" s="2269"/>
      <c r="Z370" s="2269"/>
      <c r="AA370" s="2269"/>
      <c r="AB370" s="2269"/>
      <c r="AC370" s="2269"/>
      <c r="AD370" s="2269"/>
      <c r="AE370" s="2269"/>
      <c r="AF370" s="2269"/>
      <c r="AG370" s="2269"/>
      <c r="AH370" s="2269"/>
      <c r="AI370" s="2269"/>
      <c r="AJ370" s="2269"/>
      <c r="AK370" s="2269"/>
      <c r="AL370" s="2269"/>
      <c r="AM370" s="2269"/>
      <c r="AN370" s="2269"/>
      <c r="AO370" s="2269"/>
      <c r="AP370" s="2269"/>
      <c r="AQ370" s="2269"/>
      <c r="AR370" s="2269"/>
      <c r="AS370" s="2269"/>
      <c r="AT370" s="2269"/>
      <c r="AU370" s="2269"/>
      <c r="AV370" s="2269"/>
      <c r="AW370" s="2269"/>
      <c r="AX370" s="2269"/>
      <c r="AY370" s="2269"/>
      <c r="AZ370" s="2269"/>
      <c r="BA370" s="2269"/>
      <c r="BB370" s="2269"/>
      <c r="BC370" s="2269"/>
      <c r="BD370" s="2269"/>
      <c r="BE370" s="2269"/>
      <c r="BF370" s="2269"/>
      <c r="BG370" s="2269"/>
      <c r="BH370" s="2269"/>
      <c r="BI370" s="2269"/>
      <c r="BJ370" s="2269"/>
      <c r="BK370" s="2269"/>
      <c r="BL370" s="2269"/>
      <c r="BM370" s="2269"/>
      <c r="BN370" s="2269"/>
      <c r="BO370" s="2269"/>
      <c r="BP370" s="2269"/>
      <c r="BQ370" s="2269"/>
      <c r="BR370" s="2269"/>
      <c r="BS370" s="2269"/>
      <c r="BT370" s="2269"/>
      <c r="BU370" s="2269"/>
      <c r="BV370" s="2269"/>
      <c r="BW370" s="2269"/>
      <c r="BX370" s="2269"/>
      <c r="BY370" s="2269"/>
      <c r="BZ370" s="2269"/>
      <c r="CA370" s="2269"/>
    </row>
    <row r="371" spans="1:79">
      <c r="A371" s="2269"/>
      <c r="B371" s="2269"/>
      <c r="C371" s="2269"/>
      <c r="D371" s="2269"/>
      <c r="E371" s="2269"/>
      <c r="F371" s="2269"/>
      <c r="G371" s="2269"/>
      <c r="H371" s="2269"/>
      <c r="I371" s="2269"/>
      <c r="J371" s="2269"/>
      <c r="K371" s="2269"/>
      <c r="L371" s="2269"/>
      <c r="M371" s="2269"/>
      <c r="N371" s="2269"/>
      <c r="O371" s="2269"/>
      <c r="P371" s="2269"/>
      <c r="Q371" s="2269"/>
      <c r="R371" s="2269"/>
      <c r="S371" s="2269"/>
      <c r="T371" s="2269"/>
      <c r="U371" s="2269"/>
      <c r="V371" s="2269"/>
      <c r="W371" s="2269"/>
      <c r="X371" s="2269"/>
      <c r="Y371" s="2269"/>
      <c r="Z371" s="2269"/>
      <c r="AA371" s="2269"/>
      <c r="AB371" s="2269"/>
      <c r="AC371" s="2269"/>
      <c r="AD371" s="2269"/>
      <c r="AE371" s="2269"/>
      <c r="AF371" s="2269"/>
      <c r="AG371" s="2269"/>
      <c r="AH371" s="2269"/>
      <c r="AI371" s="2269"/>
      <c r="AJ371" s="2269"/>
      <c r="AK371" s="2269"/>
      <c r="AL371" s="2269"/>
      <c r="AM371" s="2269"/>
      <c r="AN371" s="2269"/>
      <c r="AO371" s="2269"/>
      <c r="AP371" s="2269"/>
      <c r="AQ371" s="2269"/>
      <c r="AR371" s="2269"/>
      <c r="AS371" s="2269"/>
      <c r="AT371" s="2269"/>
      <c r="AU371" s="2269"/>
      <c r="AV371" s="2269"/>
      <c r="AW371" s="2269"/>
      <c r="AX371" s="2269"/>
      <c r="AY371" s="2269"/>
      <c r="AZ371" s="2269"/>
      <c r="BA371" s="2269"/>
      <c r="BB371" s="2269"/>
      <c r="BC371" s="2269"/>
      <c r="BD371" s="2269"/>
      <c r="BE371" s="2269"/>
      <c r="BF371" s="2269"/>
      <c r="BG371" s="2269"/>
      <c r="BH371" s="2269"/>
      <c r="BI371" s="2269"/>
      <c r="BJ371" s="2269"/>
      <c r="BK371" s="2269"/>
      <c r="BL371" s="2269"/>
      <c r="BM371" s="2269"/>
      <c r="BN371" s="2269"/>
      <c r="BO371" s="2269"/>
      <c r="BP371" s="2269"/>
      <c r="BQ371" s="2269"/>
      <c r="BR371" s="2269"/>
      <c r="BS371" s="2269"/>
      <c r="BT371" s="2269"/>
      <c r="BU371" s="2269"/>
      <c r="BV371" s="2269"/>
      <c r="BW371" s="2269"/>
      <c r="BX371" s="2269"/>
      <c r="BY371" s="2269"/>
      <c r="BZ371" s="2269"/>
      <c r="CA371" s="2269"/>
    </row>
    <row r="372" spans="1:79">
      <c r="A372" s="2269"/>
      <c r="B372" s="2269"/>
      <c r="C372" s="2269"/>
      <c r="D372" s="2269"/>
      <c r="E372" s="2269"/>
      <c r="F372" s="2269"/>
      <c r="G372" s="2269"/>
      <c r="H372" s="2269"/>
      <c r="I372" s="2269"/>
      <c r="J372" s="2269"/>
      <c r="K372" s="2269"/>
      <c r="L372" s="2269"/>
      <c r="M372" s="2269"/>
      <c r="N372" s="2269"/>
      <c r="O372" s="2269"/>
      <c r="P372" s="2269"/>
      <c r="Q372" s="2269"/>
      <c r="R372" s="2269"/>
      <c r="S372" s="2269"/>
      <c r="T372" s="2269"/>
      <c r="U372" s="2269"/>
      <c r="V372" s="2269"/>
      <c r="W372" s="2269"/>
      <c r="X372" s="2269"/>
      <c r="Y372" s="2269"/>
      <c r="Z372" s="2269"/>
      <c r="AA372" s="2269"/>
      <c r="AB372" s="2269"/>
      <c r="AC372" s="2269"/>
      <c r="AD372" s="2269"/>
      <c r="AE372" s="2269"/>
      <c r="AF372" s="2269"/>
      <c r="AG372" s="2269"/>
      <c r="AH372" s="2269"/>
      <c r="AI372" s="2269"/>
      <c r="AJ372" s="2269"/>
      <c r="AK372" s="2269"/>
      <c r="AL372" s="2269"/>
      <c r="AM372" s="2269"/>
      <c r="AN372" s="2269"/>
      <c r="AO372" s="2269"/>
      <c r="AP372" s="2269"/>
      <c r="AQ372" s="2269"/>
      <c r="AR372" s="2269"/>
      <c r="AS372" s="2269"/>
      <c r="AT372" s="2269"/>
      <c r="AU372" s="2269"/>
      <c r="AV372" s="2269"/>
      <c r="AW372" s="2269"/>
      <c r="AX372" s="2269"/>
      <c r="AY372" s="2269"/>
      <c r="AZ372" s="2269"/>
      <c r="BA372" s="2269"/>
      <c r="BB372" s="2269"/>
      <c r="BC372" s="2269"/>
      <c r="BD372" s="2269"/>
      <c r="BE372" s="2269"/>
      <c r="BF372" s="2269"/>
      <c r="BG372" s="2269"/>
      <c r="BH372" s="2269"/>
      <c r="BI372" s="2269"/>
      <c r="BJ372" s="2269"/>
      <c r="BK372" s="2269"/>
      <c r="BL372" s="2269"/>
      <c r="BM372" s="2269"/>
      <c r="BN372" s="2269"/>
      <c r="BO372" s="2269"/>
      <c r="BP372" s="2269"/>
      <c r="BQ372" s="2269"/>
      <c r="BR372" s="2269"/>
      <c r="BS372" s="2269"/>
      <c r="BT372" s="2269"/>
      <c r="BU372" s="2269"/>
      <c r="BV372" s="2269"/>
      <c r="BW372" s="2269"/>
      <c r="BX372" s="2269"/>
      <c r="BY372" s="2269"/>
      <c r="BZ372" s="2269"/>
      <c r="CA372" s="2269"/>
    </row>
    <row r="373" spans="1:79">
      <c r="A373" s="2269"/>
      <c r="B373" s="2269"/>
      <c r="C373" s="2269"/>
      <c r="D373" s="2269"/>
      <c r="E373" s="2269"/>
      <c r="F373" s="2269"/>
      <c r="G373" s="2269"/>
      <c r="H373" s="2269"/>
      <c r="I373" s="2269"/>
      <c r="J373" s="2269"/>
      <c r="K373" s="2269"/>
      <c r="L373" s="2269"/>
      <c r="M373" s="2269"/>
      <c r="N373" s="2269"/>
      <c r="O373" s="2269"/>
      <c r="P373" s="2269"/>
      <c r="Q373" s="2269"/>
      <c r="R373" s="2269"/>
      <c r="S373" s="2269"/>
      <c r="T373" s="2269"/>
      <c r="U373" s="2269"/>
      <c r="V373" s="2269"/>
      <c r="W373" s="2269"/>
      <c r="X373" s="2269"/>
      <c r="Y373" s="2269"/>
      <c r="Z373" s="2269"/>
      <c r="AA373" s="2269"/>
      <c r="AB373" s="2269"/>
      <c r="AC373" s="2269"/>
      <c r="AD373" s="2269"/>
      <c r="AE373" s="2269"/>
      <c r="AF373" s="2269"/>
      <c r="AG373" s="2269"/>
      <c r="AH373" s="2269"/>
      <c r="AI373" s="2269"/>
      <c r="AJ373" s="2269"/>
      <c r="AK373" s="2269"/>
      <c r="AL373" s="2269"/>
      <c r="AM373" s="2269"/>
      <c r="AN373" s="2269"/>
      <c r="AO373" s="2269"/>
      <c r="AP373" s="2269"/>
      <c r="AQ373" s="2269"/>
      <c r="AR373" s="2269"/>
      <c r="AS373" s="2269"/>
      <c r="AT373" s="2269"/>
      <c r="AU373" s="2269"/>
      <c r="AV373" s="2269"/>
      <c r="AW373" s="2269"/>
      <c r="AX373" s="2269"/>
      <c r="AY373" s="2269"/>
      <c r="AZ373" s="2269"/>
      <c r="BA373" s="2269"/>
      <c r="BB373" s="2269"/>
      <c r="BC373" s="2269"/>
      <c r="BD373" s="2269"/>
      <c r="BE373" s="2269"/>
      <c r="BF373" s="2269"/>
      <c r="BG373" s="2269"/>
      <c r="BH373" s="2269"/>
      <c r="BI373" s="2269"/>
      <c r="BJ373" s="2269"/>
      <c r="BK373" s="2269"/>
      <c r="BL373" s="2269"/>
      <c r="BM373" s="2269"/>
      <c r="BN373" s="2269"/>
      <c r="BO373" s="2269"/>
      <c r="BP373" s="2269"/>
      <c r="BQ373" s="2269"/>
      <c r="BR373" s="2269"/>
      <c r="BS373" s="2269"/>
      <c r="BT373" s="2269"/>
      <c r="BU373" s="2269"/>
      <c r="BV373" s="2269"/>
      <c r="BW373" s="2269"/>
      <c r="BX373" s="2269"/>
      <c r="BY373" s="2269"/>
      <c r="BZ373" s="2269"/>
      <c r="CA373" s="2269"/>
    </row>
    <row r="374" spans="1:79">
      <c r="A374" s="2269"/>
      <c r="B374" s="2269"/>
      <c r="C374" s="2269"/>
      <c r="D374" s="2269"/>
      <c r="E374" s="2269"/>
      <c r="F374" s="2269"/>
      <c r="G374" s="2269"/>
      <c r="H374" s="2269"/>
      <c r="I374" s="2269"/>
      <c r="J374" s="2269"/>
      <c r="K374" s="2269"/>
      <c r="L374" s="2269"/>
      <c r="M374" s="2269"/>
      <c r="N374" s="2269"/>
      <c r="O374" s="2269"/>
      <c r="P374" s="2269"/>
      <c r="Q374" s="2269"/>
      <c r="R374" s="2269"/>
      <c r="S374" s="2269"/>
      <c r="T374" s="2269"/>
      <c r="U374" s="2269"/>
      <c r="V374" s="2269"/>
      <c r="W374" s="2269"/>
      <c r="X374" s="2269"/>
      <c r="Y374" s="2269"/>
      <c r="Z374" s="2269"/>
      <c r="AA374" s="2269"/>
      <c r="AB374" s="2269"/>
      <c r="AC374" s="2269"/>
      <c r="AD374" s="2269"/>
      <c r="AE374" s="2269"/>
      <c r="AF374" s="2269"/>
      <c r="AG374" s="2269"/>
      <c r="AH374" s="2269"/>
      <c r="AI374" s="2269"/>
      <c r="AJ374" s="2269"/>
      <c r="AK374" s="2269"/>
      <c r="AL374" s="2269"/>
      <c r="AM374" s="2269"/>
      <c r="AN374" s="2269"/>
      <c r="AO374" s="2269"/>
      <c r="AP374" s="2269"/>
      <c r="AQ374" s="2269"/>
      <c r="AR374" s="2269"/>
      <c r="AS374" s="2269"/>
      <c r="AT374" s="2269"/>
      <c r="AU374" s="2269"/>
      <c r="AV374" s="2269"/>
      <c r="AW374" s="2269"/>
      <c r="AX374" s="2269"/>
      <c r="AY374" s="2269"/>
      <c r="AZ374" s="2269"/>
      <c r="BA374" s="2269"/>
      <c r="BB374" s="2269"/>
      <c r="BC374" s="2269"/>
      <c r="BD374" s="2269"/>
      <c r="BE374" s="2269"/>
      <c r="BF374" s="2269"/>
      <c r="BG374" s="2269"/>
      <c r="BH374" s="2269"/>
      <c r="BI374" s="2269"/>
      <c r="BJ374" s="2269"/>
      <c r="BK374" s="2269"/>
      <c r="BL374" s="2269"/>
      <c r="BM374" s="2269"/>
      <c r="BN374" s="2269"/>
      <c r="BO374" s="2269"/>
      <c r="BP374" s="2269"/>
      <c r="BQ374" s="2269"/>
      <c r="BR374" s="2269"/>
      <c r="BS374" s="2269"/>
      <c r="BT374" s="2269"/>
      <c r="BU374" s="2269"/>
      <c r="BV374" s="2269"/>
      <c r="BW374" s="2269"/>
      <c r="BX374" s="2269"/>
      <c r="BY374" s="2269"/>
      <c r="BZ374" s="2269"/>
      <c r="CA374" s="2269"/>
    </row>
    <row r="375" spans="1:79">
      <c r="A375" s="2269"/>
      <c r="B375" s="2269"/>
      <c r="C375" s="2269"/>
      <c r="D375" s="2269"/>
      <c r="E375" s="2269"/>
      <c r="F375" s="2269"/>
      <c r="G375" s="2269"/>
      <c r="H375" s="2269"/>
      <c r="I375" s="2269"/>
      <c r="J375" s="2269"/>
      <c r="K375" s="2269"/>
      <c r="L375" s="2269"/>
      <c r="M375" s="2269"/>
      <c r="N375" s="2269"/>
      <c r="O375" s="2269"/>
      <c r="P375" s="2269"/>
      <c r="Q375" s="2269"/>
      <c r="R375" s="2269"/>
      <c r="S375" s="2269"/>
      <c r="T375" s="2269"/>
      <c r="U375" s="2269"/>
      <c r="V375" s="2269"/>
      <c r="W375" s="2269"/>
      <c r="X375" s="2269"/>
      <c r="Y375" s="2269"/>
      <c r="Z375" s="2269"/>
      <c r="AA375" s="2269"/>
      <c r="AB375" s="2269"/>
      <c r="AC375" s="2269"/>
      <c r="AD375" s="2269"/>
      <c r="AE375" s="2269"/>
      <c r="AF375" s="2269"/>
      <c r="AG375" s="2269"/>
      <c r="AH375" s="2269"/>
      <c r="AI375" s="2269"/>
      <c r="AJ375" s="2269"/>
      <c r="AK375" s="2269"/>
      <c r="AL375" s="2269"/>
      <c r="AM375" s="2269"/>
      <c r="AN375" s="2269"/>
      <c r="AO375" s="2269"/>
      <c r="AP375" s="2269"/>
      <c r="AQ375" s="2269"/>
      <c r="AR375" s="2269"/>
      <c r="AS375" s="2269"/>
      <c r="AT375" s="2269"/>
      <c r="AU375" s="2269"/>
      <c r="AV375" s="2269"/>
      <c r="AW375" s="2269"/>
      <c r="AX375" s="2269"/>
      <c r="AY375" s="2269"/>
      <c r="AZ375" s="2269"/>
      <c r="BA375" s="2269"/>
      <c r="BB375" s="2269"/>
      <c r="BC375" s="2269"/>
      <c r="BD375" s="2269"/>
      <c r="BE375" s="2269"/>
      <c r="BF375" s="2269"/>
      <c r="BG375" s="2269"/>
      <c r="BH375" s="2269"/>
      <c r="BI375" s="2269"/>
      <c r="BJ375" s="2269"/>
      <c r="BK375" s="2269"/>
      <c r="BL375" s="2269"/>
      <c r="BM375" s="2269"/>
      <c r="BN375" s="2269"/>
      <c r="BO375" s="2269"/>
      <c r="BP375" s="2269"/>
      <c r="BQ375" s="2269"/>
      <c r="BR375" s="2269"/>
      <c r="BS375" s="2269"/>
      <c r="BT375" s="2269"/>
      <c r="BU375" s="2269"/>
      <c r="BV375" s="2269"/>
      <c r="BW375" s="2269"/>
      <c r="BX375" s="2269"/>
      <c r="BY375" s="2269"/>
      <c r="BZ375" s="2269"/>
      <c r="CA375" s="2269"/>
    </row>
    <row r="376" spans="1:79">
      <c r="A376" s="2269"/>
      <c r="B376" s="2269"/>
      <c r="C376" s="2269"/>
      <c r="D376" s="2269"/>
      <c r="E376" s="2269"/>
      <c r="F376" s="2269"/>
      <c r="G376" s="2269"/>
      <c r="H376" s="2269"/>
      <c r="I376" s="2269"/>
      <c r="J376" s="2269"/>
      <c r="K376" s="2269"/>
      <c r="L376" s="2269"/>
      <c r="M376" s="2269"/>
      <c r="N376" s="2269"/>
      <c r="O376" s="2269"/>
      <c r="P376" s="2269"/>
      <c r="Q376" s="2269"/>
      <c r="R376" s="2269"/>
      <c r="S376" s="2269"/>
      <c r="T376" s="2269"/>
      <c r="U376" s="2269"/>
      <c r="V376" s="2269"/>
      <c r="W376" s="2269"/>
      <c r="X376" s="2269"/>
      <c r="Y376" s="2269"/>
      <c r="Z376" s="2269"/>
      <c r="AA376" s="2269"/>
      <c r="AB376" s="2269"/>
      <c r="AC376" s="2269"/>
      <c r="AD376" s="2269"/>
      <c r="AE376" s="2269"/>
      <c r="AF376" s="2269"/>
      <c r="AG376" s="2269"/>
      <c r="AH376" s="2269"/>
      <c r="AI376" s="2269"/>
      <c r="AJ376" s="2269"/>
      <c r="AK376" s="2269"/>
      <c r="AL376" s="2269"/>
      <c r="AM376" s="2269"/>
      <c r="AN376" s="2269"/>
      <c r="AO376" s="2269"/>
      <c r="AP376" s="2269"/>
      <c r="AQ376" s="2269"/>
      <c r="AR376" s="2269"/>
      <c r="AS376" s="2269"/>
      <c r="AT376" s="2269"/>
      <c r="AU376" s="2269"/>
      <c r="AV376" s="2269"/>
      <c r="AW376" s="2269"/>
      <c r="AX376" s="2269"/>
      <c r="AY376" s="2269"/>
      <c r="AZ376" s="2269"/>
      <c r="BA376" s="2269"/>
      <c r="BB376" s="2269"/>
      <c r="BC376" s="2269"/>
      <c r="BD376" s="2269"/>
      <c r="BE376" s="2269"/>
      <c r="BF376" s="2269"/>
      <c r="BG376" s="2269"/>
      <c r="BH376" s="2269"/>
      <c r="BI376" s="2269"/>
      <c r="BJ376" s="2269"/>
      <c r="BK376" s="2269"/>
      <c r="BL376" s="2269"/>
      <c r="BM376" s="2269"/>
      <c r="BN376" s="2269"/>
      <c r="BO376" s="2269"/>
      <c r="BP376" s="2269"/>
      <c r="BQ376" s="2269"/>
      <c r="BR376" s="2269"/>
      <c r="BS376" s="2269"/>
      <c r="BT376" s="2269"/>
      <c r="BU376" s="2269"/>
      <c r="BV376" s="2269"/>
      <c r="BW376" s="2269"/>
      <c r="BX376" s="2269"/>
      <c r="BY376" s="2269"/>
      <c r="BZ376" s="2269"/>
      <c r="CA376" s="2269"/>
    </row>
    <row r="377" spans="1:79">
      <c r="A377" s="2269"/>
      <c r="B377" s="2269"/>
      <c r="C377" s="2269"/>
      <c r="D377" s="2269"/>
      <c r="E377" s="2269"/>
      <c r="F377" s="2269"/>
      <c r="G377" s="2269"/>
      <c r="H377" s="2269"/>
      <c r="I377" s="2269"/>
      <c r="J377" s="2269"/>
      <c r="K377" s="2269"/>
      <c r="L377" s="2269"/>
      <c r="M377" s="2269"/>
      <c r="N377" s="2269"/>
      <c r="O377" s="2269"/>
      <c r="P377" s="2269"/>
      <c r="Q377" s="2269"/>
      <c r="R377" s="2269"/>
      <c r="S377" s="2269"/>
      <c r="T377" s="2269"/>
      <c r="U377" s="2269"/>
      <c r="V377" s="2269"/>
      <c r="W377" s="2269"/>
      <c r="X377" s="2269"/>
      <c r="Y377" s="2269"/>
      <c r="Z377" s="2269"/>
      <c r="AA377" s="2269"/>
      <c r="AB377" s="2269"/>
      <c r="AC377" s="2269"/>
      <c r="AD377" s="2269"/>
      <c r="AE377" s="2269"/>
      <c r="AF377" s="2269"/>
      <c r="AG377" s="2269"/>
      <c r="AH377" s="2269"/>
      <c r="AI377" s="2269"/>
      <c r="AJ377" s="2269"/>
      <c r="AK377" s="2269"/>
      <c r="AL377" s="2269"/>
      <c r="AM377" s="2269"/>
      <c r="AN377" s="2269"/>
      <c r="AO377" s="2269"/>
      <c r="AP377" s="2269"/>
      <c r="AQ377" s="2269"/>
      <c r="AR377" s="2269"/>
      <c r="AS377" s="2269"/>
      <c r="AT377" s="2269"/>
      <c r="AU377" s="2269"/>
      <c r="AV377" s="2269"/>
      <c r="AW377" s="2269"/>
      <c r="AX377" s="2269"/>
      <c r="AY377" s="2269"/>
      <c r="AZ377" s="2269"/>
      <c r="BA377" s="2269"/>
      <c r="BB377" s="2269"/>
      <c r="BC377" s="2269"/>
      <c r="BD377" s="2269"/>
      <c r="BE377" s="2269"/>
      <c r="BF377" s="2269"/>
      <c r="BG377" s="2269"/>
      <c r="BH377" s="2269"/>
      <c r="BI377" s="2269"/>
      <c r="BJ377" s="2269"/>
      <c r="BK377" s="2269"/>
      <c r="BL377" s="2269"/>
      <c r="BM377" s="2269"/>
      <c r="BN377" s="2269"/>
      <c r="BO377" s="2269"/>
      <c r="BP377" s="2269"/>
      <c r="BQ377" s="2269"/>
      <c r="BR377" s="2269"/>
      <c r="BS377" s="2269"/>
      <c r="BT377" s="2269"/>
      <c r="BU377" s="2269"/>
      <c r="BV377" s="2269"/>
      <c r="BW377" s="2269"/>
      <c r="BX377" s="2269"/>
      <c r="BY377" s="2269"/>
      <c r="BZ377" s="2269"/>
      <c r="CA377" s="2269"/>
    </row>
    <row r="378" spans="1:79">
      <c r="A378" s="2269"/>
      <c r="B378" s="2269"/>
      <c r="C378" s="2269"/>
      <c r="D378" s="2269"/>
      <c r="E378" s="2269"/>
      <c r="F378" s="2269"/>
      <c r="G378" s="2269"/>
      <c r="H378" s="2269"/>
      <c r="I378" s="2269"/>
      <c r="J378" s="2269"/>
      <c r="K378" s="2269"/>
      <c r="L378" s="2269"/>
      <c r="M378" s="2269"/>
      <c r="N378" s="2269"/>
      <c r="O378" s="2269"/>
      <c r="P378" s="2269"/>
      <c r="Q378" s="2269"/>
      <c r="R378" s="2269"/>
      <c r="S378" s="2269"/>
      <c r="T378" s="2269"/>
      <c r="U378" s="2269"/>
      <c r="V378" s="2269"/>
      <c r="W378" s="2269"/>
      <c r="X378" s="2269"/>
      <c r="Y378" s="2269"/>
      <c r="Z378" s="2269"/>
      <c r="AA378" s="2269"/>
      <c r="AB378" s="2269"/>
      <c r="AC378" s="2269"/>
      <c r="AD378" s="2269"/>
      <c r="AE378" s="2269"/>
      <c r="AF378" s="2269"/>
      <c r="AG378" s="2269"/>
      <c r="AH378" s="2269"/>
      <c r="AI378" s="2269"/>
      <c r="AJ378" s="2269"/>
      <c r="AK378" s="2269"/>
      <c r="AL378" s="2269"/>
      <c r="AM378" s="2269"/>
      <c r="AN378" s="2269"/>
      <c r="AO378" s="2269"/>
      <c r="AP378" s="2269"/>
      <c r="AQ378" s="2269"/>
      <c r="AR378" s="2269"/>
      <c r="AS378" s="2269"/>
      <c r="AT378" s="2269"/>
      <c r="AU378" s="2269"/>
      <c r="AV378" s="2269"/>
      <c r="AW378" s="2269"/>
      <c r="AX378" s="2269"/>
      <c r="AY378" s="2269"/>
      <c r="AZ378" s="2269"/>
      <c r="BA378" s="2269"/>
      <c r="BB378" s="2269"/>
      <c r="BC378" s="2269"/>
      <c r="BD378" s="2269"/>
      <c r="BE378" s="2269"/>
      <c r="BF378" s="2269"/>
      <c r="BG378" s="2269"/>
      <c r="BH378" s="2269"/>
      <c r="BI378" s="2269"/>
      <c r="BJ378" s="2269"/>
      <c r="BK378" s="2269"/>
      <c r="BL378" s="2269"/>
      <c r="BM378" s="2269"/>
      <c r="BN378" s="2269"/>
      <c r="BO378" s="2269"/>
      <c r="BP378" s="2269"/>
      <c r="BQ378" s="2269"/>
      <c r="BR378" s="2269"/>
      <c r="BS378" s="2269"/>
      <c r="BT378" s="2269"/>
      <c r="BU378" s="2269"/>
      <c r="BV378" s="2269"/>
      <c r="BW378" s="2269"/>
      <c r="BX378" s="2269"/>
      <c r="BY378" s="2269"/>
      <c r="BZ378" s="2269"/>
      <c r="CA378" s="2269"/>
    </row>
    <row r="379" spans="1:79">
      <c r="A379" s="2269"/>
      <c r="B379" s="2269"/>
      <c r="C379" s="2269"/>
      <c r="D379" s="2269"/>
      <c r="E379" s="2269"/>
      <c r="F379" s="2269"/>
      <c r="G379" s="2269"/>
      <c r="H379" s="2269"/>
      <c r="I379" s="2269"/>
      <c r="J379" s="2269"/>
      <c r="K379" s="2269"/>
      <c r="L379" s="2269"/>
      <c r="M379" s="2269"/>
      <c r="N379" s="2269"/>
      <c r="O379" s="2269"/>
      <c r="P379" s="2269"/>
      <c r="Q379" s="2269"/>
      <c r="R379" s="2269"/>
      <c r="S379" s="2269"/>
      <c r="T379" s="2269"/>
      <c r="U379" s="2269"/>
      <c r="V379" s="2269"/>
      <c r="W379" s="2269"/>
      <c r="X379" s="2269"/>
      <c r="Y379" s="2269"/>
      <c r="Z379" s="2269"/>
      <c r="AA379" s="2269"/>
      <c r="AB379" s="2269"/>
      <c r="AC379" s="2269"/>
      <c r="AD379" s="2269"/>
      <c r="AE379" s="2269"/>
      <c r="AF379" s="2269"/>
      <c r="AG379" s="2269"/>
      <c r="AH379" s="2269"/>
      <c r="AI379" s="2269"/>
      <c r="AJ379" s="2269"/>
      <c r="AK379" s="2269"/>
      <c r="AL379" s="2269"/>
      <c r="AM379" s="2269"/>
      <c r="AN379" s="2269"/>
      <c r="AO379" s="2269"/>
      <c r="AP379" s="2269"/>
      <c r="AQ379" s="2269"/>
      <c r="AR379" s="2269"/>
      <c r="AS379" s="2269"/>
      <c r="AT379" s="2269"/>
      <c r="AU379" s="2269"/>
      <c r="AV379" s="2269"/>
      <c r="AW379" s="2269"/>
      <c r="AX379" s="2269"/>
      <c r="AY379" s="2269"/>
      <c r="AZ379" s="2269"/>
      <c r="BA379" s="2269"/>
      <c r="BB379" s="2269"/>
      <c r="BC379" s="2269"/>
      <c r="BD379" s="2269"/>
      <c r="BE379" s="2269"/>
      <c r="BF379" s="2269"/>
      <c r="BG379" s="2269"/>
      <c r="BH379" s="2269"/>
      <c r="BI379" s="2269"/>
      <c r="BJ379" s="2269"/>
      <c r="BK379" s="2269"/>
      <c r="BL379" s="2269"/>
      <c r="BM379" s="2269"/>
      <c r="BN379" s="2269"/>
      <c r="BO379" s="2269"/>
      <c r="BP379" s="2269"/>
      <c r="BQ379" s="2269"/>
      <c r="BR379" s="2269"/>
      <c r="BS379" s="2269"/>
      <c r="BT379" s="2269"/>
      <c r="BU379" s="2269"/>
      <c r="BV379" s="2269"/>
      <c r="BW379" s="2269"/>
      <c r="BX379" s="2269"/>
      <c r="BY379" s="2269"/>
      <c r="BZ379" s="2269"/>
      <c r="CA379" s="2269"/>
    </row>
    <row r="380" spans="1:79">
      <c r="A380" s="2269"/>
      <c r="B380" s="2269"/>
      <c r="C380" s="2269"/>
      <c r="D380" s="2269"/>
      <c r="E380" s="2269"/>
      <c r="F380" s="2269"/>
      <c r="G380" s="2269"/>
      <c r="H380" s="2269"/>
      <c r="I380" s="2269"/>
      <c r="J380" s="2269"/>
      <c r="K380" s="2269"/>
      <c r="L380" s="2269"/>
      <c r="M380" s="2269"/>
      <c r="N380" s="2269"/>
      <c r="O380" s="2269"/>
      <c r="P380" s="2269"/>
      <c r="Q380" s="2269"/>
      <c r="R380" s="2269"/>
      <c r="S380" s="2269"/>
      <c r="T380" s="2269"/>
      <c r="U380" s="2269"/>
      <c r="V380" s="2269"/>
      <c r="W380" s="2269"/>
      <c r="X380" s="2269"/>
      <c r="Y380" s="2269"/>
      <c r="Z380" s="2269"/>
      <c r="AA380" s="2269"/>
      <c r="AB380" s="2269"/>
      <c r="AC380" s="2269"/>
      <c r="AD380" s="2269"/>
      <c r="AE380" s="2269"/>
      <c r="AF380" s="2269"/>
      <c r="AG380" s="2269"/>
      <c r="AH380" s="2269"/>
      <c r="AI380" s="2269"/>
      <c r="AJ380" s="2269"/>
      <c r="AK380" s="2269"/>
      <c r="AL380" s="2269"/>
      <c r="AM380" s="2269"/>
      <c r="AN380" s="2269"/>
      <c r="AO380" s="2269"/>
      <c r="AP380" s="2269"/>
      <c r="AQ380" s="2269"/>
      <c r="AR380" s="2269"/>
      <c r="AS380" s="2269"/>
      <c r="AT380" s="2269"/>
      <c r="AU380" s="2269"/>
      <c r="AV380" s="2269"/>
      <c r="AW380" s="2269"/>
      <c r="AX380" s="2269"/>
      <c r="AY380" s="2269"/>
      <c r="AZ380" s="2269"/>
      <c r="BA380" s="2269"/>
      <c r="BB380" s="2269"/>
      <c r="BC380" s="2269"/>
      <c r="BD380" s="2269"/>
      <c r="BE380" s="2269"/>
      <c r="BF380" s="2269"/>
      <c r="BG380" s="2269"/>
      <c r="BH380" s="2269"/>
      <c r="BI380" s="2269"/>
      <c r="BJ380" s="2269"/>
      <c r="BK380" s="2269"/>
      <c r="BL380" s="2269"/>
      <c r="BM380" s="2269"/>
      <c r="BN380" s="2269"/>
      <c r="BO380" s="2269"/>
      <c r="BP380" s="2269"/>
      <c r="BQ380" s="2269"/>
      <c r="BR380" s="2269"/>
      <c r="BS380" s="2269"/>
      <c r="BT380" s="2269"/>
      <c r="BU380" s="2269"/>
      <c r="BV380" s="2269"/>
      <c r="BW380" s="2269"/>
      <c r="BX380" s="2269"/>
      <c r="BY380" s="2269"/>
      <c r="BZ380" s="2269"/>
      <c r="CA380" s="2269"/>
    </row>
    <row r="381" spans="1:79">
      <c r="A381" s="2269"/>
      <c r="B381" s="2269"/>
      <c r="C381" s="2269"/>
      <c r="D381" s="2269"/>
      <c r="E381" s="2269"/>
      <c r="F381" s="2269"/>
      <c r="G381" s="2269"/>
      <c r="H381" s="2269"/>
      <c r="I381" s="2269"/>
      <c r="J381" s="2269"/>
      <c r="K381" s="2269"/>
      <c r="L381" s="2269"/>
      <c r="M381" s="2269"/>
      <c r="N381" s="2269"/>
      <c r="O381" s="2269"/>
      <c r="P381" s="2269"/>
      <c r="Q381" s="2269"/>
      <c r="R381" s="2269"/>
      <c r="S381" s="2269"/>
      <c r="T381" s="2269"/>
      <c r="U381" s="2269"/>
      <c r="V381" s="2269"/>
      <c r="W381" s="2269"/>
      <c r="X381" s="2269"/>
      <c r="Y381" s="2269"/>
      <c r="Z381" s="2269"/>
      <c r="AA381" s="2269"/>
      <c r="AB381" s="2269"/>
      <c r="AC381" s="2269"/>
      <c r="AD381" s="2269"/>
      <c r="AE381" s="2269"/>
      <c r="AF381" s="2269"/>
      <c r="AG381" s="2269"/>
      <c r="AH381" s="2269"/>
      <c r="AI381" s="2269"/>
      <c r="AJ381" s="2269"/>
      <c r="AK381" s="2269"/>
      <c r="AL381" s="2269"/>
      <c r="AM381" s="2269"/>
      <c r="AN381" s="2269"/>
      <c r="AO381" s="2269"/>
      <c r="AP381" s="2269"/>
      <c r="AQ381" s="2269"/>
      <c r="AR381" s="2269"/>
      <c r="AS381" s="2269"/>
      <c r="AT381" s="2269"/>
      <c r="AU381" s="2269"/>
      <c r="AV381" s="2269"/>
      <c r="AW381" s="2269"/>
      <c r="AX381" s="2269"/>
      <c r="AY381" s="2269"/>
      <c r="AZ381" s="2269"/>
      <c r="BA381" s="2269"/>
      <c r="BB381" s="2269"/>
      <c r="BC381" s="2269"/>
      <c r="BD381" s="2269"/>
      <c r="BE381" s="2269"/>
      <c r="BF381" s="2269"/>
      <c r="BG381" s="2269"/>
      <c r="BH381" s="2269"/>
      <c r="BI381" s="2269"/>
      <c r="BJ381" s="2269"/>
      <c r="BK381" s="2269"/>
      <c r="BL381" s="2269"/>
      <c r="BM381" s="2269"/>
      <c r="BN381" s="2269"/>
      <c r="BO381" s="2269"/>
      <c r="BP381" s="2269"/>
      <c r="BQ381" s="2269"/>
      <c r="BR381" s="2269"/>
      <c r="BS381" s="2269"/>
      <c r="BT381" s="2269"/>
      <c r="BU381" s="2269"/>
      <c r="BV381" s="2269"/>
      <c r="BW381" s="2269"/>
      <c r="BX381" s="2269"/>
      <c r="BY381" s="2269"/>
      <c r="BZ381" s="2269"/>
      <c r="CA381" s="2269"/>
    </row>
    <row r="382" spans="1:79">
      <c r="A382" s="2269"/>
      <c r="B382" s="2269"/>
      <c r="C382" s="2269"/>
      <c r="D382" s="2269"/>
      <c r="E382" s="2269"/>
      <c r="F382" s="2269"/>
      <c r="G382" s="2269"/>
      <c r="H382" s="2269"/>
      <c r="I382" s="2269"/>
      <c r="J382" s="2269"/>
      <c r="K382" s="2269"/>
      <c r="L382" s="2269"/>
      <c r="M382" s="2269"/>
      <c r="N382" s="2269"/>
      <c r="O382" s="2269"/>
      <c r="P382" s="2269"/>
      <c r="Q382" s="2269"/>
      <c r="R382" s="2269"/>
      <c r="S382" s="2269"/>
      <c r="T382" s="2269"/>
      <c r="U382" s="2269"/>
      <c r="V382" s="2269"/>
      <c r="W382" s="2269"/>
      <c r="X382" s="2269"/>
      <c r="Y382" s="2269"/>
      <c r="Z382" s="2269"/>
      <c r="AA382" s="2269"/>
      <c r="AB382" s="2269"/>
      <c r="AC382" s="2269"/>
      <c r="AD382" s="2269"/>
      <c r="AE382" s="2269"/>
      <c r="AF382" s="2269"/>
      <c r="AG382" s="2269"/>
      <c r="AH382" s="2269"/>
      <c r="AI382" s="2269"/>
      <c r="AJ382" s="2269"/>
      <c r="AK382" s="2269"/>
      <c r="AL382" s="2269"/>
      <c r="AM382" s="2269"/>
      <c r="AN382" s="2269"/>
      <c r="AO382" s="2269"/>
      <c r="AP382" s="2269"/>
      <c r="AQ382" s="2269"/>
      <c r="AR382" s="2269"/>
      <c r="AS382" s="2269"/>
      <c r="AT382" s="2269"/>
      <c r="AU382" s="2269"/>
      <c r="AV382" s="2269"/>
      <c r="AW382" s="2269"/>
      <c r="AX382" s="2269"/>
      <c r="AY382" s="2269"/>
      <c r="AZ382" s="2269"/>
      <c r="BA382" s="2269"/>
      <c r="BB382" s="2269"/>
      <c r="BC382" s="2269"/>
      <c r="BD382" s="2269"/>
      <c r="BE382" s="2269"/>
      <c r="BF382" s="2269"/>
      <c r="BG382" s="2269"/>
      <c r="BH382" s="2269"/>
      <c r="BI382" s="2269"/>
      <c r="BJ382" s="2269"/>
      <c r="BK382" s="2269"/>
      <c r="BL382" s="2269"/>
      <c r="BM382" s="2269"/>
      <c r="BN382" s="2269"/>
      <c r="BO382" s="2269"/>
      <c r="BP382" s="2269"/>
      <c r="BQ382" s="2269"/>
      <c r="BR382" s="2269"/>
      <c r="BS382" s="2269"/>
      <c r="BT382" s="2269"/>
      <c r="BU382" s="2269"/>
      <c r="BV382" s="2269"/>
      <c r="BW382" s="2269"/>
      <c r="BX382" s="2269"/>
      <c r="BY382" s="2269"/>
      <c r="BZ382" s="2269"/>
      <c r="CA382" s="2269"/>
    </row>
    <row r="383" spans="1:79">
      <c r="A383" s="2269"/>
      <c r="B383" s="2269"/>
      <c r="C383" s="2269"/>
      <c r="D383" s="2269"/>
      <c r="E383" s="2269"/>
      <c r="F383" s="2269"/>
      <c r="G383" s="2269"/>
      <c r="H383" s="2269"/>
      <c r="I383" s="2269"/>
      <c r="J383" s="2269"/>
      <c r="K383" s="2269"/>
      <c r="L383" s="2269"/>
      <c r="M383" s="2269"/>
      <c r="N383" s="2269"/>
      <c r="O383" s="2269"/>
      <c r="P383" s="2269"/>
      <c r="Q383" s="2269"/>
      <c r="R383" s="2269"/>
      <c r="S383" s="2269"/>
      <c r="T383" s="2269"/>
      <c r="U383" s="2269"/>
      <c r="V383" s="2269"/>
      <c r="W383" s="2269"/>
      <c r="X383" s="2269"/>
      <c r="Y383" s="2269"/>
      <c r="Z383" s="2269"/>
      <c r="AA383" s="2269"/>
      <c r="AB383" s="2269"/>
      <c r="AC383" s="2269"/>
      <c r="AD383" s="2269"/>
      <c r="AE383" s="2269"/>
      <c r="AF383" s="2269"/>
      <c r="AG383" s="2269"/>
      <c r="AH383" s="2269"/>
      <c r="AI383" s="2269"/>
      <c r="AJ383" s="2269"/>
      <c r="AK383" s="2269"/>
      <c r="AL383" s="2269"/>
      <c r="AM383" s="2269"/>
      <c r="AN383" s="2269"/>
      <c r="AO383" s="2269"/>
      <c r="AP383" s="2269"/>
      <c r="AQ383" s="2269"/>
      <c r="AR383" s="2269"/>
      <c r="AS383" s="2269"/>
      <c r="AT383" s="2269"/>
      <c r="AU383" s="2269"/>
      <c r="AV383" s="2269"/>
      <c r="AW383" s="2269"/>
      <c r="AX383" s="2269"/>
      <c r="AY383" s="2269"/>
      <c r="AZ383" s="2269"/>
      <c r="BA383" s="2269"/>
      <c r="BB383" s="2269"/>
      <c r="BC383" s="2269"/>
      <c r="BD383" s="2269"/>
      <c r="BE383" s="2269"/>
      <c r="BF383" s="2269"/>
      <c r="BG383" s="2269"/>
      <c r="BH383" s="2269"/>
      <c r="BI383" s="2269"/>
      <c r="BJ383" s="2269"/>
      <c r="BK383" s="2269"/>
      <c r="BL383" s="2269"/>
      <c r="BM383" s="2269"/>
      <c r="BN383" s="2269"/>
      <c r="BO383" s="2269"/>
      <c r="BP383" s="2269"/>
      <c r="BQ383" s="2269"/>
      <c r="BR383" s="2269"/>
      <c r="BS383" s="2269"/>
      <c r="BT383" s="2269"/>
      <c r="BU383" s="2269"/>
      <c r="BV383" s="2269"/>
      <c r="BW383" s="2269"/>
      <c r="BX383" s="2269"/>
      <c r="BY383" s="2269"/>
      <c r="BZ383" s="2269"/>
      <c r="CA383" s="2269"/>
    </row>
    <row r="384" spans="1:79">
      <c r="A384" s="2269"/>
      <c r="B384" s="2269"/>
      <c r="C384" s="2269"/>
      <c r="D384" s="2269"/>
      <c r="E384" s="2269"/>
      <c r="F384" s="2269"/>
      <c r="G384" s="2269"/>
      <c r="H384" s="2269"/>
      <c r="I384" s="2269"/>
      <c r="J384" s="2269"/>
      <c r="K384" s="2269"/>
      <c r="L384" s="2269"/>
      <c r="M384" s="2269"/>
      <c r="N384" s="2269"/>
      <c r="O384" s="2269"/>
      <c r="P384" s="2269"/>
      <c r="Q384" s="2269"/>
      <c r="R384" s="2269"/>
      <c r="S384" s="2269"/>
      <c r="T384" s="2269"/>
      <c r="U384" s="2269"/>
      <c r="V384" s="2269"/>
      <c r="W384" s="2269"/>
      <c r="X384" s="2269"/>
      <c r="Y384" s="2269"/>
      <c r="Z384" s="2269"/>
      <c r="AA384" s="2269"/>
      <c r="AB384" s="2269"/>
      <c r="AC384" s="2269"/>
      <c r="AD384" s="2269"/>
      <c r="AE384" s="2269"/>
      <c r="AF384" s="2269"/>
      <c r="AG384" s="2269"/>
      <c r="AH384" s="2269"/>
      <c r="AI384" s="2269"/>
      <c r="AJ384" s="2269"/>
      <c r="AK384" s="2269"/>
      <c r="AL384" s="2269"/>
      <c r="AM384" s="2269"/>
      <c r="AN384" s="2269"/>
      <c r="AO384" s="2269"/>
      <c r="AP384" s="2269"/>
      <c r="AQ384" s="2269"/>
      <c r="AR384" s="2269"/>
      <c r="AS384" s="2269"/>
      <c r="AT384" s="2269"/>
      <c r="AU384" s="2269"/>
      <c r="AV384" s="2269"/>
      <c r="AW384" s="2269"/>
      <c r="AX384" s="2269"/>
      <c r="AY384" s="2269"/>
      <c r="AZ384" s="2269"/>
      <c r="BA384" s="2269"/>
      <c r="BB384" s="2269"/>
      <c r="BC384" s="2269"/>
      <c r="BD384" s="2269"/>
      <c r="BE384" s="2269"/>
      <c r="BF384" s="2269"/>
      <c r="BG384" s="2269"/>
      <c r="BH384" s="2269"/>
      <c r="BI384" s="2269"/>
      <c r="BJ384" s="2269"/>
      <c r="BK384" s="2269"/>
      <c r="BL384" s="2269"/>
      <c r="BM384" s="2269"/>
      <c r="BN384" s="2269"/>
      <c r="BO384" s="2269"/>
      <c r="BP384" s="2269"/>
      <c r="BQ384" s="2269"/>
      <c r="BR384" s="2269"/>
      <c r="BS384" s="2269"/>
      <c r="BT384" s="2269"/>
      <c r="BU384" s="2269"/>
      <c r="BV384" s="2269"/>
      <c r="BW384" s="2269"/>
      <c r="BX384" s="2269"/>
      <c r="BY384" s="2269"/>
      <c r="BZ384" s="2269"/>
      <c r="CA384" s="2269"/>
    </row>
    <row r="385" spans="1:79">
      <c r="A385" s="2269"/>
      <c r="B385" s="2269"/>
      <c r="C385" s="2269"/>
      <c r="D385" s="2269"/>
      <c r="E385" s="2269"/>
      <c r="F385" s="2269"/>
      <c r="G385" s="2269"/>
      <c r="H385" s="2269"/>
      <c r="I385" s="2269"/>
      <c r="J385" s="2269"/>
      <c r="K385" s="2269"/>
      <c r="L385" s="2269"/>
      <c r="M385" s="2269"/>
      <c r="N385" s="2269"/>
      <c r="O385" s="2269"/>
      <c r="P385" s="2269"/>
      <c r="Q385" s="2269"/>
      <c r="R385" s="2269"/>
      <c r="S385" s="2269"/>
      <c r="T385" s="2269"/>
      <c r="U385" s="2269"/>
      <c r="V385" s="2269"/>
      <c r="W385" s="2269"/>
      <c r="X385" s="2269"/>
      <c r="Y385" s="2269"/>
      <c r="Z385" s="2269"/>
      <c r="AA385" s="2269"/>
      <c r="AB385" s="2269"/>
      <c r="AC385" s="2269"/>
      <c r="AD385" s="2269"/>
      <c r="AE385" s="2269"/>
      <c r="AF385" s="2269"/>
      <c r="AG385" s="2269"/>
      <c r="AH385" s="2269"/>
      <c r="AI385" s="2269"/>
      <c r="AJ385" s="2269"/>
      <c r="AK385" s="2269"/>
      <c r="AL385" s="2269"/>
      <c r="AM385" s="2269"/>
      <c r="AN385" s="2269"/>
      <c r="AO385" s="2269"/>
      <c r="AP385" s="2269"/>
      <c r="AQ385" s="2269"/>
      <c r="AR385" s="2269"/>
      <c r="AS385" s="2269"/>
      <c r="AT385" s="2269"/>
      <c r="AU385" s="2269"/>
      <c r="AV385" s="2269"/>
      <c r="AW385" s="2269"/>
      <c r="AX385" s="2269"/>
      <c r="AY385" s="2269"/>
      <c r="AZ385" s="2269"/>
      <c r="BA385" s="2269"/>
      <c r="BB385" s="2269"/>
      <c r="BC385" s="2269"/>
      <c r="BD385" s="2269"/>
      <c r="BE385" s="2269"/>
      <c r="BF385" s="2269"/>
      <c r="BG385" s="2269"/>
      <c r="BH385" s="2269"/>
      <c r="BI385" s="2269"/>
      <c r="BJ385" s="2269"/>
      <c r="BK385" s="2269"/>
      <c r="BL385" s="2269"/>
      <c r="BM385" s="2269"/>
      <c r="BN385" s="2269"/>
      <c r="BO385" s="2269"/>
      <c r="BP385" s="2269"/>
      <c r="BQ385" s="2269"/>
      <c r="BR385" s="2269"/>
      <c r="BS385" s="2269"/>
      <c r="BT385" s="2269"/>
      <c r="BU385" s="2269"/>
      <c r="BV385" s="2269"/>
      <c r="BW385" s="2269"/>
      <c r="BX385" s="2269"/>
      <c r="BY385" s="2269"/>
      <c r="BZ385" s="2269"/>
      <c r="CA385" s="2269"/>
    </row>
    <row r="386" spans="1:79">
      <c r="A386" s="2269"/>
      <c r="B386" s="2269"/>
      <c r="C386" s="2269"/>
      <c r="D386" s="2269"/>
      <c r="E386" s="2269"/>
      <c r="F386" s="2269"/>
      <c r="G386" s="2269"/>
      <c r="H386" s="2269"/>
      <c r="I386" s="2269"/>
      <c r="J386" s="2269"/>
      <c r="K386" s="2269"/>
      <c r="L386" s="2269"/>
      <c r="M386" s="2269"/>
      <c r="N386" s="2269"/>
      <c r="O386" s="2269"/>
      <c r="P386" s="2269"/>
      <c r="Q386" s="2269"/>
      <c r="R386" s="2269"/>
      <c r="S386" s="2269"/>
      <c r="T386" s="2269"/>
      <c r="U386" s="2269"/>
      <c r="V386" s="2269"/>
      <c r="W386" s="2269"/>
      <c r="X386" s="2269"/>
      <c r="Y386" s="2269"/>
      <c r="Z386" s="2269"/>
      <c r="AA386" s="2269"/>
      <c r="AB386" s="2269"/>
      <c r="AC386" s="2269"/>
      <c r="AD386" s="2269"/>
      <c r="AE386" s="2269"/>
      <c r="AF386" s="2269"/>
      <c r="AG386" s="2269"/>
      <c r="AH386" s="2269"/>
      <c r="AI386" s="2269"/>
      <c r="AJ386" s="2269"/>
      <c r="AK386" s="2269"/>
      <c r="AL386" s="2269"/>
      <c r="AM386" s="2269"/>
      <c r="AN386" s="2269"/>
      <c r="AO386" s="2269"/>
      <c r="AP386" s="2269"/>
      <c r="AQ386" s="2269"/>
      <c r="AR386" s="2269"/>
      <c r="AS386" s="2269"/>
      <c r="AT386" s="2269"/>
      <c r="AU386" s="2269"/>
      <c r="AV386" s="2269"/>
      <c r="AW386" s="2269"/>
      <c r="AX386" s="2269"/>
      <c r="AY386" s="2269"/>
      <c r="AZ386" s="2269"/>
      <c r="BA386" s="2269"/>
      <c r="BB386" s="2269"/>
      <c r="BC386" s="2269"/>
      <c r="BD386" s="2269"/>
      <c r="BE386" s="2269"/>
      <c r="BF386" s="2269"/>
      <c r="BG386" s="2269"/>
      <c r="BH386" s="2269"/>
      <c r="BI386" s="2269"/>
      <c r="BJ386" s="2269"/>
      <c r="BK386" s="2269"/>
      <c r="BL386" s="2269"/>
      <c r="BM386" s="2269"/>
      <c r="BN386" s="2269"/>
      <c r="BO386" s="2269"/>
      <c r="BP386" s="2269"/>
      <c r="BQ386" s="2269"/>
      <c r="BR386" s="2269"/>
      <c r="BS386" s="2269"/>
      <c r="BT386" s="2269"/>
      <c r="BU386" s="2269"/>
      <c r="BV386" s="2269"/>
      <c r="BW386" s="2269"/>
      <c r="BX386" s="2269"/>
      <c r="BY386" s="2269"/>
      <c r="BZ386" s="2269"/>
      <c r="CA386" s="2269"/>
    </row>
    <row r="387" spans="1:79">
      <c r="A387" s="2269"/>
      <c r="B387" s="2269"/>
      <c r="C387" s="2269"/>
      <c r="D387" s="2269"/>
      <c r="E387" s="2269"/>
      <c r="F387" s="2269"/>
      <c r="G387" s="2269"/>
      <c r="H387" s="2269"/>
      <c r="I387" s="2269"/>
      <c r="J387" s="2269"/>
      <c r="K387" s="2269"/>
      <c r="L387" s="2269"/>
      <c r="M387" s="2269"/>
      <c r="N387" s="2269"/>
      <c r="O387" s="2269"/>
      <c r="P387" s="2269"/>
      <c r="Q387" s="2269"/>
      <c r="R387" s="2269"/>
      <c r="S387" s="2269"/>
      <c r="T387" s="2269"/>
      <c r="U387" s="2269"/>
      <c r="V387" s="2269"/>
      <c r="W387" s="2269"/>
      <c r="X387" s="2269"/>
      <c r="Y387" s="2269"/>
      <c r="Z387" s="2269"/>
      <c r="AA387" s="2269"/>
      <c r="AB387" s="2269"/>
      <c r="AC387" s="2269"/>
      <c r="AD387" s="2269"/>
      <c r="AE387" s="2269"/>
      <c r="AF387" s="2269"/>
      <c r="AG387" s="2269"/>
      <c r="AH387" s="2269"/>
      <c r="AI387" s="2269"/>
      <c r="AJ387" s="2269"/>
      <c r="AK387" s="2269"/>
      <c r="AL387" s="2269"/>
      <c r="AM387" s="2269"/>
      <c r="AN387" s="2269"/>
      <c r="AO387" s="2269"/>
      <c r="AP387" s="2269"/>
      <c r="AQ387" s="2269"/>
      <c r="AR387" s="2269"/>
      <c r="AS387" s="2269"/>
      <c r="AT387" s="2269"/>
      <c r="AU387" s="2269"/>
      <c r="AV387" s="2269"/>
      <c r="AW387" s="2269"/>
      <c r="AX387" s="2269"/>
      <c r="AY387" s="2269"/>
      <c r="AZ387" s="2269"/>
      <c r="BA387" s="2269"/>
      <c r="BB387" s="2269"/>
      <c r="BC387" s="2269"/>
      <c r="BD387" s="2269"/>
      <c r="BE387" s="2269"/>
      <c r="BF387" s="2269"/>
      <c r="BG387" s="2269"/>
      <c r="BH387" s="2269"/>
      <c r="BI387" s="2269"/>
      <c r="BJ387" s="2269"/>
      <c r="BK387" s="2269"/>
      <c r="BL387" s="2269"/>
      <c r="BM387" s="2269"/>
      <c r="BN387" s="2269"/>
      <c r="BO387" s="2269"/>
      <c r="BP387" s="2269"/>
      <c r="BQ387" s="2269"/>
      <c r="BR387" s="2269"/>
      <c r="BS387" s="2269"/>
      <c r="BT387" s="2269"/>
      <c r="BU387" s="2269"/>
      <c r="BV387" s="2269"/>
      <c r="BW387" s="2269"/>
      <c r="BX387" s="2269"/>
      <c r="BY387" s="2269"/>
      <c r="BZ387" s="2269"/>
      <c r="CA387" s="2269"/>
    </row>
    <row r="388" spans="1:79">
      <c r="A388" s="2269"/>
      <c r="B388" s="2269"/>
      <c r="C388" s="2269"/>
      <c r="D388" s="2269"/>
      <c r="E388" s="2269"/>
      <c r="F388" s="2269"/>
      <c r="G388" s="2269"/>
      <c r="H388" s="2269"/>
      <c r="I388" s="2269"/>
      <c r="J388" s="2269"/>
      <c r="K388" s="2269"/>
      <c r="L388" s="2269"/>
      <c r="M388" s="2269"/>
      <c r="N388" s="2269"/>
      <c r="O388" s="2269"/>
      <c r="P388" s="2269"/>
      <c r="Q388" s="2269"/>
      <c r="R388" s="2269"/>
      <c r="S388" s="2269"/>
      <c r="T388" s="2269"/>
      <c r="U388" s="2269"/>
      <c r="V388" s="2269"/>
      <c r="W388" s="2269"/>
      <c r="X388" s="2269"/>
      <c r="Y388" s="2269"/>
      <c r="Z388" s="2269"/>
      <c r="AA388" s="2269"/>
      <c r="AB388" s="2269"/>
      <c r="AC388" s="2269"/>
      <c r="AD388" s="2269"/>
      <c r="AE388" s="2269"/>
      <c r="AF388" s="2269"/>
      <c r="AG388" s="2269"/>
      <c r="AH388" s="2269"/>
      <c r="AI388" s="2269"/>
      <c r="AJ388" s="2269"/>
      <c r="AK388" s="2269"/>
      <c r="AL388" s="2269"/>
      <c r="AM388" s="2269"/>
      <c r="AN388" s="2269"/>
      <c r="AO388" s="2269"/>
      <c r="AP388" s="2269"/>
      <c r="AQ388" s="2269"/>
      <c r="AR388" s="2269"/>
      <c r="AS388" s="2269"/>
      <c r="AT388" s="2269"/>
      <c r="AU388" s="2269"/>
      <c r="AV388" s="2269"/>
      <c r="AW388" s="2269"/>
      <c r="AX388" s="2269"/>
      <c r="AY388" s="2269"/>
      <c r="AZ388" s="2269"/>
      <c r="BA388" s="2269"/>
      <c r="BB388" s="2269"/>
      <c r="BC388" s="2269"/>
      <c r="BD388" s="2269"/>
      <c r="BE388" s="2269"/>
      <c r="BF388" s="2269"/>
      <c r="BG388" s="2269"/>
      <c r="BH388" s="2269"/>
      <c r="BI388" s="2269"/>
      <c r="BJ388" s="2269"/>
      <c r="BK388" s="2269"/>
      <c r="BL388" s="2269"/>
      <c r="BM388" s="2269"/>
      <c r="BN388" s="2269"/>
      <c r="BO388" s="2269"/>
      <c r="BP388" s="2269"/>
      <c r="BQ388" s="2269"/>
      <c r="BR388" s="2269"/>
      <c r="BS388" s="2269"/>
      <c r="BT388" s="2269"/>
      <c r="BU388" s="2269"/>
      <c r="BV388" s="2269"/>
      <c r="BW388" s="2269"/>
      <c r="BX388" s="2269"/>
      <c r="BY388" s="2269"/>
      <c r="BZ388" s="2269"/>
      <c r="CA388" s="2269"/>
    </row>
    <row r="389" spans="1:79">
      <c r="A389" s="2269"/>
      <c r="B389" s="2269"/>
      <c r="C389" s="2269"/>
      <c r="D389" s="2269"/>
      <c r="E389" s="2269"/>
      <c r="F389" s="2269"/>
      <c r="G389" s="2269"/>
      <c r="H389" s="2269"/>
      <c r="I389" s="2269"/>
      <c r="J389" s="2269"/>
      <c r="K389" s="2269"/>
      <c r="L389" s="2269"/>
      <c r="M389" s="2269"/>
      <c r="N389" s="2269"/>
      <c r="O389" s="2269"/>
      <c r="P389" s="2269"/>
      <c r="Q389" s="2269"/>
      <c r="R389" s="2269"/>
      <c r="S389" s="2269"/>
      <c r="T389" s="2269"/>
      <c r="U389" s="2269"/>
      <c r="V389" s="2269"/>
      <c r="W389" s="2269"/>
      <c r="X389" s="2269"/>
      <c r="Y389" s="2269"/>
      <c r="Z389" s="2269"/>
      <c r="AA389" s="2269"/>
      <c r="AB389" s="2269"/>
      <c r="AC389" s="2269"/>
      <c r="AD389" s="2269"/>
      <c r="AE389" s="2269"/>
      <c r="AF389" s="2269"/>
      <c r="AG389" s="2269"/>
      <c r="AH389" s="2269"/>
      <c r="AI389" s="2269"/>
      <c r="AJ389" s="2269"/>
      <c r="AK389" s="2269"/>
      <c r="AL389" s="2269"/>
      <c r="AM389" s="2269"/>
      <c r="AN389" s="2269"/>
      <c r="AO389" s="2269"/>
      <c r="AP389" s="2269"/>
      <c r="AQ389" s="2269"/>
      <c r="AR389" s="2269"/>
      <c r="AS389" s="2269"/>
      <c r="AT389" s="2269"/>
      <c r="AU389" s="2269"/>
      <c r="AV389" s="2269"/>
      <c r="AW389" s="2269"/>
      <c r="AX389" s="2269"/>
      <c r="AY389" s="2269"/>
      <c r="AZ389" s="2269"/>
      <c r="BA389" s="2269"/>
      <c r="BB389" s="2269"/>
      <c r="BC389" s="2269"/>
      <c r="BD389" s="2269"/>
      <c r="BE389" s="2269"/>
      <c r="BF389" s="2269"/>
      <c r="BG389" s="2269"/>
      <c r="BH389" s="2269"/>
      <c r="BI389" s="2269"/>
      <c r="BJ389" s="2269"/>
      <c r="BK389" s="2269"/>
      <c r="BL389" s="2269"/>
      <c r="BM389" s="2269"/>
      <c r="BN389" s="2269"/>
      <c r="BO389" s="2269"/>
      <c r="BP389" s="2269"/>
      <c r="BQ389" s="2269"/>
      <c r="BR389" s="2269"/>
      <c r="BS389" s="2269"/>
      <c r="BT389" s="2269"/>
      <c r="BU389" s="2269"/>
      <c r="BV389" s="2269"/>
      <c r="BW389" s="2269"/>
      <c r="BX389" s="2269"/>
      <c r="BY389" s="2269"/>
      <c r="BZ389" s="2269"/>
      <c r="CA389" s="2269"/>
    </row>
    <row r="390" spans="1:79">
      <c r="A390" s="2269"/>
      <c r="B390" s="2269"/>
      <c r="C390" s="2269"/>
      <c r="D390" s="2269"/>
      <c r="E390" s="2269"/>
      <c r="F390" s="2269"/>
      <c r="G390" s="2269"/>
      <c r="H390" s="2269"/>
      <c r="I390" s="2269"/>
      <c r="J390" s="2269"/>
      <c r="K390" s="2269"/>
      <c r="L390" s="2269"/>
      <c r="M390" s="2269"/>
      <c r="N390" s="2269"/>
      <c r="O390" s="2269"/>
      <c r="P390" s="2269"/>
      <c r="Q390" s="2269"/>
      <c r="R390" s="2269"/>
      <c r="S390" s="2269"/>
      <c r="T390" s="2269"/>
      <c r="U390" s="2269"/>
      <c r="V390" s="2269"/>
      <c r="W390" s="2269"/>
      <c r="X390" s="2269"/>
      <c r="Y390" s="2269"/>
      <c r="Z390" s="2269"/>
      <c r="AA390" s="2269"/>
      <c r="AB390" s="2269"/>
      <c r="AC390" s="2269"/>
      <c r="AD390" s="2269"/>
      <c r="AE390" s="2269"/>
      <c r="AF390" s="2269"/>
      <c r="AG390" s="2269"/>
      <c r="AH390" s="2269"/>
      <c r="AI390" s="2269"/>
      <c r="AJ390" s="2269"/>
      <c r="AK390" s="2269"/>
      <c r="AL390" s="2269"/>
      <c r="AM390" s="2269"/>
      <c r="AN390" s="2269"/>
      <c r="AO390" s="2269"/>
      <c r="AP390" s="2269"/>
      <c r="AQ390" s="2269"/>
      <c r="AR390" s="2269"/>
      <c r="AS390" s="2269"/>
      <c r="AT390" s="2269"/>
      <c r="AU390" s="2269"/>
      <c r="AV390" s="2269"/>
      <c r="AW390" s="2269"/>
      <c r="AX390" s="2269"/>
      <c r="AY390" s="2269"/>
      <c r="AZ390" s="2269"/>
      <c r="BA390" s="2269"/>
      <c r="BB390" s="2269"/>
      <c r="BC390" s="2269"/>
      <c r="BD390" s="2269"/>
      <c r="BE390" s="2269"/>
      <c r="BF390" s="2269"/>
      <c r="BG390" s="2269"/>
      <c r="BH390" s="2269"/>
      <c r="BI390" s="2269"/>
      <c r="BJ390" s="2269"/>
      <c r="BK390" s="2269"/>
      <c r="BL390" s="2269"/>
      <c r="BM390" s="2269"/>
      <c r="BN390" s="2269"/>
      <c r="BO390" s="2269"/>
      <c r="BP390" s="2269"/>
      <c r="BQ390" s="2269"/>
      <c r="BR390" s="2269"/>
      <c r="BS390" s="2269"/>
      <c r="BT390" s="2269"/>
      <c r="BU390" s="2269"/>
      <c r="BV390" s="2269"/>
      <c r="BW390" s="2269"/>
      <c r="BX390" s="2269"/>
      <c r="BY390" s="2269"/>
      <c r="BZ390" s="2269"/>
      <c r="CA390" s="2269"/>
    </row>
    <row r="391" spans="1:79">
      <c r="A391" s="2269"/>
      <c r="B391" s="2269"/>
      <c r="C391" s="2269"/>
      <c r="D391" s="2269"/>
      <c r="E391" s="2269"/>
      <c r="F391" s="2269"/>
      <c r="G391" s="2269"/>
      <c r="H391" s="2269"/>
      <c r="I391" s="2269"/>
      <c r="J391" s="2269"/>
      <c r="K391" s="2269"/>
      <c r="L391" s="2269"/>
      <c r="M391" s="2269"/>
      <c r="N391" s="2269"/>
      <c r="O391" s="2269"/>
      <c r="P391" s="2269"/>
      <c r="Q391" s="2269"/>
      <c r="R391" s="2269"/>
      <c r="S391" s="2269"/>
      <c r="T391" s="2269"/>
      <c r="U391" s="2269"/>
      <c r="V391" s="2269"/>
      <c r="W391" s="2269"/>
      <c r="X391" s="2269"/>
      <c r="Y391" s="2269"/>
      <c r="Z391" s="2269"/>
      <c r="AA391" s="2269"/>
      <c r="AB391" s="2269"/>
      <c r="AC391" s="2269"/>
      <c r="AD391" s="2269"/>
      <c r="AE391" s="2269"/>
      <c r="AF391" s="2269"/>
      <c r="AG391" s="2269"/>
      <c r="AH391" s="2269"/>
      <c r="AI391" s="2269"/>
      <c r="AJ391" s="2269"/>
      <c r="AK391" s="2269"/>
      <c r="AL391" s="2269"/>
      <c r="AM391" s="2269"/>
      <c r="AN391" s="2269"/>
      <c r="AO391" s="2269"/>
      <c r="AP391" s="2269"/>
      <c r="AQ391" s="2269"/>
      <c r="AR391" s="2269"/>
      <c r="AS391" s="2269"/>
      <c r="AT391" s="2269"/>
      <c r="AU391" s="2269"/>
      <c r="AV391" s="2269"/>
      <c r="AW391" s="2269"/>
      <c r="AX391" s="2269"/>
      <c r="AY391" s="2269"/>
      <c r="AZ391" s="2269"/>
      <c r="BA391" s="2269"/>
      <c r="BB391" s="2269"/>
      <c r="BC391" s="2269"/>
      <c r="BD391" s="2269"/>
      <c r="BE391" s="2269"/>
      <c r="BF391" s="2269"/>
      <c r="BG391" s="2269"/>
      <c r="BH391" s="2269"/>
      <c r="BI391" s="2269"/>
      <c r="BJ391" s="2269"/>
      <c r="BK391" s="2269"/>
      <c r="BL391" s="2269"/>
      <c r="BM391" s="2269"/>
      <c r="BN391" s="2269"/>
      <c r="BO391" s="2269"/>
      <c r="BP391" s="2269"/>
      <c r="BQ391" s="2269"/>
      <c r="BR391" s="2269"/>
      <c r="BS391" s="2269"/>
      <c r="BT391" s="2269"/>
      <c r="BU391" s="2269"/>
      <c r="BV391" s="2269"/>
      <c r="BW391" s="2269"/>
      <c r="BX391" s="2269"/>
      <c r="BY391" s="2269"/>
      <c r="BZ391" s="2269"/>
      <c r="CA391" s="2269"/>
    </row>
    <row r="392" spans="1:79">
      <c r="A392" s="2269"/>
      <c r="B392" s="2269"/>
      <c r="C392" s="2269"/>
      <c r="D392" s="2269"/>
      <c r="E392" s="2269"/>
      <c r="F392" s="2269"/>
      <c r="G392" s="2269"/>
      <c r="H392" s="2269"/>
      <c r="I392" s="2269"/>
      <c r="J392" s="2269"/>
      <c r="K392" s="2269"/>
      <c r="L392" s="2269"/>
      <c r="M392" s="2269"/>
      <c r="N392" s="2269"/>
      <c r="O392" s="2269"/>
      <c r="P392" s="2269"/>
      <c r="Q392" s="2269"/>
      <c r="R392" s="2269"/>
      <c r="S392" s="2269"/>
      <c r="T392" s="2269"/>
      <c r="U392" s="2269"/>
      <c r="V392" s="2269"/>
      <c r="W392" s="2269"/>
      <c r="X392" s="2269"/>
      <c r="Y392" s="2269"/>
      <c r="Z392" s="2269"/>
      <c r="AA392" s="2269"/>
      <c r="AB392" s="2269"/>
      <c r="AC392" s="2269"/>
      <c r="AD392" s="2269"/>
      <c r="AE392" s="2269"/>
      <c r="AF392" s="2269"/>
      <c r="AG392" s="2269"/>
      <c r="AH392" s="2269"/>
      <c r="AI392" s="2269"/>
      <c r="AJ392" s="2269"/>
      <c r="AK392" s="2269"/>
      <c r="AL392" s="2269"/>
      <c r="AM392" s="2269"/>
      <c r="AN392" s="2269"/>
      <c r="AO392" s="2269"/>
      <c r="AP392" s="2269"/>
      <c r="AQ392" s="2269"/>
      <c r="AR392" s="2269"/>
      <c r="AS392" s="2269"/>
      <c r="AT392" s="2269"/>
      <c r="AU392" s="2269"/>
      <c r="AV392" s="2269"/>
      <c r="AW392" s="2269"/>
      <c r="AX392" s="2269"/>
      <c r="AY392" s="2269"/>
      <c r="AZ392" s="2269"/>
      <c r="BA392" s="2269"/>
      <c r="BB392" s="2269"/>
      <c r="BC392" s="2269"/>
      <c r="BD392" s="2269"/>
      <c r="BE392" s="2269"/>
      <c r="BF392" s="2269"/>
      <c r="BG392" s="2269"/>
      <c r="BH392" s="2269"/>
      <c r="BI392" s="2269"/>
      <c r="BJ392" s="2269"/>
      <c r="BK392" s="2269"/>
      <c r="BL392" s="2269"/>
      <c r="BM392" s="2269"/>
      <c r="BN392" s="2269"/>
      <c r="BO392" s="2269"/>
      <c r="BP392" s="2269"/>
      <c r="BQ392" s="2269"/>
      <c r="BR392" s="2269"/>
      <c r="BS392" s="2269"/>
      <c r="BT392" s="2269"/>
      <c r="BU392" s="2269"/>
      <c r="BV392" s="2269"/>
      <c r="BW392" s="2269"/>
      <c r="BX392" s="2269"/>
      <c r="BY392" s="2269"/>
      <c r="BZ392" s="2269"/>
      <c r="CA392" s="2269"/>
    </row>
    <row r="393" spans="1:79">
      <c r="A393" s="2269"/>
      <c r="B393" s="2269"/>
      <c r="C393" s="2269"/>
      <c r="D393" s="2269"/>
      <c r="E393" s="2269"/>
      <c r="F393" s="2269"/>
      <c r="G393" s="2269"/>
      <c r="H393" s="2269"/>
      <c r="I393" s="2269"/>
      <c r="J393" s="2269"/>
      <c r="K393" s="2269"/>
      <c r="L393" s="2269"/>
      <c r="M393" s="2269"/>
      <c r="N393" s="2269"/>
      <c r="O393" s="2269"/>
      <c r="P393" s="2269"/>
      <c r="Q393" s="2269"/>
      <c r="R393" s="2269"/>
      <c r="S393" s="2269"/>
      <c r="T393" s="2269"/>
      <c r="U393" s="2269"/>
      <c r="V393" s="2269"/>
      <c r="W393" s="2269"/>
      <c r="X393" s="2269"/>
      <c r="Y393" s="2269"/>
      <c r="Z393" s="2269"/>
      <c r="AA393" s="2269"/>
      <c r="AB393" s="2269"/>
      <c r="AC393" s="2269"/>
      <c r="AD393" s="2269"/>
      <c r="AE393" s="2269"/>
      <c r="AF393" s="2269"/>
      <c r="AG393" s="2269"/>
      <c r="AH393" s="2269"/>
      <c r="AI393" s="2269"/>
      <c r="AJ393" s="2269"/>
      <c r="AK393" s="2269"/>
      <c r="AL393" s="2269"/>
      <c r="AM393" s="2269"/>
      <c r="AN393" s="2269"/>
      <c r="AO393" s="2269"/>
      <c r="AP393" s="2269"/>
      <c r="AQ393" s="2269"/>
      <c r="AR393" s="2269"/>
      <c r="AS393" s="2269"/>
      <c r="AT393" s="2269"/>
      <c r="AU393" s="2269"/>
      <c r="AV393" s="2269"/>
      <c r="AW393" s="2269"/>
      <c r="AX393" s="2269"/>
      <c r="AY393" s="2269"/>
      <c r="AZ393" s="2269"/>
      <c r="BA393" s="2269"/>
      <c r="BB393" s="2269"/>
      <c r="BC393" s="2269"/>
      <c r="BD393" s="2269"/>
      <c r="BE393" s="2269"/>
      <c r="BF393" s="2269"/>
      <c r="BG393" s="2269"/>
      <c r="BH393" s="2269"/>
      <c r="BI393" s="2269"/>
      <c r="BJ393" s="2269"/>
      <c r="BK393" s="2269"/>
      <c r="BL393" s="2269"/>
      <c r="BM393" s="2269"/>
      <c r="BN393" s="2269"/>
      <c r="BO393" s="2269"/>
      <c r="BP393" s="2269"/>
      <c r="BQ393" s="2269"/>
      <c r="BR393" s="2269"/>
      <c r="BS393" s="2269"/>
      <c r="BT393" s="2269"/>
      <c r="BU393" s="2269"/>
      <c r="BV393" s="2269"/>
      <c r="BW393" s="2269"/>
      <c r="BX393" s="2269"/>
      <c r="BY393" s="2269"/>
      <c r="BZ393" s="2269"/>
      <c r="CA393" s="2269"/>
    </row>
    <row r="394" spans="1:79">
      <c r="A394" s="2269"/>
      <c r="B394" s="2269"/>
      <c r="C394" s="2269"/>
      <c r="D394" s="2269"/>
      <c r="E394" s="2269"/>
      <c r="F394" s="2269"/>
      <c r="G394" s="2269"/>
      <c r="H394" s="2269"/>
      <c r="I394" s="2269"/>
      <c r="J394" s="2269"/>
      <c r="K394" s="2269"/>
      <c r="L394" s="2269"/>
      <c r="M394" s="2269"/>
      <c r="N394" s="2269"/>
      <c r="O394" s="2269"/>
      <c r="P394" s="2269"/>
      <c r="Q394" s="2269"/>
      <c r="R394" s="2269"/>
      <c r="S394" s="2269"/>
      <c r="T394" s="2269"/>
      <c r="U394" s="2269"/>
      <c r="V394" s="2269"/>
      <c r="W394" s="2269"/>
      <c r="X394" s="2269"/>
      <c r="Y394" s="2269"/>
      <c r="Z394" s="2269"/>
      <c r="AA394" s="2269"/>
      <c r="AB394" s="2269"/>
      <c r="AC394" s="2269"/>
      <c r="AD394" s="2269"/>
      <c r="AE394" s="2269"/>
      <c r="AF394" s="2269"/>
      <c r="AG394" s="2269"/>
      <c r="AH394" s="2269"/>
      <c r="AI394" s="2269"/>
      <c r="AJ394" s="2269"/>
      <c r="AK394" s="2269"/>
      <c r="AL394" s="2269"/>
      <c r="AM394" s="2269"/>
      <c r="AN394" s="2269"/>
      <c r="AO394" s="2269"/>
      <c r="AP394" s="2269"/>
      <c r="AQ394" s="2269"/>
      <c r="AR394" s="2269"/>
      <c r="AS394" s="2269"/>
      <c r="AT394" s="2269"/>
      <c r="AU394" s="2269"/>
      <c r="AV394" s="2269"/>
      <c r="AW394" s="2269"/>
      <c r="AX394" s="2269"/>
      <c r="AY394" s="2269"/>
      <c r="AZ394" s="2269"/>
      <c r="BA394" s="2269"/>
      <c r="BB394" s="2269"/>
      <c r="BC394" s="2269"/>
      <c r="BD394" s="2269"/>
      <c r="BE394" s="2269"/>
      <c r="BF394" s="2269"/>
      <c r="BG394" s="2269"/>
      <c r="BH394" s="2269"/>
      <c r="BI394" s="2269"/>
      <c r="BJ394" s="2269"/>
      <c r="BK394" s="2269"/>
      <c r="BL394" s="2269"/>
      <c r="BM394" s="2269"/>
      <c r="BN394" s="2269"/>
      <c r="BO394" s="2269"/>
      <c r="BP394" s="2269"/>
      <c r="BQ394" s="2269"/>
      <c r="BR394" s="2269"/>
      <c r="BS394" s="2269"/>
      <c r="BT394" s="2269"/>
      <c r="BU394" s="2269"/>
      <c r="BV394" s="2269"/>
      <c r="BW394" s="2269"/>
      <c r="BX394" s="2269"/>
      <c r="BY394" s="2269"/>
      <c r="BZ394" s="2269"/>
      <c r="CA394" s="2269"/>
    </row>
    <row r="395" spans="1:79">
      <c r="A395" s="2269"/>
      <c r="B395" s="2269"/>
      <c r="C395" s="2269"/>
      <c r="D395" s="2269"/>
      <c r="E395" s="2269"/>
      <c r="F395" s="2269"/>
      <c r="G395" s="2269"/>
      <c r="H395" s="2269"/>
      <c r="I395" s="2269"/>
      <c r="J395" s="2269"/>
      <c r="K395" s="2269"/>
      <c r="L395" s="2269"/>
      <c r="M395" s="2269"/>
      <c r="N395" s="2269"/>
      <c r="O395" s="2269"/>
      <c r="P395" s="2269"/>
      <c r="Q395" s="2269"/>
      <c r="R395" s="2269"/>
      <c r="S395" s="2269"/>
      <c r="T395" s="2269"/>
      <c r="U395" s="2269"/>
      <c r="V395" s="2269"/>
      <c r="W395" s="2269"/>
      <c r="X395" s="2269"/>
      <c r="Y395" s="2269"/>
      <c r="Z395" s="2269"/>
      <c r="AA395" s="2269"/>
      <c r="AB395" s="2269"/>
      <c r="AC395" s="2269"/>
      <c r="AD395" s="2269"/>
      <c r="AE395" s="2269"/>
      <c r="AF395" s="2269"/>
      <c r="AG395" s="2269"/>
      <c r="AH395" s="2269"/>
      <c r="AI395" s="2269"/>
      <c r="AJ395" s="2269"/>
      <c r="AK395" s="2269"/>
      <c r="AL395" s="2269"/>
      <c r="AM395" s="2269"/>
      <c r="AN395" s="2269"/>
      <c r="AO395" s="2269"/>
      <c r="AP395" s="2269"/>
      <c r="AQ395" s="2269"/>
      <c r="AR395" s="2269"/>
      <c r="AS395" s="2269"/>
      <c r="AT395" s="2269"/>
      <c r="AU395" s="2269"/>
      <c r="AV395" s="2269"/>
      <c r="AW395" s="2269"/>
      <c r="AX395" s="2269"/>
      <c r="AY395" s="2269"/>
      <c r="AZ395" s="2269"/>
      <c r="BA395" s="2269"/>
      <c r="BB395" s="2269"/>
      <c r="BC395" s="2269"/>
      <c r="BD395" s="2269"/>
      <c r="BE395" s="2269"/>
      <c r="BF395" s="2269"/>
      <c r="BG395" s="2269"/>
      <c r="BH395" s="2269"/>
      <c r="BI395" s="2269"/>
      <c r="BJ395" s="2269"/>
      <c r="BK395" s="2269"/>
      <c r="BL395" s="2269"/>
      <c r="BM395" s="2269"/>
      <c r="BN395" s="2269"/>
      <c r="BO395" s="2269"/>
      <c r="BP395" s="2269"/>
      <c r="BQ395" s="2269"/>
      <c r="BR395" s="2269"/>
      <c r="BS395" s="2269"/>
      <c r="BT395" s="2269"/>
      <c r="BU395" s="2269"/>
      <c r="BV395" s="2269"/>
      <c r="BW395" s="2269"/>
      <c r="BX395" s="2269"/>
      <c r="BY395" s="2269"/>
      <c r="BZ395" s="2269"/>
      <c r="CA395" s="2269"/>
    </row>
    <row r="396" spans="1:79">
      <c r="A396" s="2269"/>
      <c r="B396" s="2269"/>
      <c r="C396" s="2269"/>
      <c r="D396" s="2269"/>
      <c r="E396" s="2269"/>
      <c r="F396" s="2269"/>
      <c r="G396" s="2269"/>
      <c r="H396" s="2269"/>
      <c r="I396" s="2269"/>
      <c r="J396" s="2269"/>
      <c r="K396" s="2269"/>
      <c r="L396" s="2269"/>
      <c r="M396" s="2269"/>
      <c r="N396" s="2269"/>
      <c r="O396" s="2269"/>
      <c r="P396" s="2269"/>
      <c r="Q396" s="2269"/>
      <c r="R396" s="2269"/>
      <c r="S396" s="2269"/>
      <c r="T396" s="2269"/>
      <c r="U396" s="2269"/>
      <c r="V396" s="2269"/>
      <c r="W396" s="2269"/>
      <c r="X396" s="2269"/>
      <c r="Y396" s="2269"/>
      <c r="Z396" s="2269"/>
      <c r="AA396" s="2269"/>
      <c r="AB396" s="2269"/>
      <c r="AC396" s="2269"/>
      <c r="AD396" s="2269"/>
      <c r="AE396" s="2269"/>
      <c r="AF396" s="2269"/>
      <c r="AG396" s="2269"/>
      <c r="AH396" s="2269"/>
      <c r="AI396" s="2269"/>
      <c r="AJ396" s="2269"/>
      <c r="AK396" s="2269"/>
      <c r="AL396" s="2269"/>
      <c r="AM396" s="2269"/>
      <c r="AN396" s="2269"/>
      <c r="AO396" s="2269"/>
      <c r="AP396" s="2269"/>
      <c r="AQ396" s="2269"/>
      <c r="AR396" s="2269"/>
      <c r="AS396" s="2269"/>
      <c r="AT396" s="2269"/>
      <c r="AU396" s="2269"/>
      <c r="AV396" s="2269"/>
      <c r="AW396" s="2269"/>
      <c r="AX396" s="2269"/>
      <c r="AY396" s="2269"/>
      <c r="AZ396" s="2269"/>
      <c r="BA396" s="2269"/>
      <c r="BB396" s="2269"/>
      <c r="BC396" s="2269"/>
      <c r="BD396" s="2269"/>
      <c r="BE396" s="2269"/>
      <c r="BF396" s="2269"/>
      <c r="BG396" s="2269"/>
      <c r="BH396" s="2269"/>
      <c r="BI396" s="2269"/>
      <c r="BJ396" s="2269"/>
      <c r="BK396" s="2269"/>
      <c r="BL396" s="2269"/>
      <c r="BM396" s="2269"/>
      <c r="BN396" s="2269"/>
      <c r="BO396" s="2269"/>
      <c r="BP396" s="2269"/>
      <c r="BQ396" s="2269"/>
      <c r="BR396" s="2269"/>
      <c r="BS396" s="2269"/>
      <c r="BT396" s="2269"/>
      <c r="BU396" s="2269"/>
      <c r="BV396" s="2269"/>
      <c r="BW396" s="2269"/>
      <c r="BX396" s="2269"/>
      <c r="BY396" s="2269"/>
      <c r="BZ396" s="2269"/>
      <c r="CA396" s="2269"/>
    </row>
    <row r="397" spans="1:79">
      <c r="A397" s="2269"/>
      <c r="B397" s="2269"/>
      <c r="C397" s="2269"/>
      <c r="D397" s="2269"/>
      <c r="E397" s="2269"/>
      <c r="F397" s="2269"/>
      <c r="G397" s="2269"/>
      <c r="H397" s="2269"/>
      <c r="I397" s="2269"/>
      <c r="J397" s="2269"/>
      <c r="K397" s="2269"/>
      <c r="L397" s="2269"/>
      <c r="M397" s="2269"/>
      <c r="N397" s="2269"/>
      <c r="O397" s="2269"/>
      <c r="P397" s="2269"/>
      <c r="Q397" s="2269"/>
      <c r="R397" s="2269"/>
      <c r="S397" s="2269"/>
      <c r="T397" s="2269"/>
      <c r="U397" s="2269"/>
      <c r="V397" s="2269"/>
      <c r="W397" s="2269"/>
      <c r="X397" s="2269"/>
      <c r="Y397" s="2269"/>
      <c r="Z397" s="2269"/>
      <c r="AA397" s="2269"/>
      <c r="AB397" s="2269"/>
      <c r="AC397" s="2269"/>
      <c r="AD397" s="2269"/>
      <c r="AE397" s="2269"/>
      <c r="AF397" s="2269"/>
      <c r="AG397" s="2269"/>
      <c r="AH397" s="2269"/>
      <c r="AI397" s="2269"/>
      <c r="AJ397" s="2269"/>
      <c r="AK397" s="2269"/>
      <c r="AL397" s="2269"/>
      <c r="AM397" s="2269"/>
      <c r="AN397" s="2269"/>
      <c r="AO397" s="2269"/>
      <c r="AP397" s="2269"/>
      <c r="AQ397" s="2269"/>
      <c r="AR397" s="2269"/>
      <c r="AS397" s="2269"/>
      <c r="AT397" s="2269"/>
      <c r="AU397" s="2269"/>
      <c r="AV397" s="2269"/>
      <c r="AW397" s="2269"/>
      <c r="AX397" s="2269"/>
      <c r="AY397" s="2269"/>
      <c r="AZ397" s="2269"/>
      <c r="BA397" s="2269"/>
      <c r="BB397" s="2269"/>
      <c r="BC397" s="2269"/>
      <c r="BD397" s="2269"/>
      <c r="BE397" s="2269"/>
      <c r="BF397" s="2269"/>
      <c r="BG397" s="2269"/>
      <c r="BH397" s="2269"/>
      <c r="BI397" s="2269"/>
      <c r="BJ397" s="2269"/>
      <c r="BK397" s="2269"/>
      <c r="BL397" s="2269"/>
      <c r="BM397" s="2269"/>
      <c r="BN397" s="2269"/>
      <c r="BO397" s="2269"/>
      <c r="BP397" s="2269"/>
      <c r="BQ397" s="2269"/>
      <c r="BR397" s="2269"/>
      <c r="BS397" s="2269"/>
      <c r="BT397" s="2269"/>
      <c r="BU397" s="2269"/>
      <c r="BV397" s="2269"/>
      <c r="BW397" s="2269"/>
      <c r="BX397" s="2269"/>
      <c r="BY397" s="2269"/>
      <c r="BZ397" s="2269"/>
      <c r="CA397" s="2269"/>
    </row>
    <row r="398" spans="1:79">
      <c r="A398" s="2269"/>
      <c r="B398" s="2269"/>
      <c r="C398" s="2269"/>
      <c r="D398" s="2269"/>
      <c r="E398" s="2269"/>
      <c r="F398" s="2269"/>
      <c r="G398" s="2269"/>
      <c r="H398" s="2269"/>
      <c r="I398" s="2269"/>
      <c r="J398" s="2269"/>
      <c r="K398" s="2269"/>
      <c r="L398" s="2269"/>
      <c r="M398" s="2269"/>
      <c r="N398" s="2269"/>
      <c r="O398" s="2269"/>
      <c r="P398" s="2269"/>
      <c r="Q398" s="2269"/>
      <c r="R398" s="2269"/>
      <c r="S398" s="2269"/>
      <c r="T398" s="2269"/>
      <c r="U398" s="2269"/>
      <c r="V398" s="2269"/>
      <c r="W398" s="2269"/>
      <c r="X398" s="2269"/>
      <c r="Y398" s="2269"/>
      <c r="Z398" s="2269"/>
      <c r="AA398" s="2269"/>
      <c r="AB398" s="2269"/>
      <c r="AC398" s="2269"/>
      <c r="AD398" s="2269"/>
      <c r="AE398" s="2269"/>
      <c r="AF398" s="2269"/>
      <c r="AG398" s="2269"/>
      <c r="AH398" s="2269"/>
      <c r="AI398" s="2269"/>
      <c r="AJ398" s="2269"/>
      <c r="AK398" s="2269"/>
      <c r="AL398" s="2269"/>
      <c r="AM398" s="2269"/>
      <c r="AN398" s="2269"/>
      <c r="AO398" s="2269"/>
      <c r="AP398" s="2269"/>
      <c r="AQ398" s="2269"/>
      <c r="AR398" s="2269"/>
      <c r="AS398" s="2269"/>
      <c r="AT398" s="2269"/>
      <c r="AU398" s="2269"/>
      <c r="AV398" s="2269"/>
      <c r="AW398" s="2269"/>
      <c r="AX398" s="2269"/>
      <c r="AY398" s="2269"/>
      <c r="AZ398" s="2269"/>
      <c r="BA398" s="2269"/>
      <c r="BB398" s="2269"/>
      <c r="BC398" s="2269"/>
      <c r="BD398" s="2269"/>
      <c r="BE398" s="2269"/>
      <c r="BF398" s="2269"/>
      <c r="BG398" s="2269"/>
      <c r="BH398" s="2269"/>
      <c r="BI398" s="2269"/>
      <c r="BJ398" s="2269"/>
      <c r="BK398" s="2269"/>
      <c r="BL398" s="2269"/>
      <c r="BM398" s="2269"/>
      <c r="BN398" s="2269"/>
      <c r="BO398" s="2269"/>
      <c r="BP398" s="2269"/>
      <c r="BQ398" s="2269"/>
      <c r="BR398" s="2269"/>
      <c r="BS398" s="2269"/>
      <c r="BT398" s="2269"/>
      <c r="BU398" s="2269"/>
      <c r="BV398" s="2269"/>
      <c r="BW398" s="2269"/>
      <c r="BX398" s="2269"/>
      <c r="BY398" s="2269"/>
      <c r="BZ398" s="2269"/>
      <c r="CA398" s="2269"/>
    </row>
    <row r="399" spans="1:79">
      <c r="A399" s="2269"/>
      <c r="B399" s="2269"/>
      <c r="C399" s="2269"/>
      <c r="D399" s="2269"/>
      <c r="E399" s="2269"/>
      <c r="F399" s="2269"/>
      <c r="G399" s="2269"/>
      <c r="H399" s="2269"/>
      <c r="I399" s="2269"/>
      <c r="J399" s="2269"/>
      <c r="K399" s="2269"/>
      <c r="L399" s="2269"/>
      <c r="M399" s="2269"/>
      <c r="N399" s="2269"/>
      <c r="O399" s="2269"/>
      <c r="P399" s="2269"/>
      <c r="Q399" s="2269"/>
      <c r="R399" s="2269"/>
      <c r="S399" s="2269"/>
      <c r="T399" s="2269"/>
      <c r="U399" s="2269"/>
      <c r="V399" s="2269"/>
      <c r="W399" s="2269"/>
      <c r="X399" s="2269"/>
      <c r="Y399" s="2269"/>
      <c r="Z399" s="2269"/>
      <c r="AA399" s="2269"/>
      <c r="AB399" s="2269"/>
      <c r="AC399" s="2269"/>
      <c r="AD399" s="2269"/>
      <c r="AE399" s="2269"/>
      <c r="AF399" s="2269"/>
      <c r="AG399" s="2269"/>
      <c r="AH399" s="2269"/>
      <c r="AI399" s="2269"/>
      <c r="AJ399" s="2269"/>
      <c r="AK399" s="2269"/>
      <c r="AL399" s="2269"/>
      <c r="AM399" s="2269"/>
      <c r="AN399" s="2269"/>
      <c r="AO399" s="2269"/>
      <c r="AP399" s="2269"/>
      <c r="AQ399" s="2269"/>
      <c r="AR399" s="2269"/>
      <c r="AS399" s="2269"/>
      <c r="AT399" s="2269"/>
      <c r="AU399" s="2269"/>
      <c r="AV399" s="2269"/>
      <c r="AW399" s="2269"/>
      <c r="AX399" s="2269"/>
      <c r="AY399" s="2269"/>
      <c r="AZ399" s="2269"/>
      <c r="BA399" s="2269"/>
      <c r="BB399" s="2269"/>
      <c r="BC399" s="2269"/>
      <c r="BD399" s="2269"/>
      <c r="BE399" s="2269"/>
      <c r="BF399" s="2269"/>
      <c r="BG399" s="2269"/>
      <c r="BH399" s="2269"/>
      <c r="BI399" s="2269"/>
      <c r="BJ399" s="2269"/>
      <c r="BK399" s="2269"/>
      <c r="BL399" s="2269"/>
      <c r="BM399" s="2269"/>
      <c r="BN399" s="2269"/>
      <c r="BO399" s="2269"/>
      <c r="BP399" s="2269"/>
      <c r="BQ399" s="2269"/>
      <c r="BR399" s="2269"/>
      <c r="BS399" s="2269"/>
      <c r="BT399" s="2269"/>
      <c r="BU399" s="2269"/>
      <c r="BV399" s="2269"/>
      <c r="BW399" s="2269"/>
      <c r="BX399" s="2269"/>
      <c r="BY399" s="2269"/>
      <c r="BZ399" s="2269"/>
      <c r="CA399" s="2269"/>
    </row>
    <row r="400" spans="1:79">
      <c r="A400" s="2269"/>
      <c r="B400" s="2269"/>
      <c r="C400" s="2269"/>
      <c r="D400" s="2269"/>
      <c r="E400" s="2269"/>
      <c r="F400" s="2269"/>
      <c r="G400" s="2269"/>
      <c r="H400" s="2269"/>
      <c r="I400" s="2269"/>
      <c r="J400" s="2269"/>
      <c r="K400" s="2269"/>
      <c r="L400" s="2269"/>
      <c r="M400" s="2269"/>
      <c r="N400" s="2269"/>
      <c r="O400" s="2269"/>
      <c r="P400" s="2269"/>
      <c r="Q400" s="2269"/>
      <c r="R400" s="2269"/>
      <c r="S400" s="2269"/>
      <c r="T400" s="2269"/>
      <c r="U400" s="2269"/>
      <c r="V400" s="2269"/>
      <c r="W400" s="2269"/>
      <c r="X400" s="2269"/>
      <c r="Y400" s="2269"/>
      <c r="Z400" s="2269"/>
      <c r="AA400" s="2269"/>
      <c r="AB400" s="2269"/>
      <c r="AC400" s="2269"/>
      <c r="AD400" s="2269"/>
      <c r="AE400" s="2269"/>
      <c r="AF400" s="2269"/>
      <c r="AG400" s="2269"/>
      <c r="AH400" s="2269"/>
      <c r="AI400" s="2269"/>
      <c r="AJ400" s="2269"/>
      <c r="AK400" s="2269"/>
      <c r="AL400" s="2269"/>
      <c r="AM400" s="2269"/>
      <c r="AN400" s="2269"/>
      <c r="AO400" s="2269"/>
      <c r="AP400" s="2269"/>
      <c r="AQ400" s="2269"/>
      <c r="AR400" s="2269"/>
      <c r="AS400" s="2269"/>
      <c r="AT400" s="2269"/>
      <c r="AU400" s="2269"/>
      <c r="AV400" s="2269"/>
      <c r="AW400" s="2269"/>
      <c r="AX400" s="2269"/>
      <c r="AY400" s="2269"/>
      <c r="AZ400" s="2269"/>
      <c r="BA400" s="2269"/>
      <c r="BB400" s="2269"/>
      <c r="BC400" s="2269"/>
      <c r="BD400" s="2269"/>
      <c r="BE400" s="2269"/>
      <c r="BF400" s="2269"/>
      <c r="BG400" s="2269"/>
      <c r="BH400" s="2269"/>
      <c r="BI400" s="2269"/>
      <c r="BJ400" s="2269"/>
      <c r="BK400" s="2269"/>
      <c r="BL400" s="2269"/>
      <c r="BM400" s="2269"/>
      <c r="BN400" s="2269"/>
      <c r="BO400" s="2269"/>
      <c r="BP400" s="2269"/>
      <c r="BQ400" s="2269"/>
      <c r="BR400" s="2269"/>
      <c r="BS400" s="2269"/>
      <c r="BT400" s="2269"/>
      <c r="BU400" s="2269"/>
      <c r="BV400" s="2269"/>
      <c r="BW400" s="2269"/>
      <c r="BX400" s="2269"/>
      <c r="BY400" s="2269"/>
      <c r="BZ400" s="2269"/>
      <c r="CA400" s="2269"/>
    </row>
    <row r="401" spans="1:79">
      <c r="A401" s="2269"/>
      <c r="B401" s="2269"/>
      <c r="C401" s="2269"/>
      <c r="D401" s="2269"/>
      <c r="E401" s="2269"/>
      <c r="F401" s="2269"/>
      <c r="G401" s="2269"/>
      <c r="H401" s="2269"/>
      <c r="I401" s="2269"/>
      <c r="J401" s="2269"/>
      <c r="K401" s="2269"/>
      <c r="L401" s="2269"/>
      <c r="M401" s="2269"/>
      <c r="N401" s="2269"/>
      <c r="O401" s="2269"/>
      <c r="P401" s="2269"/>
      <c r="Q401" s="2269"/>
      <c r="R401" s="2269"/>
      <c r="S401" s="2269"/>
      <c r="T401" s="2269"/>
      <c r="U401" s="2269"/>
      <c r="V401" s="2269"/>
      <c r="W401" s="2269"/>
      <c r="X401" s="2269"/>
      <c r="Y401" s="2269"/>
      <c r="Z401" s="2269"/>
      <c r="AA401" s="2269"/>
      <c r="AB401" s="2269"/>
      <c r="AC401" s="2269"/>
      <c r="AD401" s="2269"/>
      <c r="AE401" s="2269"/>
      <c r="AF401" s="2269"/>
      <c r="AG401" s="2269"/>
      <c r="AH401" s="2269"/>
      <c r="AI401" s="2269"/>
      <c r="AJ401" s="2269"/>
      <c r="AK401" s="2269"/>
      <c r="AL401" s="2269"/>
      <c r="AM401" s="2269"/>
      <c r="AN401" s="2269"/>
      <c r="AO401" s="2269"/>
      <c r="AP401" s="2269"/>
      <c r="AQ401" s="2269"/>
      <c r="AR401" s="2269"/>
      <c r="AS401" s="2269"/>
      <c r="AT401" s="2269"/>
      <c r="AU401" s="2269"/>
      <c r="AV401" s="2269"/>
      <c r="AW401" s="2269"/>
      <c r="AX401" s="2269"/>
      <c r="AY401" s="2269"/>
      <c r="AZ401" s="2269"/>
      <c r="BA401" s="2269"/>
      <c r="BB401" s="2269"/>
      <c r="BC401" s="2269"/>
      <c r="BD401" s="2269"/>
      <c r="BE401" s="2269"/>
      <c r="BF401" s="2269"/>
      <c r="BG401" s="2269"/>
      <c r="BH401" s="2269"/>
      <c r="BI401" s="2269"/>
      <c r="BJ401" s="2269"/>
      <c r="BK401" s="2269"/>
      <c r="BL401" s="2269"/>
      <c r="BM401" s="2269"/>
      <c r="BN401" s="2269"/>
      <c r="BO401" s="2269"/>
      <c r="BP401" s="2269"/>
      <c r="BQ401" s="2269"/>
      <c r="BR401" s="2269"/>
      <c r="BS401" s="2269"/>
      <c r="BT401" s="2269"/>
      <c r="BU401" s="2269"/>
      <c r="BV401" s="2269"/>
      <c r="BW401" s="2269"/>
      <c r="BX401" s="2269"/>
      <c r="BY401" s="2269"/>
      <c r="BZ401" s="2269"/>
      <c r="CA401" s="2269"/>
    </row>
    <row r="402" spans="1:79">
      <c r="A402" s="2269"/>
      <c r="B402" s="2269"/>
      <c r="C402" s="2269"/>
      <c r="D402" s="2269"/>
      <c r="E402" s="2269"/>
      <c r="F402" s="2269"/>
      <c r="G402" s="2269"/>
      <c r="H402" s="2269"/>
      <c r="I402" s="2269"/>
      <c r="J402" s="2269"/>
      <c r="K402" s="2269"/>
      <c r="L402" s="2269"/>
      <c r="M402" s="2269"/>
      <c r="N402" s="2269"/>
      <c r="O402" s="2269"/>
      <c r="P402" s="2269"/>
      <c r="Q402" s="2269"/>
      <c r="R402" s="2269"/>
      <c r="S402" s="2269"/>
      <c r="T402" s="2269"/>
      <c r="U402" s="2269"/>
      <c r="V402" s="2269"/>
      <c r="W402" s="2269"/>
      <c r="X402" s="2269"/>
      <c r="Y402" s="2269"/>
      <c r="Z402" s="2269"/>
      <c r="AA402" s="2269"/>
      <c r="AB402" s="2269"/>
      <c r="AC402" s="2269"/>
      <c r="AD402" s="2269"/>
      <c r="AE402" s="2269"/>
      <c r="AF402" s="2269"/>
      <c r="AG402" s="2269"/>
      <c r="AH402" s="2269"/>
      <c r="AI402" s="2269"/>
      <c r="AJ402" s="2269"/>
      <c r="AK402" s="2269"/>
      <c r="AL402" s="2269"/>
      <c r="AM402" s="2269"/>
      <c r="AN402" s="2269"/>
      <c r="AO402" s="2269"/>
      <c r="AP402" s="2269"/>
      <c r="AQ402" s="2269"/>
      <c r="AR402" s="2269"/>
      <c r="AS402" s="2269"/>
      <c r="AT402" s="2269"/>
      <c r="AU402" s="2269"/>
      <c r="AV402" s="2269"/>
      <c r="AW402" s="2269"/>
      <c r="AX402" s="2269"/>
      <c r="AY402" s="2269"/>
      <c r="AZ402" s="2269"/>
      <c r="BA402" s="2269"/>
      <c r="BB402" s="2269"/>
      <c r="BC402" s="2269"/>
      <c r="BD402" s="2269"/>
      <c r="BE402" s="2269"/>
      <c r="BF402" s="2269"/>
      <c r="BG402" s="2269"/>
      <c r="BH402" s="2269"/>
      <c r="BI402" s="2269"/>
      <c r="BJ402" s="2269"/>
      <c r="BK402" s="2269"/>
      <c r="BL402" s="2269"/>
      <c r="BM402" s="2269"/>
      <c r="BN402" s="2269"/>
      <c r="BO402" s="2269"/>
      <c r="BP402" s="2269"/>
      <c r="BQ402" s="2269"/>
      <c r="BR402" s="2269"/>
      <c r="BS402" s="2269"/>
      <c r="BT402" s="2269"/>
      <c r="BU402" s="2269"/>
      <c r="BV402" s="2269"/>
      <c r="BW402" s="2269"/>
      <c r="BX402" s="2269"/>
      <c r="BY402" s="2269"/>
      <c r="BZ402" s="2269"/>
      <c r="CA402" s="2269"/>
    </row>
    <row r="403" spans="1:79">
      <c r="A403" s="2269"/>
      <c r="B403" s="2269"/>
      <c r="C403" s="2269"/>
      <c r="D403" s="2269"/>
      <c r="E403" s="2269"/>
      <c r="F403" s="2269"/>
      <c r="G403" s="2269"/>
      <c r="H403" s="2269"/>
      <c r="I403" s="2269"/>
      <c r="J403" s="2269"/>
      <c r="K403" s="2269"/>
      <c r="L403" s="2269"/>
      <c r="M403" s="2269"/>
      <c r="N403" s="2269"/>
      <c r="O403" s="2269"/>
      <c r="P403" s="2269"/>
      <c r="Q403" s="2269"/>
      <c r="R403" s="2269"/>
      <c r="S403" s="2269"/>
      <c r="T403" s="2269"/>
      <c r="U403" s="2269"/>
      <c r="V403" s="2269"/>
      <c r="W403" s="2269"/>
      <c r="X403" s="2269"/>
      <c r="Y403" s="2269"/>
      <c r="Z403" s="2269"/>
      <c r="AA403" s="2269"/>
      <c r="AB403" s="2269"/>
      <c r="AC403" s="2269"/>
      <c r="AD403" s="2269"/>
      <c r="AE403" s="2269"/>
      <c r="AF403" s="2269"/>
      <c r="AG403" s="2269"/>
      <c r="AH403" s="2269"/>
      <c r="AI403" s="2269"/>
      <c r="AJ403" s="2269"/>
      <c r="AK403" s="2269"/>
      <c r="AL403" s="2269"/>
      <c r="AM403" s="2269"/>
      <c r="AN403" s="2269"/>
      <c r="AO403" s="2269"/>
      <c r="AP403" s="2269"/>
      <c r="AQ403" s="2269"/>
      <c r="AR403" s="2269"/>
      <c r="AS403" s="2269"/>
      <c r="AT403" s="2269"/>
      <c r="AU403" s="2269"/>
      <c r="AV403" s="2269"/>
      <c r="AW403" s="2269"/>
      <c r="AX403" s="2269"/>
      <c r="AY403" s="2269"/>
      <c r="AZ403" s="2269"/>
      <c r="BA403" s="2269"/>
      <c r="BB403" s="2269"/>
      <c r="BC403" s="2269"/>
      <c r="BD403" s="2269"/>
      <c r="BE403" s="2269"/>
      <c r="BF403" s="2269"/>
      <c r="BG403" s="2269"/>
      <c r="BH403" s="2269"/>
      <c r="BI403" s="2269"/>
      <c r="BJ403" s="2269"/>
      <c r="BK403" s="2269"/>
      <c r="BL403" s="2269"/>
      <c r="BM403" s="2269"/>
      <c r="BN403" s="2269"/>
      <c r="BO403" s="2269"/>
      <c r="BP403" s="2269"/>
      <c r="BQ403" s="2269"/>
      <c r="BR403" s="2269"/>
      <c r="BS403" s="2269"/>
      <c r="BT403" s="2269"/>
      <c r="BU403" s="2269"/>
      <c r="BV403" s="2269"/>
      <c r="BW403" s="2269"/>
      <c r="BX403" s="2269"/>
      <c r="BY403" s="2269"/>
      <c r="BZ403" s="2269"/>
      <c r="CA403" s="2269"/>
    </row>
    <row r="404" spans="1:79">
      <c r="A404" s="2269"/>
      <c r="B404" s="2269"/>
      <c r="C404" s="2269"/>
      <c r="D404" s="2269"/>
      <c r="E404" s="2269"/>
      <c r="F404" s="2269"/>
      <c r="G404" s="2269"/>
      <c r="H404" s="2269"/>
      <c r="I404" s="2269"/>
      <c r="J404" s="2269"/>
      <c r="K404" s="2269"/>
      <c r="L404" s="2269"/>
      <c r="M404" s="2269"/>
      <c r="N404" s="2269"/>
      <c r="O404" s="2269"/>
      <c r="P404" s="2269"/>
      <c r="Q404" s="2269"/>
      <c r="R404" s="2269"/>
      <c r="S404" s="2269"/>
      <c r="T404" s="2269"/>
      <c r="U404" s="2269"/>
      <c r="V404" s="2269"/>
      <c r="W404" s="2269"/>
      <c r="X404" s="2269"/>
      <c r="Y404" s="2269"/>
      <c r="Z404" s="2269"/>
      <c r="AA404" s="2269"/>
      <c r="AB404" s="2269"/>
      <c r="AC404" s="2269"/>
      <c r="AD404" s="2269"/>
      <c r="AE404" s="2269"/>
      <c r="AF404" s="2269"/>
      <c r="AG404" s="2269"/>
      <c r="AH404" s="2269"/>
      <c r="AI404" s="2269"/>
      <c r="AJ404" s="2269"/>
      <c r="AK404" s="2269"/>
      <c r="AL404" s="2269"/>
      <c r="AM404" s="2269"/>
      <c r="AN404" s="2269"/>
      <c r="AO404" s="2269"/>
      <c r="AP404" s="2269"/>
      <c r="AQ404" s="2269"/>
      <c r="AR404" s="2269"/>
      <c r="AS404" s="2269"/>
      <c r="AT404" s="2269"/>
      <c r="AU404" s="2269"/>
      <c r="AV404" s="2269"/>
      <c r="AW404" s="2269"/>
      <c r="AX404" s="2269"/>
      <c r="AY404" s="2269"/>
      <c r="AZ404" s="2269"/>
      <c r="BA404" s="2269"/>
      <c r="BB404" s="2269"/>
      <c r="BC404" s="2269"/>
      <c r="BD404" s="2269"/>
      <c r="BE404" s="2269"/>
      <c r="BF404" s="2269"/>
      <c r="BG404" s="2269"/>
      <c r="BH404" s="2269"/>
      <c r="BI404" s="2269"/>
      <c r="BJ404" s="2269"/>
      <c r="BK404" s="2269"/>
      <c r="BL404" s="2269"/>
      <c r="BM404" s="2269"/>
      <c r="BN404" s="2269"/>
      <c r="BO404" s="2269"/>
      <c r="BP404" s="2269"/>
      <c r="BQ404" s="2269"/>
      <c r="BR404" s="2269"/>
      <c r="BS404" s="2269"/>
      <c r="BT404" s="2269"/>
      <c r="BU404" s="2269"/>
      <c r="BV404" s="2269"/>
      <c r="BW404" s="2269"/>
      <c r="BX404" s="2269"/>
      <c r="BY404" s="2269"/>
      <c r="BZ404" s="2269"/>
      <c r="CA404" s="2269"/>
    </row>
    <row r="405" spans="1:79">
      <c r="A405" s="2269"/>
      <c r="B405" s="2269"/>
      <c r="C405" s="2269"/>
      <c r="D405" s="2269"/>
      <c r="E405" s="2269"/>
      <c r="F405" s="2269"/>
      <c r="G405" s="2269"/>
      <c r="H405" s="2269"/>
      <c r="I405" s="2269"/>
      <c r="J405" s="2269"/>
      <c r="K405" s="2269"/>
      <c r="L405" s="2269"/>
      <c r="M405" s="2269"/>
      <c r="N405" s="2269"/>
      <c r="O405" s="2269"/>
      <c r="P405" s="2269"/>
      <c r="Q405" s="2269"/>
      <c r="R405" s="2269"/>
      <c r="S405" s="2269"/>
      <c r="T405" s="2269"/>
      <c r="U405" s="2269"/>
      <c r="V405" s="2269"/>
      <c r="W405" s="2269"/>
      <c r="X405" s="2269"/>
      <c r="Y405" s="2269"/>
      <c r="Z405" s="2269"/>
      <c r="AA405" s="2269"/>
      <c r="AB405" s="2269"/>
      <c r="AC405" s="2269"/>
      <c r="AD405" s="2269"/>
      <c r="AE405" s="2269"/>
      <c r="AF405" s="2269"/>
      <c r="AG405" s="2269"/>
      <c r="AH405" s="2269"/>
      <c r="AI405" s="2269"/>
      <c r="AJ405" s="2269"/>
      <c r="AK405" s="2269"/>
      <c r="AL405" s="2269"/>
      <c r="AM405" s="2269"/>
      <c r="AN405" s="2269"/>
      <c r="AO405" s="2269"/>
      <c r="AP405" s="2269"/>
      <c r="AQ405" s="2269"/>
      <c r="AR405" s="2269"/>
      <c r="AS405" s="2269"/>
      <c r="AT405" s="2269"/>
      <c r="AU405" s="2269"/>
      <c r="AV405" s="2269"/>
      <c r="AW405" s="2269"/>
      <c r="AX405" s="2269"/>
      <c r="AY405" s="2269"/>
      <c r="AZ405" s="2269"/>
      <c r="BA405" s="2269"/>
      <c r="BB405" s="2269"/>
      <c r="BC405" s="2269"/>
      <c r="BD405" s="2269"/>
      <c r="BE405" s="2269"/>
      <c r="BF405" s="2269"/>
      <c r="BG405" s="2269"/>
      <c r="BH405" s="2269"/>
      <c r="BI405" s="2269"/>
      <c r="BJ405" s="2269"/>
      <c r="BK405" s="2269"/>
      <c r="BL405" s="2269"/>
      <c r="BM405" s="2269"/>
      <c r="BN405" s="2269"/>
      <c r="BO405" s="2269"/>
      <c r="BP405" s="2269"/>
      <c r="BQ405" s="2269"/>
      <c r="BR405" s="2269"/>
      <c r="BS405" s="2269"/>
      <c r="BT405" s="2269"/>
      <c r="BU405" s="2269"/>
      <c r="BV405" s="2269"/>
      <c r="BW405" s="2269"/>
      <c r="BX405" s="2269"/>
      <c r="BY405" s="2269"/>
      <c r="BZ405" s="2269"/>
      <c r="CA405" s="2269"/>
    </row>
    <row r="406" spans="1:79">
      <c r="A406" s="2269"/>
      <c r="B406" s="2269"/>
      <c r="C406" s="2269"/>
      <c r="D406" s="2269"/>
      <c r="E406" s="2269"/>
      <c r="F406" s="2269"/>
      <c r="G406" s="2269"/>
      <c r="H406" s="2269"/>
      <c r="I406" s="2269"/>
      <c r="J406" s="2269"/>
      <c r="K406" s="2269"/>
      <c r="L406" s="2269"/>
      <c r="M406" s="2269"/>
      <c r="N406" s="2269"/>
      <c r="O406" s="2269"/>
      <c r="P406" s="2269"/>
      <c r="Q406" s="2269"/>
      <c r="R406" s="2269"/>
      <c r="S406" s="2269"/>
      <c r="T406" s="2269"/>
      <c r="U406" s="2269"/>
      <c r="V406" s="2269"/>
      <c r="W406" s="2269"/>
      <c r="X406" s="2269"/>
      <c r="Y406" s="2269"/>
      <c r="Z406" s="2269"/>
      <c r="AA406" s="2269"/>
      <c r="AB406" s="2269"/>
      <c r="AC406" s="2269"/>
      <c r="AD406" s="2269"/>
      <c r="AE406" s="2269"/>
      <c r="AF406" s="2269"/>
      <c r="AG406" s="2269"/>
      <c r="AH406" s="2269"/>
      <c r="AI406" s="2269"/>
      <c r="AJ406" s="2269"/>
      <c r="AK406" s="2269"/>
      <c r="AL406" s="2269"/>
      <c r="AM406" s="2269"/>
      <c r="AN406" s="2269"/>
      <c r="AO406" s="2269"/>
      <c r="AP406" s="2269"/>
      <c r="AQ406" s="2269"/>
      <c r="AR406" s="2269"/>
      <c r="AS406" s="2269"/>
      <c r="AT406" s="2269"/>
      <c r="AU406" s="2269"/>
      <c r="AV406" s="2269"/>
      <c r="AW406" s="2269"/>
      <c r="AX406" s="2269"/>
      <c r="AY406" s="2269"/>
      <c r="AZ406" s="2269"/>
      <c r="BA406" s="2269"/>
      <c r="BB406" s="2269"/>
      <c r="BC406" s="2269"/>
      <c r="BD406" s="2269"/>
      <c r="BE406" s="2269"/>
      <c r="BF406" s="2269"/>
      <c r="BG406" s="2269"/>
      <c r="BH406" s="2269"/>
      <c r="BI406" s="2269"/>
      <c r="BJ406" s="2269"/>
      <c r="BK406" s="2269"/>
      <c r="BL406" s="2269"/>
      <c r="BM406" s="2269"/>
      <c r="BN406" s="2269"/>
      <c r="BO406" s="2269"/>
      <c r="BP406" s="2269"/>
      <c r="BQ406" s="2269"/>
      <c r="BR406" s="2269"/>
      <c r="BS406" s="2269"/>
      <c r="BT406" s="2269"/>
      <c r="BU406" s="2269"/>
      <c r="BV406" s="2269"/>
      <c r="BW406" s="2269"/>
      <c r="BX406" s="2269"/>
      <c r="BY406" s="2269"/>
      <c r="BZ406" s="2269"/>
      <c r="CA406" s="2269"/>
    </row>
    <row r="407" spans="1:79">
      <c r="A407" s="2269"/>
      <c r="B407" s="2269"/>
      <c r="C407" s="2269"/>
      <c r="D407" s="2269"/>
      <c r="E407" s="2269"/>
      <c r="F407" s="2269"/>
      <c r="G407" s="2269"/>
      <c r="H407" s="2269"/>
      <c r="I407" s="2269"/>
      <c r="J407" s="2269"/>
      <c r="K407" s="2269"/>
      <c r="L407" s="2269"/>
      <c r="M407" s="2269"/>
      <c r="N407" s="2269"/>
      <c r="O407" s="2269"/>
      <c r="P407" s="2269"/>
      <c r="Q407" s="2269"/>
      <c r="R407" s="2269"/>
      <c r="S407" s="2269"/>
      <c r="T407" s="2269"/>
      <c r="U407" s="2269"/>
      <c r="V407" s="2269"/>
      <c r="W407" s="2269"/>
      <c r="X407" s="2269"/>
      <c r="Y407" s="2269"/>
      <c r="Z407" s="2269"/>
      <c r="AA407" s="2269"/>
      <c r="AB407" s="2269"/>
      <c r="AC407" s="2269"/>
      <c r="AD407" s="2269"/>
      <c r="AE407" s="2269"/>
      <c r="AF407" s="2269"/>
      <c r="AG407" s="2269"/>
      <c r="AH407" s="2269"/>
      <c r="AI407" s="2269"/>
      <c r="AJ407" s="2269"/>
      <c r="AK407" s="2269"/>
      <c r="AL407" s="2269"/>
      <c r="AM407" s="2269"/>
      <c r="AN407" s="2269"/>
      <c r="AO407" s="2269"/>
      <c r="AP407" s="2269"/>
      <c r="AQ407" s="2269"/>
      <c r="AR407" s="2269"/>
      <c r="AS407" s="2269"/>
      <c r="AT407" s="2269"/>
      <c r="AU407" s="2269"/>
      <c r="AV407" s="2269"/>
      <c r="AW407" s="2269"/>
      <c r="AX407" s="2269"/>
      <c r="AY407" s="2269"/>
      <c r="AZ407" s="2269"/>
      <c r="BA407" s="2269"/>
      <c r="BB407" s="2269"/>
      <c r="BC407" s="2269"/>
      <c r="BD407" s="2269"/>
      <c r="BE407" s="2269"/>
      <c r="BF407" s="2269"/>
      <c r="BG407" s="2269"/>
      <c r="BH407" s="2269"/>
      <c r="BI407" s="2269"/>
      <c r="BJ407" s="2269"/>
      <c r="BK407" s="2269"/>
      <c r="BL407" s="2269"/>
      <c r="BM407" s="2269"/>
      <c r="BN407" s="2269"/>
      <c r="BO407" s="2269"/>
      <c r="BP407" s="2269"/>
      <c r="BQ407" s="2269"/>
      <c r="BR407" s="2269"/>
      <c r="BS407" s="2269"/>
      <c r="BT407" s="2269"/>
      <c r="BU407" s="2269"/>
      <c r="BV407" s="2269"/>
      <c r="BW407" s="2269"/>
      <c r="BX407" s="2269"/>
      <c r="BY407" s="2269"/>
      <c r="BZ407" s="2269"/>
      <c r="CA407" s="2269"/>
    </row>
    <row r="408" spans="1:79">
      <c r="A408" s="2269"/>
      <c r="B408" s="2269"/>
      <c r="C408" s="2269"/>
      <c r="D408" s="2269"/>
      <c r="E408" s="2269"/>
      <c r="F408" s="2269"/>
      <c r="G408" s="2269"/>
      <c r="H408" s="2269"/>
      <c r="I408" s="2269"/>
      <c r="J408" s="2269"/>
      <c r="K408" s="2269"/>
      <c r="L408" s="2269"/>
      <c r="M408" s="2269"/>
      <c r="N408" s="2269"/>
      <c r="O408" s="2269"/>
      <c r="P408" s="2269"/>
      <c r="Q408" s="2269"/>
      <c r="R408" s="2269"/>
      <c r="S408" s="2269"/>
      <c r="T408" s="2269"/>
      <c r="U408" s="2269"/>
      <c r="V408" s="2269"/>
      <c r="W408" s="2269"/>
      <c r="X408" s="2269"/>
      <c r="Y408" s="2269"/>
      <c r="Z408" s="2269"/>
      <c r="AA408" s="2269"/>
      <c r="AB408" s="2269"/>
      <c r="AC408" s="2269"/>
      <c r="AD408" s="2269"/>
      <c r="AE408" s="2269"/>
      <c r="AF408" s="2269"/>
      <c r="AG408" s="2269"/>
      <c r="AH408" s="2269"/>
      <c r="AI408" s="2269"/>
      <c r="AJ408" s="2269"/>
      <c r="AK408" s="2269"/>
      <c r="AL408" s="2269"/>
      <c r="AM408" s="2269"/>
      <c r="AN408" s="2269"/>
      <c r="AO408" s="2269"/>
      <c r="AP408" s="2269"/>
      <c r="AQ408" s="2269"/>
      <c r="AR408" s="2269"/>
      <c r="AS408" s="2269"/>
      <c r="AT408" s="2269"/>
      <c r="AU408" s="2269"/>
      <c r="AV408" s="2269"/>
      <c r="AW408" s="2269"/>
      <c r="AX408" s="2269"/>
      <c r="AY408" s="2269"/>
      <c r="AZ408" s="2269"/>
      <c r="BA408" s="2269"/>
      <c r="BB408" s="2269"/>
      <c r="BC408" s="2269"/>
      <c r="BD408" s="2269"/>
      <c r="BE408" s="2269"/>
      <c r="BF408" s="2269"/>
      <c r="BG408" s="2269"/>
      <c r="BH408" s="2269"/>
      <c r="BI408" s="2269"/>
      <c r="BJ408" s="2269"/>
      <c r="BK408" s="2269"/>
      <c r="BL408" s="2269"/>
      <c r="BM408" s="2269"/>
      <c r="BN408" s="2269"/>
      <c r="BO408" s="2269"/>
      <c r="BP408" s="2269"/>
      <c r="BQ408" s="2269"/>
      <c r="BR408" s="2269"/>
      <c r="BS408" s="2269"/>
      <c r="BT408" s="2269"/>
      <c r="BU408" s="2269"/>
      <c r="BV408" s="2269"/>
      <c r="BW408" s="2269"/>
      <c r="BX408" s="2269"/>
      <c r="BY408" s="2269"/>
      <c r="BZ408" s="2269"/>
      <c r="CA408" s="2269"/>
    </row>
    <row r="409" spans="1:79">
      <c r="A409" s="2269"/>
      <c r="B409" s="2269"/>
      <c r="C409" s="2269"/>
      <c r="D409" s="2269"/>
      <c r="E409" s="2269"/>
      <c r="F409" s="2269"/>
      <c r="G409" s="2269"/>
      <c r="H409" s="2269"/>
      <c r="I409" s="2269"/>
      <c r="J409" s="2269"/>
      <c r="K409" s="2269"/>
      <c r="L409" s="2269"/>
      <c r="M409" s="2269"/>
      <c r="N409" s="2269"/>
      <c r="O409" s="2269"/>
      <c r="P409" s="2269"/>
      <c r="Q409" s="2269"/>
      <c r="R409" s="2269"/>
      <c r="S409" s="2269"/>
      <c r="T409" s="2269"/>
      <c r="U409" s="2269"/>
      <c r="V409" s="2269"/>
      <c r="W409" s="2269"/>
      <c r="X409" s="2269"/>
      <c r="Y409" s="2269"/>
      <c r="Z409" s="2269"/>
      <c r="AA409" s="2269"/>
      <c r="AB409" s="2269"/>
      <c r="AC409" s="2269"/>
      <c r="AD409" s="2269"/>
      <c r="AE409" s="2269"/>
      <c r="AF409" s="2269"/>
      <c r="AG409" s="2269"/>
      <c r="AH409" s="2269"/>
      <c r="AI409" s="2269"/>
      <c r="AJ409" s="2269"/>
      <c r="AK409" s="2269"/>
      <c r="AL409" s="2269"/>
      <c r="AM409" s="2269"/>
      <c r="AN409" s="2269"/>
      <c r="AO409" s="2269"/>
      <c r="AP409" s="2269"/>
      <c r="AQ409" s="2269"/>
      <c r="AR409" s="2269"/>
      <c r="AS409" s="2269"/>
      <c r="AT409" s="2269"/>
      <c r="AU409" s="2269"/>
      <c r="AV409" s="2269"/>
      <c r="AW409" s="2269"/>
      <c r="AX409" s="2269"/>
      <c r="AY409" s="2269"/>
      <c r="AZ409" s="2269"/>
      <c r="BA409" s="2269"/>
      <c r="BB409" s="2269"/>
      <c r="BC409" s="2269"/>
      <c r="BD409" s="2269"/>
      <c r="BE409" s="2269"/>
      <c r="BF409" s="2269"/>
      <c r="BG409" s="2269"/>
      <c r="BH409" s="2269"/>
      <c r="BI409" s="2269"/>
      <c r="BJ409" s="2269"/>
      <c r="BK409" s="2269"/>
      <c r="BL409" s="2269"/>
      <c r="BM409" s="2269"/>
      <c r="BN409" s="2269"/>
      <c r="BO409" s="2269"/>
      <c r="BP409" s="2269"/>
      <c r="BQ409" s="2269"/>
      <c r="BR409" s="2269"/>
      <c r="BS409" s="2269"/>
      <c r="BT409" s="2269"/>
      <c r="BU409" s="2269"/>
      <c r="BV409" s="2269"/>
      <c r="BW409" s="2269"/>
      <c r="BX409" s="2269"/>
      <c r="BY409" s="2269"/>
      <c r="BZ409" s="2269"/>
      <c r="CA409" s="2269"/>
    </row>
    <row r="410" spans="1:79">
      <c r="A410" s="2269"/>
      <c r="B410" s="2269"/>
      <c r="C410" s="2269"/>
      <c r="D410" s="2269"/>
      <c r="E410" s="2269"/>
      <c r="F410" s="2269"/>
      <c r="G410" s="2269"/>
      <c r="H410" s="2269"/>
      <c r="I410" s="2269"/>
      <c r="J410" s="2269"/>
      <c r="K410" s="2269"/>
      <c r="L410" s="2269"/>
      <c r="M410" s="2269"/>
      <c r="N410" s="2269"/>
      <c r="O410" s="2269"/>
      <c r="P410" s="2269"/>
      <c r="Q410" s="2269"/>
      <c r="R410" s="2269"/>
      <c r="S410" s="2269"/>
      <c r="T410" s="2269"/>
      <c r="U410" s="2269"/>
      <c r="V410" s="2269"/>
      <c r="W410" s="2269"/>
      <c r="X410" s="2269"/>
      <c r="Y410" s="2269"/>
      <c r="Z410" s="2269"/>
      <c r="AA410" s="2269"/>
      <c r="AB410" s="2269"/>
      <c r="AC410" s="2269"/>
      <c r="AD410" s="2269"/>
      <c r="AE410" s="2269"/>
      <c r="AF410" s="2269"/>
      <c r="AG410" s="2269"/>
      <c r="AH410" s="2269"/>
      <c r="AI410" s="2269"/>
      <c r="AJ410" s="2269"/>
      <c r="AK410" s="2269"/>
      <c r="AL410" s="2269"/>
      <c r="AM410" s="2269"/>
      <c r="AN410" s="2269"/>
      <c r="AO410" s="2269"/>
      <c r="AP410" s="2269"/>
      <c r="AQ410" s="2269"/>
      <c r="AR410" s="2269"/>
      <c r="AS410" s="2269"/>
      <c r="AT410" s="2269"/>
      <c r="AU410" s="2269"/>
      <c r="AV410" s="2269"/>
      <c r="AW410" s="2269"/>
      <c r="AX410" s="2269"/>
      <c r="AY410" s="2269"/>
      <c r="AZ410" s="2269"/>
      <c r="BA410" s="2269"/>
      <c r="BB410" s="2269"/>
      <c r="BC410" s="2269"/>
      <c r="BD410" s="2269"/>
      <c r="BE410" s="2269"/>
      <c r="BF410" s="2269"/>
      <c r="BG410" s="2269"/>
      <c r="BH410" s="2269"/>
      <c r="BI410" s="2269"/>
      <c r="BJ410" s="2269"/>
      <c r="BK410" s="2269"/>
      <c r="BL410" s="2269"/>
      <c r="BM410" s="2269"/>
      <c r="BN410" s="2269"/>
      <c r="BO410" s="2269"/>
      <c r="BP410" s="2269"/>
      <c r="BQ410" s="2269"/>
      <c r="BR410" s="2269"/>
      <c r="BS410" s="2269"/>
      <c r="BT410" s="2269"/>
      <c r="BU410" s="2269"/>
      <c r="BV410" s="2269"/>
      <c r="BW410" s="2269"/>
      <c r="BX410" s="2269"/>
      <c r="BY410" s="2269"/>
      <c r="BZ410" s="2269"/>
      <c r="CA410" s="2269"/>
    </row>
    <row r="411" spans="1:79">
      <c r="A411" s="2269"/>
      <c r="B411" s="2269"/>
      <c r="C411" s="2269"/>
      <c r="D411" s="2269"/>
      <c r="E411" s="2269"/>
      <c r="F411" s="2269"/>
      <c r="G411" s="2269"/>
      <c r="H411" s="2269"/>
      <c r="I411" s="2269"/>
      <c r="J411" s="2269"/>
      <c r="K411" s="2269"/>
      <c r="L411" s="2269"/>
      <c r="M411" s="2269"/>
      <c r="N411" s="2269"/>
      <c r="O411" s="2269"/>
      <c r="P411" s="2269"/>
      <c r="Q411" s="2269"/>
      <c r="R411" s="2269"/>
      <c r="S411" s="2269"/>
      <c r="T411" s="2269"/>
      <c r="U411" s="2269"/>
      <c r="V411" s="2269"/>
      <c r="W411" s="2269"/>
      <c r="X411" s="2269"/>
      <c r="Y411" s="2269"/>
      <c r="Z411" s="2269"/>
      <c r="AA411" s="2269"/>
      <c r="AB411" s="2269"/>
      <c r="AC411" s="2269"/>
      <c r="AD411" s="2269"/>
      <c r="AE411" s="2269"/>
      <c r="AF411" s="2269"/>
      <c r="AG411" s="2269"/>
      <c r="AH411" s="2269"/>
      <c r="AI411" s="2269"/>
      <c r="AJ411" s="2269"/>
      <c r="AK411" s="2269"/>
      <c r="AL411" s="2269"/>
      <c r="AM411" s="2269"/>
      <c r="AN411" s="2269"/>
      <c r="AO411" s="2269"/>
      <c r="AP411" s="2269"/>
      <c r="AQ411" s="2269"/>
      <c r="AR411" s="2269"/>
      <c r="AS411" s="2269"/>
      <c r="AT411" s="2269"/>
      <c r="AU411" s="2269"/>
      <c r="AV411" s="2269"/>
      <c r="AW411" s="2269"/>
      <c r="AX411" s="2269"/>
      <c r="AY411" s="2269"/>
      <c r="AZ411" s="2269"/>
      <c r="BA411" s="2269"/>
      <c r="BB411" s="2269"/>
      <c r="BC411" s="2269"/>
      <c r="BD411" s="2269"/>
      <c r="BE411" s="2269"/>
      <c r="BF411" s="2269"/>
      <c r="BG411" s="2269"/>
      <c r="BH411" s="2269"/>
      <c r="BI411" s="2269"/>
      <c r="BJ411" s="2269"/>
      <c r="BK411" s="2269"/>
      <c r="BL411" s="2269"/>
      <c r="BM411" s="2269"/>
      <c r="BN411" s="2269"/>
      <c r="BO411" s="2269"/>
      <c r="BP411" s="2269"/>
      <c r="BQ411" s="2269"/>
      <c r="BR411" s="2269"/>
      <c r="BS411" s="2269"/>
      <c r="BT411" s="2269"/>
      <c r="BU411" s="2269"/>
      <c r="BV411" s="2269"/>
      <c r="BW411" s="2269"/>
      <c r="BX411" s="2269"/>
      <c r="BY411" s="2269"/>
      <c r="BZ411" s="2269"/>
      <c r="CA411" s="2269"/>
    </row>
    <row r="412" spans="1:79">
      <c r="A412" s="2269"/>
      <c r="B412" s="2269"/>
      <c r="C412" s="2269"/>
      <c r="D412" s="2269"/>
      <c r="E412" s="2269"/>
      <c r="F412" s="2269"/>
      <c r="G412" s="2269"/>
      <c r="H412" s="2269"/>
      <c r="I412" s="2269"/>
      <c r="J412" s="2269"/>
      <c r="K412" s="2269"/>
      <c r="L412" s="2269"/>
      <c r="M412" s="2269"/>
      <c r="N412" s="2269"/>
      <c r="O412" s="2269"/>
      <c r="P412" s="2269"/>
      <c r="Q412" s="2269"/>
      <c r="R412" s="2269"/>
      <c r="S412" s="2269"/>
      <c r="T412" s="2269"/>
      <c r="U412" s="2269"/>
      <c r="V412" s="2269"/>
      <c r="W412" s="2269"/>
      <c r="X412" s="2269"/>
      <c r="Y412" s="2269"/>
      <c r="Z412" s="2269"/>
      <c r="AA412" s="2269"/>
      <c r="AB412" s="2269"/>
      <c r="AC412" s="2269"/>
      <c r="AD412" s="2269"/>
      <c r="AE412" s="2269"/>
      <c r="AF412" s="2269"/>
      <c r="AG412" s="2269"/>
      <c r="AH412" s="2269"/>
      <c r="AI412" s="2269"/>
      <c r="AJ412" s="2269"/>
      <c r="AK412" s="2269"/>
      <c r="AL412" s="2269"/>
      <c r="AM412" s="2269"/>
      <c r="AN412" s="2269"/>
      <c r="AO412" s="2269"/>
      <c r="AP412" s="2269"/>
      <c r="AQ412" s="2269"/>
      <c r="AR412" s="2269"/>
      <c r="AS412" s="2269"/>
      <c r="AT412" s="2269"/>
      <c r="AU412" s="2269"/>
      <c r="AV412" s="2269"/>
      <c r="AW412" s="2269"/>
      <c r="AX412" s="2269"/>
      <c r="AY412" s="2269"/>
      <c r="AZ412" s="2269"/>
      <c r="BA412" s="2269"/>
      <c r="BB412" s="2269"/>
      <c r="BC412" s="2269"/>
      <c r="BD412" s="2269"/>
      <c r="BE412" s="2269"/>
      <c r="BF412" s="2269"/>
      <c r="BG412" s="2269"/>
      <c r="BH412" s="2269"/>
      <c r="BI412" s="2269"/>
      <c r="BJ412" s="2269"/>
      <c r="BK412" s="2269"/>
      <c r="BL412" s="2269"/>
      <c r="BM412" s="2269"/>
      <c r="BN412" s="2269"/>
      <c r="BO412" s="2269"/>
      <c r="BP412" s="2269"/>
      <c r="BQ412" s="2269"/>
      <c r="BR412" s="2269"/>
      <c r="BS412" s="2269"/>
      <c r="BT412" s="2269"/>
      <c r="BU412" s="2269"/>
      <c r="BV412" s="2269"/>
      <c r="BW412" s="2269"/>
      <c r="BX412" s="2269"/>
      <c r="BY412" s="2269"/>
      <c r="BZ412" s="2269"/>
      <c r="CA412" s="2269"/>
    </row>
    <row r="413" spans="1:79">
      <c r="A413" s="2269"/>
      <c r="B413" s="2269"/>
      <c r="C413" s="2269"/>
      <c r="D413" s="2269"/>
      <c r="E413" s="2269"/>
      <c r="F413" s="2269"/>
      <c r="G413" s="2269"/>
      <c r="H413" s="2269"/>
      <c r="I413" s="2269"/>
      <c r="J413" s="2269"/>
      <c r="K413" s="2269"/>
      <c r="L413" s="2269"/>
      <c r="M413" s="2269"/>
      <c r="N413" s="2269"/>
      <c r="O413" s="2269"/>
      <c r="P413" s="2269"/>
      <c r="Q413" s="2269"/>
      <c r="R413" s="2269"/>
      <c r="S413" s="2269"/>
      <c r="T413" s="2269"/>
      <c r="U413" s="2269"/>
      <c r="V413" s="2269"/>
      <c r="W413" s="2269"/>
      <c r="X413" s="2269"/>
      <c r="Y413" s="2269"/>
      <c r="Z413" s="2269"/>
      <c r="AA413" s="2269"/>
      <c r="AB413" s="2269"/>
      <c r="AC413" s="2269"/>
      <c r="AD413" s="2269"/>
      <c r="AE413" s="2269"/>
      <c r="AF413" s="2269"/>
      <c r="AG413" s="2269"/>
      <c r="AH413" s="2269"/>
      <c r="AI413" s="2269"/>
      <c r="AJ413" s="2269"/>
      <c r="AK413" s="2269"/>
      <c r="AL413" s="2269"/>
      <c r="AM413" s="2269"/>
      <c r="AN413" s="2269"/>
      <c r="AO413" s="2269"/>
      <c r="AP413" s="2269"/>
      <c r="AQ413" s="2269"/>
      <c r="AR413" s="2269"/>
      <c r="AS413" s="2269"/>
      <c r="AT413" s="2269"/>
      <c r="AU413" s="2269"/>
      <c r="AV413" s="2269"/>
      <c r="AW413" s="2269"/>
      <c r="AX413" s="2269"/>
      <c r="AY413" s="2269"/>
      <c r="AZ413" s="2269"/>
      <c r="BA413" s="2269"/>
      <c r="BB413" s="2269"/>
      <c r="BC413" s="2269"/>
      <c r="BD413" s="2269"/>
      <c r="BE413" s="2269"/>
      <c r="BF413" s="2269"/>
      <c r="BG413" s="2269"/>
      <c r="BH413" s="2269"/>
      <c r="BI413" s="2269"/>
      <c r="BJ413" s="2269"/>
      <c r="BK413" s="2269"/>
      <c r="BL413" s="2269"/>
      <c r="BM413" s="2269"/>
      <c r="BN413" s="2269"/>
      <c r="BO413" s="2269"/>
      <c r="BP413" s="2269"/>
      <c r="BQ413" s="2269"/>
      <c r="BR413" s="2269"/>
      <c r="BS413" s="2269"/>
      <c r="BT413" s="2269"/>
      <c r="BU413" s="2269"/>
      <c r="BV413" s="2269"/>
      <c r="BW413" s="2269"/>
      <c r="BX413" s="2269"/>
      <c r="BY413" s="2269"/>
      <c r="BZ413" s="2269"/>
      <c r="CA413" s="2269"/>
    </row>
    <row r="414" spans="1:79">
      <c r="A414" s="2269"/>
      <c r="B414" s="2269"/>
      <c r="C414" s="2269"/>
      <c r="D414" s="2269"/>
      <c r="E414" s="2269"/>
      <c r="F414" s="2269"/>
      <c r="G414" s="2269"/>
      <c r="H414" s="2269"/>
      <c r="I414" s="2269"/>
      <c r="J414" s="2269"/>
      <c r="K414" s="2269"/>
      <c r="L414" s="2269"/>
      <c r="M414" s="2269"/>
      <c r="N414" s="2269"/>
      <c r="O414" s="2269"/>
      <c r="P414" s="2269"/>
      <c r="Q414" s="2269"/>
      <c r="R414" s="2269"/>
      <c r="S414" s="2269"/>
      <c r="T414" s="2269"/>
      <c r="U414" s="2269"/>
      <c r="V414" s="2269"/>
      <c r="W414" s="2269"/>
      <c r="X414" s="2269"/>
      <c r="Y414" s="2269"/>
      <c r="Z414" s="2269"/>
      <c r="AA414" s="2269"/>
      <c r="AB414" s="2269"/>
      <c r="AC414" s="2269"/>
      <c r="AD414" s="2269"/>
      <c r="AE414" s="2269"/>
      <c r="AF414" s="2269"/>
      <c r="AG414" s="2269"/>
      <c r="AH414" s="2269"/>
      <c r="AI414" s="2269"/>
      <c r="AJ414" s="2269"/>
      <c r="AK414" s="2269"/>
      <c r="AL414" s="2269"/>
      <c r="AM414" s="2269"/>
      <c r="AN414" s="2269"/>
      <c r="AO414" s="2269"/>
      <c r="AP414" s="2269"/>
      <c r="AQ414" s="2269"/>
      <c r="AR414" s="2269"/>
      <c r="AS414" s="2269"/>
      <c r="AT414" s="2269"/>
      <c r="AU414" s="2269"/>
      <c r="AV414" s="2269"/>
      <c r="AW414" s="2269"/>
      <c r="AX414" s="2269"/>
      <c r="AY414" s="2269"/>
      <c r="AZ414" s="2269"/>
      <c r="BA414" s="2269"/>
      <c r="BB414" s="2269"/>
      <c r="BC414" s="2269"/>
      <c r="BD414" s="2269"/>
      <c r="BE414" s="2269"/>
      <c r="BF414" s="2269"/>
      <c r="BG414" s="2269"/>
      <c r="BH414" s="2269"/>
      <c r="BI414" s="2269"/>
      <c r="BJ414" s="2269"/>
      <c r="BK414" s="2269"/>
      <c r="BL414" s="2269"/>
      <c r="BM414" s="2269"/>
      <c r="BN414" s="2269"/>
      <c r="BO414" s="2269"/>
      <c r="BP414" s="2269"/>
      <c r="BQ414" s="2269"/>
      <c r="BR414" s="2269"/>
      <c r="BS414" s="2269"/>
      <c r="BT414" s="2269"/>
      <c r="BU414" s="2269"/>
      <c r="BV414" s="2269"/>
      <c r="BW414" s="2269"/>
      <c r="BX414" s="2269"/>
      <c r="BY414" s="2269"/>
      <c r="BZ414" s="2269"/>
      <c r="CA414" s="2269"/>
    </row>
    <row r="415" spans="1:79">
      <c r="A415" s="2269"/>
      <c r="B415" s="2269"/>
      <c r="C415" s="2269"/>
      <c r="D415" s="2269"/>
      <c r="E415" s="2269"/>
      <c r="F415" s="2269"/>
      <c r="G415" s="2269"/>
      <c r="H415" s="2269"/>
      <c r="I415" s="2269"/>
      <c r="J415" s="2269"/>
      <c r="K415" s="2269"/>
      <c r="L415" s="2269"/>
      <c r="M415" s="2269"/>
      <c r="N415" s="2269"/>
      <c r="O415" s="2269"/>
      <c r="P415" s="2269"/>
      <c r="Q415" s="2269"/>
      <c r="R415" s="2269"/>
      <c r="S415" s="2269"/>
      <c r="T415" s="2269"/>
      <c r="U415" s="2269"/>
      <c r="V415" s="2269"/>
      <c r="W415" s="2269"/>
      <c r="X415" s="2269"/>
      <c r="Y415" s="2269"/>
      <c r="Z415" s="2269"/>
      <c r="AA415" s="2269"/>
      <c r="AB415" s="2269"/>
      <c r="AC415" s="2269"/>
      <c r="AD415" s="2269"/>
      <c r="AE415" s="2269"/>
      <c r="AF415" s="2269"/>
      <c r="AG415" s="2269"/>
      <c r="AH415" s="2269"/>
      <c r="AI415" s="2269"/>
      <c r="AJ415" s="2269"/>
      <c r="AK415" s="2269"/>
      <c r="AL415" s="2269"/>
      <c r="AM415" s="2269"/>
      <c r="AN415" s="2269"/>
      <c r="AO415" s="2269"/>
      <c r="AP415" s="2269"/>
      <c r="AQ415" s="2269"/>
      <c r="AR415" s="2269"/>
      <c r="AS415" s="2269"/>
      <c r="AT415" s="2269"/>
      <c r="AU415" s="2269"/>
      <c r="AV415" s="2269"/>
      <c r="AW415" s="2269"/>
      <c r="AX415" s="2269"/>
      <c r="AY415" s="2269"/>
      <c r="AZ415" s="2269"/>
      <c r="BA415" s="2269"/>
      <c r="BB415" s="2269"/>
      <c r="BC415" s="2269"/>
      <c r="BD415" s="2269"/>
      <c r="BE415" s="2269"/>
      <c r="BF415" s="2269"/>
      <c r="BG415" s="2269"/>
      <c r="BH415" s="2269"/>
      <c r="BI415" s="2269"/>
      <c r="BJ415" s="2269"/>
      <c r="BK415" s="2269"/>
      <c r="BL415" s="2269"/>
      <c r="BM415" s="2269"/>
      <c r="BN415" s="2269"/>
      <c r="BO415" s="2269"/>
      <c r="BP415" s="2269"/>
      <c r="BQ415" s="2269"/>
      <c r="BR415" s="2269"/>
      <c r="BS415" s="2269"/>
      <c r="BT415" s="2269"/>
      <c r="BU415" s="2269"/>
      <c r="BV415" s="2269"/>
      <c r="BW415" s="2269"/>
      <c r="BX415" s="2269"/>
      <c r="BY415" s="2269"/>
      <c r="BZ415" s="2269"/>
      <c r="CA415" s="2269"/>
    </row>
    <row r="416" spans="1:79">
      <c r="A416" s="2269"/>
      <c r="B416" s="2269"/>
      <c r="C416" s="2269"/>
      <c r="D416" s="2269"/>
      <c r="E416" s="2269"/>
      <c r="F416" s="2269"/>
      <c r="G416" s="2269"/>
      <c r="H416" s="2269"/>
      <c r="I416" s="2269"/>
      <c r="J416" s="2269"/>
      <c r="K416" s="2269"/>
      <c r="L416" s="2269"/>
      <c r="M416" s="2269"/>
      <c r="N416" s="2269"/>
      <c r="O416" s="2269"/>
      <c r="P416" s="2269"/>
      <c r="Q416" s="2269"/>
      <c r="R416" s="2269"/>
      <c r="S416" s="2269"/>
      <c r="T416" s="2269"/>
      <c r="U416" s="2269"/>
      <c r="V416" s="2269"/>
      <c r="W416" s="2269"/>
      <c r="X416" s="2269"/>
      <c r="Y416" s="2269"/>
      <c r="Z416" s="2269"/>
      <c r="AA416" s="2269"/>
      <c r="AB416" s="2269"/>
      <c r="AC416" s="2269"/>
      <c r="AD416" s="2269"/>
      <c r="AE416" s="2269"/>
      <c r="AF416" s="2269"/>
      <c r="AG416" s="2269"/>
      <c r="AH416" s="2269"/>
      <c r="AI416" s="2269"/>
      <c r="AJ416" s="2269"/>
      <c r="AK416" s="2269"/>
      <c r="AL416" s="2269"/>
      <c r="AM416" s="2269"/>
      <c r="AN416" s="2269"/>
      <c r="AO416" s="2269"/>
      <c r="AP416" s="2269"/>
      <c r="AQ416" s="2269"/>
      <c r="AR416" s="2269"/>
      <c r="AS416" s="2269"/>
      <c r="AT416" s="2269"/>
      <c r="AU416" s="2269"/>
      <c r="AV416" s="2269"/>
      <c r="AW416" s="2269"/>
      <c r="AX416" s="2269"/>
      <c r="AY416" s="2269"/>
      <c r="AZ416" s="2269"/>
      <c r="BA416" s="2269"/>
      <c r="BB416" s="2269"/>
      <c r="BC416" s="2269"/>
      <c r="BD416" s="2269"/>
      <c r="BE416" s="2269"/>
      <c r="BF416" s="2269"/>
      <c r="BG416" s="2269"/>
      <c r="BH416" s="2269"/>
      <c r="BI416" s="2269"/>
      <c r="BJ416" s="2269"/>
      <c r="BK416" s="2269"/>
      <c r="BL416" s="2269"/>
      <c r="BM416" s="2269"/>
      <c r="BN416" s="2269"/>
      <c r="BO416" s="2269"/>
      <c r="BP416" s="2269"/>
      <c r="BQ416" s="2269"/>
      <c r="BR416" s="2269"/>
      <c r="BS416" s="2269"/>
      <c r="BT416" s="2269"/>
      <c r="BU416" s="2269"/>
      <c r="BV416" s="2269"/>
      <c r="BW416" s="2269"/>
      <c r="BX416" s="2269"/>
      <c r="BY416" s="2269"/>
      <c r="BZ416" s="2269"/>
      <c r="CA416" s="2269"/>
    </row>
    <row r="417" spans="1:79">
      <c r="A417" s="2269"/>
      <c r="B417" s="2269"/>
      <c r="C417" s="2269"/>
      <c r="D417" s="2269"/>
      <c r="E417" s="2269"/>
      <c r="F417" s="2269"/>
      <c r="G417" s="2269"/>
      <c r="H417" s="2269"/>
      <c r="I417" s="2269"/>
      <c r="J417" s="2269"/>
      <c r="K417" s="2269"/>
      <c r="L417" s="2269"/>
      <c r="M417" s="2269"/>
      <c r="N417" s="2269"/>
      <c r="O417" s="2269"/>
      <c r="P417" s="2269"/>
      <c r="Q417" s="2269"/>
      <c r="R417" s="2269"/>
      <c r="S417" s="2269"/>
      <c r="T417" s="2269"/>
      <c r="U417" s="2269"/>
      <c r="V417" s="2269"/>
      <c r="W417" s="2269"/>
      <c r="X417" s="2269"/>
      <c r="Y417" s="2269"/>
      <c r="Z417" s="2269"/>
      <c r="AA417" s="2269"/>
      <c r="AB417" s="2269"/>
      <c r="AC417" s="2269"/>
      <c r="AD417" s="2269"/>
      <c r="AE417" s="2269"/>
      <c r="AF417" s="2269"/>
      <c r="AG417" s="2269"/>
      <c r="AH417" s="2269"/>
      <c r="AI417" s="2269"/>
      <c r="AJ417" s="2269"/>
      <c r="AK417" s="2269"/>
      <c r="AL417" s="2269"/>
      <c r="AM417" s="2269"/>
      <c r="AN417" s="2269"/>
      <c r="AO417" s="2269"/>
      <c r="AP417" s="2269"/>
      <c r="AQ417" s="2269"/>
      <c r="AR417" s="2269"/>
      <c r="AS417" s="2269"/>
      <c r="AT417" s="2269"/>
      <c r="AU417" s="2269"/>
      <c r="AV417" s="2269"/>
      <c r="AW417" s="2269"/>
      <c r="AX417" s="2269"/>
      <c r="AY417" s="2269"/>
      <c r="AZ417" s="2269"/>
      <c r="BA417" s="2269"/>
      <c r="BB417" s="2269"/>
      <c r="BC417" s="2269"/>
      <c r="BD417" s="2269"/>
      <c r="BE417" s="2269"/>
      <c r="BF417" s="2269"/>
      <c r="BG417" s="2269"/>
      <c r="BH417" s="2269"/>
      <c r="BI417" s="2269"/>
      <c r="BJ417" s="2269"/>
      <c r="BK417" s="2269"/>
      <c r="BL417" s="2269"/>
      <c r="BM417" s="2269"/>
      <c r="BN417" s="2269"/>
      <c r="BO417" s="2269"/>
      <c r="BP417" s="2269"/>
      <c r="BQ417" s="2269"/>
      <c r="BR417" s="2269"/>
      <c r="BS417" s="2269"/>
      <c r="BT417" s="2269"/>
      <c r="BU417" s="2269"/>
      <c r="BV417" s="2269"/>
      <c r="BW417" s="2269"/>
      <c r="BX417" s="2269"/>
      <c r="BY417" s="2269"/>
      <c r="BZ417" s="2269"/>
      <c r="CA417" s="2269"/>
    </row>
    <row r="418" spans="1:79">
      <c r="A418" s="2269"/>
      <c r="B418" s="2269"/>
      <c r="C418" s="2269"/>
      <c r="D418" s="2269"/>
      <c r="E418" s="2269"/>
      <c r="F418" s="2269"/>
      <c r="G418" s="2269"/>
      <c r="H418" s="2269"/>
      <c r="I418" s="2269"/>
      <c r="J418" s="2269"/>
      <c r="K418" s="2269"/>
      <c r="L418" s="2269"/>
      <c r="M418" s="2269"/>
      <c r="N418" s="2269"/>
      <c r="O418" s="2269"/>
      <c r="P418" s="2269"/>
      <c r="Q418" s="2269"/>
      <c r="R418" s="2269"/>
      <c r="S418" s="2269"/>
      <c r="T418" s="2269"/>
      <c r="U418" s="2269"/>
      <c r="V418" s="2269"/>
      <c r="W418" s="2269"/>
      <c r="X418" s="2269"/>
      <c r="Y418" s="2269"/>
      <c r="Z418" s="2269"/>
      <c r="AA418" s="2269"/>
      <c r="AB418" s="2269"/>
      <c r="AC418" s="2269"/>
      <c r="AD418" s="2269"/>
      <c r="AE418" s="2269"/>
      <c r="AF418" s="2269"/>
      <c r="AG418" s="2269"/>
      <c r="AH418" s="2269"/>
      <c r="AI418" s="2269"/>
      <c r="AJ418" s="2269"/>
      <c r="AK418" s="2269"/>
      <c r="AL418" s="2269"/>
      <c r="AM418" s="2269"/>
      <c r="AN418" s="2269"/>
      <c r="AO418" s="2269"/>
      <c r="AP418" s="2269"/>
      <c r="AQ418" s="2269"/>
      <c r="AR418" s="2269"/>
      <c r="AS418" s="2269"/>
      <c r="AT418" s="2269"/>
      <c r="AU418" s="2269"/>
      <c r="AV418" s="2269"/>
      <c r="AW418" s="2269"/>
      <c r="AX418" s="2269"/>
      <c r="AY418" s="2269"/>
      <c r="AZ418" s="2269"/>
      <c r="BA418" s="2269"/>
      <c r="BB418" s="2269"/>
      <c r="BC418" s="2269"/>
      <c r="BD418" s="2269"/>
      <c r="BE418" s="2269"/>
      <c r="BF418" s="2269"/>
      <c r="BG418" s="2269"/>
      <c r="BH418" s="2269"/>
      <c r="BI418" s="2269"/>
      <c r="BJ418" s="2269"/>
      <c r="BK418" s="2269"/>
      <c r="BL418" s="2269"/>
      <c r="BM418" s="2269"/>
      <c r="BN418" s="2269"/>
      <c r="BO418" s="2269"/>
      <c r="BP418" s="2269"/>
      <c r="BQ418" s="2269"/>
      <c r="BR418" s="2269"/>
      <c r="BS418" s="2269"/>
      <c r="BT418" s="2269"/>
      <c r="BU418" s="2269"/>
      <c r="BV418" s="2269"/>
      <c r="BW418" s="2269"/>
      <c r="BX418" s="2269"/>
      <c r="BY418" s="2269"/>
      <c r="BZ418" s="2269"/>
      <c r="CA418" s="2269"/>
    </row>
    <row r="419" spans="1:79">
      <c r="A419" s="2269"/>
      <c r="B419" s="2269"/>
      <c r="C419" s="2269"/>
      <c r="D419" s="2269"/>
      <c r="E419" s="2269"/>
      <c r="F419" s="2269"/>
      <c r="G419" s="2269"/>
      <c r="H419" s="2269"/>
      <c r="I419" s="2269"/>
      <c r="J419" s="2269"/>
      <c r="K419" s="2269"/>
      <c r="L419" s="2269"/>
      <c r="M419" s="2269"/>
      <c r="N419" s="2269"/>
      <c r="O419" s="2269"/>
      <c r="P419" s="2269"/>
      <c r="Q419" s="2269"/>
      <c r="R419" s="2269"/>
      <c r="S419" s="2269"/>
      <c r="T419" s="2269"/>
      <c r="U419" s="2269"/>
      <c r="V419" s="2269"/>
      <c r="W419" s="2269"/>
      <c r="X419" s="2269"/>
      <c r="Y419" s="2269"/>
      <c r="Z419" s="2269"/>
      <c r="AA419" s="2269"/>
      <c r="AB419" s="2269"/>
      <c r="AC419" s="2269"/>
      <c r="AD419" s="2269"/>
      <c r="AE419" s="2269"/>
      <c r="AF419" s="2269"/>
      <c r="AG419" s="2269"/>
      <c r="AH419" s="2269"/>
      <c r="AI419" s="2269"/>
      <c r="AJ419" s="2269"/>
      <c r="AK419" s="2269"/>
      <c r="AL419" s="2269"/>
      <c r="AM419" s="2269"/>
      <c r="AN419" s="2269"/>
      <c r="AO419" s="2269"/>
      <c r="AP419" s="2269"/>
      <c r="AQ419" s="2269"/>
      <c r="AR419" s="2269"/>
      <c r="AS419" s="2269"/>
      <c r="AT419" s="2269"/>
      <c r="AU419" s="2269"/>
      <c r="AV419" s="2269"/>
      <c r="AW419" s="2269"/>
      <c r="AX419" s="2269"/>
      <c r="AY419" s="2269"/>
      <c r="AZ419" s="2269"/>
      <c r="BA419" s="2269"/>
      <c r="BB419" s="2269"/>
      <c r="BC419" s="2269"/>
      <c r="BD419" s="2269"/>
      <c r="BE419" s="2269"/>
      <c r="BF419" s="2269"/>
      <c r="BG419" s="2269"/>
      <c r="BH419" s="2269"/>
      <c r="BI419" s="2269"/>
      <c r="BJ419" s="2269"/>
      <c r="BK419" s="2269"/>
      <c r="BL419" s="2269"/>
      <c r="BM419" s="2269"/>
      <c r="BN419" s="2269"/>
      <c r="BO419" s="2269"/>
      <c r="BP419" s="2269"/>
      <c r="BQ419" s="2269"/>
      <c r="BR419" s="2269"/>
      <c r="BS419" s="2269"/>
      <c r="BT419" s="2269"/>
      <c r="BU419" s="2269"/>
      <c r="BV419" s="2269"/>
      <c r="BW419" s="2269"/>
      <c r="BX419" s="2269"/>
      <c r="BY419" s="2269"/>
      <c r="BZ419" s="2269"/>
      <c r="CA419" s="2269"/>
    </row>
    <row r="420" spans="1:79">
      <c r="A420" s="2269"/>
      <c r="B420" s="2269"/>
      <c r="C420" s="2269"/>
      <c r="D420" s="2269"/>
      <c r="E420" s="2269"/>
      <c r="F420" s="2269"/>
      <c r="G420" s="2269"/>
      <c r="H420" s="2269"/>
      <c r="I420" s="2269"/>
      <c r="J420" s="2269"/>
      <c r="K420" s="2269"/>
      <c r="L420" s="2269"/>
      <c r="M420" s="2269"/>
      <c r="N420" s="2269"/>
      <c r="O420" s="2269"/>
      <c r="P420" s="2269"/>
      <c r="Q420" s="2269"/>
      <c r="R420" s="2269"/>
      <c r="S420" s="2269"/>
      <c r="T420" s="2269"/>
      <c r="U420" s="2269"/>
      <c r="V420" s="2269"/>
      <c r="W420" s="2269"/>
      <c r="X420" s="2269"/>
      <c r="Y420" s="2269"/>
      <c r="Z420" s="2269"/>
      <c r="AA420" s="2269"/>
      <c r="AB420" s="2269"/>
      <c r="AC420" s="2269"/>
      <c r="AD420" s="2269"/>
      <c r="AE420" s="2269"/>
      <c r="AF420" s="2269"/>
      <c r="AG420" s="2269"/>
      <c r="AH420" s="2269"/>
      <c r="AI420" s="2269"/>
      <c r="AJ420" s="2269"/>
      <c r="AK420" s="2269"/>
      <c r="AL420" s="2269"/>
      <c r="AM420" s="2269"/>
      <c r="AN420" s="2269"/>
      <c r="AO420" s="2269"/>
      <c r="AP420" s="2269"/>
      <c r="AQ420" s="2269"/>
      <c r="AR420" s="2269"/>
      <c r="AS420" s="2269"/>
      <c r="AT420" s="2269"/>
      <c r="AU420" s="2269"/>
      <c r="AV420" s="2269"/>
      <c r="AW420" s="2269"/>
      <c r="AX420" s="2269"/>
      <c r="AY420" s="2269"/>
      <c r="AZ420" s="2269"/>
      <c r="BA420" s="2269"/>
      <c r="BB420" s="2269"/>
      <c r="BC420" s="2269"/>
      <c r="BD420" s="2269"/>
      <c r="BE420" s="2269"/>
      <c r="BF420" s="2269"/>
      <c r="BG420" s="2269"/>
      <c r="BH420" s="2269"/>
      <c r="BI420" s="2269"/>
      <c r="BJ420" s="2269"/>
      <c r="BK420" s="2269"/>
      <c r="BL420" s="2269"/>
      <c r="BM420" s="2269"/>
      <c r="BN420" s="2269"/>
      <c r="BO420" s="2269"/>
      <c r="BP420" s="2269"/>
      <c r="BQ420" s="2269"/>
      <c r="BR420" s="2269"/>
      <c r="BS420" s="2269"/>
      <c r="BT420" s="2269"/>
      <c r="BU420" s="2269"/>
      <c r="BV420" s="2269"/>
      <c r="BW420" s="2269"/>
      <c r="BX420" s="2269"/>
      <c r="BY420" s="2269"/>
      <c r="BZ420" s="2269"/>
      <c r="CA420" s="2269"/>
    </row>
    <row r="421" spans="1:79">
      <c r="A421" s="2269"/>
      <c r="B421" s="2269"/>
      <c r="C421" s="2269"/>
      <c r="D421" s="2269"/>
      <c r="E421" s="2269"/>
      <c r="F421" s="2269"/>
      <c r="G421" s="2269"/>
      <c r="H421" s="2269"/>
      <c r="I421" s="2269"/>
      <c r="J421" s="2269"/>
      <c r="K421" s="2269"/>
      <c r="L421" s="2269"/>
      <c r="M421" s="2269"/>
      <c r="N421" s="2269"/>
      <c r="O421" s="2269"/>
      <c r="P421" s="2269"/>
      <c r="Q421" s="2269"/>
      <c r="R421" s="2269"/>
      <c r="S421" s="2269"/>
      <c r="T421" s="2269"/>
      <c r="U421" s="2269"/>
      <c r="V421" s="2269"/>
      <c r="W421" s="2269"/>
      <c r="X421" s="2269"/>
      <c r="Y421" s="2269"/>
      <c r="Z421" s="2269"/>
      <c r="AA421" s="2269"/>
      <c r="AB421" s="2269"/>
      <c r="AC421" s="2269"/>
      <c r="AD421" s="2269"/>
      <c r="AE421" s="2269"/>
      <c r="AF421" s="2269"/>
      <c r="AG421" s="2269"/>
      <c r="AH421" s="2269"/>
      <c r="AI421" s="2269"/>
      <c r="AJ421" s="2269"/>
      <c r="AK421" s="2269"/>
      <c r="AL421" s="2269"/>
      <c r="AM421" s="2269"/>
      <c r="AN421" s="2269"/>
      <c r="AO421" s="2269"/>
      <c r="AP421" s="2269"/>
      <c r="AQ421" s="2269"/>
      <c r="AR421" s="2269"/>
      <c r="AS421" s="2269"/>
      <c r="AT421" s="2269"/>
      <c r="AU421" s="2269"/>
      <c r="AV421" s="2269"/>
      <c r="AW421" s="2269"/>
      <c r="AX421" s="2269"/>
      <c r="AY421" s="2269"/>
      <c r="AZ421" s="2269"/>
      <c r="BA421" s="2269"/>
      <c r="BB421" s="2269"/>
      <c r="BC421" s="2269"/>
      <c r="BD421" s="2269"/>
      <c r="BE421" s="2269"/>
      <c r="BF421" s="2269"/>
      <c r="BG421" s="2269"/>
      <c r="BH421" s="2269"/>
      <c r="BI421" s="2269"/>
      <c r="BJ421" s="2269"/>
      <c r="BK421" s="2269"/>
      <c r="BL421" s="2269"/>
      <c r="BM421" s="2269"/>
      <c r="BN421" s="2269"/>
      <c r="BO421" s="2269"/>
      <c r="BP421" s="2269"/>
      <c r="BQ421" s="2269"/>
      <c r="BR421" s="2269"/>
      <c r="BS421" s="2269"/>
      <c r="BT421" s="2269"/>
      <c r="BU421" s="2269"/>
      <c r="BV421" s="2269"/>
      <c r="BW421" s="2269"/>
      <c r="BX421" s="2269"/>
      <c r="BY421" s="2269"/>
      <c r="BZ421" s="2269"/>
      <c r="CA421" s="2269"/>
    </row>
    <row r="422" spans="1:79">
      <c r="A422" s="2269"/>
      <c r="B422" s="2269"/>
      <c r="C422" s="2269"/>
      <c r="D422" s="2269"/>
      <c r="E422" s="2269"/>
      <c r="F422" s="2269"/>
      <c r="G422" s="2269"/>
      <c r="H422" s="2269"/>
      <c r="I422" s="2269"/>
      <c r="J422" s="2269"/>
      <c r="K422" s="2269"/>
      <c r="L422" s="2269"/>
      <c r="M422" s="2269"/>
      <c r="N422" s="2269"/>
      <c r="O422" s="2269"/>
      <c r="P422" s="2269"/>
      <c r="Q422" s="2269"/>
      <c r="R422" s="2269"/>
      <c r="S422" s="2269"/>
      <c r="T422" s="2269"/>
      <c r="U422" s="2269"/>
      <c r="V422" s="2269"/>
      <c r="W422" s="2269"/>
      <c r="X422" s="2269"/>
      <c r="Y422" s="2269"/>
      <c r="Z422" s="2269"/>
      <c r="AA422" s="2269"/>
      <c r="AB422" s="2269"/>
      <c r="AC422" s="2269"/>
      <c r="AD422" s="2269"/>
      <c r="AE422" s="2269"/>
      <c r="AF422" s="2269"/>
      <c r="AG422" s="2269"/>
      <c r="AH422" s="2269"/>
      <c r="AI422" s="2269"/>
      <c r="AJ422" s="2269"/>
      <c r="AK422" s="2269"/>
      <c r="AL422" s="2269"/>
      <c r="AM422" s="2269"/>
      <c r="AN422" s="2269"/>
      <c r="AO422" s="2269"/>
      <c r="AP422" s="2269"/>
      <c r="AQ422" s="2269"/>
      <c r="AR422" s="2269"/>
      <c r="AS422" s="2269"/>
      <c r="AT422" s="2269"/>
      <c r="AU422" s="2269"/>
      <c r="AV422" s="2269"/>
      <c r="AW422" s="2269"/>
      <c r="AX422" s="2269"/>
      <c r="AY422" s="2269"/>
      <c r="AZ422" s="2269"/>
      <c r="BA422" s="2269"/>
      <c r="BB422" s="2269"/>
      <c r="BC422" s="2269"/>
      <c r="BD422" s="2269"/>
      <c r="BE422" s="2269"/>
      <c r="BF422" s="2269"/>
      <c r="BG422" s="2269"/>
      <c r="BH422" s="2269"/>
      <c r="BI422" s="2269"/>
      <c r="BJ422" s="2269"/>
      <c r="BK422" s="2269"/>
      <c r="BL422" s="2269"/>
      <c r="BM422" s="2269"/>
      <c r="BN422" s="2269"/>
      <c r="BO422" s="2269"/>
      <c r="BP422" s="2269"/>
      <c r="BQ422" s="2269"/>
      <c r="BR422" s="2269"/>
      <c r="BS422" s="2269"/>
      <c r="BT422" s="2269"/>
      <c r="BU422" s="2269"/>
      <c r="BV422" s="2269"/>
      <c r="BW422" s="2269"/>
      <c r="BX422" s="2269"/>
      <c r="BY422" s="2269"/>
      <c r="BZ422" s="2269"/>
      <c r="CA422" s="2269"/>
    </row>
    <row r="423" spans="1:79">
      <c r="A423" s="2269"/>
      <c r="B423" s="2269"/>
      <c r="C423" s="2269"/>
      <c r="D423" s="2269"/>
      <c r="E423" s="2269"/>
      <c r="F423" s="2269"/>
      <c r="G423" s="2269"/>
      <c r="H423" s="2269"/>
      <c r="I423" s="2269"/>
      <c r="J423" s="2269"/>
      <c r="K423" s="2269"/>
      <c r="L423" s="2269"/>
      <c r="M423" s="2269"/>
      <c r="N423" s="2269"/>
      <c r="O423" s="2269"/>
      <c r="P423" s="2269"/>
      <c r="Q423" s="2269"/>
      <c r="R423" s="2269"/>
      <c r="S423" s="2269"/>
      <c r="T423" s="2269"/>
      <c r="U423" s="2269"/>
      <c r="V423" s="2269"/>
      <c r="W423" s="2269"/>
      <c r="X423" s="2269"/>
      <c r="Y423" s="2269"/>
      <c r="Z423" s="2269"/>
      <c r="AA423" s="2269"/>
      <c r="AB423" s="2269"/>
      <c r="AC423" s="2269"/>
      <c r="AD423" s="2269"/>
      <c r="AE423" s="2269"/>
      <c r="AF423" s="2269"/>
      <c r="AG423" s="2269"/>
      <c r="AH423" s="2269"/>
      <c r="AI423" s="2269"/>
      <c r="AJ423" s="2269"/>
      <c r="AK423" s="2269"/>
      <c r="AL423" s="2269"/>
      <c r="AM423" s="2269"/>
      <c r="AN423" s="2269"/>
      <c r="AO423" s="2269"/>
      <c r="AP423" s="2269"/>
      <c r="AQ423" s="2269"/>
      <c r="AR423" s="2269"/>
      <c r="AS423" s="2269"/>
      <c r="AT423" s="2269"/>
      <c r="AU423" s="2269"/>
      <c r="AV423" s="2269"/>
      <c r="AW423" s="2269"/>
      <c r="AX423" s="2269"/>
      <c r="AY423" s="2269"/>
      <c r="AZ423" s="2269"/>
      <c r="BA423" s="2269"/>
      <c r="BB423" s="2269"/>
      <c r="BC423" s="2269"/>
      <c r="BD423" s="2269"/>
      <c r="BE423" s="2269"/>
      <c r="BF423" s="2269"/>
      <c r="BG423" s="2269"/>
      <c r="BH423" s="2269"/>
      <c r="BI423" s="2269"/>
      <c r="BJ423" s="2269"/>
      <c r="BK423" s="2269"/>
      <c r="BL423" s="2269"/>
      <c r="BM423" s="2269"/>
      <c r="BN423" s="2269"/>
      <c r="BO423" s="2269"/>
      <c r="BP423" s="2269"/>
      <c r="BQ423" s="2269"/>
      <c r="BR423" s="2269"/>
      <c r="BS423" s="2269"/>
      <c r="BT423" s="2269"/>
      <c r="BU423" s="2269"/>
      <c r="BV423" s="2269"/>
      <c r="BW423" s="2269"/>
      <c r="BX423" s="2269"/>
      <c r="BY423" s="2269"/>
      <c r="BZ423" s="2269"/>
      <c r="CA423" s="2269"/>
    </row>
    <row r="424" spans="1:79">
      <c r="A424" s="2269"/>
      <c r="B424" s="2269"/>
      <c r="C424" s="2269"/>
      <c r="D424" s="2269"/>
      <c r="E424" s="2269"/>
      <c r="F424" s="2269"/>
      <c r="G424" s="2269"/>
      <c r="H424" s="2269"/>
      <c r="I424" s="2269"/>
      <c r="J424" s="2269"/>
      <c r="K424" s="2269"/>
      <c r="L424" s="2269"/>
      <c r="M424" s="2269"/>
      <c r="N424" s="2269"/>
      <c r="O424" s="2269"/>
      <c r="P424" s="2269"/>
      <c r="Q424" s="2269"/>
      <c r="R424" s="2269"/>
      <c r="S424" s="2269"/>
      <c r="T424" s="2269"/>
      <c r="U424" s="2269"/>
      <c r="V424" s="2269"/>
      <c r="W424" s="2269"/>
      <c r="X424" s="2269"/>
      <c r="Y424" s="2269"/>
      <c r="Z424" s="2269"/>
      <c r="AA424" s="2269"/>
      <c r="AB424" s="2269"/>
      <c r="AC424" s="2269"/>
      <c r="AD424" s="2269"/>
      <c r="AE424" s="2269"/>
      <c r="AF424" s="2269"/>
      <c r="AG424" s="2269"/>
      <c r="AH424" s="2269"/>
      <c r="AI424" s="2269"/>
      <c r="AJ424" s="2269"/>
      <c r="AK424" s="2269"/>
      <c r="AL424" s="2269"/>
      <c r="AM424" s="2269"/>
      <c r="AN424" s="2269"/>
      <c r="AO424" s="2269"/>
      <c r="AP424" s="2269"/>
      <c r="AQ424" s="2269"/>
      <c r="AR424" s="2269"/>
      <c r="AS424" s="2269"/>
      <c r="AT424" s="2269"/>
      <c r="AU424" s="2269"/>
      <c r="AV424" s="2269"/>
      <c r="AW424" s="2269"/>
      <c r="AX424" s="2269"/>
      <c r="AY424" s="2269"/>
      <c r="AZ424" s="2269"/>
      <c r="BA424" s="2269"/>
      <c r="BB424" s="2269"/>
      <c r="BC424" s="2269"/>
      <c r="BD424" s="2269"/>
      <c r="BE424" s="2269"/>
      <c r="BF424" s="2269"/>
      <c r="BG424" s="2269"/>
      <c r="BH424" s="2269"/>
      <c r="BI424" s="2269"/>
      <c r="BJ424" s="2269"/>
      <c r="BK424" s="2269"/>
      <c r="BL424" s="2269"/>
      <c r="BM424" s="2269"/>
      <c r="BN424" s="2269"/>
      <c r="BO424" s="2269"/>
      <c r="BP424" s="2269"/>
      <c r="BQ424" s="2269"/>
      <c r="BR424" s="2269"/>
      <c r="BS424" s="2269"/>
      <c r="BT424" s="2269"/>
      <c r="BU424" s="2269"/>
      <c r="BV424" s="2269"/>
      <c r="BW424" s="2269"/>
      <c r="BX424" s="2269"/>
      <c r="BY424" s="2269"/>
      <c r="BZ424" s="2269"/>
      <c r="CA424" s="2269"/>
    </row>
    <row r="425" spans="1:79">
      <c r="A425" s="2269"/>
      <c r="B425" s="2269"/>
      <c r="C425" s="2269"/>
      <c r="D425" s="2269"/>
      <c r="E425" s="2269"/>
      <c r="F425" s="2269"/>
      <c r="G425" s="2269"/>
      <c r="H425" s="2269"/>
      <c r="I425" s="2269"/>
      <c r="J425" s="2269"/>
      <c r="K425" s="2269"/>
      <c r="L425" s="2269"/>
      <c r="M425" s="2269"/>
      <c r="N425" s="2269"/>
      <c r="O425" s="2269"/>
      <c r="P425" s="2269"/>
      <c r="Q425" s="2269"/>
      <c r="R425" s="2269"/>
      <c r="S425" s="2269"/>
      <c r="T425" s="2269"/>
      <c r="U425" s="2269"/>
      <c r="V425" s="2269"/>
      <c r="W425" s="2269"/>
      <c r="X425" s="2269"/>
      <c r="Y425" s="2269"/>
      <c r="Z425" s="2269"/>
      <c r="AA425" s="2269"/>
      <c r="AB425" s="2269"/>
      <c r="AC425" s="2269"/>
      <c r="AD425" s="2269"/>
      <c r="AE425" s="2269"/>
      <c r="AF425" s="2269"/>
      <c r="AG425" s="2269"/>
      <c r="AH425" s="2269"/>
      <c r="AI425" s="2269"/>
      <c r="AJ425" s="2269"/>
      <c r="AK425" s="2269"/>
      <c r="AL425" s="2269"/>
      <c r="AM425" s="2269"/>
      <c r="AN425" s="2269"/>
      <c r="AO425" s="2269"/>
      <c r="AP425" s="2269"/>
      <c r="AQ425" s="2269"/>
      <c r="AR425" s="2269"/>
      <c r="AS425" s="2269"/>
      <c r="AT425" s="2269"/>
      <c r="AU425" s="2269"/>
      <c r="AV425" s="2269"/>
      <c r="AW425" s="2269"/>
      <c r="AX425" s="2269"/>
      <c r="AY425" s="2269"/>
      <c r="AZ425" s="2269"/>
      <c r="BA425" s="2269"/>
      <c r="BB425" s="2269"/>
      <c r="BC425" s="2269"/>
      <c r="BD425" s="2269"/>
      <c r="BE425" s="2269"/>
      <c r="BF425" s="2269"/>
      <c r="BG425" s="2269"/>
      <c r="BH425" s="2269"/>
      <c r="BI425" s="2269"/>
      <c r="BJ425" s="2269"/>
      <c r="BK425" s="2269"/>
      <c r="BL425" s="2269"/>
      <c r="BM425" s="2269"/>
      <c r="BN425" s="2269"/>
      <c r="BO425" s="2269"/>
      <c r="BP425" s="2269"/>
      <c r="BQ425" s="2269"/>
      <c r="BR425" s="2269"/>
      <c r="BS425" s="2269"/>
      <c r="BT425" s="2269"/>
      <c r="BU425" s="2269"/>
      <c r="BV425" s="2269"/>
      <c r="BW425" s="2269"/>
      <c r="BX425" s="2269"/>
      <c r="BY425" s="2269"/>
      <c r="BZ425" s="2269"/>
      <c r="CA425" s="2269"/>
    </row>
    <row r="426" spans="1:79">
      <c r="A426" s="2269"/>
      <c r="B426" s="2269"/>
      <c r="C426" s="2269"/>
      <c r="D426" s="2269"/>
      <c r="E426" s="2269"/>
      <c r="F426" s="2269"/>
      <c r="G426" s="2269"/>
      <c r="H426" s="2269"/>
      <c r="I426" s="2269"/>
      <c r="J426" s="2269"/>
      <c r="K426" s="2269"/>
      <c r="L426" s="2269"/>
      <c r="M426" s="2269"/>
      <c r="N426" s="2269"/>
      <c r="O426" s="2269"/>
      <c r="P426" s="2269"/>
      <c r="Q426" s="2269"/>
      <c r="R426" s="2269"/>
      <c r="S426" s="2269"/>
      <c r="T426" s="2269"/>
      <c r="U426" s="2269"/>
      <c r="V426" s="2269"/>
      <c r="W426" s="2269"/>
      <c r="X426" s="2269"/>
      <c r="Y426" s="2269"/>
      <c r="Z426" s="2269"/>
      <c r="AA426" s="2269"/>
      <c r="AB426" s="2269"/>
      <c r="AC426" s="2269"/>
      <c r="AD426" s="2269"/>
      <c r="AE426" s="2269"/>
      <c r="AF426" s="2269"/>
      <c r="AG426" s="2269"/>
      <c r="AH426" s="2269"/>
      <c r="AI426" s="2269"/>
      <c r="AJ426" s="2269"/>
      <c r="AK426" s="2269"/>
      <c r="AL426" s="2269"/>
      <c r="AM426" s="2269"/>
      <c r="AN426" s="2269"/>
      <c r="AO426" s="2269"/>
      <c r="AP426" s="2269"/>
      <c r="AQ426" s="2269"/>
      <c r="AR426" s="2269"/>
      <c r="AS426" s="2269"/>
      <c r="AT426" s="2269"/>
      <c r="AU426" s="2269"/>
      <c r="AV426" s="2269"/>
      <c r="AW426" s="2269"/>
      <c r="AX426" s="2269"/>
      <c r="AY426" s="2269"/>
      <c r="AZ426" s="2269"/>
      <c r="BA426" s="2269"/>
      <c r="BB426" s="2269"/>
      <c r="BC426" s="2269"/>
      <c r="BD426" s="2269"/>
      <c r="BE426" s="2269"/>
      <c r="BF426" s="2269"/>
      <c r="BG426" s="2269"/>
      <c r="BH426" s="2269"/>
      <c r="BI426" s="2269"/>
      <c r="BJ426" s="2269"/>
      <c r="BK426" s="2269"/>
      <c r="BL426" s="2269"/>
      <c r="BM426" s="2269"/>
      <c r="BN426" s="2269"/>
      <c r="BO426" s="2269"/>
      <c r="BP426" s="2269"/>
      <c r="BQ426" s="2269"/>
      <c r="BR426" s="2269"/>
      <c r="BS426" s="2269"/>
      <c r="BT426" s="2269"/>
      <c r="BU426" s="2269"/>
      <c r="BV426" s="2269"/>
      <c r="BW426" s="2269"/>
      <c r="BX426" s="2269"/>
      <c r="BY426" s="2269"/>
      <c r="BZ426" s="2269"/>
      <c r="CA426" s="2269"/>
    </row>
    <row r="427" spans="1:79">
      <c r="A427" s="2269"/>
      <c r="B427" s="2269"/>
      <c r="C427" s="2269"/>
      <c r="D427" s="2269"/>
      <c r="E427" s="2269"/>
      <c r="F427" s="2269"/>
      <c r="G427" s="2269"/>
      <c r="H427" s="2269"/>
      <c r="I427" s="2269"/>
      <c r="J427" s="2269"/>
      <c r="K427" s="2269"/>
      <c r="L427" s="2269"/>
      <c r="M427" s="2269"/>
      <c r="N427" s="2269"/>
      <c r="O427" s="2269"/>
      <c r="P427" s="2269"/>
      <c r="Q427" s="2269"/>
      <c r="R427" s="2269"/>
      <c r="S427" s="2269"/>
      <c r="T427" s="2269"/>
      <c r="U427" s="2269"/>
      <c r="V427" s="2269"/>
      <c r="W427" s="2269"/>
      <c r="X427" s="2269"/>
      <c r="Y427" s="2269"/>
      <c r="Z427" s="2269"/>
      <c r="AA427" s="2269"/>
      <c r="AB427" s="2269"/>
      <c r="AC427" s="2269"/>
      <c r="AD427" s="2269"/>
      <c r="AE427" s="2269"/>
      <c r="AF427" s="2269"/>
      <c r="AG427" s="2269"/>
      <c r="AH427" s="2269"/>
      <c r="AI427" s="2269"/>
      <c r="AJ427" s="2269"/>
      <c r="AK427" s="2269"/>
      <c r="AL427" s="2269"/>
      <c r="AM427" s="2269"/>
      <c r="AN427" s="2269"/>
      <c r="AO427" s="2269"/>
      <c r="AP427" s="2269"/>
      <c r="AQ427" s="2269"/>
      <c r="AR427" s="2269"/>
      <c r="AS427" s="2269"/>
      <c r="AT427" s="2269"/>
      <c r="AU427" s="2269"/>
      <c r="AV427" s="2269"/>
      <c r="AW427" s="2269"/>
      <c r="AX427" s="2269"/>
      <c r="AY427" s="2269"/>
      <c r="AZ427" s="2269"/>
      <c r="BA427" s="2269"/>
      <c r="BB427" s="2269"/>
      <c r="BC427" s="2269"/>
      <c r="BD427" s="2269"/>
      <c r="BE427" s="2269"/>
      <c r="BF427" s="2269"/>
      <c r="BG427" s="2269"/>
      <c r="BH427" s="2269"/>
      <c r="BI427" s="2269"/>
      <c r="BJ427" s="2269"/>
      <c r="BK427" s="2269"/>
      <c r="BL427" s="2269"/>
      <c r="BM427" s="2269"/>
      <c r="BN427" s="2269"/>
      <c r="BO427" s="2269"/>
      <c r="BP427" s="2269"/>
      <c r="BQ427" s="2269"/>
      <c r="BR427" s="2269"/>
      <c r="BS427" s="2269"/>
      <c r="BT427" s="2269"/>
      <c r="BU427" s="2269"/>
      <c r="BV427" s="2269"/>
      <c r="BW427" s="2269"/>
      <c r="BX427" s="2269"/>
      <c r="BY427" s="2269"/>
      <c r="BZ427" s="2269"/>
      <c r="CA427" s="2269"/>
    </row>
    <row r="428" spans="1:79">
      <c r="A428" s="2269"/>
      <c r="B428" s="2269"/>
      <c r="C428" s="2269"/>
      <c r="D428" s="2269"/>
      <c r="E428" s="2269"/>
      <c r="F428" s="2269"/>
      <c r="G428" s="2269"/>
      <c r="H428" s="2269"/>
      <c r="I428" s="2269"/>
      <c r="J428" s="2269"/>
      <c r="K428" s="2269"/>
      <c r="L428" s="2269"/>
      <c r="M428" s="2269"/>
      <c r="N428" s="2269"/>
      <c r="O428" s="2269"/>
      <c r="P428" s="2269"/>
      <c r="Q428" s="2269"/>
      <c r="R428" s="2269"/>
      <c r="S428" s="2269"/>
      <c r="T428" s="2269"/>
      <c r="U428" s="2269"/>
      <c r="V428" s="2269"/>
      <c r="W428" s="2269"/>
      <c r="X428" s="2269"/>
      <c r="Y428" s="2269"/>
      <c r="Z428" s="2269"/>
      <c r="AA428" s="2269"/>
      <c r="AB428" s="2269"/>
      <c r="AC428" s="2269"/>
      <c r="AD428" s="2269"/>
      <c r="AE428" s="2269"/>
      <c r="AF428" s="2269"/>
      <c r="AG428" s="2269"/>
      <c r="AH428" s="2269"/>
      <c r="AI428" s="2269"/>
      <c r="AJ428" s="2269"/>
      <c r="AK428" s="2269"/>
      <c r="AL428" s="2269"/>
      <c r="AM428" s="2269"/>
      <c r="AN428" s="2269"/>
      <c r="AO428" s="2269"/>
      <c r="AP428" s="2269"/>
      <c r="AQ428" s="2269"/>
      <c r="AR428" s="2269"/>
      <c r="AS428" s="2269"/>
      <c r="AT428" s="2269"/>
      <c r="AU428" s="2269"/>
      <c r="AV428" s="2269"/>
      <c r="AW428" s="2269"/>
      <c r="AX428" s="2269"/>
      <c r="AY428" s="2269"/>
      <c r="AZ428" s="2269"/>
      <c r="BA428" s="2269"/>
      <c r="BB428" s="2269"/>
      <c r="BC428" s="2269"/>
      <c r="BD428" s="2269"/>
      <c r="BE428" s="2269"/>
      <c r="BF428" s="2269"/>
      <c r="BG428" s="2269"/>
      <c r="BH428" s="2269"/>
      <c r="BI428" s="2269"/>
      <c r="BJ428" s="2269"/>
      <c r="BK428" s="2269"/>
      <c r="BL428" s="2269"/>
      <c r="BM428" s="2269"/>
      <c r="BN428" s="2269"/>
      <c r="BO428" s="2269"/>
      <c r="BP428" s="2269"/>
      <c r="BQ428" s="2269"/>
      <c r="BR428" s="2269"/>
      <c r="BS428" s="2269"/>
      <c r="BT428" s="2269"/>
      <c r="BU428" s="2269"/>
      <c r="BV428" s="2269"/>
      <c r="BW428" s="2269"/>
      <c r="BX428" s="2269"/>
      <c r="BY428" s="2269"/>
      <c r="BZ428" s="2269"/>
      <c r="CA428" s="2269"/>
    </row>
    <row r="429" spans="1:79">
      <c r="A429" s="2269"/>
      <c r="B429" s="2269"/>
      <c r="C429" s="2269"/>
      <c r="D429" s="2269"/>
      <c r="E429" s="2269"/>
      <c r="F429" s="2269"/>
      <c r="G429" s="2269"/>
      <c r="H429" s="2269"/>
      <c r="I429" s="2269"/>
      <c r="J429" s="2269"/>
      <c r="K429" s="2269"/>
      <c r="L429" s="2269"/>
      <c r="M429" s="2269"/>
      <c r="N429" s="2269"/>
      <c r="O429" s="2269"/>
      <c r="P429" s="2269"/>
      <c r="Q429" s="2269"/>
      <c r="R429" s="2269"/>
      <c r="S429" s="2269"/>
      <c r="T429" s="2269"/>
      <c r="U429" s="2269"/>
      <c r="V429" s="2269"/>
      <c r="W429" s="2269"/>
      <c r="X429" s="2269"/>
      <c r="Y429" s="2269"/>
      <c r="Z429" s="2269"/>
      <c r="AA429" s="2269"/>
      <c r="AB429" s="2269"/>
      <c r="AC429" s="2269"/>
      <c r="AD429" s="2269"/>
      <c r="AE429" s="2269"/>
      <c r="AF429" s="2269"/>
      <c r="AG429" s="2269"/>
      <c r="AH429" s="2269"/>
      <c r="AI429" s="2269"/>
      <c r="AJ429" s="2269"/>
      <c r="AK429" s="2269"/>
      <c r="AL429" s="2269"/>
      <c r="AM429" s="2269"/>
      <c r="AN429" s="2269"/>
      <c r="AO429" s="2269"/>
      <c r="AP429" s="2269"/>
      <c r="AQ429" s="2269"/>
      <c r="AR429" s="2269"/>
      <c r="AS429" s="2269"/>
      <c r="AT429" s="2269"/>
      <c r="AU429" s="2269"/>
      <c r="AV429" s="2269"/>
      <c r="AW429" s="2269"/>
      <c r="AX429" s="2269"/>
      <c r="AY429" s="2269"/>
      <c r="AZ429" s="2269"/>
      <c r="BA429" s="2269"/>
      <c r="BB429" s="2269"/>
      <c r="BC429" s="2269"/>
      <c r="BD429" s="2269"/>
      <c r="BE429" s="2269"/>
      <c r="BF429" s="2269"/>
      <c r="BG429" s="2269"/>
      <c r="BH429" s="2269"/>
      <c r="BI429" s="2269"/>
      <c r="BJ429" s="2269"/>
      <c r="BK429" s="2269"/>
      <c r="BL429" s="2269"/>
      <c r="BM429" s="2269"/>
      <c r="BN429" s="2269"/>
      <c r="BO429" s="2269"/>
      <c r="BP429" s="2269"/>
      <c r="BQ429" s="2269"/>
      <c r="BR429" s="2269"/>
      <c r="BS429" s="2269"/>
      <c r="BT429" s="2269"/>
      <c r="BU429" s="2269"/>
      <c r="BV429" s="2269"/>
      <c r="BW429" s="2269"/>
      <c r="BX429" s="2269"/>
      <c r="BY429" s="2269"/>
      <c r="BZ429" s="2269"/>
      <c r="CA429" s="2269"/>
    </row>
    <row r="430" spans="1:79">
      <c r="A430" s="2269"/>
      <c r="B430" s="2269"/>
      <c r="C430" s="2269"/>
      <c r="D430" s="2269"/>
      <c r="E430" s="2269"/>
      <c r="F430" s="2269"/>
      <c r="G430" s="2269"/>
      <c r="H430" s="2269"/>
      <c r="I430" s="2269"/>
      <c r="J430" s="2269"/>
      <c r="K430" s="2269"/>
      <c r="L430" s="2269"/>
      <c r="M430" s="2269"/>
      <c r="N430" s="2269"/>
      <c r="O430" s="2269"/>
      <c r="P430" s="2269"/>
      <c r="Q430" s="2269"/>
      <c r="R430" s="2269"/>
      <c r="S430" s="2269"/>
      <c r="T430" s="2269"/>
      <c r="U430" s="2269"/>
      <c r="V430" s="2269"/>
      <c r="W430" s="2269"/>
      <c r="X430" s="2269"/>
      <c r="Y430" s="2269"/>
      <c r="Z430" s="2269"/>
      <c r="AA430" s="2269"/>
      <c r="AB430" s="2269"/>
      <c r="AC430" s="2269"/>
      <c r="AD430" s="2269"/>
      <c r="AE430" s="2269"/>
      <c r="AF430" s="2269"/>
      <c r="AG430" s="2269"/>
      <c r="AH430" s="2269"/>
      <c r="AI430" s="2269"/>
      <c r="AJ430" s="2269"/>
      <c r="AK430" s="2269"/>
      <c r="AL430" s="2269"/>
      <c r="AM430" s="2269"/>
      <c r="AN430" s="2269"/>
      <c r="AO430" s="2269"/>
      <c r="AP430" s="2269"/>
      <c r="AQ430" s="2269"/>
      <c r="AR430" s="2269"/>
      <c r="AS430" s="2269"/>
      <c r="AT430" s="2269"/>
      <c r="AU430" s="2269"/>
      <c r="AV430" s="2269"/>
      <c r="AW430" s="2269"/>
      <c r="AX430" s="2269"/>
      <c r="AY430" s="2269"/>
      <c r="AZ430" s="2269"/>
      <c r="BA430" s="2269"/>
      <c r="BB430" s="2269"/>
      <c r="BC430" s="2269"/>
      <c r="BD430" s="2269"/>
      <c r="BE430" s="2269"/>
      <c r="BF430" s="2269"/>
      <c r="BG430" s="2269"/>
      <c r="BH430" s="2269"/>
      <c r="BI430" s="2269"/>
      <c r="BJ430" s="2269"/>
      <c r="BK430" s="2269"/>
      <c r="BL430" s="2269"/>
      <c r="BM430" s="2269"/>
      <c r="BN430" s="2269"/>
      <c r="BO430" s="2269"/>
      <c r="BP430" s="2269"/>
      <c r="BQ430" s="2269"/>
      <c r="BR430" s="2269"/>
      <c r="BS430" s="2269"/>
      <c r="BT430" s="2269"/>
      <c r="BU430" s="2269"/>
      <c r="BV430" s="2269"/>
      <c r="BW430" s="2269"/>
      <c r="BX430" s="2269"/>
      <c r="BY430" s="2269"/>
      <c r="BZ430" s="2269"/>
      <c r="CA430" s="2269"/>
    </row>
    <row r="431" spans="1:79">
      <c r="A431" s="2269"/>
      <c r="B431" s="2269"/>
      <c r="C431" s="2269"/>
      <c r="D431" s="2269"/>
      <c r="E431" s="2269"/>
      <c r="F431" s="2269"/>
      <c r="G431" s="2269"/>
      <c r="H431" s="2269"/>
      <c r="I431" s="2269"/>
      <c r="J431" s="2269"/>
      <c r="K431" s="2269"/>
      <c r="L431" s="2269"/>
      <c r="M431" s="2269"/>
      <c r="N431" s="2269"/>
      <c r="O431" s="2269"/>
      <c r="P431" s="2269"/>
      <c r="Q431" s="2269"/>
      <c r="R431" s="2269"/>
      <c r="S431" s="2269"/>
      <c r="T431" s="2269"/>
      <c r="U431" s="2269"/>
      <c r="V431" s="2269"/>
      <c r="W431" s="2269"/>
      <c r="X431" s="2269"/>
      <c r="Y431" s="2269"/>
      <c r="Z431" s="2269"/>
      <c r="AA431" s="2269"/>
      <c r="AB431" s="2269"/>
      <c r="AC431" s="2269"/>
      <c r="AD431" s="2269"/>
      <c r="AE431" s="2269"/>
      <c r="AF431" s="2269"/>
      <c r="AG431" s="2269"/>
      <c r="AH431" s="2269"/>
      <c r="AI431" s="2269"/>
      <c r="AJ431" s="2269"/>
      <c r="AK431" s="2269"/>
      <c r="AL431" s="2269"/>
      <c r="AM431" s="2269"/>
      <c r="AN431" s="2269"/>
      <c r="AO431" s="2269"/>
      <c r="AP431" s="2269"/>
      <c r="AQ431" s="2269"/>
      <c r="AR431" s="2269"/>
      <c r="AS431" s="2269"/>
      <c r="AT431" s="2269"/>
      <c r="AU431" s="2269"/>
      <c r="AV431" s="2269"/>
      <c r="AW431" s="2269"/>
      <c r="AX431" s="2269"/>
      <c r="AY431" s="2269"/>
      <c r="AZ431" s="2269"/>
      <c r="BA431" s="2269"/>
      <c r="BB431" s="2269"/>
      <c r="BC431" s="2269"/>
      <c r="BD431" s="2269"/>
      <c r="BE431" s="2269"/>
      <c r="BF431" s="2269"/>
      <c r="BG431" s="2269"/>
      <c r="BH431" s="2269"/>
      <c r="BI431" s="2269"/>
      <c r="BJ431" s="2269"/>
      <c r="BK431" s="2269"/>
      <c r="BL431" s="2269"/>
      <c r="BM431" s="2269"/>
      <c r="BN431" s="2269"/>
      <c r="BO431" s="2269"/>
      <c r="BP431" s="2269"/>
      <c r="BQ431" s="2269"/>
      <c r="BR431" s="2269"/>
      <c r="BS431" s="2269"/>
      <c r="BT431" s="2269"/>
      <c r="BU431" s="2269"/>
      <c r="BV431" s="2269"/>
      <c r="BW431" s="2269"/>
      <c r="BX431" s="2269"/>
      <c r="BY431" s="2269"/>
      <c r="BZ431" s="2269"/>
      <c r="CA431" s="2269"/>
    </row>
    <row r="432" spans="1:79">
      <c r="A432" s="2269"/>
      <c r="B432" s="2269"/>
      <c r="C432" s="2269"/>
      <c r="D432" s="2269"/>
      <c r="E432" s="2269"/>
      <c r="F432" s="2269"/>
      <c r="G432" s="2269"/>
      <c r="H432" s="2269"/>
      <c r="I432" s="2269"/>
      <c r="J432" s="2269"/>
      <c r="K432" s="2269"/>
      <c r="L432" s="2269"/>
      <c r="M432" s="2269"/>
      <c r="N432" s="2269"/>
      <c r="O432" s="2269"/>
      <c r="P432" s="2269"/>
      <c r="Q432" s="2269"/>
      <c r="R432" s="2269"/>
      <c r="S432" s="2269"/>
      <c r="T432" s="2269"/>
      <c r="U432" s="2269"/>
      <c r="V432" s="2269"/>
      <c r="W432" s="2269"/>
      <c r="X432" s="2269"/>
      <c r="Y432" s="2269"/>
      <c r="Z432" s="2269"/>
      <c r="AA432" s="2269"/>
      <c r="AB432" s="2269"/>
      <c r="AC432" s="2269"/>
      <c r="AD432" s="2269"/>
      <c r="AE432" s="2269"/>
      <c r="AF432" s="2269"/>
      <c r="AG432" s="2269"/>
      <c r="AH432" s="2269"/>
      <c r="AI432" s="2269"/>
      <c r="AJ432" s="2269"/>
      <c r="AK432" s="2269"/>
      <c r="AL432" s="2269"/>
      <c r="AM432" s="2269"/>
      <c r="AN432" s="2269"/>
      <c r="AO432" s="2269"/>
      <c r="AP432" s="2269"/>
      <c r="AQ432" s="2269"/>
      <c r="AR432" s="2269"/>
      <c r="AS432" s="2269"/>
      <c r="AT432" s="2269"/>
      <c r="AU432" s="2269"/>
      <c r="AV432" s="2269"/>
      <c r="AW432" s="2269"/>
      <c r="AX432" s="2269"/>
      <c r="AY432" s="2269"/>
      <c r="AZ432" s="2269"/>
      <c r="BA432" s="2269"/>
      <c r="BB432" s="2269"/>
      <c r="BC432" s="2269"/>
      <c r="BD432" s="2269"/>
      <c r="BE432" s="2269"/>
      <c r="BF432" s="2269"/>
      <c r="BG432" s="2269"/>
      <c r="BH432" s="2269"/>
      <c r="BI432" s="2269"/>
      <c r="BJ432" s="2269"/>
      <c r="BK432" s="2269"/>
      <c r="BL432" s="2269"/>
      <c r="BM432" s="2269"/>
      <c r="BN432" s="2269"/>
      <c r="BO432" s="2269"/>
      <c r="BP432" s="2269"/>
      <c r="BQ432" s="2269"/>
      <c r="BR432" s="2269"/>
      <c r="BS432" s="2269"/>
      <c r="BT432" s="2269"/>
      <c r="BU432" s="2269"/>
      <c r="BV432" s="2269"/>
      <c r="BW432" s="2269"/>
      <c r="BX432" s="2269"/>
      <c r="BY432" s="2269"/>
      <c r="BZ432" s="2269"/>
      <c r="CA432" s="2269"/>
    </row>
    <row r="433" spans="1:79">
      <c r="A433" s="2269"/>
      <c r="B433" s="2269"/>
      <c r="C433" s="2269"/>
      <c r="D433" s="2269"/>
      <c r="E433" s="2269"/>
      <c r="F433" s="2269"/>
      <c r="G433" s="2269"/>
      <c r="H433" s="2269"/>
      <c r="I433" s="2269"/>
      <c r="J433" s="2269"/>
      <c r="K433" s="2269"/>
      <c r="L433" s="2269"/>
      <c r="M433" s="2269"/>
      <c r="N433" s="2269"/>
      <c r="O433" s="2269"/>
      <c r="P433" s="2269"/>
      <c r="Q433" s="2269"/>
      <c r="R433" s="2269"/>
      <c r="S433" s="2269"/>
      <c r="T433" s="2269"/>
      <c r="U433" s="2269"/>
      <c r="V433" s="2269"/>
      <c r="W433" s="2269"/>
      <c r="X433" s="2269"/>
      <c r="Y433" s="2269"/>
      <c r="Z433" s="2269"/>
      <c r="AA433" s="2269"/>
      <c r="AB433" s="2269"/>
      <c r="AC433" s="2269"/>
      <c r="AD433" s="2269"/>
      <c r="AE433" s="2269"/>
      <c r="AF433" s="2269"/>
      <c r="AG433" s="2269"/>
      <c r="AH433" s="2269"/>
      <c r="AI433" s="2269"/>
      <c r="AJ433" s="2269"/>
      <c r="AK433" s="2269"/>
      <c r="AL433" s="2269"/>
      <c r="AM433" s="2269"/>
      <c r="AN433" s="2269"/>
      <c r="AO433" s="2269"/>
      <c r="AP433" s="2269"/>
      <c r="AQ433" s="2269"/>
      <c r="AR433" s="2269"/>
      <c r="AS433" s="2269"/>
      <c r="AT433" s="2269"/>
      <c r="AU433" s="2269"/>
      <c r="AV433" s="2269"/>
      <c r="AW433" s="2269"/>
      <c r="AX433" s="2269"/>
      <c r="AY433" s="2269"/>
      <c r="AZ433" s="2269"/>
      <c r="BA433" s="2269"/>
      <c r="BB433" s="2269"/>
      <c r="BC433" s="2269"/>
      <c r="BD433" s="2269"/>
      <c r="BE433" s="2269"/>
      <c r="BF433" s="2269"/>
      <c r="BG433" s="2269"/>
      <c r="BH433" s="2269"/>
      <c r="BI433" s="2269"/>
      <c r="BJ433" s="2269"/>
      <c r="BK433" s="2269"/>
      <c r="BL433" s="2269"/>
      <c r="BM433" s="2269"/>
      <c r="BN433" s="2269"/>
      <c r="BO433" s="2269"/>
      <c r="BP433" s="2269"/>
      <c r="BQ433" s="2269"/>
      <c r="BR433" s="2269"/>
      <c r="BS433" s="2269"/>
      <c r="BT433" s="2269"/>
      <c r="BU433" s="2269"/>
      <c r="BV433" s="2269"/>
      <c r="BW433" s="2269"/>
      <c r="BX433" s="2269"/>
      <c r="BY433" s="2269"/>
      <c r="BZ433" s="2269"/>
      <c r="CA433" s="2269"/>
    </row>
    <row r="434" spans="1:79">
      <c r="A434" s="2269"/>
      <c r="B434" s="2269"/>
      <c r="C434" s="2269"/>
      <c r="D434" s="2269"/>
      <c r="E434" s="2269"/>
      <c r="F434" s="2269"/>
      <c r="G434" s="2269"/>
      <c r="H434" s="2269"/>
      <c r="I434" s="2269"/>
      <c r="J434" s="2269"/>
      <c r="K434" s="2269"/>
      <c r="L434" s="2269"/>
      <c r="M434" s="2269"/>
      <c r="N434" s="2269"/>
      <c r="O434" s="2269"/>
      <c r="P434" s="2269"/>
      <c r="Q434" s="2269"/>
      <c r="R434" s="2269"/>
      <c r="S434" s="2269"/>
      <c r="T434" s="2269"/>
      <c r="U434" s="2269"/>
      <c r="V434" s="2269"/>
      <c r="W434" s="2269"/>
      <c r="X434" s="2269"/>
      <c r="Y434" s="2269"/>
      <c r="Z434" s="2269"/>
      <c r="AA434" s="2269"/>
      <c r="AB434" s="2269"/>
      <c r="AC434" s="2269"/>
      <c r="AD434" s="2269"/>
      <c r="AE434" s="2269"/>
      <c r="AF434" s="2269"/>
      <c r="AG434" s="2269"/>
      <c r="AH434" s="2269"/>
      <c r="AI434" s="2269"/>
      <c r="AJ434" s="2269"/>
      <c r="AK434" s="2269"/>
      <c r="AL434" s="2269"/>
      <c r="AM434" s="2269"/>
      <c r="AN434" s="2269"/>
      <c r="AO434" s="2269"/>
      <c r="AP434" s="2269"/>
      <c r="AQ434" s="2269"/>
      <c r="AR434" s="2269"/>
      <c r="AS434" s="2269"/>
      <c r="AT434" s="2269"/>
      <c r="AU434" s="2269"/>
      <c r="AV434" s="2269"/>
      <c r="AW434" s="2269"/>
      <c r="AX434" s="2269"/>
      <c r="AY434" s="2269"/>
      <c r="AZ434" s="2269"/>
      <c r="BA434" s="2269"/>
      <c r="BB434" s="2269"/>
      <c r="BC434" s="2269"/>
      <c r="BD434" s="2269"/>
      <c r="BE434" s="2269"/>
      <c r="BF434" s="2269"/>
      <c r="BG434" s="2269"/>
      <c r="BH434" s="2269"/>
      <c r="BI434" s="2269"/>
      <c r="BJ434" s="2269"/>
      <c r="BK434" s="2269"/>
      <c r="BL434" s="2269"/>
      <c r="BM434" s="2269"/>
      <c r="BN434" s="2269"/>
      <c r="BO434" s="2269"/>
      <c r="BP434" s="2269"/>
      <c r="BQ434" s="2269"/>
      <c r="BR434" s="2269"/>
      <c r="BS434" s="2269"/>
      <c r="BT434" s="2269"/>
      <c r="BU434" s="2269"/>
      <c r="BV434" s="2269"/>
      <c r="BW434" s="2269"/>
      <c r="BX434" s="2269"/>
      <c r="BY434" s="2269"/>
      <c r="BZ434" s="2269"/>
      <c r="CA434" s="2269"/>
    </row>
    <row r="435" spans="1:79">
      <c r="A435" s="2269"/>
      <c r="B435" s="2269"/>
      <c r="C435" s="2269"/>
      <c r="D435" s="2269"/>
      <c r="E435" s="2269"/>
      <c r="F435" s="2269"/>
      <c r="G435" s="2269"/>
      <c r="H435" s="2269"/>
      <c r="I435" s="2269"/>
      <c r="J435" s="2269"/>
      <c r="K435" s="2269"/>
      <c r="L435" s="2269"/>
      <c r="M435" s="2269"/>
      <c r="N435" s="2269"/>
      <c r="O435" s="2269"/>
      <c r="P435" s="2269"/>
      <c r="Q435" s="2269"/>
      <c r="R435" s="2269"/>
      <c r="S435" s="2269"/>
      <c r="T435" s="2269"/>
      <c r="U435" s="2269"/>
      <c r="V435" s="2269"/>
      <c r="W435" s="2269"/>
      <c r="X435" s="2269"/>
      <c r="Y435" s="2269"/>
      <c r="Z435" s="2269"/>
      <c r="AA435" s="2269"/>
      <c r="AB435" s="2269"/>
      <c r="AC435" s="2269"/>
      <c r="AD435" s="2269"/>
      <c r="AE435" s="2269"/>
      <c r="AF435" s="2269"/>
      <c r="AG435" s="2269"/>
      <c r="AH435" s="2269"/>
      <c r="AI435" s="2269"/>
      <c r="AJ435" s="2269"/>
      <c r="AK435" s="2269"/>
      <c r="AL435" s="2269"/>
      <c r="AM435" s="2269"/>
      <c r="AN435" s="2269"/>
      <c r="AO435" s="2269"/>
      <c r="AP435" s="2269"/>
      <c r="AQ435" s="2269"/>
      <c r="AR435" s="2269"/>
      <c r="AS435" s="2269"/>
      <c r="AT435" s="2269"/>
      <c r="AU435" s="2269"/>
      <c r="AV435" s="2269"/>
      <c r="AW435" s="2269"/>
      <c r="AX435" s="2269"/>
      <c r="AY435" s="2269"/>
      <c r="AZ435" s="2269"/>
      <c r="BA435" s="2269"/>
      <c r="BB435" s="2269"/>
      <c r="BC435" s="2269"/>
      <c r="BD435" s="2269"/>
      <c r="BE435" s="2269"/>
      <c r="BF435" s="2269"/>
      <c r="BG435" s="2269"/>
      <c r="BH435" s="2269"/>
      <c r="BI435" s="2269"/>
      <c r="BJ435" s="2269"/>
      <c r="BK435" s="2269"/>
      <c r="BL435" s="2269"/>
      <c r="BM435" s="2269"/>
      <c r="BN435" s="2269"/>
      <c r="BO435" s="2269"/>
      <c r="BP435" s="2269"/>
      <c r="BQ435" s="2269"/>
      <c r="BR435" s="2269"/>
      <c r="BS435" s="2269"/>
      <c r="BT435" s="2269"/>
      <c r="BU435" s="2269"/>
      <c r="BV435" s="2269"/>
      <c r="BW435" s="2269"/>
      <c r="BX435" s="2269"/>
      <c r="BY435" s="2269"/>
      <c r="BZ435" s="2269"/>
      <c r="CA435" s="2269"/>
    </row>
    <row r="436" spans="1:79">
      <c r="A436" s="2269"/>
      <c r="B436" s="2269"/>
      <c r="C436" s="2269"/>
      <c r="D436" s="2269"/>
      <c r="E436" s="2269"/>
      <c r="F436" s="2269"/>
      <c r="G436" s="2269"/>
      <c r="H436" s="2269"/>
      <c r="I436" s="2269"/>
      <c r="J436" s="2269"/>
      <c r="K436" s="2269"/>
      <c r="L436" s="2269"/>
      <c r="M436" s="2269"/>
      <c r="N436" s="2269"/>
      <c r="O436" s="2269"/>
      <c r="P436" s="2269"/>
      <c r="Q436" s="2269"/>
      <c r="R436" s="2269"/>
      <c r="S436" s="2269"/>
      <c r="T436" s="2269"/>
      <c r="U436" s="2269"/>
      <c r="V436" s="2269"/>
      <c r="W436" s="2269"/>
      <c r="X436" s="2269"/>
      <c r="Y436" s="2269"/>
      <c r="Z436" s="2269"/>
      <c r="AA436" s="2269"/>
      <c r="AB436" s="2269"/>
      <c r="AC436" s="2269"/>
      <c r="AD436" s="2269"/>
      <c r="AE436" s="2269"/>
      <c r="AF436" s="2269"/>
      <c r="AG436" s="2269"/>
      <c r="AH436" s="2269"/>
      <c r="AI436" s="2269"/>
      <c r="AJ436" s="2269"/>
      <c r="AK436" s="2269"/>
      <c r="AL436" s="2269"/>
      <c r="AM436" s="2269"/>
      <c r="AN436" s="2269"/>
      <c r="AO436" s="2269"/>
      <c r="AP436" s="2269"/>
      <c r="AQ436" s="2269"/>
      <c r="AR436" s="2269"/>
      <c r="AS436" s="2269"/>
      <c r="AT436" s="2269"/>
      <c r="AU436" s="2269"/>
      <c r="AV436" s="2269"/>
      <c r="AW436" s="2269"/>
      <c r="AX436" s="2269"/>
      <c r="AY436" s="2269"/>
      <c r="AZ436" s="2269"/>
      <c r="BA436" s="2269"/>
      <c r="BB436" s="2269"/>
      <c r="BC436" s="2269"/>
      <c r="BD436" s="2269"/>
      <c r="BE436" s="2269"/>
      <c r="BF436" s="2269"/>
      <c r="BG436" s="2269"/>
      <c r="BH436" s="2269"/>
      <c r="BI436" s="2269"/>
      <c r="BJ436" s="2269"/>
      <c r="BK436" s="2269"/>
      <c r="BL436" s="2269"/>
      <c r="BM436" s="2269"/>
      <c r="BN436" s="2269"/>
      <c r="BO436" s="2269"/>
      <c r="BP436" s="2269"/>
      <c r="BQ436" s="2269"/>
      <c r="BR436" s="2269"/>
      <c r="BS436" s="2269"/>
      <c r="BT436" s="2269"/>
      <c r="BU436" s="2269"/>
      <c r="BV436" s="2269"/>
      <c r="BW436" s="2269"/>
      <c r="BX436" s="2269"/>
      <c r="BY436" s="2269"/>
      <c r="BZ436" s="2269"/>
      <c r="CA436" s="2269"/>
    </row>
    <row r="437" spans="1:79">
      <c r="A437" s="2269"/>
      <c r="B437" s="2269"/>
      <c r="C437" s="2269"/>
      <c r="D437" s="2269"/>
      <c r="E437" s="2269"/>
      <c r="F437" s="2269"/>
      <c r="G437" s="2269"/>
      <c r="H437" s="2269"/>
      <c r="I437" s="2269"/>
      <c r="J437" s="2269"/>
      <c r="K437" s="2269"/>
      <c r="L437" s="2269"/>
      <c r="M437" s="2269"/>
      <c r="N437" s="2269"/>
      <c r="O437" s="2269"/>
      <c r="P437" s="2269"/>
      <c r="Q437" s="2269"/>
      <c r="R437" s="2269"/>
      <c r="S437" s="2269"/>
      <c r="T437" s="2269"/>
      <c r="U437" s="2269"/>
      <c r="V437" s="2269"/>
      <c r="W437" s="2269"/>
      <c r="X437" s="2269"/>
      <c r="Y437" s="2269"/>
      <c r="Z437" s="2269"/>
      <c r="AA437" s="2269"/>
      <c r="AB437" s="2269"/>
      <c r="AC437" s="2269"/>
      <c r="AD437" s="2269"/>
      <c r="AE437" s="2269"/>
      <c r="AF437" s="2269"/>
      <c r="AG437" s="2269"/>
      <c r="AH437" s="2269"/>
      <c r="AI437" s="2269"/>
      <c r="AJ437" s="2269"/>
      <c r="AK437" s="2269"/>
      <c r="AL437" s="2269"/>
      <c r="AM437" s="2269"/>
      <c r="AN437" s="2269"/>
      <c r="AO437" s="2269"/>
      <c r="AP437" s="2269"/>
      <c r="AQ437" s="2269"/>
      <c r="AR437" s="2269"/>
      <c r="AS437" s="2269"/>
      <c r="AT437" s="2269"/>
      <c r="AU437" s="2269"/>
      <c r="AV437" s="2269"/>
      <c r="AW437" s="2269"/>
      <c r="AX437" s="2269"/>
      <c r="AY437" s="2269"/>
      <c r="AZ437" s="2269"/>
      <c r="BA437" s="2269"/>
      <c r="BB437" s="2269"/>
      <c r="BC437" s="2269"/>
      <c r="BD437" s="2269"/>
      <c r="BE437" s="2269"/>
      <c r="BF437" s="2269"/>
      <c r="BG437" s="2269"/>
      <c r="BH437" s="2269"/>
      <c r="BI437" s="2269"/>
      <c r="BJ437" s="2269"/>
      <c r="BK437" s="2269"/>
      <c r="BL437" s="2269"/>
      <c r="BM437" s="2269"/>
      <c r="BN437" s="2269"/>
      <c r="BO437" s="2269"/>
      <c r="BP437" s="2269"/>
      <c r="BQ437" s="2269"/>
      <c r="BR437" s="2269"/>
      <c r="BS437" s="2269"/>
      <c r="BT437" s="2269"/>
      <c r="BU437" s="2269"/>
      <c r="BV437" s="2269"/>
      <c r="BW437" s="2269"/>
      <c r="BX437" s="2269"/>
      <c r="BY437" s="2269"/>
      <c r="BZ437" s="2269"/>
      <c r="CA437" s="2269"/>
    </row>
    <row r="438" spans="1:79">
      <c r="A438" s="2269"/>
      <c r="B438" s="2269"/>
      <c r="C438" s="2269"/>
      <c r="D438" s="2269"/>
      <c r="E438" s="2269"/>
      <c r="F438" s="2269"/>
      <c r="G438" s="2269"/>
      <c r="H438" s="2269"/>
      <c r="I438" s="2269"/>
      <c r="J438" s="2269"/>
      <c r="K438" s="2269"/>
      <c r="L438" s="2269"/>
      <c r="M438" s="2269"/>
      <c r="N438" s="2269"/>
      <c r="O438" s="2269"/>
      <c r="P438" s="2269"/>
      <c r="Q438" s="2269"/>
      <c r="R438" s="2269"/>
      <c r="S438" s="2269"/>
      <c r="T438" s="2269"/>
      <c r="U438" s="2269"/>
      <c r="V438" s="2269"/>
      <c r="W438" s="2269"/>
      <c r="X438" s="2269"/>
      <c r="Y438" s="2269"/>
      <c r="Z438" s="2269"/>
      <c r="AA438" s="2269"/>
      <c r="AB438" s="2269"/>
      <c r="AC438" s="2269"/>
      <c r="AD438" s="2269"/>
      <c r="AE438" s="2269"/>
      <c r="AF438" s="2269"/>
      <c r="AG438" s="2269"/>
      <c r="AH438" s="2269"/>
      <c r="AI438" s="2269"/>
      <c r="AJ438" s="2269"/>
      <c r="AK438" s="2269"/>
      <c r="AL438" s="2269"/>
      <c r="AM438" s="2269"/>
      <c r="AN438" s="2269"/>
      <c r="AO438" s="2269"/>
      <c r="AP438" s="2269"/>
      <c r="AQ438" s="2269"/>
      <c r="AR438" s="2269"/>
      <c r="AS438" s="2269"/>
      <c r="AT438" s="2269"/>
      <c r="AU438" s="2269"/>
      <c r="AV438" s="2269"/>
      <c r="AW438" s="2269"/>
      <c r="AX438" s="2269"/>
      <c r="AY438" s="2269"/>
      <c r="AZ438" s="2269"/>
      <c r="BA438" s="2269"/>
      <c r="BB438" s="2269"/>
      <c r="BC438" s="2269"/>
      <c r="BD438" s="2269"/>
      <c r="BE438" s="2269"/>
      <c r="BF438" s="2269"/>
      <c r="BG438" s="2269"/>
      <c r="BH438" s="2269"/>
      <c r="BI438" s="2269"/>
      <c r="BJ438" s="2269"/>
      <c r="BK438" s="2269"/>
      <c r="BL438" s="2269"/>
      <c r="BM438" s="2269"/>
      <c r="BN438" s="2269"/>
      <c r="BO438" s="2269"/>
      <c r="BP438" s="2269"/>
      <c r="BQ438" s="2269"/>
      <c r="BR438" s="2269"/>
      <c r="BS438" s="2269"/>
      <c r="BT438" s="2269"/>
      <c r="BU438" s="2269"/>
      <c r="BV438" s="2269"/>
      <c r="BW438" s="2269"/>
      <c r="BX438" s="2269"/>
      <c r="BY438" s="2269"/>
      <c r="BZ438" s="2269"/>
      <c r="CA438" s="2269"/>
    </row>
    <row r="439" spans="1:79">
      <c r="A439" s="2269"/>
      <c r="B439" s="2269"/>
      <c r="C439" s="2269"/>
      <c r="D439" s="2269"/>
      <c r="E439" s="2269"/>
      <c r="F439" s="2269"/>
      <c r="G439" s="2269"/>
      <c r="H439" s="2269"/>
      <c r="I439" s="2269"/>
      <c r="J439" s="2269"/>
      <c r="K439" s="2269"/>
      <c r="L439" s="2269"/>
      <c r="M439" s="2269"/>
      <c r="N439" s="2269"/>
      <c r="O439" s="2269"/>
      <c r="P439" s="2269"/>
      <c r="Q439" s="2269"/>
      <c r="R439" s="2269"/>
      <c r="S439" s="2269"/>
      <c r="T439" s="2269"/>
      <c r="U439" s="2269"/>
      <c r="V439" s="2269"/>
      <c r="W439" s="2269"/>
      <c r="X439" s="2269"/>
      <c r="Y439" s="2269"/>
      <c r="Z439" s="2269"/>
      <c r="AA439" s="2269"/>
      <c r="AB439" s="2269"/>
      <c r="AC439" s="2269"/>
      <c r="AD439" s="2269"/>
      <c r="AE439" s="2269"/>
      <c r="AF439" s="2269"/>
      <c r="AG439" s="2269"/>
      <c r="AH439" s="2269"/>
      <c r="AI439" s="2269"/>
      <c r="AJ439" s="2269"/>
      <c r="AK439" s="2269"/>
      <c r="AL439" s="2269"/>
      <c r="AM439" s="2269"/>
      <c r="AN439" s="2269"/>
      <c r="AO439" s="2269"/>
      <c r="AP439" s="2269"/>
      <c r="AQ439" s="2269"/>
      <c r="AR439" s="2269"/>
      <c r="AS439" s="2269"/>
      <c r="AT439" s="2269"/>
      <c r="AU439" s="2269"/>
      <c r="AV439" s="2269"/>
      <c r="AW439" s="2269"/>
      <c r="AX439" s="2269"/>
      <c r="AY439" s="2269"/>
      <c r="AZ439" s="2269"/>
      <c r="BA439" s="2269"/>
      <c r="BB439" s="2269"/>
      <c r="BC439" s="2269"/>
      <c r="BD439" s="2269"/>
      <c r="BE439" s="2269"/>
      <c r="BF439" s="2269"/>
      <c r="BG439" s="2269"/>
      <c r="BH439" s="2269"/>
      <c r="BI439" s="2269"/>
      <c r="BJ439" s="2269"/>
      <c r="BK439" s="2269"/>
      <c r="BL439" s="2269"/>
      <c r="BM439" s="2269"/>
      <c r="BN439" s="2269"/>
      <c r="BO439" s="2269"/>
      <c r="BP439" s="2269"/>
      <c r="BQ439" s="2269"/>
      <c r="BR439" s="2269"/>
      <c r="BS439" s="2269"/>
      <c r="BT439" s="2269"/>
      <c r="BU439" s="2269"/>
      <c r="BV439" s="2269"/>
      <c r="BW439" s="2269"/>
      <c r="BX439" s="2269"/>
      <c r="BY439" s="2269"/>
      <c r="BZ439" s="2269"/>
      <c r="CA439" s="2269"/>
    </row>
    <row r="440" spans="1:79">
      <c r="A440" s="2269"/>
      <c r="B440" s="2269"/>
      <c r="C440" s="2269"/>
      <c r="D440" s="2269"/>
      <c r="E440" s="2269"/>
      <c r="F440" s="2269"/>
      <c r="G440" s="2269"/>
      <c r="H440" s="2269"/>
      <c r="I440" s="2269"/>
      <c r="J440" s="2269"/>
      <c r="K440" s="2269"/>
      <c r="L440" s="2269"/>
      <c r="M440" s="2269"/>
      <c r="N440" s="2269"/>
      <c r="O440" s="2269"/>
      <c r="P440" s="2269"/>
      <c r="Q440" s="2269"/>
      <c r="R440" s="2269"/>
      <c r="S440" s="2269"/>
      <c r="T440" s="2269"/>
      <c r="U440" s="2269"/>
      <c r="V440" s="2269"/>
      <c r="W440" s="2269"/>
      <c r="X440" s="2269"/>
      <c r="Y440" s="2269"/>
      <c r="Z440" s="2269"/>
      <c r="AA440" s="2269"/>
      <c r="AB440" s="2269"/>
      <c r="AC440" s="2269"/>
      <c r="AD440" s="2269"/>
      <c r="AE440" s="2269"/>
      <c r="AF440" s="2269"/>
      <c r="AG440" s="2269"/>
      <c r="AH440" s="2269"/>
      <c r="AI440" s="2269"/>
      <c r="AJ440" s="2269"/>
      <c r="AK440" s="2269"/>
      <c r="AL440" s="2269"/>
      <c r="AM440" s="2269"/>
      <c r="AN440" s="2269"/>
      <c r="AO440" s="2269"/>
      <c r="AP440" s="2269"/>
      <c r="AQ440" s="2269"/>
      <c r="AR440" s="2269"/>
      <c r="AS440" s="2269"/>
      <c r="AT440" s="2269"/>
      <c r="AU440" s="2269"/>
      <c r="AV440" s="2269"/>
      <c r="AW440" s="2269"/>
      <c r="AX440" s="2269"/>
      <c r="AY440" s="2269"/>
      <c r="AZ440" s="2269"/>
      <c r="BA440" s="2269"/>
      <c r="BB440" s="2269"/>
      <c r="BC440" s="2269"/>
      <c r="BD440" s="2269"/>
      <c r="BE440" s="2269"/>
      <c r="BF440" s="2269"/>
      <c r="BG440" s="2269"/>
      <c r="BH440" s="2269"/>
      <c r="BI440" s="2269"/>
      <c r="BJ440" s="2269"/>
      <c r="BK440" s="2269"/>
      <c r="BL440" s="2269"/>
      <c r="BM440" s="2269"/>
      <c r="BN440" s="2269"/>
      <c r="BO440" s="2269"/>
      <c r="BP440" s="2269"/>
      <c r="BQ440" s="2269"/>
      <c r="BR440" s="2269"/>
      <c r="BS440" s="2269"/>
      <c r="BT440" s="2269"/>
      <c r="BU440" s="2269"/>
      <c r="BV440" s="2269"/>
      <c r="BW440" s="2269"/>
      <c r="BX440" s="2269"/>
      <c r="BY440" s="2269"/>
      <c r="BZ440" s="2269"/>
      <c r="CA440" s="2269"/>
    </row>
    <row r="441" spans="1:79">
      <c r="A441" s="2269"/>
      <c r="B441" s="2269"/>
      <c r="C441" s="2269"/>
      <c r="D441" s="2269"/>
      <c r="E441" s="2269"/>
      <c r="F441" s="2269"/>
      <c r="G441" s="2269"/>
      <c r="H441" s="2269"/>
      <c r="I441" s="2269"/>
      <c r="J441" s="2269"/>
      <c r="K441" s="2269"/>
      <c r="L441" s="2269"/>
      <c r="M441" s="2269"/>
      <c r="N441" s="2269"/>
      <c r="O441" s="2269"/>
      <c r="P441" s="2269"/>
      <c r="Q441" s="2269"/>
      <c r="R441" s="2269"/>
      <c r="S441" s="2269"/>
      <c r="T441" s="2269"/>
      <c r="U441" s="2269"/>
      <c r="V441" s="2269"/>
      <c r="W441" s="2269"/>
      <c r="X441" s="2269"/>
      <c r="Y441" s="2269"/>
      <c r="Z441" s="2269"/>
      <c r="AA441" s="2269"/>
      <c r="AB441" s="2269"/>
      <c r="AC441" s="2269"/>
      <c r="AD441" s="2269"/>
      <c r="AE441" s="2269"/>
      <c r="AF441" s="2269"/>
      <c r="AG441" s="2269"/>
      <c r="AH441" s="2269"/>
      <c r="AI441" s="2269"/>
      <c r="AJ441" s="2269"/>
      <c r="AK441" s="2269"/>
      <c r="AL441" s="2269"/>
      <c r="AM441" s="2269"/>
      <c r="AN441" s="2269"/>
      <c r="AO441" s="2269"/>
      <c r="AP441" s="2269"/>
      <c r="AQ441" s="2269"/>
      <c r="AR441" s="2269"/>
      <c r="AS441" s="2269"/>
      <c r="AT441" s="2269"/>
      <c r="AU441" s="2269"/>
      <c r="AV441" s="2269"/>
      <c r="AW441" s="2269"/>
      <c r="AX441" s="2269"/>
      <c r="AY441" s="2269"/>
      <c r="AZ441" s="2269"/>
      <c r="BA441" s="2269"/>
      <c r="BB441" s="2269"/>
      <c r="BC441" s="2269"/>
      <c r="BD441" s="2269"/>
      <c r="BE441" s="2269"/>
      <c r="BF441" s="2269"/>
      <c r="BG441" s="2269"/>
      <c r="BH441" s="2269"/>
      <c r="BI441" s="2269"/>
      <c r="BJ441" s="2269"/>
      <c r="BK441" s="2269"/>
      <c r="BL441" s="2269"/>
      <c r="BM441" s="2269"/>
      <c r="BN441" s="2269"/>
      <c r="BO441" s="2269"/>
      <c r="BP441" s="2269"/>
      <c r="BQ441" s="2269"/>
      <c r="BR441" s="2269"/>
      <c r="BS441" s="2269"/>
      <c r="BT441" s="2269"/>
      <c r="BU441" s="2269"/>
      <c r="BV441" s="2269"/>
      <c r="BW441" s="2269"/>
      <c r="BX441" s="2269"/>
      <c r="BY441" s="2269"/>
      <c r="BZ441" s="2269"/>
      <c r="CA441" s="2269"/>
    </row>
    <row r="442" spans="1:79">
      <c r="A442" s="2269"/>
      <c r="B442" s="2269"/>
      <c r="C442" s="2269"/>
      <c r="D442" s="2269"/>
      <c r="E442" s="2269"/>
      <c r="F442" s="2269"/>
      <c r="G442" s="2269"/>
      <c r="H442" s="2269"/>
      <c r="I442" s="2269"/>
      <c r="J442" s="2269"/>
      <c r="K442" s="2269"/>
      <c r="L442" s="2269"/>
      <c r="M442" s="2269"/>
      <c r="N442" s="2269"/>
      <c r="O442" s="2269"/>
      <c r="P442" s="2269"/>
      <c r="Q442" s="2269"/>
      <c r="R442" s="2269"/>
      <c r="S442" s="2269"/>
      <c r="T442" s="2269"/>
      <c r="U442" s="2269"/>
      <c r="V442" s="2269"/>
      <c r="W442" s="2269"/>
      <c r="X442" s="2269"/>
      <c r="Y442" s="2269"/>
      <c r="Z442" s="2269"/>
      <c r="AA442" s="2269"/>
      <c r="AB442" s="2269"/>
      <c r="AC442" s="2269"/>
      <c r="AD442" s="2269"/>
      <c r="AE442" s="2269"/>
      <c r="AF442" s="2269"/>
      <c r="AG442" s="2269"/>
      <c r="AH442" s="2269"/>
      <c r="AI442" s="2269"/>
      <c r="AJ442" s="2269"/>
      <c r="AK442" s="2269"/>
      <c r="AL442" s="2269"/>
      <c r="AM442" s="2269"/>
      <c r="AN442" s="2269"/>
      <c r="AO442" s="2269"/>
      <c r="AP442" s="2269"/>
      <c r="AQ442" s="2269"/>
      <c r="AR442" s="2269"/>
      <c r="AS442" s="2269"/>
      <c r="AT442" s="2269"/>
      <c r="AU442" s="2269"/>
      <c r="AV442" s="2269"/>
      <c r="AW442" s="2269"/>
      <c r="AX442" s="2269"/>
      <c r="AY442" s="2269"/>
      <c r="AZ442" s="2269"/>
      <c r="BA442" s="2269"/>
      <c r="BB442" s="2269"/>
      <c r="BC442" s="2269"/>
      <c r="BD442" s="2269"/>
      <c r="BE442" s="2269"/>
      <c r="BF442" s="2269"/>
      <c r="BG442" s="2269"/>
      <c r="BH442" s="2269"/>
      <c r="BI442" s="2269"/>
      <c r="BJ442" s="2269"/>
      <c r="BK442" s="2269"/>
      <c r="BL442" s="2269"/>
      <c r="BM442" s="2269"/>
      <c r="BN442" s="2269"/>
      <c r="BO442" s="2269"/>
      <c r="BP442" s="2269"/>
      <c r="BQ442" s="2269"/>
      <c r="BR442" s="2269"/>
      <c r="BS442" s="2269"/>
      <c r="BT442" s="2269"/>
      <c r="BU442" s="2269"/>
      <c r="BV442" s="2269"/>
      <c r="BW442" s="2269"/>
      <c r="BX442" s="2269"/>
      <c r="BY442" s="2269"/>
      <c r="BZ442" s="2269"/>
      <c r="CA442" s="2269"/>
    </row>
    <row r="443" spans="1:79">
      <c r="A443" s="2269"/>
      <c r="B443" s="2269"/>
      <c r="C443" s="2269"/>
      <c r="D443" s="2269"/>
      <c r="E443" s="2269"/>
      <c r="F443" s="2269"/>
      <c r="G443" s="2269"/>
      <c r="H443" s="2269"/>
      <c r="I443" s="2269"/>
      <c r="J443" s="2269"/>
      <c r="K443" s="2269"/>
      <c r="L443" s="2269"/>
      <c r="M443" s="2269"/>
      <c r="N443" s="2269"/>
      <c r="O443" s="2269"/>
      <c r="P443" s="2269"/>
      <c r="Q443" s="2269"/>
      <c r="R443" s="2269"/>
      <c r="S443" s="2269"/>
      <c r="T443" s="2269"/>
      <c r="U443" s="2269"/>
      <c r="V443" s="2269"/>
      <c r="W443" s="2269"/>
      <c r="X443" s="2269"/>
      <c r="Y443" s="2269"/>
      <c r="Z443" s="2269"/>
      <c r="AA443" s="2269"/>
      <c r="AB443" s="2269"/>
      <c r="AC443" s="2269"/>
      <c r="AD443" s="2269"/>
      <c r="AE443" s="2269"/>
      <c r="AF443" s="2269"/>
      <c r="AG443" s="2269"/>
      <c r="AH443" s="2269"/>
      <c r="AI443" s="2269"/>
      <c r="AJ443" s="2269"/>
      <c r="AK443" s="2269"/>
      <c r="AL443" s="2269"/>
      <c r="AM443" s="2269"/>
      <c r="AN443" s="2269"/>
      <c r="AO443" s="2269"/>
      <c r="AP443" s="2269"/>
      <c r="AQ443" s="2269"/>
      <c r="AR443" s="2269"/>
      <c r="AS443" s="2269"/>
      <c r="AT443" s="2269"/>
      <c r="AU443" s="2269"/>
      <c r="AV443" s="2269"/>
      <c r="AW443" s="2269"/>
      <c r="AX443" s="2269"/>
      <c r="AY443" s="2269"/>
      <c r="AZ443" s="2269"/>
      <c r="BA443" s="2269"/>
      <c r="BB443" s="2269"/>
      <c r="BC443" s="2269"/>
      <c r="BD443" s="2269"/>
      <c r="BE443" s="2269"/>
      <c r="BF443" s="2269"/>
      <c r="BG443" s="2269"/>
      <c r="BH443" s="2269"/>
      <c r="BI443" s="2269"/>
      <c r="BJ443" s="2269"/>
      <c r="BK443" s="2269"/>
      <c r="BL443" s="2269"/>
      <c r="BM443" s="2269"/>
      <c r="BN443" s="2269"/>
      <c r="BO443" s="2269"/>
      <c r="BP443" s="2269"/>
      <c r="BQ443" s="2269"/>
      <c r="BR443" s="2269"/>
      <c r="BS443" s="2269"/>
      <c r="BT443" s="2269"/>
      <c r="BU443" s="2269"/>
      <c r="BV443" s="2269"/>
      <c r="BW443" s="2269"/>
      <c r="BX443" s="2269"/>
      <c r="BY443" s="2269"/>
      <c r="BZ443" s="2269"/>
      <c r="CA443" s="2269"/>
    </row>
    <row r="444" spans="1:79">
      <c r="A444" s="2269"/>
      <c r="B444" s="2269"/>
      <c r="C444" s="2269"/>
      <c r="D444" s="2269"/>
      <c r="E444" s="2269"/>
      <c r="F444" s="2269"/>
      <c r="G444" s="2269"/>
      <c r="H444" s="2269"/>
      <c r="I444" s="2269"/>
      <c r="J444" s="2269"/>
      <c r="K444" s="2269"/>
      <c r="L444" s="2269"/>
      <c r="M444" s="2269"/>
      <c r="N444" s="2269"/>
      <c r="O444" s="2269"/>
      <c r="P444" s="2269"/>
      <c r="Q444" s="2269"/>
      <c r="R444" s="2269"/>
      <c r="S444" s="2269"/>
      <c r="T444" s="2269"/>
      <c r="U444" s="2269"/>
      <c r="V444" s="2269"/>
      <c r="W444" s="2269"/>
      <c r="X444" s="2269"/>
      <c r="Y444" s="2269"/>
      <c r="Z444" s="2269"/>
      <c r="AA444" s="2269"/>
      <c r="AB444" s="2269"/>
      <c r="AC444" s="2269"/>
      <c r="AD444" s="2269"/>
      <c r="AE444" s="2269"/>
      <c r="AF444" s="2269"/>
      <c r="AG444" s="2269"/>
      <c r="AH444" s="2269"/>
      <c r="AI444" s="2269"/>
      <c r="AJ444" s="2269"/>
      <c r="AK444" s="2269"/>
      <c r="AL444" s="2269"/>
      <c r="AM444" s="2269"/>
      <c r="AN444" s="2269"/>
      <c r="AO444" s="2269"/>
      <c r="AP444" s="2269"/>
      <c r="AQ444" s="2269"/>
      <c r="AR444" s="2269"/>
      <c r="AS444" s="2269"/>
      <c r="AT444" s="2269"/>
      <c r="AU444" s="2269"/>
      <c r="AV444" s="2269"/>
      <c r="AW444" s="2269"/>
      <c r="AX444" s="2269"/>
      <c r="AY444" s="2269"/>
      <c r="AZ444" s="2269"/>
      <c r="BA444" s="2269"/>
      <c r="BB444" s="2269"/>
      <c r="BC444" s="2269"/>
      <c r="BD444" s="2269"/>
      <c r="BE444" s="2269"/>
      <c r="BF444" s="2269"/>
      <c r="BG444" s="2269"/>
      <c r="BH444" s="2269"/>
      <c r="BI444" s="2269"/>
      <c r="BJ444" s="2269"/>
      <c r="BK444" s="2269"/>
      <c r="BL444" s="2269"/>
      <c r="BM444" s="2269"/>
      <c r="BN444" s="2269"/>
      <c r="BO444" s="2269"/>
      <c r="BP444" s="2269"/>
      <c r="BQ444" s="2269"/>
      <c r="BR444" s="2269"/>
      <c r="BS444" s="2269"/>
      <c r="BT444" s="2269"/>
      <c r="BU444" s="2269"/>
      <c r="BV444" s="2269"/>
      <c r="BW444" s="2269"/>
      <c r="BX444" s="2269"/>
      <c r="BY444" s="2269"/>
      <c r="BZ444" s="2269"/>
      <c r="CA444" s="2269"/>
    </row>
    <row r="445" spans="1:79">
      <c r="A445" s="2269"/>
      <c r="B445" s="2269"/>
      <c r="C445" s="2269"/>
      <c r="D445" s="2269"/>
      <c r="E445" s="2269"/>
      <c r="F445" s="2269"/>
      <c r="G445" s="2269"/>
      <c r="H445" s="2269"/>
      <c r="I445" s="2269"/>
      <c r="J445" s="2269"/>
      <c r="K445" s="2269"/>
      <c r="L445" s="2269"/>
      <c r="M445" s="2269"/>
      <c r="N445" s="2269"/>
      <c r="O445" s="2269"/>
      <c r="P445" s="2269"/>
      <c r="Q445" s="2269"/>
      <c r="R445" s="2269"/>
      <c r="S445" s="2269"/>
      <c r="T445" s="2269"/>
      <c r="U445" s="2269"/>
      <c r="V445" s="2269"/>
      <c r="W445" s="2269"/>
      <c r="X445" s="2269"/>
      <c r="Y445" s="2269"/>
      <c r="Z445" s="2269"/>
      <c r="AA445" s="2269"/>
      <c r="AB445" s="2269"/>
      <c r="AC445" s="2269"/>
      <c r="AD445" s="2269"/>
      <c r="AE445" s="2269"/>
      <c r="AF445" s="2269"/>
      <c r="AG445" s="2269"/>
      <c r="AH445" s="2269"/>
      <c r="AI445" s="2269"/>
      <c r="AJ445" s="2269"/>
      <c r="AK445" s="2269"/>
      <c r="AL445" s="2269"/>
      <c r="AM445" s="2269"/>
      <c r="AN445" s="2269"/>
      <c r="AO445" s="2269"/>
      <c r="AP445" s="2269"/>
      <c r="AQ445" s="2269"/>
      <c r="AR445" s="2269"/>
      <c r="AS445" s="2269"/>
      <c r="AT445" s="2269"/>
      <c r="AU445" s="2269"/>
      <c r="AV445" s="2269"/>
      <c r="AW445" s="2269"/>
      <c r="AX445" s="2269"/>
      <c r="AY445" s="2269"/>
      <c r="AZ445" s="2269"/>
      <c r="BA445" s="2269"/>
      <c r="BB445" s="2269"/>
      <c r="BC445" s="2269"/>
      <c r="BD445" s="2269"/>
      <c r="BE445" s="2269"/>
      <c r="BF445" s="2269"/>
      <c r="BG445" s="2269"/>
      <c r="BH445" s="2269"/>
      <c r="BI445" s="2269"/>
      <c r="BJ445" s="2269"/>
      <c r="BK445" s="2269"/>
      <c r="BL445" s="2269"/>
      <c r="BM445" s="2269"/>
      <c r="BN445" s="2269"/>
      <c r="BO445" s="2269"/>
      <c r="BP445" s="2269"/>
      <c r="BQ445" s="2269"/>
      <c r="BR445" s="2269"/>
      <c r="BS445" s="2269"/>
      <c r="BT445" s="2269"/>
      <c r="BU445" s="2269"/>
      <c r="BV445" s="2269"/>
      <c r="BW445" s="2269"/>
      <c r="BX445" s="2269"/>
      <c r="BY445" s="2269"/>
      <c r="BZ445" s="2269"/>
      <c r="CA445" s="2269"/>
    </row>
    <row r="446" spans="1:79">
      <c r="A446" s="2269"/>
      <c r="B446" s="2269"/>
      <c r="C446" s="2269"/>
      <c r="D446" s="2269"/>
      <c r="E446" s="2269"/>
      <c r="F446" s="2269"/>
      <c r="G446" s="2269"/>
      <c r="H446" s="2269"/>
      <c r="I446" s="2269"/>
      <c r="J446" s="2269"/>
      <c r="K446" s="2269"/>
      <c r="L446" s="2269"/>
      <c r="M446" s="2269"/>
      <c r="N446" s="2269"/>
      <c r="O446" s="2269"/>
      <c r="P446" s="2269"/>
      <c r="Q446" s="2269"/>
      <c r="R446" s="2269"/>
      <c r="S446" s="2269"/>
      <c r="T446" s="2269"/>
      <c r="U446" s="2269"/>
      <c r="V446" s="2269"/>
      <c r="W446" s="2269"/>
      <c r="X446" s="2269"/>
      <c r="Y446" s="2269"/>
      <c r="Z446" s="2269"/>
      <c r="AA446" s="2269"/>
      <c r="AB446" s="2269"/>
      <c r="AC446" s="2269"/>
      <c r="AD446" s="2269"/>
      <c r="AE446" s="2269"/>
      <c r="AF446" s="2269"/>
      <c r="AG446" s="2269"/>
      <c r="AH446" s="2269"/>
      <c r="AI446" s="2269"/>
      <c r="AJ446" s="2269"/>
      <c r="AK446" s="2269"/>
      <c r="AL446" s="2269"/>
      <c r="AM446" s="2269"/>
      <c r="AN446" s="2269"/>
      <c r="AO446" s="2269"/>
      <c r="AP446" s="2269"/>
      <c r="AQ446" s="2269"/>
      <c r="AR446" s="2269"/>
      <c r="AS446" s="2269"/>
      <c r="AT446" s="2269"/>
      <c r="AU446" s="2269"/>
      <c r="AV446" s="2269"/>
      <c r="AW446" s="2269"/>
      <c r="AX446" s="2269"/>
      <c r="AY446" s="2269"/>
      <c r="AZ446" s="2269"/>
      <c r="BA446" s="2269"/>
      <c r="BB446" s="2269"/>
      <c r="BC446" s="2269"/>
      <c r="BD446" s="2269"/>
      <c r="BE446" s="2269"/>
      <c r="BF446" s="2269"/>
      <c r="BG446" s="2269"/>
      <c r="BH446" s="2269"/>
      <c r="BI446" s="2269"/>
      <c r="BJ446" s="2269"/>
      <c r="BK446" s="2269"/>
      <c r="BL446" s="2269"/>
      <c r="BM446" s="2269"/>
      <c r="BN446" s="2269"/>
      <c r="BO446" s="2269"/>
      <c r="BP446" s="2269"/>
      <c r="BQ446" s="2269"/>
      <c r="BR446" s="2269"/>
      <c r="BS446" s="2269"/>
      <c r="BT446" s="2269"/>
      <c r="BU446" s="2269"/>
      <c r="BV446" s="2269"/>
      <c r="BW446" s="2269"/>
      <c r="BX446" s="2269"/>
      <c r="BY446" s="2269"/>
      <c r="BZ446" s="2269"/>
      <c r="CA446" s="2269"/>
    </row>
    <row r="447" spans="1:79">
      <c r="A447" s="2269"/>
      <c r="B447" s="2269"/>
      <c r="C447" s="2269"/>
      <c r="D447" s="2269"/>
      <c r="E447" s="2269"/>
      <c r="F447" s="2269"/>
      <c r="G447" s="2269"/>
      <c r="H447" s="2269"/>
      <c r="I447" s="2269"/>
      <c r="J447" s="2269"/>
      <c r="K447" s="2269"/>
      <c r="L447" s="2269"/>
      <c r="M447" s="2269"/>
      <c r="N447" s="2269"/>
      <c r="O447" s="2269"/>
      <c r="P447" s="2269"/>
      <c r="Q447" s="2269"/>
      <c r="R447" s="2269"/>
      <c r="S447" s="2269"/>
      <c r="T447" s="2269"/>
      <c r="U447" s="2269"/>
      <c r="V447" s="2269"/>
      <c r="W447" s="2269"/>
      <c r="X447" s="2269"/>
      <c r="Y447" s="2269"/>
      <c r="Z447" s="2269"/>
      <c r="AA447" s="2269"/>
      <c r="AB447" s="2269"/>
      <c r="AC447" s="2269"/>
      <c r="AD447" s="2269"/>
      <c r="AE447" s="2269"/>
      <c r="AF447" s="2269"/>
      <c r="AG447" s="2269"/>
      <c r="AH447" s="2269"/>
      <c r="AI447" s="2269"/>
      <c r="AJ447" s="2269"/>
      <c r="AK447" s="2269"/>
      <c r="AL447" s="2269"/>
      <c r="AM447" s="2269"/>
      <c r="AN447" s="2269"/>
      <c r="AO447" s="2269"/>
      <c r="AP447" s="2269"/>
      <c r="AQ447" s="2269"/>
      <c r="AR447" s="2269"/>
      <c r="AS447" s="2269"/>
      <c r="AT447" s="2269"/>
      <c r="AU447" s="2269"/>
      <c r="AV447" s="2269"/>
      <c r="AW447" s="2269"/>
      <c r="AX447" s="2269"/>
      <c r="AY447" s="2269"/>
      <c r="AZ447" s="2269"/>
      <c r="BA447" s="2269"/>
      <c r="BB447" s="2269"/>
      <c r="BC447" s="2269"/>
      <c r="BD447" s="2269"/>
      <c r="BE447" s="2269"/>
      <c r="BF447" s="2269"/>
      <c r="BG447" s="2269"/>
      <c r="BH447" s="2269"/>
      <c r="BI447" s="2269"/>
      <c r="BJ447" s="2269"/>
      <c r="BK447" s="2269"/>
      <c r="BL447" s="2269"/>
      <c r="BM447" s="2269"/>
      <c r="BN447" s="2269"/>
      <c r="BO447" s="2269"/>
      <c r="BP447" s="2269"/>
      <c r="BQ447" s="2269"/>
      <c r="BR447" s="2269"/>
      <c r="BS447" s="2269"/>
      <c r="BT447" s="2269"/>
      <c r="BU447" s="2269"/>
      <c r="BV447" s="2269"/>
      <c r="BW447" s="2269"/>
      <c r="BX447" s="2269"/>
      <c r="BY447" s="2269"/>
      <c r="BZ447" s="2269"/>
      <c r="CA447" s="2269"/>
    </row>
    <row r="448" spans="1:79">
      <c r="A448" s="2269"/>
      <c r="B448" s="2269"/>
      <c r="C448" s="2269"/>
      <c r="D448" s="2269"/>
      <c r="E448" s="2269"/>
      <c r="F448" s="2269"/>
      <c r="G448" s="2269"/>
      <c r="H448" s="2269"/>
      <c r="I448" s="2269"/>
      <c r="J448" s="2269"/>
      <c r="K448" s="2269"/>
      <c r="L448" s="2269"/>
      <c r="M448" s="2269"/>
      <c r="N448" s="2269"/>
      <c r="O448" s="2269"/>
      <c r="P448" s="2269"/>
      <c r="Q448" s="2269"/>
      <c r="R448" s="2269"/>
      <c r="S448" s="2269"/>
      <c r="T448" s="2269"/>
      <c r="U448" s="2269"/>
      <c r="V448" s="2269"/>
      <c r="W448" s="2269"/>
      <c r="X448" s="2269"/>
      <c r="Y448" s="2269"/>
      <c r="Z448" s="2269"/>
      <c r="AA448" s="2269"/>
      <c r="AB448" s="2269"/>
      <c r="AC448" s="2269"/>
      <c r="AD448" s="2269"/>
      <c r="AE448" s="2269"/>
      <c r="AF448" s="2269"/>
      <c r="AG448" s="2269"/>
      <c r="AH448" s="2269"/>
      <c r="AI448" s="2269"/>
      <c r="AJ448" s="2269"/>
      <c r="AK448" s="2269"/>
      <c r="AL448" s="2269"/>
      <c r="AM448" s="2269"/>
      <c r="AN448" s="2269"/>
      <c r="AO448" s="2269"/>
      <c r="AP448" s="2269"/>
      <c r="AQ448" s="2269"/>
      <c r="AR448" s="2269"/>
      <c r="AS448" s="2269"/>
      <c r="AT448" s="2269"/>
      <c r="AU448" s="2269"/>
      <c r="AV448" s="2269"/>
      <c r="AW448" s="2269"/>
      <c r="AX448" s="2269"/>
      <c r="AY448" s="2269"/>
      <c r="AZ448" s="2269"/>
      <c r="BA448" s="2269"/>
      <c r="BB448" s="2269"/>
      <c r="BC448" s="2269"/>
      <c r="BD448" s="2269"/>
      <c r="BE448" s="2269"/>
      <c r="BF448" s="2269"/>
      <c r="BG448" s="2269"/>
      <c r="BH448" s="2269"/>
      <c r="BI448" s="2269"/>
      <c r="BJ448" s="2269"/>
      <c r="BK448" s="2269"/>
      <c r="BL448" s="2269"/>
      <c r="BM448" s="2269"/>
      <c r="BN448" s="2269"/>
      <c r="BO448" s="2269"/>
      <c r="BP448" s="2269"/>
      <c r="BQ448" s="2269"/>
      <c r="BR448" s="2269"/>
      <c r="BS448" s="2269"/>
      <c r="BT448" s="2269"/>
      <c r="BU448" s="2269"/>
      <c r="BV448" s="2269"/>
      <c r="BW448" s="2269"/>
      <c r="BX448" s="2269"/>
      <c r="BY448" s="2269"/>
      <c r="BZ448" s="2269"/>
      <c r="CA448" s="2269"/>
    </row>
    <row r="449" spans="1:79">
      <c r="A449" s="2269"/>
      <c r="B449" s="2269"/>
      <c r="C449" s="2269"/>
      <c r="D449" s="2269"/>
      <c r="E449" s="2269"/>
      <c r="F449" s="2269"/>
      <c r="G449" s="2269"/>
      <c r="H449" s="2269"/>
      <c r="I449" s="2269"/>
      <c r="J449" s="2269"/>
      <c r="K449" s="2269"/>
      <c r="L449" s="2269"/>
      <c r="M449" s="2269"/>
      <c r="N449" s="2269"/>
      <c r="O449" s="2269"/>
      <c r="P449" s="2269"/>
      <c r="Q449" s="2269"/>
      <c r="R449" s="2269"/>
      <c r="S449" s="2269"/>
      <c r="T449" s="2269"/>
      <c r="U449" s="2269"/>
      <c r="V449" s="2269"/>
      <c r="W449" s="2269"/>
      <c r="X449" s="2269"/>
      <c r="Y449" s="2269"/>
      <c r="Z449" s="2269"/>
      <c r="AA449" s="2269"/>
      <c r="AB449" s="2269"/>
      <c r="AC449" s="2269"/>
      <c r="AD449" s="2269"/>
      <c r="AE449" s="2269"/>
      <c r="AF449" s="2269"/>
      <c r="AG449" s="2269"/>
      <c r="AH449" s="2269"/>
      <c r="AI449" s="2269"/>
      <c r="AJ449" s="2269"/>
      <c r="AK449" s="2269"/>
      <c r="AL449" s="2269"/>
      <c r="AM449" s="2269"/>
      <c r="AN449" s="2269"/>
      <c r="AO449" s="2269"/>
      <c r="AP449" s="2269"/>
      <c r="AQ449" s="2269"/>
      <c r="AR449" s="2269"/>
      <c r="AS449" s="2269"/>
      <c r="AT449" s="2269"/>
      <c r="AU449" s="2269"/>
      <c r="AV449" s="2269"/>
      <c r="AW449" s="2269"/>
      <c r="AX449" s="2269"/>
      <c r="AY449" s="2269"/>
      <c r="AZ449" s="2269"/>
      <c r="BA449" s="2269"/>
      <c r="BB449" s="2269"/>
      <c r="BC449" s="2269"/>
      <c r="BD449" s="2269"/>
      <c r="BE449" s="2269"/>
      <c r="BF449" s="2269"/>
      <c r="BG449" s="2269"/>
      <c r="BH449" s="2269"/>
      <c r="BI449" s="2269"/>
      <c r="BJ449" s="2269"/>
      <c r="BK449" s="2269"/>
      <c r="BL449" s="2269"/>
      <c r="BM449" s="2269"/>
      <c r="BN449" s="2269"/>
      <c r="BO449" s="2269"/>
      <c r="BP449" s="2269"/>
      <c r="BQ449" s="2269"/>
      <c r="BR449" s="2269"/>
      <c r="BS449" s="2269"/>
      <c r="BT449" s="2269"/>
      <c r="BU449" s="2269"/>
      <c r="BV449" s="2269"/>
      <c r="BW449" s="2269"/>
      <c r="BX449" s="2269"/>
      <c r="BY449" s="2269"/>
      <c r="BZ449" s="2269"/>
      <c r="CA449" s="2269"/>
    </row>
    <row r="450" spans="1:79">
      <c r="A450" s="2269"/>
      <c r="B450" s="2269"/>
      <c r="C450" s="2269"/>
      <c r="D450" s="2269"/>
      <c r="E450" s="2269"/>
      <c r="F450" s="2269"/>
      <c r="G450" s="2269"/>
      <c r="H450" s="2269"/>
      <c r="I450" s="2269"/>
      <c r="J450" s="2269"/>
      <c r="K450" s="2269"/>
      <c r="L450" s="2269"/>
      <c r="M450" s="2269"/>
      <c r="N450" s="2269"/>
      <c r="O450" s="2269"/>
      <c r="P450" s="2269"/>
      <c r="Q450" s="2269"/>
      <c r="R450" s="2269"/>
      <c r="S450" s="2269"/>
      <c r="T450" s="2269"/>
      <c r="U450" s="2269"/>
      <c r="V450" s="2269"/>
      <c r="W450" s="2269"/>
      <c r="X450" s="2269"/>
      <c r="Y450" s="2269"/>
      <c r="Z450" s="2269"/>
      <c r="AA450" s="2269"/>
      <c r="AB450" s="2269"/>
      <c r="AC450" s="2269"/>
      <c r="AD450" s="2269"/>
      <c r="AE450" s="2269"/>
      <c r="AF450" s="2269"/>
      <c r="AG450" s="2269"/>
      <c r="AH450" s="2269"/>
      <c r="AI450" s="2269"/>
      <c r="AJ450" s="2269"/>
      <c r="AK450" s="2269"/>
      <c r="AL450" s="2269"/>
      <c r="AM450" s="2269"/>
      <c r="AN450" s="2269"/>
      <c r="AO450" s="2269"/>
      <c r="AP450" s="2269"/>
      <c r="AQ450" s="2269"/>
      <c r="AR450" s="2269"/>
      <c r="AS450" s="2269"/>
      <c r="AT450" s="2269"/>
      <c r="AU450" s="2269"/>
      <c r="AV450" s="2269"/>
      <c r="AW450" s="2269"/>
      <c r="AX450" s="2269"/>
      <c r="AY450" s="2269"/>
      <c r="AZ450" s="2269"/>
      <c r="BA450" s="2269"/>
      <c r="BB450" s="2269"/>
      <c r="BC450" s="2269"/>
      <c r="BD450" s="2269"/>
      <c r="BE450" s="2269"/>
      <c r="BF450" s="2269"/>
      <c r="BG450" s="2269"/>
      <c r="BH450" s="2269"/>
      <c r="BI450" s="2269"/>
      <c r="BJ450" s="2269"/>
      <c r="BK450" s="2269"/>
      <c r="BL450" s="2269"/>
      <c r="BM450" s="2269"/>
      <c r="BN450" s="2269"/>
      <c r="BO450" s="2269"/>
      <c r="BP450" s="2269"/>
      <c r="BQ450" s="2269"/>
      <c r="BR450" s="2269"/>
      <c r="BS450" s="2269"/>
      <c r="BT450" s="2269"/>
      <c r="BU450" s="2269"/>
      <c r="BV450" s="2269"/>
      <c r="BW450" s="2269"/>
      <c r="BX450" s="2269"/>
      <c r="BY450" s="2269"/>
      <c r="BZ450" s="2269"/>
      <c r="CA450" s="2269"/>
    </row>
    <row r="451" spans="1:79">
      <c r="A451" s="2269"/>
      <c r="B451" s="2269"/>
      <c r="C451" s="2269"/>
      <c r="D451" s="2269"/>
      <c r="E451" s="2269"/>
      <c r="F451" s="2269"/>
      <c r="G451" s="2269"/>
      <c r="H451" s="2269"/>
      <c r="I451" s="2269"/>
      <c r="J451" s="2269"/>
      <c r="K451" s="2269"/>
      <c r="L451" s="2269"/>
      <c r="M451" s="2269"/>
      <c r="N451" s="2269"/>
      <c r="O451" s="2269"/>
      <c r="P451" s="2269"/>
      <c r="Q451" s="2269"/>
      <c r="R451" s="2269"/>
      <c r="S451" s="2269"/>
      <c r="T451" s="2269"/>
      <c r="U451" s="2269"/>
      <c r="V451" s="2269"/>
      <c r="W451" s="2269"/>
      <c r="X451" s="2269"/>
      <c r="Y451" s="2269"/>
      <c r="Z451" s="2269"/>
      <c r="AA451" s="2269"/>
      <c r="AB451" s="2269"/>
      <c r="AC451" s="2269"/>
      <c r="AD451" s="2269"/>
      <c r="AE451" s="2269"/>
      <c r="AF451" s="2269"/>
      <c r="AG451" s="2269"/>
      <c r="AH451" s="2269"/>
      <c r="AI451" s="2269"/>
      <c r="AJ451" s="2269"/>
      <c r="AK451" s="2269"/>
      <c r="AL451" s="2269"/>
      <c r="AM451" s="2269"/>
      <c r="AN451" s="2269"/>
      <c r="AO451" s="2269"/>
      <c r="AP451" s="2269"/>
      <c r="AQ451" s="2269"/>
      <c r="AR451" s="2269"/>
      <c r="AS451" s="2269"/>
      <c r="AT451" s="2269"/>
      <c r="AU451" s="2269"/>
      <c r="AV451" s="2269"/>
      <c r="AW451" s="2269"/>
      <c r="AX451" s="2269"/>
      <c r="AY451" s="2269"/>
      <c r="AZ451" s="2269"/>
      <c r="BA451" s="2269"/>
      <c r="BB451" s="2269"/>
      <c r="BC451" s="2269"/>
      <c r="BD451" s="2269"/>
      <c r="BE451" s="2269"/>
      <c r="BF451" s="2269"/>
      <c r="BG451" s="2269"/>
      <c r="BH451" s="2269"/>
      <c r="BI451" s="2269"/>
      <c r="BJ451" s="2269"/>
      <c r="BK451" s="2269"/>
      <c r="BL451" s="2269"/>
      <c r="BM451" s="2269"/>
      <c r="BN451" s="2269"/>
      <c r="BO451" s="2269"/>
      <c r="BP451" s="2269"/>
      <c r="BQ451" s="2269"/>
      <c r="BR451" s="2269"/>
      <c r="BS451" s="2269"/>
      <c r="BT451" s="2269"/>
      <c r="BU451" s="2269"/>
      <c r="BV451" s="2269"/>
      <c r="BW451" s="2269"/>
      <c r="BX451" s="2269"/>
      <c r="BY451" s="2269"/>
      <c r="BZ451" s="2269"/>
      <c r="CA451" s="2269"/>
    </row>
    <row r="452" spans="1:79">
      <c r="A452" s="2269"/>
      <c r="B452" s="2269"/>
      <c r="C452" s="2269"/>
      <c r="D452" s="2269"/>
      <c r="E452" s="2269"/>
      <c r="F452" s="2269"/>
      <c r="G452" s="2269"/>
      <c r="H452" s="2269"/>
      <c r="I452" s="2269"/>
      <c r="J452" s="2269"/>
      <c r="K452" s="2269"/>
      <c r="L452" s="2269"/>
      <c r="M452" s="2269"/>
      <c r="N452" s="2269"/>
      <c r="O452" s="2269"/>
      <c r="P452" s="2269"/>
      <c r="Q452" s="2269"/>
      <c r="R452" s="2269"/>
      <c r="S452" s="2269"/>
      <c r="T452" s="2269"/>
      <c r="U452" s="2269"/>
      <c r="V452" s="2269"/>
      <c r="W452" s="2269"/>
      <c r="X452" s="2269"/>
      <c r="Y452" s="2269"/>
      <c r="Z452" s="2269"/>
      <c r="AA452" s="2269"/>
      <c r="AB452" s="2269"/>
      <c r="AC452" s="2269"/>
      <c r="AD452" s="2269"/>
      <c r="AE452" s="2269"/>
      <c r="AF452" s="2269"/>
      <c r="AG452" s="2269"/>
      <c r="AH452" s="2269"/>
      <c r="AI452" s="2269"/>
      <c r="AJ452" s="2269"/>
      <c r="AK452" s="2269"/>
      <c r="AL452" s="2269"/>
      <c r="AM452" s="2269"/>
      <c r="AN452" s="2269"/>
      <c r="AO452" s="2269"/>
      <c r="AP452" s="2269"/>
      <c r="AQ452" s="2269"/>
      <c r="AR452" s="2269"/>
      <c r="AS452" s="2269"/>
      <c r="AT452" s="2269"/>
      <c r="AU452" s="2269"/>
      <c r="AV452" s="2269"/>
      <c r="AW452" s="2269"/>
      <c r="AX452" s="2269"/>
      <c r="AY452" s="2269"/>
      <c r="AZ452" s="2269"/>
      <c r="BA452" s="2269"/>
      <c r="BB452" s="2269"/>
      <c r="BC452" s="2269"/>
      <c r="BD452" s="2269"/>
      <c r="BE452" s="2269"/>
      <c r="BF452" s="2269"/>
      <c r="BG452" s="2269"/>
      <c r="BH452" s="2269"/>
      <c r="BI452" s="2269"/>
      <c r="BJ452" s="2269"/>
      <c r="BK452" s="2269"/>
      <c r="BL452" s="2269"/>
      <c r="BM452" s="2269"/>
      <c r="BN452" s="2269"/>
      <c r="BO452" s="2269"/>
      <c r="BP452" s="2269"/>
      <c r="BQ452" s="2269"/>
      <c r="BR452" s="2269"/>
      <c r="BS452" s="2269"/>
      <c r="BT452" s="2269"/>
      <c r="BU452" s="2269"/>
      <c r="BV452" s="2269"/>
      <c r="BW452" s="2269"/>
      <c r="BX452" s="2269"/>
      <c r="BY452" s="2269"/>
      <c r="BZ452" s="2269"/>
      <c r="CA452" s="2269"/>
    </row>
    <row r="453" spans="1:79">
      <c r="A453" s="2269"/>
      <c r="B453" s="2269"/>
      <c r="C453" s="2269"/>
      <c r="D453" s="2269"/>
      <c r="E453" s="2269"/>
      <c r="F453" s="2269"/>
      <c r="G453" s="2269"/>
      <c r="H453" s="2269"/>
      <c r="I453" s="2269"/>
      <c r="J453" s="2269"/>
      <c r="K453" s="2269"/>
      <c r="L453" s="2269"/>
      <c r="M453" s="2269"/>
      <c r="N453" s="2269"/>
      <c r="O453" s="2269"/>
      <c r="P453" s="2269"/>
      <c r="Q453" s="2269"/>
      <c r="R453" s="2269"/>
      <c r="S453" s="2269"/>
      <c r="T453" s="2269"/>
      <c r="U453" s="2269"/>
      <c r="V453" s="2269"/>
      <c r="W453" s="2269"/>
      <c r="X453" s="2269"/>
      <c r="Y453" s="2269"/>
      <c r="Z453" s="2269"/>
      <c r="AA453" s="2269"/>
      <c r="AB453" s="2269"/>
      <c r="AC453" s="2269"/>
      <c r="AD453" s="2269"/>
      <c r="AE453" s="2269"/>
      <c r="AF453" s="2269"/>
      <c r="AG453" s="2269"/>
      <c r="AH453" s="2269"/>
      <c r="AI453" s="2269"/>
      <c r="AJ453" s="2269"/>
      <c r="AK453" s="2269"/>
      <c r="AL453" s="2269"/>
      <c r="AM453" s="2269"/>
      <c r="AN453" s="2269"/>
      <c r="AO453" s="2269"/>
      <c r="AP453" s="2269"/>
      <c r="AQ453" s="2269"/>
      <c r="AR453" s="2269"/>
      <c r="AS453" s="2269"/>
      <c r="AT453" s="2269"/>
      <c r="AU453" s="2269"/>
      <c r="AV453" s="2269"/>
      <c r="AW453" s="2269"/>
      <c r="AX453" s="2269"/>
      <c r="AY453" s="2269"/>
      <c r="AZ453" s="2269"/>
      <c r="BA453" s="2269"/>
      <c r="BB453" s="2269"/>
      <c r="BC453" s="2269"/>
      <c r="BD453" s="2269"/>
      <c r="BE453" s="2269"/>
      <c r="BF453" s="2269"/>
      <c r="BG453" s="2269"/>
      <c r="BH453" s="2269"/>
      <c r="BI453" s="2269"/>
      <c r="BJ453" s="2269"/>
      <c r="BK453" s="2269"/>
      <c r="BL453" s="2269"/>
      <c r="BM453" s="2269"/>
      <c r="BN453" s="2269"/>
      <c r="BO453" s="2269"/>
      <c r="BP453" s="2269"/>
      <c r="BQ453" s="2269"/>
      <c r="BR453" s="2269"/>
      <c r="BS453" s="2269"/>
      <c r="BT453" s="2269"/>
      <c r="BU453" s="2269"/>
      <c r="BV453" s="2269"/>
      <c r="BW453" s="2269"/>
      <c r="BX453" s="2269"/>
      <c r="BY453" s="2269"/>
      <c r="BZ453" s="2269"/>
      <c r="CA453" s="2269"/>
    </row>
    <row r="454" spans="1:79">
      <c r="A454" s="2269"/>
      <c r="B454" s="2269"/>
      <c r="C454" s="2269"/>
      <c r="D454" s="2269"/>
      <c r="E454" s="2269"/>
      <c r="F454" s="2269"/>
      <c r="G454" s="2269"/>
      <c r="H454" s="2269"/>
      <c r="I454" s="2269"/>
      <c r="J454" s="2269"/>
      <c r="K454" s="2269"/>
      <c r="L454" s="2269"/>
      <c r="M454" s="2269"/>
      <c r="N454" s="2269"/>
      <c r="O454" s="2269"/>
      <c r="P454" s="2269"/>
      <c r="Q454" s="2269"/>
      <c r="R454" s="2269"/>
      <c r="S454" s="2269"/>
      <c r="T454" s="2269"/>
      <c r="U454" s="2269"/>
      <c r="V454" s="2269"/>
      <c r="W454" s="2269"/>
      <c r="X454" s="2269"/>
      <c r="Y454" s="2269"/>
      <c r="Z454" s="2269"/>
      <c r="AA454" s="2269"/>
      <c r="AB454" s="2269"/>
      <c r="AC454" s="2269"/>
      <c r="AD454" s="2269"/>
      <c r="AE454" s="2269"/>
      <c r="AF454" s="2269"/>
      <c r="AG454" s="2269"/>
      <c r="AH454" s="2269"/>
      <c r="AI454" s="2269"/>
      <c r="AJ454" s="2269"/>
      <c r="AK454" s="2269"/>
      <c r="AL454" s="2269"/>
      <c r="AM454" s="2269"/>
      <c r="AN454" s="2269"/>
      <c r="AO454" s="2269"/>
      <c r="AP454" s="2269"/>
      <c r="AQ454" s="2269"/>
      <c r="AR454" s="2269"/>
      <c r="AS454" s="2269"/>
      <c r="AT454" s="2269"/>
      <c r="AU454" s="2269"/>
      <c r="AV454" s="2269"/>
      <c r="AW454" s="2269"/>
      <c r="AX454" s="2269"/>
      <c r="AY454" s="2269"/>
      <c r="AZ454" s="2269"/>
      <c r="BA454" s="2269"/>
      <c r="BB454" s="2269"/>
      <c r="BC454" s="2269"/>
      <c r="BD454" s="2269"/>
      <c r="BE454" s="2269"/>
      <c r="BF454" s="2269"/>
      <c r="BG454" s="2269"/>
      <c r="BH454" s="2269"/>
      <c r="BI454" s="2269"/>
      <c r="BJ454" s="2269"/>
      <c r="BK454" s="2269"/>
      <c r="BL454" s="2269"/>
      <c r="BM454" s="2269"/>
      <c r="BN454" s="2269"/>
      <c r="BO454" s="2269"/>
      <c r="BP454" s="2269"/>
      <c r="BQ454" s="2269"/>
      <c r="BR454" s="2269"/>
      <c r="BS454" s="2269"/>
      <c r="BT454" s="2269"/>
      <c r="BU454" s="2269"/>
      <c r="BV454" s="2269"/>
      <c r="BW454" s="2269"/>
      <c r="BX454" s="2269"/>
      <c r="BY454" s="2269"/>
      <c r="BZ454" s="2269"/>
      <c r="CA454" s="2269"/>
    </row>
    <row r="455" spans="1:79">
      <c r="A455" s="2269"/>
      <c r="B455" s="2269"/>
      <c r="C455" s="2269"/>
      <c r="D455" s="2269"/>
      <c r="E455" s="2269"/>
      <c r="F455" s="2269"/>
      <c r="G455" s="2269"/>
      <c r="H455" s="2269"/>
      <c r="I455" s="2269"/>
      <c r="J455" s="2269"/>
      <c r="K455" s="2269"/>
      <c r="L455" s="2269"/>
      <c r="M455" s="2269"/>
      <c r="N455" s="2269"/>
      <c r="O455" s="2269"/>
      <c r="P455" s="2269"/>
      <c r="Q455" s="2269"/>
      <c r="R455" s="2269"/>
      <c r="S455" s="2269"/>
      <c r="T455" s="2269"/>
      <c r="U455" s="2269"/>
      <c r="V455" s="2269"/>
      <c r="W455" s="2269"/>
      <c r="X455" s="2269"/>
      <c r="Y455" s="2269"/>
      <c r="Z455" s="2269"/>
      <c r="AA455" s="2269"/>
      <c r="AB455" s="2269"/>
      <c r="AC455" s="2269"/>
      <c r="AD455" s="2269"/>
      <c r="AE455" s="2269"/>
      <c r="AF455" s="2269"/>
      <c r="AG455" s="2269"/>
      <c r="AH455" s="2269"/>
      <c r="AI455" s="2269"/>
      <c r="AJ455" s="2269"/>
      <c r="AK455" s="2269"/>
      <c r="AL455" s="2269"/>
      <c r="AM455" s="2269"/>
      <c r="AN455" s="2269"/>
      <c r="AO455" s="2269"/>
      <c r="AP455" s="2269"/>
      <c r="AQ455" s="2269"/>
      <c r="AR455" s="2269"/>
      <c r="AS455" s="2269"/>
      <c r="AT455" s="2269"/>
      <c r="AU455" s="2269"/>
      <c r="AV455" s="2269"/>
      <c r="AW455" s="2269"/>
      <c r="AX455" s="2269"/>
      <c r="AY455" s="2269"/>
      <c r="AZ455" s="2269"/>
      <c r="BA455" s="2269"/>
      <c r="BB455" s="2269"/>
      <c r="BC455" s="2269"/>
      <c r="BD455" s="2269"/>
      <c r="BE455" s="2269"/>
      <c r="BF455" s="2269"/>
      <c r="BG455" s="2269"/>
      <c r="BH455" s="2269"/>
      <c r="BI455" s="2269"/>
      <c r="BJ455" s="2269"/>
      <c r="BK455" s="2269"/>
      <c r="BL455" s="2269"/>
      <c r="BM455" s="2269"/>
      <c r="BN455" s="2269"/>
      <c r="BO455" s="2269"/>
      <c r="BP455" s="2269"/>
      <c r="BQ455" s="2269"/>
      <c r="BR455" s="2269"/>
      <c r="BS455" s="2269"/>
      <c r="BT455" s="2269"/>
      <c r="BU455" s="2269"/>
      <c r="BV455" s="2269"/>
      <c r="BW455" s="2269"/>
      <c r="BX455" s="2269"/>
      <c r="BY455" s="2269"/>
      <c r="BZ455" s="2269"/>
      <c r="CA455" s="2269"/>
    </row>
    <row r="456" spans="1:79">
      <c r="A456" s="2269"/>
      <c r="B456" s="2269"/>
      <c r="C456" s="2269"/>
      <c r="D456" s="2269"/>
      <c r="E456" s="2269"/>
      <c r="F456" s="2269"/>
      <c r="G456" s="2269"/>
      <c r="H456" s="2269"/>
      <c r="I456" s="2269"/>
      <c r="J456" s="2269"/>
      <c r="K456" s="2269"/>
      <c r="L456" s="2269"/>
      <c r="M456" s="2269"/>
      <c r="N456" s="2269"/>
      <c r="O456" s="2269"/>
      <c r="P456" s="2269"/>
      <c r="Q456" s="2269"/>
      <c r="R456" s="2269"/>
      <c r="S456" s="2269"/>
      <c r="T456" s="2269"/>
      <c r="U456" s="2269"/>
      <c r="V456" s="2269"/>
      <c r="W456" s="2269"/>
      <c r="X456" s="2269"/>
      <c r="Y456" s="2269"/>
      <c r="Z456" s="2269"/>
      <c r="AA456" s="2269"/>
      <c r="AB456" s="2269"/>
      <c r="AC456" s="2269"/>
      <c r="AD456" s="2269"/>
      <c r="AE456" s="2269"/>
      <c r="AF456" s="2269"/>
      <c r="AG456" s="2269"/>
      <c r="AH456" s="2269"/>
      <c r="AI456" s="2269"/>
      <c r="AJ456" s="2269"/>
      <c r="AK456" s="2269"/>
      <c r="AL456" s="2269"/>
      <c r="AM456" s="2269"/>
      <c r="AN456" s="2269"/>
      <c r="AO456" s="2269"/>
      <c r="AP456" s="2269"/>
      <c r="AQ456" s="2269"/>
      <c r="AR456" s="2269"/>
      <c r="AS456" s="2269"/>
      <c r="AT456" s="2269"/>
      <c r="AU456" s="2269"/>
      <c r="AV456" s="2269"/>
      <c r="AW456" s="2269"/>
      <c r="AX456" s="2269"/>
      <c r="AY456" s="2269"/>
      <c r="AZ456" s="2269"/>
      <c r="BA456" s="2269"/>
      <c r="BB456" s="2269"/>
      <c r="BC456" s="2269"/>
      <c r="BD456" s="2269"/>
      <c r="BE456" s="2269"/>
      <c r="BF456" s="2269"/>
      <c r="BG456" s="2269"/>
      <c r="BH456" s="2269"/>
      <c r="BI456" s="2269"/>
      <c r="BJ456" s="2269"/>
      <c r="BK456" s="2269"/>
      <c r="BL456" s="2269"/>
      <c r="BM456" s="2269"/>
      <c r="BN456" s="2269"/>
      <c r="BO456" s="2269"/>
      <c r="BP456" s="2269"/>
      <c r="BQ456" s="2269"/>
      <c r="BR456" s="2269"/>
      <c r="BS456" s="2269"/>
      <c r="BT456" s="2269"/>
      <c r="BU456" s="2269"/>
      <c r="BV456" s="2269"/>
      <c r="BW456" s="2269"/>
      <c r="BX456" s="2269"/>
      <c r="BY456" s="2269"/>
      <c r="BZ456" s="2269"/>
      <c r="CA456" s="2269"/>
    </row>
    <row r="457" spans="1:79">
      <c r="A457" s="2269"/>
      <c r="B457" s="2269"/>
      <c r="C457" s="2269"/>
      <c r="D457" s="2269"/>
      <c r="E457" s="2269"/>
      <c r="F457" s="2269"/>
      <c r="G457" s="2269"/>
      <c r="H457" s="2269"/>
      <c r="I457" s="2269"/>
      <c r="J457" s="2269"/>
      <c r="K457" s="2269"/>
      <c r="L457" s="2269"/>
      <c r="M457" s="2269"/>
      <c r="N457" s="2269"/>
      <c r="O457" s="2269"/>
      <c r="P457" s="2269"/>
      <c r="Q457" s="2269"/>
      <c r="R457" s="2269"/>
      <c r="S457" s="2269"/>
      <c r="T457" s="2269"/>
      <c r="U457" s="2269"/>
      <c r="V457" s="2269"/>
      <c r="W457" s="2269"/>
      <c r="X457" s="2269"/>
      <c r="Y457" s="2269"/>
      <c r="Z457" s="2269"/>
      <c r="AA457" s="2269"/>
      <c r="AB457" s="2269"/>
      <c r="AC457" s="2269"/>
      <c r="AD457" s="2269"/>
      <c r="AE457" s="2269"/>
      <c r="AF457" s="2269"/>
      <c r="AG457" s="2269"/>
      <c r="AH457" s="2269"/>
      <c r="AI457" s="2269"/>
      <c r="AJ457" s="2269"/>
      <c r="AK457" s="2269"/>
      <c r="AL457" s="2269"/>
      <c r="AM457" s="2269"/>
      <c r="AN457" s="2269"/>
      <c r="AO457" s="2269"/>
      <c r="AP457" s="2269"/>
      <c r="AQ457" s="2269"/>
      <c r="AR457" s="2269"/>
      <c r="AS457" s="2269"/>
      <c r="AT457" s="2269"/>
      <c r="AU457" s="2269"/>
      <c r="AV457" s="2269"/>
      <c r="AW457" s="2269"/>
      <c r="AX457" s="2269"/>
      <c r="AY457" s="2269"/>
      <c r="AZ457" s="2269"/>
      <c r="BA457" s="2269"/>
      <c r="BB457" s="2269"/>
      <c r="BC457" s="2269"/>
      <c r="BD457" s="2269"/>
      <c r="BE457" s="2269"/>
      <c r="BF457" s="2269"/>
      <c r="BG457" s="2269"/>
      <c r="BH457" s="2269"/>
      <c r="BI457" s="2269"/>
      <c r="BJ457" s="2269"/>
      <c r="BK457" s="2269"/>
      <c r="BL457" s="2269"/>
      <c r="BM457" s="2269"/>
      <c r="BN457" s="2269"/>
      <c r="BO457" s="2269"/>
      <c r="BP457" s="2269"/>
      <c r="BQ457" s="2269"/>
      <c r="BR457" s="2269"/>
      <c r="BS457" s="2269"/>
      <c r="BT457" s="2269"/>
      <c r="BU457" s="2269"/>
      <c r="BV457" s="2269"/>
      <c r="BW457" s="2269"/>
      <c r="BX457" s="2269"/>
      <c r="BY457" s="2269"/>
      <c r="BZ457" s="2269"/>
      <c r="CA457" s="2269"/>
    </row>
    <row r="458" spans="1:79">
      <c r="A458" s="2269"/>
      <c r="B458" s="2269"/>
      <c r="C458" s="2269"/>
      <c r="D458" s="2269"/>
      <c r="E458" s="2269"/>
      <c r="F458" s="2269"/>
      <c r="G458" s="2269"/>
      <c r="H458" s="2269"/>
      <c r="I458" s="2269"/>
      <c r="J458" s="2269"/>
      <c r="K458" s="2269"/>
      <c r="L458" s="2269"/>
      <c r="M458" s="2269"/>
      <c r="N458" s="2269"/>
      <c r="O458" s="2269"/>
      <c r="P458" s="2269"/>
      <c r="Q458" s="2269"/>
      <c r="R458" s="2269"/>
      <c r="S458" s="2269"/>
      <c r="T458" s="2269"/>
      <c r="U458" s="2269"/>
      <c r="V458" s="2269"/>
      <c r="W458" s="2269"/>
      <c r="X458" s="2269"/>
      <c r="Y458" s="2269"/>
      <c r="Z458" s="2269"/>
      <c r="AA458" s="2269"/>
      <c r="AB458" s="2269"/>
      <c r="AC458" s="2269"/>
      <c r="AD458" s="2269"/>
      <c r="AE458" s="2269"/>
      <c r="AF458" s="2269"/>
      <c r="AG458" s="2269"/>
      <c r="AH458" s="2269"/>
      <c r="AI458" s="2269"/>
      <c r="AJ458" s="2269"/>
      <c r="AK458" s="2269"/>
      <c r="AL458" s="2269"/>
      <c r="AM458" s="2269"/>
      <c r="AN458" s="2269"/>
      <c r="AO458" s="2269"/>
      <c r="AP458" s="2269"/>
      <c r="AQ458" s="2269"/>
      <c r="AR458" s="2269"/>
      <c r="AS458" s="2269"/>
      <c r="AT458" s="2269"/>
      <c r="AU458" s="2269"/>
      <c r="AV458" s="2269"/>
      <c r="AW458" s="2269"/>
      <c r="AX458" s="2269"/>
      <c r="AY458" s="2269"/>
      <c r="AZ458" s="2269"/>
      <c r="BA458" s="2269"/>
      <c r="BB458" s="2269"/>
      <c r="BC458" s="2269"/>
      <c r="BD458" s="2269"/>
      <c r="BE458" s="2269"/>
      <c r="BF458" s="2269"/>
      <c r="BG458" s="2269"/>
      <c r="BH458" s="2269"/>
      <c r="BI458" s="2269"/>
      <c r="BJ458" s="2269"/>
      <c r="BK458" s="2269"/>
      <c r="BL458" s="2269"/>
      <c r="BM458" s="2269"/>
      <c r="BN458" s="2269"/>
      <c r="BO458" s="2269"/>
      <c r="BP458" s="2269"/>
      <c r="BQ458" s="2269"/>
      <c r="BR458" s="2269"/>
      <c r="BS458" s="2269"/>
      <c r="BT458" s="2269"/>
      <c r="BU458" s="2269"/>
      <c r="BV458" s="2269"/>
      <c r="BW458" s="2269"/>
      <c r="BX458" s="2269"/>
      <c r="BY458" s="2269"/>
      <c r="BZ458" s="2269"/>
      <c r="CA458" s="2269"/>
    </row>
    <row r="459" spans="1:79">
      <c r="A459" s="2269"/>
      <c r="B459" s="2269"/>
      <c r="C459" s="2269"/>
      <c r="D459" s="2269"/>
      <c r="E459" s="2269"/>
      <c r="F459" s="2269"/>
      <c r="G459" s="2269"/>
      <c r="H459" s="2269"/>
      <c r="I459" s="2269"/>
      <c r="J459" s="2269"/>
      <c r="K459" s="2269"/>
      <c r="L459" s="2269"/>
      <c r="M459" s="2269"/>
      <c r="N459" s="2269"/>
      <c r="O459" s="2269"/>
      <c r="P459" s="2269"/>
      <c r="Q459" s="2269"/>
      <c r="R459" s="2269"/>
      <c r="S459" s="2269"/>
      <c r="T459" s="2269"/>
      <c r="U459" s="2269"/>
      <c r="V459" s="2269"/>
      <c r="W459" s="2269"/>
      <c r="X459" s="2269"/>
      <c r="Y459" s="2269"/>
      <c r="Z459" s="2269"/>
      <c r="AA459" s="2269"/>
      <c r="AB459" s="2269"/>
      <c r="AC459" s="2269"/>
      <c r="AD459" s="2269"/>
      <c r="AE459" s="2269"/>
      <c r="AF459" s="2269"/>
      <c r="AG459" s="2269"/>
      <c r="AH459" s="2269"/>
      <c r="AI459" s="2269"/>
      <c r="AJ459" s="2269"/>
      <c r="AK459" s="2269"/>
      <c r="AL459" s="2269"/>
      <c r="AM459" s="2269"/>
      <c r="AN459" s="2269"/>
      <c r="AO459" s="2269"/>
      <c r="AP459" s="2269"/>
      <c r="AQ459" s="2269"/>
      <c r="AR459" s="2269"/>
      <c r="AS459" s="2269"/>
      <c r="AT459" s="2269"/>
      <c r="AU459" s="2269"/>
      <c r="AV459" s="2269"/>
      <c r="AW459" s="2269"/>
      <c r="AX459" s="2269"/>
      <c r="AY459" s="2269"/>
      <c r="AZ459" s="2269"/>
      <c r="BA459" s="2269"/>
      <c r="BB459" s="2269"/>
      <c r="BC459" s="2269"/>
      <c r="BD459" s="2269"/>
      <c r="BE459" s="2269"/>
      <c r="BF459" s="2269"/>
      <c r="BG459" s="2269"/>
      <c r="BH459" s="2269"/>
      <c r="BI459" s="2269"/>
      <c r="BJ459" s="2269"/>
      <c r="BK459" s="2269"/>
      <c r="BL459" s="2269"/>
      <c r="BM459" s="2269"/>
      <c r="BN459" s="2269"/>
      <c r="BO459" s="2269"/>
      <c r="BP459" s="2269"/>
      <c r="BQ459" s="2269"/>
      <c r="BR459" s="2269"/>
      <c r="BS459" s="2269"/>
      <c r="BT459" s="2269"/>
      <c r="BU459" s="2269"/>
      <c r="BV459" s="2269"/>
      <c r="BW459" s="2269"/>
      <c r="BX459" s="2269"/>
      <c r="BY459" s="2269"/>
      <c r="BZ459" s="2269"/>
      <c r="CA459" s="2269"/>
    </row>
    <row r="460" spans="1:79">
      <c r="A460" s="2269"/>
      <c r="B460" s="2269"/>
      <c r="C460" s="2269"/>
      <c r="D460" s="2269"/>
      <c r="E460" s="2269"/>
      <c r="F460" s="2269"/>
      <c r="G460" s="2269"/>
      <c r="H460" s="2269"/>
      <c r="I460" s="2269"/>
      <c r="J460" s="2269"/>
      <c r="K460" s="2269"/>
      <c r="L460" s="2269"/>
      <c r="M460" s="2269"/>
      <c r="N460" s="2269"/>
      <c r="O460" s="2269"/>
      <c r="P460" s="2269"/>
      <c r="Q460" s="2269"/>
      <c r="R460" s="2269"/>
      <c r="S460" s="2269"/>
      <c r="T460" s="2269"/>
      <c r="U460" s="2269"/>
      <c r="V460" s="2269"/>
      <c r="W460" s="2269"/>
      <c r="X460" s="2269"/>
      <c r="Y460" s="2269"/>
      <c r="Z460" s="2269"/>
      <c r="AA460" s="2269"/>
      <c r="AB460" s="2269"/>
      <c r="AC460" s="2269"/>
      <c r="AD460" s="2269"/>
      <c r="AE460" s="2269"/>
      <c r="AF460" s="2269"/>
      <c r="AG460" s="2269"/>
      <c r="AH460" s="2269"/>
      <c r="AI460" s="2269"/>
      <c r="AJ460" s="2269"/>
      <c r="AK460" s="2269"/>
      <c r="AL460" s="2269"/>
      <c r="AM460" s="2269"/>
      <c r="AN460" s="2269"/>
      <c r="AO460" s="2269"/>
      <c r="AP460" s="2269"/>
      <c r="AQ460" s="2269"/>
      <c r="AR460" s="2269"/>
      <c r="AS460" s="2269"/>
      <c r="AT460" s="2269"/>
      <c r="AU460" s="2269"/>
      <c r="AV460" s="2269"/>
      <c r="AW460" s="2269"/>
      <c r="AX460" s="2269"/>
      <c r="AY460" s="2269"/>
      <c r="AZ460" s="2269"/>
      <c r="BA460" s="2269"/>
      <c r="BB460" s="2269"/>
      <c r="BC460" s="2269"/>
      <c r="BD460" s="2269"/>
      <c r="BE460" s="2269"/>
      <c r="BF460" s="2269"/>
      <c r="BG460" s="2269"/>
      <c r="BH460" s="2269"/>
      <c r="BI460" s="2269"/>
      <c r="BJ460" s="2269"/>
      <c r="BK460" s="2269"/>
      <c r="BL460" s="2269"/>
      <c r="BM460" s="2269"/>
      <c r="BN460" s="2269"/>
      <c r="BO460" s="2269"/>
      <c r="BP460" s="2269"/>
      <c r="BQ460" s="2269"/>
      <c r="BR460" s="2269"/>
      <c r="BS460" s="2269"/>
      <c r="BT460" s="2269"/>
      <c r="BU460" s="2269"/>
      <c r="BV460" s="2269"/>
      <c r="BW460" s="2269"/>
      <c r="BX460" s="2269"/>
      <c r="BY460" s="2269"/>
      <c r="BZ460" s="2269"/>
      <c r="CA460" s="2269"/>
    </row>
    <row r="461" spans="1:79">
      <c r="A461" s="2269"/>
      <c r="B461" s="2269"/>
      <c r="C461" s="2269"/>
      <c r="D461" s="2269"/>
      <c r="E461" s="2269"/>
      <c r="F461" s="2269"/>
      <c r="G461" s="2269"/>
      <c r="H461" s="2269"/>
      <c r="I461" s="2269"/>
      <c r="J461" s="2269"/>
      <c r="K461" s="2269"/>
      <c r="L461" s="2269"/>
      <c r="M461" s="2269"/>
      <c r="N461" s="2269"/>
      <c r="O461" s="2269"/>
      <c r="P461" s="2269"/>
      <c r="Q461" s="2269"/>
      <c r="R461" s="2269"/>
      <c r="S461" s="2269"/>
      <c r="T461" s="2269"/>
      <c r="U461" s="2269"/>
      <c r="V461" s="2269"/>
      <c r="W461" s="2269"/>
      <c r="X461" s="2269"/>
      <c r="Y461" s="2269"/>
      <c r="Z461" s="2269"/>
      <c r="AA461" s="2269"/>
      <c r="AB461" s="2269"/>
      <c r="AC461" s="2269"/>
      <c r="AD461" s="2269"/>
      <c r="AE461" s="2269"/>
      <c r="AF461" s="2269"/>
      <c r="AG461" s="2269"/>
      <c r="AH461" s="2269"/>
      <c r="AI461" s="2269"/>
      <c r="AJ461" s="2269"/>
      <c r="AK461" s="2269"/>
      <c r="AL461" s="2269"/>
      <c r="AM461" s="2269"/>
      <c r="AN461" s="2269"/>
      <c r="AO461" s="2269"/>
      <c r="AP461" s="2269"/>
      <c r="AQ461" s="2269"/>
      <c r="AR461" s="2269"/>
      <c r="AS461" s="2269"/>
      <c r="AT461" s="2269"/>
      <c r="AU461" s="2269"/>
      <c r="AV461" s="2269"/>
      <c r="AW461" s="2269"/>
      <c r="AX461" s="2269"/>
      <c r="AY461" s="2269"/>
      <c r="AZ461" s="2269"/>
      <c r="BA461" s="2269"/>
      <c r="BB461" s="2269"/>
      <c r="BC461" s="2269"/>
      <c r="BD461" s="2269"/>
      <c r="BE461" s="2269"/>
      <c r="BF461" s="2269"/>
      <c r="BG461" s="2269"/>
      <c r="BH461" s="2269"/>
      <c r="BI461" s="2269"/>
      <c r="BJ461" s="2269"/>
      <c r="BK461" s="2269"/>
      <c r="BL461" s="2269"/>
      <c r="BM461" s="2269"/>
      <c r="BN461" s="2269"/>
      <c r="BO461" s="2269"/>
      <c r="BP461" s="2269"/>
      <c r="BQ461" s="2269"/>
      <c r="BR461" s="2269"/>
      <c r="BS461" s="2269"/>
      <c r="BT461" s="2269"/>
      <c r="BU461" s="2269"/>
      <c r="BV461" s="2269"/>
      <c r="BW461" s="2269"/>
      <c r="BX461" s="2269"/>
      <c r="BY461" s="2269"/>
      <c r="BZ461" s="2269"/>
      <c r="CA461" s="2269"/>
    </row>
    <row r="462" spans="1:79">
      <c r="A462" s="2269"/>
      <c r="B462" s="2269"/>
      <c r="C462" s="2269"/>
      <c r="D462" s="2269"/>
      <c r="E462" s="2269"/>
      <c r="F462" s="2269"/>
      <c r="G462" s="2269"/>
      <c r="H462" s="2269"/>
      <c r="I462" s="2269"/>
      <c r="J462" s="2269"/>
      <c r="K462" s="2269"/>
      <c r="L462" s="2269"/>
      <c r="M462" s="2269"/>
      <c r="N462" s="2269"/>
      <c r="O462" s="2269"/>
      <c r="P462" s="2269"/>
      <c r="Q462" s="2269"/>
      <c r="R462" s="2269"/>
      <c r="S462" s="2269"/>
      <c r="T462" s="2269"/>
      <c r="U462" s="2269"/>
      <c r="V462" s="2269"/>
      <c r="W462" s="2269"/>
      <c r="X462" s="2269"/>
      <c r="Y462" s="2269"/>
      <c r="Z462" s="2269"/>
      <c r="AA462" s="2269"/>
      <c r="AB462" s="2269"/>
      <c r="AC462" s="2269"/>
      <c r="AD462" s="2269"/>
      <c r="AE462" s="2269"/>
      <c r="AF462" s="2269"/>
      <c r="AG462" s="2269"/>
      <c r="AH462" s="2269"/>
      <c r="AI462" s="2269"/>
      <c r="AJ462" s="2269"/>
      <c r="AK462" s="2269"/>
      <c r="AL462" s="2269"/>
      <c r="AM462" s="2269"/>
      <c r="AN462" s="2269"/>
      <c r="AO462" s="2269"/>
      <c r="AP462" s="2269"/>
      <c r="AQ462" s="2269"/>
      <c r="AR462" s="2269"/>
      <c r="AS462" s="2269"/>
      <c r="AT462" s="2269"/>
      <c r="AU462" s="2269"/>
      <c r="AV462" s="2269"/>
      <c r="AW462" s="2269"/>
      <c r="AX462" s="2269"/>
      <c r="AY462" s="2269"/>
      <c r="AZ462" s="2269"/>
      <c r="BA462" s="2269"/>
      <c r="BB462" s="2269"/>
      <c r="BC462" s="2269"/>
      <c r="BD462" s="2269"/>
      <c r="BE462" s="2269"/>
      <c r="BF462" s="2269"/>
      <c r="BG462" s="2269"/>
      <c r="BH462" s="2269"/>
      <c r="BI462" s="2269"/>
      <c r="BJ462" s="2269"/>
      <c r="BK462" s="2269"/>
      <c r="BL462" s="2269"/>
      <c r="BM462" s="2269"/>
      <c r="BN462" s="2269"/>
      <c r="BO462" s="2269"/>
      <c r="BP462" s="2269"/>
      <c r="BQ462" s="2269"/>
      <c r="BR462" s="2269"/>
      <c r="BS462" s="2269"/>
      <c r="BT462" s="2269"/>
      <c r="BU462" s="2269"/>
      <c r="BV462" s="2269"/>
      <c r="BW462" s="2269"/>
      <c r="BX462" s="2269"/>
      <c r="BY462" s="2269"/>
      <c r="BZ462" s="2269"/>
      <c r="CA462" s="2269"/>
    </row>
    <row r="463" spans="1:79">
      <c r="A463" s="2269"/>
      <c r="B463" s="2269"/>
      <c r="C463" s="2269"/>
      <c r="D463" s="2269"/>
      <c r="E463" s="2269"/>
      <c r="F463" s="2269"/>
      <c r="G463" s="2269"/>
      <c r="H463" s="2269"/>
      <c r="I463" s="2269"/>
      <c r="J463" s="2269"/>
      <c r="K463" s="2269"/>
      <c r="L463" s="2269"/>
      <c r="M463" s="2269"/>
      <c r="N463" s="2269"/>
      <c r="O463" s="2269"/>
      <c r="P463" s="2269"/>
      <c r="Q463" s="2269"/>
      <c r="R463" s="2269"/>
      <c r="S463" s="2269"/>
      <c r="T463" s="2269"/>
      <c r="U463" s="2269"/>
      <c r="V463" s="2269"/>
      <c r="W463" s="2269"/>
      <c r="X463" s="2269"/>
      <c r="Y463" s="2269"/>
      <c r="Z463" s="2269"/>
      <c r="AA463" s="2269"/>
      <c r="AB463" s="2269"/>
      <c r="AC463" s="2269"/>
      <c r="AD463" s="2269"/>
      <c r="AE463" s="2269"/>
      <c r="AF463" s="2269"/>
      <c r="AG463" s="2269"/>
      <c r="AH463" s="2269"/>
      <c r="AI463" s="2269"/>
      <c r="AJ463" s="2269"/>
      <c r="AK463" s="2269"/>
      <c r="AL463" s="2269"/>
      <c r="AM463" s="2269"/>
      <c r="AN463" s="2269"/>
      <c r="AO463" s="2269"/>
      <c r="AP463" s="2269"/>
      <c r="AQ463" s="2269"/>
      <c r="AR463" s="2269"/>
      <c r="AS463" s="2269"/>
      <c r="AT463" s="2269"/>
      <c r="AU463" s="2269"/>
      <c r="AV463" s="2269"/>
      <c r="AW463" s="2269"/>
      <c r="AX463" s="2269"/>
      <c r="AY463" s="2269"/>
      <c r="AZ463" s="2269"/>
      <c r="BA463" s="2269"/>
      <c r="BB463" s="2269"/>
      <c r="BC463" s="2269"/>
      <c r="BD463" s="2269"/>
      <c r="BE463" s="2269"/>
      <c r="BF463" s="2269"/>
      <c r="BG463" s="2269"/>
      <c r="BH463" s="2269"/>
      <c r="BI463" s="2269"/>
      <c r="BJ463" s="2269"/>
      <c r="BK463" s="2269"/>
      <c r="BL463" s="2269"/>
      <c r="BM463" s="2269"/>
      <c r="BN463" s="2269"/>
      <c r="BO463" s="2269"/>
      <c r="BP463" s="2269"/>
      <c r="BQ463" s="2269"/>
      <c r="BR463" s="2269"/>
      <c r="BS463" s="2269"/>
      <c r="BT463" s="2269"/>
      <c r="BU463" s="2269"/>
      <c r="BV463" s="2269"/>
      <c r="BW463" s="2269"/>
      <c r="BX463" s="2269"/>
      <c r="BY463" s="2269"/>
      <c r="BZ463" s="2269"/>
      <c r="CA463" s="2269"/>
    </row>
    <row r="464" spans="1:79">
      <c r="A464" s="2269"/>
      <c r="B464" s="2269"/>
      <c r="C464" s="2269"/>
      <c r="D464" s="2269"/>
      <c r="E464" s="2269"/>
      <c r="F464" s="2269"/>
      <c r="G464" s="2269"/>
      <c r="H464" s="2269"/>
      <c r="I464" s="2269"/>
      <c r="J464" s="2269"/>
      <c r="K464" s="2269"/>
      <c r="L464" s="2269"/>
      <c r="M464" s="2269"/>
      <c r="N464" s="2269"/>
      <c r="O464" s="2269"/>
      <c r="P464" s="2269"/>
      <c r="Q464" s="2269"/>
      <c r="R464" s="2269"/>
      <c r="S464" s="2269"/>
      <c r="T464" s="2269"/>
      <c r="U464" s="2269"/>
      <c r="V464" s="2269"/>
      <c r="W464" s="2269"/>
      <c r="X464" s="2269"/>
      <c r="Y464" s="2269"/>
      <c r="Z464" s="2269"/>
      <c r="AA464" s="2269"/>
      <c r="AB464" s="2269"/>
      <c r="AC464" s="2269"/>
      <c r="AD464" s="2269"/>
      <c r="AE464" s="2269"/>
      <c r="AF464" s="2269"/>
      <c r="AG464" s="2269"/>
      <c r="AH464" s="2269"/>
      <c r="AI464" s="2269"/>
      <c r="AJ464" s="2269"/>
      <c r="AK464" s="2269"/>
      <c r="AL464" s="2269"/>
      <c r="AM464" s="2269"/>
      <c r="AN464" s="2269"/>
      <c r="AO464" s="2269"/>
      <c r="AP464" s="2269"/>
      <c r="AQ464" s="2269"/>
      <c r="AR464" s="2269"/>
      <c r="AS464" s="2269"/>
      <c r="AT464" s="2269"/>
      <c r="AU464" s="2269"/>
      <c r="AV464" s="2269"/>
      <c r="AW464" s="2269"/>
      <c r="AX464" s="2269"/>
      <c r="AY464" s="2269"/>
      <c r="AZ464" s="2269"/>
      <c r="BA464" s="2269"/>
      <c r="BB464" s="2269"/>
      <c r="BC464" s="2269"/>
      <c r="BD464" s="2269"/>
      <c r="BE464" s="2269"/>
      <c r="BF464" s="2269"/>
      <c r="BG464" s="2269"/>
      <c r="BH464" s="2269"/>
      <c r="BI464" s="2269"/>
      <c r="BJ464" s="2269"/>
      <c r="BK464" s="2269"/>
      <c r="BL464" s="2269"/>
      <c r="BM464" s="2269"/>
      <c r="BN464" s="2269"/>
      <c r="BO464" s="2269"/>
      <c r="BP464" s="2269"/>
      <c r="BQ464" s="2269"/>
      <c r="BR464" s="2269"/>
      <c r="BS464" s="2269"/>
      <c r="BT464" s="2269"/>
      <c r="BU464" s="2269"/>
      <c r="BV464" s="2269"/>
      <c r="BW464" s="2269"/>
      <c r="BX464" s="2269"/>
      <c r="BY464" s="2269"/>
      <c r="BZ464" s="2269"/>
      <c r="CA464" s="2269"/>
    </row>
    <row r="465" spans="1:79">
      <c r="A465" s="2269"/>
      <c r="B465" s="2269"/>
      <c r="C465" s="2269"/>
      <c r="D465" s="2269"/>
      <c r="E465" s="2269"/>
      <c r="F465" s="2269"/>
      <c r="G465" s="2269"/>
      <c r="H465" s="2269"/>
      <c r="I465" s="2269"/>
      <c r="J465" s="2269"/>
      <c r="K465" s="2269"/>
      <c r="L465" s="2269"/>
      <c r="M465" s="2269"/>
      <c r="N465" s="2269"/>
      <c r="O465" s="2269"/>
      <c r="P465" s="2269"/>
      <c r="Q465" s="2269"/>
      <c r="R465" s="2269"/>
      <c r="S465" s="2269"/>
      <c r="T465" s="2269"/>
      <c r="U465" s="2269"/>
      <c r="V465" s="2269"/>
      <c r="W465" s="2269"/>
      <c r="X465" s="2269"/>
      <c r="Y465" s="2269"/>
      <c r="Z465" s="2269"/>
      <c r="AA465" s="2269"/>
      <c r="AB465" s="2269"/>
      <c r="AC465" s="2269"/>
      <c r="AD465" s="2269"/>
      <c r="AE465" s="2269"/>
      <c r="AF465" s="2269"/>
      <c r="AG465" s="2269"/>
      <c r="AH465" s="2269"/>
      <c r="AI465" s="2269"/>
      <c r="AJ465" s="2269"/>
      <c r="AK465" s="2269"/>
      <c r="AL465" s="2269"/>
      <c r="AM465" s="2269"/>
      <c r="AN465" s="2269"/>
      <c r="AO465" s="2269"/>
      <c r="AP465" s="2269"/>
      <c r="AQ465" s="2269"/>
      <c r="AR465" s="2269"/>
      <c r="AS465" s="2269"/>
      <c r="AT465" s="2269"/>
      <c r="AU465" s="2269"/>
      <c r="AV465" s="2269"/>
      <c r="AW465" s="2269"/>
      <c r="AX465" s="2269"/>
      <c r="AY465" s="2269"/>
      <c r="AZ465" s="2269"/>
      <c r="BA465" s="2269"/>
      <c r="BB465" s="2269"/>
      <c r="BC465" s="2269"/>
      <c r="BD465" s="2269"/>
      <c r="BE465" s="2269"/>
      <c r="BF465" s="2269"/>
      <c r="BG465" s="2269"/>
      <c r="BH465" s="2269"/>
      <c r="BI465" s="2269"/>
      <c r="BJ465" s="2269"/>
      <c r="BK465" s="2269"/>
      <c r="BL465" s="2269"/>
      <c r="BM465" s="2269"/>
      <c r="BN465" s="2269"/>
      <c r="BO465" s="2269"/>
      <c r="BP465" s="2269"/>
      <c r="BQ465" s="2269"/>
      <c r="BR465" s="2269"/>
      <c r="BS465" s="2269"/>
      <c r="BT465" s="2269"/>
      <c r="BU465" s="2269"/>
      <c r="BV465" s="2269"/>
      <c r="BW465" s="2269"/>
      <c r="BX465" s="2269"/>
      <c r="BY465" s="2269"/>
      <c r="BZ465" s="2269"/>
      <c r="CA465" s="2269"/>
    </row>
    <row r="466" spans="1:79">
      <c r="A466" s="2269"/>
      <c r="B466" s="2269"/>
      <c r="C466" s="2269"/>
      <c r="D466" s="2269"/>
      <c r="E466" s="2269"/>
      <c r="F466" s="2269"/>
      <c r="G466" s="2269"/>
      <c r="H466" s="2269"/>
      <c r="I466" s="2269"/>
      <c r="J466" s="2269"/>
      <c r="K466" s="2269"/>
      <c r="L466" s="2269"/>
      <c r="M466" s="2269"/>
      <c r="N466" s="2269"/>
      <c r="O466" s="2269"/>
      <c r="P466" s="2269"/>
      <c r="Q466" s="2269"/>
      <c r="R466" s="2269"/>
      <c r="S466" s="2269"/>
      <c r="T466" s="2269"/>
      <c r="U466" s="2269"/>
      <c r="V466" s="2269"/>
      <c r="W466" s="2269"/>
      <c r="X466" s="2269"/>
      <c r="Y466" s="2269"/>
      <c r="Z466" s="2269"/>
      <c r="AA466" s="2269"/>
      <c r="AB466" s="2269"/>
      <c r="AC466" s="2269"/>
      <c r="AD466" s="2269"/>
      <c r="AE466" s="2269"/>
      <c r="AF466" s="2269"/>
      <c r="AG466" s="2269"/>
      <c r="AH466" s="2269"/>
      <c r="AI466" s="2269"/>
      <c r="AJ466" s="2269"/>
      <c r="AK466" s="2269"/>
      <c r="AL466" s="2269"/>
      <c r="AM466" s="2269"/>
      <c r="AN466" s="2269"/>
      <c r="AO466" s="2269"/>
      <c r="AP466" s="2269"/>
      <c r="AQ466" s="2269"/>
      <c r="AR466" s="2269"/>
      <c r="AS466" s="2269"/>
      <c r="AT466" s="2269"/>
      <c r="AU466" s="2269"/>
      <c r="AV466" s="2269"/>
      <c r="AW466" s="2269"/>
      <c r="AX466" s="2269"/>
      <c r="AY466" s="2269"/>
      <c r="AZ466" s="2269"/>
      <c r="BA466" s="2269"/>
      <c r="BB466" s="2269"/>
      <c r="BC466" s="2269"/>
      <c r="BD466" s="2269"/>
      <c r="BE466" s="2269"/>
      <c r="BF466" s="2269"/>
      <c r="BG466" s="2269"/>
      <c r="BH466" s="2269"/>
      <c r="BI466" s="2269"/>
      <c r="BJ466" s="2269"/>
      <c r="BK466" s="2269"/>
      <c r="BL466" s="2269"/>
      <c r="BM466" s="2269"/>
      <c r="BN466" s="2269"/>
      <c r="BO466" s="2269"/>
      <c r="BP466" s="2269"/>
      <c r="BQ466" s="2269"/>
      <c r="BR466" s="2269"/>
      <c r="BS466" s="2269"/>
      <c r="BT466" s="2269"/>
      <c r="BU466" s="2269"/>
      <c r="BV466" s="2269"/>
      <c r="BW466" s="2269"/>
      <c r="BX466" s="2269"/>
      <c r="BY466" s="2269"/>
      <c r="BZ466" s="2269"/>
      <c r="CA466" s="2269"/>
    </row>
    <row r="467" spans="1:79">
      <c r="A467" s="2269"/>
      <c r="B467" s="2269"/>
      <c r="C467" s="2269"/>
      <c r="D467" s="2269"/>
      <c r="E467" s="2269"/>
      <c r="F467" s="2269"/>
      <c r="G467" s="2269"/>
      <c r="H467" s="2269"/>
      <c r="I467" s="2269"/>
      <c r="J467" s="2269"/>
      <c r="K467" s="2269"/>
      <c r="L467" s="2269"/>
      <c r="M467" s="2269"/>
      <c r="N467" s="2269"/>
      <c r="O467" s="2269"/>
      <c r="P467" s="2269"/>
      <c r="Q467" s="2269"/>
      <c r="R467" s="2269"/>
      <c r="S467" s="2269"/>
      <c r="T467" s="2269"/>
      <c r="U467" s="2269"/>
      <c r="V467" s="2269"/>
      <c r="W467" s="2269"/>
      <c r="X467" s="2269"/>
      <c r="Y467" s="2269"/>
      <c r="Z467" s="2269"/>
      <c r="AA467" s="2269"/>
      <c r="AB467" s="2269"/>
      <c r="AC467" s="2269"/>
      <c r="AD467" s="2269"/>
      <c r="AE467" s="2269"/>
      <c r="AF467" s="2269"/>
      <c r="AG467" s="2269"/>
      <c r="AH467" s="2269"/>
      <c r="AI467" s="2269"/>
      <c r="AJ467" s="2269"/>
      <c r="AK467" s="2269"/>
      <c r="AL467" s="2269"/>
      <c r="AM467" s="2269"/>
      <c r="AN467" s="2269"/>
      <c r="AO467" s="2269"/>
      <c r="AP467" s="2269"/>
      <c r="AQ467" s="2269"/>
      <c r="AR467" s="2269"/>
      <c r="AS467" s="2269"/>
      <c r="AT467" s="2269"/>
      <c r="AU467" s="2269"/>
      <c r="AV467" s="2269"/>
      <c r="AW467" s="2269"/>
      <c r="AX467" s="2269"/>
      <c r="AY467" s="2269"/>
      <c r="AZ467" s="2269"/>
      <c r="BA467" s="2269"/>
      <c r="BB467" s="2269"/>
      <c r="BC467" s="2269"/>
      <c r="BD467" s="2269"/>
      <c r="BE467" s="2269"/>
      <c r="BF467" s="2269"/>
      <c r="BG467" s="2269"/>
      <c r="BH467" s="2269"/>
      <c r="BI467" s="2269"/>
      <c r="BJ467" s="2269"/>
      <c r="BK467" s="2269"/>
      <c r="BL467" s="2269"/>
      <c r="BM467" s="2269"/>
      <c r="BN467" s="2269"/>
      <c r="BO467" s="2269"/>
      <c r="BP467" s="2269"/>
      <c r="BQ467" s="2269"/>
      <c r="BR467" s="2269"/>
      <c r="BS467" s="2269"/>
      <c r="BT467" s="2269"/>
      <c r="BU467" s="2269"/>
      <c r="BV467" s="2269"/>
      <c r="BW467" s="2269"/>
      <c r="BX467" s="2269"/>
      <c r="BY467" s="2269"/>
      <c r="BZ467" s="2269"/>
      <c r="CA467" s="2269"/>
    </row>
    <row r="468" spans="1:79">
      <c r="A468" s="2269"/>
      <c r="B468" s="2269"/>
      <c r="C468" s="2269"/>
      <c r="D468" s="2269"/>
      <c r="E468" s="2269"/>
      <c r="F468" s="2269"/>
      <c r="G468" s="2269"/>
      <c r="H468" s="2269"/>
      <c r="I468" s="2269"/>
      <c r="J468" s="2269"/>
      <c r="K468" s="2269"/>
      <c r="L468" s="2269"/>
      <c r="M468" s="2269"/>
      <c r="N468" s="2269"/>
      <c r="O468" s="2269"/>
      <c r="P468" s="2269"/>
      <c r="Q468" s="2269"/>
      <c r="R468" s="2269"/>
      <c r="S468" s="2269"/>
      <c r="T468" s="2269"/>
      <c r="U468" s="2269"/>
      <c r="V468" s="2269"/>
      <c r="W468" s="2269"/>
      <c r="X468" s="2269"/>
      <c r="Y468" s="2269"/>
      <c r="Z468" s="2269"/>
      <c r="AA468" s="2269"/>
      <c r="AB468" s="2269"/>
      <c r="AC468" s="2269"/>
      <c r="AD468" s="2269"/>
      <c r="AE468" s="2269"/>
      <c r="AF468" s="2269"/>
      <c r="AG468" s="2269"/>
      <c r="AH468" s="2269"/>
      <c r="AI468" s="2269"/>
      <c r="AJ468" s="2269"/>
      <c r="AK468" s="2269"/>
      <c r="AL468" s="2269"/>
      <c r="AM468" s="2269"/>
      <c r="AN468" s="2269"/>
      <c r="AO468" s="2269"/>
      <c r="AP468" s="2269"/>
      <c r="AQ468" s="2269"/>
      <c r="AR468" s="2269"/>
      <c r="AS468" s="2269"/>
      <c r="AT468" s="2269"/>
      <c r="AU468" s="2269"/>
      <c r="AV468" s="2269"/>
      <c r="AW468" s="2269"/>
      <c r="AX468" s="2269"/>
      <c r="AY468" s="2269"/>
      <c r="AZ468" s="2269"/>
      <c r="BA468" s="2269"/>
      <c r="BB468" s="2269"/>
      <c r="BC468" s="2269"/>
      <c r="BD468" s="2269"/>
      <c r="BE468" s="2269"/>
      <c r="BF468" s="2269"/>
      <c r="BG468" s="2269"/>
      <c r="BH468" s="2269"/>
      <c r="BI468" s="2269"/>
      <c r="BJ468" s="2269"/>
      <c r="BK468" s="2269"/>
      <c r="BL468" s="2269"/>
      <c r="BM468" s="2269"/>
      <c r="BN468" s="2269"/>
      <c r="BO468" s="2269"/>
      <c r="BP468" s="2269"/>
      <c r="BQ468" s="2269"/>
      <c r="BR468" s="2269"/>
      <c r="BS468" s="2269"/>
      <c r="BT468" s="2269"/>
      <c r="BU468" s="2269"/>
      <c r="BV468" s="2269"/>
      <c r="BW468" s="2269"/>
      <c r="BX468" s="2269"/>
      <c r="BY468" s="2269"/>
      <c r="BZ468" s="2269"/>
      <c r="CA468" s="2269"/>
    </row>
    <row r="469" spans="1:79">
      <c r="A469" s="2269"/>
      <c r="B469" s="2269"/>
      <c r="C469" s="2269"/>
      <c r="D469" s="2269"/>
      <c r="E469" s="2269"/>
      <c r="F469" s="2269"/>
      <c r="G469" s="2269"/>
      <c r="H469" s="2269"/>
      <c r="I469" s="2269"/>
      <c r="J469" s="2269"/>
      <c r="K469" s="2269"/>
      <c r="L469" s="2269"/>
      <c r="M469" s="2269"/>
      <c r="N469" s="2269"/>
      <c r="O469" s="2269"/>
      <c r="P469" s="2269"/>
      <c r="Q469" s="2269"/>
      <c r="R469" s="2269"/>
      <c r="S469" s="2269"/>
      <c r="T469" s="2269"/>
      <c r="U469" s="2269"/>
      <c r="V469" s="2269"/>
      <c r="W469" s="2269"/>
      <c r="X469" s="2269"/>
      <c r="Y469" s="2269"/>
      <c r="Z469" s="2269"/>
      <c r="AA469" s="2269"/>
      <c r="AB469" s="2269"/>
      <c r="AC469" s="2269"/>
      <c r="AD469" s="2269"/>
      <c r="AE469" s="2269"/>
      <c r="AF469" s="2269"/>
      <c r="AG469" s="2269"/>
      <c r="AH469" s="2269"/>
      <c r="AI469" s="2269"/>
      <c r="AJ469" s="2269"/>
      <c r="AK469" s="2269"/>
      <c r="AL469" s="2269"/>
      <c r="AM469" s="2269"/>
      <c r="AN469" s="2269"/>
      <c r="AO469" s="2269"/>
      <c r="AP469" s="2269"/>
      <c r="AQ469" s="2269"/>
      <c r="AR469" s="2269"/>
      <c r="AS469" s="2269"/>
      <c r="AT469" s="2269"/>
      <c r="AU469" s="2269"/>
      <c r="AV469" s="2269"/>
      <c r="AW469" s="2269"/>
      <c r="AX469" s="2269"/>
      <c r="AY469" s="2269"/>
      <c r="AZ469" s="2269"/>
      <c r="BA469" s="2269"/>
      <c r="BB469" s="2269"/>
      <c r="BC469" s="2269"/>
      <c r="BD469" s="2269"/>
      <c r="BE469" s="2269"/>
      <c r="BF469" s="2269"/>
      <c r="BG469" s="2269"/>
      <c r="BH469" s="2269"/>
      <c r="BI469" s="2269"/>
      <c r="BJ469" s="2269"/>
      <c r="BK469" s="2269"/>
      <c r="BL469" s="2269"/>
      <c r="BM469" s="2269"/>
      <c r="BN469" s="2269"/>
      <c r="BO469" s="2269"/>
      <c r="BP469" s="2269"/>
      <c r="BQ469" s="2269"/>
      <c r="BR469" s="2269"/>
      <c r="BS469" s="2269"/>
      <c r="BT469" s="2269"/>
      <c r="BU469" s="2269"/>
      <c r="BV469" s="2269"/>
      <c r="BW469" s="2269"/>
      <c r="BX469" s="2269"/>
      <c r="BY469" s="2269"/>
      <c r="BZ469" s="2269"/>
      <c r="CA469" s="2269"/>
    </row>
    <row r="470" spans="1:79">
      <c r="A470" s="2269"/>
      <c r="B470" s="2269"/>
      <c r="C470" s="2269"/>
      <c r="D470" s="2269"/>
      <c r="E470" s="2269"/>
      <c r="F470" s="2269"/>
      <c r="G470" s="2269"/>
      <c r="H470" s="2269"/>
      <c r="I470" s="2269"/>
      <c r="J470" s="2269"/>
      <c r="K470" s="2269"/>
      <c r="L470" s="2269"/>
      <c r="M470" s="2269"/>
      <c r="N470" s="2269"/>
      <c r="O470" s="2269"/>
      <c r="P470" s="2269"/>
      <c r="Q470" s="2269"/>
      <c r="R470" s="2269"/>
      <c r="S470" s="2269"/>
      <c r="T470" s="2269"/>
      <c r="U470" s="2269"/>
      <c r="V470" s="2269"/>
      <c r="W470" s="2269"/>
      <c r="X470" s="2269"/>
      <c r="Y470" s="2269"/>
      <c r="Z470" s="2269"/>
      <c r="AA470" s="2269"/>
      <c r="AB470" s="2269"/>
      <c r="AC470" s="2269"/>
      <c r="AD470" s="2269"/>
      <c r="AE470" s="2269"/>
      <c r="AF470" s="2269"/>
      <c r="AG470" s="2269"/>
      <c r="AH470" s="2269"/>
      <c r="AI470" s="2269"/>
      <c r="AJ470" s="2269"/>
      <c r="AK470" s="2269"/>
      <c r="AL470" s="2269"/>
      <c r="AM470" s="2269"/>
      <c r="AN470" s="2269"/>
      <c r="AO470" s="2269"/>
      <c r="AP470" s="2269"/>
      <c r="AQ470" s="2269"/>
      <c r="AR470" s="2269"/>
      <c r="AS470" s="2269"/>
      <c r="AT470" s="2269"/>
      <c r="AU470" s="2269"/>
      <c r="AV470" s="2269"/>
      <c r="AW470" s="2269"/>
      <c r="AX470" s="2269"/>
      <c r="AY470" s="2269"/>
      <c r="AZ470" s="2269"/>
      <c r="BA470" s="2269"/>
      <c r="BB470" s="2269"/>
      <c r="BC470" s="2269"/>
      <c r="BD470" s="2269"/>
      <c r="BE470" s="2269"/>
      <c r="BF470" s="2269"/>
      <c r="BG470" s="2269"/>
      <c r="BH470" s="2269"/>
      <c r="BI470" s="2269"/>
      <c r="BJ470" s="2269"/>
      <c r="BK470" s="2269"/>
      <c r="BL470" s="2269"/>
      <c r="BM470" s="2269"/>
      <c r="BN470" s="2269"/>
      <c r="BO470" s="2269"/>
      <c r="BP470" s="2269"/>
      <c r="BQ470" s="2269"/>
      <c r="BR470" s="2269"/>
      <c r="BS470" s="2269"/>
      <c r="BT470" s="2269"/>
      <c r="BU470" s="2269"/>
      <c r="BV470" s="2269"/>
      <c r="BW470" s="2269"/>
      <c r="BX470" s="2269"/>
      <c r="BY470" s="2269"/>
      <c r="BZ470" s="2269"/>
      <c r="CA470" s="2269"/>
    </row>
    <row r="471" spans="1:79">
      <c r="A471" s="2269"/>
      <c r="B471" s="2269"/>
      <c r="C471" s="2269"/>
      <c r="D471" s="2269"/>
      <c r="E471" s="2269"/>
      <c r="F471" s="2269"/>
      <c r="G471" s="2269"/>
      <c r="H471" s="2269"/>
      <c r="I471" s="2269"/>
      <c r="J471" s="2269"/>
      <c r="K471" s="2269"/>
      <c r="L471" s="2269"/>
      <c r="M471" s="2269"/>
      <c r="N471" s="2269"/>
      <c r="O471" s="2269"/>
      <c r="P471" s="2269"/>
      <c r="Q471" s="2269"/>
      <c r="R471" s="2269"/>
      <c r="S471" s="2269"/>
      <c r="T471" s="2269"/>
      <c r="U471" s="2269"/>
      <c r="V471" s="2269"/>
      <c r="W471" s="2269"/>
      <c r="X471" s="2269"/>
      <c r="Y471" s="2269"/>
      <c r="Z471" s="2269"/>
      <c r="AA471" s="2269"/>
      <c r="AB471" s="2269"/>
      <c r="AC471" s="2269"/>
      <c r="AD471" s="2269"/>
      <c r="AE471" s="2269"/>
      <c r="AF471" s="2269"/>
      <c r="AG471" s="2269"/>
      <c r="AH471" s="2269"/>
      <c r="AI471" s="2269"/>
      <c r="AJ471" s="2269"/>
      <c r="AK471" s="2269"/>
      <c r="AL471" s="2269"/>
      <c r="AM471" s="2269"/>
      <c r="AN471" s="2269"/>
      <c r="AO471" s="2269"/>
      <c r="AP471" s="2269"/>
      <c r="AQ471" s="2269"/>
      <c r="AR471" s="2269"/>
      <c r="AS471" s="2269"/>
      <c r="AT471" s="2269"/>
      <c r="AU471" s="2269"/>
      <c r="AV471" s="2269"/>
      <c r="AW471" s="2269"/>
      <c r="AX471" s="2269"/>
      <c r="AY471" s="2269"/>
      <c r="AZ471" s="2269"/>
      <c r="BA471" s="2269"/>
      <c r="BB471" s="2269"/>
      <c r="BC471" s="2269"/>
      <c r="BD471" s="2269"/>
      <c r="BE471" s="2269"/>
      <c r="BF471" s="2269"/>
      <c r="BG471" s="2269"/>
      <c r="BH471" s="2269"/>
      <c r="BI471" s="2269"/>
      <c r="BJ471" s="2269"/>
      <c r="BK471" s="2269"/>
      <c r="BL471" s="2269"/>
      <c r="BM471" s="2269"/>
      <c r="BN471" s="2269"/>
      <c r="BO471" s="2269"/>
      <c r="BP471" s="2269"/>
      <c r="BQ471" s="2269"/>
      <c r="BR471" s="2269"/>
      <c r="BS471" s="2269"/>
      <c r="BT471" s="2269"/>
      <c r="BU471" s="2269"/>
      <c r="BV471" s="2269"/>
      <c r="BW471" s="2269"/>
      <c r="BX471" s="2269"/>
      <c r="BY471" s="2269"/>
      <c r="BZ471" s="2269"/>
      <c r="CA471" s="2269"/>
    </row>
    <row r="472" spans="1:79">
      <c r="A472" s="2269"/>
      <c r="B472" s="2269"/>
      <c r="C472" s="2269"/>
      <c r="D472" s="2269"/>
      <c r="E472" s="2269"/>
      <c r="F472" s="2269"/>
      <c r="G472" s="2269"/>
      <c r="H472" s="2269"/>
      <c r="I472" s="2269"/>
      <c r="J472" s="2269"/>
      <c r="K472" s="2269"/>
      <c r="L472" s="2269"/>
      <c r="M472" s="2269"/>
      <c r="N472" s="2269"/>
      <c r="O472" s="2269"/>
      <c r="P472" s="2269"/>
      <c r="Q472" s="2269"/>
      <c r="R472" s="2269"/>
      <c r="S472" s="2269"/>
      <c r="T472" s="2269"/>
      <c r="U472" s="2269"/>
      <c r="V472" s="2269"/>
      <c r="W472" s="2269"/>
      <c r="X472" s="2269"/>
      <c r="Y472" s="2269"/>
      <c r="Z472" s="2269"/>
      <c r="AA472" s="2269"/>
      <c r="AB472" s="2269"/>
      <c r="AC472" s="2269"/>
      <c r="AD472" s="2269"/>
      <c r="AE472" s="2269"/>
      <c r="AF472" s="2269"/>
      <c r="AG472" s="2269"/>
      <c r="AH472" s="2269"/>
      <c r="AI472" s="2269"/>
      <c r="AJ472" s="2269"/>
      <c r="AK472" s="2269"/>
      <c r="AL472" s="2269"/>
      <c r="AM472" s="2269"/>
      <c r="AN472" s="2269"/>
      <c r="AO472" s="2269"/>
      <c r="AP472" s="2269"/>
      <c r="AQ472" s="2269"/>
      <c r="AR472" s="2269"/>
      <c r="AS472" s="2269"/>
      <c r="AT472" s="2269"/>
      <c r="AU472" s="2269"/>
      <c r="AV472" s="2269"/>
      <c r="AW472" s="2269"/>
      <c r="AX472" s="2269"/>
      <c r="AY472" s="2269"/>
      <c r="AZ472" s="2269"/>
      <c r="BA472" s="2269"/>
      <c r="BB472" s="2269"/>
      <c r="BC472" s="2269"/>
      <c r="BD472" s="2269"/>
      <c r="BE472" s="2269"/>
      <c r="BF472" s="2269"/>
      <c r="BG472" s="2269"/>
      <c r="BH472" s="2269"/>
      <c r="BI472" s="2269"/>
      <c r="BJ472" s="2269"/>
      <c r="BK472" s="2269"/>
      <c r="BL472" s="2269"/>
      <c r="BM472" s="2269"/>
      <c r="BN472" s="2269"/>
      <c r="BO472" s="2269"/>
      <c r="BP472" s="2269"/>
      <c r="BQ472" s="2269"/>
      <c r="BR472" s="2269"/>
      <c r="BS472" s="2269"/>
      <c r="BT472" s="2269"/>
      <c r="BU472" s="2269"/>
      <c r="BV472" s="2269"/>
      <c r="BW472" s="2269"/>
      <c r="BX472" s="2269"/>
      <c r="BY472" s="2269"/>
      <c r="BZ472" s="2269"/>
      <c r="CA472" s="2269"/>
    </row>
    <row r="473" spans="1:79">
      <c r="A473" s="2269"/>
      <c r="B473" s="2269"/>
      <c r="C473" s="2269"/>
      <c r="D473" s="2269"/>
      <c r="E473" s="2269"/>
      <c r="F473" s="2269"/>
      <c r="G473" s="2269"/>
      <c r="H473" s="2269"/>
      <c r="I473" s="2269"/>
      <c r="J473" s="2269"/>
      <c r="K473" s="2269"/>
      <c r="L473" s="2269"/>
      <c r="M473" s="2269"/>
      <c r="N473" s="2269"/>
      <c r="O473" s="2269"/>
      <c r="P473" s="2269"/>
      <c r="Q473" s="2269"/>
      <c r="R473" s="2269"/>
      <c r="S473" s="2269"/>
      <c r="T473" s="2269"/>
      <c r="U473" s="2269"/>
      <c r="V473" s="2269"/>
      <c r="W473" s="2269"/>
      <c r="X473" s="2269"/>
      <c r="Y473" s="2269"/>
      <c r="Z473" s="2269"/>
      <c r="AA473" s="2269"/>
      <c r="AB473" s="2269"/>
      <c r="AC473" s="2269"/>
      <c r="AD473" s="2269"/>
      <c r="AE473" s="2269"/>
      <c r="AF473" s="2269"/>
      <c r="AG473" s="2269"/>
      <c r="AH473" s="2269"/>
      <c r="AI473" s="2269"/>
      <c r="AJ473" s="2269"/>
      <c r="AK473" s="2269"/>
      <c r="AL473" s="2269"/>
      <c r="AM473" s="2269"/>
      <c r="AN473" s="2269"/>
      <c r="AO473" s="2269"/>
      <c r="AP473" s="2269"/>
      <c r="AQ473" s="2269"/>
      <c r="AR473" s="2269"/>
      <c r="AS473" s="2269"/>
      <c r="AT473" s="2269"/>
      <c r="AU473" s="2269"/>
      <c r="AV473" s="2269"/>
      <c r="AW473" s="2269"/>
      <c r="AX473" s="2269"/>
      <c r="AY473" s="2269"/>
      <c r="AZ473" s="2269"/>
      <c r="BA473" s="2269"/>
      <c r="BB473" s="2269"/>
      <c r="BC473" s="2269"/>
      <c r="BD473" s="2269"/>
      <c r="BE473" s="2269"/>
      <c r="BF473" s="2269"/>
      <c r="BG473" s="2269"/>
      <c r="BH473" s="2269"/>
      <c r="BI473" s="2269"/>
      <c r="BJ473" s="2269"/>
      <c r="BK473" s="2269"/>
      <c r="BL473" s="2269"/>
      <c r="BM473" s="2269"/>
      <c r="BN473" s="2269"/>
      <c r="BO473" s="2269"/>
      <c r="BP473" s="2269"/>
      <c r="BQ473" s="2269"/>
      <c r="BR473" s="2269"/>
      <c r="BS473" s="2269"/>
      <c r="BT473" s="2269"/>
      <c r="BU473" s="2269"/>
      <c r="BV473" s="2269"/>
      <c r="BW473" s="2269"/>
      <c r="BX473" s="2269"/>
      <c r="BY473" s="2269"/>
      <c r="BZ473" s="2269"/>
      <c r="CA473" s="2269"/>
    </row>
    <row r="474" spans="1:79">
      <c r="A474" s="2269"/>
      <c r="B474" s="2269"/>
      <c r="C474" s="2269"/>
      <c r="D474" s="2269"/>
      <c r="E474" s="2269"/>
      <c r="F474" s="2269"/>
      <c r="G474" s="2269"/>
      <c r="H474" s="2269"/>
      <c r="I474" s="2269"/>
      <c r="J474" s="2269"/>
      <c r="K474" s="2269"/>
      <c r="L474" s="2269"/>
      <c r="M474" s="2269"/>
      <c r="N474" s="2269"/>
      <c r="O474" s="2269"/>
      <c r="P474" s="2269"/>
      <c r="Q474" s="2269"/>
      <c r="R474" s="2269"/>
      <c r="S474" s="2269"/>
      <c r="T474" s="2269"/>
      <c r="U474" s="2269"/>
      <c r="V474" s="2269"/>
      <c r="W474" s="2269"/>
      <c r="X474" s="2269"/>
      <c r="Y474" s="2269"/>
      <c r="Z474" s="2269"/>
      <c r="AA474" s="2269"/>
      <c r="AB474" s="2269"/>
      <c r="AC474" s="2269"/>
      <c r="AD474" s="2269"/>
      <c r="AE474" s="2269"/>
      <c r="AF474" s="2269"/>
      <c r="AG474" s="2269"/>
      <c r="AH474" s="2269"/>
      <c r="AI474" s="2269"/>
      <c r="AJ474" s="2269"/>
      <c r="AK474" s="2269"/>
      <c r="AL474" s="2269"/>
      <c r="AM474" s="2269"/>
      <c r="AN474" s="2269"/>
      <c r="AO474" s="2269"/>
      <c r="AP474" s="2269"/>
      <c r="AQ474" s="2269"/>
      <c r="AR474" s="2269"/>
      <c r="AS474" s="2269"/>
      <c r="AT474" s="2269"/>
      <c r="AU474" s="2269"/>
      <c r="AV474" s="2269"/>
      <c r="AW474" s="2269"/>
      <c r="AX474" s="2269"/>
      <c r="AY474" s="2269"/>
      <c r="AZ474" s="2269"/>
      <c r="BA474" s="2269"/>
      <c r="BB474" s="2269"/>
      <c r="BC474" s="2269"/>
      <c r="BD474" s="2269"/>
      <c r="BE474" s="2269"/>
      <c r="BF474" s="2269"/>
      <c r="BG474" s="2269"/>
      <c r="BH474" s="2269"/>
      <c r="BI474" s="2269"/>
      <c r="BJ474" s="2269"/>
      <c r="BK474" s="2269"/>
      <c r="BL474" s="2269"/>
      <c r="BM474" s="2269"/>
      <c r="BN474" s="2269"/>
      <c r="BO474" s="2269"/>
      <c r="BP474" s="2269"/>
      <c r="BQ474" s="2269"/>
      <c r="BR474" s="2269"/>
      <c r="BS474" s="2269"/>
      <c r="BT474" s="2269"/>
      <c r="BU474" s="2269"/>
      <c r="BV474" s="2269"/>
      <c r="BW474" s="2269"/>
      <c r="BX474" s="2269"/>
      <c r="BY474" s="2269"/>
      <c r="BZ474" s="2269"/>
      <c r="CA474" s="2269"/>
    </row>
    <row r="475" spans="1:79">
      <c r="A475" s="2269"/>
      <c r="B475" s="2269"/>
      <c r="C475" s="2269"/>
      <c r="D475" s="2269"/>
      <c r="E475" s="2269"/>
      <c r="F475" s="2269"/>
      <c r="G475" s="2269"/>
      <c r="H475" s="2269"/>
      <c r="I475" s="2269"/>
      <c r="J475" s="2269"/>
      <c r="K475" s="2269"/>
      <c r="L475" s="2269"/>
      <c r="M475" s="2269"/>
      <c r="N475" s="2269"/>
      <c r="O475" s="2269"/>
      <c r="P475" s="2269"/>
      <c r="Q475" s="2269"/>
      <c r="R475" s="2269"/>
      <c r="S475" s="2269"/>
      <c r="T475" s="2269"/>
      <c r="U475" s="2269"/>
      <c r="V475" s="2269"/>
      <c r="W475" s="2269"/>
      <c r="X475" s="2269"/>
      <c r="Y475" s="2269"/>
      <c r="Z475" s="2269"/>
      <c r="AA475" s="2269"/>
      <c r="AB475" s="2269"/>
      <c r="AC475" s="2269"/>
      <c r="AD475" s="2269"/>
      <c r="AE475" s="2269"/>
      <c r="AF475" s="2269"/>
      <c r="AG475" s="2269"/>
      <c r="AH475" s="2269"/>
      <c r="AI475" s="2269"/>
      <c r="AJ475" s="2269"/>
      <c r="AK475" s="2269"/>
      <c r="AL475" s="2269"/>
      <c r="AM475" s="2269"/>
      <c r="AN475" s="2269"/>
      <c r="AO475" s="2269"/>
      <c r="AP475" s="2269"/>
      <c r="AQ475" s="2269"/>
      <c r="AR475" s="2269"/>
      <c r="AS475" s="2269"/>
      <c r="AT475" s="2269"/>
      <c r="AU475" s="2269"/>
      <c r="AV475" s="2269"/>
      <c r="AW475" s="2269"/>
      <c r="AX475" s="2269"/>
      <c r="AY475" s="2269"/>
      <c r="AZ475" s="2269"/>
      <c r="BA475" s="2269"/>
      <c r="BB475" s="2269"/>
      <c r="BC475" s="2269"/>
      <c r="BD475" s="2269"/>
      <c r="BE475" s="2269"/>
      <c r="BF475" s="2269"/>
      <c r="BG475" s="2269"/>
      <c r="BH475" s="2269"/>
      <c r="BI475" s="2269"/>
      <c r="BJ475" s="2269"/>
      <c r="BK475" s="2269"/>
      <c r="BL475" s="2269"/>
      <c r="BM475" s="2269"/>
      <c r="BN475" s="2269"/>
      <c r="BO475" s="2269"/>
      <c r="BP475" s="2269"/>
      <c r="BQ475" s="2269"/>
      <c r="BR475" s="2269"/>
      <c r="BS475" s="2269"/>
      <c r="BT475" s="2269"/>
      <c r="BU475" s="2269"/>
      <c r="BV475" s="2269"/>
      <c r="BW475" s="2269"/>
      <c r="BX475" s="2269"/>
      <c r="BY475" s="2269"/>
      <c r="BZ475" s="2269"/>
      <c r="CA475" s="2269"/>
    </row>
    <row r="476" spans="1:79">
      <c r="A476" s="2269"/>
      <c r="B476" s="2269"/>
      <c r="C476" s="2269"/>
      <c r="D476" s="2269"/>
      <c r="E476" s="2269"/>
      <c r="F476" s="2269"/>
      <c r="G476" s="2269"/>
      <c r="H476" s="2269"/>
      <c r="I476" s="2269"/>
      <c r="J476" s="2269"/>
      <c r="K476" s="2269"/>
      <c r="L476" s="2269"/>
      <c r="M476" s="2269"/>
      <c r="N476" s="2269"/>
      <c r="O476" s="2269"/>
      <c r="P476" s="2269"/>
      <c r="Q476" s="2269"/>
      <c r="R476" s="2269"/>
      <c r="S476" s="2269"/>
      <c r="T476" s="2269"/>
      <c r="U476" s="2269"/>
      <c r="V476" s="2269"/>
      <c r="W476" s="2269"/>
      <c r="X476" s="2269"/>
      <c r="Y476" s="2269"/>
      <c r="Z476" s="2269"/>
      <c r="AA476" s="2269"/>
      <c r="AB476" s="2269"/>
      <c r="AC476" s="2269"/>
      <c r="AD476" s="2269"/>
      <c r="AE476" s="2269"/>
      <c r="AF476" s="2269"/>
      <c r="AG476" s="2269"/>
      <c r="AH476" s="2269"/>
      <c r="AI476" s="2269"/>
      <c r="AJ476" s="2269"/>
      <c r="AK476" s="2269"/>
      <c r="AL476" s="2269"/>
      <c r="AM476" s="2269"/>
      <c r="AN476" s="2269"/>
      <c r="AO476" s="2269"/>
      <c r="AP476" s="2269"/>
      <c r="AQ476" s="2269"/>
      <c r="AR476" s="2269"/>
      <c r="AS476" s="2269"/>
      <c r="AT476" s="2269"/>
      <c r="AU476" s="2269"/>
      <c r="AV476" s="2269"/>
      <c r="AW476" s="2269"/>
      <c r="AX476" s="2269"/>
      <c r="AY476" s="2269"/>
      <c r="AZ476" s="2269"/>
      <c r="BA476" s="2269"/>
      <c r="BB476" s="2269"/>
      <c r="BC476" s="2269"/>
      <c r="BD476" s="2269"/>
      <c r="BE476" s="2269"/>
      <c r="BF476" s="2269"/>
      <c r="BG476" s="2269"/>
      <c r="BH476" s="2269"/>
      <c r="BI476" s="2269"/>
      <c r="BJ476" s="2269"/>
      <c r="BK476" s="2269"/>
      <c r="BL476" s="2269"/>
      <c r="BM476" s="2269"/>
      <c r="BN476" s="2269"/>
      <c r="BO476" s="2269"/>
      <c r="BP476" s="2269"/>
      <c r="BQ476" s="2269"/>
      <c r="BR476" s="2269"/>
      <c r="BS476" s="2269"/>
      <c r="BT476" s="2269"/>
      <c r="BU476" s="2269"/>
      <c r="BV476" s="2269"/>
      <c r="BW476" s="2269"/>
      <c r="BX476" s="2269"/>
      <c r="BY476" s="2269"/>
      <c r="BZ476" s="2269"/>
      <c r="CA476" s="2269"/>
    </row>
    <row r="477" spans="1:79">
      <c r="A477" s="2269"/>
      <c r="B477" s="2269"/>
      <c r="C477" s="2269"/>
      <c r="D477" s="2269"/>
      <c r="E477" s="2269"/>
      <c r="F477" s="2269"/>
      <c r="G477" s="2269"/>
      <c r="H477" s="2269"/>
      <c r="I477" s="2269"/>
      <c r="J477" s="2269"/>
      <c r="K477" s="2269"/>
      <c r="L477" s="2269"/>
      <c r="M477" s="2269"/>
      <c r="N477" s="2269"/>
      <c r="O477" s="2269"/>
      <c r="P477" s="2269"/>
      <c r="Q477" s="2269"/>
      <c r="R477" s="2269"/>
      <c r="S477" s="2269"/>
      <c r="T477" s="2269"/>
      <c r="U477" s="2269"/>
      <c r="V477" s="2269"/>
      <c r="W477" s="2269"/>
      <c r="X477" s="2269"/>
      <c r="Y477" s="2269"/>
      <c r="Z477" s="2269"/>
      <c r="AA477" s="2269"/>
      <c r="AB477" s="2269"/>
      <c r="AC477" s="2269"/>
      <c r="AD477" s="2269"/>
      <c r="AE477" s="2269"/>
      <c r="AF477" s="2269"/>
      <c r="AG477" s="2269"/>
      <c r="AH477" s="2269"/>
      <c r="AI477" s="2269"/>
      <c r="AJ477" s="2269"/>
      <c r="AK477" s="2269"/>
      <c r="AL477" s="2269"/>
      <c r="AM477" s="2269"/>
      <c r="AN477" s="2269"/>
      <c r="AO477" s="2269"/>
      <c r="AP477" s="2269"/>
      <c r="AQ477" s="2269"/>
      <c r="AR477" s="2269"/>
      <c r="AS477" s="2269"/>
      <c r="AT477" s="2269"/>
      <c r="AU477" s="2269"/>
      <c r="AV477" s="2269"/>
      <c r="AW477" s="2269"/>
      <c r="AX477" s="2269"/>
      <c r="AY477" s="2269"/>
      <c r="AZ477" s="2269"/>
      <c r="BA477" s="2269"/>
      <c r="BB477" s="2269"/>
      <c r="BC477" s="2269"/>
      <c r="BD477" s="2269"/>
      <c r="BE477" s="2269"/>
      <c r="BF477" s="2269"/>
      <c r="BG477" s="2269"/>
      <c r="BH477" s="2269"/>
      <c r="BI477" s="2269"/>
      <c r="BJ477" s="2269"/>
      <c r="BK477" s="2269"/>
      <c r="BL477" s="2269"/>
      <c r="BM477" s="2269"/>
      <c r="BN477" s="2269"/>
      <c r="BO477" s="2269"/>
      <c r="BP477" s="2269"/>
      <c r="BQ477" s="2269"/>
      <c r="BR477" s="2269"/>
      <c r="BS477" s="2269"/>
      <c r="BT477" s="2269"/>
      <c r="BU477" s="2269"/>
      <c r="BV477" s="2269"/>
      <c r="BW477" s="2269"/>
      <c r="BX477" s="2269"/>
      <c r="BY477" s="2269"/>
      <c r="BZ477" s="2269"/>
      <c r="CA477" s="2269"/>
    </row>
    <row r="478" spans="1:79">
      <c r="A478" s="2269"/>
      <c r="B478" s="2269"/>
      <c r="C478" s="2269"/>
      <c r="D478" s="2269"/>
      <c r="E478" s="2269"/>
      <c r="F478" s="2269"/>
      <c r="G478" s="2269"/>
      <c r="H478" s="2269"/>
      <c r="I478" s="2269"/>
      <c r="J478" s="2269"/>
      <c r="K478" s="2269"/>
      <c r="L478" s="2269"/>
      <c r="M478" s="2269"/>
      <c r="N478" s="2269"/>
      <c r="O478" s="2269"/>
      <c r="P478" s="2269"/>
      <c r="Q478" s="2269"/>
      <c r="R478" s="2269"/>
      <c r="S478" s="2269"/>
      <c r="T478" s="2269"/>
      <c r="U478" s="2269"/>
      <c r="V478" s="2269"/>
      <c r="W478" s="2269"/>
      <c r="X478" s="2269"/>
      <c r="Y478" s="2269"/>
      <c r="Z478" s="2269"/>
      <c r="AA478" s="2269"/>
      <c r="AB478" s="2269"/>
      <c r="AC478" s="2269"/>
      <c r="AD478" s="2269"/>
      <c r="AE478" s="2269"/>
      <c r="AF478" s="2269"/>
      <c r="AG478" s="2269"/>
      <c r="AH478" s="2269"/>
      <c r="AI478" s="2269"/>
      <c r="AJ478" s="2269"/>
      <c r="AK478" s="2269"/>
      <c r="AL478" s="2269"/>
      <c r="AM478" s="2269"/>
      <c r="AN478" s="2269"/>
      <c r="AO478" s="2269"/>
      <c r="AP478" s="2269"/>
      <c r="AQ478" s="2269"/>
      <c r="AR478" s="2269"/>
      <c r="AS478" s="2269"/>
      <c r="AT478" s="2269"/>
      <c r="AU478" s="2269"/>
      <c r="AV478" s="2269"/>
      <c r="AW478" s="2269"/>
      <c r="AX478" s="2269"/>
      <c r="AY478" s="2269"/>
      <c r="AZ478" s="2269"/>
      <c r="BA478" s="2269"/>
      <c r="BB478" s="2269"/>
      <c r="BC478" s="2269"/>
      <c r="BD478" s="2269"/>
      <c r="BE478" s="2269"/>
      <c r="BF478" s="2269"/>
      <c r="BG478" s="2269"/>
      <c r="BH478" s="2269"/>
      <c r="BI478" s="2269"/>
      <c r="BJ478" s="2269"/>
      <c r="BK478" s="2269"/>
      <c r="BL478" s="2269"/>
      <c r="BM478" s="2269"/>
      <c r="BN478" s="2269"/>
      <c r="BO478" s="2269"/>
      <c r="BP478" s="2269"/>
      <c r="BQ478" s="2269"/>
      <c r="BR478" s="2269"/>
      <c r="BS478" s="2269"/>
      <c r="BT478" s="2269"/>
      <c r="BU478" s="2269"/>
      <c r="BV478" s="2269"/>
      <c r="BW478" s="2269"/>
      <c r="BX478" s="2269"/>
      <c r="BY478" s="2269"/>
      <c r="BZ478" s="2269"/>
      <c r="CA478" s="2269"/>
    </row>
    <row r="479" spans="1:79">
      <c r="A479" s="2269"/>
      <c r="B479" s="2269"/>
      <c r="C479" s="2269"/>
      <c r="D479" s="2269"/>
      <c r="E479" s="2269"/>
      <c r="F479" s="2269"/>
      <c r="G479" s="2269"/>
      <c r="H479" s="2269"/>
      <c r="I479" s="2269"/>
      <c r="J479" s="2269"/>
      <c r="K479" s="2269"/>
      <c r="L479" s="2269"/>
      <c r="M479" s="2269"/>
      <c r="N479" s="2269"/>
      <c r="O479" s="2269"/>
      <c r="P479" s="2269"/>
      <c r="Q479" s="2269"/>
      <c r="R479" s="2269"/>
      <c r="S479" s="2269"/>
      <c r="T479" s="2269"/>
      <c r="U479" s="2269"/>
      <c r="V479" s="2269"/>
      <c r="W479" s="2269"/>
      <c r="X479" s="2269"/>
      <c r="Y479" s="2269"/>
      <c r="Z479" s="2269"/>
      <c r="AA479" s="2269"/>
      <c r="AB479" s="2269"/>
      <c r="AC479" s="2269"/>
      <c r="AD479" s="2269"/>
      <c r="AE479" s="2269"/>
      <c r="AF479" s="2269"/>
      <c r="AG479" s="2269"/>
      <c r="AH479" s="2269"/>
      <c r="AI479" s="2269"/>
      <c r="AJ479" s="2269"/>
      <c r="AK479" s="2269"/>
      <c r="AL479" s="2269"/>
      <c r="AM479" s="2269"/>
      <c r="AN479" s="2269"/>
      <c r="AO479" s="2269"/>
      <c r="AP479" s="2269"/>
      <c r="AQ479" s="2269"/>
      <c r="AR479" s="2269"/>
      <c r="AS479" s="2269"/>
      <c r="AT479" s="2269"/>
      <c r="AU479" s="2269"/>
      <c r="AV479" s="2269"/>
      <c r="AW479" s="2269"/>
      <c r="AX479" s="2269"/>
      <c r="AY479" s="2269"/>
      <c r="AZ479" s="2269"/>
      <c r="BA479" s="2269"/>
      <c r="BB479" s="2269"/>
      <c r="BC479" s="2269"/>
      <c r="BD479" s="2269"/>
      <c r="BE479" s="2269"/>
      <c r="BF479" s="2269"/>
      <c r="BG479" s="2269"/>
      <c r="BH479" s="2269"/>
      <c r="BI479" s="2269"/>
      <c r="BJ479" s="2269"/>
      <c r="BK479" s="2269"/>
      <c r="BL479" s="2269"/>
      <c r="BM479" s="2269"/>
      <c r="BN479" s="2269"/>
      <c r="BO479" s="2269"/>
      <c r="BP479" s="2269"/>
      <c r="BQ479" s="2269"/>
      <c r="BR479" s="2269"/>
      <c r="BS479" s="2269"/>
      <c r="BT479" s="2269"/>
      <c r="BU479" s="2269"/>
      <c r="BV479" s="2269"/>
      <c r="BW479" s="2269"/>
      <c r="BX479" s="2269"/>
      <c r="BY479" s="2269"/>
      <c r="BZ479" s="2269"/>
      <c r="CA479" s="2269"/>
    </row>
    <row r="480" spans="1:79">
      <c r="A480" s="2269"/>
      <c r="B480" s="2269"/>
      <c r="C480" s="2269"/>
      <c r="D480" s="2269"/>
      <c r="E480" s="2269"/>
      <c r="F480" s="2269"/>
      <c r="G480" s="2269"/>
      <c r="H480" s="2269"/>
      <c r="I480" s="2269"/>
      <c r="J480" s="2269"/>
      <c r="K480" s="2269"/>
      <c r="L480" s="2269"/>
      <c r="M480" s="2269"/>
      <c r="N480" s="2269"/>
      <c r="O480" s="2269"/>
      <c r="P480" s="2269"/>
      <c r="Q480" s="2269"/>
      <c r="R480" s="2269"/>
      <c r="S480" s="2269"/>
      <c r="T480" s="2269"/>
      <c r="U480" s="2269"/>
      <c r="V480" s="2269"/>
      <c r="W480" s="2269"/>
      <c r="X480" s="2269"/>
      <c r="Y480" s="2269"/>
      <c r="Z480" s="2269"/>
      <c r="AA480" s="2269"/>
      <c r="AB480" s="2269"/>
      <c r="AC480" s="2269"/>
      <c r="AD480" s="2269"/>
      <c r="AE480" s="2269"/>
      <c r="AF480" s="2269"/>
      <c r="AG480" s="2269"/>
      <c r="AH480" s="2269"/>
      <c r="AI480" s="2269"/>
      <c r="AJ480" s="2269"/>
      <c r="AK480" s="2269"/>
      <c r="AL480" s="2269"/>
      <c r="AM480" s="2269"/>
      <c r="AN480" s="2269"/>
      <c r="AO480" s="2269"/>
      <c r="AP480" s="2269"/>
      <c r="AQ480" s="2269"/>
      <c r="AR480" s="2269"/>
      <c r="AS480" s="2269"/>
      <c r="AT480" s="2269"/>
      <c r="AU480" s="2269"/>
      <c r="AV480" s="2269"/>
      <c r="AW480" s="2269"/>
      <c r="AX480" s="2269"/>
      <c r="AY480" s="2269"/>
      <c r="AZ480" s="2269"/>
      <c r="BA480" s="2269"/>
      <c r="BB480" s="2269"/>
      <c r="BC480" s="2269"/>
      <c r="BD480" s="2269"/>
      <c r="BE480" s="2269"/>
      <c r="BF480" s="2269"/>
      <c r="BG480" s="2269"/>
      <c r="BH480" s="2269"/>
      <c r="BI480" s="2269"/>
      <c r="BJ480" s="2269"/>
      <c r="BK480" s="2269"/>
      <c r="BL480" s="2269"/>
      <c r="BM480" s="2269"/>
      <c r="BN480" s="2269"/>
      <c r="BO480" s="2269"/>
      <c r="BP480" s="2269"/>
      <c r="BQ480" s="2269"/>
      <c r="BR480" s="2269"/>
      <c r="BS480" s="2269"/>
      <c r="BT480" s="2269"/>
      <c r="BU480" s="2269"/>
      <c r="BV480" s="2269"/>
      <c r="BW480" s="2269"/>
      <c r="BX480" s="2269"/>
      <c r="BY480" s="2269"/>
      <c r="BZ480" s="2269"/>
      <c r="CA480" s="2269"/>
    </row>
    <row r="481" spans="1:79">
      <c r="A481" s="2269"/>
      <c r="B481" s="2269"/>
      <c r="C481" s="2269"/>
      <c r="D481" s="2269"/>
      <c r="E481" s="2269"/>
      <c r="F481" s="2269"/>
      <c r="G481" s="2269"/>
      <c r="H481" s="2269"/>
      <c r="I481" s="2269"/>
      <c r="J481" s="2269"/>
      <c r="K481" s="2269"/>
      <c r="L481" s="2269"/>
      <c r="M481" s="2269"/>
      <c r="N481" s="2269"/>
      <c r="O481" s="2269"/>
      <c r="P481" s="2269"/>
      <c r="Q481" s="2269"/>
      <c r="R481" s="2269"/>
      <c r="S481" s="2269"/>
      <c r="T481" s="2269"/>
      <c r="U481" s="2269"/>
      <c r="V481" s="2269"/>
      <c r="W481" s="2269"/>
      <c r="X481" s="2269"/>
      <c r="Y481" s="2269"/>
      <c r="Z481" s="2269"/>
      <c r="AA481" s="2269"/>
      <c r="AB481" s="2269"/>
      <c r="AC481" s="2269"/>
      <c r="AD481" s="2269"/>
      <c r="AE481" s="2269"/>
      <c r="AF481" s="2269"/>
      <c r="AG481" s="2269"/>
      <c r="AH481" s="2269"/>
      <c r="AI481" s="2269"/>
      <c r="AJ481" s="2269"/>
      <c r="AK481" s="2269"/>
      <c r="AL481" s="2269"/>
      <c r="AM481" s="2269"/>
      <c r="AN481" s="2269"/>
      <c r="AO481" s="2269"/>
      <c r="AP481" s="2269"/>
      <c r="AQ481" s="2269"/>
      <c r="AR481" s="2269"/>
      <c r="AS481" s="2269"/>
      <c r="AT481" s="2269"/>
      <c r="AU481" s="2269"/>
      <c r="AV481" s="2269"/>
      <c r="AW481" s="2269"/>
      <c r="AX481" s="2269"/>
      <c r="AY481" s="2269"/>
      <c r="AZ481" s="2269"/>
      <c r="BA481" s="2269"/>
      <c r="BB481" s="2269"/>
      <c r="BC481" s="2269"/>
      <c r="BD481" s="2269"/>
      <c r="BE481" s="2269"/>
      <c r="BF481" s="2269"/>
      <c r="BG481" s="2269"/>
      <c r="BH481" s="2269"/>
      <c r="BI481" s="2269"/>
      <c r="BJ481" s="2269"/>
      <c r="BK481" s="2269"/>
      <c r="BL481" s="2269"/>
      <c r="BM481" s="2269"/>
      <c r="BN481" s="2269"/>
      <c r="BO481" s="2269"/>
      <c r="BP481" s="2269"/>
      <c r="BQ481" s="2269"/>
      <c r="BR481" s="2269"/>
      <c r="BS481" s="2269"/>
      <c r="BT481" s="2269"/>
      <c r="BU481" s="2269"/>
      <c r="BV481" s="2269"/>
      <c r="BW481" s="2269"/>
      <c r="BX481" s="2269"/>
      <c r="BY481" s="2269"/>
      <c r="BZ481" s="2269"/>
      <c r="CA481" s="2269"/>
    </row>
    <row r="482" spans="1:79">
      <c r="A482" s="2269"/>
      <c r="B482" s="2269"/>
      <c r="C482" s="2269"/>
      <c r="D482" s="2269"/>
      <c r="E482" s="2269"/>
      <c r="F482" s="2269"/>
      <c r="G482" s="2269"/>
      <c r="H482" s="2269"/>
      <c r="I482" s="2269"/>
      <c r="J482" s="2269"/>
      <c r="K482" s="2269"/>
      <c r="L482" s="2269"/>
      <c r="M482" s="2269"/>
      <c r="N482" s="2269"/>
      <c r="O482" s="2269"/>
      <c r="P482" s="2269"/>
      <c r="Q482" s="2269"/>
      <c r="R482" s="2269"/>
      <c r="S482" s="2269"/>
      <c r="T482" s="2269"/>
      <c r="U482" s="2269"/>
      <c r="V482" s="2269"/>
      <c r="W482" s="2269"/>
      <c r="X482" s="2269"/>
      <c r="Y482" s="2269"/>
      <c r="Z482" s="2269"/>
      <c r="AA482" s="2269"/>
      <c r="AB482" s="2269"/>
      <c r="AC482" s="2269"/>
      <c r="AD482" s="2269"/>
      <c r="AE482" s="2269"/>
      <c r="AF482" s="2269"/>
      <c r="AG482" s="2269"/>
      <c r="AH482" s="2269"/>
      <c r="AI482" s="2269"/>
      <c r="AJ482" s="2269"/>
      <c r="AK482" s="2269"/>
      <c r="AL482" s="2269"/>
      <c r="AM482" s="2269"/>
      <c r="AN482" s="2269"/>
      <c r="AO482" s="2269"/>
      <c r="AP482" s="2269"/>
      <c r="AQ482" s="2269"/>
      <c r="AR482" s="2269"/>
      <c r="AS482" s="2269"/>
      <c r="AT482" s="2269"/>
      <c r="AU482" s="2269"/>
      <c r="AV482" s="2269"/>
      <c r="AW482" s="2269"/>
      <c r="AX482" s="2269"/>
      <c r="AY482" s="2269"/>
      <c r="AZ482" s="2269"/>
      <c r="BA482" s="2269"/>
      <c r="BB482" s="2269"/>
      <c r="BC482" s="2269"/>
      <c r="BD482" s="2269"/>
      <c r="BE482" s="2269"/>
      <c r="BF482" s="2269"/>
      <c r="BG482" s="2269"/>
      <c r="BH482" s="2269"/>
      <c r="BI482" s="2269"/>
      <c r="BJ482" s="2269"/>
      <c r="BK482" s="2269"/>
      <c r="BL482" s="2269"/>
      <c r="BM482" s="2269"/>
      <c r="BN482" s="2269"/>
      <c r="BO482" s="2269"/>
      <c r="BP482" s="2269"/>
      <c r="BQ482" s="2269"/>
      <c r="BR482" s="2269"/>
      <c r="BS482" s="2269"/>
      <c r="BT482" s="2269"/>
      <c r="BU482" s="2269"/>
      <c r="BV482" s="2269"/>
      <c r="BW482" s="2269"/>
      <c r="BX482" s="2269"/>
      <c r="BY482" s="2269"/>
      <c r="BZ482" s="2269"/>
      <c r="CA482" s="2269"/>
    </row>
    <row r="483" spans="1:79">
      <c r="A483" s="2269"/>
      <c r="B483" s="2269"/>
      <c r="C483" s="2269"/>
      <c r="D483" s="2269"/>
      <c r="E483" s="2269"/>
      <c r="F483" s="2269"/>
      <c r="G483" s="2269"/>
      <c r="H483" s="2269"/>
      <c r="I483" s="2269"/>
      <c r="J483" s="2269"/>
      <c r="K483" s="2269"/>
      <c r="L483" s="2269"/>
      <c r="M483" s="2269"/>
      <c r="N483" s="2269"/>
      <c r="O483" s="2269"/>
      <c r="P483" s="2269"/>
      <c r="Q483" s="2269"/>
      <c r="R483" s="2269"/>
      <c r="S483" s="2269"/>
      <c r="T483" s="2269"/>
      <c r="U483" s="2269"/>
      <c r="V483" s="2269"/>
      <c r="W483" s="2269"/>
      <c r="X483" s="2269"/>
      <c r="Y483" s="2269"/>
      <c r="Z483" s="2269"/>
      <c r="AA483" s="2269"/>
      <c r="AB483" s="2269"/>
      <c r="AC483" s="2269"/>
      <c r="AD483" s="2269"/>
      <c r="AE483" s="2269"/>
      <c r="AF483" s="2269"/>
      <c r="AG483" s="2269"/>
      <c r="AH483" s="2269"/>
      <c r="AI483" s="2269"/>
      <c r="AJ483" s="2269"/>
      <c r="AK483" s="2269"/>
      <c r="AL483" s="2269"/>
      <c r="AM483" s="2269"/>
      <c r="AN483" s="2269"/>
      <c r="AO483" s="2269"/>
      <c r="AP483" s="2269"/>
      <c r="AQ483" s="2269"/>
      <c r="AR483" s="2269"/>
      <c r="AS483" s="2269"/>
      <c r="AT483" s="2269"/>
      <c r="AU483" s="2269"/>
      <c r="AV483" s="2269"/>
      <c r="AW483" s="2269"/>
      <c r="AX483" s="2269"/>
      <c r="AY483" s="2269"/>
      <c r="AZ483" s="2269"/>
      <c r="BA483" s="2269"/>
      <c r="BB483" s="2269"/>
      <c r="BC483" s="2269"/>
      <c r="BD483" s="2269"/>
      <c r="BE483" s="2269"/>
      <c r="BF483" s="2269"/>
      <c r="BG483" s="2269"/>
      <c r="BH483" s="2269"/>
      <c r="BI483" s="2269"/>
      <c r="BJ483" s="2269"/>
      <c r="BK483" s="2269"/>
      <c r="BL483" s="2269"/>
      <c r="BM483" s="2269"/>
      <c r="BN483" s="2269"/>
      <c r="BO483" s="2269"/>
      <c r="BP483" s="2269"/>
      <c r="BQ483" s="2269"/>
      <c r="BR483" s="2269"/>
      <c r="BS483" s="2269"/>
      <c r="BT483" s="2269"/>
      <c r="BU483" s="2269"/>
      <c r="BV483" s="2269"/>
      <c r="BW483" s="2269"/>
      <c r="BX483" s="2269"/>
      <c r="BY483" s="2269"/>
      <c r="BZ483" s="2269"/>
      <c r="CA483" s="2269"/>
    </row>
    <row r="484" spans="1:79">
      <c r="A484" s="2269"/>
      <c r="B484" s="2269"/>
      <c r="C484" s="2269"/>
      <c r="D484" s="2269"/>
      <c r="E484" s="2269"/>
      <c r="F484" s="2269"/>
      <c r="G484" s="2269"/>
      <c r="H484" s="2269"/>
      <c r="I484" s="2269"/>
      <c r="J484" s="2269"/>
      <c r="K484" s="2269"/>
      <c r="L484" s="2269"/>
      <c r="M484" s="2269"/>
      <c r="N484" s="2269"/>
      <c r="O484" s="2269"/>
      <c r="P484" s="2269"/>
      <c r="Q484" s="2269"/>
      <c r="R484" s="2269"/>
      <c r="S484" s="2269"/>
      <c r="T484" s="2269"/>
      <c r="U484" s="2269"/>
      <c r="V484" s="2269"/>
      <c r="W484" s="2269"/>
      <c r="X484" s="2269"/>
      <c r="Y484" s="2269"/>
      <c r="Z484" s="2269"/>
      <c r="AA484" s="2269"/>
      <c r="AB484" s="2269"/>
      <c r="AC484" s="2269"/>
      <c r="AD484" s="2269"/>
      <c r="AE484" s="2269"/>
      <c r="AF484" s="2269"/>
      <c r="AG484" s="2269"/>
      <c r="AH484" s="2269"/>
      <c r="AI484" s="2269"/>
      <c r="AJ484" s="2269"/>
      <c r="AK484" s="2269"/>
      <c r="AL484" s="2269"/>
      <c r="AM484" s="2269"/>
      <c r="AN484" s="2269"/>
      <c r="AO484" s="2269"/>
      <c r="AP484" s="2269"/>
      <c r="AQ484" s="2269"/>
      <c r="AR484" s="2269"/>
      <c r="AS484" s="2269"/>
      <c r="AT484" s="2269"/>
      <c r="AU484" s="2269"/>
      <c r="AV484" s="2269"/>
      <c r="AW484" s="2269"/>
      <c r="AX484" s="2269"/>
      <c r="AY484" s="2269"/>
      <c r="AZ484" s="2269"/>
      <c r="BA484" s="2269"/>
      <c r="BB484" s="2269"/>
      <c r="BC484" s="2269"/>
      <c r="BD484" s="2269"/>
      <c r="BE484" s="2269"/>
      <c r="BF484" s="2269"/>
      <c r="BG484" s="2269"/>
      <c r="BH484" s="2269"/>
      <c r="BI484" s="2269"/>
      <c r="BJ484" s="2269"/>
      <c r="BK484" s="2269"/>
      <c r="BL484" s="2269"/>
      <c r="BM484" s="2269"/>
      <c r="BN484" s="2269"/>
      <c r="BO484" s="2269"/>
      <c r="BP484" s="2269"/>
      <c r="BQ484" s="2269"/>
      <c r="BR484" s="2269"/>
      <c r="BS484" s="2269"/>
      <c r="BT484" s="2269"/>
      <c r="BU484" s="2269"/>
      <c r="BV484" s="2269"/>
      <c r="BW484" s="2269"/>
      <c r="BX484" s="2269"/>
      <c r="BY484" s="2269"/>
      <c r="BZ484" s="2269"/>
      <c r="CA484" s="2269"/>
    </row>
    <row r="485" spans="1:79">
      <c r="A485" s="2269"/>
      <c r="B485" s="2269"/>
      <c r="C485" s="2269"/>
      <c r="D485" s="2269"/>
      <c r="E485" s="2269"/>
      <c r="F485" s="2269"/>
      <c r="G485" s="2269"/>
      <c r="H485" s="2269"/>
      <c r="I485" s="2269"/>
      <c r="J485" s="2269"/>
      <c r="K485" s="2269"/>
      <c r="L485" s="2269"/>
      <c r="M485" s="2269"/>
      <c r="N485" s="2269"/>
      <c r="O485" s="2269"/>
      <c r="P485" s="2269"/>
      <c r="Q485" s="2269"/>
      <c r="R485" s="2269"/>
      <c r="S485" s="2269"/>
      <c r="T485" s="2269"/>
      <c r="U485" s="2269"/>
      <c r="V485" s="2269"/>
      <c r="W485" s="2269"/>
      <c r="X485" s="2269"/>
      <c r="Y485" s="2269"/>
      <c r="Z485" s="2269"/>
      <c r="AA485" s="2269"/>
      <c r="AB485" s="2269"/>
      <c r="AC485" s="2269"/>
      <c r="AD485" s="2269"/>
      <c r="AE485" s="2269"/>
      <c r="AF485" s="2269"/>
      <c r="AG485" s="2269"/>
      <c r="AH485" s="2269"/>
      <c r="AI485" s="2269"/>
      <c r="AJ485" s="2269"/>
      <c r="AK485" s="2269"/>
      <c r="AL485" s="2269"/>
      <c r="AM485" s="2269"/>
      <c r="AN485" s="2269"/>
      <c r="AO485" s="2269"/>
      <c r="AP485" s="2269"/>
      <c r="AQ485" s="2269"/>
      <c r="AR485" s="2269"/>
      <c r="AS485" s="2269"/>
      <c r="AT485" s="2269"/>
      <c r="AU485" s="2269"/>
      <c r="AV485" s="2269"/>
      <c r="AW485" s="2269"/>
      <c r="AX485" s="2269"/>
      <c r="AY485" s="2269"/>
      <c r="AZ485" s="2269"/>
      <c r="BA485" s="2269"/>
      <c r="BB485" s="2269"/>
      <c r="BC485" s="2269"/>
      <c r="BD485" s="2269"/>
      <c r="BE485" s="2269"/>
      <c r="BF485" s="2269"/>
      <c r="BG485" s="2269"/>
      <c r="BH485" s="2269"/>
      <c r="BI485" s="2269"/>
      <c r="BJ485" s="2269"/>
      <c r="BK485" s="2269"/>
      <c r="BL485" s="2269"/>
      <c r="BM485" s="2269"/>
      <c r="BN485" s="2269"/>
      <c r="BO485" s="2269"/>
      <c r="BP485" s="2269"/>
      <c r="BQ485" s="2269"/>
      <c r="BR485" s="2269"/>
      <c r="BS485" s="2269"/>
      <c r="BT485" s="2269"/>
      <c r="BU485" s="2269"/>
      <c r="BV485" s="2269"/>
      <c r="BW485" s="2269"/>
      <c r="BX485" s="2269"/>
      <c r="BY485" s="2269"/>
      <c r="BZ485" s="2269"/>
      <c r="CA485" s="2269"/>
    </row>
    <row r="486" spans="1:79">
      <c r="A486" s="2269"/>
      <c r="B486" s="2269"/>
      <c r="C486" s="2269"/>
      <c r="D486" s="2269"/>
      <c r="E486" s="2269"/>
      <c r="F486" s="2269"/>
      <c r="G486" s="2269"/>
      <c r="H486" s="2269"/>
      <c r="I486" s="2269"/>
      <c r="J486" s="2269"/>
      <c r="K486" s="2269"/>
      <c r="L486" s="2269"/>
      <c r="M486" s="2269"/>
      <c r="N486" s="2269"/>
      <c r="O486" s="2269"/>
      <c r="P486" s="2269"/>
      <c r="Q486" s="2269"/>
      <c r="R486" s="2269"/>
      <c r="S486" s="2269"/>
      <c r="T486" s="2269"/>
      <c r="U486" s="2269"/>
      <c r="V486" s="2269"/>
      <c r="W486" s="2269"/>
      <c r="X486" s="2269"/>
      <c r="Y486" s="2269"/>
      <c r="Z486" s="2269"/>
      <c r="AA486" s="2269"/>
      <c r="AB486" s="2269"/>
      <c r="AC486" s="2269"/>
      <c r="AD486" s="2269"/>
      <c r="AE486" s="2269"/>
      <c r="AF486" s="2269"/>
      <c r="AG486" s="2269"/>
      <c r="AH486" s="2269"/>
      <c r="AI486" s="2269"/>
      <c r="AJ486" s="2269"/>
      <c r="AK486" s="2269"/>
      <c r="AL486" s="2269"/>
      <c r="AM486" s="2269"/>
      <c r="AN486" s="2269"/>
      <c r="AO486" s="2269"/>
      <c r="AP486" s="2269"/>
      <c r="AQ486" s="2269"/>
      <c r="AR486" s="2269"/>
      <c r="AS486" s="2269"/>
      <c r="AT486" s="2269"/>
      <c r="AU486" s="2269"/>
      <c r="AV486" s="2269"/>
      <c r="AW486" s="2269"/>
      <c r="AX486" s="2269"/>
      <c r="AY486" s="2269"/>
      <c r="AZ486" s="2269"/>
      <c r="BA486" s="2269"/>
      <c r="BB486" s="2269"/>
      <c r="BC486" s="2269"/>
      <c r="BD486" s="2269"/>
      <c r="BE486" s="2269"/>
      <c r="BF486" s="2269"/>
      <c r="BG486" s="2269"/>
      <c r="BH486" s="2269"/>
      <c r="BI486" s="2269"/>
      <c r="BJ486" s="2269"/>
      <c r="BK486" s="2269"/>
      <c r="BL486" s="2269"/>
      <c r="BM486" s="2269"/>
      <c r="BN486" s="2269"/>
      <c r="BO486" s="2269"/>
      <c r="BP486" s="2269"/>
      <c r="BQ486" s="2269"/>
      <c r="BR486" s="2269"/>
      <c r="BS486" s="2269"/>
      <c r="BT486" s="2269"/>
      <c r="BU486" s="2269"/>
      <c r="BV486" s="2269"/>
      <c r="BW486" s="2269"/>
      <c r="BX486" s="2269"/>
      <c r="BY486" s="2269"/>
      <c r="BZ486" s="2269"/>
      <c r="CA486" s="2269"/>
    </row>
    <row r="487" spans="1:79">
      <c r="A487" s="2269"/>
      <c r="B487" s="2269"/>
      <c r="C487" s="2269"/>
      <c r="D487" s="2269"/>
      <c r="E487" s="2269"/>
      <c r="F487" s="2269"/>
      <c r="G487" s="2269"/>
      <c r="H487" s="2269"/>
      <c r="I487" s="2269"/>
      <c r="J487" s="2269"/>
      <c r="K487" s="2269"/>
      <c r="L487" s="2269"/>
      <c r="M487" s="2269"/>
      <c r="N487" s="2269"/>
      <c r="O487" s="2269"/>
      <c r="P487" s="2269"/>
      <c r="Q487" s="2269"/>
      <c r="R487" s="2269"/>
      <c r="S487" s="2269"/>
      <c r="T487" s="2269"/>
      <c r="U487" s="2269"/>
      <c r="V487" s="2269"/>
      <c r="W487" s="2269"/>
      <c r="X487" s="2269"/>
      <c r="Y487" s="2269"/>
      <c r="Z487" s="2269"/>
      <c r="AA487" s="2269"/>
      <c r="AB487" s="2269"/>
      <c r="AC487" s="2269"/>
      <c r="AD487" s="2269"/>
      <c r="AE487" s="2269"/>
      <c r="AF487" s="2269"/>
      <c r="AG487" s="2269"/>
      <c r="AH487" s="2269"/>
      <c r="AI487" s="2269"/>
      <c r="AJ487" s="2269"/>
      <c r="AK487" s="2269"/>
      <c r="AL487" s="2269"/>
      <c r="AM487" s="2269"/>
      <c r="AN487" s="2269"/>
      <c r="AO487" s="2269"/>
      <c r="AP487" s="2269"/>
      <c r="AQ487" s="2269"/>
      <c r="AR487" s="2269"/>
      <c r="AS487" s="2269"/>
      <c r="AT487" s="2269"/>
      <c r="AU487" s="2269"/>
      <c r="AV487" s="2269"/>
      <c r="AW487" s="2269"/>
      <c r="AX487" s="2269"/>
      <c r="AY487" s="2269"/>
      <c r="AZ487" s="2269"/>
      <c r="BA487" s="2269"/>
      <c r="BB487" s="2269"/>
      <c r="BC487" s="2269"/>
      <c r="BD487" s="2269"/>
      <c r="BE487" s="2269"/>
      <c r="BF487" s="2269"/>
      <c r="BG487" s="2269"/>
      <c r="BH487" s="2269"/>
      <c r="BI487" s="2269"/>
      <c r="BJ487" s="2269"/>
      <c r="BK487" s="2269"/>
      <c r="BL487" s="2269"/>
      <c r="BM487" s="2269"/>
      <c r="BN487" s="2269"/>
      <c r="BO487" s="2269"/>
      <c r="BP487" s="2269"/>
      <c r="BQ487" s="2269"/>
      <c r="BR487" s="2269"/>
      <c r="BS487" s="2269"/>
      <c r="BT487" s="2269"/>
      <c r="BU487" s="2269"/>
      <c r="BV487" s="2269"/>
      <c r="BW487" s="2269"/>
      <c r="BX487" s="2269"/>
      <c r="BY487" s="2269"/>
      <c r="BZ487" s="2269"/>
      <c r="CA487" s="2269"/>
    </row>
    <row r="488" spans="1:79">
      <c r="A488" s="2269"/>
      <c r="B488" s="2269"/>
      <c r="C488" s="2269"/>
      <c r="D488" s="2269"/>
      <c r="E488" s="2269"/>
      <c r="F488" s="2269"/>
      <c r="G488" s="2269"/>
      <c r="H488" s="2269"/>
      <c r="I488" s="2269"/>
      <c r="J488" s="2269"/>
      <c r="K488" s="2269"/>
      <c r="L488" s="2269"/>
      <c r="M488" s="2269"/>
      <c r="N488" s="2269"/>
      <c r="O488" s="2269"/>
      <c r="P488" s="2269"/>
      <c r="Q488" s="2269"/>
      <c r="R488" s="2269"/>
      <c r="S488" s="2269"/>
      <c r="T488" s="2269"/>
      <c r="U488" s="2269"/>
      <c r="V488" s="2269"/>
      <c r="W488" s="2269"/>
      <c r="X488" s="2269"/>
      <c r="Y488" s="2269"/>
      <c r="Z488" s="2269"/>
      <c r="AA488" s="2269"/>
      <c r="AB488" s="2269"/>
      <c r="AC488" s="2269"/>
      <c r="AD488" s="2269"/>
      <c r="AE488" s="2269"/>
      <c r="AF488" s="2269"/>
      <c r="AG488" s="2269"/>
      <c r="AH488" s="2269"/>
      <c r="AI488" s="2269"/>
      <c r="AJ488" s="2269"/>
      <c r="AK488" s="2269"/>
      <c r="AL488" s="2269"/>
      <c r="AM488" s="2269"/>
      <c r="AN488" s="2269"/>
      <c r="AO488" s="2269"/>
      <c r="AP488" s="2269"/>
      <c r="AQ488" s="2269"/>
      <c r="AR488" s="2269"/>
      <c r="AS488" s="2269"/>
      <c r="AT488" s="2269"/>
      <c r="AU488" s="2269"/>
      <c r="AV488" s="2269"/>
      <c r="AW488" s="2269"/>
      <c r="AX488" s="2269"/>
      <c r="AY488" s="2269"/>
      <c r="AZ488" s="2269"/>
      <c r="BA488" s="2269"/>
      <c r="BB488" s="2269"/>
      <c r="BC488" s="2269"/>
      <c r="BD488" s="2269"/>
      <c r="BE488" s="2269"/>
      <c r="BF488" s="2269"/>
      <c r="BG488" s="2269"/>
      <c r="BH488" s="2269"/>
      <c r="BI488" s="2269"/>
      <c r="BJ488" s="2269"/>
      <c r="BK488" s="2269"/>
      <c r="BL488" s="2269"/>
      <c r="BM488" s="2269"/>
      <c r="BN488" s="2269"/>
      <c r="BO488" s="2269"/>
      <c r="BP488" s="2269"/>
      <c r="BQ488" s="2269"/>
      <c r="BR488" s="2269"/>
      <c r="BS488" s="2269"/>
      <c r="BT488" s="2269"/>
      <c r="BU488" s="2269"/>
      <c r="BV488" s="2269"/>
      <c r="BW488" s="2269"/>
      <c r="BX488" s="2269"/>
      <c r="BY488" s="2269"/>
      <c r="BZ488" s="2269"/>
      <c r="CA488" s="2269"/>
    </row>
    <row r="489" spans="1:79">
      <c r="A489" s="2269"/>
      <c r="B489" s="2269"/>
      <c r="C489" s="2269"/>
      <c r="D489" s="2269"/>
      <c r="E489" s="2269"/>
      <c r="F489" s="2269"/>
      <c r="G489" s="2269"/>
      <c r="H489" s="2269"/>
      <c r="I489" s="2269"/>
      <c r="J489" s="2269"/>
      <c r="K489" s="2269"/>
      <c r="L489" s="2269"/>
      <c r="M489" s="2269"/>
      <c r="N489" s="2269"/>
      <c r="O489" s="2269"/>
      <c r="P489" s="2269"/>
      <c r="Q489" s="2269"/>
      <c r="R489" s="2269"/>
      <c r="S489" s="2269"/>
      <c r="T489" s="2269"/>
      <c r="U489" s="2269"/>
      <c r="V489" s="2269"/>
      <c r="W489" s="2269"/>
      <c r="X489" s="2269"/>
      <c r="Y489" s="2269"/>
      <c r="Z489" s="2269"/>
      <c r="AA489" s="2269"/>
      <c r="AB489" s="2269"/>
      <c r="AC489" s="2269"/>
      <c r="AD489" s="2269"/>
      <c r="AE489" s="2269"/>
      <c r="AF489" s="2269"/>
      <c r="AG489" s="2269"/>
      <c r="AH489" s="2269"/>
      <c r="AI489" s="2269"/>
      <c r="AJ489" s="2269"/>
      <c r="AK489" s="2269"/>
      <c r="AL489" s="2269"/>
      <c r="AM489" s="2269"/>
      <c r="AN489" s="2269"/>
      <c r="AO489" s="2269"/>
      <c r="AP489" s="2269"/>
      <c r="AQ489" s="2269"/>
      <c r="AR489" s="2269"/>
      <c r="AS489" s="2269"/>
      <c r="AT489" s="2269"/>
      <c r="AU489" s="2269"/>
      <c r="AV489" s="2269"/>
      <c r="AW489" s="2269"/>
      <c r="AX489" s="2269"/>
      <c r="AY489" s="2269"/>
      <c r="AZ489" s="2269"/>
      <c r="BA489" s="2269"/>
      <c r="BB489" s="2269"/>
      <c r="BC489" s="2269"/>
      <c r="BD489" s="2269"/>
      <c r="BE489" s="2269"/>
      <c r="BF489" s="2269"/>
      <c r="BG489" s="2269"/>
      <c r="BH489" s="2269"/>
      <c r="BI489" s="2269"/>
      <c r="BJ489" s="2269"/>
      <c r="BK489" s="2269"/>
      <c r="BL489" s="2269"/>
      <c r="BM489" s="2269"/>
      <c r="BN489" s="2269"/>
      <c r="BO489" s="2269"/>
      <c r="BP489" s="2269"/>
      <c r="BQ489" s="2269"/>
      <c r="BR489" s="2269"/>
      <c r="BS489" s="2269"/>
      <c r="BT489" s="2269"/>
      <c r="BU489" s="2269"/>
      <c r="BV489" s="2269"/>
      <c r="BW489" s="2269"/>
      <c r="BX489" s="2269"/>
      <c r="BY489" s="2269"/>
      <c r="BZ489" s="2269"/>
      <c r="CA489" s="2269"/>
    </row>
    <row r="490" spans="1:79">
      <c r="A490" s="2269"/>
      <c r="B490" s="2269"/>
      <c r="C490" s="2269"/>
      <c r="D490" s="2269"/>
      <c r="E490" s="2269"/>
      <c r="F490" s="2269"/>
      <c r="G490" s="2269"/>
      <c r="H490" s="2269"/>
      <c r="I490" s="2269"/>
      <c r="J490" s="2269"/>
      <c r="K490" s="2269"/>
      <c r="L490" s="2269"/>
      <c r="M490" s="2269"/>
      <c r="N490" s="2269"/>
      <c r="O490" s="2269"/>
      <c r="P490" s="2269"/>
      <c r="Q490" s="2269"/>
      <c r="R490" s="2269"/>
      <c r="S490" s="2269"/>
      <c r="T490" s="2269"/>
      <c r="U490" s="2269"/>
      <c r="V490" s="2269"/>
      <c r="W490" s="2269"/>
      <c r="X490" s="2269"/>
      <c r="Y490" s="2269"/>
      <c r="Z490" s="2269"/>
      <c r="AA490" s="2269"/>
      <c r="AB490" s="2269"/>
      <c r="AC490" s="2269"/>
      <c r="AD490" s="2269"/>
      <c r="AE490" s="2269"/>
      <c r="AF490" s="2269"/>
      <c r="AG490" s="2269"/>
      <c r="AH490" s="2269"/>
      <c r="AI490" s="2269"/>
      <c r="AJ490" s="2269"/>
      <c r="AK490" s="2269"/>
      <c r="AL490" s="2269"/>
      <c r="AM490" s="2269"/>
      <c r="AN490" s="2269"/>
      <c r="AO490" s="2269"/>
      <c r="AP490" s="2269"/>
      <c r="AQ490" s="2269"/>
      <c r="AR490" s="2269"/>
      <c r="AS490" s="2269"/>
      <c r="AT490" s="2269"/>
      <c r="AU490" s="2269"/>
      <c r="AV490" s="2269"/>
      <c r="AW490" s="2269"/>
      <c r="AX490" s="2269"/>
      <c r="AY490" s="2269"/>
      <c r="AZ490" s="2269"/>
      <c r="BA490" s="2269"/>
      <c r="BB490" s="2269"/>
      <c r="BC490" s="2269"/>
      <c r="BD490" s="2269"/>
      <c r="BE490" s="2269"/>
      <c r="BF490" s="2269"/>
      <c r="BG490" s="2269"/>
      <c r="BH490" s="2269"/>
      <c r="BI490" s="2269"/>
      <c r="BJ490" s="2269"/>
      <c r="BK490" s="2269"/>
      <c r="BL490" s="2269"/>
      <c r="BM490" s="2269"/>
      <c r="BN490" s="2269"/>
      <c r="BO490" s="2269"/>
      <c r="BP490" s="2269"/>
      <c r="BQ490" s="2269"/>
      <c r="BR490" s="2269"/>
      <c r="BS490" s="2269"/>
      <c r="BT490" s="2269"/>
      <c r="BU490" s="2269"/>
      <c r="BV490" s="2269"/>
      <c r="BW490" s="2269"/>
      <c r="BX490" s="2269"/>
      <c r="BY490" s="2269"/>
      <c r="BZ490" s="2269"/>
      <c r="CA490" s="2269"/>
    </row>
    <row r="491" spans="1:79">
      <c r="A491" s="2269"/>
      <c r="B491" s="2269"/>
      <c r="C491" s="2269"/>
      <c r="D491" s="2269"/>
      <c r="E491" s="2269"/>
      <c r="F491" s="2269"/>
      <c r="G491" s="2269"/>
      <c r="H491" s="2269"/>
      <c r="I491" s="2269"/>
      <c r="J491" s="2269"/>
      <c r="K491" s="2269"/>
      <c r="L491" s="2269"/>
      <c r="M491" s="2269"/>
      <c r="N491" s="2269"/>
      <c r="O491" s="2269"/>
      <c r="P491" s="2269"/>
      <c r="Q491" s="2269"/>
      <c r="R491" s="2269"/>
      <c r="S491" s="2269"/>
      <c r="T491" s="2269"/>
      <c r="U491" s="2269"/>
      <c r="V491" s="2269"/>
      <c r="W491" s="2269"/>
      <c r="X491" s="2269"/>
      <c r="Y491" s="2269"/>
      <c r="Z491" s="2269"/>
      <c r="AA491" s="2269"/>
      <c r="AB491" s="2269"/>
      <c r="AC491" s="2269"/>
      <c r="AD491" s="2269"/>
      <c r="AE491" s="2269"/>
      <c r="AF491" s="2269"/>
      <c r="AG491" s="2269"/>
      <c r="AH491" s="2269"/>
      <c r="AI491" s="2269"/>
      <c r="AJ491" s="2269"/>
      <c r="AK491" s="2269"/>
      <c r="AL491" s="2269"/>
      <c r="AM491" s="2269"/>
      <c r="AN491" s="2269"/>
      <c r="AO491" s="2269"/>
      <c r="AP491" s="2269"/>
      <c r="AQ491" s="2269"/>
      <c r="AR491" s="2269"/>
      <c r="AS491" s="2269"/>
      <c r="AT491" s="2269"/>
      <c r="AU491" s="2269"/>
      <c r="AV491" s="2269"/>
      <c r="AW491" s="2269"/>
      <c r="AX491" s="2269"/>
      <c r="AY491" s="2269"/>
      <c r="AZ491" s="2269"/>
      <c r="BA491" s="2269"/>
      <c r="BB491" s="2269"/>
      <c r="BC491" s="2269"/>
      <c r="BD491" s="2269"/>
      <c r="BE491" s="2269"/>
      <c r="BF491" s="2269"/>
      <c r="BG491" s="2269"/>
      <c r="BH491" s="2269"/>
      <c r="BI491" s="2269"/>
      <c r="BJ491" s="2269"/>
      <c r="BK491" s="2269"/>
      <c r="BL491" s="2269"/>
      <c r="BM491" s="2269"/>
      <c r="BN491" s="2269"/>
      <c r="BO491" s="2269"/>
      <c r="BP491" s="2269"/>
      <c r="BQ491" s="2269"/>
      <c r="BR491" s="2269"/>
      <c r="BS491" s="2269"/>
      <c r="BT491" s="2269"/>
      <c r="BU491" s="2269"/>
      <c r="BV491" s="2269"/>
      <c r="BW491" s="2269"/>
      <c r="BX491" s="2269"/>
      <c r="BY491" s="2269"/>
      <c r="BZ491" s="2269"/>
      <c r="CA491" s="2269"/>
    </row>
    <row r="492" spans="1:79">
      <c r="A492" s="2269"/>
      <c r="B492" s="2269"/>
      <c r="C492" s="2269"/>
      <c r="D492" s="2269"/>
      <c r="E492" s="2269"/>
      <c r="F492" s="2269"/>
      <c r="G492" s="2269"/>
      <c r="H492" s="2269"/>
      <c r="I492" s="2269"/>
      <c r="J492" s="2269"/>
      <c r="K492" s="2269"/>
      <c r="L492" s="2269"/>
      <c r="M492" s="2269"/>
      <c r="N492" s="2269"/>
      <c r="O492" s="2269"/>
      <c r="P492" s="2269"/>
      <c r="Q492" s="2269"/>
      <c r="R492" s="2269"/>
      <c r="S492" s="2269"/>
      <c r="T492" s="2269"/>
      <c r="U492" s="2269"/>
      <c r="V492" s="2269"/>
      <c r="W492" s="2269"/>
      <c r="X492" s="2269"/>
      <c r="Y492" s="2269"/>
      <c r="Z492" s="2269"/>
      <c r="AA492" s="2269"/>
      <c r="AB492" s="2269"/>
      <c r="AC492" s="2269"/>
      <c r="AD492" s="2269"/>
      <c r="AE492" s="2269"/>
      <c r="AF492" s="2269"/>
      <c r="AG492" s="2269"/>
      <c r="AH492" s="2269"/>
      <c r="AI492" s="2269"/>
      <c r="AJ492" s="2269"/>
      <c r="AK492" s="2269"/>
      <c r="AL492" s="2269"/>
      <c r="AM492" s="2269"/>
      <c r="AN492" s="2269"/>
      <c r="AO492" s="2269"/>
      <c r="AP492" s="2269"/>
      <c r="AQ492" s="2269"/>
      <c r="AR492" s="2269"/>
      <c r="AS492" s="2269"/>
      <c r="AT492" s="2269"/>
      <c r="AU492" s="2269"/>
      <c r="AV492" s="2269"/>
      <c r="AW492" s="2269"/>
      <c r="AX492" s="2269"/>
      <c r="AY492" s="2269"/>
      <c r="AZ492" s="2269"/>
      <c r="BA492" s="2269"/>
      <c r="BB492" s="2269"/>
      <c r="BC492" s="2269"/>
      <c r="BD492" s="2269"/>
      <c r="BE492" s="2269"/>
      <c r="BF492" s="2269"/>
      <c r="BG492" s="2269"/>
      <c r="BH492" s="2269"/>
      <c r="BI492" s="2269"/>
      <c r="BJ492" s="2269"/>
      <c r="BK492" s="2269"/>
      <c r="BL492" s="2269"/>
      <c r="BM492" s="2269"/>
      <c r="BN492" s="2269"/>
      <c r="BO492" s="2269"/>
      <c r="BP492" s="2269"/>
      <c r="BQ492" s="2269"/>
      <c r="BR492" s="2269"/>
      <c r="BS492" s="2269"/>
      <c r="BT492" s="2269"/>
      <c r="BU492" s="2269"/>
      <c r="BV492" s="2269"/>
      <c r="BW492" s="2269"/>
      <c r="BX492" s="2269"/>
      <c r="BY492" s="2269"/>
      <c r="BZ492" s="2269"/>
      <c r="CA492" s="2269"/>
    </row>
    <row r="493" spans="1:79">
      <c r="A493" s="2269"/>
      <c r="B493" s="2269"/>
      <c r="C493" s="2269"/>
      <c r="D493" s="2269"/>
      <c r="E493" s="2269"/>
      <c r="F493" s="2269"/>
      <c r="G493" s="2269"/>
      <c r="H493" s="2269"/>
      <c r="I493" s="2269"/>
      <c r="J493" s="2269"/>
      <c r="K493" s="2269"/>
      <c r="L493" s="2269"/>
      <c r="M493" s="2269"/>
      <c r="N493" s="2269"/>
      <c r="O493" s="2269"/>
      <c r="P493" s="2269"/>
      <c r="Q493" s="2269"/>
      <c r="R493" s="2269"/>
      <c r="S493" s="2269"/>
      <c r="T493" s="2269"/>
      <c r="U493" s="2269"/>
      <c r="V493" s="2269"/>
      <c r="W493" s="2269"/>
      <c r="X493" s="2269"/>
      <c r="Y493" s="2269"/>
      <c r="Z493" s="2269"/>
      <c r="AA493" s="2269"/>
      <c r="AB493" s="2269"/>
      <c r="AC493" s="2269"/>
      <c r="AD493" s="2269"/>
      <c r="AE493" s="2269"/>
      <c r="AF493" s="2269"/>
      <c r="AG493" s="2269"/>
      <c r="AH493" s="2269"/>
      <c r="AI493" s="2269"/>
      <c r="AJ493" s="2269"/>
      <c r="AK493" s="2269"/>
      <c r="AL493" s="2269"/>
      <c r="AM493" s="2269"/>
      <c r="AN493" s="2269"/>
      <c r="AO493" s="2269"/>
      <c r="AP493" s="2269"/>
      <c r="AQ493" s="2269"/>
      <c r="AR493" s="2269"/>
      <c r="AS493" s="2269"/>
      <c r="AT493" s="2269"/>
      <c r="AU493" s="2269"/>
      <c r="AV493" s="2269"/>
      <c r="AW493" s="2269"/>
      <c r="AX493" s="2269"/>
      <c r="AY493" s="2269"/>
      <c r="AZ493" s="2269"/>
      <c r="BA493" s="2269"/>
      <c r="BB493" s="2269"/>
      <c r="BC493" s="2269"/>
      <c r="BD493" s="2269"/>
      <c r="BE493" s="2269"/>
      <c r="BF493" s="2269"/>
      <c r="BG493" s="2269"/>
      <c r="BH493" s="2269"/>
      <c r="BI493" s="2269"/>
      <c r="BJ493" s="2269"/>
      <c r="BK493" s="2269"/>
      <c r="BL493" s="2269"/>
      <c r="BM493" s="2269"/>
      <c r="BN493" s="2269"/>
      <c r="BO493" s="2269"/>
      <c r="BP493" s="2269"/>
      <c r="BQ493" s="2269"/>
      <c r="BR493" s="2269"/>
      <c r="BS493" s="2269"/>
      <c r="BT493" s="2269"/>
      <c r="BU493" s="2269"/>
      <c r="BV493" s="2269"/>
      <c r="BW493" s="2269"/>
      <c r="BX493" s="2269"/>
      <c r="BY493" s="2269"/>
      <c r="BZ493" s="2269"/>
      <c r="CA493" s="2269"/>
    </row>
  </sheetData>
  <sheetProtection algorithmName="SHA-512" hashValue="vySkDOpUbQqBPK7IaF5YgXJPGeIW+BOtujE5hF7YDUfcqCWLoT9UBj06VBG05YfUVFBenlfNurFhR+Xb2pfbCQ==" saltValue="77jCy3OsRvmE8JNMDGiwxQ==" spinCount="100000" sheet="1" objects="1" scenarios="1" formatColumns="0" autoFilter="0"/>
  <mergeCells count="2">
    <mergeCell ref="F9:F10"/>
    <mergeCell ref="F37:G37"/>
  </mergeCell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34CB-DA19-4F09-B795-F5F2CBB46840}">
  <sheetPr codeName="Tabelle52"/>
  <dimension ref="A1"/>
  <sheetViews>
    <sheetView workbookViewId="0"/>
  </sheetViews>
  <sheetFormatPr baseColWidth="10" defaultRowHeight="14.25"/>
  <sheetData/>
  <sheetProtection algorithmName="SHA-512" hashValue="vkWc6D4K+w9PNjAOGxkpEawALs6h9Z6sscdy36ztzt/SPLCM5xijeGF3iXJenGnvMdjgbW3ClXZhDucpxHURqg==" saltValue="9hpYGsRhsO2A1VhxxbAXtg==" spinCount="100000" sheet="1" objects="1" scenarios="1" formatColumns="0" autoFilter="0"/>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1710-E445-4AC5-A952-DDBB9D39DE46}">
  <sheetPr codeName="Tabelle40"/>
  <dimension ref="A1:R35"/>
  <sheetViews>
    <sheetView zoomScale="190" zoomScaleNormal="190" workbookViewId="0">
      <selection activeCell="B18" sqref="B18"/>
    </sheetView>
  </sheetViews>
  <sheetFormatPr baseColWidth="10" defaultRowHeight="14.25"/>
  <cols>
    <col min="1" max="1" width="28.125" customWidth="1"/>
    <col min="4" max="4" width="14" customWidth="1"/>
  </cols>
  <sheetData>
    <row r="1" spans="1:6" ht="15">
      <c r="A1" t="s">
        <v>1737</v>
      </c>
      <c r="B1" s="403" t="s">
        <v>865</v>
      </c>
    </row>
    <row r="2" spans="1:6" ht="15">
      <c r="B2" s="403" t="s">
        <v>866</v>
      </c>
    </row>
    <row r="4" spans="1:6" ht="15">
      <c r="A4" t="s">
        <v>1738</v>
      </c>
      <c r="B4" s="403" t="s">
        <v>864</v>
      </c>
    </row>
    <row r="5" spans="1:6" ht="15">
      <c r="A5" t="s">
        <v>1739</v>
      </c>
      <c r="B5" s="1695" t="s">
        <v>849</v>
      </c>
    </row>
    <row r="6" spans="1:6" ht="15.75">
      <c r="A6" t="s">
        <v>1740</v>
      </c>
      <c r="B6" s="1696" t="str">
        <f>CHAR(98)</f>
        <v>b</v>
      </c>
    </row>
    <row r="7" spans="1:6" ht="15">
      <c r="A7" t="s">
        <v>1747</v>
      </c>
      <c r="B7" s="1708" t="s">
        <v>879</v>
      </c>
      <c r="C7" s="1695" t="s">
        <v>1750</v>
      </c>
      <c r="D7" s="1695" t="s">
        <v>1751</v>
      </c>
      <c r="E7" s="1695" t="s">
        <v>1752</v>
      </c>
    </row>
    <row r="8" spans="1:6" ht="15">
      <c r="A8" t="s">
        <v>1741</v>
      </c>
      <c r="B8" s="403" t="s">
        <v>970</v>
      </c>
    </row>
    <row r="9" spans="1:6" ht="15">
      <c r="A9" t="s">
        <v>1742</v>
      </c>
      <c r="B9" s="403" t="s">
        <v>848</v>
      </c>
    </row>
    <row r="10" spans="1:6" ht="15">
      <c r="A10" t="s">
        <v>1743</v>
      </c>
      <c r="B10" s="1695" t="s">
        <v>1569</v>
      </c>
    </row>
    <row r="11" spans="1:6" ht="87.75">
      <c r="A11" t="s">
        <v>688</v>
      </c>
      <c r="B11" s="1291" t="s">
        <v>1744</v>
      </c>
      <c r="C11" s="1705"/>
      <c r="D11" s="1761"/>
    </row>
    <row r="12" spans="1:6" ht="20.25">
      <c r="A12" t="s">
        <v>1745</v>
      </c>
      <c r="B12" s="1706" t="s">
        <v>1746</v>
      </c>
    </row>
    <row r="13" spans="1:6" ht="15">
      <c r="A13" t="s">
        <v>1748</v>
      </c>
      <c r="B13" s="1707" t="s">
        <v>827</v>
      </c>
      <c r="F13" s="1707"/>
    </row>
    <row r="14" spans="1:6" ht="15.75">
      <c r="A14" t="s">
        <v>175</v>
      </c>
      <c r="B14" s="761" t="s">
        <v>1749</v>
      </c>
      <c r="E14" t="str">
        <f>"Jörn "&amp;Delta&amp;divers&amp;Durchschnitt&amp;Mann&amp;Frau</f>
        <v>Jörn Δ⚩Ø</v>
      </c>
    </row>
    <row r="15" spans="1:6" ht="15.75">
      <c r="A15" t="s">
        <v>176</v>
      </c>
      <c r="B15" s="761" t="s">
        <v>1749</v>
      </c>
    </row>
    <row r="16" spans="1:6" ht="16.5">
      <c r="A16" t="s">
        <v>1753</v>
      </c>
      <c r="B16" s="1763"/>
    </row>
    <row r="17" spans="2:6">
      <c r="B17" t="s">
        <v>864</v>
      </c>
    </row>
    <row r="18" spans="2:6" ht="15.75">
      <c r="B18" t="s">
        <v>1775</v>
      </c>
      <c r="F18" s="761"/>
    </row>
    <row r="23" spans="2:6">
      <c r="D23" s="1762">
        <f>Text</f>
        <v>0</v>
      </c>
    </row>
    <row r="28" spans="2:6" ht="15">
      <c r="C28" s="1720"/>
    </row>
    <row r="35" spans="18:18">
      <c r="R35" t="s">
        <v>1774</v>
      </c>
    </row>
  </sheetData>
  <sheetProtection algorithmName="SHA-512" hashValue="iybZcaPKNQgY375cRT0TohnV6TrrY574Pm6xIPoEqjDnreuhclK82RitC5VAdruSEzaw+NxD4bcNOpzePNEH/g==" saltValue="GtsvBQNyOz1qmlke14qxrQ==" spinCount="100000" sheet="1" objects="1" scenarios="1" formatColumns="0" autoFilter="0"/>
  <pageMargins left="0.7" right="0.7" top="0.78740157499999996" bottom="0.78740157499999996"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B731-219F-49BA-94CE-1B5F259CBEA3}">
  <sheetPr codeName="Tabelle63"/>
  <dimension ref="B5:G150"/>
  <sheetViews>
    <sheetView workbookViewId="0">
      <selection activeCell="C9" sqref="C9"/>
    </sheetView>
  </sheetViews>
  <sheetFormatPr baseColWidth="10" defaultRowHeight="14.25"/>
  <cols>
    <col min="2" max="3" width="16.125" customWidth="1"/>
    <col min="4" max="4" width="11.125" bestFit="1" customWidth="1"/>
    <col min="5" max="7" width="11.125" customWidth="1"/>
  </cols>
  <sheetData>
    <row r="5" spans="2:4">
      <c r="C5" t="s">
        <v>1624</v>
      </c>
    </row>
    <row r="6" spans="2:4">
      <c r="B6" t="s">
        <v>191</v>
      </c>
      <c r="C6" s="148">
        <v>100000</v>
      </c>
    </row>
    <row r="7" spans="2:4">
      <c r="B7" t="s">
        <v>1625</v>
      </c>
      <c r="C7">
        <v>19</v>
      </c>
    </row>
    <row r="8" spans="2:4">
      <c r="B8" t="s">
        <v>248</v>
      </c>
      <c r="C8" s="59">
        <v>0.02</v>
      </c>
      <c r="D8" s="145">
        <f>IF(C8="",5.5%,C8)</f>
        <v>0.02</v>
      </c>
    </row>
    <row r="9" spans="2:4">
      <c r="B9" t="s">
        <v>1626</v>
      </c>
      <c r="C9" s="148">
        <f>VLOOKUP(C7,Abzinsungstabelle§12BewG,2)*C6</f>
        <v>36200</v>
      </c>
      <c r="D9" s="148">
        <f>ROUND(-PV(D8,C7,,1,1),2)*C6</f>
        <v>69000</v>
      </c>
    </row>
    <row r="17" spans="2:7">
      <c r="B17" t="s">
        <v>536</v>
      </c>
    </row>
    <row r="18" spans="2:7" ht="17.25">
      <c r="B18" s="1464">
        <v>1</v>
      </c>
      <c r="C18" s="1464">
        <v>0.94799999999999995</v>
      </c>
      <c r="E18" s="1462"/>
    </row>
    <row r="19" spans="2:7" ht="17.25">
      <c r="B19" s="1464">
        <v>2</v>
      </c>
      <c r="C19" s="1464">
        <v>0.89800000000000002</v>
      </c>
      <c r="E19" s="1462"/>
    </row>
    <row r="20" spans="2:7" ht="17.25">
      <c r="B20" s="1464">
        <v>3</v>
      </c>
      <c r="C20" s="1464">
        <v>0.85199999999999998</v>
      </c>
      <c r="E20" s="1462"/>
    </row>
    <row r="21" spans="2:7" ht="17.25">
      <c r="B21" s="1464">
        <v>4</v>
      </c>
      <c r="C21" s="1464">
        <v>0.80700000000000005</v>
      </c>
      <c r="E21" s="1462"/>
    </row>
    <row r="22" spans="2:7" ht="17.25">
      <c r="B22" s="1464">
        <v>5</v>
      </c>
      <c r="C22" s="1464">
        <v>0.76500000000000001</v>
      </c>
      <c r="E22" s="1462"/>
    </row>
    <row r="23" spans="2:7" ht="17.25">
      <c r="B23" s="1464">
        <v>6</v>
      </c>
      <c r="C23" s="1464">
        <v>0.72499999999999998</v>
      </c>
      <c r="E23" s="1462"/>
    </row>
    <row r="24" spans="2:7" ht="17.25">
      <c r="B24" s="1464">
        <v>7</v>
      </c>
      <c r="C24" s="1464">
        <v>0.68700000000000006</v>
      </c>
      <c r="E24" s="1462"/>
    </row>
    <row r="25" spans="2:7" ht="17.25">
      <c r="B25" s="1464">
        <v>8</v>
      </c>
      <c r="C25" s="1464">
        <v>0.65200000000000002</v>
      </c>
      <c r="E25" s="1462"/>
      <c r="G25">
        <v>100000</v>
      </c>
    </row>
    <row r="26" spans="2:7" ht="17.25">
      <c r="B26" s="1464">
        <v>9</v>
      </c>
      <c r="C26" s="1464">
        <v>0.61799999999999999</v>
      </c>
      <c r="E26" s="1462"/>
      <c r="G26" s="148">
        <f>-PV(5.5%,15,,G25,1)</f>
        <v>44793.304810907481</v>
      </c>
    </row>
    <row r="27" spans="2:7" ht="17.25">
      <c r="B27" s="1464">
        <v>10</v>
      </c>
      <c r="C27" s="1464">
        <v>0.58499999999999996</v>
      </c>
      <c r="E27" s="1462"/>
      <c r="F27" s="1462"/>
    </row>
    <row r="28" spans="2:7" ht="17.25">
      <c r="B28" s="1464">
        <v>11</v>
      </c>
      <c r="C28" s="1464">
        <v>0.55500000000000005</v>
      </c>
      <c r="E28" s="1462"/>
    </row>
    <row r="29" spans="2:7" ht="17.25">
      <c r="B29" s="1464">
        <v>12</v>
      </c>
      <c r="C29" s="1464">
        <v>0.52600000000000002</v>
      </c>
      <c r="E29" s="1462"/>
    </row>
    <row r="30" spans="2:7" ht="17.25">
      <c r="B30" s="1464">
        <v>13</v>
      </c>
      <c r="C30" s="1464">
        <v>0.499</v>
      </c>
      <c r="E30" s="1462"/>
      <c r="F30">
        <f>100000*C36</f>
        <v>36200</v>
      </c>
    </row>
    <row r="31" spans="2:7" ht="17.25">
      <c r="B31" s="1464">
        <v>14</v>
      </c>
      <c r="C31" s="1464">
        <v>0.47299999999999998</v>
      </c>
      <c r="E31" s="1462"/>
    </row>
    <row r="32" spans="2:7" ht="17.25">
      <c r="B32" s="1464">
        <v>15</v>
      </c>
      <c r="C32" s="1464">
        <v>0.44800000000000001</v>
      </c>
      <c r="E32" s="1462"/>
    </row>
    <row r="33" spans="2:5" ht="17.25">
      <c r="B33" s="1464">
        <v>16</v>
      </c>
      <c r="C33" s="1464">
        <v>0.42499999999999999</v>
      </c>
      <c r="E33" s="1462"/>
    </row>
    <row r="34" spans="2:5" ht="17.25">
      <c r="B34" s="1464">
        <v>17</v>
      </c>
      <c r="C34" s="1464">
        <v>0.40200000000000002</v>
      </c>
      <c r="E34" s="1462"/>
    </row>
    <row r="35" spans="2:5" ht="17.25">
      <c r="B35" s="1464">
        <v>18</v>
      </c>
      <c r="C35" s="1464">
        <v>0.38100000000000001</v>
      </c>
      <c r="E35" s="1462"/>
    </row>
    <row r="36" spans="2:5" ht="17.25">
      <c r="B36" s="1464">
        <v>19</v>
      </c>
      <c r="C36" s="1464">
        <v>0.36199999999999999</v>
      </c>
      <c r="E36" s="1462"/>
    </row>
    <row r="37" spans="2:5" ht="17.25">
      <c r="B37" s="1464">
        <v>20</v>
      </c>
      <c r="C37" s="1464">
        <v>0.34300000000000003</v>
      </c>
      <c r="E37" s="1462"/>
    </row>
    <row r="38" spans="2:5" ht="17.25">
      <c r="B38" s="1464">
        <v>21</v>
      </c>
      <c r="C38" s="1464">
        <v>0.32500000000000001</v>
      </c>
      <c r="E38" s="1462"/>
    </row>
    <row r="39" spans="2:5" ht="17.25">
      <c r="B39" s="1464">
        <v>22</v>
      </c>
      <c r="C39" s="1464">
        <v>0.308</v>
      </c>
      <c r="E39" s="1462"/>
    </row>
    <row r="40" spans="2:5" ht="17.25">
      <c r="B40" s="1464">
        <v>23</v>
      </c>
      <c r="C40" s="1464">
        <v>0.29199999999999998</v>
      </c>
      <c r="E40" s="1462"/>
    </row>
    <row r="41" spans="2:5" ht="17.25">
      <c r="B41" s="1464">
        <v>24</v>
      </c>
      <c r="C41" s="1464">
        <v>0.27700000000000002</v>
      </c>
      <c r="E41" s="1462"/>
    </row>
    <row r="42" spans="2:5" ht="17.25">
      <c r="B42" s="1464">
        <v>25</v>
      </c>
      <c r="C42" s="1464">
        <v>0.26200000000000001</v>
      </c>
      <c r="E42" s="1462"/>
    </row>
    <row r="43" spans="2:5" ht="17.25">
      <c r="B43" s="1464">
        <v>26</v>
      </c>
      <c r="C43" s="1464">
        <v>0.249</v>
      </c>
      <c r="E43" s="1462"/>
    </row>
    <row r="44" spans="2:5" ht="17.25">
      <c r="B44" s="1464">
        <v>27</v>
      </c>
      <c r="C44" s="1464">
        <v>0.23599999999999999</v>
      </c>
      <c r="E44" s="1462"/>
    </row>
    <row r="45" spans="2:5" ht="17.25">
      <c r="B45" s="1464">
        <v>28</v>
      </c>
      <c r="C45" s="1464">
        <v>0.223</v>
      </c>
      <c r="E45" s="1462"/>
    </row>
    <row r="46" spans="2:5" ht="17.25">
      <c r="B46" s="1464">
        <v>29</v>
      </c>
      <c r="C46" s="1464">
        <v>0.21199999999999999</v>
      </c>
      <c r="E46" s="1462"/>
    </row>
    <row r="47" spans="2:5" ht="17.25">
      <c r="B47" s="1464">
        <v>30</v>
      </c>
      <c r="C47" s="1464">
        <v>0.20100000000000001</v>
      </c>
      <c r="E47" s="1462"/>
    </row>
    <row r="48" spans="2:5" ht="17.25">
      <c r="B48" s="1464">
        <v>31</v>
      </c>
      <c r="C48" s="1464">
        <v>0.19</v>
      </c>
      <c r="E48" s="1462"/>
    </row>
    <row r="49" spans="2:5" ht="17.25">
      <c r="B49" s="1464">
        <v>32</v>
      </c>
      <c r="C49" s="1464">
        <v>0.18</v>
      </c>
      <c r="E49" s="1462"/>
    </row>
    <row r="50" spans="2:5" ht="17.25">
      <c r="B50" s="1464">
        <v>33</v>
      </c>
      <c r="C50" s="1464">
        <v>0.17100000000000001</v>
      </c>
      <c r="E50" s="1462"/>
    </row>
    <row r="51" spans="2:5" ht="17.25">
      <c r="B51" s="1464">
        <v>34</v>
      </c>
      <c r="C51" s="1464">
        <v>0.16200000000000001</v>
      </c>
      <c r="E51" s="1462"/>
    </row>
    <row r="52" spans="2:5" ht="17.25">
      <c r="B52" s="1464">
        <v>35</v>
      </c>
      <c r="C52" s="1464">
        <v>0.154</v>
      </c>
      <c r="E52" s="1462"/>
    </row>
    <row r="53" spans="2:5" ht="17.25">
      <c r="B53" s="1464">
        <v>36</v>
      </c>
      <c r="C53" s="1464">
        <v>0.14599999999999999</v>
      </c>
      <c r="E53" s="1462"/>
    </row>
    <row r="54" spans="2:5" ht="17.25">
      <c r="B54" s="1464">
        <v>37</v>
      </c>
      <c r="C54" s="1464">
        <v>0.13800000000000001</v>
      </c>
      <c r="E54" s="1462"/>
    </row>
    <row r="55" spans="2:5" ht="17.25">
      <c r="B55" s="1464">
        <v>38</v>
      </c>
      <c r="C55" s="1464">
        <v>0.13100000000000001</v>
      </c>
      <c r="E55" s="1462"/>
    </row>
    <row r="56" spans="2:5" ht="17.25">
      <c r="B56" s="1464">
        <v>39</v>
      </c>
      <c r="C56" s="1464">
        <v>0.124</v>
      </c>
      <c r="E56" s="1462"/>
    </row>
    <row r="57" spans="2:5" ht="17.25">
      <c r="B57" s="1464">
        <v>40</v>
      </c>
      <c r="C57" s="1464">
        <v>0.11700000000000001</v>
      </c>
      <c r="E57" s="1462"/>
    </row>
    <row r="58" spans="2:5" ht="17.25">
      <c r="B58" s="1464">
        <v>41</v>
      </c>
      <c r="C58" s="1464">
        <v>0.111</v>
      </c>
      <c r="E58" s="1462"/>
    </row>
    <row r="59" spans="2:5" ht="17.25">
      <c r="B59" s="1464">
        <v>42</v>
      </c>
      <c r="C59" s="1464">
        <v>0.106</v>
      </c>
      <c r="E59" s="1462"/>
    </row>
    <row r="60" spans="2:5" ht="17.25">
      <c r="B60" s="1464">
        <v>43</v>
      </c>
      <c r="C60" s="1464">
        <v>0.1</v>
      </c>
      <c r="E60" s="1462"/>
    </row>
    <row r="61" spans="2:5" ht="17.25">
      <c r="B61" s="1464">
        <v>44</v>
      </c>
      <c r="C61" s="1464">
        <v>9.5000000000000001E-2</v>
      </c>
      <c r="E61" s="1462"/>
    </row>
    <row r="62" spans="2:5" ht="17.25">
      <c r="B62" s="1464">
        <v>45</v>
      </c>
      <c r="C62" s="1464">
        <v>0.09</v>
      </c>
      <c r="E62" s="1462"/>
    </row>
    <row r="63" spans="2:5" ht="17.25">
      <c r="B63" s="1464">
        <v>46</v>
      </c>
      <c r="C63" s="1464">
        <v>8.5000000000000006E-2</v>
      </c>
      <c r="E63" s="1462"/>
    </row>
    <row r="64" spans="2:5" ht="17.25">
      <c r="B64" s="1464">
        <v>47</v>
      </c>
      <c r="C64" s="1464">
        <v>8.1000000000000003E-2</v>
      </c>
      <c r="E64" s="1462"/>
    </row>
    <row r="65" spans="2:5" ht="17.25">
      <c r="B65" s="1464">
        <v>48</v>
      </c>
      <c r="C65" s="1464">
        <v>7.6999999999999999E-2</v>
      </c>
      <c r="E65" s="1462"/>
    </row>
    <row r="66" spans="2:5" ht="17.25">
      <c r="B66" s="1464">
        <v>49</v>
      </c>
      <c r="C66" s="1464">
        <v>7.2999999999999995E-2</v>
      </c>
      <c r="E66" s="1462"/>
    </row>
    <row r="67" spans="2:5" ht="17.25">
      <c r="B67" s="1464">
        <v>50</v>
      </c>
      <c r="C67" s="1464">
        <v>6.9000000000000006E-2</v>
      </c>
      <c r="E67" s="1462"/>
    </row>
    <row r="68" spans="2:5" ht="17.25">
      <c r="B68" s="1464">
        <v>51</v>
      </c>
      <c r="C68" s="1464">
        <v>6.5000000000000002E-2</v>
      </c>
      <c r="E68" s="1462"/>
    </row>
    <row r="69" spans="2:5" ht="17.25">
      <c r="B69" s="1464">
        <v>52</v>
      </c>
      <c r="C69" s="1464">
        <v>6.2E-2</v>
      </c>
      <c r="E69" s="1462"/>
    </row>
    <row r="70" spans="2:5" ht="17.25">
      <c r="B70" s="1464">
        <v>53</v>
      </c>
      <c r="C70" s="1464">
        <v>5.8999999999999997E-2</v>
      </c>
      <c r="E70" s="1462"/>
    </row>
    <row r="71" spans="2:5" ht="17.25">
      <c r="B71" s="1464">
        <v>54</v>
      </c>
      <c r="C71" s="1464">
        <v>5.6000000000000001E-2</v>
      </c>
      <c r="E71" s="1462"/>
    </row>
    <row r="72" spans="2:5" ht="17.25">
      <c r="B72" s="1464">
        <v>55</v>
      </c>
      <c r="C72" s="1464">
        <v>5.2999999999999999E-2</v>
      </c>
      <c r="E72" s="1462"/>
    </row>
    <row r="73" spans="2:5" ht="17.25">
      <c r="B73" s="1464">
        <v>56</v>
      </c>
      <c r="C73" s="1464">
        <v>0.05</v>
      </c>
      <c r="E73" s="1462"/>
    </row>
    <row r="74" spans="2:5" ht="17.25">
      <c r="B74" s="1464">
        <v>57</v>
      </c>
      <c r="C74" s="1464">
        <v>4.7E-2</v>
      </c>
      <c r="E74" s="1462"/>
    </row>
    <row r="75" spans="2:5" ht="17.25">
      <c r="B75" s="1464">
        <v>58</v>
      </c>
      <c r="C75" s="1464">
        <v>4.4999999999999998E-2</v>
      </c>
      <c r="E75" s="1462"/>
    </row>
    <row r="76" spans="2:5" ht="17.25">
      <c r="B76" s="1464">
        <v>59</v>
      </c>
      <c r="C76" s="1464">
        <v>4.2000000000000003E-2</v>
      </c>
      <c r="E76" s="1462"/>
    </row>
    <row r="77" spans="2:5" ht="17.25">
      <c r="B77" s="1464">
        <v>60</v>
      </c>
      <c r="C77" s="1464">
        <v>0.04</v>
      </c>
      <c r="E77" s="1462"/>
    </row>
    <row r="78" spans="2:5" ht="17.25">
      <c r="B78" s="1464">
        <v>61</v>
      </c>
      <c r="C78" s="1464">
        <v>3.7999999999999999E-2</v>
      </c>
      <c r="E78" s="1462"/>
    </row>
    <row r="79" spans="2:5" ht="17.25">
      <c r="B79" s="1464">
        <v>62</v>
      </c>
      <c r="C79" s="1464">
        <v>3.5999999999999997E-2</v>
      </c>
      <c r="E79" s="1462"/>
    </row>
    <row r="80" spans="2:5" ht="17.25">
      <c r="B80" s="1464">
        <v>63</v>
      </c>
      <c r="C80" s="1464">
        <v>3.4000000000000002E-2</v>
      </c>
      <c r="E80" s="1462"/>
    </row>
    <row r="81" spans="2:5" ht="17.25">
      <c r="B81" s="1464">
        <v>64</v>
      </c>
      <c r="C81" s="1464">
        <v>3.2000000000000001E-2</v>
      </c>
      <c r="E81" s="1462"/>
    </row>
    <row r="82" spans="2:5" ht="17.25">
      <c r="B82" s="1464">
        <v>65</v>
      </c>
      <c r="C82" s="1464">
        <v>3.1E-2</v>
      </c>
      <c r="E82" s="1462"/>
    </row>
    <row r="83" spans="2:5" ht="17.25">
      <c r="B83" s="1464">
        <v>66</v>
      </c>
      <c r="C83" s="1464">
        <v>2.9000000000000001E-2</v>
      </c>
      <c r="E83" s="1462"/>
    </row>
    <row r="84" spans="2:5" ht="17.25">
      <c r="B84" s="1464">
        <v>67</v>
      </c>
      <c r="C84" s="1464">
        <v>2.8000000000000001E-2</v>
      </c>
      <c r="E84" s="1462"/>
    </row>
    <row r="85" spans="2:5" ht="17.25">
      <c r="B85" s="1464">
        <v>68</v>
      </c>
      <c r="C85" s="1464">
        <v>0.02</v>
      </c>
      <c r="E85" s="1462"/>
    </row>
    <row r="86" spans="2:5" ht="17.25">
      <c r="B86" s="1464">
        <v>69</v>
      </c>
      <c r="C86" s="1464">
        <v>2.5000000000000001E-2</v>
      </c>
      <c r="E86" s="1462"/>
    </row>
    <row r="87" spans="2:5" ht="17.25">
      <c r="B87" s="1464">
        <v>70</v>
      </c>
      <c r="C87" s="1464">
        <v>2.4E-2</v>
      </c>
      <c r="E87" s="1462"/>
    </row>
    <row r="88" spans="2:5" ht="17.25">
      <c r="B88" s="1464">
        <v>71</v>
      </c>
      <c r="C88" s="1464">
        <v>2.1999999999999999E-2</v>
      </c>
      <c r="E88" s="1462"/>
    </row>
    <row r="89" spans="2:5" ht="17.25">
      <c r="B89" s="1464">
        <v>72</v>
      </c>
      <c r="C89" s="1464">
        <v>2.1000000000000001E-2</v>
      </c>
      <c r="E89" s="1462"/>
    </row>
    <row r="90" spans="2:5" ht="17.25">
      <c r="B90" s="1464">
        <v>73</v>
      </c>
      <c r="C90" s="1464">
        <v>0.02</v>
      </c>
      <c r="E90" s="1462"/>
    </row>
    <row r="91" spans="2:5" ht="17.25">
      <c r="B91" s="1464">
        <v>74</v>
      </c>
      <c r="C91" s="1464">
        <v>1.9E-2</v>
      </c>
      <c r="E91" s="1462"/>
    </row>
    <row r="92" spans="2:5" ht="17.25">
      <c r="B92" s="1464">
        <v>75</v>
      </c>
      <c r="C92" s="1464">
        <v>1.7999999999999999E-2</v>
      </c>
      <c r="E92" s="1462"/>
    </row>
    <row r="93" spans="2:5" ht="17.25">
      <c r="B93" s="1464">
        <v>76</v>
      </c>
      <c r="C93" s="1464">
        <v>1.7000000000000001E-2</v>
      </c>
      <c r="E93" s="1462"/>
    </row>
    <row r="94" spans="2:5" ht="17.25">
      <c r="B94" s="1464">
        <v>77</v>
      </c>
      <c r="C94" s="1464">
        <v>1.6E-2</v>
      </c>
      <c r="E94" s="1462"/>
    </row>
    <row r="95" spans="2:5" ht="17.25">
      <c r="B95" s="1464">
        <v>78</v>
      </c>
      <c r="C95" s="1464">
        <v>1.4999999999999999E-2</v>
      </c>
      <c r="E95" s="1462"/>
    </row>
    <row r="96" spans="2:5" ht="17.25">
      <c r="B96" s="1464">
        <v>79</v>
      </c>
      <c r="C96" s="1464">
        <v>1.4999999999999999E-2</v>
      </c>
      <c r="E96" s="1462"/>
    </row>
    <row r="97" spans="2:5" ht="17.25">
      <c r="B97" s="1464">
        <v>80</v>
      </c>
      <c r="C97" s="1464">
        <v>1.4E-2</v>
      </c>
      <c r="E97" s="1462"/>
    </row>
    <row r="98" spans="2:5" ht="17.25">
      <c r="B98" s="1464">
        <v>81</v>
      </c>
      <c r="C98" s="1464">
        <v>1.2999999999999999E-2</v>
      </c>
      <c r="E98" s="1462"/>
    </row>
    <row r="99" spans="2:5" ht="17.25">
      <c r="B99" s="1464">
        <v>82</v>
      </c>
      <c r="C99" s="1464">
        <v>1.2E-2</v>
      </c>
      <c r="E99" s="1462"/>
    </row>
    <row r="100" spans="2:5" ht="17.25">
      <c r="B100" s="1464">
        <v>83</v>
      </c>
      <c r="C100" s="1464">
        <v>1.2E-2</v>
      </c>
      <c r="E100" s="1462"/>
    </row>
    <row r="101" spans="2:5" ht="17.25">
      <c r="B101" s="1464">
        <v>84</v>
      </c>
      <c r="C101" s="1464">
        <v>1.0999999999999999E-2</v>
      </c>
      <c r="E101" s="1462"/>
    </row>
    <row r="102" spans="2:5" ht="17.25">
      <c r="B102" s="1464">
        <v>85</v>
      </c>
      <c r="C102" s="1464">
        <v>1.0999999999999999E-2</v>
      </c>
      <c r="E102" s="1462"/>
    </row>
    <row r="103" spans="2:5" ht="17.25">
      <c r="B103" s="1464">
        <v>86</v>
      </c>
      <c r="C103" s="1464">
        <v>0.01</v>
      </c>
      <c r="E103" s="1462"/>
    </row>
    <row r="104" spans="2:5" ht="17.25">
      <c r="B104" s="1464">
        <v>87</v>
      </c>
      <c r="C104" s="1464">
        <v>8.9999999999999993E-3</v>
      </c>
      <c r="E104" s="1462"/>
    </row>
    <row r="105" spans="2:5" ht="17.25">
      <c r="B105" s="1464">
        <v>88</v>
      </c>
      <c r="C105" s="1464">
        <v>8.9999999999999993E-3</v>
      </c>
      <c r="E105" s="1462"/>
    </row>
    <row r="106" spans="2:5" ht="17.25">
      <c r="B106" s="1464">
        <v>89</v>
      </c>
      <c r="C106" s="1464">
        <v>8.9999999999999993E-3</v>
      </c>
      <c r="E106" s="1462"/>
    </row>
    <row r="107" spans="2:5" ht="17.25">
      <c r="B107" s="1464">
        <v>90</v>
      </c>
      <c r="C107" s="1464">
        <v>8.0000000000000002E-3</v>
      </c>
      <c r="E107" s="1462"/>
    </row>
    <row r="108" spans="2:5" ht="17.25">
      <c r="B108" s="1464">
        <v>91</v>
      </c>
      <c r="C108" s="1464">
        <v>8.0000000000000002E-3</v>
      </c>
      <c r="E108" s="1462"/>
    </row>
    <row r="109" spans="2:5" ht="17.25">
      <c r="B109" s="1464">
        <v>92</v>
      </c>
      <c r="C109" s="1464">
        <v>7.0000000000000001E-3</v>
      </c>
      <c r="E109" s="1462"/>
    </row>
    <row r="110" spans="2:5" ht="17.25">
      <c r="B110" s="1464">
        <v>93</v>
      </c>
      <c r="C110" s="1464">
        <v>7.0000000000000001E-3</v>
      </c>
      <c r="E110" s="1462"/>
    </row>
    <row r="111" spans="2:5" ht="17.25">
      <c r="B111" s="1464">
        <v>94</v>
      </c>
      <c r="C111" s="1464">
        <v>7.0000000000000001E-3</v>
      </c>
      <c r="E111" s="1462"/>
    </row>
    <row r="112" spans="2:5" ht="17.25">
      <c r="B112" s="1464">
        <v>95</v>
      </c>
      <c r="C112" s="1464">
        <v>6.0000000000000001E-3</v>
      </c>
      <c r="E112" s="1462"/>
    </row>
    <row r="113" spans="2:5" ht="17.25">
      <c r="B113" s="1464">
        <v>96</v>
      </c>
      <c r="C113" s="1464">
        <v>6.0000000000000001E-3</v>
      </c>
      <c r="E113" s="1462"/>
    </row>
    <row r="114" spans="2:5" ht="17.25">
      <c r="B114" s="1464">
        <v>97</v>
      </c>
      <c r="C114" s="1464">
        <v>6.0000000000000001E-3</v>
      </c>
      <c r="E114" s="1462"/>
    </row>
    <row r="115" spans="2:5" ht="17.25">
      <c r="B115" s="1464">
        <v>98</v>
      </c>
      <c r="C115" s="1464">
        <v>5.0000000000000001E-3</v>
      </c>
      <c r="E115" s="1462"/>
    </row>
    <row r="116" spans="2:5" ht="17.25">
      <c r="B116" s="1464">
        <v>99</v>
      </c>
      <c r="C116" s="1464">
        <v>5.0000000000000001E-3</v>
      </c>
      <c r="E116" s="1462"/>
    </row>
    <row r="117" spans="2:5" ht="17.25">
      <c r="B117" s="1464">
        <v>100</v>
      </c>
      <c r="C117" s="1464">
        <v>5.0000000000000001E-3</v>
      </c>
      <c r="E117" s="1462"/>
    </row>
    <row r="118" spans="2:5" ht="17.25">
      <c r="B118" s="1464"/>
    </row>
    <row r="119" spans="2:5" ht="17.25">
      <c r="B119" s="1464"/>
    </row>
    <row r="120" spans="2:5" ht="17.25">
      <c r="B120" s="1464"/>
    </row>
    <row r="121" spans="2:5" ht="17.25">
      <c r="B121" s="1464"/>
    </row>
    <row r="122" spans="2:5" ht="17.25">
      <c r="B122" s="1464"/>
    </row>
    <row r="123" spans="2:5" ht="17.25">
      <c r="B123" s="1464"/>
    </row>
    <row r="124" spans="2:5" ht="17.25">
      <c r="B124" s="1464"/>
    </row>
    <row r="125" spans="2:5" ht="17.25">
      <c r="B125" s="1464"/>
    </row>
    <row r="126" spans="2:5" ht="17.25">
      <c r="B126" s="1464"/>
    </row>
    <row r="127" spans="2:5" ht="17.25">
      <c r="B127" s="1464"/>
    </row>
    <row r="128" spans="2:5" ht="17.25">
      <c r="B128" s="1464"/>
    </row>
    <row r="129" spans="2:2" ht="17.25">
      <c r="B129" s="1464"/>
    </row>
    <row r="130" spans="2:2" ht="17.25">
      <c r="B130" s="1464"/>
    </row>
    <row r="131" spans="2:2" ht="17.25">
      <c r="B131" s="1464"/>
    </row>
    <row r="132" spans="2:2" ht="17.25">
      <c r="B132" s="1464"/>
    </row>
    <row r="133" spans="2:2" ht="17.25">
      <c r="B133" s="1464"/>
    </row>
    <row r="134" spans="2:2" ht="17.25">
      <c r="B134" s="1464"/>
    </row>
    <row r="135" spans="2:2" ht="17.25">
      <c r="B135" s="1464"/>
    </row>
    <row r="136" spans="2:2" ht="17.25">
      <c r="B136" s="1464"/>
    </row>
    <row r="137" spans="2:2" ht="17.25">
      <c r="B137" s="1464"/>
    </row>
    <row r="138" spans="2:2" ht="17.25">
      <c r="B138" s="1464"/>
    </row>
    <row r="139" spans="2:2" ht="17.25">
      <c r="B139" s="1464"/>
    </row>
    <row r="140" spans="2:2" ht="17.25">
      <c r="B140" s="1464"/>
    </row>
    <row r="141" spans="2:2" ht="17.25">
      <c r="B141" s="1464"/>
    </row>
    <row r="142" spans="2:2" ht="17.25">
      <c r="B142" s="1464"/>
    </row>
    <row r="143" spans="2:2" ht="17.25">
      <c r="B143" s="1464"/>
    </row>
    <row r="144" spans="2:2" ht="17.25">
      <c r="B144" s="1464"/>
    </row>
    <row r="145" spans="2:2" ht="17.25">
      <c r="B145" s="1464"/>
    </row>
    <row r="146" spans="2:2" ht="17.25">
      <c r="B146" s="1464"/>
    </row>
    <row r="147" spans="2:2" ht="17.25">
      <c r="B147" s="1464"/>
    </row>
    <row r="148" spans="2:2" ht="17.25">
      <c r="B148" s="1464"/>
    </row>
    <row r="149" spans="2:2" ht="17.25">
      <c r="B149" s="1464"/>
    </row>
    <row r="150" spans="2:2" ht="17.25">
      <c r="B150" s="1464"/>
    </row>
  </sheetData>
  <sheetProtection algorithmName="SHA-512" hashValue="iBeK/uJK2BvQ7vclK7cqA0tMUlEiTq6uneplK+Ud8wxTJzL9HgCPwVgM4pkQe+J8WVgqVCN+yqgN8CasXkp/Aw==" saltValue="DEXq95tYyglQrCz3ryuf8A==" spinCount="100000" sheet="1" objects="1" scenarios="1" formatColumns="0" autoFilter="0"/>
  <sortState xmlns:xlrd2="http://schemas.microsoft.com/office/spreadsheetml/2017/richdata2" ref="B18:C216">
    <sortCondition ref="B18:B216"/>
  </sortState>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367C-8AD0-4245-A9BA-0CB43DBB07B9}">
  <sheetPr codeName="Tabelle44"/>
  <dimension ref="A1:E44"/>
  <sheetViews>
    <sheetView workbookViewId="0">
      <pane ySplit="1" topLeftCell="A4" activePane="bottomLeft" state="frozen"/>
      <selection pane="bottomLeft" sqref="A1:XFD1"/>
    </sheetView>
  </sheetViews>
  <sheetFormatPr baseColWidth="10" defaultRowHeight="14.25"/>
  <cols>
    <col min="1" max="1" width="33.125" customWidth="1"/>
    <col min="2" max="2" width="34.125" style="1764" customWidth="1"/>
    <col min="3" max="3" width="31.125" style="1764" customWidth="1"/>
  </cols>
  <sheetData>
    <row r="1" spans="1:5" ht="36">
      <c r="A1" s="2109" t="s">
        <v>1793</v>
      </c>
      <c r="B1" s="2110" t="s">
        <v>1803</v>
      </c>
      <c r="C1" s="2110" t="s">
        <v>1804</v>
      </c>
      <c r="D1" s="2109"/>
      <c r="E1" s="2109"/>
    </row>
    <row r="2" spans="1:5">
      <c r="B2" s="1913" t="s">
        <v>1794</v>
      </c>
      <c r="E2" t="s">
        <v>1795</v>
      </c>
    </row>
    <row r="9" spans="1:5">
      <c r="A9" t="s">
        <v>1797</v>
      </c>
    </row>
    <row r="10" spans="1:5" ht="25.5">
      <c r="B10" s="1912" t="s">
        <v>1792</v>
      </c>
      <c r="E10" t="s">
        <v>1796</v>
      </c>
    </row>
    <row r="11" spans="1:5" ht="25.5">
      <c r="B11" s="1912" t="s">
        <v>1815</v>
      </c>
      <c r="E11" t="s">
        <v>1816</v>
      </c>
    </row>
    <row r="17" spans="1:5">
      <c r="A17" t="s">
        <v>1475</v>
      </c>
    </row>
    <row r="18" spans="1:5">
      <c r="B18" s="1764" t="s">
        <v>1798</v>
      </c>
      <c r="E18" t="s">
        <v>1796</v>
      </c>
    </row>
    <row r="19" spans="1:5">
      <c r="B19" s="1764" t="s">
        <v>1800</v>
      </c>
      <c r="E19" t="s">
        <v>1796</v>
      </c>
    </row>
    <row r="20" spans="1:5">
      <c r="B20" s="1764" t="s">
        <v>1799</v>
      </c>
      <c r="E20" t="s">
        <v>1796</v>
      </c>
    </row>
    <row r="21" spans="1:5">
      <c r="B21" s="1764" t="s">
        <v>1814</v>
      </c>
    </row>
    <row r="22" spans="1:5" ht="15">
      <c r="B22" s="1765" t="s">
        <v>1801</v>
      </c>
      <c r="E22" s="403" t="s">
        <v>1795</v>
      </c>
    </row>
    <row r="23" spans="1:5" ht="28.5">
      <c r="B23" s="1764" t="s">
        <v>1805</v>
      </c>
      <c r="C23" s="1764" t="s">
        <v>1802</v>
      </c>
      <c r="E23" t="s">
        <v>1795</v>
      </c>
    </row>
    <row r="25" spans="1:5">
      <c r="B25" s="1764" t="s">
        <v>1806</v>
      </c>
      <c r="E25" t="s">
        <v>1795</v>
      </c>
    </row>
    <row r="26" spans="1:5">
      <c r="C26" s="1764" t="s">
        <v>1813</v>
      </c>
    </row>
    <row r="27" spans="1:5">
      <c r="C27" s="1764" t="s">
        <v>1807</v>
      </c>
    </row>
    <row r="28" spans="1:5">
      <c r="C28" s="1764" t="s">
        <v>1808</v>
      </c>
    </row>
    <row r="29" spans="1:5">
      <c r="C29" s="1764" t="s">
        <v>1809</v>
      </c>
    </row>
    <row r="30" spans="1:5" ht="28.5">
      <c r="B30" s="1764" t="s">
        <v>1811</v>
      </c>
      <c r="C30" s="1764" t="s">
        <v>1810</v>
      </c>
    </row>
    <row r="31" spans="1:5" ht="28.5">
      <c r="B31" s="1764" t="s">
        <v>1812</v>
      </c>
    </row>
    <row r="34" spans="1:3">
      <c r="A34" t="s">
        <v>1817</v>
      </c>
      <c r="C34" s="1764" t="s">
        <v>1818</v>
      </c>
    </row>
    <row r="35" spans="1:3">
      <c r="C35" s="1764" t="s">
        <v>1819</v>
      </c>
    </row>
    <row r="36" spans="1:3">
      <c r="C36" s="1764" t="s">
        <v>1823</v>
      </c>
    </row>
    <row r="37" spans="1:3">
      <c r="C37" s="1764" t="s">
        <v>1824</v>
      </c>
    </row>
    <row r="38" spans="1:3">
      <c r="C38" s="1764" t="s">
        <v>1820</v>
      </c>
    </row>
    <row r="40" spans="1:3">
      <c r="A40" t="s">
        <v>209</v>
      </c>
      <c r="C40" s="1764" t="s">
        <v>1825</v>
      </c>
    </row>
    <row r="41" spans="1:3">
      <c r="C41" s="1764" t="s">
        <v>1826</v>
      </c>
    </row>
    <row r="44" spans="1:3">
      <c r="A44" t="s">
        <v>1821</v>
      </c>
      <c r="B44" s="1764" t="s">
        <v>1822</v>
      </c>
    </row>
  </sheetData>
  <sheetProtection algorithmName="SHA-512" hashValue="SQlwcmxMnz4Lru4/K8uqXRHUpwTIXVeqvRQ2YIgmjqPLNXIkRCpZjyQtbFk1YU6sZoBJVJ1cwtbKXjO6aIGfjg==" saltValue="GYeOVy1Oh8yXgIXos4VvGA==" spinCount="100000" sheet="1" objects="1" scenarios="1" formatColumns="0" autoFilter="0"/>
  <hyperlinks>
    <hyperlink ref="B11" r:id="rId1" xr:uid="{E76EAD8E-B9A6-4126-A922-D4536CAC39EF}"/>
    <hyperlink ref="B10" r:id="rId2" xr:uid="{21839954-4E82-499A-A143-DACD96DB07CD}"/>
    <hyperlink ref="B2" r:id="rId3" xr:uid="{C7ACADFD-200B-4B88-9D94-1248071D379D}"/>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8D6B-DE3F-49DF-82CA-7164978F4AA5}">
  <sheetPr codeName="Tabelle65"/>
  <dimension ref="B2:J43"/>
  <sheetViews>
    <sheetView workbookViewId="0">
      <selection activeCell="E40" sqref="E40"/>
    </sheetView>
  </sheetViews>
  <sheetFormatPr baseColWidth="10" defaultRowHeight="14.25"/>
  <cols>
    <col min="9" max="9" width="12.5" customWidth="1"/>
  </cols>
  <sheetData>
    <row r="2" spans="2:10">
      <c r="B2" s="71"/>
      <c r="C2" s="128"/>
      <c r="D2" s="128"/>
      <c r="E2" s="128"/>
      <c r="F2" s="128"/>
      <c r="G2" s="4022" t="s">
        <v>1585</v>
      </c>
      <c r="H2" s="4023"/>
      <c r="I2" s="1381"/>
    </row>
    <row r="3" spans="2:10">
      <c r="B3" s="539"/>
      <c r="C3" s="66" t="s">
        <v>59</v>
      </c>
      <c r="D3" s="66" t="s">
        <v>1586</v>
      </c>
      <c r="E3" s="66" t="s">
        <v>1587</v>
      </c>
      <c r="F3" s="66" t="s">
        <v>1588</v>
      </c>
      <c r="G3" s="66" t="s">
        <v>1589</v>
      </c>
      <c r="H3" s="1393" t="s">
        <v>1590</v>
      </c>
      <c r="I3" s="1388" t="s">
        <v>1862</v>
      </c>
    </row>
    <row r="4" spans="2:10">
      <c r="B4" s="1376"/>
      <c r="C4" s="1377">
        <v>32874</v>
      </c>
      <c r="D4" s="1378">
        <v>2415.8541386521324</v>
      </c>
      <c r="E4" s="1378">
        <v>28990.249663825587</v>
      </c>
      <c r="F4" s="1379">
        <v>0.125</v>
      </c>
      <c r="G4" s="613"/>
      <c r="H4" s="1385"/>
      <c r="I4" s="1380"/>
      <c r="J4" s="59">
        <f>+F4+G4+H4</f>
        <v>0.125</v>
      </c>
    </row>
    <row r="5" spans="2:10">
      <c r="B5" s="1376"/>
      <c r="C5" s="1377">
        <v>33239</v>
      </c>
      <c r="D5" s="1378">
        <v>2492.5479208315651</v>
      </c>
      <c r="E5" s="1378">
        <v>29910.575049978783</v>
      </c>
      <c r="F5" s="1379">
        <v>0.122</v>
      </c>
      <c r="G5" s="613"/>
      <c r="H5" s="1385"/>
      <c r="I5" s="1380"/>
      <c r="J5" s="59">
        <f t="shared" ref="J5:J40" si="0">+F5+G5+H5</f>
        <v>0.122</v>
      </c>
    </row>
    <row r="6" spans="2:10">
      <c r="B6" s="1376"/>
      <c r="C6" s="1377">
        <v>33604</v>
      </c>
      <c r="D6" s="1378">
        <v>2607.5885941007145</v>
      </c>
      <c r="E6" s="1378">
        <v>31291.063129208571</v>
      </c>
      <c r="F6" s="1379">
        <v>0.127</v>
      </c>
      <c r="G6" s="613"/>
      <c r="H6" s="1385"/>
      <c r="I6" s="1380"/>
      <c r="J6" s="59">
        <f t="shared" si="0"/>
        <v>0.127</v>
      </c>
    </row>
    <row r="7" spans="2:10">
      <c r="B7" s="1376"/>
      <c r="C7" s="1377">
        <v>33970</v>
      </c>
      <c r="D7" s="1378">
        <v>2760.9761584595799</v>
      </c>
      <c r="E7" s="1378">
        <v>33131.713901514959</v>
      </c>
      <c r="F7" s="1379">
        <v>0.13400000000000001</v>
      </c>
      <c r="G7" s="613"/>
      <c r="H7" s="1385"/>
      <c r="I7" s="1380"/>
      <c r="J7" s="59">
        <f t="shared" si="0"/>
        <v>0.13400000000000001</v>
      </c>
    </row>
    <row r="8" spans="2:10">
      <c r="B8" s="1376"/>
      <c r="C8" s="1377">
        <v>34335</v>
      </c>
      <c r="D8" s="1378">
        <v>2914.3637228184452</v>
      </c>
      <c r="E8" s="1378">
        <v>34972.364673821343</v>
      </c>
      <c r="F8" s="1379">
        <v>0.13200000000000001</v>
      </c>
      <c r="G8" s="613"/>
      <c r="H8" s="613"/>
      <c r="I8" s="1381"/>
      <c r="J8" s="59">
        <f t="shared" si="0"/>
        <v>0.13200000000000001</v>
      </c>
    </row>
    <row r="9" spans="2:10">
      <c r="B9" s="1376"/>
      <c r="C9" s="1377">
        <v>34700</v>
      </c>
      <c r="D9" s="1378">
        <v>2991.0575049978784</v>
      </c>
      <c r="E9" s="1378">
        <v>35892.690059974535</v>
      </c>
      <c r="F9" s="1379">
        <v>0.13200000000000001</v>
      </c>
      <c r="G9" s="613">
        <v>0.01</v>
      </c>
      <c r="H9" s="613">
        <v>0</v>
      </c>
      <c r="I9" s="1381"/>
      <c r="J9" s="59">
        <f t="shared" si="0"/>
        <v>0.14200000000000002</v>
      </c>
    </row>
    <row r="10" spans="2:10">
      <c r="B10" s="1376"/>
      <c r="C10" s="1377">
        <v>35065</v>
      </c>
      <c r="D10" s="1378">
        <v>3067.751287177311</v>
      </c>
      <c r="E10" s="1378">
        <v>36813.015446127734</v>
      </c>
      <c r="F10" s="1379">
        <v>0.13500000000000001</v>
      </c>
      <c r="G10" s="613">
        <v>1.7000000000000001E-2</v>
      </c>
      <c r="H10" s="613">
        <v>0</v>
      </c>
      <c r="I10" s="1381"/>
      <c r="J10" s="59">
        <f t="shared" si="0"/>
        <v>0.15200000000000002</v>
      </c>
    </row>
    <row r="11" spans="2:10">
      <c r="B11" s="1376"/>
      <c r="C11" s="1377">
        <v>35431</v>
      </c>
      <c r="D11" s="1378">
        <v>3144.4450693567437</v>
      </c>
      <c r="E11" s="1378">
        <v>37733.340832280926</v>
      </c>
      <c r="F11" s="1379">
        <v>0.13500000000000001</v>
      </c>
      <c r="G11" s="613">
        <v>1.7000000000000001E-2</v>
      </c>
      <c r="H11" s="613">
        <v>0</v>
      </c>
      <c r="I11" s="1381"/>
      <c r="J11" s="59">
        <f t="shared" si="0"/>
        <v>0.15200000000000002</v>
      </c>
    </row>
    <row r="12" spans="2:10">
      <c r="B12" s="1376"/>
      <c r="C12" s="1377">
        <v>35796</v>
      </c>
      <c r="D12" s="1378">
        <v>3221.1388515361764</v>
      </c>
      <c r="E12" s="1378">
        <v>38653.666218434118</v>
      </c>
      <c r="F12" s="1379">
        <v>0.13600000000000001</v>
      </c>
      <c r="G12" s="613">
        <v>1.7000000000000001E-2</v>
      </c>
      <c r="H12" s="613">
        <v>0</v>
      </c>
      <c r="I12" s="1381"/>
      <c r="J12" s="59">
        <f t="shared" si="0"/>
        <v>0.15300000000000002</v>
      </c>
    </row>
    <row r="13" spans="2:10">
      <c r="B13" s="1376"/>
      <c r="C13" s="1377">
        <v>36161</v>
      </c>
      <c r="D13" s="1378">
        <v>3259.4857426258927</v>
      </c>
      <c r="E13" s="1378">
        <v>39113.828911510718</v>
      </c>
      <c r="F13" s="1379">
        <v>0.13500000000000001</v>
      </c>
      <c r="G13" s="613">
        <v>1.7000000000000001E-2</v>
      </c>
      <c r="H13" s="613">
        <v>0</v>
      </c>
      <c r="I13" s="1381"/>
      <c r="J13" s="59">
        <f t="shared" si="0"/>
        <v>0.15200000000000002</v>
      </c>
    </row>
    <row r="14" spans="2:10">
      <c r="B14" s="1376"/>
      <c r="C14" s="1377">
        <v>36526</v>
      </c>
      <c r="D14" s="1378">
        <v>3297.8326337156095</v>
      </c>
      <c r="E14" s="1378">
        <v>39573.991604587311</v>
      </c>
      <c r="F14" s="1379">
        <v>0.13600000000000001</v>
      </c>
      <c r="G14" s="613">
        <v>1.7000000000000001E-2</v>
      </c>
      <c r="H14" s="613">
        <v>0</v>
      </c>
      <c r="I14" s="1381"/>
      <c r="J14" s="59">
        <f t="shared" si="0"/>
        <v>0.15300000000000002</v>
      </c>
    </row>
    <row r="15" spans="2:10">
      <c r="B15" s="1376"/>
      <c r="C15" s="1377">
        <v>36892</v>
      </c>
      <c r="D15" s="1378">
        <v>3336.1795248053259</v>
      </c>
      <c r="E15" s="1378">
        <v>40034.15429766391</v>
      </c>
      <c r="F15" s="1379">
        <v>0.13600000000000001</v>
      </c>
      <c r="G15" s="613">
        <v>1.7000000000000001E-2</v>
      </c>
      <c r="H15" s="613">
        <v>0</v>
      </c>
      <c r="I15" s="1381"/>
      <c r="J15" s="59">
        <f t="shared" si="0"/>
        <v>0.15300000000000002</v>
      </c>
    </row>
    <row r="16" spans="2:10">
      <c r="B16" s="1376"/>
      <c r="C16" s="1382">
        <v>37257</v>
      </c>
      <c r="D16" s="1383">
        <v>3375</v>
      </c>
      <c r="E16" s="1383">
        <v>40500</v>
      </c>
      <c r="F16" s="1384">
        <v>0.14000000000000001</v>
      </c>
      <c r="G16" s="613">
        <v>1.7000000000000001E-2</v>
      </c>
      <c r="H16" s="613">
        <v>0</v>
      </c>
      <c r="I16" s="1381"/>
      <c r="J16" s="59">
        <f t="shared" si="0"/>
        <v>0.15700000000000003</v>
      </c>
    </row>
    <row r="17" spans="2:10">
      <c r="B17" s="1376"/>
      <c r="C17" s="1382">
        <v>37622</v>
      </c>
      <c r="D17" s="1383">
        <v>3450</v>
      </c>
      <c r="E17" s="1383">
        <v>41400</v>
      </c>
      <c r="F17" s="1384">
        <v>0.14399999999999999</v>
      </c>
      <c r="G17" s="613">
        <v>1.7000000000000001E-2</v>
      </c>
      <c r="H17" s="613">
        <v>0</v>
      </c>
      <c r="I17" s="1381"/>
      <c r="J17" s="59">
        <f t="shared" si="0"/>
        <v>0.16099999999999998</v>
      </c>
    </row>
    <row r="18" spans="2:10">
      <c r="B18" s="1376"/>
      <c r="C18" s="1382">
        <v>37987</v>
      </c>
      <c r="D18" s="1383">
        <v>3487.5</v>
      </c>
      <c r="E18" s="1383">
        <v>41850</v>
      </c>
      <c r="F18" s="1384">
        <v>0.14299999999999999</v>
      </c>
      <c r="G18" s="613">
        <v>1.7000000000000001E-2</v>
      </c>
      <c r="H18" s="613">
        <v>0</v>
      </c>
      <c r="I18" s="1381"/>
      <c r="J18" s="59">
        <f t="shared" si="0"/>
        <v>0.15999999999999998</v>
      </c>
    </row>
    <row r="19" spans="2:10">
      <c r="B19" s="1376"/>
      <c r="C19" s="1382">
        <v>38353</v>
      </c>
      <c r="D19" s="1383">
        <v>3525</v>
      </c>
      <c r="E19" s="1383">
        <v>42300</v>
      </c>
      <c r="F19" s="1385">
        <v>0.14299999999999999</v>
      </c>
      <c r="G19" s="613">
        <v>1.7000000000000001E-2</v>
      </c>
      <c r="H19" s="613">
        <v>2.5000000000000001E-3</v>
      </c>
      <c r="I19" s="1381"/>
      <c r="J19" s="59">
        <f t="shared" si="0"/>
        <v>0.16249999999999998</v>
      </c>
    </row>
    <row r="20" spans="2:10">
      <c r="B20" s="1376"/>
      <c r="C20" s="1382">
        <v>38534</v>
      </c>
      <c r="D20" s="1383">
        <v>3525</v>
      </c>
      <c r="E20" s="1383">
        <v>42300</v>
      </c>
      <c r="F20" s="1385">
        <v>0.13800000000000001</v>
      </c>
      <c r="G20" s="613">
        <v>1.7000000000000001E-2</v>
      </c>
      <c r="H20" s="613">
        <v>2.5000000000000001E-3</v>
      </c>
      <c r="I20" s="1381"/>
      <c r="J20" s="59">
        <f t="shared" si="0"/>
        <v>0.15750000000000003</v>
      </c>
    </row>
    <row r="21" spans="2:10">
      <c r="B21" s="1376"/>
      <c r="C21" s="1382">
        <v>38718</v>
      </c>
      <c r="D21" s="1383">
        <v>3562.5</v>
      </c>
      <c r="E21" s="1383">
        <v>42750</v>
      </c>
      <c r="F21" s="1384">
        <v>0.14299999999999999</v>
      </c>
      <c r="G21" s="613">
        <v>1.7000000000000001E-2</v>
      </c>
      <c r="H21" s="613">
        <v>2.5000000000000001E-3</v>
      </c>
      <c r="I21" s="1381"/>
      <c r="J21" s="59">
        <f t="shared" si="0"/>
        <v>0.16249999999999998</v>
      </c>
    </row>
    <row r="22" spans="2:10">
      <c r="B22" s="1376"/>
      <c r="C22" s="1382">
        <v>39083</v>
      </c>
      <c r="D22" s="1383">
        <v>3562.5</v>
      </c>
      <c r="E22" s="1383">
        <v>42750</v>
      </c>
      <c r="F22" s="1384">
        <v>0.14899999999999999</v>
      </c>
      <c r="G22" s="613">
        <v>1.7000000000000001E-2</v>
      </c>
      <c r="H22" s="613">
        <v>2.5000000000000001E-3</v>
      </c>
      <c r="I22" s="1381"/>
      <c r="J22" s="59">
        <f t="shared" si="0"/>
        <v>0.16849999999999998</v>
      </c>
    </row>
    <row r="23" spans="2:10">
      <c r="B23" s="1376"/>
      <c r="C23" s="1382">
        <v>39448</v>
      </c>
      <c r="D23" s="1383">
        <v>3600</v>
      </c>
      <c r="E23" s="1383">
        <v>43200</v>
      </c>
      <c r="F23" s="1384">
        <v>0.14899999999999999</v>
      </c>
      <c r="G23" s="613">
        <v>1.95E-2</v>
      </c>
      <c r="H23" s="613">
        <v>2.5000000000000001E-3</v>
      </c>
      <c r="I23" s="1386"/>
      <c r="J23" s="59">
        <f t="shared" si="0"/>
        <v>0.17099999999999999</v>
      </c>
    </row>
    <row r="24" spans="2:10">
      <c r="B24" s="1376"/>
      <c r="C24" s="1382">
        <v>39814</v>
      </c>
      <c r="D24" s="1383">
        <v>3675</v>
      </c>
      <c r="E24" s="1383">
        <v>44100</v>
      </c>
      <c r="F24" s="1385">
        <v>0.155</v>
      </c>
      <c r="G24" s="613">
        <v>1.95E-2</v>
      </c>
      <c r="H24" s="613">
        <v>2.5000000000000001E-3</v>
      </c>
      <c r="I24" s="1386"/>
      <c r="J24" s="59">
        <f t="shared" si="0"/>
        <v>0.17699999999999999</v>
      </c>
    </row>
    <row r="25" spans="2:10">
      <c r="B25" s="1376"/>
      <c r="C25" s="1382">
        <v>39995</v>
      </c>
      <c r="D25" s="1383">
        <v>3675</v>
      </c>
      <c r="E25" s="1383">
        <v>44100</v>
      </c>
      <c r="F25" s="1385">
        <v>0.14899999999999999</v>
      </c>
      <c r="G25" s="613">
        <v>1.95E-2</v>
      </c>
      <c r="H25" s="613">
        <v>2.5000000000000001E-3</v>
      </c>
      <c r="I25" s="1386"/>
      <c r="J25" s="59">
        <f t="shared" si="0"/>
        <v>0.17099999999999999</v>
      </c>
    </row>
    <row r="26" spans="2:10">
      <c r="B26" s="1376"/>
      <c r="C26" s="1382">
        <v>40179</v>
      </c>
      <c r="D26" s="1383">
        <v>3750</v>
      </c>
      <c r="E26" s="1383">
        <v>45000</v>
      </c>
      <c r="F26" s="1384">
        <v>0.155</v>
      </c>
      <c r="G26" s="613">
        <v>1.95E-2</v>
      </c>
      <c r="H26" s="613">
        <v>2.5000000000000001E-3</v>
      </c>
      <c r="I26" s="1386"/>
      <c r="J26" s="59">
        <f t="shared" si="0"/>
        <v>0.17699999999999999</v>
      </c>
    </row>
    <row r="27" spans="2:10">
      <c r="B27" s="1376"/>
      <c r="C27" s="1382">
        <v>40544</v>
      </c>
      <c r="D27" s="1383">
        <v>3712.5</v>
      </c>
      <c r="E27" s="1383">
        <v>44550</v>
      </c>
      <c r="F27" s="1384">
        <v>0.155</v>
      </c>
      <c r="G27" s="613">
        <v>1.95E-2</v>
      </c>
      <c r="H27" s="613">
        <v>2.5000000000000001E-3</v>
      </c>
      <c r="I27" s="1386"/>
      <c r="J27" s="59">
        <f t="shared" si="0"/>
        <v>0.17699999999999999</v>
      </c>
    </row>
    <row r="28" spans="2:10">
      <c r="B28" s="1376"/>
      <c r="C28" s="1382">
        <v>40909</v>
      </c>
      <c r="D28" s="1383">
        <v>3825</v>
      </c>
      <c r="E28" s="1383">
        <v>45900</v>
      </c>
      <c r="F28" s="1384">
        <v>0.155</v>
      </c>
      <c r="G28" s="613">
        <v>1.95E-2</v>
      </c>
      <c r="H28" s="613">
        <v>2.5000000000000001E-3</v>
      </c>
      <c r="I28" s="1386"/>
      <c r="J28" s="59">
        <f t="shared" si="0"/>
        <v>0.17699999999999999</v>
      </c>
    </row>
    <row r="29" spans="2:10">
      <c r="B29" s="1376"/>
      <c r="C29" s="1382">
        <v>41275</v>
      </c>
      <c r="D29" s="1383">
        <v>3937.5</v>
      </c>
      <c r="E29" s="1383">
        <v>47250</v>
      </c>
      <c r="F29" s="1384">
        <v>0.155</v>
      </c>
      <c r="G29" s="613">
        <v>2.0500000000000001E-2</v>
      </c>
      <c r="H29" s="613">
        <v>2.5000000000000001E-3</v>
      </c>
      <c r="I29" s="1381"/>
      <c r="J29" s="59">
        <f t="shared" si="0"/>
        <v>0.17799999999999999</v>
      </c>
    </row>
    <row r="30" spans="2:10">
      <c r="B30" s="1376"/>
      <c r="C30" s="1382">
        <v>41640</v>
      </c>
      <c r="D30" s="1383">
        <v>4050</v>
      </c>
      <c r="E30" s="1383">
        <v>48600</v>
      </c>
      <c r="F30" s="1384">
        <v>0.155</v>
      </c>
      <c r="G30" s="613">
        <v>2.0500000000000001E-2</v>
      </c>
      <c r="H30" s="613">
        <v>2.5000000000000001E-3</v>
      </c>
      <c r="I30" s="1381"/>
      <c r="J30" s="59">
        <f t="shared" si="0"/>
        <v>0.17799999999999999</v>
      </c>
    </row>
    <row r="31" spans="2:10">
      <c r="B31" s="1376"/>
      <c r="C31" s="1382">
        <v>42005</v>
      </c>
      <c r="D31" s="1383">
        <v>4125</v>
      </c>
      <c r="E31" s="1383">
        <v>49500</v>
      </c>
      <c r="F31" s="1384">
        <v>0.14599999999999999</v>
      </c>
      <c r="G31" s="613">
        <v>2.35E-2</v>
      </c>
      <c r="H31" s="613">
        <v>2.5000000000000001E-3</v>
      </c>
      <c r="I31" s="1381"/>
      <c r="J31" s="59">
        <f t="shared" si="0"/>
        <v>0.17199999999999999</v>
      </c>
    </row>
    <row r="32" spans="2:10">
      <c r="B32" s="1376"/>
      <c r="C32" s="1382">
        <v>42370</v>
      </c>
      <c r="D32" s="1383">
        <v>4237.5</v>
      </c>
      <c r="E32" s="1383">
        <v>50850</v>
      </c>
      <c r="F32" s="1384">
        <v>0.14599999999999999</v>
      </c>
      <c r="G32" s="613">
        <v>2.35E-2</v>
      </c>
      <c r="H32" s="613">
        <v>2.5000000000000001E-3</v>
      </c>
      <c r="I32" s="1381"/>
      <c r="J32" s="59">
        <f t="shared" si="0"/>
        <v>0.17199999999999999</v>
      </c>
    </row>
    <row r="33" spans="2:10">
      <c r="B33" s="1376"/>
      <c r="C33" s="1382">
        <v>42736</v>
      </c>
      <c r="D33" s="1383">
        <v>4350</v>
      </c>
      <c r="E33" s="1383">
        <v>52200</v>
      </c>
      <c r="F33" s="1384">
        <v>0.14599999999999999</v>
      </c>
      <c r="G33" s="613">
        <v>2.5499999999999998E-2</v>
      </c>
      <c r="H33" s="613">
        <v>2.5000000000000001E-3</v>
      </c>
      <c r="I33" s="1381"/>
      <c r="J33" s="59">
        <f t="shared" si="0"/>
        <v>0.17399999999999999</v>
      </c>
    </row>
    <row r="34" spans="2:10">
      <c r="B34" s="1376"/>
      <c r="C34" s="1382">
        <v>43101</v>
      </c>
      <c r="D34" s="1383">
        <v>4425</v>
      </c>
      <c r="E34" s="1383">
        <v>53100</v>
      </c>
      <c r="F34" s="1384">
        <v>0.14599999999999999</v>
      </c>
      <c r="G34" s="613">
        <v>2.5499999999999998E-2</v>
      </c>
      <c r="H34" s="613">
        <v>2.5000000000000001E-3</v>
      </c>
      <c r="I34" s="1381"/>
      <c r="J34" s="59">
        <f t="shared" si="0"/>
        <v>0.17399999999999999</v>
      </c>
    </row>
    <row r="35" spans="2:10">
      <c r="B35" s="1376"/>
      <c r="C35" s="1382">
        <v>43466</v>
      </c>
      <c r="D35" s="1383">
        <v>4537.5</v>
      </c>
      <c r="E35" s="1383">
        <v>54450</v>
      </c>
      <c r="F35" s="1384">
        <v>0.14599999999999999</v>
      </c>
      <c r="G35" s="613">
        <v>3.0499999999999999E-2</v>
      </c>
      <c r="H35" s="613">
        <v>2.5000000000000001E-3</v>
      </c>
      <c r="I35" s="1381"/>
      <c r="J35" s="59">
        <f t="shared" si="0"/>
        <v>0.17899999999999999</v>
      </c>
    </row>
    <row r="36" spans="2:10">
      <c r="B36" s="1376"/>
      <c r="C36" s="1382">
        <v>43831</v>
      </c>
      <c r="D36" s="1383">
        <v>4687.5</v>
      </c>
      <c r="E36" s="1383">
        <v>56250</v>
      </c>
      <c r="F36" s="1384">
        <v>0.14599999999999999</v>
      </c>
      <c r="G36" s="613">
        <v>3.0499999999999999E-2</v>
      </c>
      <c r="H36" s="613">
        <v>2.5000000000000001E-3</v>
      </c>
      <c r="I36" s="1381"/>
      <c r="J36" s="59">
        <f t="shared" si="0"/>
        <v>0.17899999999999999</v>
      </c>
    </row>
    <row r="37" spans="2:10">
      <c r="B37" s="1376"/>
      <c r="C37" s="1382">
        <v>44197</v>
      </c>
      <c r="D37" s="1383">
        <v>4837.5</v>
      </c>
      <c r="E37" s="1383">
        <v>58050</v>
      </c>
      <c r="F37" s="1384">
        <v>0.14599999999999999</v>
      </c>
      <c r="G37" s="613">
        <v>3.0499999999999999E-2</v>
      </c>
      <c r="H37" s="613">
        <v>2.5000000000000001E-3</v>
      </c>
      <c r="I37" s="1381"/>
      <c r="J37" s="59">
        <f t="shared" si="0"/>
        <v>0.17899999999999999</v>
      </c>
    </row>
    <row r="38" spans="2:10">
      <c r="B38" s="1376"/>
      <c r="C38" s="1382">
        <v>44562</v>
      </c>
      <c r="D38" s="1383">
        <v>4837.5</v>
      </c>
      <c r="E38" s="1383">
        <v>58050</v>
      </c>
      <c r="F38" s="1384">
        <v>0.14599999999999999</v>
      </c>
      <c r="G38" s="613">
        <v>3.0499999999999999E-2</v>
      </c>
      <c r="H38" s="613">
        <v>3.5000000000000001E-3</v>
      </c>
      <c r="I38" s="1381"/>
      <c r="J38" s="59">
        <f t="shared" si="0"/>
        <v>0.18</v>
      </c>
    </row>
    <row r="39" spans="2:10">
      <c r="B39" s="1376"/>
      <c r="C39" s="1382">
        <v>44927</v>
      </c>
      <c r="D39" s="1383">
        <v>4987.5</v>
      </c>
      <c r="E39" s="1383">
        <v>59850</v>
      </c>
      <c r="F39" s="1384">
        <v>0.14599999999999999</v>
      </c>
      <c r="G39" s="613">
        <v>3.0499999999999999E-2</v>
      </c>
      <c r="H39" s="613">
        <v>9.4999999999999998E-3</v>
      </c>
      <c r="I39" s="1381"/>
      <c r="J39" s="59">
        <f t="shared" si="0"/>
        <v>0.186</v>
      </c>
    </row>
    <row r="40" spans="2:10">
      <c r="B40" s="58"/>
      <c r="C40" s="1382">
        <v>45108</v>
      </c>
      <c r="D40" s="1383">
        <v>4987.5</v>
      </c>
      <c r="E40" s="1383">
        <v>59850</v>
      </c>
      <c r="F40" s="1384">
        <v>0.14599999999999999</v>
      </c>
      <c r="G40" s="883">
        <v>3.4000000000000002E-2</v>
      </c>
      <c r="H40" s="883">
        <v>6.0000000000000001E-3</v>
      </c>
      <c r="I40" s="1386"/>
      <c r="J40" s="59">
        <f t="shared" si="0"/>
        <v>0.186</v>
      </c>
    </row>
    <row r="41" spans="2:10">
      <c r="B41" s="1376"/>
      <c r="C41" s="1389">
        <v>45292</v>
      </c>
      <c r="D41" s="1390">
        <v>5175</v>
      </c>
      <c r="E41" s="1390">
        <f>+D41*12</f>
        <v>62100</v>
      </c>
      <c r="F41" s="1391">
        <v>0.14599999999999999</v>
      </c>
      <c r="G41" s="1392">
        <v>3.4000000000000002E-2</v>
      </c>
      <c r="H41" s="1381">
        <v>6.0000000000000001E-3</v>
      </c>
      <c r="I41" s="1381">
        <v>1.7000000000000001E-2</v>
      </c>
      <c r="J41" s="59">
        <f>+F41+G41+H41+I41</f>
        <v>0.20300000000000001</v>
      </c>
    </row>
    <row r="42" spans="2:10">
      <c r="B42" s="539"/>
      <c r="C42" s="1377">
        <v>45658</v>
      </c>
      <c r="D42" s="1378">
        <v>5512.5</v>
      </c>
      <c r="E42" s="1378">
        <f>+D42*12</f>
        <v>66150</v>
      </c>
      <c r="F42" s="1379">
        <v>0.14599999999999999</v>
      </c>
      <c r="G42" s="613">
        <v>3.5999999999999997E-2</v>
      </c>
      <c r="H42" s="1381">
        <v>6.0000000000000001E-3</v>
      </c>
      <c r="I42" s="1381">
        <v>2.5000000000000001E-2</v>
      </c>
      <c r="J42" s="59">
        <f>+F42+G42+H42+I42</f>
        <v>0.21299999999999999</v>
      </c>
    </row>
    <row r="43" spans="2:10">
      <c r="B43" s="539"/>
      <c r="C43" s="66"/>
      <c r="D43" s="66"/>
      <c r="E43" s="66"/>
      <c r="F43" s="66"/>
      <c r="G43" s="66"/>
      <c r="H43" s="1387"/>
      <c r="I43" s="1387"/>
    </row>
  </sheetData>
  <sheetProtection algorithmName="SHA-512" hashValue="HKmLXaPcibZmqcrEHQVgilKQKBmVB+ksznd38/MDjqDijnMAHr8hsPdbn4N01MeOXpwEOdDRHQHeLRQNqSqBzA==" saltValue="uExEcR5gTyP/i3I/r0HXSg==" spinCount="100000" sheet="1" objects="1" scenarios="1" formatColumns="0" autoFilter="0"/>
  <mergeCells count="1">
    <mergeCell ref="G2:H2"/>
  </mergeCell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921D-9311-4D7A-9B5A-6424F392A723}">
  <sheetPr codeName="Tabelle45"/>
  <dimension ref="A1:AF35"/>
  <sheetViews>
    <sheetView zoomScale="85" zoomScaleNormal="85" workbookViewId="0">
      <selection activeCell="P17" sqref="P17"/>
    </sheetView>
  </sheetViews>
  <sheetFormatPr baseColWidth="10" defaultColWidth="0" defaultRowHeight="14.25" zeroHeight="1"/>
  <cols>
    <col min="1" max="1" width="3.125" customWidth="1"/>
    <col min="2" max="2" width="7.5" customWidth="1"/>
    <col min="3" max="9" width="6.625" customWidth="1"/>
    <col min="10" max="10" width="2.625" customWidth="1"/>
    <col min="11" max="11" width="3.125" customWidth="1"/>
    <col min="12" max="12" width="7.5" customWidth="1"/>
    <col min="13" max="19" width="6.625" customWidth="1"/>
    <col min="20" max="20" width="2.125" customWidth="1"/>
    <col min="21" max="21" width="3.125" customWidth="1"/>
    <col min="22" max="22" width="7.5" customWidth="1"/>
    <col min="23" max="31" width="6.625" customWidth="1"/>
    <col min="32" max="32" width="11" customWidth="1"/>
    <col min="33" max="16384" width="11" hidden="1"/>
  </cols>
  <sheetData>
    <row r="1" spans="1:31"/>
    <row r="2" spans="1:31">
      <c r="A2" s="4029" t="s">
        <v>608</v>
      </c>
      <c r="B2" s="4030"/>
      <c r="C2" s="4030"/>
      <c r="D2" s="4030"/>
      <c r="E2" s="4030"/>
      <c r="F2" s="4030"/>
      <c r="G2" s="4030"/>
      <c r="H2" s="4030"/>
      <c r="I2" s="4031"/>
      <c r="J2" s="25"/>
      <c r="K2" s="4027" t="s">
        <v>601</v>
      </c>
      <c r="L2" s="4027"/>
      <c r="M2" s="4027"/>
      <c r="N2" s="4027"/>
      <c r="O2" s="4027"/>
      <c r="P2" s="4027"/>
      <c r="Q2" s="4027"/>
      <c r="R2" s="4027"/>
      <c r="S2" s="4027"/>
      <c r="T2" s="25"/>
      <c r="U2" s="4027" t="s">
        <v>601</v>
      </c>
      <c r="V2" s="4027"/>
      <c r="W2" s="4027"/>
      <c r="X2" s="4027"/>
      <c r="Y2" s="4027"/>
      <c r="Z2" s="4027"/>
      <c r="AA2" s="4027"/>
      <c r="AB2" s="4027"/>
      <c r="AC2" s="4027"/>
      <c r="AD2" s="4027"/>
      <c r="AE2" s="4027"/>
    </row>
    <row r="3" spans="1:31" ht="15">
      <c r="A3" s="4034" t="s">
        <v>605</v>
      </c>
      <c r="B3" s="4035"/>
      <c r="C3" s="4035"/>
      <c r="D3" s="4035"/>
      <c r="E3" s="4035"/>
      <c r="F3" s="4035"/>
      <c r="G3" s="4035"/>
      <c r="H3" s="4035"/>
      <c r="I3" s="4036"/>
      <c r="J3" s="25"/>
      <c r="K3" s="4028" t="s">
        <v>602</v>
      </c>
      <c r="L3" s="4028"/>
      <c r="M3" s="4028"/>
      <c r="N3" s="4028"/>
      <c r="O3" s="4028"/>
      <c r="P3" s="4028"/>
      <c r="Q3" s="4028"/>
      <c r="R3" s="4028"/>
      <c r="S3" s="4028"/>
      <c r="T3" s="25"/>
      <c r="U3" s="4028" t="s">
        <v>606</v>
      </c>
      <c r="V3" s="4028"/>
      <c r="W3" s="4028"/>
      <c r="X3" s="4028"/>
      <c r="Y3" s="4028"/>
      <c r="Z3" s="4028"/>
      <c r="AA3" s="4028"/>
      <c r="AB3" s="4028"/>
      <c r="AC3" s="4028"/>
      <c r="AD3" s="4028"/>
      <c r="AE3" s="4028"/>
    </row>
    <row r="4" spans="1:31">
      <c r="A4" s="4032" t="s">
        <v>7</v>
      </c>
      <c r="B4" s="4033"/>
      <c r="C4" s="29">
        <v>35</v>
      </c>
      <c r="D4" s="29">
        <v>40</v>
      </c>
      <c r="E4" s="29">
        <v>45</v>
      </c>
      <c r="F4" s="29">
        <v>50</v>
      </c>
      <c r="G4" s="29">
        <v>55</v>
      </c>
      <c r="H4" s="29">
        <v>60</v>
      </c>
      <c r="I4" s="29">
        <v>65</v>
      </c>
      <c r="J4" s="25"/>
      <c r="K4" s="4037" t="s">
        <v>7</v>
      </c>
      <c r="L4" s="4038"/>
      <c r="M4" s="29">
        <v>35</v>
      </c>
      <c r="N4" s="29">
        <v>40</v>
      </c>
      <c r="O4" s="29">
        <v>45</v>
      </c>
      <c r="P4" s="29">
        <v>50</v>
      </c>
      <c r="Q4" s="29">
        <v>55</v>
      </c>
      <c r="R4" s="29">
        <v>60</v>
      </c>
      <c r="S4" s="29">
        <v>65</v>
      </c>
      <c r="T4" s="25"/>
      <c r="U4" s="4026" t="s">
        <v>7</v>
      </c>
      <c r="V4" s="4026"/>
      <c r="W4" s="29">
        <v>35</v>
      </c>
      <c r="X4" s="29">
        <v>40</v>
      </c>
      <c r="Y4" s="29">
        <v>45</v>
      </c>
      <c r="Z4" s="29">
        <v>50</v>
      </c>
      <c r="AA4" s="29">
        <v>55</v>
      </c>
      <c r="AB4" s="29">
        <v>60</v>
      </c>
      <c r="AC4" s="29">
        <v>65</v>
      </c>
      <c r="AD4" s="29">
        <v>70</v>
      </c>
      <c r="AE4" s="29">
        <v>75</v>
      </c>
    </row>
    <row r="5" spans="1:31" ht="14.25" customHeight="1">
      <c r="A5" s="4024" t="s">
        <v>269</v>
      </c>
      <c r="B5" s="567">
        <v>0.01</v>
      </c>
      <c r="C5" s="568">
        <v>2.41</v>
      </c>
      <c r="D5" s="568">
        <v>2.23</v>
      </c>
      <c r="E5" s="568">
        <v>2.06</v>
      </c>
      <c r="F5" s="568">
        <v>1.91</v>
      </c>
      <c r="G5" s="568">
        <v>1.77</v>
      </c>
      <c r="H5" s="568">
        <v>1.64</v>
      </c>
      <c r="I5" s="568">
        <v>1.54</v>
      </c>
      <c r="K5" s="4024" t="s">
        <v>269</v>
      </c>
      <c r="L5" s="567">
        <v>0.01</v>
      </c>
      <c r="M5" s="568">
        <v>2.4500000000000002</v>
      </c>
      <c r="N5" s="568">
        <v>2.27</v>
      </c>
      <c r="O5" s="568">
        <v>2.1</v>
      </c>
      <c r="P5" s="568">
        <v>1.94</v>
      </c>
      <c r="Q5" s="568">
        <v>1.8</v>
      </c>
      <c r="R5" s="568">
        <v>1.68</v>
      </c>
      <c r="S5" s="568">
        <v>1.57</v>
      </c>
      <c r="U5" s="4024" t="s">
        <v>269</v>
      </c>
      <c r="V5" s="567">
        <v>0.01</v>
      </c>
      <c r="W5" s="568">
        <v>1.28</v>
      </c>
      <c r="X5" s="568">
        <v>1.22</v>
      </c>
      <c r="Y5" s="568">
        <v>1.1599999999999999</v>
      </c>
      <c r="Z5" s="568">
        <v>1.1000000000000001</v>
      </c>
      <c r="AA5" s="568">
        <v>1.06</v>
      </c>
      <c r="AB5" s="568">
        <v>1.01</v>
      </c>
      <c r="AC5" s="568">
        <v>0.97</v>
      </c>
      <c r="AD5" s="568">
        <v>0.92</v>
      </c>
      <c r="AE5" s="568">
        <v>0.85</v>
      </c>
    </row>
    <row r="6" spans="1:31" ht="14.1" customHeight="1">
      <c r="A6" s="4024"/>
      <c r="B6" s="567">
        <v>1.2500000000000001E-2</v>
      </c>
      <c r="C6" s="568">
        <v>2.16</v>
      </c>
      <c r="D6" s="568">
        <v>2.02</v>
      </c>
      <c r="E6" s="568">
        <v>1.9</v>
      </c>
      <c r="F6" s="568">
        <v>1.78</v>
      </c>
      <c r="G6" s="568">
        <v>1.66</v>
      </c>
      <c r="H6" s="568">
        <v>1.56</v>
      </c>
      <c r="I6" s="568">
        <v>1.48</v>
      </c>
      <c r="K6" s="4024"/>
      <c r="L6" s="567">
        <v>1.2500000000000001E-2</v>
      </c>
      <c r="M6" s="568">
        <v>2.19</v>
      </c>
      <c r="N6" s="568">
        <v>2.0499999999999998</v>
      </c>
      <c r="O6" s="568">
        <v>1.92</v>
      </c>
      <c r="P6" s="568">
        <v>1.8</v>
      </c>
      <c r="Q6" s="568">
        <v>1.69</v>
      </c>
      <c r="R6" s="568">
        <v>1.59</v>
      </c>
      <c r="S6" s="568">
        <v>1.51</v>
      </c>
      <c r="U6" s="4024"/>
      <c r="V6" s="567">
        <v>1.2500000000000001E-2</v>
      </c>
      <c r="W6" s="568">
        <v>1.1399999999999999</v>
      </c>
      <c r="X6" s="568">
        <v>1.1000000000000001</v>
      </c>
      <c r="Y6" s="568">
        <v>1.06</v>
      </c>
      <c r="Z6" s="568">
        <v>1.03</v>
      </c>
      <c r="AA6" s="568">
        <v>0.99</v>
      </c>
      <c r="AB6" s="568">
        <v>0.97</v>
      </c>
      <c r="AC6" s="568">
        <v>0.94</v>
      </c>
      <c r="AD6" s="568">
        <v>0.89</v>
      </c>
      <c r="AE6" s="568">
        <v>0.83</v>
      </c>
    </row>
    <row r="7" spans="1:31" ht="14.1" customHeight="1">
      <c r="A7" s="4024"/>
      <c r="B7" s="567">
        <v>1.4999999999999999E-2</v>
      </c>
      <c r="C7" s="568">
        <v>1.94</v>
      </c>
      <c r="D7" s="568">
        <v>1.84</v>
      </c>
      <c r="E7" s="568">
        <v>1.74</v>
      </c>
      <c r="F7" s="568">
        <v>1.65</v>
      </c>
      <c r="G7" s="568">
        <v>1.57</v>
      </c>
      <c r="H7" s="568">
        <v>1.49</v>
      </c>
      <c r="I7" s="568">
        <v>1.43</v>
      </c>
      <c r="K7" s="4024"/>
      <c r="L7" s="567">
        <v>1.4999999999999999E-2</v>
      </c>
      <c r="M7" s="568">
        <v>1.96</v>
      </c>
      <c r="N7" s="568">
        <v>1.86</v>
      </c>
      <c r="O7" s="568">
        <v>1.76</v>
      </c>
      <c r="P7" s="568">
        <v>1.67</v>
      </c>
      <c r="Q7" s="568">
        <v>1.59</v>
      </c>
      <c r="R7" s="568">
        <v>1.52</v>
      </c>
      <c r="S7" s="568">
        <v>1.46</v>
      </c>
      <c r="U7" s="4024"/>
      <c r="V7" s="567">
        <v>1.4999999999999999E-2</v>
      </c>
      <c r="W7" s="568">
        <v>1.02</v>
      </c>
      <c r="X7" s="568">
        <v>1</v>
      </c>
      <c r="Y7" s="568">
        <v>0.98</v>
      </c>
      <c r="Z7" s="568">
        <v>0.95</v>
      </c>
      <c r="AA7" s="568">
        <v>0.94</v>
      </c>
      <c r="AB7" s="568">
        <v>0.92</v>
      </c>
      <c r="AC7" s="568">
        <v>0.91</v>
      </c>
      <c r="AD7" s="568">
        <v>0.87</v>
      </c>
      <c r="AE7" s="568">
        <v>0.81</v>
      </c>
    </row>
    <row r="8" spans="1:31" ht="14.1" customHeight="1">
      <c r="A8" s="4024"/>
      <c r="B8" s="567">
        <v>1.7500000000000002E-2</v>
      </c>
      <c r="C8" s="568">
        <v>1.74</v>
      </c>
      <c r="D8" s="568">
        <v>1.67</v>
      </c>
      <c r="E8" s="568">
        <v>1.6</v>
      </c>
      <c r="F8" s="568">
        <v>1.54</v>
      </c>
      <c r="G8" s="568">
        <v>1.48</v>
      </c>
      <c r="H8" s="568">
        <v>1.42</v>
      </c>
      <c r="I8" s="568">
        <v>1.39</v>
      </c>
      <c r="K8" s="4024"/>
      <c r="L8" s="567">
        <v>1.7500000000000002E-2</v>
      </c>
      <c r="M8" s="568">
        <v>1.76</v>
      </c>
      <c r="N8" s="568">
        <v>1.69</v>
      </c>
      <c r="O8" s="568">
        <v>1.62</v>
      </c>
      <c r="P8" s="568">
        <v>1.56</v>
      </c>
      <c r="Q8" s="568">
        <v>1.5</v>
      </c>
      <c r="R8" s="568">
        <v>1.44</v>
      </c>
      <c r="S8" s="568">
        <v>1.41</v>
      </c>
      <c r="U8" s="4024"/>
      <c r="V8" s="567">
        <v>1.7500000000000002E-2</v>
      </c>
      <c r="W8" s="568">
        <v>0.92</v>
      </c>
      <c r="X8" s="568">
        <v>0.91</v>
      </c>
      <c r="Y8" s="568">
        <v>0.9</v>
      </c>
      <c r="Z8" s="568">
        <v>0.89</v>
      </c>
      <c r="AA8" s="568">
        <v>0.88</v>
      </c>
      <c r="AB8" s="568">
        <v>0.88</v>
      </c>
      <c r="AC8" s="568">
        <v>0.88</v>
      </c>
      <c r="AD8" s="568">
        <v>0.84</v>
      </c>
      <c r="AE8" s="568">
        <v>0.8</v>
      </c>
    </row>
    <row r="9" spans="1:31" ht="14.1" customHeight="1">
      <c r="A9" s="4024"/>
      <c r="B9" s="567">
        <v>0.02</v>
      </c>
      <c r="C9" s="568">
        <v>1.56</v>
      </c>
      <c r="D9" s="568">
        <v>1.52</v>
      </c>
      <c r="E9" s="568">
        <v>1.48</v>
      </c>
      <c r="F9" s="568">
        <v>1.43</v>
      </c>
      <c r="G9" s="568">
        <v>1.39</v>
      </c>
      <c r="H9" s="568">
        <v>1.36</v>
      </c>
      <c r="I9" s="568">
        <v>1.34</v>
      </c>
      <c r="K9" s="4024"/>
      <c r="L9" s="567">
        <v>0.02</v>
      </c>
      <c r="M9" s="568">
        <v>1.57</v>
      </c>
      <c r="N9" s="568">
        <v>1.53</v>
      </c>
      <c r="O9" s="568">
        <v>1.49</v>
      </c>
      <c r="P9" s="568">
        <v>1.45</v>
      </c>
      <c r="Q9" s="568">
        <v>1.41</v>
      </c>
      <c r="R9" s="568">
        <v>1.38</v>
      </c>
      <c r="S9" s="568">
        <v>1.36</v>
      </c>
      <c r="U9" s="4024"/>
      <c r="V9" s="567">
        <v>0.02</v>
      </c>
      <c r="W9" s="568">
        <v>0.82</v>
      </c>
      <c r="X9" s="568">
        <v>0.82</v>
      </c>
      <c r="Y9" s="568">
        <v>0.82</v>
      </c>
      <c r="Z9" s="568">
        <v>0.83</v>
      </c>
      <c r="AA9" s="568">
        <v>0.83</v>
      </c>
      <c r="AB9" s="568">
        <v>0.84</v>
      </c>
      <c r="AC9" s="568">
        <v>0.85</v>
      </c>
      <c r="AD9" s="568">
        <v>0.82</v>
      </c>
      <c r="AE9" s="568">
        <v>0.78</v>
      </c>
    </row>
    <row r="10" spans="1:31" ht="14.1" customHeight="1">
      <c r="A10" s="4024"/>
      <c r="B10" s="567">
        <v>2.2499999999999999E-2</v>
      </c>
      <c r="C10" s="568">
        <v>1.41</v>
      </c>
      <c r="D10" s="568">
        <v>1.38</v>
      </c>
      <c r="E10" s="568">
        <v>1.36</v>
      </c>
      <c r="F10" s="568">
        <v>1.34</v>
      </c>
      <c r="G10" s="568">
        <v>1.32</v>
      </c>
      <c r="H10" s="568">
        <v>1.3</v>
      </c>
      <c r="I10" s="568">
        <v>1.3</v>
      </c>
      <c r="K10" s="4024"/>
      <c r="L10" s="567">
        <v>2.2499999999999999E-2</v>
      </c>
      <c r="M10" s="568">
        <v>1.41</v>
      </c>
      <c r="N10" s="568">
        <v>1.39</v>
      </c>
      <c r="O10" s="568">
        <v>1.37</v>
      </c>
      <c r="P10" s="568">
        <v>1.35</v>
      </c>
      <c r="Q10" s="568">
        <v>1.33</v>
      </c>
      <c r="R10" s="568">
        <v>1.31</v>
      </c>
      <c r="S10" s="568">
        <v>1.31</v>
      </c>
      <c r="U10" s="4024"/>
      <c r="V10" s="567">
        <v>2.2499999999999999E-2</v>
      </c>
      <c r="W10" s="568">
        <v>0.74</v>
      </c>
      <c r="X10" s="568">
        <v>0.75</v>
      </c>
      <c r="Y10" s="568">
        <v>0.76</v>
      </c>
      <c r="Z10" s="568">
        <v>0.77</v>
      </c>
      <c r="AA10" s="568">
        <v>0.79</v>
      </c>
      <c r="AB10" s="568">
        <v>0.81</v>
      </c>
      <c r="AC10" s="568">
        <v>0.82</v>
      </c>
      <c r="AD10" s="568">
        <v>0.8</v>
      </c>
      <c r="AE10" s="568">
        <v>0.76</v>
      </c>
    </row>
    <row r="11" spans="1:31" ht="14.1" customHeight="1">
      <c r="A11" s="4024"/>
      <c r="B11" s="567">
        <v>2.5000000000000001E-2</v>
      </c>
      <c r="C11" s="568">
        <v>1.27</v>
      </c>
      <c r="D11" s="568">
        <v>1.26</v>
      </c>
      <c r="E11" s="568">
        <v>1.26</v>
      </c>
      <c r="F11" s="568">
        <v>1.25</v>
      </c>
      <c r="G11" s="568">
        <v>1.24</v>
      </c>
      <c r="H11" s="568">
        <v>1.24</v>
      </c>
      <c r="I11" s="568">
        <v>1.25</v>
      </c>
      <c r="K11" s="4024"/>
      <c r="L11" s="567">
        <v>2.5000000000000001E-2</v>
      </c>
      <c r="M11" s="568">
        <v>1.27</v>
      </c>
      <c r="N11" s="568">
        <v>1.27</v>
      </c>
      <c r="O11" s="568">
        <v>1.26</v>
      </c>
      <c r="P11" s="568">
        <v>1.26</v>
      </c>
      <c r="Q11" s="568">
        <v>1.25</v>
      </c>
      <c r="R11" s="568">
        <v>1.25</v>
      </c>
      <c r="S11" s="568">
        <v>1.27</v>
      </c>
      <c r="U11" s="4024"/>
      <c r="V11" s="567">
        <v>2.5000000000000001E-2</v>
      </c>
      <c r="W11" s="568">
        <v>0.66</v>
      </c>
      <c r="X11" s="568">
        <v>0.68</v>
      </c>
      <c r="Y11" s="568">
        <v>0.7</v>
      </c>
      <c r="Z11" s="568">
        <v>0.72</v>
      </c>
      <c r="AA11" s="568">
        <v>0.74</v>
      </c>
      <c r="AB11" s="568">
        <v>0.77</v>
      </c>
      <c r="AC11" s="568">
        <v>0.8</v>
      </c>
      <c r="AD11" s="568">
        <v>0.78</v>
      </c>
      <c r="AE11" s="568">
        <v>0.75</v>
      </c>
    </row>
    <row r="12" spans="1:31" ht="14.1" customHeight="1">
      <c r="A12" s="4024"/>
      <c r="B12" s="567">
        <v>2.75E-2</v>
      </c>
      <c r="C12" s="568">
        <v>1.1399999999999999</v>
      </c>
      <c r="D12" s="568">
        <v>1.1499999999999999</v>
      </c>
      <c r="E12" s="568">
        <v>1.1599999999999999</v>
      </c>
      <c r="F12" s="568">
        <v>1.17</v>
      </c>
      <c r="G12" s="568">
        <v>1.17</v>
      </c>
      <c r="H12" s="568">
        <v>1.19</v>
      </c>
      <c r="I12" s="568">
        <v>1.22</v>
      </c>
      <c r="K12" s="4024"/>
      <c r="L12" s="567">
        <v>2.75E-2</v>
      </c>
      <c r="M12" s="568">
        <v>1.1399999999999999</v>
      </c>
      <c r="N12" s="568">
        <v>1.1499999999999999</v>
      </c>
      <c r="O12" s="568">
        <v>1.1599999999999999</v>
      </c>
      <c r="P12" s="568">
        <v>1.17</v>
      </c>
      <c r="Q12" s="568">
        <v>1.18</v>
      </c>
      <c r="R12" s="568">
        <v>1.2</v>
      </c>
      <c r="S12" s="568">
        <v>1.23</v>
      </c>
      <c r="U12" s="4024"/>
      <c r="V12" s="567">
        <v>2.75E-2</v>
      </c>
      <c r="W12" s="568">
        <v>0.59</v>
      </c>
      <c r="X12" s="568">
        <v>0.62</v>
      </c>
      <c r="Y12" s="568">
        <v>0.64</v>
      </c>
      <c r="Z12" s="568">
        <v>0.67</v>
      </c>
      <c r="AA12" s="568">
        <v>0.7</v>
      </c>
      <c r="AB12" s="568">
        <v>0.74</v>
      </c>
      <c r="AC12" s="568">
        <v>0.77</v>
      </c>
      <c r="AD12" s="568">
        <v>0.76</v>
      </c>
      <c r="AE12" s="568">
        <v>0.73</v>
      </c>
    </row>
    <row r="13" spans="1:31" ht="14.1" customHeight="1">
      <c r="A13" s="4024"/>
      <c r="B13" s="567">
        <v>0.03</v>
      </c>
      <c r="C13" s="568">
        <v>1.03</v>
      </c>
      <c r="D13" s="568">
        <v>1.05</v>
      </c>
      <c r="E13" s="568">
        <v>1.07</v>
      </c>
      <c r="F13" s="568">
        <v>1.0900000000000001</v>
      </c>
      <c r="G13" s="568">
        <v>1.1100000000000001</v>
      </c>
      <c r="H13" s="568">
        <v>1.1299999999999999</v>
      </c>
      <c r="I13" s="568">
        <v>1.18</v>
      </c>
      <c r="K13" s="4024"/>
      <c r="L13" s="567">
        <v>0.03</v>
      </c>
      <c r="M13" s="568">
        <v>1.03</v>
      </c>
      <c r="N13" s="568">
        <v>1.05</v>
      </c>
      <c r="O13" s="568">
        <v>1.07</v>
      </c>
      <c r="P13" s="568">
        <v>1.0900000000000001</v>
      </c>
      <c r="Q13" s="568">
        <v>1.1200000000000001</v>
      </c>
      <c r="R13" s="568">
        <v>1.1399999999999999</v>
      </c>
      <c r="S13" s="568">
        <v>1.19</v>
      </c>
      <c r="U13" s="4024"/>
      <c r="V13" s="567">
        <v>0.03</v>
      </c>
      <c r="W13" s="568">
        <v>0.54</v>
      </c>
      <c r="X13" s="568">
        <v>0.56000000000000005</v>
      </c>
      <c r="Y13" s="568">
        <v>0.59</v>
      </c>
      <c r="Z13" s="568">
        <v>0.63</v>
      </c>
      <c r="AA13" s="568">
        <v>0.67</v>
      </c>
      <c r="AB13" s="568">
        <v>0.71</v>
      </c>
      <c r="AC13" s="568">
        <v>0.75</v>
      </c>
      <c r="AD13" s="568">
        <v>0.74</v>
      </c>
      <c r="AE13" s="568">
        <v>0.72</v>
      </c>
    </row>
    <row r="14" spans="1:31" ht="14.1" customHeight="1">
      <c r="A14" s="4024"/>
      <c r="B14" s="567">
        <v>3.2500000000000001E-2</v>
      </c>
      <c r="C14" s="568">
        <v>0.93</v>
      </c>
      <c r="D14" s="568">
        <v>0.96</v>
      </c>
      <c r="E14" s="568">
        <v>0.99</v>
      </c>
      <c r="F14" s="568">
        <v>1.02</v>
      </c>
      <c r="G14" s="568">
        <v>1.05</v>
      </c>
      <c r="H14" s="568">
        <v>1.0900000000000001</v>
      </c>
      <c r="I14" s="568">
        <v>1.1399999999999999</v>
      </c>
      <c r="K14" s="4024"/>
      <c r="L14" s="567">
        <v>3.2500000000000001E-2</v>
      </c>
      <c r="M14" s="568">
        <v>0.93</v>
      </c>
      <c r="N14" s="568">
        <v>0.96</v>
      </c>
      <c r="O14" s="568">
        <v>0.99</v>
      </c>
      <c r="P14" s="568">
        <v>1.02</v>
      </c>
      <c r="Q14" s="568">
        <v>1.05</v>
      </c>
      <c r="R14" s="568">
        <v>1.0900000000000001</v>
      </c>
      <c r="S14" s="568">
        <v>1.1499999999999999</v>
      </c>
      <c r="U14" s="4024"/>
      <c r="V14" s="567">
        <v>3.2500000000000001E-2</v>
      </c>
      <c r="W14" s="568">
        <v>0.48</v>
      </c>
      <c r="X14" s="568">
        <v>0.51</v>
      </c>
      <c r="Y14" s="568">
        <v>0.55000000000000004</v>
      </c>
      <c r="Z14" s="568">
        <v>0.59</v>
      </c>
      <c r="AA14" s="568">
        <v>0.63</v>
      </c>
      <c r="AB14" s="568">
        <v>0.68</v>
      </c>
      <c r="AC14" s="568">
        <v>0.73</v>
      </c>
      <c r="AD14" s="568">
        <v>0.72</v>
      </c>
      <c r="AE14" s="568">
        <v>0.7</v>
      </c>
    </row>
    <row r="15" spans="1:31" ht="14.1" customHeight="1">
      <c r="A15" s="4024"/>
      <c r="B15" s="567">
        <v>3.5000000000000003E-2</v>
      </c>
      <c r="C15" s="568">
        <v>0.84</v>
      </c>
      <c r="D15" s="568">
        <v>0.88</v>
      </c>
      <c r="E15" s="568">
        <v>0.92</v>
      </c>
      <c r="F15" s="568">
        <v>0.95</v>
      </c>
      <c r="G15" s="568">
        <v>1</v>
      </c>
      <c r="H15" s="568">
        <v>1.04</v>
      </c>
      <c r="I15" s="568">
        <v>1.1100000000000001</v>
      </c>
      <c r="K15" s="4024"/>
      <c r="L15" s="567">
        <v>3.5000000000000003E-2</v>
      </c>
      <c r="M15" s="568">
        <v>0.84</v>
      </c>
      <c r="N15" s="568">
        <v>0.88</v>
      </c>
      <c r="O15" s="568">
        <v>0.91</v>
      </c>
      <c r="P15" s="568">
        <v>0.95</v>
      </c>
      <c r="Q15" s="568">
        <v>1</v>
      </c>
      <c r="R15" s="568">
        <v>1.05</v>
      </c>
      <c r="S15" s="568">
        <v>1.1100000000000001</v>
      </c>
      <c r="U15" s="4024"/>
      <c r="V15" s="567">
        <v>3.5000000000000003E-2</v>
      </c>
      <c r="W15" s="568">
        <v>0.43</v>
      </c>
      <c r="X15" s="568">
        <v>0.47</v>
      </c>
      <c r="Y15" s="568">
        <v>0.51</v>
      </c>
      <c r="Z15" s="568">
        <v>0.55000000000000004</v>
      </c>
      <c r="AA15" s="568">
        <v>0.6</v>
      </c>
      <c r="AB15" s="568">
        <v>0.65</v>
      </c>
      <c r="AC15" s="568">
        <v>0.71</v>
      </c>
      <c r="AD15" s="568">
        <v>0.7</v>
      </c>
      <c r="AE15" s="568">
        <v>0.69</v>
      </c>
    </row>
    <row r="16" spans="1:31" ht="14.1" customHeight="1">
      <c r="A16" s="4024"/>
      <c r="B16" s="567">
        <v>3.7499999999999999E-2</v>
      </c>
      <c r="C16" s="568">
        <v>0.76</v>
      </c>
      <c r="D16" s="568">
        <v>0.81</v>
      </c>
      <c r="E16" s="568">
        <v>0.85</v>
      </c>
      <c r="F16" s="568">
        <v>0.89</v>
      </c>
      <c r="G16" s="568">
        <v>0.94</v>
      </c>
      <c r="H16" s="568">
        <v>1</v>
      </c>
      <c r="I16" s="568">
        <v>1.07</v>
      </c>
      <c r="K16" s="4024"/>
      <c r="L16" s="567">
        <v>3.7499999999999999E-2</v>
      </c>
      <c r="M16" s="568">
        <v>0.76</v>
      </c>
      <c r="N16" s="568">
        <v>0.8</v>
      </c>
      <c r="O16" s="568">
        <v>0.84</v>
      </c>
      <c r="P16" s="568">
        <v>0.89</v>
      </c>
      <c r="Q16" s="568">
        <v>0.94</v>
      </c>
      <c r="R16" s="568">
        <v>1</v>
      </c>
      <c r="S16" s="568">
        <v>1.08</v>
      </c>
      <c r="U16" s="4024"/>
      <c r="V16" s="567">
        <v>3.7499999999999999E-2</v>
      </c>
      <c r="W16" s="568">
        <v>0.39</v>
      </c>
      <c r="X16" s="568">
        <v>0.43</v>
      </c>
      <c r="Y16" s="568">
        <v>0.47</v>
      </c>
      <c r="Z16" s="568">
        <v>0.51</v>
      </c>
      <c r="AA16" s="568">
        <v>0.56000000000000005</v>
      </c>
      <c r="AB16" s="568">
        <v>0.62</v>
      </c>
      <c r="AC16" s="568">
        <v>0.69</v>
      </c>
      <c r="AD16" s="568">
        <v>0.69</v>
      </c>
      <c r="AE16" s="568">
        <v>0.68</v>
      </c>
    </row>
    <row r="17" spans="1:31" ht="14.1" customHeight="1">
      <c r="A17" s="4024"/>
      <c r="B17" s="567">
        <v>0.04</v>
      </c>
      <c r="C17" s="568">
        <v>0.69</v>
      </c>
      <c r="D17" s="568">
        <v>0.74</v>
      </c>
      <c r="E17" s="568">
        <v>0.79</v>
      </c>
      <c r="F17" s="568">
        <v>0.84</v>
      </c>
      <c r="G17" s="568">
        <v>0.89</v>
      </c>
      <c r="H17" s="568">
        <v>0.96</v>
      </c>
      <c r="I17" s="568">
        <v>1.04</v>
      </c>
      <c r="K17" s="4024"/>
      <c r="L17" s="567">
        <v>0.04</v>
      </c>
      <c r="M17" s="568">
        <v>0.68</v>
      </c>
      <c r="N17" s="568">
        <v>0.73</v>
      </c>
      <c r="O17" s="568">
        <v>0.78</v>
      </c>
      <c r="P17" s="568">
        <v>0.84</v>
      </c>
      <c r="Q17" s="568">
        <v>0.89</v>
      </c>
      <c r="R17" s="568">
        <v>0.96</v>
      </c>
      <c r="S17" s="568">
        <v>1.05</v>
      </c>
      <c r="U17" s="4024"/>
      <c r="V17" s="567">
        <v>0.04</v>
      </c>
      <c r="W17" s="568">
        <v>0.35</v>
      </c>
      <c r="X17" s="568">
        <v>0.39</v>
      </c>
      <c r="Y17" s="568">
        <v>0.43</v>
      </c>
      <c r="Z17" s="568">
        <v>0.48</v>
      </c>
      <c r="AA17" s="568">
        <v>0.54</v>
      </c>
      <c r="AB17" s="568">
        <v>0.6</v>
      </c>
      <c r="AC17" s="568">
        <v>0.67</v>
      </c>
      <c r="AD17" s="568">
        <v>0.67</v>
      </c>
      <c r="AE17" s="568">
        <v>0.66</v>
      </c>
    </row>
    <row r="18" spans="1:31">
      <c r="B18" s="145"/>
      <c r="L18" s="145"/>
      <c r="V18" s="145"/>
    </row>
    <row r="19" spans="1:31" ht="15">
      <c r="A19" s="4025" t="s">
        <v>604</v>
      </c>
      <c r="B19" s="4025"/>
      <c r="C19" s="4025"/>
      <c r="D19" s="4025"/>
      <c r="E19" s="4025"/>
      <c r="F19" s="4025"/>
      <c r="G19" s="4025"/>
      <c r="H19" s="4025"/>
      <c r="I19" s="4025"/>
      <c r="J19" s="25"/>
      <c r="K19" s="4025" t="s">
        <v>603</v>
      </c>
      <c r="L19" s="4025"/>
      <c r="M19" s="4025"/>
      <c r="N19" s="4025"/>
      <c r="O19" s="4025"/>
      <c r="P19" s="4025"/>
      <c r="Q19" s="4025"/>
      <c r="R19" s="4025"/>
      <c r="S19" s="4025"/>
      <c r="T19" s="25"/>
      <c r="U19" s="4025" t="s">
        <v>607</v>
      </c>
      <c r="V19" s="4025"/>
      <c r="W19" s="4025"/>
      <c r="X19" s="4025"/>
      <c r="Y19" s="4025"/>
      <c r="Z19" s="4025"/>
      <c r="AA19" s="4025"/>
      <c r="AB19" s="4025"/>
      <c r="AC19" s="4025"/>
      <c r="AD19" s="4025"/>
      <c r="AE19" s="4025"/>
    </row>
    <row r="20" spans="1:31">
      <c r="A20" s="4026" t="s">
        <v>7</v>
      </c>
      <c r="B20" s="4026"/>
      <c r="C20" s="29">
        <v>35</v>
      </c>
      <c r="D20" s="29">
        <v>40</v>
      </c>
      <c r="E20" s="29">
        <v>45</v>
      </c>
      <c r="F20" s="29">
        <v>50</v>
      </c>
      <c r="G20" s="29">
        <v>55</v>
      </c>
      <c r="H20" s="29">
        <v>60</v>
      </c>
      <c r="I20" s="29">
        <v>65</v>
      </c>
      <c r="J20" s="25"/>
      <c r="K20" s="4026" t="s">
        <v>7</v>
      </c>
      <c r="L20" s="4026"/>
      <c r="M20" s="29">
        <v>35</v>
      </c>
      <c r="N20" s="29">
        <v>40</v>
      </c>
      <c r="O20" s="29">
        <v>45</v>
      </c>
      <c r="P20" s="29">
        <v>50</v>
      </c>
      <c r="Q20" s="29">
        <v>55</v>
      </c>
      <c r="R20" s="29">
        <v>60</v>
      </c>
      <c r="S20" s="29">
        <v>65</v>
      </c>
      <c r="T20" s="25"/>
      <c r="U20" s="4026" t="s">
        <v>7</v>
      </c>
      <c r="V20" s="4026"/>
      <c r="W20" s="29">
        <v>35</v>
      </c>
      <c r="X20" s="29">
        <v>40</v>
      </c>
      <c r="Y20" s="29">
        <v>45</v>
      </c>
      <c r="Z20" s="29">
        <v>50</v>
      </c>
      <c r="AA20" s="29">
        <v>55</v>
      </c>
      <c r="AB20" s="29">
        <v>60</v>
      </c>
      <c r="AC20" s="29">
        <v>65</v>
      </c>
      <c r="AD20" s="29">
        <v>70</v>
      </c>
      <c r="AE20" s="29">
        <v>75</v>
      </c>
    </row>
    <row r="21" spans="1:31" ht="14.25" customHeight="1">
      <c r="A21" s="4024" t="s">
        <v>269</v>
      </c>
      <c r="B21" s="567">
        <v>0.01</v>
      </c>
      <c r="C21" s="568">
        <v>2.29</v>
      </c>
      <c r="D21" s="568">
        <v>2.13</v>
      </c>
      <c r="E21" s="568">
        <v>1.99</v>
      </c>
      <c r="F21" s="568">
        <v>1.86</v>
      </c>
      <c r="G21" s="568">
        <v>1.74</v>
      </c>
      <c r="H21" s="568">
        <v>1.64</v>
      </c>
      <c r="I21" s="568">
        <v>1.54</v>
      </c>
      <c r="K21" s="4024" t="s">
        <v>269</v>
      </c>
      <c r="L21" s="567">
        <v>0.01</v>
      </c>
      <c r="M21" s="568">
        <v>2.34</v>
      </c>
      <c r="N21" s="568">
        <v>2.1800000000000002</v>
      </c>
      <c r="O21" s="568">
        <v>2.0299999999999998</v>
      </c>
      <c r="P21" s="568">
        <v>1.9</v>
      </c>
      <c r="Q21" s="568">
        <v>1.78</v>
      </c>
      <c r="R21" s="568">
        <v>1.67</v>
      </c>
      <c r="S21" s="568">
        <v>1.57</v>
      </c>
      <c r="U21" s="4024" t="s">
        <v>269</v>
      </c>
      <c r="V21" s="567">
        <v>0.01</v>
      </c>
      <c r="W21" s="568">
        <v>1.1000000000000001</v>
      </c>
      <c r="X21" s="568">
        <v>1.04</v>
      </c>
      <c r="Y21" s="568">
        <v>0.98</v>
      </c>
      <c r="Z21" s="568">
        <v>0.93</v>
      </c>
      <c r="AA21" s="568">
        <v>0.89</v>
      </c>
      <c r="AB21" s="568">
        <v>0.86</v>
      </c>
      <c r="AC21" s="568">
        <v>0.83</v>
      </c>
      <c r="AD21" s="568">
        <v>0.77</v>
      </c>
      <c r="AE21" s="568">
        <v>0.71</v>
      </c>
    </row>
    <row r="22" spans="1:31">
      <c r="A22" s="4024"/>
      <c r="B22" s="567">
        <v>1.2500000000000001E-2</v>
      </c>
      <c r="C22" s="568">
        <v>2.04</v>
      </c>
      <c r="D22" s="568">
        <v>1.93</v>
      </c>
      <c r="E22" s="568">
        <v>1.83</v>
      </c>
      <c r="F22" s="568">
        <v>1.73</v>
      </c>
      <c r="G22" s="568">
        <v>1.64</v>
      </c>
      <c r="H22" s="568">
        <v>1.56</v>
      </c>
      <c r="I22" s="568">
        <v>1.48</v>
      </c>
      <c r="K22" s="4024"/>
      <c r="L22" s="567">
        <v>1.2500000000000001E-2</v>
      </c>
      <c r="M22" s="568">
        <v>2.09</v>
      </c>
      <c r="N22" s="568">
        <v>1.97</v>
      </c>
      <c r="O22" s="568">
        <v>1.86</v>
      </c>
      <c r="P22" s="568">
        <v>1.76</v>
      </c>
      <c r="Q22" s="568">
        <v>1.67</v>
      </c>
      <c r="R22" s="568">
        <v>1.59</v>
      </c>
      <c r="S22" s="568">
        <v>1.51</v>
      </c>
      <c r="U22" s="4024"/>
      <c r="V22" s="567">
        <v>1.2500000000000001E-2</v>
      </c>
      <c r="W22" s="568">
        <v>0.99</v>
      </c>
      <c r="X22" s="568">
        <v>0.94</v>
      </c>
      <c r="Y22" s="568">
        <v>0.9</v>
      </c>
      <c r="Z22" s="568">
        <v>0.87</v>
      </c>
      <c r="AA22" s="568">
        <v>0.84</v>
      </c>
      <c r="AB22" s="568">
        <v>0.82</v>
      </c>
      <c r="AC22" s="568">
        <v>0.8</v>
      </c>
      <c r="AD22" s="568">
        <v>0.75</v>
      </c>
      <c r="AE22" s="568">
        <v>0.7</v>
      </c>
    </row>
    <row r="23" spans="1:31">
      <c r="A23" s="4024"/>
      <c r="B23" s="567">
        <v>1.4999999999999999E-2</v>
      </c>
      <c r="C23" s="568">
        <v>1.82</v>
      </c>
      <c r="D23" s="568">
        <v>1.75</v>
      </c>
      <c r="E23" s="568">
        <v>1.67</v>
      </c>
      <c r="F23" s="568">
        <v>1.61</v>
      </c>
      <c r="G23" s="568">
        <v>1.54</v>
      </c>
      <c r="H23" s="568">
        <v>1.49</v>
      </c>
      <c r="I23" s="568">
        <v>1.43</v>
      </c>
      <c r="K23" s="4024"/>
      <c r="L23" s="567">
        <v>1.4999999999999999E-2</v>
      </c>
      <c r="M23" s="568">
        <v>1.86</v>
      </c>
      <c r="N23" s="568">
        <v>1.78</v>
      </c>
      <c r="O23" s="568">
        <v>1.7</v>
      </c>
      <c r="P23" s="568">
        <v>1.63</v>
      </c>
      <c r="Q23" s="568">
        <v>1.57</v>
      </c>
      <c r="R23" s="568">
        <v>1.51</v>
      </c>
      <c r="S23" s="568">
        <v>1.49</v>
      </c>
      <c r="U23" s="4024"/>
      <c r="V23" s="567">
        <v>1.4999999999999999E-2</v>
      </c>
      <c r="W23" s="568">
        <v>0.89</v>
      </c>
      <c r="X23" s="568">
        <v>0.86</v>
      </c>
      <c r="Y23" s="568">
        <v>0.83</v>
      </c>
      <c r="Z23" s="568">
        <v>0.81</v>
      </c>
      <c r="AA23" s="568">
        <v>0.79</v>
      </c>
      <c r="AB23" s="568">
        <v>0.78</v>
      </c>
      <c r="AC23" s="568">
        <v>0.78</v>
      </c>
      <c r="AD23" s="568">
        <v>0.73</v>
      </c>
      <c r="AE23" s="568">
        <v>0.68</v>
      </c>
    </row>
    <row r="24" spans="1:31">
      <c r="A24" s="4024"/>
      <c r="B24" s="567">
        <v>1.7500000000000002E-2</v>
      </c>
      <c r="C24" s="568">
        <v>1.63</v>
      </c>
      <c r="D24" s="568">
        <v>1.58</v>
      </c>
      <c r="E24" s="568">
        <v>1.54</v>
      </c>
      <c r="F24" s="568">
        <v>1.49</v>
      </c>
      <c r="G24" s="568">
        <v>1.45</v>
      </c>
      <c r="H24" s="568">
        <v>1.42</v>
      </c>
      <c r="I24" s="568">
        <v>1.39</v>
      </c>
      <c r="K24" s="4024"/>
      <c r="L24" s="567">
        <v>1.7500000000000002E-2</v>
      </c>
      <c r="M24" s="568">
        <v>1.66</v>
      </c>
      <c r="N24" s="568">
        <v>1.61</v>
      </c>
      <c r="O24" s="568">
        <v>1.56</v>
      </c>
      <c r="P24" s="568">
        <v>1.51</v>
      </c>
      <c r="Q24" s="568">
        <v>1.47</v>
      </c>
      <c r="R24" s="568">
        <v>1.44</v>
      </c>
      <c r="S24" s="568">
        <v>1.41</v>
      </c>
      <c r="U24" s="4024"/>
      <c r="V24" s="567">
        <v>1.7500000000000002E-2</v>
      </c>
      <c r="W24" s="568">
        <v>0.8</v>
      </c>
      <c r="X24" s="568">
        <v>0.78</v>
      </c>
      <c r="Y24" s="568">
        <v>0.77</v>
      </c>
      <c r="Z24" s="568">
        <v>0.76</v>
      </c>
      <c r="AA24" s="568">
        <v>0.75</v>
      </c>
      <c r="AB24" s="568">
        <v>0.75</v>
      </c>
      <c r="AC24" s="568">
        <v>0.75</v>
      </c>
      <c r="AD24" s="568">
        <v>0.71</v>
      </c>
      <c r="AE24" s="568">
        <v>0.67</v>
      </c>
    </row>
    <row r="25" spans="1:31">
      <c r="A25" s="4024"/>
      <c r="B25" s="567">
        <v>0.02</v>
      </c>
      <c r="C25" s="568">
        <v>1.46</v>
      </c>
      <c r="D25" s="568">
        <v>1.44</v>
      </c>
      <c r="E25" s="568">
        <v>1.41</v>
      </c>
      <c r="F25" s="568">
        <v>1.39</v>
      </c>
      <c r="G25" s="568">
        <v>1.37</v>
      </c>
      <c r="H25" s="568">
        <v>1.35</v>
      </c>
      <c r="I25" s="568">
        <v>1.34</v>
      </c>
      <c r="K25" s="4024"/>
      <c r="L25" s="567">
        <v>0.02</v>
      </c>
      <c r="M25" s="568">
        <v>1.49</v>
      </c>
      <c r="N25" s="568">
        <v>1.46</v>
      </c>
      <c r="O25" s="568">
        <v>1.43</v>
      </c>
      <c r="P25" s="568">
        <v>1.4</v>
      </c>
      <c r="Q25" s="568">
        <v>1.38</v>
      </c>
      <c r="R25" s="568">
        <v>1.37</v>
      </c>
      <c r="S25" s="568">
        <v>1.36</v>
      </c>
      <c r="U25" s="4024"/>
      <c r="V25" s="567">
        <v>0.02</v>
      </c>
      <c r="W25" s="568">
        <v>0.72</v>
      </c>
      <c r="X25" s="568">
        <v>0.71</v>
      </c>
      <c r="Y25" s="568">
        <v>0.71</v>
      </c>
      <c r="Z25" s="568">
        <v>0.71</v>
      </c>
      <c r="AA25" s="568">
        <v>0.71</v>
      </c>
      <c r="AB25" s="568">
        <v>0.72</v>
      </c>
      <c r="AC25" s="568">
        <v>0.73</v>
      </c>
      <c r="AD25" s="568">
        <v>0.7</v>
      </c>
      <c r="AE25" s="568">
        <v>0.66</v>
      </c>
    </row>
    <row r="26" spans="1:31">
      <c r="A26" s="4024"/>
      <c r="B26" s="567">
        <v>2.2499999999999999E-2</v>
      </c>
      <c r="C26" s="568">
        <v>1.31</v>
      </c>
      <c r="D26" s="568">
        <v>1.3</v>
      </c>
      <c r="E26" s="568">
        <v>1.3</v>
      </c>
      <c r="F26" s="568">
        <v>1.29</v>
      </c>
      <c r="G26" s="568">
        <v>1.29</v>
      </c>
      <c r="H26" s="568">
        <v>1.29</v>
      </c>
      <c r="I26" s="568">
        <v>1.3</v>
      </c>
      <c r="K26" s="4024"/>
      <c r="L26" s="567">
        <v>2.2499999999999999E-2</v>
      </c>
      <c r="M26" s="568">
        <v>1.33</v>
      </c>
      <c r="N26" s="568">
        <v>1.32</v>
      </c>
      <c r="O26" s="568">
        <v>1.31</v>
      </c>
      <c r="P26" s="568">
        <v>1.31</v>
      </c>
      <c r="Q26" s="568">
        <v>1.3</v>
      </c>
      <c r="R26" s="568">
        <v>1.31</v>
      </c>
      <c r="S26" s="568">
        <v>1.31</v>
      </c>
      <c r="U26" s="4024"/>
      <c r="V26" s="567">
        <v>2.2499999999999999E-2</v>
      </c>
      <c r="W26" s="568">
        <v>0.64</v>
      </c>
      <c r="X26" s="568">
        <v>0.65</v>
      </c>
      <c r="Y26" s="568">
        <v>0.65</v>
      </c>
      <c r="Z26" s="568">
        <v>0.66</v>
      </c>
      <c r="AA26" s="568">
        <v>0.67</v>
      </c>
      <c r="AB26" s="568">
        <v>0.69</v>
      </c>
      <c r="AC26" s="568">
        <v>0.71</v>
      </c>
      <c r="AD26" s="568">
        <v>0.68</v>
      </c>
      <c r="AE26" s="568">
        <v>0.64</v>
      </c>
    </row>
    <row r="27" spans="1:31">
      <c r="A27" s="4024"/>
      <c r="B27" s="567">
        <v>2.5000000000000001E-2</v>
      </c>
      <c r="C27" s="568">
        <v>1.17</v>
      </c>
      <c r="D27" s="568">
        <v>1.18</v>
      </c>
      <c r="E27" s="568">
        <v>1.19</v>
      </c>
      <c r="F27" s="568">
        <v>1.21</v>
      </c>
      <c r="G27" s="568">
        <v>1.22</v>
      </c>
      <c r="H27" s="568">
        <v>1.23</v>
      </c>
      <c r="I27" s="568">
        <v>1.25</v>
      </c>
      <c r="K27" s="4024"/>
      <c r="L27" s="567">
        <v>2.5000000000000001E-2</v>
      </c>
      <c r="M27" s="568">
        <v>1.19</v>
      </c>
      <c r="N27" s="568">
        <v>1.2</v>
      </c>
      <c r="O27" s="568">
        <v>1.21</v>
      </c>
      <c r="P27" s="568">
        <v>1.21</v>
      </c>
      <c r="Q27" s="568">
        <v>1.23</v>
      </c>
      <c r="R27" s="568">
        <v>1.25</v>
      </c>
      <c r="S27" s="568">
        <v>1.27</v>
      </c>
      <c r="U27" s="4024"/>
      <c r="V27" s="567">
        <v>2.5000000000000001E-2</v>
      </c>
      <c r="W27" s="568">
        <v>0.57999999999999996</v>
      </c>
      <c r="X27" s="568">
        <v>0.59</v>
      </c>
      <c r="Y27" s="568">
        <v>0.6</v>
      </c>
      <c r="Z27" s="568">
        <v>0.62</v>
      </c>
      <c r="AA27" s="568">
        <v>0.64</v>
      </c>
      <c r="AB27" s="568">
        <v>0.66</v>
      </c>
      <c r="AC27" s="568">
        <v>0.69</v>
      </c>
      <c r="AD27" s="568">
        <v>0.67</v>
      </c>
      <c r="AE27" s="568">
        <v>0.63</v>
      </c>
    </row>
    <row r="28" spans="1:31">
      <c r="A28" s="4024"/>
      <c r="B28" s="567">
        <v>2.75E-2</v>
      </c>
      <c r="C28" s="568">
        <v>1.05</v>
      </c>
      <c r="D28" s="568">
        <v>1.08</v>
      </c>
      <c r="E28" s="568">
        <v>1.1000000000000001</v>
      </c>
      <c r="F28" s="568">
        <v>1.1200000000000001</v>
      </c>
      <c r="G28" s="568">
        <v>1.1499999999999999</v>
      </c>
      <c r="H28" s="568">
        <v>1.18</v>
      </c>
      <c r="I28" s="568">
        <v>1.22</v>
      </c>
      <c r="K28" s="4024"/>
      <c r="L28" s="567">
        <v>2.75E-2</v>
      </c>
      <c r="M28" s="568">
        <v>1.07</v>
      </c>
      <c r="N28" s="568">
        <v>1.0900000000000001</v>
      </c>
      <c r="O28" s="568">
        <v>1.1100000000000001</v>
      </c>
      <c r="P28" s="568">
        <v>1.1299999999999999</v>
      </c>
      <c r="Q28" s="568">
        <v>1.1599999999999999</v>
      </c>
      <c r="R28" s="568">
        <v>1.19</v>
      </c>
      <c r="S28" s="568">
        <v>1.23</v>
      </c>
      <c r="U28" s="4024"/>
      <c r="V28" s="567">
        <v>2.75E-2</v>
      </c>
      <c r="W28" s="568">
        <v>0.52</v>
      </c>
      <c r="X28" s="568">
        <v>0.54</v>
      </c>
      <c r="Y28" s="568">
        <v>0.56000000000000005</v>
      </c>
      <c r="Z28" s="568">
        <v>0.57999999999999996</v>
      </c>
      <c r="AA28" s="568">
        <v>0.6</v>
      </c>
      <c r="AB28" s="568">
        <v>0.64</v>
      </c>
      <c r="AC28" s="568">
        <v>0.67</v>
      </c>
      <c r="AD28" s="568">
        <v>0.65</v>
      </c>
      <c r="AE28" s="568">
        <v>0.62</v>
      </c>
    </row>
    <row r="29" spans="1:31">
      <c r="A29" s="4024"/>
      <c r="B29" s="567">
        <v>0.03</v>
      </c>
      <c r="C29" s="568">
        <v>0.95</v>
      </c>
      <c r="D29" s="568">
        <v>0.98</v>
      </c>
      <c r="E29" s="568">
        <v>1.01</v>
      </c>
      <c r="F29" s="568">
        <v>1.05</v>
      </c>
      <c r="G29" s="568">
        <v>1.0900000000000001</v>
      </c>
      <c r="H29" s="568">
        <v>1.1299999999999999</v>
      </c>
      <c r="I29" s="568">
        <v>1.18</v>
      </c>
      <c r="K29" s="4024"/>
      <c r="L29" s="567">
        <v>0.03</v>
      </c>
      <c r="M29" s="568">
        <v>0.96</v>
      </c>
      <c r="N29" s="568">
        <v>0.99</v>
      </c>
      <c r="O29" s="568">
        <v>1.02</v>
      </c>
      <c r="P29" s="568">
        <v>1.05</v>
      </c>
      <c r="Q29" s="568">
        <v>1.0900000000000001</v>
      </c>
      <c r="R29" s="568">
        <v>1.1399999999999999</v>
      </c>
      <c r="S29" s="568">
        <v>1.19</v>
      </c>
      <c r="U29" s="4024"/>
      <c r="V29" s="567">
        <v>0.03</v>
      </c>
      <c r="W29" s="568">
        <v>0.47</v>
      </c>
      <c r="X29" s="568">
        <v>0.49</v>
      </c>
      <c r="Y29" s="568">
        <v>0.51</v>
      </c>
      <c r="Z29" s="568">
        <v>0.54</v>
      </c>
      <c r="AA29" s="568">
        <v>0.56999999999999995</v>
      </c>
      <c r="AB29" s="568">
        <v>0.61</v>
      </c>
      <c r="AC29" s="568">
        <v>0.65</v>
      </c>
      <c r="AD29" s="568">
        <v>0.64</v>
      </c>
      <c r="AE29" s="568">
        <v>0.61</v>
      </c>
    </row>
    <row r="30" spans="1:31">
      <c r="A30" s="4024"/>
      <c r="B30" s="567">
        <v>3.2500000000000001E-2</v>
      </c>
      <c r="C30" s="568">
        <v>0.85</v>
      </c>
      <c r="D30" s="568">
        <v>0.89</v>
      </c>
      <c r="E30" s="568">
        <v>0.93</v>
      </c>
      <c r="F30" s="568">
        <v>0.98</v>
      </c>
      <c r="G30" s="568">
        <v>1.03</v>
      </c>
      <c r="H30" s="568">
        <v>1.08</v>
      </c>
      <c r="I30" s="568">
        <v>1.1399999999999999</v>
      </c>
      <c r="K30" s="4024"/>
      <c r="L30" s="567">
        <v>3.2500000000000001E-2</v>
      </c>
      <c r="M30" s="568">
        <v>0.86</v>
      </c>
      <c r="N30" s="568">
        <v>0.9</v>
      </c>
      <c r="O30" s="568">
        <v>0.94</v>
      </c>
      <c r="P30" s="568">
        <v>0.98</v>
      </c>
      <c r="Q30" s="568">
        <v>1.03</v>
      </c>
      <c r="R30" s="568">
        <v>1.0900000000000001</v>
      </c>
      <c r="S30" s="568">
        <v>1.1499999999999999</v>
      </c>
      <c r="U30" s="4024"/>
      <c r="V30" s="567">
        <v>3.2500000000000001E-2</v>
      </c>
      <c r="W30" s="568">
        <v>0.42</v>
      </c>
      <c r="X30" s="568">
        <v>0.45</v>
      </c>
      <c r="Y30" s="568">
        <v>0.48</v>
      </c>
      <c r="Z30" s="568">
        <v>0.51</v>
      </c>
      <c r="AA30" s="568">
        <v>0.54</v>
      </c>
      <c r="AB30" s="568">
        <v>0.59</v>
      </c>
      <c r="AC30" s="568">
        <v>0.64</v>
      </c>
      <c r="AD30" s="568">
        <v>0.62</v>
      </c>
      <c r="AE30" s="568">
        <v>0.6</v>
      </c>
    </row>
    <row r="31" spans="1:31">
      <c r="A31" s="4024"/>
      <c r="B31" s="567">
        <v>3.5000000000000003E-2</v>
      </c>
      <c r="C31" s="568">
        <v>0.77</v>
      </c>
      <c r="D31" s="568">
        <v>0.81</v>
      </c>
      <c r="E31" s="568">
        <v>0.86</v>
      </c>
      <c r="F31" s="568">
        <v>0.91</v>
      </c>
      <c r="G31" s="568">
        <v>0.97</v>
      </c>
      <c r="H31" s="568">
        <v>1.04</v>
      </c>
      <c r="I31" s="568">
        <v>1.1100000000000001</v>
      </c>
      <c r="K31" s="4024"/>
      <c r="L31" s="567">
        <v>3.5000000000000003E-2</v>
      </c>
      <c r="M31" s="568">
        <v>0.77</v>
      </c>
      <c r="N31" s="568">
        <v>0.82</v>
      </c>
      <c r="O31" s="568">
        <v>0.86</v>
      </c>
      <c r="P31" s="568">
        <v>0.92</v>
      </c>
      <c r="Q31" s="568">
        <v>0.97</v>
      </c>
      <c r="R31" s="568">
        <v>1.04</v>
      </c>
      <c r="S31" s="568">
        <v>1.1100000000000001</v>
      </c>
      <c r="U31" s="4024"/>
      <c r="V31" s="567">
        <v>3.5000000000000003E-2</v>
      </c>
      <c r="W31" s="568">
        <v>0.38</v>
      </c>
      <c r="X31" s="568">
        <v>0.41</v>
      </c>
      <c r="Y31" s="568">
        <v>0.44</v>
      </c>
      <c r="Z31" s="568">
        <v>0.47</v>
      </c>
      <c r="AA31" s="568">
        <v>0.52</v>
      </c>
      <c r="AB31" s="568">
        <v>0.56000000000000005</v>
      </c>
      <c r="AC31" s="568">
        <v>0.62</v>
      </c>
      <c r="AD31" s="568">
        <v>0.61</v>
      </c>
      <c r="AE31" s="568">
        <v>0.59</v>
      </c>
    </row>
    <row r="32" spans="1:31">
      <c r="A32" s="4024"/>
      <c r="B32" s="567">
        <v>3.7499999999999999E-2</v>
      </c>
      <c r="C32" s="568">
        <v>0.69</v>
      </c>
      <c r="D32" s="568">
        <v>0.74</v>
      </c>
      <c r="E32" s="568">
        <v>0.8</v>
      </c>
      <c r="F32" s="568">
        <v>0.86</v>
      </c>
      <c r="G32" s="568">
        <v>0.92</v>
      </c>
      <c r="H32" s="568">
        <v>0.99</v>
      </c>
      <c r="I32" s="568">
        <v>1.07</v>
      </c>
      <c r="K32" s="4024"/>
      <c r="L32" s="567">
        <v>3.7499999999999999E-2</v>
      </c>
      <c r="M32" s="568">
        <v>0.69</v>
      </c>
      <c r="N32" s="568">
        <v>0.74</v>
      </c>
      <c r="O32" s="568">
        <v>0.8</v>
      </c>
      <c r="P32" s="568">
        <v>0.86</v>
      </c>
      <c r="Q32" s="568">
        <v>0.92</v>
      </c>
      <c r="R32" s="568">
        <v>0.99</v>
      </c>
      <c r="S32" s="568">
        <v>1.08</v>
      </c>
      <c r="U32" s="4024"/>
      <c r="V32" s="567">
        <v>3.7499999999999999E-2</v>
      </c>
      <c r="W32" s="568">
        <v>0.35</v>
      </c>
      <c r="X32" s="568">
        <v>0.37</v>
      </c>
      <c r="Y32" s="568">
        <v>0.41</v>
      </c>
      <c r="Z32" s="568">
        <v>0.44</v>
      </c>
      <c r="AA32" s="568">
        <v>0.49</v>
      </c>
      <c r="AB32" s="568">
        <v>0.54</v>
      </c>
      <c r="AC32" s="568">
        <v>0.6</v>
      </c>
      <c r="AD32" s="568">
        <v>0.59</v>
      </c>
      <c r="AE32" s="568">
        <v>0.57999999999999996</v>
      </c>
    </row>
    <row r="33" spans="1:31">
      <c r="A33" s="4024"/>
      <c r="B33" s="567">
        <v>0.04</v>
      </c>
      <c r="C33" s="568">
        <v>0.62</v>
      </c>
      <c r="D33" s="568">
        <v>0.68</v>
      </c>
      <c r="E33" s="568">
        <v>0.74</v>
      </c>
      <c r="F33" s="568">
        <v>0.8</v>
      </c>
      <c r="G33" s="568">
        <v>0.87</v>
      </c>
      <c r="H33" s="568">
        <v>0.95</v>
      </c>
      <c r="I33" s="568">
        <v>1.04</v>
      </c>
      <c r="K33" s="4024"/>
      <c r="L33" s="567">
        <v>0.04</v>
      </c>
      <c r="M33" s="568">
        <v>0.63</v>
      </c>
      <c r="N33" s="568">
        <v>0.68</v>
      </c>
      <c r="O33" s="568">
        <v>0.74</v>
      </c>
      <c r="P33" s="568">
        <v>0.8</v>
      </c>
      <c r="Q33" s="568">
        <v>0.87</v>
      </c>
      <c r="R33" s="568">
        <v>0.95</v>
      </c>
      <c r="S33" s="568">
        <v>1.05</v>
      </c>
      <c r="U33" s="4024"/>
      <c r="V33" s="567">
        <v>0.04</v>
      </c>
      <c r="W33" s="568">
        <v>0.31</v>
      </c>
      <c r="X33" s="568">
        <v>0.34</v>
      </c>
      <c r="Y33" s="568">
        <v>0.38</v>
      </c>
      <c r="Z33" s="568">
        <v>0.42</v>
      </c>
      <c r="AA33" s="568">
        <v>0.47</v>
      </c>
      <c r="AB33" s="568">
        <v>0.52</v>
      </c>
      <c r="AC33" s="568">
        <v>0.59</v>
      </c>
      <c r="AD33" s="568">
        <v>0.57999999999999996</v>
      </c>
      <c r="AE33" s="568">
        <v>0.56999999999999995</v>
      </c>
    </row>
    <row r="34" spans="1:31"/>
    <row r="35" spans="1:31" hidden="1">
      <c r="B35" s="145"/>
      <c r="C35" s="554"/>
      <c r="D35" s="145"/>
      <c r="E35" s="554"/>
      <c r="F35" s="145"/>
      <c r="G35" s="554"/>
      <c r="H35" s="145"/>
      <c r="I35" s="554"/>
      <c r="J35" s="145"/>
      <c r="K35" s="554"/>
      <c r="L35" s="145"/>
      <c r="M35" s="554"/>
      <c r="N35" s="145"/>
    </row>
  </sheetData>
  <sheetProtection algorithmName="SHA-512" hashValue="rCvkz884E8LtWkqiJC6EfQpLw5MXO2EYfwgXVAkieErZitk8/SHReMzhXTt2CYbHDUJxZsORolJeqld3nQ2wgA==" saltValue="g9+iH0r3W0W86TZahpugVA==" spinCount="100000" sheet="1" objects="1" scenarios="1" formatColumns="0" autoFilter="0"/>
  <mergeCells count="21">
    <mergeCell ref="U2:AE2"/>
    <mergeCell ref="U3:AE3"/>
    <mergeCell ref="U4:V4"/>
    <mergeCell ref="U19:AE19"/>
    <mergeCell ref="A2:I2"/>
    <mergeCell ref="K2:S2"/>
    <mergeCell ref="A4:B4"/>
    <mergeCell ref="A3:I3"/>
    <mergeCell ref="K3:S3"/>
    <mergeCell ref="K4:L4"/>
    <mergeCell ref="A5:A17"/>
    <mergeCell ref="A21:A33"/>
    <mergeCell ref="K21:K33"/>
    <mergeCell ref="K5:K17"/>
    <mergeCell ref="U5:U17"/>
    <mergeCell ref="U21:U33"/>
    <mergeCell ref="A19:I19"/>
    <mergeCell ref="A20:B20"/>
    <mergeCell ref="K19:S19"/>
    <mergeCell ref="K20:L20"/>
    <mergeCell ref="U20:V20"/>
  </mergeCell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9"/>
  <dimension ref="A1:AB84"/>
  <sheetViews>
    <sheetView workbookViewId="0">
      <pane ySplit="2145" topLeftCell="A50" activePane="bottomLeft"/>
      <selection activeCell="U2" sqref="U2"/>
      <selection pane="bottomLeft" activeCell="B4" sqref="B4:J84"/>
    </sheetView>
  </sheetViews>
  <sheetFormatPr baseColWidth="10" defaultColWidth="11.125" defaultRowHeight="14.25"/>
  <cols>
    <col min="1" max="1" width="19" customWidth="1"/>
    <col min="2" max="2" width="6.125" customWidth="1"/>
    <col min="3" max="10" width="11" customWidth="1"/>
    <col min="11" max="11" width="6.125" customWidth="1"/>
    <col min="12" max="21" width="11" customWidth="1"/>
    <col min="22" max="23" width="11.125" bestFit="1" customWidth="1"/>
    <col min="24" max="24" width="11.625" bestFit="1" customWidth="1"/>
    <col min="25" max="26" width="11.125" bestFit="1" customWidth="1"/>
    <col min="27" max="28" width="11" customWidth="1"/>
  </cols>
  <sheetData>
    <row r="1" spans="1:28">
      <c r="B1" s="4043" t="s">
        <v>218</v>
      </c>
      <c r="C1" s="4043"/>
      <c r="D1" s="4043"/>
      <c r="E1" s="4043"/>
      <c r="F1" s="4043"/>
      <c r="G1" s="4043"/>
      <c r="H1" s="4043"/>
      <c r="I1" s="4043"/>
      <c r="J1" s="4043"/>
      <c r="K1" s="4044" t="s">
        <v>219</v>
      </c>
      <c r="L1" s="4044"/>
      <c r="M1" s="4044"/>
      <c r="N1" s="4044"/>
      <c r="O1" s="4044"/>
      <c r="P1" s="4044"/>
      <c r="Q1" s="4044"/>
      <c r="R1" s="4044"/>
      <c r="S1" s="4044"/>
      <c r="T1" s="4045" t="s">
        <v>585</v>
      </c>
      <c r="U1" s="4045"/>
      <c r="V1" s="4045"/>
      <c r="W1" s="4045"/>
      <c r="X1" s="4045"/>
      <c r="Y1" s="4045"/>
      <c r="Z1" s="4045"/>
      <c r="AA1" s="4045"/>
      <c r="AB1" s="4045"/>
    </row>
    <row r="2" spans="1:28" ht="65.25" customHeight="1">
      <c r="A2" t="s">
        <v>168</v>
      </c>
      <c r="B2" s="4042" t="s">
        <v>12</v>
      </c>
      <c r="C2" s="2063" t="s">
        <v>0</v>
      </c>
      <c r="D2" s="2063" t="s">
        <v>1</v>
      </c>
      <c r="E2" s="2063" t="s">
        <v>2</v>
      </c>
      <c r="F2" s="2063" t="s">
        <v>3</v>
      </c>
      <c r="G2" s="2063" t="s">
        <v>1940</v>
      </c>
      <c r="H2" s="4039" t="s">
        <v>5</v>
      </c>
      <c r="I2" s="4039"/>
      <c r="J2" s="4039"/>
      <c r="K2" s="2057"/>
      <c r="L2" s="2058" t="s">
        <v>0</v>
      </c>
      <c r="M2" s="2058" t="s">
        <v>1</v>
      </c>
      <c r="N2" s="2058" t="s">
        <v>2</v>
      </c>
      <c r="O2" s="2058" t="s">
        <v>3</v>
      </c>
      <c r="P2" s="2058" t="str">
        <f>+G2</f>
        <v>Anwartschafts-barwert
Altersrente</v>
      </c>
      <c r="Q2" s="4040" t="s">
        <v>1938</v>
      </c>
      <c r="R2" s="4040"/>
      <c r="S2" s="4040"/>
      <c r="T2" s="2060"/>
      <c r="U2" s="2061" t="s">
        <v>0</v>
      </c>
      <c r="V2" s="2061" t="s">
        <v>1</v>
      </c>
      <c r="W2" s="2061" t="s">
        <v>2</v>
      </c>
      <c r="X2" s="2061" t="s">
        <v>3</v>
      </c>
      <c r="Y2" s="2061" t="s">
        <v>4</v>
      </c>
      <c r="Z2" s="4041" t="s">
        <v>6</v>
      </c>
      <c r="AA2" s="4041"/>
      <c r="AB2" s="4041"/>
    </row>
    <row r="3" spans="1:28" s="2" customFormat="1" ht="13.5">
      <c r="A3" s="60">
        <v>43111</v>
      </c>
      <c r="B3" s="4042" t="s">
        <v>13</v>
      </c>
      <c r="C3" s="2064" t="s">
        <v>15</v>
      </c>
      <c r="D3" s="2064" t="s">
        <v>14</v>
      </c>
      <c r="E3" s="2064" t="s">
        <v>75</v>
      </c>
      <c r="F3" s="2064" t="s">
        <v>16</v>
      </c>
      <c r="G3" s="2064"/>
      <c r="H3" s="2064" t="s">
        <v>8</v>
      </c>
      <c r="I3" s="2064" t="s">
        <v>9</v>
      </c>
      <c r="J3" s="2064" t="s">
        <v>10</v>
      </c>
      <c r="K3" s="2059" t="s">
        <v>13</v>
      </c>
      <c r="L3" s="2059" t="s">
        <v>15</v>
      </c>
      <c r="M3" s="2059" t="s">
        <v>14</v>
      </c>
      <c r="N3" s="2059" t="s">
        <v>76</v>
      </c>
      <c r="O3" s="2059" t="s">
        <v>16</v>
      </c>
      <c r="P3" s="2059"/>
      <c r="Q3" s="2059" t="s">
        <v>8</v>
      </c>
      <c r="R3" s="2059" t="s">
        <v>9</v>
      </c>
      <c r="S3" s="2059" t="s">
        <v>10</v>
      </c>
      <c r="T3" s="2062" t="s">
        <v>150</v>
      </c>
      <c r="U3" s="2062" t="s">
        <v>151</v>
      </c>
      <c r="V3" s="2062" t="s">
        <v>152</v>
      </c>
      <c r="W3" s="2062" t="s">
        <v>153</v>
      </c>
      <c r="X3" s="2062"/>
      <c r="Y3" s="2062"/>
      <c r="Z3" s="2062" t="s">
        <v>8</v>
      </c>
      <c r="AA3" s="2062" t="s">
        <v>9</v>
      </c>
      <c r="AB3" s="2062" t="s">
        <v>10</v>
      </c>
    </row>
    <row r="4" spans="1:28">
      <c r="B4" s="4">
        <v>20</v>
      </c>
      <c r="C4" s="140">
        <v>0.309</v>
      </c>
      <c r="D4" s="140">
        <v>4.2779999999999996</v>
      </c>
      <c r="E4" s="140">
        <v>0.55800000000000005</v>
      </c>
      <c r="F4" s="140">
        <v>0.55800000000000005</v>
      </c>
      <c r="G4" s="140">
        <v>3.9689999999999994</v>
      </c>
      <c r="H4" s="141">
        <v>7.7853363567649297E-2</v>
      </c>
      <c r="I4" s="141">
        <v>0.14058956916099777</v>
      </c>
      <c r="J4" s="141">
        <v>0.21844293272864707</v>
      </c>
      <c r="K4" s="4">
        <v>20</v>
      </c>
      <c r="L4" s="139">
        <v>0.32100000000000001</v>
      </c>
      <c r="M4" s="140">
        <v>5.032</v>
      </c>
      <c r="N4" s="140">
        <v>0.13300000000000001</v>
      </c>
      <c r="O4" s="140">
        <v>0.13300000000000001</v>
      </c>
      <c r="P4" s="140">
        <v>5.0859999999999994</v>
      </c>
      <c r="Q4" s="141">
        <v>6.3114431773495877E-2</v>
      </c>
      <c r="R4" s="141">
        <v>2.6150216279984276E-2</v>
      </c>
      <c r="S4" s="141">
        <v>8.9264648053480153E-2</v>
      </c>
      <c r="T4" s="4">
        <v>20</v>
      </c>
      <c r="U4" s="142">
        <v>0.315</v>
      </c>
      <c r="V4" s="142">
        <v>4.6549999999999994</v>
      </c>
      <c r="W4" s="142">
        <v>0.34550000000000003</v>
      </c>
      <c r="X4" s="142">
        <v>0.34550000000000003</v>
      </c>
      <c r="Y4" s="142">
        <v>4.5274999999999999</v>
      </c>
      <c r="Z4" s="247">
        <v>7.0483897670572587E-2</v>
      </c>
      <c r="AA4" s="247">
        <v>8.3369892720491029E-2</v>
      </c>
      <c r="AB4" s="247">
        <v>0.15385379039106362</v>
      </c>
    </row>
    <row r="5" spans="1:28">
      <c r="B5" s="4">
        <v>21</v>
      </c>
      <c r="C5" s="140">
        <v>0.35699999999999998</v>
      </c>
      <c r="D5" s="140">
        <v>4.407</v>
      </c>
      <c r="E5" s="140">
        <v>0.64800000000000002</v>
      </c>
      <c r="F5" s="140">
        <v>0.64800000000000002</v>
      </c>
      <c r="G5" s="140">
        <v>4.05</v>
      </c>
      <c r="H5" s="141">
        <v>8.8148148148148142E-2</v>
      </c>
      <c r="I5" s="141">
        <v>0.16</v>
      </c>
      <c r="J5" s="141">
        <v>0.24814814814814815</v>
      </c>
      <c r="K5" s="4">
        <v>21</v>
      </c>
      <c r="L5" s="139">
        <v>0.38600000000000001</v>
      </c>
      <c r="M5" s="140">
        <v>5.1820000000000004</v>
      </c>
      <c r="N5" s="140">
        <v>0.161</v>
      </c>
      <c r="O5" s="140">
        <v>0.161</v>
      </c>
      <c r="P5" s="140">
        <v>5.2629999999999999</v>
      </c>
      <c r="Q5" s="141">
        <v>7.334220026600799E-2</v>
      </c>
      <c r="R5" s="141">
        <v>3.0590917727531829E-2</v>
      </c>
      <c r="S5" s="141">
        <v>0.10393311799353983</v>
      </c>
      <c r="T5" s="4">
        <v>21</v>
      </c>
      <c r="U5" s="142">
        <v>0.3715</v>
      </c>
      <c r="V5" s="142">
        <v>4.7945000000000002</v>
      </c>
      <c r="W5" s="142">
        <v>0.40450000000000003</v>
      </c>
      <c r="X5" s="142">
        <v>0.40450000000000003</v>
      </c>
      <c r="Y5" s="142">
        <v>4.6564999999999994</v>
      </c>
      <c r="Z5" s="247">
        <v>8.0745174207078066E-2</v>
      </c>
      <c r="AA5" s="247">
        <v>9.5295458863765919E-2</v>
      </c>
      <c r="AB5" s="247">
        <v>0.176040633070844</v>
      </c>
    </row>
    <row r="6" spans="1:28">
      <c r="B6" s="4">
        <v>22</v>
      </c>
      <c r="C6" s="140">
        <v>0.40600000000000003</v>
      </c>
      <c r="D6" s="140">
        <v>4.5389999999999997</v>
      </c>
      <c r="E6" s="140">
        <v>0.745</v>
      </c>
      <c r="F6" s="140">
        <v>0.745</v>
      </c>
      <c r="G6" s="140">
        <v>4.133</v>
      </c>
      <c r="H6" s="141">
        <v>9.8233728526494077E-2</v>
      </c>
      <c r="I6" s="141">
        <v>0.18025647229615291</v>
      </c>
      <c r="J6" s="141">
        <v>0.27849020082264697</v>
      </c>
      <c r="K6" s="4">
        <v>22</v>
      </c>
      <c r="L6" s="139">
        <v>0.44600000000000001</v>
      </c>
      <c r="M6" s="140">
        <v>5.3360000000000003</v>
      </c>
      <c r="N6" s="140">
        <v>0.187</v>
      </c>
      <c r="O6" s="140">
        <v>0.187</v>
      </c>
      <c r="P6" s="140">
        <v>5.4420000000000002</v>
      </c>
      <c r="Q6" s="141">
        <v>8.1955163542815138E-2</v>
      </c>
      <c r="R6" s="141">
        <v>3.4362366776920249E-2</v>
      </c>
      <c r="S6" s="141">
        <v>0.11631753031973538</v>
      </c>
      <c r="T6" s="4">
        <v>22</v>
      </c>
      <c r="U6" s="142">
        <v>0.42600000000000005</v>
      </c>
      <c r="V6" s="142">
        <v>4.9375</v>
      </c>
      <c r="W6" s="142">
        <v>0.46599999999999997</v>
      </c>
      <c r="X6" s="142">
        <v>0.46599999999999997</v>
      </c>
      <c r="Y6" s="142">
        <v>4.7874999999999996</v>
      </c>
      <c r="Z6" s="247">
        <v>9.0094446034654607E-2</v>
      </c>
      <c r="AA6" s="247">
        <v>0.10730941953653658</v>
      </c>
      <c r="AB6" s="247">
        <v>0.19740386557119116</v>
      </c>
    </row>
    <row r="7" spans="1:28">
      <c r="B7" s="4">
        <v>23</v>
      </c>
      <c r="C7" s="140">
        <v>0.45700000000000002</v>
      </c>
      <c r="D7" s="140">
        <v>4.6749999999999998</v>
      </c>
      <c r="E7" s="140">
        <v>0.84599999999999997</v>
      </c>
      <c r="F7" s="140">
        <v>0.84599999999999997</v>
      </c>
      <c r="G7" s="140">
        <v>4.218</v>
      </c>
      <c r="H7" s="141">
        <v>0.10834518729255573</v>
      </c>
      <c r="I7" s="141">
        <v>0.20056899004267426</v>
      </c>
      <c r="J7" s="141">
        <v>0.30891417733522997</v>
      </c>
      <c r="K7" s="4">
        <v>23</v>
      </c>
      <c r="L7" s="139">
        <v>0.496</v>
      </c>
      <c r="M7" s="140">
        <v>5.4930000000000003</v>
      </c>
      <c r="N7" s="140">
        <v>0.20899999999999999</v>
      </c>
      <c r="O7" s="140">
        <v>0.20899999999999999</v>
      </c>
      <c r="P7" s="140">
        <v>5.6209999999999996</v>
      </c>
      <c r="Q7" s="141">
        <v>8.8240526596690988E-2</v>
      </c>
      <c r="R7" s="141">
        <v>3.718199608610568E-2</v>
      </c>
      <c r="S7" s="141">
        <v>0.12542252268279666</v>
      </c>
      <c r="T7" s="4">
        <v>23</v>
      </c>
      <c r="U7" s="142">
        <v>0.47650000000000003</v>
      </c>
      <c r="V7" s="142">
        <v>5.0839999999999996</v>
      </c>
      <c r="W7" s="142">
        <v>0.52749999999999997</v>
      </c>
      <c r="X7" s="142">
        <v>0.52749999999999997</v>
      </c>
      <c r="Y7" s="142">
        <v>4.9194999999999993</v>
      </c>
      <c r="Z7" s="247">
        <v>9.8292856944623364E-2</v>
      </c>
      <c r="AA7" s="247">
        <v>0.11887549306438996</v>
      </c>
      <c r="AB7" s="247">
        <v>0.2171683500090133</v>
      </c>
    </row>
    <row r="8" spans="1:28">
      <c r="B8" s="4">
        <v>24</v>
      </c>
      <c r="C8" s="140">
        <v>0.502</v>
      </c>
      <c r="D8" s="140">
        <v>4.8140000000000001</v>
      </c>
      <c r="E8" s="140">
        <v>0.93899999999999995</v>
      </c>
      <c r="F8" s="140">
        <v>0.93899999999999995</v>
      </c>
      <c r="G8" s="140">
        <v>4.3120000000000003</v>
      </c>
      <c r="H8" s="141">
        <v>0.11641929499072355</v>
      </c>
      <c r="I8" s="141">
        <v>0.21776437847866417</v>
      </c>
      <c r="J8" s="141">
        <v>0.33418367346938771</v>
      </c>
      <c r="K8" s="4">
        <v>24</v>
      </c>
      <c r="L8" s="139">
        <v>0.54200000000000004</v>
      </c>
      <c r="M8" s="140">
        <v>5.6550000000000002</v>
      </c>
      <c r="N8" s="140">
        <v>0.22900000000000001</v>
      </c>
      <c r="O8" s="140">
        <v>0.22900000000000001</v>
      </c>
      <c r="P8" s="140">
        <v>5.8009999999999993</v>
      </c>
      <c r="Q8" s="141">
        <v>9.3432166867781441E-2</v>
      </c>
      <c r="R8" s="141">
        <v>3.9475952421996217E-2</v>
      </c>
      <c r="S8" s="141">
        <v>0.13290811928977767</v>
      </c>
      <c r="T8" s="4">
        <v>24</v>
      </c>
      <c r="U8" s="142">
        <v>0.52200000000000002</v>
      </c>
      <c r="V8" s="142">
        <v>5.2345000000000006</v>
      </c>
      <c r="W8" s="142">
        <v>0.58399999999999996</v>
      </c>
      <c r="X8" s="142">
        <v>0.58399999999999996</v>
      </c>
      <c r="Y8" s="142">
        <v>5.0564999999999998</v>
      </c>
      <c r="Z8" s="247">
        <v>0.1049257309292525</v>
      </c>
      <c r="AA8" s="247">
        <v>0.1286201654503302</v>
      </c>
      <c r="AB8" s="247">
        <v>0.23354589637958267</v>
      </c>
    </row>
    <row r="9" spans="1:28">
      <c r="B9" s="4">
        <v>25</v>
      </c>
      <c r="C9" s="140">
        <v>0.54300000000000004</v>
      </c>
      <c r="D9" s="140">
        <v>4.9550000000000001</v>
      </c>
      <c r="E9" s="140">
        <v>1.0249999999999999</v>
      </c>
      <c r="F9" s="140">
        <v>1.0249999999999999</v>
      </c>
      <c r="G9" s="140">
        <v>4.4119999999999999</v>
      </c>
      <c r="H9" s="141">
        <v>0.1230734360834089</v>
      </c>
      <c r="I9" s="141">
        <v>0.23232094288304622</v>
      </c>
      <c r="J9" s="141">
        <v>0.35539437896645509</v>
      </c>
      <c r="K9" s="4">
        <v>25</v>
      </c>
      <c r="L9" s="139">
        <v>0.58699999999999997</v>
      </c>
      <c r="M9" s="140">
        <v>5.819</v>
      </c>
      <c r="N9" s="140">
        <v>0.249</v>
      </c>
      <c r="O9" s="140">
        <v>0.249</v>
      </c>
      <c r="P9" s="140">
        <v>5.9849999999999994</v>
      </c>
      <c r="Q9" s="141">
        <v>9.8078529657477029E-2</v>
      </c>
      <c r="R9" s="141">
        <v>4.1604010025062657E-2</v>
      </c>
      <c r="S9" s="141">
        <v>0.13968253968253969</v>
      </c>
      <c r="T9" s="4">
        <v>25</v>
      </c>
      <c r="U9" s="142">
        <v>0.56499999999999995</v>
      </c>
      <c r="V9" s="142">
        <v>5.3870000000000005</v>
      </c>
      <c r="W9" s="142">
        <v>0.63700000000000001</v>
      </c>
      <c r="X9" s="142">
        <v>0.63700000000000001</v>
      </c>
      <c r="Y9" s="142">
        <v>5.1984999999999992</v>
      </c>
      <c r="Z9" s="247">
        <v>0.11057598287044296</v>
      </c>
      <c r="AA9" s="247">
        <v>0.13696247645405443</v>
      </c>
      <c r="AB9" s="247">
        <v>0.24753845932449739</v>
      </c>
    </row>
    <row r="10" spans="1:28">
      <c r="B10" s="4">
        <v>26</v>
      </c>
      <c r="C10" s="140">
        <v>0.57999999999999996</v>
      </c>
      <c r="D10" s="140">
        <v>5.0999999999999996</v>
      </c>
      <c r="E10" s="140">
        <v>1.107</v>
      </c>
      <c r="F10" s="140">
        <v>1.107</v>
      </c>
      <c r="G10" s="140">
        <v>4.5199999999999996</v>
      </c>
      <c r="H10" s="141">
        <v>0.12831858407079647</v>
      </c>
      <c r="I10" s="141">
        <v>0.24491150442477877</v>
      </c>
      <c r="J10" s="141">
        <v>0.37323008849557526</v>
      </c>
      <c r="K10" s="4">
        <v>26</v>
      </c>
      <c r="L10" s="139">
        <v>0.63200000000000001</v>
      </c>
      <c r="M10" s="140">
        <v>5.9870000000000001</v>
      </c>
      <c r="N10" s="140">
        <v>0.27</v>
      </c>
      <c r="O10" s="140">
        <v>0.27</v>
      </c>
      <c r="P10" s="140">
        <v>6.173</v>
      </c>
      <c r="Q10" s="141">
        <v>0.10238133808520979</v>
      </c>
      <c r="R10" s="141">
        <v>4.3738862789567477E-2</v>
      </c>
      <c r="S10" s="141">
        <v>0.14612020087477726</v>
      </c>
      <c r="T10" s="4">
        <v>26</v>
      </c>
      <c r="U10" s="142">
        <v>0.60599999999999998</v>
      </c>
      <c r="V10" s="142">
        <v>5.5434999999999999</v>
      </c>
      <c r="W10" s="142">
        <v>0.6885</v>
      </c>
      <c r="X10" s="142">
        <v>0.6885</v>
      </c>
      <c r="Y10" s="142">
        <v>5.3464999999999998</v>
      </c>
      <c r="Z10" s="247">
        <v>0.11534996107800313</v>
      </c>
      <c r="AA10" s="247">
        <v>0.14432518360717311</v>
      </c>
      <c r="AB10" s="247">
        <v>0.25967514468517627</v>
      </c>
    </row>
    <row r="11" spans="1:28">
      <c r="B11" s="4">
        <v>27</v>
      </c>
      <c r="C11" s="140">
        <v>0.61399999999999999</v>
      </c>
      <c r="D11" s="140">
        <v>5.2480000000000002</v>
      </c>
      <c r="E11" s="140">
        <v>1.1859999999999999</v>
      </c>
      <c r="F11" s="140">
        <v>1.1859999999999999</v>
      </c>
      <c r="G11" s="140">
        <v>4.6340000000000003</v>
      </c>
      <c r="H11" s="141">
        <v>0.13249892101855848</v>
      </c>
      <c r="I11" s="141">
        <v>0.25593439792835559</v>
      </c>
      <c r="J11" s="141">
        <v>0.38843331894691407</v>
      </c>
      <c r="K11" s="4">
        <v>27</v>
      </c>
      <c r="L11" s="139">
        <v>0.67600000000000005</v>
      </c>
      <c r="M11" s="140">
        <v>6.1580000000000004</v>
      </c>
      <c r="N11" s="140">
        <v>0.28999999999999998</v>
      </c>
      <c r="O11" s="140">
        <v>0.28999999999999998</v>
      </c>
      <c r="P11" s="140">
        <v>6.3629999999999995</v>
      </c>
      <c r="Q11" s="141">
        <v>0.10623919534810626</v>
      </c>
      <c r="R11" s="141">
        <v>4.5575986170045574E-2</v>
      </c>
      <c r="S11" s="141">
        <v>0.15181518151815182</v>
      </c>
      <c r="T11" s="4">
        <v>27</v>
      </c>
      <c r="U11" s="142">
        <v>0.64500000000000002</v>
      </c>
      <c r="V11" s="142">
        <v>5.7030000000000003</v>
      </c>
      <c r="W11" s="142">
        <v>0.73799999999999999</v>
      </c>
      <c r="X11" s="142">
        <v>0.73799999999999999</v>
      </c>
      <c r="Y11" s="142">
        <v>5.4984999999999999</v>
      </c>
      <c r="Z11" s="247">
        <v>0.11936905818333238</v>
      </c>
      <c r="AA11" s="247">
        <v>0.15075519204920057</v>
      </c>
      <c r="AB11" s="247">
        <v>0.27012425023253295</v>
      </c>
    </row>
    <row r="12" spans="1:28">
      <c r="B12" s="4">
        <v>28</v>
      </c>
      <c r="C12" s="140">
        <v>0.64500000000000002</v>
      </c>
      <c r="D12" s="140">
        <v>5.399</v>
      </c>
      <c r="E12" s="140">
        <v>1.264</v>
      </c>
      <c r="F12" s="140">
        <v>1.264</v>
      </c>
      <c r="G12" s="140">
        <v>4.7539999999999996</v>
      </c>
      <c r="H12" s="141">
        <v>0.13567522086663864</v>
      </c>
      <c r="I12" s="141">
        <v>0.26588136306268406</v>
      </c>
      <c r="J12" s="141">
        <v>0.4015565839293227</v>
      </c>
      <c r="K12" s="4">
        <v>28</v>
      </c>
      <c r="L12" s="139">
        <v>0.71799999999999997</v>
      </c>
      <c r="M12" s="140">
        <v>6.3319999999999999</v>
      </c>
      <c r="N12" s="140">
        <v>0.311</v>
      </c>
      <c r="O12" s="140">
        <v>0.311</v>
      </c>
      <c r="P12" s="140">
        <v>6.556</v>
      </c>
      <c r="Q12" s="141">
        <v>0.10951799877974375</v>
      </c>
      <c r="R12" s="141">
        <v>4.7437461866992069E-2</v>
      </c>
      <c r="S12" s="141">
        <v>0.15695546064673582</v>
      </c>
      <c r="T12" s="4">
        <v>28</v>
      </c>
      <c r="U12" s="142">
        <v>0.68149999999999999</v>
      </c>
      <c r="V12" s="142">
        <v>5.8654999999999999</v>
      </c>
      <c r="W12" s="142">
        <v>0.78749999999999998</v>
      </c>
      <c r="X12" s="142">
        <v>0.78749999999999998</v>
      </c>
      <c r="Y12" s="142">
        <v>5.6549999999999994</v>
      </c>
      <c r="Z12" s="247">
        <v>0.12259660982319119</v>
      </c>
      <c r="AA12" s="247">
        <v>0.15665941246483805</v>
      </c>
      <c r="AB12" s="247">
        <v>0.27925602228802926</v>
      </c>
    </row>
    <row r="13" spans="1:28">
      <c r="B13" s="4">
        <v>29</v>
      </c>
      <c r="C13" s="140">
        <v>0.67400000000000004</v>
      </c>
      <c r="D13" s="140">
        <v>5.5529999999999999</v>
      </c>
      <c r="E13" s="140">
        <v>1.339</v>
      </c>
      <c r="F13" s="140">
        <v>1.339</v>
      </c>
      <c r="G13" s="140">
        <v>4.8789999999999996</v>
      </c>
      <c r="H13" s="141">
        <v>0.13814306210288996</v>
      </c>
      <c r="I13" s="141">
        <v>0.27444148391063744</v>
      </c>
      <c r="J13" s="141">
        <v>0.4125845460135274</v>
      </c>
      <c r="K13" s="4">
        <v>29</v>
      </c>
      <c r="L13" s="139">
        <v>0.75800000000000001</v>
      </c>
      <c r="M13" s="140">
        <v>6.51</v>
      </c>
      <c r="N13" s="140">
        <v>0.33100000000000002</v>
      </c>
      <c r="O13" s="140">
        <v>0.33100000000000002</v>
      </c>
      <c r="P13" s="140">
        <v>6.7520000000000007</v>
      </c>
      <c r="Q13" s="141">
        <v>0.11226303317535544</v>
      </c>
      <c r="R13" s="141">
        <v>4.9022511848341228E-2</v>
      </c>
      <c r="S13" s="141">
        <v>0.16128554502369666</v>
      </c>
      <c r="T13" s="4">
        <v>29</v>
      </c>
      <c r="U13" s="142">
        <v>0.71599999999999997</v>
      </c>
      <c r="V13" s="142">
        <v>6.0314999999999994</v>
      </c>
      <c r="W13" s="142">
        <v>0.83499999999999996</v>
      </c>
      <c r="X13" s="142">
        <v>0.83499999999999996</v>
      </c>
      <c r="Y13" s="142">
        <v>5.8155000000000001</v>
      </c>
      <c r="Z13" s="247">
        <v>0.12520304763912271</v>
      </c>
      <c r="AA13" s="247">
        <v>0.16173199787948933</v>
      </c>
      <c r="AB13" s="247">
        <v>0.28693504551861204</v>
      </c>
    </row>
    <row r="14" spans="1:28">
      <c r="B14" s="4">
        <v>30</v>
      </c>
      <c r="C14" s="140">
        <v>0.70199999999999996</v>
      </c>
      <c r="D14" s="140">
        <v>5.7119999999999997</v>
      </c>
      <c r="E14" s="140">
        <v>1.4139999999999999</v>
      </c>
      <c r="F14" s="140">
        <v>1.4139999999999999</v>
      </c>
      <c r="G14" s="140">
        <v>5.01</v>
      </c>
      <c r="H14" s="141">
        <v>0.14011976047904193</v>
      </c>
      <c r="I14" s="141">
        <v>0.28223552894211579</v>
      </c>
      <c r="J14" s="141">
        <v>0.42235528942115774</v>
      </c>
      <c r="K14" s="4">
        <v>30</v>
      </c>
      <c r="L14" s="139">
        <v>0.79600000000000004</v>
      </c>
      <c r="M14" s="140">
        <v>6.6909999999999998</v>
      </c>
      <c r="N14" s="140">
        <v>0.35</v>
      </c>
      <c r="O14" s="140">
        <v>0.35</v>
      </c>
      <c r="P14" s="140">
        <v>6.9509999999999996</v>
      </c>
      <c r="Q14" s="141">
        <v>0.1145158969932384</v>
      </c>
      <c r="R14" s="141">
        <v>5.0352467270896276E-2</v>
      </c>
      <c r="S14" s="141">
        <v>0.16486836426413468</v>
      </c>
      <c r="T14" s="4">
        <v>30</v>
      </c>
      <c r="U14" s="142">
        <v>0.749</v>
      </c>
      <c r="V14" s="142">
        <v>6.2014999999999993</v>
      </c>
      <c r="W14" s="142">
        <v>0.8819999999999999</v>
      </c>
      <c r="X14" s="142">
        <v>0.8819999999999999</v>
      </c>
      <c r="Y14" s="142">
        <v>5.9804999999999993</v>
      </c>
      <c r="Z14" s="247">
        <v>0.12731782873614017</v>
      </c>
      <c r="AA14" s="247">
        <v>0.16629399810650602</v>
      </c>
      <c r="AB14" s="247">
        <v>0.2936118268426462</v>
      </c>
    </row>
    <row r="15" spans="1:28">
      <c r="B15" s="4">
        <v>31</v>
      </c>
      <c r="C15" s="140">
        <v>0.72799999999999998</v>
      </c>
      <c r="D15" s="140">
        <v>5.8739999999999997</v>
      </c>
      <c r="E15" s="140">
        <v>1.4890000000000001</v>
      </c>
      <c r="F15" s="140">
        <v>1.4890000000000001</v>
      </c>
      <c r="G15" s="140">
        <v>5.1459999999999999</v>
      </c>
      <c r="H15" s="141">
        <v>0.14146910221531286</v>
      </c>
      <c r="I15" s="141">
        <v>0.28935095219588031</v>
      </c>
      <c r="J15" s="141">
        <v>0.4308200544111932</v>
      </c>
      <c r="K15" s="4">
        <v>31</v>
      </c>
      <c r="L15" s="139">
        <v>0.83099999999999996</v>
      </c>
      <c r="M15" s="140">
        <v>6.875</v>
      </c>
      <c r="N15" s="140">
        <v>0.36899999999999999</v>
      </c>
      <c r="O15" s="140">
        <v>0.36899999999999999</v>
      </c>
      <c r="P15" s="140">
        <v>7.1530000000000005</v>
      </c>
      <c r="Q15" s="141">
        <v>0.11617503145533341</v>
      </c>
      <c r="R15" s="141">
        <v>5.1586746819516284E-2</v>
      </c>
      <c r="S15" s="141">
        <v>0.1677617782748497</v>
      </c>
      <c r="T15" s="4">
        <v>31</v>
      </c>
      <c r="U15" s="142">
        <v>0.77949999999999997</v>
      </c>
      <c r="V15" s="142">
        <v>6.3744999999999994</v>
      </c>
      <c r="W15" s="142">
        <v>0.92900000000000005</v>
      </c>
      <c r="X15" s="142">
        <v>0.92900000000000005</v>
      </c>
      <c r="Y15" s="142">
        <v>6.1494999999999997</v>
      </c>
      <c r="Z15" s="247">
        <v>0.12882206683532313</v>
      </c>
      <c r="AA15" s="247">
        <v>0.17046884950769831</v>
      </c>
      <c r="AB15" s="247">
        <v>0.29929091634302146</v>
      </c>
    </row>
    <row r="16" spans="1:28">
      <c r="B16" s="4">
        <v>32</v>
      </c>
      <c r="C16" s="140">
        <v>0.753</v>
      </c>
      <c r="D16" s="140">
        <v>6.04</v>
      </c>
      <c r="E16" s="140">
        <v>1.5629999999999999</v>
      </c>
      <c r="F16" s="140">
        <v>1.5629999999999999</v>
      </c>
      <c r="G16" s="140">
        <v>5.2869999999999999</v>
      </c>
      <c r="H16" s="141">
        <v>0.14242481558539816</v>
      </c>
      <c r="I16" s="141">
        <v>0.29563079250993002</v>
      </c>
      <c r="J16" s="141">
        <v>0.43805560809532818</v>
      </c>
      <c r="K16" s="4">
        <v>32</v>
      </c>
      <c r="L16" s="139">
        <v>0.86399999999999999</v>
      </c>
      <c r="M16" s="140">
        <v>7.0620000000000003</v>
      </c>
      <c r="N16" s="140">
        <v>0.38700000000000001</v>
      </c>
      <c r="O16" s="140">
        <v>0.38700000000000001</v>
      </c>
      <c r="P16" s="140">
        <v>7.3579999999999997</v>
      </c>
      <c r="Q16" s="141">
        <v>0.11742321282957326</v>
      </c>
      <c r="R16" s="141">
        <v>5.2595814079913025E-2</v>
      </c>
      <c r="S16" s="141">
        <v>0.17001902690948628</v>
      </c>
      <c r="T16" s="4">
        <v>32</v>
      </c>
      <c r="U16" s="142">
        <v>0.8085</v>
      </c>
      <c r="V16" s="142">
        <v>6.5510000000000002</v>
      </c>
      <c r="W16" s="142">
        <v>0.97499999999999998</v>
      </c>
      <c r="X16" s="142">
        <v>0.97499999999999998</v>
      </c>
      <c r="Y16" s="142">
        <v>6.3224999999999998</v>
      </c>
      <c r="Z16" s="247">
        <v>0.1299240142074857</v>
      </c>
      <c r="AA16" s="247">
        <v>0.17411330329492153</v>
      </c>
      <c r="AB16" s="247">
        <v>0.30403731750240726</v>
      </c>
    </row>
    <row r="17" spans="2:28">
      <c r="B17" s="4">
        <v>33</v>
      </c>
      <c r="C17" s="140">
        <v>0.77700000000000002</v>
      </c>
      <c r="D17" s="140">
        <v>6.21</v>
      </c>
      <c r="E17" s="140">
        <v>1.637</v>
      </c>
      <c r="F17" s="140">
        <v>1.637</v>
      </c>
      <c r="G17" s="140">
        <v>5.4329999999999998</v>
      </c>
      <c r="H17" s="141">
        <v>0.14301490889011598</v>
      </c>
      <c r="I17" s="141">
        <v>0.30130682863979386</v>
      </c>
      <c r="J17" s="141">
        <v>0.44432173752990983</v>
      </c>
      <c r="K17" s="4">
        <v>33</v>
      </c>
      <c r="L17" s="139">
        <v>0.89500000000000002</v>
      </c>
      <c r="M17" s="140">
        <v>7.2539999999999996</v>
      </c>
      <c r="N17" s="140">
        <v>0.40500000000000003</v>
      </c>
      <c r="O17" s="140">
        <v>0.40500000000000003</v>
      </c>
      <c r="P17" s="140">
        <v>7.5650000000000004</v>
      </c>
      <c r="Q17" s="141">
        <v>0.11830799735624586</v>
      </c>
      <c r="R17" s="141">
        <v>5.3536021150033045E-2</v>
      </c>
      <c r="S17" s="141">
        <v>0.17184401850627889</v>
      </c>
      <c r="T17" s="4">
        <v>33</v>
      </c>
      <c r="U17" s="142">
        <v>0.83600000000000008</v>
      </c>
      <c r="V17" s="142">
        <v>6.7319999999999993</v>
      </c>
      <c r="W17" s="142">
        <v>1.0209999999999999</v>
      </c>
      <c r="X17" s="142">
        <v>1.0209999999999999</v>
      </c>
      <c r="Y17" s="142">
        <v>6.4990000000000006</v>
      </c>
      <c r="Z17" s="247">
        <v>0.13066145312318092</v>
      </c>
      <c r="AA17" s="247">
        <v>0.17742142489491344</v>
      </c>
      <c r="AB17" s="247">
        <v>0.30808287801809436</v>
      </c>
    </row>
    <row r="18" spans="2:28">
      <c r="B18" s="4">
        <v>34</v>
      </c>
      <c r="C18" s="140">
        <v>0.79900000000000004</v>
      </c>
      <c r="D18" s="140">
        <v>6.3840000000000003</v>
      </c>
      <c r="E18" s="140">
        <v>1.7110000000000001</v>
      </c>
      <c r="F18" s="140">
        <v>1.7110000000000001</v>
      </c>
      <c r="G18" s="140">
        <v>5.585</v>
      </c>
      <c r="H18" s="141">
        <v>0.14306177260519248</v>
      </c>
      <c r="I18" s="141">
        <v>0.30635631154879139</v>
      </c>
      <c r="J18" s="141">
        <v>0.44941808415398388</v>
      </c>
      <c r="K18" s="4">
        <v>34</v>
      </c>
      <c r="L18" s="139">
        <v>0.92200000000000004</v>
      </c>
      <c r="M18" s="140">
        <v>7.4480000000000004</v>
      </c>
      <c r="N18" s="140">
        <v>0.42299999999999999</v>
      </c>
      <c r="O18" s="140">
        <v>0.42299999999999999</v>
      </c>
      <c r="P18" s="140">
        <v>7.7759999999999998</v>
      </c>
      <c r="Q18" s="141">
        <v>0.11856995884773663</v>
      </c>
      <c r="R18" s="141">
        <v>5.4398148148148147E-2</v>
      </c>
      <c r="S18" s="141">
        <v>0.17296810699588477</v>
      </c>
      <c r="T18" s="4">
        <v>34</v>
      </c>
      <c r="U18" s="142">
        <v>0.86050000000000004</v>
      </c>
      <c r="V18" s="142">
        <v>6.9160000000000004</v>
      </c>
      <c r="W18" s="142">
        <v>1.0669999999999999</v>
      </c>
      <c r="X18" s="142">
        <v>1.0669999999999999</v>
      </c>
      <c r="Y18" s="142">
        <v>6.6805000000000003</v>
      </c>
      <c r="Z18" s="247">
        <v>0.13081586572646456</v>
      </c>
      <c r="AA18" s="247">
        <v>0.18037722984846977</v>
      </c>
      <c r="AB18" s="247">
        <v>0.31119309557493435</v>
      </c>
    </row>
    <row r="19" spans="2:28">
      <c r="B19" s="4">
        <v>35</v>
      </c>
      <c r="C19" s="140">
        <v>0.81899999999999995</v>
      </c>
      <c r="D19" s="140">
        <v>6.5609999999999999</v>
      </c>
      <c r="E19" s="140">
        <v>1.786</v>
      </c>
      <c r="F19" s="140">
        <v>1.786</v>
      </c>
      <c r="G19" s="140">
        <v>5.742</v>
      </c>
      <c r="H19" s="141">
        <v>0.14263322884012539</v>
      </c>
      <c r="I19" s="141">
        <v>0.31104144897248348</v>
      </c>
      <c r="J19" s="141">
        <v>0.45367467781260884</v>
      </c>
      <c r="K19" s="4">
        <v>35</v>
      </c>
      <c r="L19" s="139">
        <v>0.94599999999999995</v>
      </c>
      <c r="M19" s="140">
        <v>7.6459999999999999</v>
      </c>
      <c r="N19" s="140">
        <v>0.44</v>
      </c>
      <c r="O19" s="140">
        <v>0.44</v>
      </c>
      <c r="P19" s="140">
        <v>7.9879999999999995</v>
      </c>
      <c r="Q19" s="141">
        <v>0.11842764146219328</v>
      </c>
      <c r="R19" s="141">
        <v>5.5082623935903859E-2</v>
      </c>
      <c r="S19" s="141">
        <v>0.17351026539809714</v>
      </c>
      <c r="T19" s="4">
        <v>35</v>
      </c>
      <c r="U19" s="142">
        <v>0.88249999999999995</v>
      </c>
      <c r="V19" s="142">
        <v>7.1035000000000004</v>
      </c>
      <c r="W19" s="142">
        <v>1.113</v>
      </c>
      <c r="X19" s="142">
        <v>1.113</v>
      </c>
      <c r="Y19" s="142">
        <v>6.8650000000000002</v>
      </c>
      <c r="Z19" s="247">
        <v>0.13053043515115934</v>
      </c>
      <c r="AA19" s="247">
        <v>0.18306203645419367</v>
      </c>
      <c r="AB19" s="247">
        <v>0.31359247160535297</v>
      </c>
    </row>
    <row r="20" spans="2:28">
      <c r="B20" s="4">
        <v>36</v>
      </c>
      <c r="C20" s="140">
        <v>0.83499999999999996</v>
      </c>
      <c r="D20" s="140">
        <v>6.742</v>
      </c>
      <c r="E20" s="140">
        <v>1.86</v>
      </c>
      <c r="F20" s="140">
        <v>1.86</v>
      </c>
      <c r="G20" s="140">
        <v>5.907</v>
      </c>
      <c r="H20" s="141">
        <v>0.14135771119011342</v>
      </c>
      <c r="I20" s="141">
        <v>0.31488065007618082</v>
      </c>
      <c r="J20" s="141">
        <v>0.45623836126629425</v>
      </c>
      <c r="K20" s="4">
        <v>36</v>
      </c>
      <c r="L20" s="139">
        <v>0.96399999999999997</v>
      </c>
      <c r="M20" s="140">
        <v>7.8460000000000001</v>
      </c>
      <c r="N20" s="140">
        <v>0.45600000000000002</v>
      </c>
      <c r="O20" s="140">
        <v>0.45600000000000002</v>
      </c>
      <c r="P20" s="140">
        <v>8.2029999999999994</v>
      </c>
      <c r="Q20" s="141">
        <v>0.1175179812263806</v>
      </c>
      <c r="R20" s="141">
        <v>5.5589418505424849E-2</v>
      </c>
      <c r="S20" s="141">
        <v>0.17310739973180544</v>
      </c>
      <c r="T20" s="4">
        <v>36</v>
      </c>
      <c r="U20" s="142">
        <v>0.89949999999999997</v>
      </c>
      <c r="V20" s="142">
        <v>7.2940000000000005</v>
      </c>
      <c r="W20" s="142">
        <v>1.1580000000000001</v>
      </c>
      <c r="X20" s="142">
        <v>1.1580000000000001</v>
      </c>
      <c r="Y20" s="142">
        <v>7.0549999999999997</v>
      </c>
      <c r="Z20" s="247">
        <v>0.129437846208247</v>
      </c>
      <c r="AA20" s="247">
        <v>0.18523503429080285</v>
      </c>
      <c r="AB20" s="247">
        <v>0.31467288049904985</v>
      </c>
    </row>
    <row r="21" spans="2:28">
      <c r="B21" s="4">
        <v>37</v>
      </c>
      <c r="C21" s="140">
        <v>0.84699999999999998</v>
      </c>
      <c r="D21" s="140">
        <v>6.9240000000000004</v>
      </c>
      <c r="E21" s="140">
        <v>1.9339999999999999</v>
      </c>
      <c r="F21" s="140">
        <v>1.9339999999999999</v>
      </c>
      <c r="G21" s="140">
        <v>6.077</v>
      </c>
      <c r="H21" s="141">
        <v>0.13937798255718281</v>
      </c>
      <c r="I21" s="141">
        <v>0.31824913608688499</v>
      </c>
      <c r="J21" s="141">
        <v>0.4576271186440678</v>
      </c>
      <c r="K21" s="4">
        <v>37</v>
      </c>
      <c r="L21" s="139">
        <v>0.97699999999999998</v>
      </c>
      <c r="M21" s="140">
        <v>8.0470000000000006</v>
      </c>
      <c r="N21" s="140">
        <v>0.47199999999999998</v>
      </c>
      <c r="O21" s="140">
        <v>0.47199999999999998</v>
      </c>
      <c r="P21" s="140">
        <v>8.4179999999999993</v>
      </c>
      <c r="Q21" s="141">
        <v>0.11606082204799241</v>
      </c>
      <c r="R21" s="141">
        <v>5.6070325492991215E-2</v>
      </c>
      <c r="S21" s="141">
        <v>0.17213114754098363</v>
      </c>
      <c r="T21" s="4">
        <v>37</v>
      </c>
      <c r="U21" s="142">
        <v>0.91199999999999992</v>
      </c>
      <c r="V21" s="142">
        <v>7.4855</v>
      </c>
      <c r="W21" s="142">
        <v>1.2029999999999998</v>
      </c>
      <c r="X21" s="142">
        <v>1.2029999999999998</v>
      </c>
      <c r="Y21" s="142">
        <v>7.2474999999999996</v>
      </c>
      <c r="Z21" s="247">
        <v>0.1277194023025876</v>
      </c>
      <c r="AA21" s="247">
        <v>0.18715973078993811</v>
      </c>
      <c r="AB21" s="247">
        <v>0.31487913309252569</v>
      </c>
    </row>
    <row r="22" spans="2:28">
      <c r="B22" s="4">
        <v>38</v>
      </c>
      <c r="C22" s="140">
        <v>0.85399999999999998</v>
      </c>
      <c r="D22" s="140">
        <v>7.1079999999999997</v>
      </c>
      <c r="E22" s="140">
        <v>2.008</v>
      </c>
      <c r="F22" s="140">
        <v>2.008</v>
      </c>
      <c r="G22" s="140">
        <v>6.2539999999999996</v>
      </c>
      <c r="H22" s="141">
        <v>0.13655260633194757</v>
      </c>
      <c r="I22" s="141">
        <v>0.32107451231212025</v>
      </c>
      <c r="J22" s="141">
        <v>0.4576271186440678</v>
      </c>
      <c r="K22" s="4">
        <v>38</v>
      </c>
      <c r="L22" s="139">
        <v>0.98399999999999999</v>
      </c>
      <c r="M22" s="140">
        <v>8.2509999999999994</v>
      </c>
      <c r="N22" s="140">
        <v>0.48599999999999999</v>
      </c>
      <c r="O22" s="140">
        <v>0.48599999999999999</v>
      </c>
      <c r="P22" s="140">
        <v>8.6349999999999998</v>
      </c>
      <c r="Q22" s="141">
        <v>0.11395483497394325</v>
      </c>
      <c r="R22" s="141">
        <v>5.628257093225246E-2</v>
      </c>
      <c r="S22" s="141">
        <v>0.17023740590619571</v>
      </c>
      <c r="T22" s="4">
        <v>38</v>
      </c>
      <c r="U22" s="142">
        <v>0.91900000000000004</v>
      </c>
      <c r="V22" s="142">
        <v>7.6794999999999991</v>
      </c>
      <c r="W22" s="142">
        <v>1.2469999999999999</v>
      </c>
      <c r="X22" s="142">
        <v>1.2469999999999999</v>
      </c>
      <c r="Y22" s="142">
        <v>7.4444999999999997</v>
      </c>
      <c r="Z22" s="247">
        <v>0.12525372065294541</v>
      </c>
      <c r="AA22" s="247">
        <v>0.18867854162218636</v>
      </c>
      <c r="AB22" s="247">
        <v>0.31393226227513177</v>
      </c>
    </row>
    <row r="23" spans="2:28">
      <c r="B23" s="4">
        <v>39</v>
      </c>
      <c r="C23" s="140">
        <v>0.85499999999999998</v>
      </c>
      <c r="D23" s="140">
        <v>7.2939999999999996</v>
      </c>
      <c r="E23" s="140">
        <v>2.0819999999999999</v>
      </c>
      <c r="F23" s="140">
        <v>2.0819999999999999</v>
      </c>
      <c r="G23" s="140">
        <v>6.4390000000000001</v>
      </c>
      <c r="H23" s="141">
        <v>0.13278459388103742</v>
      </c>
      <c r="I23" s="141">
        <v>0.32334213387171917</v>
      </c>
      <c r="J23" s="141">
        <v>0.45612672775275659</v>
      </c>
      <c r="K23" s="4">
        <v>39</v>
      </c>
      <c r="L23" s="139">
        <v>0.98399999999999999</v>
      </c>
      <c r="M23" s="140">
        <v>8.4559999999999995</v>
      </c>
      <c r="N23" s="140">
        <v>0.5</v>
      </c>
      <c r="O23" s="140">
        <v>0.5</v>
      </c>
      <c r="P23" s="140">
        <v>8.8520000000000003</v>
      </c>
      <c r="Q23" s="141">
        <v>0.11116131947582467</v>
      </c>
      <c r="R23" s="141">
        <v>5.6484410302756437E-2</v>
      </c>
      <c r="S23" s="141">
        <v>0.16764572977858111</v>
      </c>
      <c r="T23" s="4">
        <v>39</v>
      </c>
      <c r="U23" s="142">
        <v>0.91949999999999998</v>
      </c>
      <c r="V23" s="142">
        <v>7.875</v>
      </c>
      <c r="W23" s="142">
        <v>1.2909999999999999</v>
      </c>
      <c r="X23" s="142">
        <v>1.2909999999999999</v>
      </c>
      <c r="Y23" s="142">
        <v>7.6455000000000002</v>
      </c>
      <c r="Z23" s="247">
        <v>0.12197295667843104</v>
      </c>
      <c r="AA23" s="247">
        <v>0.18991327208723779</v>
      </c>
      <c r="AB23" s="247">
        <v>0.31188622876566885</v>
      </c>
    </row>
    <row r="24" spans="2:28">
      <c r="B24" s="4">
        <v>40</v>
      </c>
      <c r="C24" s="140">
        <v>0.85199999999999998</v>
      </c>
      <c r="D24" s="140">
        <v>7.484</v>
      </c>
      <c r="E24" s="140">
        <v>2.1560000000000001</v>
      </c>
      <c r="F24" s="140">
        <v>2.1560000000000001</v>
      </c>
      <c r="G24" s="140">
        <v>6.6319999999999997</v>
      </c>
      <c r="H24" s="141">
        <v>0.12846803377563329</v>
      </c>
      <c r="I24" s="141">
        <v>0.32509047044632089</v>
      </c>
      <c r="J24" s="141">
        <v>0.45355850422195421</v>
      </c>
      <c r="K24" s="4">
        <v>40</v>
      </c>
      <c r="L24" s="139">
        <v>0.97899999999999998</v>
      </c>
      <c r="M24" s="140">
        <v>8.6639999999999997</v>
      </c>
      <c r="N24" s="140">
        <v>0.51400000000000001</v>
      </c>
      <c r="O24" s="140">
        <v>0.51400000000000001</v>
      </c>
      <c r="P24" s="140">
        <v>9.0719999999999992</v>
      </c>
      <c r="Q24" s="141">
        <v>0.10791446208112876</v>
      </c>
      <c r="R24" s="141">
        <v>5.6657848324514995E-2</v>
      </c>
      <c r="S24" s="141">
        <v>0.16457231040564374</v>
      </c>
      <c r="T24" s="4">
        <v>40</v>
      </c>
      <c r="U24" s="142">
        <v>0.91549999999999998</v>
      </c>
      <c r="V24" s="142">
        <v>8.0739999999999998</v>
      </c>
      <c r="W24" s="142">
        <v>1.335</v>
      </c>
      <c r="X24" s="142">
        <v>1.335</v>
      </c>
      <c r="Y24" s="142">
        <v>7.8519999999999994</v>
      </c>
      <c r="Z24" s="247">
        <v>0.11819124792838102</v>
      </c>
      <c r="AA24" s="247">
        <v>0.19087415938541794</v>
      </c>
      <c r="AB24" s="247">
        <v>0.30906540731379895</v>
      </c>
    </row>
    <row r="25" spans="2:28">
      <c r="B25" s="4">
        <v>41</v>
      </c>
      <c r="C25" s="140">
        <v>0.84699999999999998</v>
      </c>
      <c r="D25" s="140">
        <v>7.6779999999999999</v>
      </c>
      <c r="E25" s="140">
        <v>2.2320000000000002</v>
      </c>
      <c r="F25" s="140">
        <v>2.2320000000000002</v>
      </c>
      <c r="G25" s="140">
        <v>6.8309999999999995</v>
      </c>
      <c r="H25" s="141">
        <v>0.12399355877616748</v>
      </c>
      <c r="I25" s="141">
        <v>0.32674571805006591</v>
      </c>
      <c r="J25" s="141">
        <v>0.45073927682623338</v>
      </c>
      <c r="K25" s="4">
        <v>41</v>
      </c>
      <c r="L25" s="139">
        <v>0.96899999999999997</v>
      </c>
      <c r="M25" s="140">
        <v>8.8770000000000007</v>
      </c>
      <c r="N25" s="140">
        <v>0.52600000000000002</v>
      </c>
      <c r="O25" s="140">
        <v>0.52600000000000002</v>
      </c>
      <c r="P25" s="140">
        <v>9.2959999999999994</v>
      </c>
      <c r="Q25" s="141">
        <v>0.10423838209982789</v>
      </c>
      <c r="R25" s="141">
        <v>5.6583476764199662E-2</v>
      </c>
      <c r="S25" s="141">
        <v>0.16082185886402756</v>
      </c>
      <c r="T25" s="4">
        <v>41</v>
      </c>
      <c r="U25" s="142">
        <v>0.90799999999999992</v>
      </c>
      <c r="V25" s="142">
        <v>8.2774999999999999</v>
      </c>
      <c r="W25" s="142">
        <v>1.379</v>
      </c>
      <c r="X25" s="142">
        <v>1.379</v>
      </c>
      <c r="Y25" s="142">
        <v>8.0634999999999994</v>
      </c>
      <c r="Z25" s="247">
        <v>0.11411597043799768</v>
      </c>
      <c r="AA25" s="247">
        <v>0.19166459740713279</v>
      </c>
      <c r="AB25" s="247">
        <v>0.30578056784513047</v>
      </c>
    </row>
    <row r="26" spans="2:28">
      <c r="B26" s="4">
        <v>42</v>
      </c>
      <c r="C26" s="140">
        <v>0.84</v>
      </c>
      <c r="D26" s="140">
        <v>7.8789999999999996</v>
      </c>
      <c r="E26" s="140">
        <v>2.3079999999999998</v>
      </c>
      <c r="F26" s="140">
        <v>2.3079999999999998</v>
      </c>
      <c r="G26" s="140">
        <v>7.0389999999999997</v>
      </c>
      <c r="H26" s="141">
        <v>0.1193351328313681</v>
      </c>
      <c r="I26" s="141">
        <v>0.32788748401761614</v>
      </c>
      <c r="J26" s="141">
        <v>0.44722261684898423</v>
      </c>
      <c r="K26" s="4">
        <v>42</v>
      </c>
      <c r="L26" s="139">
        <v>0.95599999999999996</v>
      </c>
      <c r="M26" s="140">
        <v>9.0950000000000006</v>
      </c>
      <c r="N26" s="140">
        <v>0.53900000000000003</v>
      </c>
      <c r="O26" s="140">
        <v>0.53900000000000003</v>
      </c>
      <c r="P26" s="140">
        <v>9.5249999999999986</v>
      </c>
      <c r="Q26" s="141">
        <v>0.10036745406824148</v>
      </c>
      <c r="R26" s="141">
        <v>5.6587926509186363E-2</v>
      </c>
      <c r="S26" s="141">
        <v>0.15695538057742783</v>
      </c>
      <c r="T26" s="4">
        <v>42</v>
      </c>
      <c r="U26" s="142">
        <v>0.89799999999999991</v>
      </c>
      <c r="V26" s="142">
        <v>8.4870000000000001</v>
      </c>
      <c r="W26" s="142">
        <v>1.4235</v>
      </c>
      <c r="X26" s="142">
        <v>1.4235</v>
      </c>
      <c r="Y26" s="142">
        <v>8.282</v>
      </c>
      <c r="Z26" s="247">
        <v>0.10985129344980479</v>
      </c>
      <c r="AA26" s="247">
        <v>0.19223770526340125</v>
      </c>
      <c r="AB26" s="247">
        <v>0.30208899871320605</v>
      </c>
    </row>
    <row r="27" spans="2:28">
      <c r="B27" s="4">
        <v>43</v>
      </c>
      <c r="C27" s="140">
        <v>0.83399999999999996</v>
      </c>
      <c r="D27" s="140">
        <v>8.0869999999999997</v>
      </c>
      <c r="E27" s="140">
        <v>2.3849999999999998</v>
      </c>
      <c r="F27" s="140">
        <v>2.3849999999999998</v>
      </c>
      <c r="G27" s="140">
        <v>7.2530000000000001</v>
      </c>
      <c r="H27" s="141">
        <v>0.11498690197159796</v>
      </c>
      <c r="I27" s="141">
        <v>0.3288294498828071</v>
      </c>
      <c r="J27" s="141">
        <v>0.44381635185440504</v>
      </c>
      <c r="K27" s="4">
        <v>43</v>
      </c>
      <c r="L27" s="139">
        <v>0.94099999999999995</v>
      </c>
      <c r="M27" s="140">
        <v>9.32</v>
      </c>
      <c r="N27" s="140">
        <v>0.55100000000000005</v>
      </c>
      <c r="O27" s="140">
        <v>0.55100000000000005</v>
      </c>
      <c r="P27" s="140">
        <v>9.7590000000000003</v>
      </c>
      <c r="Q27" s="141">
        <v>9.6423813915360174E-2</v>
      </c>
      <c r="R27" s="141">
        <v>5.6460702940875095E-2</v>
      </c>
      <c r="S27" s="141">
        <v>0.15288451685623528</v>
      </c>
      <c r="T27" s="4">
        <v>43</v>
      </c>
      <c r="U27" s="142">
        <v>0.88749999999999996</v>
      </c>
      <c r="V27" s="142">
        <v>8.7035</v>
      </c>
      <c r="W27" s="142">
        <v>1.468</v>
      </c>
      <c r="X27" s="142">
        <v>1.468</v>
      </c>
      <c r="Y27" s="142">
        <v>8.5060000000000002</v>
      </c>
      <c r="Z27" s="247">
        <v>0.10570535794347907</v>
      </c>
      <c r="AA27" s="247">
        <v>0.19264507641184109</v>
      </c>
      <c r="AB27" s="247">
        <v>0.29835043435532016</v>
      </c>
    </row>
    <row r="28" spans="2:28">
      <c r="B28" s="4">
        <v>44</v>
      </c>
      <c r="C28" s="140">
        <v>0.82699999999999996</v>
      </c>
      <c r="D28" s="140">
        <v>8.3030000000000008</v>
      </c>
      <c r="E28" s="140">
        <v>2.4630000000000001</v>
      </c>
      <c r="F28" s="140">
        <v>2.4630000000000001</v>
      </c>
      <c r="G28" s="140">
        <v>7.4760000000000009</v>
      </c>
      <c r="H28" s="141">
        <v>0.1106206527554842</v>
      </c>
      <c r="I28" s="141">
        <v>0.32945425361155695</v>
      </c>
      <c r="J28" s="141">
        <v>0.44007490636704116</v>
      </c>
      <c r="K28" s="4">
        <v>44</v>
      </c>
      <c r="L28" s="139">
        <v>0.92400000000000004</v>
      </c>
      <c r="M28" s="140">
        <v>9.5510000000000002</v>
      </c>
      <c r="N28" s="140">
        <v>0.56299999999999994</v>
      </c>
      <c r="O28" s="140">
        <v>0.56299999999999994</v>
      </c>
      <c r="P28" s="140">
        <v>10</v>
      </c>
      <c r="Q28" s="141">
        <v>9.240000000000001E-2</v>
      </c>
      <c r="R28" s="141">
        <v>5.6299999999999996E-2</v>
      </c>
      <c r="S28" s="141">
        <v>0.1487</v>
      </c>
      <c r="T28" s="4">
        <v>44</v>
      </c>
      <c r="U28" s="142">
        <v>0.87549999999999994</v>
      </c>
      <c r="V28" s="142">
        <v>8.9269999999999996</v>
      </c>
      <c r="W28" s="142">
        <v>1.5129999999999999</v>
      </c>
      <c r="X28" s="142">
        <v>1.5129999999999999</v>
      </c>
      <c r="Y28" s="142">
        <v>8.7379999999999995</v>
      </c>
      <c r="Z28" s="247">
        <v>0.1015103263777421</v>
      </c>
      <c r="AA28" s="247">
        <v>0.19287712680577848</v>
      </c>
      <c r="AB28" s="247">
        <v>0.29438745318352055</v>
      </c>
    </row>
    <row r="29" spans="2:28">
      <c r="B29" s="4">
        <v>45</v>
      </c>
      <c r="C29" s="140">
        <v>0.81799999999999995</v>
      </c>
      <c r="D29" s="140">
        <v>8.5269999999999992</v>
      </c>
      <c r="E29" s="140">
        <v>2.5419999999999998</v>
      </c>
      <c r="F29" s="140">
        <v>2.5419999999999998</v>
      </c>
      <c r="G29" s="140">
        <v>7.7089999999999996</v>
      </c>
      <c r="H29" s="141">
        <v>0.10610974186016345</v>
      </c>
      <c r="I29" s="141">
        <v>0.32974445453366197</v>
      </c>
      <c r="J29" s="141">
        <v>0.43585419639382539</v>
      </c>
      <c r="K29" s="4">
        <v>45</v>
      </c>
      <c r="L29" s="139">
        <v>0.90500000000000003</v>
      </c>
      <c r="M29" s="140">
        <v>9.7899999999999991</v>
      </c>
      <c r="N29" s="140">
        <v>0.57499999999999996</v>
      </c>
      <c r="O29" s="140">
        <v>0.57499999999999996</v>
      </c>
      <c r="P29" s="140">
        <v>10.249000000000001</v>
      </c>
      <c r="Q29" s="141">
        <v>8.8301297687579272E-2</v>
      </c>
      <c r="R29" s="141">
        <v>5.6103034442384618E-2</v>
      </c>
      <c r="S29" s="141">
        <v>0.1444043321299639</v>
      </c>
      <c r="T29" s="4">
        <v>45</v>
      </c>
      <c r="U29" s="142">
        <v>0.86149999999999993</v>
      </c>
      <c r="V29" s="142">
        <v>9.1585000000000001</v>
      </c>
      <c r="W29" s="142">
        <v>1.5585</v>
      </c>
      <c r="X29" s="142">
        <v>1.5585</v>
      </c>
      <c r="Y29" s="142">
        <v>8.9789999999999992</v>
      </c>
      <c r="Z29" s="247">
        <v>9.720551977387136E-2</v>
      </c>
      <c r="AA29" s="247">
        <v>0.1929237444880233</v>
      </c>
      <c r="AB29" s="247">
        <v>0.29012926426189467</v>
      </c>
    </row>
    <row r="30" spans="2:28">
      <c r="B30" s="4">
        <v>46</v>
      </c>
      <c r="C30" s="140">
        <v>0.80800000000000005</v>
      </c>
      <c r="D30" s="140">
        <v>8.7579999999999991</v>
      </c>
      <c r="E30" s="140">
        <v>2.6190000000000002</v>
      </c>
      <c r="F30" s="140">
        <v>2.6190000000000002</v>
      </c>
      <c r="G30" s="140">
        <v>7.9499999999999993</v>
      </c>
      <c r="H30" s="141">
        <v>0.10163522012578619</v>
      </c>
      <c r="I30" s="141">
        <v>0.329433962264151</v>
      </c>
      <c r="J30" s="141">
        <v>0.43106918238993719</v>
      </c>
      <c r="K30" s="4">
        <v>46</v>
      </c>
      <c r="L30" s="139">
        <v>0.88300000000000001</v>
      </c>
      <c r="M30" s="140">
        <v>10.036</v>
      </c>
      <c r="N30" s="140">
        <v>0.58599999999999997</v>
      </c>
      <c r="O30" s="140">
        <v>0.58599999999999997</v>
      </c>
      <c r="P30" s="140">
        <v>10.504</v>
      </c>
      <c r="Q30" s="141">
        <v>8.4063214013709073E-2</v>
      </c>
      <c r="R30" s="141">
        <v>5.5788271134805785E-2</v>
      </c>
      <c r="S30" s="141">
        <v>0.13985148514851486</v>
      </c>
      <c r="T30" s="4">
        <v>46</v>
      </c>
      <c r="U30" s="142">
        <v>0.84550000000000003</v>
      </c>
      <c r="V30" s="142">
        <v>9.3969999999999985</v>
      </c>
      <c r="W30" s="142">
        <v>1.6025</v>
      </c>
      <c r="X30" s="142">
        <v>1.6025</v>
      </c>
      <c r="Y30" s="142">
        <v>9.2270000000000003</v>
      </c>
      <c r="Z30" s="247">
        <v>9.2849217069747636E-2</v>
      </c>
      <c r="AA30" s="247">
        <v>0.19261111669947839</v>
      </c>
      <c r="AB30" s="247">
        <v>0.28546033376922603</v>
      </c>
    </row>
    <row r="31" spans="2:28">
      <c r="B31" s="4">
        <v>47</v>
      </c>
      <c r="C31" s="140">
        <v>0.79500000000000004</v>
      </c>
      <c r="D31" s="140">
        <v>8.9960000000000004</v>
      </c>
      <c r="E31" s="140">
        <v>2.6970000000000001</v>
      </c>
      <c r="F31" s="140">
        <v>2.6970000000000001</v>
      </c>
      <c r="G31" s="140">
        <v>8.2010000000000005</v>
      </c>
      <c r="H31" s="141">
        <v>9.6939397634434821E-2</v>
      </c>
      <c r="I31" s="141">
        <v>0.32886233386172414</v>
      </c>
      <c r="J31" s="141">
        <v>0.42580173149615896</v>
      </c>
      <c r="K31" s="4">
        <v>47</v>
      </c>
      <c r="L31" s="139">
        <v>0.85899999999999999</v>
      </c>
      <c r="M31" s="140">
        <v>10.289</v>
      </c>
      <c r="N31" s="140">
        <v>0.59699999999999998</v>
      </c>
      <c r="O31" s="140">
        <v>0.59699999999999998</v>
      </c>
      <c r="P31" s="140">
        <v>10.765000000000001</v>
      </c>
      <c r="Q31" s="141">
        <v>7.9795633999071053E-2</v>
      </c>
      <c r="R31" s="141">
        <v>5.5457501161170451E-2</v>
      </c>
      <c r="S31" s="141">
        <v>0.13525313516024151</v>
      </c>
      <c r="T31" s="4">
        <v>47</v>
      </c>
      <c r="U31" s="142">
        <v>0.82699999999999996</v>
      </c>
      <c r="V31" s="142">
        <v>9.6425000000000001</v>
      </c>
      <c r="W31" s="142">
        <v>1.647</v>
      </c>
      <c r="X31" s="142">
        <v>1.647</v>
      </c>
      <c r="Y31" s="142">
        <v>9.4830000000000005</v>
      </c>
      <c r="Z31" s="247">
        <v>8.8367515816752937E-2</v>
      </c>
      <c r="AA31" s="247">
        <v>0.19215991751144729</v>
      </c>
      <c r="AB31" s="247">
        <v>0.28052743332820024</v>
      </c>
    </row>
    <row r="32" spans="2:28">
      <c r="B32" s="4">
        <v>48</v>
      </c>
      <c r="C32" s="140">
        <v>0.77900000000000003</v>
      </c>
      <c r="D32" s="140">
        <v>9.2409999999999997</v>
      </c>
      <c r="E32" s="140">
        <v>2.7719999999999998</v>
      </c>
      <c r="F32" s="140">
        <v>2.7719999999999998</v>
      </c>
      <c r="G32" s="140">
        <v>8.4619999999999997</v>
      </c>
      <c r="H32" s="141">
        <v>9.2058614984637202E-2</v>
      </c>
      <c r="I32" s="141">
        <v>0.32758213188371543</v>
      </c>
      <c r="J32" s="141">
        <v>0.41964074686835262</v>
      </c>
      <c r="K32" s="4">
        <v>48</v>
      </c>
      <c r="L32" s="139">
        <v>0.83099999999999996</v>
      </c>
      <c r="M32" s="140">
        <v>10.55</v>
      </c>
      <c r="N32" s="140">
        <v>0.60699999999999998</v>
      </c>
      <c r="O32" s="140">
        <v>0.60699999999999998</v>
      </c>
      <c r="P32" s="140">
        <v>11.033000000000001</v>
      </c>
      <c r="Q32" s="141">
        <v>7.5319496057282692E-2</v>
      </c>
      <c r="R32" s="141">
        <v>5.5016767878183624E-2</v>
      </c>
      <c r="S32" s="141">
        <v>0.13033626393546632</v>
      </c>
      <c r="T32" s="4">
        <v>48</v>
      </c>
      <c r="U32" s="142">
        <v>0.80499999999999994</v>
      </c>
      <c r="V32" s="142">
        <v>9.8955000000000002</v>
      </c>
      <c r="W32" s="142">
        <v>1.6894999999999998</v>
      </c>
      <c r="X32" s="142">
        <v>1.6894999999999998</v>
      </c>
      <c r="Y32" s="142">
        <v>9.7475000000000005</v>
      </c>
      <c r="Z32" s="247">
        <v>8.3689055520959954E-2</v>
      </c>
      <c r="AA32" s="247">
        <v>0.19129944988094952</v>
      </c>
      <c r="AB32" s="247">
        <v>0.27498850540190944</v>
      </c>
    </row>
    <row r="33" spans="2:28">
      <c r="B33" s="4">
        <v>49</v>
      </c>
      <c r="C33" s="140">
        <v>0.75700000000000001</v>
      </c>
      <c r="D33" s="140">
        <v>9.4930000000000003</v>
      </c>
      <c r="E33" s="140">
        <v>2.8460000000000001</v>
      </c>
      <c r="F33" s="140">
        <v>2.8460000000000001</v>
      </c>
      <c r="G33" s="140">
        <v>8.7360000000000007</v>
      </c>
      <c r="H33" s="141">
        <v>8.66529304029304E-2</v>
      </c>
      <c r="I33" s="141">
        <v>0.32577838827838829</v>
      </c>
      <c r="J33" s="141">
        <v>0.41243131868131866</v>
      </c>
      <c r="K33" s="4">
        <v>49</v>
      </c>
      <c r="L33" s="139">
        <v>0.8</v>
      </c>
      <c r="M33" s="140">
        <v>10.818</v>
      </c>
      <c r="N33" s="140">
        <v>0.61599999999999999</v>
      </c>
      <c r="O33" s="140">
        <v>0.61599999999999999</v>
      </c>
      <c r="P33" s="140">
        <v>11.306999999999999</v>
      </c>
      <c r="Q33" s="141">
        <v>7.075263111346955E-2</v>
      </c>
      <c r="R33" s="141">
        <v>5.4479525957371544E-2</v>
      </c>
      <c r="S33" s="141">
        <v>0.12523215707084109</v>
      </c>
      <c r="T33" s="4">
        <v>49</v>
      </c>
      <c r="U33" s="142">
        <v>0.77849999999999997</v>
      </c>
      <c r="V33" s="142">
        <v>10.1555</v>
      </c>
      <c r="W33" s="142">
        <v>1.7310000000000001</v>
      </c>
      <c r="X33" s="142">
        <v>1.7310000000000001</v>
      </c>
      <c r="Y33" s="142">
        <v>10.0215</v>
      </c>
      <c r="Z33" s="247">
        <v>7.8702780758199975E-2</v>
      </c>
      <c r="AA33" s="247">
        <v>0.19012895711787992</v>
      </c>
      <c r="AB33" s="247">
        <v>0.26883173787607989</v>
      </c>
    </row>
    <row r="34" spans="2:28">
      <c r="B34" s="4">
        <v>50</v>
      </c>
      <c r="C34" s="140">
        <v>0.73099999999999998</v>
      </c>
      <c r="D34" s="140">
        <v>9.7520000000000007</v>
      </c>
      <c r="E34" s="140">
        <v>2.9180000000000001</v>
      </c>
      <c r="F34" s="140">
        <v>2.9180000000000001</v>
      </c>
      <c r="G34" s="140">
        <v>9.0210000000000008</v>
      </c>
      <c r="H34" s="141">
        <v>8.1033144884159178E-2</v>
      </c>
      <c r="I34" s="141">
        <v>0.32346746480434541</v>
      </c>
      <c r="J34" s="141">
        <v>0.4045006096885046</v>
      </c>
      <c r="K34" s="4">
        <v>50</v>
      </c>
      <c r="L34" s="139">
        <v>0.76300000000000001</v>
      </c>
      <c r="M34" s="140">
        <v>11.092000000000001</v>
      </c>
      <c r="N34" s="140">
        <v>0.624</v>
      </c>
      <c r="O34" s="140">
        <v>0.624</v>
      </c>
      <c r="P34" s="140">
        <v>11.587</v>
      </c>
      <c r="Q34" s="141">
        <v>6.5849659100716329E-2</v>
      </c>
      <c r="R34" s="141">
        <v>5.3853456459825665E-2</v>
      </c>
      <c r="S34" s="141">
        <v>0.119703115560542</v>
      </c>
      <c r="T34" s="4">
        <v>50</v>
      </c>
      <c r="U34" s="142">
        <v>0.747</v>
      </c>
      <c r="V34" s="142">
        <v>10.422000000000001</v>
      </c>
      <c r="W34" s="142">
        <v>1.7710000000000001</v>
      </c>
      <c r="X34" s="142">
        <v>1.7710000000000001</v>
      </c>
      <c r="Y34" s="142">
        <v>10.304</v>
      </c>
      <c r="Z34" s="247">
        <v>7.344140199243776E-2</v>
      </c>
      <c r="AA34" s="247">
        <v>0.18866046063208552</v>
      </c>
      <c r="AB34" s="247">
        <v>0.26210186262452329</v>
      </c>
    </row>
    <row r="35" spans="2:28">
      <c r="B35" s="4">
        <v>51</v>
      </c>
      <c r="C35" s="140">
        <v>0.69799999999999995</v>
      </c>
      <c r="D35" s="140">
        <v>10.019</v>
      </c>
      <c r="E35" s="140">
        <v>2.9870000000000001</v>
      </c>
      <c r="F35" s="140">
        <v>2.9870000000000001</v>
      </c>
      <c r="G35" s="140">
        <v>9.3209999999999997</v>
      </c>
      <c r="H35" s="141">
        <v>7.4884669026928433E-2</v>
      </c>
      <c r="I35" s="141">
        <v>0.32045917819976399</v>
      </c>
      <c r="J35" s="141">
        <v>0.39534384722669241</v>
      </c>
      <c r="K35" s="4">
        <v>51</v>
      </c>
      <c r="L35" s="139">
        <v>0.72199999999999998</v>
      </c>
      <c r="M35" s="140">
        <v>11.374000000000001</v>
      </c>
      <c r="N35" s="140">
        <v>0.63100000000000001</v>
      </c>
      <c r="O35" s="140">
        <v>0.63100000000000001</v>
      </c>
      <c r="P35" s="140">
        <v>11.872</v>
      </c>
      <c r="Q35" s="141">
        <v>6.0815363881401616E-2</v>
      </c>
      <c r="R35" s="141">
        <v>5.3150269541778976E-2</v>
      </c>
      <c r="S35" s="141">
        <v>0.11396563342318058</v>
      </c>
      <c r="T35" s="4">
        <v>51</v>
      </c>
      <c r="U35" s="142">
        <v>0.71</v>
      </c>
      <c r="V35" s="142">
        <v>10.6965</v>
      </c>
      <c r="W35" s="142">
        <v>1.8090000000000002</v>
      </c>
      <c r="X35" s="142">
        <v>1.8090000000000002</v>
      </c>
      <c r="Y35" s="142">
        <v>10.596499999999999</v>
      </c>
      <c r="Z35" s="247">
        <v>6.7850016454165024E-2</v>
      </c>
      <c r="AA35" s="247">
        <v>0.18680472387077149</v>
      </c>
      <c r="AB35" s="247">
        <v>0.25465474032493651</v>
      </c>
    </row>
    <row r="36" spans="2:28">
      <c r="B36" s="4">
        <v>52</v>
      </c>
      <c r="C36" s="140">
        <v>0.66</v>
      </c>
      <c r="D36" s="140">
        <v>10.294</v>
      </c>
      <c r="E36" s="140">
        <v>3.0539999999999998</v>
      </c>
      <c r="F36" s="140">
        <v>3.0539999999999998</v>
      </c>
      <c r="G36" s="140">
        <v>9.6340000000000003</v>
      </c>
      <c r="H36" s="141">
        <v>6.8507369732198467E-2</v>
      </c>
      <c r="I36" s="141">
        <v>0.31700228357899102</v>
      </c>
      <c r="J36" s="141">
        <v>0.38550965331118947</v>
      </c>
      <c r="K36" s="4">
        <v>52</v>
      </c>
      <c r="L36" s="139">
        <v>0.67500000000000004</v>
      </c>
      <c r="M36" s="140">
        <v>11.662000000000001</v>
      </c>
      <c r="N36" s="140">
        <v>0.63600000000000001</v>
      </c>
      <c r="O36" s="140">
        <v>0.63600000000000001</v>
      </c>
      <c r="P36" s="140">
        <v>12.163</v>
      </c>
      <c r="Q36" s="141">
        <v>5.5496176930033711E-2</v>
      </c>
      <c r="R36" s="141">
        <v>5.228973115185398E-2</v>
      </c>
      <c r="S36" s="141">
        <v>0.10778590808188769</v>
      </c>
      <c r="T36" s="4">
        <v>52</v>
      </c>
      <c r="U36" s="142">
        <v>0.66749999999999998</v>
      </c>
      <c r="V36" s="142">
        <v>10.978000000000002</v>
      </c>
      <c r="W36" s="142">
        <v>1.845</v>
      </c>
      <c r="X36" s="142">
        <v>1.845</v>
      </c>
      <c r="Y36" s="142">
        <v>10.8985</v>
      </c>
      <c r="Z36" s="247">
        <v>6.2001773331116089E-2</v>
      </c>
      <c r="AA36" s="247">
        <v>0.1846460073654225</v>
      </c>
      <c r="AB36" s="247">
        <v>0.24664778069653859</v>
      </c>
    </row>
    <row r="37" spans="2:28">
      <c r="B37" s="4">
        <v>53</v>
      </c>
      <c r="C37" s="140">
        <v>0.61699999999999999</v>
      </c>
      <c r="D37" s="140">
        <v>10.577</v>
      </c>
      <c r="E37" s="140">
        <v>3.1179999999999999</v>
      </c>
      <c r="F37" s="140">
        <v>3.1179999999999999</v>
      </c>
      <c r="G37" s="140">
        <v>9.9600000000000009</v>
      </c>
      <c r="H37" s="141">
        <v>6.1947791164658629E-2</v>
      </c>
      <c r="I37" s="141">
        <v>0.31305220883534135</v>
      </c>
      <c r="J37" s="141">
        <v>0.375</v>
      </c>
      <c r="K37" s="4">
        <v>53</v>
      </c>
      <c r="L37" s="139">
        <v>0.622</v>
      </c>
      <c r="M37" s="140">
        <v>11.958</v>
      </c>
      <c r="N37" s="140">
        <v>0.64</v>
      </c>
      <c r="O37" s="140">
        <v>0.64</v>
      </c>
      <c r="P37" s="140">
        <v>12.459</v>
      </c>
      <c r="Q37" s="141">
        <v>4.9923749899670924E-2</v>
      </c>
      <c r="R37" s="141">
        <v>5.136848864274822E-2</v>
      </c>
      <c r="S37" s="141">
        <v>0.10129223854241914</v>
      </c>
      <c r="T37" s="4">
        <v>53</v>
      </c>
      <c r="U37" s="142">
        <v>0.61949999999999994</v>
      </c>
      <c r="V37" s="142">
        <v>11.2675</v>
      </c>
      <c r="W37" s="142">
        <v>1.879</v>
      </c>
      <c r="X37" s="142">
        <v>1.879</v>
      </c>
      <c r="Y37" s="142">
        <v>11.2095</v>
      </c>
      <c r="Z37" s="247">
        <v>5.593577053216478E-2</v>
      </c>
      <c r="AA37" s="247">
        <v>0.18221034873904479</v>
      </c>
      <c r="AB37" s="247">
        <v>0.23814611927120957</v>
      </c>
    </row>
    <row r="38" spans="2:28">
      <c r="B38" s="4">
        <v>54</v>
      </c>
      <c r="C38" s="140">
        <v>0.56599999999999995</v>
      </c>
      <c r="D38" s="140">
        <v>10.869</v>
      </c>
      <c r="E38" s="140">
        <v>3.1789999999999998</v>
      </c>
      <c r="F38" s="140">
        <v>3.1789999999999998</v>
      </c>
      <c r="G38" s="140">
        <v>10.302999999999999</v>
      </c>
      <c r="H38" s="141">
        <v>5.4935455692516739E-2</v>
      </c>
      <c r="I38" s="141">
        <v>0.30855090750266911</v>
      </c>
      <c r="J38" s="141">
        <v>0.36348636319518585</v>
      </c>
      <c r="K38" s="4">
        <v>54</v>
      </c>
      <c r="L38" s="139">
        <v>0.56299999999999994</v>
      </c>
      <c r="M38" s="140">
        <v>12.260999999999999</v>
      </c>
      <c r="N38" s="140">
        <v>0.64300000000000002</v>
      </c>
      <c r="O38" s="140">
        <v>0.64300000000000002</v>
      </c>
      <c r="P38" s="140">
        <v>12.760999999999999</v>
      </c>
      <c r="Q38" s="141">
        <v>4.41187994671264E-2</v>
      </c>
      <c r="R38" s="141">
        <v>5.0387900634746498E-2</v>
      </c>
      <c r="S38" s="141">
        <v>9.4506700101872898E-2</v>
      </c>
      <c r="T38" s="4">
        <v>54</v>
      </c>
      <c r="U38" s="142">
        <v>0.5645</v>
      </c>
      <c r="V38" s="142">
        <v>11.565</v>
      </c>
      <c r="W38" s="142">
        <v>1.911</v>
      </c>
      <c r="X38" s="142">
        <v>1.911</v>
      </c>
      <c r="Y38" s="142">
        <v>11.532</v>
      </c>
      <c r="Z38" s="247">
        <v>4.952712757982157E-2</v>
      </c>
      <c r="AA38" s="247">
        <v>0.17946940406870782</v>
      </c>
      <c r="AB38" s="247">
        <v>0.22899653164852937</v>
      </c>
    </row>
    <row r="39" spans="2:28">
      <c r="B39" s="4">
        <v>55</v>
      </c>
      <c r="C39" s="140">
        <v>0.50900000000000001</v>
      </c>
      <c r="D39" s="140">
        <v>11.17</v>
      </c>
      <c r="E39" s="140">
        <v>3.2370000000000001</v>
      </c>
      <c r="F39" s="140">
        <v>3.2370000000000001</v>
      </c>
      <c r="G39" s="140">
        <v>10.661</v>
      </c>
      <c r="H39" s="141">
        <v>4.7744114060594693E-2</v>
      </c>
      <c r="I39" s="141">
        <v>0.30363005346590377</v>
      </c>
      <c r="J39" s="141">
        <v>0.35137416752649847</v>
      </c>
      <c r="K39" s="4">
        <v>55</v>
      </c>
      <c r="L39" s="139">
        <v>0.497</v>
      </c>
      <c r="M39" s="140">
        <v>12.571</v>
      </c>
      <c r="N39" s="140">
        <v>0.64400000000000002</v>
      </c>
      <c r="O39" s="140">
        <v>0.64400000000000002</v>
      </c>
      <c r="P39" s="140">
        <v>13.07</v>
      </c>
      <c r="Q39" s="141">
        <v>3.8026013771996936E-2</v>
      </c>
      <c r="R39" s="141">
        <v>4.9273144605967864E-2</v>
      </c>
      <c r="S39" s="141">
        <v>8.72991583779648E-2</v>
      </c>
      <c r="T39" s="4">
        <v>55</v>
      </c>
      <c r="U39" s="142">
        <v>0.503</v>
      </c>
      <c r="V39" s="142">
        <v>11.8705</v>
      </c>
      <c r="W39" s="142">
        <v>1.9405000000000001</v>
      </c>
      <c r="X39" s="142">
        <v>1.9405000000000001</v>
      </c>
      <c r="Y39" s="142">
        <v>11.865500000000001</v>
      </c>
      <c r="Z39" s="247">
        <v>4.2885063916295818E-2</v>
      </c>
      <c r="AA39" s="247">
        <v>0.17645159903593582</v>
      </c>
      <c r="AB39" s="247">
        <v>0.21933666295223164</v>
      </c>
    </row>
    <row r="40" spans="2:28">
      <c r="B40" s="4">
        <v>56</v>
      </c>
      <c r="C40" s="140">
        <v>0.44500000000000001</v>
      </c>
      <c r="D40" s="140">
        <v>11.481</v>
      </c>
      <c r="E40" s="140">
        <v>3.294</v>
      </c>
      <c r="F40" s="140">
        <v>3.294</v>
      </c>
      <c r="G40" s="140">
        <v>11.036</v>
      </c>
      <c r="H40" s="141">
        <v>4.0322580645161289E-2</v>
      </c>
      <c r="I40" s="141">
        <v>0.2984777093149692</v>
      </c>
      <c r="J40" s="141">
        <v>0.33880028996013051</v>
      </c>
      <c r="K40" s="4">
        <v>56</v>
      </c>
      <c r="L40" s="139">
        <v>0.42599999999999999</v>
      </c>
      <c r="M40" s="140">
        <v>12.89</v>
      </c>
      <c r="N40" s="140">
        <v>0.64500000000000002</v>
      </c>
      <c r="O40" s="140">
        <v>0.64500000000000002</v>
      </c>
      <c r="P40" s="140">
        <v>13.385</v>
      </c>
      <c r="Q40" s="141">
        <v>3.1826671647366453E-2</v>
      </c>
      <c r="R40" s="141">
        <v>4.8188270451998506E-2</v>
      </c>
      <c r="S40" s="141">
        <v>8.0014942099364966E-2</v>
      </c>
      <c r="T40" s="4">
        <v>56</v>
      </c>
      <c r="U40" s="142">
        <v>0.4355</v>
      </c>
      <c r="V40" s="142">
        <v>12.185500000000001</v>
      </c>
      <c r="W40" s="142">
        <v>1.9695</v>
      </c>
      <c r="X40" s="142">
        <v>1.9695</v>
      </c>
      <c r="Y40" s="142">
        <v>12.2105</v>
      </c>
      <c r="Z40" s="247">
        <v>3.6074626146263875E-2</v>
      </c>
      <c r="AA40" s="247">
        <v>0.17333298988348386</v>
      </c>
      <c r="AB40" s="247">
        <v>0.20940761602974772</v>
      </c>
    </row>
    <row r="41" spans="2:28">
      <c r="B41" s="4">
        <v>57</v>
      </c>
      <c r="C41" s="140">
        <v>0.376</v>
      </c>
      <c r="D41" s="140">
        <v>11.802</v>
      </c>
      <c r="E41" s="140">
        <v>3.3479999999999999</v>
      </c>
      <c r="F41" s="140">
        <v>3.3479999999999999</v>
      </c>
      <c r="G41" s="140">
        <v>11.426</v>
      </c>
      <c r="H41" s="141">
        <v>3.2907404165937335E-2</v>
      </c>
      <c r="I41" s="141">
        <v>0.29301592858393138</v>
      </c>
      <c r="J41" s="141">
        <v>0.32592333274986873</v>
      </c>
      <c r="K41" s="4">
        <v>57</v>
      </c>
      <c r="L41" s="139">
        <v>0.35</v>
      </c>
      <c r="M41" s="140">
        <v>13.218999999999999</v>
      </c>
      <c r="N41" s="140">
        <v>0.64400000000000002</v>
      </c>
      <c r="O41" s="140">
        <v>0.64400000000000002</v>
      </c>
      <c r="P41" s="140">
        <v>13.709999999999999</v>
      </c>
      <c r="Q41" s="141">
        <v>2.5528811086797956E-2</v>
      </c>
      <c r="R41" s="141">
        <v>4.6973012399708247E-2</v>
      </c>
      <c r="S41" s="141">
        <v>7.2501823486506203E-2</v>
      </c>
      <c r="T41" s="4">
        <v>57</v>
      </c>
      <c r="U41" s="142">
        <v>0.36299999999999999</v>
      </c>
      <c r="V41" s="142">
        <v>12.5105</v>
      </c>
      <c r="W41" s="142">
        <v>1.996</v>
      </c>
      <c r="X41" s="142">
        <v>1.996</v>
      </c>
      <c r="Y41" s="142">
        <v>12.568</v>
      </c>
      <c r="Z41" s="247">
        <v>2.9218107626367645E-2</v>
      </c>
      <c r="AA41" s="247">
        <v>0.16999447049181982</v>
      </c>
      <c r="AB41" s="247">
        <v>0.19921257811818746</v>
      </c>
    </row>
    <row r="42" spans="2:28">
      <c r="B42" s="4">
        <v>58</v>
      </c>
      <c r="C42" s="140">
        <v>0.30299999999999999</v>
      </c>
      <c r="D42" s="140">
        <v>12.135</v>
      </c>
      <c r="E42" s="140">
        <v>3.403</v>
      </c>
      <c r="F42" s="140">
        <v>3.403</v>
      </c>
      <c r="G42" s="140">
        <v>11.831999999999999</v>
      </c>
      <c r="H42" s="141">
        <v>2.5608519269776878E-2</v>
      </c>
      <c r="I42" s="141">
        <v>0.28760987153482087</v>
      </c>
      <c r="J42" s="141">
        <v>0.31321839080459773</v>
      </c>
      <c r="K42" s="4">
        <v>58</v>
      </c>
      <c r="L42" s="139">
        <v>0.27400000000000002</v>
      </c>
      <c r="M42" s="140">
        <v>13.561</v>
      </c>
      <c r="N42" s="140">
        <v>0.64200000000000002</v>
      </c>
      <c r="O42" s="140">
        <v>0.64200000000000002</v>
      </c>
      <c r="P42" s="140">
        <v>14.047000000000001</v>
      </c>
      <c r="Q42" s="141">
        <v>1.9505944329750124E-2</v>
      </c>
      <c r="R42" s="141">
        <v>4.5703708977005764E-2</v>
      </c>
      <c r="S42" s="141">
        <v>6.5209653306755891E-2</v>
      </c>
      <c r="T42" s="4">
        <v>58</v>
      </c>
      <c r="U42" s="142">
        <v>0.28849999999999998</v>
      </c>
      <c r="V42" s="142">
        <v>12.847999999999999</v>
      </c>
      <c r="W42" s="142">
        <v>2.0225</v>
      </c>
      <c r="X42" s="142">
        <v>2.0225</v>
      </c>
      <c r="Y42" s="142">
        <v>12.939499999999999</v>
      </c>
      <c r="Z42" s="247">
        <v>2.2557231799763502E-2</v>
      </c>
      <c r="AA42" s="247">
        <v>0.16665679025591332</v>
      </c>
      <c r="AB42" s="247">
        <v>0.18921402205567681</v>
      </c>
    </row>
    <row r="43" spans="2:28">
      <c r="B43" s="4">
        <v>59</v>
      </c>
      <c r="C43" s="140">
        <v>0.23</v>
      </c>
      <c r="D43" s="140">
        <v>12.483000000000001</v>
      </c>
      <c r="E43" s="140">
        <v>3.4580000000000002</v>
      </c>
      <c r="F43" s="140">
        <v>3.4580000000000002</v>
      </c>
      <c r="G43" s="140">
        <v>12.253</v>
      </c>
      <c r="H43" s="141">
        <v>1.8770913245735737E-2</v>
      </c>
      <c r="I43" s="141">
        <v>0.28221660001632254</v>
      </c>
      <c r="J43" s="141">
        <v>0.3009875132620583</v>
      </c>
      <c r="K43" s="4">
        <v>59</v>
      </c>
      <c r="L43" s="139">
        <v>0.2</v>
      </c>
      <c r="M43" s="140">
        <v>13.92</v>
      </c>
      <c r="N43" s="140">
        <v>0.64</v>
      </c>
      <c r="O43" s="140">
        <v>0.64</v>
      </c>
      <c r="P43" s="140">
        <v>14.4</v>
      </c>
      <c r="Q43" s="141">
        <v>1.388888888888889E-2</v>
      </c>
      <c r="R43" s="141">
        <v>4.4444444444444446E-2</v>
      </c>
      <c r="S43" s="141">
        <v>5.8333333333333334E-2</v>
      </c>
      <c r="T43" s="4">
        <v>59</v>
      </c>
      <c r="U43" s="142">
        <v>0.21500000000000002</v>
      </c>
      <c r="V43" s="142">
        <v>13.201499999999999</v>
      </c>
      <c r="W43" s="142">
        <v>2.0489999999999999</v>
      </c>
      <c r="X43" s="142">
        <v>2.0489999999999999</v>
      </c>
      <c r="Y43" s="142">
        <v>13.326499999999999</v>
      </c>
      <c r="Z43" s="247">
        <v>1.6329901067312313E-2</v>
      </c>
      <c r="AA43" s="247">
        <v>0.1633305222303835</v>
      </c>
      <c r="AB43" s="247">
        <v>0.17966042329769583</v>
      </c>
    </row>
    <row r="44" spans="2:28">
      <c r="B44" s="4">
        <v>60</v>
      </c>
      <c r="C44" s="140">
        <v>0.16300000000000001</v>
      </c>
      <c r="D44" s="140">
        <v>12.851000000000001</v>
      </c>
      <c r="E44" s="140">
        <v>3.5139999999999998</v>
      </c>
      <c r="F44" s="140">
        <v>3.5139999999999998</v>
      </c>
      <c r="G44" s="140">
        <v>12.688000000000001</v>
      </c>
      <c r="H44" s="141">
        <v>1.2846784363177806E-2</v>
      </c>
      <c r="I44" s="141">
        <v>0.27695460277427486</v>
      </c>
      <c r="J44" s="141">
        <v>0.28980138713745268</v>
      </c>
      <c r="K44" s="4">
        <v>60</v>
      </c>
      <c r="L44" s="139">
        <v>0.13500000000000001</v>
      </c>
      <c r="M44" s="140">
        <v>14.303000000000001</v>
      </c>
      <c r="N44" s="140">
        <v>0.63800000000000001</v>
      </c>
      <c r="O44" s="140">
        <v>0.63800000000000001</v>
      </c>
      <c r="P44" s="140">
        <v>14.777000000000001</v>
      </c>
      <c r="Q44" s="141">
        <v>9.1358191784530005E-3</v>
      </c>
      <c r="R44" s="141">
        <v>4.3175204710022327E-2</v>
      </c>
      <c r="S44" s="141">
        <v>5.2311023888475326E-2</v>
      </c>
      <c r="T44" s="4">
        <v>60</v>
      </c>
      <c r="U44" s="142">
        <v>0.14900000000000002</v>
      </c>
      <c r="V44" s="142">
        <v>13.577000000000002</v>
      </c>
      <c r="W44" s="142">
        <v>2.0760000000000001</v>
      </c>
      <c r="X44" s="142">
        <v>2.0760000000000001</v>
      </c>
      <c r="Y44" s="142">
        <v>13.732500000000002</v>
      </c>
      <c r="Z44" s="247">
        <v>1.0991301770815403E-2</v>
      </c>
      <c r="AA44" s="247">
        <v>0.1600649037421486</v>
      </c>
      <c r="AB44" s="247">
        <v>0.17105620551296399</v>
      </c>
    </row>
    <row r="45" spans="2:28">
      <c r="B45" s="4">
        <v>61</v>
      </c>
      <c r="C45" s="140">
        <v>0.105</v>
      </c>
      <c r="D45" s="140">
        <v>13.243</v>
      </c>
      <c r="E45" s="140">
        <v>3.573</v>
      </c>
      <c r="F45" s="140">
        <v>3.573</v>
      </c>
      <c r="G45" s="140">
        <v>13.138</v>
      </c>
      <c r="H45" s="141">
        <v>7.9920840310549555E-3</v>
      </c>
      <c r="I45" s="141">
        <v>0.27195920231389864</v>
      </c>
      <c r="J45" s="141">
        <v>0.27995128634495359</v>
      </c>
      <c r="K45" s="4">
        <v>61</v>
      </c>
      <c r="L45" s="139">
        <v>8.3000000000000004E-2</v>
      </c>
      <c r="M45" s="140">
        <v>14.712</v>
      </c>
      <c r="N45" s="140">
        <v>0.63600000000000001</v>
      </c>
      <c r="O45" s="140">
        <v>0.63600000000000001</v>
      </c>
      <c r="P45" s="140">
        <v>15.18</v>
      </c>
      <c r="Q45" s="141">
        <v>5.4677206851119903E-3</v>
      </c>
      <c r="R45" s="141">
        <v>4.1897233201581029E-2</v>
      </c>
      <c r="S45" s="141">
        <v>4.7364953886693019E-2</v>
      </c>
      <c r="T45" s="4">
        <v>61</v>
      </c>
      <c r="U45" s="142">
        <v>9.4E-2</v>
      </c>
      <c r="V45" s="142">
        <v>13.977499999999999</v>
      </c>
      <c r="W45" s="142">
        <v>2.1044999999999998</v>
      </c>
      <c r="X45" s="142">
        <v>2.1044999999999998</v>
      </c>
      <c r="Y45" s="142">
        <v>14.158999999999999</v>
      </c>
      <c r="Z45" s="247">
        <v>6.7299023580834729E-3</v>
      </c>
      <c r="AA45" s="247">
        <v>0.15692821775773982</v>
      </c>
      <c r="AB45" s="247">
        <v>0.16365812011582331</v>
      </c>
    </row>
    <row r="46" spans="2:28">
      <c r="B46" s="4">
        <v>62</v>
      </c>
      <c r="C46" s="140">
        <v>0.06</v>
      </c>
      <c r="D46" s="140">
        <v>13.663</v>
      </c>
      <c r="E46" s="140">
        <v>3.617</v>
      </c>
      <c r="F46" s="140">
        <v>3.617</v>
      </c>
      <c r="G46" s="140">
        <v>13.603</v>
      </c>
      <c r="H46" s="141">
        <v>4.4107917371168127E-3</v>
      </c>
      <c r="I46" s="141">
        <v>0.26589722855252518</v>
      </c>
      <c r="J46" s="141">
        <v>0.27030802028964201</v>
      </c>
      <c r="K46" s="4">
        <v>62</v>
      </c>
      <c r="L46" s="139">
        <v>4.4999999999999998E-2</v>
      </c>
      <c r="M46" s="140">
        <v>15.151999999999999</v>
      </c>
      <c r="N46" s="140">
        <v>0.63200000000000001</v>
      </c>
      <c r="O46" s="140">
        <v>0.63200000000000001</v>
      </c>
      <c r="P46" s="140">
        <v>15.612</v>
      </c>
      <c r="Q46" s="141">
        <v>2.8823981552651805E-3</v>
      </c>
      <c r="R46" s="141">
        <v>4.0481680758390981E-2</v>
      </c>
      <c r="S46" s="141">
        <v>4.3364078913656165E-2</v>
      </c>
      <c r="T46" s="4">
        <v>62</v>
      </c>
      <c r="U46" s="142">
        <v>5.2499999999999998E-2</v>
      </c>
      <c r="V46" s="142">
        <v>14.407499999999999</v>
      </c>
      <c r="W46" s="142">
        <v>2.1244999999999998</v>
      </c>
      <c r="X46" s="142">
        <v>2.1244999999999998</v>
      </c>
      <c r="Y46" s="142">
        <v>14.6075</v>
      </c>
      <c r="Z46" s="247">
        <v>3.6465949461909966E-3</v>
      </c>
      <c r="AA46" s="247">
        <v>0.15318945465545808</v>
      </c>
      <c r="AB46" s="247">
        <v>0.1568360496016491</v>
      </c>
    </row>
    <row r="47" spans="2:28">
      <c r="B47" s="4">
        <v>63</v>
      </c>
      <c r="C47" s="140">
        <v>2.8000000000000001E-2</v>
      </c>
      <c r="D47" s="140">
        <v>14.113</v>
      </c>
      <c r="E47" s="140">
        <v>3.661</v>
      </c>
      <c r="F47" s="140">
        <v>3.661</v>
      </c>
      <c r="G47" s="140">
        <v>14.084999999999999</v>
      </c>
      <c r="H47" s="141">
        <v>1.987930422435215E-3</v>
      </c>
      <c r="I47" s="141">
        <v>0.25992190273340438</v>
      </c>
      <c r="J47" s="141">
        <v>0.2619098331558396</v>
      </c>
      <c r="K47" s="4">
        <v>63</v>
      </c>
      <c r="L47" s="139">
        <v>0.02</v>
      </c>
      <c r="M47" s="140">
        <v>15.624000000000001</v>
      </c>
      <c r="N47" s="140">
        <v>0.627</v>
      </c>
      <c r="O47" s="140">
        <v>0.627</v>
      </c>
      <c r="P47" s="140">
        <v>16.074000000000002</v>
      </c>
      <c r="Q47" s="141">
        <v>1.2442453651860146E-3</v>
      </c>
      <c r="R47" s="141">
        <v>3.9007092198581554E-2</v>
      </c>
      <c r="S47" s="141">
        <v>4.0251337563767565E-2</v>
      </c>
      <c r="T47" s="4">
        <v>63</v>
      </c>
      <c r="U47" s="142">
        <v>2.4E-2</v>
      </c>
      <c r="V47" s="142">
        <v>14.868500000000001</v>
      </c>
      <c r="W47" s="142">
        <v>2.1440000000000001</v>
      </c>
      <c r="X47" s="142">
        <v>2.1440000000000001</v>
      </c>
      <c r="Y47" s="142">
        <v>15.079499999999999</v>
      </c>
      <c r="Z47" s="247">
        <v>1.6160878938106149E-3</v>
      </c>
      <c r="AA47" s="247">
        <v>0.14946449746599297</v>
      </c>
      <c r="AB47" s="247">
        <v>0.15108058535980359</v>
      </c>
    </row>
    <row r="48" spans="2:28">
      <c r="B48" s="4">
        <v>64</v>
      </c>
      <c r="C48" s="140">
        <v>0.01</v>
      </c>
      <c r="D48" s="140">
        <v>14.596</v>
      </c>
      <c r="E48" s="140">
        <v>3.7040000000000002</v>
      </c>
      <c r="F48" s="140">
        <v>3.7040000000000002</v>
      </c>
      <c r="G48" s="140">
        <v>14.586</v>
      </c>
      <c r="H48" s="141">
        <v>6.8558892088303855E-4</v>
      </c>
      <c r="I48" s="141">
        <v>0.2539421362950775</v>
      </c>
      <c r="J48" s="141">
        <v>0.25462772521596055</v>
      </c>
      <c r="K48" s="4">
        <v>64</v>
      </c>
      <c r="L48" s="139">
        <v>7.0000000000000001E-3</v>
      </c>
      <c r="M48" s="140">
        <v>16.126999999999999</v>
      </c>
      <c r="N48" s="140">
        <v>0.62</v>
      </c>
      <c r="O48" s="140">
        <v>0.62</v>
      </c>
      <c r="P48" s="140">
        <v>16.567</v>
      </c>
      <c r="Q48" s="141">
        <v>4.2252670972415043E-4</v>
      </c>
      <c r="R48" s="141">
        <v>3.7423794289853325E-2</v>
      </c>
      <c r="S48" s="141">
        <v>3.7846320999577479E-2</v>
      </c>
      <c r="T48" s="4">
        <v>64</v>
      </c>
      <c r="U48" s="142">
        <v>8.5000000000000006E-3</v>
      </c>
      <c r="V48" s="142">
        <v>15.361499999999999</v>
      </c>
      <c r="W48" s="142">
        <v>2.1619999999999999</v>
      </c>
      <c r="X48" s="142">
        <v>2.1619999999999999</v>
      </c>
      <c r="Y48" s="142">
        <v>15.576499999999999</v>
      </c>
      <c r="Z48" s="247">
        <v>5.5405781530359455E-4</v>
      </c>
      <c r="AA48" s="247">
        <v>0.14568296529246541</v>
      </c>
      <c r="AB48" s="247">
        <v>0.14623702310776901</v>
      </c>
    </row>
    <row r="49" spans="2:28">
      <c r="B49" s="4">
        <v>65</v>
      </c>
      <c r="C49" s="140">
        <v>2E-3</v>
      </c>
      <c r="D49" s="140">
        <v>15.112</v>
      </c>
      <c r="E49" s="140">
        <v>3.7429999999999999</v>
      </c>
      <c r="F49" s="140">
        <v>3.7429999999999999</v>
      </c>
      <c r="G49" s="140">
        <v>15.11</v>
      </c>
      <c r="H49" s="141">
        <v>1.3236267372600927E-4</v>
      </c>
      <c r="I49" s="141">
        <v>0.24771674387822634</v>
      </c>
      <c r="J49" s="141">
        <v>0.24784910655195236</v>
      </c>
      <c r="K49" s="4">
        <v>65</v>
      </c>
      <c r="L49" s="139">
        <v>1E-3</v>
      </c>
      <c r="M49" s="140">
        <v>16.658000000000001</v>
      </c>
      <c r="N49" s="140">
        <v>0.61299999999999999</v>
      </c>
      <c r="O49" s="140">
        <v>0.61299999999999999</v>
      </c>
      <c r="P49" s="140">
        <v>17.087000000000003</v>
      </c>
      <c r="Q49" s="141">
        <v>5.8524024111897921E-5</v>
      </c>
      <c r="R49" s="141">
        <v>3.5875226780593426E-2</v>
      </c>
      <c r="S49" s="141">
        <v>3.5933750804705324E-2</v>
      </c>
      <c r="T49" s="4">
        <v>65</v>
      </c>
      <c r="U49" s="142">
        <v>1.5E-3</v>
      </c>
      <c r="V49" s="142">
        <v>15.885000000000002</v>
      </c>
      <c r="W49" s="142">
        <v>2.1779999999999999</v>
      </c>
      <c r="X49" s="142">
        <v>2.1779999999999999</v>
      </c>
      <c r="Y49" s="142">
        <v>16.098500000000001</v>
      </c>
      <c r="Z49" s="247">
        <v>9.5443348918953599E-5</v>
      </c>
      <c r="AA49" s="247">
        <v>0.14179598532940987</v>
      </c>
      <c r="AB49" s="247">
        <v>0.14189142867832885</v>
      </c>
    </row>
    <row r="50" spans="2:28" s="34" customFormat="1">
      <c r="B50" s="1417">
        <v>66</v>
      </c>
      <c r="C50" s="1418">
        <v>0</v>
      </c>
      <c r="D50" s="1418">
        <v>15.661</v>
      </c>
      <c r="E50" s="1418">
        <v>3.6739999999999999</v>
      </c>
      <c r="F50" s="1418">
        <v>3.6739999999999999</v>
      </c>
      <c r="G50" s="140">
        <v>15.661</v>
      </c>
      <c r="H50" s="141">
        <v>0</v>
      </c>
      <c r="I50" s="141">
        <v>0.23459549198646318</v>
      </c>
      <c r="J50" s="141">
        <v>0.23459549198646318</v>
      </c>
      <c r="K50" s="1417">
        <v>66</v>
      </c>
      <c r="L50" s="2065">
        <v>0</v>
      </c>
      <c r="M50" s="1418">
        <v>17.216999999999999</v>
      </c>
      <c r="N50" s="1418">
        <v>0.60399999999999998</v>
      </c>
      <c r="O50" s="140">
        <v>0.60399999999999998</v>
      </c>
      <c r="P50" s="1418">
        <v>17.634</v>
      </c>
      <c r="Q50" s="141">
        <v>0</v>
      </c>
      <c r="R50" s="141">
        <v>3.4252013156402403E-2</v>
      </c>
      <c r="S50" s="141">
        <v>3.4252013156402403E-2</v>
      </c>
      <c r="T50" s="1417">
        <v>66</v>
      </c>
      <c r="U50" s="142">
        <v>0</v>
      </c>
      <c r="V50" s="142">
        <v>16.439</v>
      </c>
      <c r="W50" s="142">
        <v>2.1389999999999998</v>
      </c>
      <c r="X50" s="142">
        <v>2.1389999999999998</v>
      </c>
      <c r="Y50" s="142">
        <v>16.647500000000001</v>
      </c>
      <c r="Z50" s="247">
        <v>0</v>
      </c>
      <c r="AA50" s="247">
        <v>0.1344237525714328</v>
      </c>
      <c r="AB50" s="247">
        <v>0.1344237525714328</v>
      </c>
    </row>
    <row r="51" spans="2:28">
      <c r="B51" s="4">
        <v>67</v>
      </c>
      <c r="C51" s="140">
        <v>0</v>
      </c>
      <c r="D51" s="140">
        <v>15.260999999999999</v>
      </c>
      <c r="E51" s="140">
        <v>3.6779999999999999</v>
      </c>
      <c r="F51" s="140">
        <v>3.6779999999999999</v>
      </c>
      <c r="G51" s="140">
        <v>15.260999999999999</v>
      </c>
      <c r="H51" s="141">
        <v>0</v>
      </c>
      <c r="I51" s="141">
        <v>0.24100648712404169</v>
      </c>
      <c r="J51" s="141">
        <v>0.24100648712404169</v>
      </c>
      <c r="K51" s="4">
        <v>67</v>
      </c>
      <c r="L51" s="140">
        <v>0</v>
      </c>
      <c r="M51" s="140">
        <v>16.803000000000001</v>
      </c>
      <c r="N51" s="140">
        <v>0.58599999999999997</v>
      </c>
      <c r="O51" s="140">
        <v>0.58599999999999997</v>
      </c>
      <c r="P51" s="140">
        <v>17.477</v>
      </c>
      <c r="Q51" s="141">
        <v>0</v>
      </c>
      <c r="R51" s="141">
        <v>3.3529781999198947E-2</v>
      </c>
      <c r="S51" s="141">
        <v>3.3529781999198947E-2</v>
      </c>
      <c r="T51" s="4">
        <v>67</v>
      </c>
      <c r="U51" s="142">
        <v>0</v>
      </c>
      <c r="V51" s="142">
        <v>16.032</v>
      </c>
      <c r="W51" s="142">
        <v>2.1320000000000001</v>
      </c>
      <c r="X51" s="142">
        <v>2.1320000000000001</v>
      </c>
      <c r="Y51" s="142">
        <v>16.369</v>
      </c>
      <c r="Z51" s="247">
        <v>0</v>
      </c>
      <c r="AA51" s="247">
        <v>0.13726813456162032</v>
      </c>
      <c r="AB51" s="247">
        <v>0.13726813456162032</v>
      </c>
    </row>
    <row r="52" spans="2:28">
      <c r="B52" s="4">
        <v>68</v>
      </c>
      <c r="C52" s="140">
        <v>0</v>
      </c>
      <c r="D52" s="140">
        <v>14.851000000000001</v>
      </c>
      <c r="E52" s="140">
        <v>3.68</v>
      </c>
      <c r="F52" s="140">
        <v>3.68</v>
      </c>
      <c r="G52" s="140">
        <v>14.851000000000001</v>
      </c>
      <c r="H52" s="141">
        <v>0</v>
      </c>
      <c r="I52" s="141">
        <v>0.24779476129553565</v>
      </c>
      <c r="J52" s="141">
        <v>0.24779476129553565</v>
      </c>
      <c r="K52" s="4">
        <v>68</v>
      </c>
      <c r="L52" s="140">
        <v>0</v>
      </c>
      <c r="M52" s="140">
        <v>16.378</v>
      </c>
      <c r="N52" s="140">
        <v>0.56699999999999995</v>
      </c>
      <c r="O52" s="140">
        <v>0.56699999999999995</v>
      </c>
      <c r="P52" s="140">
        <v>17.039000000000001</v>
      </c>
      <c r="Q52" s="141">
        <v>0</v>
      </c>
      <c r="R52" s="141">
        <v>3.3276600739480008E-2</v>
      </c>
      <c r="S52" s="141">
        <v>3.3276600739480008E-2</v>
      </c>
      <c r="T52" s="4">
        <v>68</v>
      </c>
      <c r="U52" s="142">
        <v>0</v>
      </c>
      <c r="V52" s="142">
        <v>15.6145</v>
      </c>
      <c r="W52" s="142">
        <v>2.1234999999999999</v>
      </c>
      <c r="X52" s="142">
        <v>2.1234999999999999</v>
      </c>
      <c r="Y52" s="142">
        <v>15.945</v>
      </c>
      <c r="Z52" s="247">
        <v>0</v>
      </c>
      <c r="AA52" s="247">
        <v>0.14053568101750782</v>
      </c>
      <c r="AB52" s="247">
        <v>0.14053568101750782</v>
      </c>
    </row>
    <row r="53" spans="2:28">
      <c r="B53" s="4">
        <v>69</v>
      </c>
      <c r="C53" s="140">
        <v>0</v>
      </c>
      <c r="D53" s="140">
        <v>14.432</v>
      </c>
      <c r="E53" s="140">
        <v>3.681</v>
      </c>
      <c r="F53" s="140">
        <v>3.681</v>
      </c>
      <c r="G53" s="140">
        <v>14.432</v>
      </c>
      <c r="H53" s="141">
        <v>0</v>
      </c>
      <c r="I53" s="141">
        <v>0.25505820399113083</v>
      </c>
      <c r="J53" s="141">
        <v>0.25505820399113083</v>
      </c>
      <c r="K53" s="4">
        <v>69</v>
      </c>
      <c r="L53" s="140">
        <v>0</v>
      </c>
      <c r="M53" s="140">
        <v>15.94</v>
      </c>
      <c r="N53" s="140">
        <v>0.54900000000000004</v>
      </c>
      <c r="O53" s="140">
        <v>0.54900000000000004</v>
      </c>
      <c r="P53" s="140">
        <v>16.588999999999999</v>
      </c>
      <c r="Q53" s="141">
        <v>0</v>
      </c>
      <c r="R53" s="141">
        <v>3.3094219060823445E-2</v>
      </c>
      <c r="S53" s="141">
        <v>3.3094219060823445E-2</v>
      </c>
      <c r="T53" s="4">
        <v>69</v>
      </c>
      <c r="U53" s="142">
        <v>0</v>
      </c>
      <c r="V53" s="142">
        <v>15.186</v>
      </c>
      <c r="W53" s="142">
        <v>2.1150000000000002</v>
      </c>
      <c r="X53" s="142">
        <v>2.1150000000000002</v>
      </c>
      <c r="Y53" s="142">
        <v>15.5105</v>
      </c>
      <c r="Z53" s="247">
        <v>0</v>
      </c>
      <c r="AA53" s="247">
        <v>0.14407621152597713</v>
      </c>
      <c r="AB53" s="247">
        <v>0.14407621152597713</v>
      </c>
    </row>
    <row r="54" spans="2:28">
      <c r="B54" s="4">
        <v>70</v>
      </c>
      <c r="C54" s="140">
        <v>0</v>
      </c>
      <c r="D54" s="140">
        <v>14.002000000000001</v>
      </c>
      <c r="E54" s="140">
        <v>3.6789999999999998</v>
      </c>
      <c r="F54" s="140">
        <v>3.6789999999999998</v>
      </c>
      <c r="G54" s="140">
        <v>14.002000000000001</v>
      </c>
      <c r="H54" s="141">
        <v>0</v>
      </c>
      <c r="I54" s="141">
        <v>0.26274817883159546</v>
      </c>
      <c r="J54" s="141">
        <v>0.26274817883159546</v>
      </c>
      <c r="K54" s="4">
        <v>70</v>
      </c>
      <c r="L54" s="140">
        <v>0</v>
      </c>
      <c r="M54" s="140">
        <v>15.49</v>
      </c>
      <c r="N54" s="140">
        <v>0.53</v>
      </c>
      <c r="O54" s="140">
        <v>0.53</v>
      </c>
      <c r="P54" s="140">
        <v>16.125</v>
      </c>
      <c r="Q54" s="141">
        <v>0</v>
      </c>
      <c r="R54" s="141">
        <v>3.2868217054263571E-2</v>
      </c>
      <c r="S54" s="141">
        <v>3.2868217054263571E-2</v>
      </c>
      <c r="T54" s="4">
        <v>70</v>
      </c>
      <c r="U54" s="142">
        <v>0</v>
      </c>
      <c r="V54" s="142">
        <v>14.746</v>
      </c>
      <c r="W54" s="142">
        <v>2.1044999999999998</v>
      </c>
      <c r="X54" s="142">
        <v>2.1044999999999998</v>
      </c>
      <c r="Y54" s="142">
        <v>15.063500000000001</v>
      </c>
      <c r="Z54" s="247">
        <v>0</v>
      </c>
      <c r="AA54" s="247">
        <v>0.14780819794292951</v>
      </c>
      <c r="AB54" s="247">
        <v>0.14780819794292951</v>
      </c>
    </row>
    <row r="55" spans="2:28">
      <c r="B55" s="4">
        <v>71</v>
      </c>
      <c r="C55" s="140">
        <v>0</v>
      </c>
      <c r="D55" s="140">
        <v>13.561999999999999</v>
      </c>
      <c r="E55" s="140">
        <v>3.6749999999999998</v>
      </c>
      <c r="F55" s="140">
        <v>3.6749999999999998</v>
      </c>
      <c r="G55" s="140">
        <v>13.561999999999999</v>
      </c>
      <c r="H55" s="141">
        <v>0</v>
      </c>
      <c r="I55" s="141">
        <v>0.27097773189795016</v>
      </c>
      <c r="J55" s="141">
        <v>0.27097773189795016</v>
      </c>
      <c r="K55" s="4">
        <v>71</v>
      </c>
      <c r="L55" s="140">
        <v>0</v>
      </c>
      <c r="M55" s="140">
        <v>15.026</v>
      </c>
      <c r="N55" s="140">
        <v>0.51</v>
      </c>
      <c r="O55" s="140">
        <v>0.51</v>
      </c>
      <c r="P55" s="140">
        <v>15.649000000000001</v>
      </c>
      <c r="Q55" s="141">
        <v>0</v>
      </c>
      <c r="R55" s="141">
        <v>3.2589941849319445E-2</v>
      </c>
      <c r="S55" s="141">
        <v>3.2589941849319445E-2</v>
      </c>
      <c r="T55" s="4">
        <v>71</v>
      </c>
      <c r="U55" s="142">
        <v>0</v>
      </c>
      <c r="V55" s="142">
        <v>14.294</v>
      </c>
      <c r="W55" s="142">
        <v>2.0924999999999998</v>
      </c>
      <c r="X55" s="142">
        <v>2.0924999999999998</v>
      </c>
      <c r="Y55" s="142">
        <v>14.605499999999999</v>
      </c>
      <c r="Z55" s="247">
        <v>0</v>
      </c>
      <c r="AA55" s="247">
        <v>0.15178383687363481</v>
      </c>
      <c r="AB55" s="247">
        <v>0.15178383687363481</v>
      </c>
    </row>
    <row r="56" spans="2:28">
      <c r="B56" s="4">
        <v>72</v>
      </c>
      <c r="C56" s="140">
        <v>0</v>
      </c>
      <c r="D56" s="140">
        <v>13.111000000000001</v>
      </c>
      <c r="E56" s="140">
        <v>3.669</v>
      </c>
      <c r="F56" s="140">
        <v>3.669</v>
      </c>
      <c r="G56" s="140">
        <v>13.111000000000001</v>
      </c>
      <c r="H56" s="141">
        <v>0</v>
      </c>
      <c r="I56" s="141">
        <v>0.27984135458775072</v>
      </c>
      <c r="J56" s="141">
        <v>0.27984135458775072</v>
      </c>
      <c r="K56" s="4">
        <v>72</v>
      </c>
      <c r="L56" s="140">
        <v>0</v>
      </c>
      <c r="M56" s="140">
        <v>14.55</v>
      </c>
      <c r="N56" s="140">
        <v>0.49099999999999999</v>
      </c>
      <c r="O56" s="140">
        <v>0.49099999999999999</v>
      </c>
      <c r="P56" s="140">
        <v>15.158999999999999</v>
      </c>
      <c r="Q56" s="141">
        <v>0</v>
      </c>
      <c r="R56" s="141">
        <v>3.2389999340325881E-2</v>
      </c>
      <c r="S56" s="141">
        <v>3.2389999340325881E-2</v>
      </c>
      <c r="T56" s="4">
        <v>72</v>
      </c>
      <c r="U56" s="142">
        <v>0</v>
      </c>
      <c r="V56" s="142">
        <v>13.830500000000001</v>
      </c>
      <c r="W56" s="142">
        <v>2.08</v>
      </c>
      <c r="X56" s="142">
        <v>2.08</v>
      </c>
      <c r="Y56" s="142">
        <v>14.135</v>
      </c>
      <c r="Z56" s="247">
        <v>0</v>
      </c>
      <c r="AA56" s="247">
        <v>0.1561156769640383</v>
      </c>
      <c r="AB56" s="247">
        <v>0.1561156769640383</v>
      </c>
    </row>
    <row r="57" spans="2:28">
      <c r="B57" s="4">
        <v>73</v>
      </c>
      <c r="C57" s="140">
        <v>0</v>
      </c>
      <c r="D57" s="140">
        <v>12.65</v>
      </c>
      <c r="E57" s="140">
        <v>3.6669999999999998</v>
      </c>
      <c r="F57" s="140">
        <v>3.6669999999999998</v>
      </c>
      <c r="G57" s="140">
        <v>12.65</v>
      </c>
      <c r="H57" s="141">
        <v>0</v>
      </c>
      <c r="I57" s="141">
        <v>0.28988142292490116</v>
      </c>
      <c r="J57" s="141">
        <v>0.28988142292490116</v>
      </c>
      <c r="K57" s="4">
        <v>73</v>
      </c>
      <c r="L57" s="140">
        <v>0</v>
      </c>
      <c r="M57" s="140">
        <v>14.061999999999999</v>
      </c>
      <c r="N57" s="140">
        <v>0.47199999999999998</v>
      </c>
      <c r="O57" s="140">
        <v>0.47199999999999998</v>
      </c>
      <c r="P57" s="140">
        <v>14.657</v>
      </c>
      <c r="Q57" s="141">
        <v>0</v>
      </c>
      <c r="R57" s="141">
        <v>3.2203042914648289E-2</v>
      </c>
      <c r="S57" s="141">
        <v>3.2203042914648289E-2</v>
      </c>
      <c r="T57" s="4">
        <v>73</v>
      </c>
      <c r="U57" s="142">
        <v>0</v>
      </c>
      <c r="V57" s="142">
        <v>13.356</v>
      </c>
      <c r="W57" s="142">
        <v>2.0694999999999997</v>
      </c>
      <c r="X57" s="142">
        <v>2.0694999999999997</v>
      </c>
      <c r="Y57" s="142">
        <v>13.653500000000001</v>
      </c>
      <c r="Z57" s="247">
        <v>0</v>
      </c>
      <c r="AA57" s="247">
        <v>0.16104223291977471</v>
      </c>
      <c r="AB57" s="247">
        <v>0.16104223291977471</v>
      </c>
    </row>
    <row r="58" spans="2:28">
      <c r="B58" s="4">
        <v>74</v>
      </c>
      <c r="C58" s="140">
        <v>0</v>
      </c>
      <c r="D58" s="140">
        <v>12.18</v>
      </c>
      <c r="E58" s="140">
        <v>3.6619999999999999</v>
      </c>
      <c r="F58" s="140">
        <v>3.6619999999999999</v>
      </c>
      <c r="G58" s="140">
        <v>12.18</v>
      </c>
      <c r="H58" s="141">
        <v>0</v>
      </c>
      <c r="I58" s="141">
        <v>0.30065681444991788</v>
      </c>
      <c r="J58" s="141">
        <v>0.30065681444991788</v>
      </c>
      <c r="K58" s="4">
        <v>74</v>
      </c>
      <c r="L58" s="140">
        <v>0</v>
      </c>
      <c r="M58" s="140">
        <v>13.561999999999999</v>
      </c>
      <c r="N58" s="140">
        <v>0.45300000000000001</v>
      </c>
      <c r="O58" s="140">
        <v>0.45300000000000001</v>
      </c>
      <c r="P58" s="140">
        <v>14.145</v>
      </c>
      <c r="Q58" s="141">
        <v>0</v>
      </c>
      <c r="R58" s="141">
        <v>3.2025450689289504E-2</v>
      </c>
      <c r="S58" s="141">
        <v>3.2025450689289504E-2</v>
      </c>
      <c r="T58" s="4">
        <v>74</v>
      </c>
      <c r="U58" s="142">
        <v>0</v>
      </c>
      <c r="V58" s="142">
        <v>12.870999999999999</v>
      </c>
      <c r="W58" s="142">
        <v>2.0575000000000001</v>
      </c>
      <c r="X58" s="142">
        <v>2.0575000000000001</v>
      </c>
      <c r="Y58" s="142">
        <v>13.1625</v>
      </c>
      <c r="Z58" s="247">
        <v>0</v>
      </c>
      <c r="AA58" s="247">
        <v>0.1663411325696037</v>
      </c>
      <c r="AB58" s="247">
        <v>0.1663411325696037</v>
      </c>
    </row>
    <row r="59" spans="2:28">
      <c r="B59" s="4">
        <v>75</v>
      </c>
      <c r="C59" s="140">
        <v>0</v>
      </c>
      <c r="D59" s="140">
        <v>11.701000000000001</v>
      </c>
      <c r="E59" s="140">
        <v>3.6549999999999998</v>
      </c>
      <c r="F59" s="140">
        <v>3.6549999999999998</v>
      </c>
      <c r="G59" s="140">
        <v>11.701000000000001</v>
      </c>
      <c r="H59" s="141">
        <v>0</v>
      </c>
      <c r="I59" s="141">
        <v>0.31236646440475169</v>
      </c>
      <c r="J59" s="141">
        <v>0.31236646440475169</v>
      </c>
      <c r="K59" s="4">
        <v>75</v>
      </c>
      <c r="L59" s="140">
        <v>0</v>
      </c>
      <c r="M59" s="140">
        <v>13.051</v>
      </c>
      <c r="N59" s="140">
        <v>0.434</v>
      </c>
      <c r="O59" s="140">
        <v>0.434</v>
      </c>
      <c r="P59" s="140">
        <v>13.622</v>
      </c>
      <c r="Q59" s="141">
        <v>0</v>
      </c>
      <c r="R59" s="141">
        <v>3.1860226104830421E-2</v>
      </c>
      <c r="S59" s="141">
        <v>3.1860226104830421E-2</v>
      </c>
      <c r="T59" s="4">
        <v>75</v>
      </c>
      <c r="U59" s="142">
        <v>0</v>
      </c>
      <c r="V59" s="142">
        <v>12.376000000000001</v>
      </c>
      <c r="W59" s="142">
        <v>2.0444999999999998</v>
      </c>
      <c r="X59" s="142">
        <v>2.0444999999999998</v>
      </c>
      <c r="Y59" s="142">
        <v>12.6615</v>
      </c>
      <c r="Z59" s="247">
        <v>0</v>
      </c>
      <c r="AA59" s="247">
        <v>0.17211334525479105</v>
      </c>
      <c r="AB59" s="247">
        <v>0.17211334525479105</v>
      </c>
    </row>
    <row r="60" spans="2:28">
      <c r="B60" s="4">
        <v>76</v>
      </c>
      <c r="C60" s="140">
        <v>0</v>
      </c>
      <c r="D60" s="140">
        <v>11.215</v>
      </c>
      <c r="E60" s="140">
        <v>3.6429999999999998</v>
      </c>
      <c r="F60" s="140">
        <v>3.6429999999999998</v>
      </c>
      <c r="G60" s="140">
        <v>11.215</v>
      </c>
      <c r="H60" s="141">
        <v>0</v>
      </c>
      <c r="I60" s="141">
        <v>0.32483281319661167</v>
      </c>
      <c r="J60" s="141">
        <v>0.32483281319661167</v>
      </c>
      <c r="K60" s="4">
        <v>76</v>
      </c>
      <c r="L60" s="140">
        <v>0</v>
      </c>
      <c r="M60" s="140">
        <v>12.531000000000001</v>
      </c>
      <c r="N60" s="140">
        <v>0.41399999999999998</v>
      </c>
      <c r="O60" s="140">
        <v>0.41399999999999998</v>
      </c>
      <c r="P60" s="140">
        <v>13.09</v>
      </c>
      <c r="Q60" s="141">
        <v>0</v>
      </c>
      <c r="R60" s="141">
        <v>3.1627196333078686E-2</v>
      </c>
      <c r="S60" s="141">
        <v>3.1627196333078686E-2</v>
      </c>
      <c r="T60" s="4">
        <v>76</v>
      </c>
      <c r="U60" s="142">
        <v>0</v>
      </c>
      <c r="V60" s="142">
        <v>11.873000000000001</v>
      </c>
      <c r="W60" s="142">
        <v>2.0284999999999997</v>
      </c>
      <c r="X60" s="142">
        <v>2.0284999999999997</v>
      </c>
      <c r="Y60" s="142">
        <v>12.1525</v>
      </c>
      <c r="Z60" s="247">
        <v>0</v>
      </c>
      <c r="AA60" s="247">
        <v>0.17823000476484518</v>
      </c>
      <c r="AB60" s="247">
        <v>0.17823000476484518</v>
      </c>
    </row>
    <row r="61" spans="2:28">
      <c r="B61" s="4">
        <v>77</v>
      </c>
      <c r="C61" s="140">
        <v>0</v>
      </c>
      <c r="D61" s="140">
        <v>10.724</v>
      </c>
      <c r="E61" s="140">
        <v>3.625</v>
      </c>
      <c r="F61" s="140">
        <v>3.625</v>
      </c>
      <c r="G61" s="140">
        <v>10.724</v>
      </c>
      <c r="H61" s="141">
        <v>0</v>
      </c>
      <c r="I61" s="141">
        <v>0.33802685565087653</v>
      </c>
      <c r="J61" s="141">
        <v>0.33802685565087653</v>
      </c>
      <c r="K61" s="4">
        <v>77</v>
      </c>
      <c r="L61" s="140">
        <v>0</v>
      </c>
      <c r="M61" s="140">
        <v>12.003</v>
      </c>
      <c r="N61" s="140">
        <v>0.39300000000000002</v>
      </c>
      <c r="O61" s="140">
        <v>0.39300000000000002</v>
      </c>
      <c r="P61" s="140">
        <v>12.547000000000001</v>
      </c>
      <c r="Q61" s="141">
        <v>0</v>
      </c>
      <c r="R61" s="141">
        <v>3.1322228421136529E-2</v>
      </c>
      <c r="S61" s="141">
        <v>3.1322228421136529E-2</v>
      </c>
      <c r="T61" s="4">
        <v>77</v>
      </c>
      <c r="U61" s="142">
        <v>0</v>
      </c>
      <c r="V61" s="142">
        <v>11.3635</v>
      </c>
      <c r="W61" s="142">
        <v>2.0089999999999999</v>
      </c>
      <c r="X61" s="142">
        <v>2.0089999999999999</v>
      </c>
      <c r="Y61" s="142">
        <v>11.6355</v>
      </c>
      <c r="Z61" s="247">
        <v>0</v>
      </c>
      <c r="AA61" s="247">
        <v>0.18467454203600653</v>
      </c>
      <c r="AB61" s="247">
        <v>0.18467454203600653</v>
      </c>
    </row>
    <row r="62" spans="2:28">
      <c r="B62" s="4">
        <v>78</v>
      </c>
      <c r="C62" s="140">
        <v>0</v>
      </c>
      <c r="D62" s="140">
        <v>10.228999999999999</v>
      </c>
      <c r="E62" s="140">
        <v>3.601</v>
      </c>
      <c r="F62" s="140">
        <v>3.601</v>
      </c>
      <c r="G62" s="140">
        <v>10.228999999999999</v>
      </c>
      <c r="H62" s="141">
        <v>0</v>
      </c>
      <c r="I62" s="141">
        <v>0.35203832241665856</v>
      </c>
      <c r="J62" s="141">
        <v>0.35203832241665856</v>
      </c>
      <c r="K62" s="4">
        <v>78</v>
      </c>
      <c r="L62" s="140">
        <v>0</v>
      </c>
      <c r="M62" s="140">
        <v>11.47</v>
      </c>
      <c r="N62" s="140">
        <v>0.371</v>
      </c>
      <c r="O62" s="140">
        <v>0.371</v>
      </c>
      <c r="P62" s="140">
        <v>11.999000000000001</v>
      </c>
      <c r="Q62" s="141">
        <v>0</v>
      </c>
      <c r="R62" s="141">
        <v>3.0919243270272522E-2</v>
      </c>
      <c r="S62" s="141">
        <v>3.0919243270272522E-2</v>
      </c>
      <c r="T62" s="4">
        <v>78</v>
      </c>
      <c r="U62" s="142">
        <v>0</v>
      </c>
      <c r="V62" s="142">
        <v>10.849499999999999</v>
      </c>
      <c r="W62" s="142">
        <v>1.986</v>
      </c>
      <c r="X62" s="142">
        <v>1.986</v>
      </c>
      <c r="Y62" s="142">
        <v>11.114000000000001</v>
      </c>
      <c r="Z62" s="247">
        <v>0</v>
      </c>
      <c r="AA62" s="247">
        <v>0.19147878284346553</v>
      </c>
      <c r="AB62" s="247">
        <v>0.19147878284346553</v>
      </c>
    </row>
    <row r="63" spans="2:28">
      <c r="B63" s="4">
        <v>79</v>
      </c>
      <c r="C63" s="140">
        <v>0</v>
      </c>
      <c r="D63" s="140">
        <v>9.7330000000000005</v>
      </c>
      <c r="E63" s="140">
        <v>3.57</v>
      </c>
      <c r="F63" s="140">
        <v>3.57</v>
      </c>
      <c r="G63" s="140">
        <v>9.7330000000000005</v>
      </c>
      <c r="H63" s="141">
        <v>0</v>
      </c>
      <c r="I63" s="141">
        <v>0.36679338333504569</v>
      </c>
      <c r="J63" s="141">
        <v>0.36679338333504569</v>
      </c>
      <c r="K63" s="4">
        <v>79</v>
      </c>
      <c r="L63" s="140">
        <v>0</v>
      </c>
      <c r="M63" s="140">
        <v>10.932</v>
      </c>
      <c r="N63" s="140">
        <v>0.34899999999999998</v>
      </c>
      <c r="O63" s="140">
        <v>0.34899999999999998</v>
      </c>
      <c r="P63" s="140">
        <v>11.444999999999999</v>
      </c>
      <c r="Q63" s="141">
        <v>0</v>
      </c>
      <c r="R63" s="141">
        <v>3.0493665356050678E-2</v>
      </c>
      <c r="S63" s="141">
        <v>3.0493665356050678E-2</v>
      </c>
      <c r="T63" s="4">
        <v>79</v>
      </c>
      <c r="U63" s="142">
        <v>0</v>
      </c>
      <c r="V63" s="142">
        <v>10.3325</v>
      </c>
      <c r="W63" s="142">
        <v>1.9594999999999998</v>
      </c>
      <c r="X63" s="142">
        <v>1.9594999999999998</v>
      </c>
      <c r="Y63" s="142">
        <v>10.588999999999999</v>
      </c>
      <c r="Z63" s="247">
        <v>0</v>
      </c>
      <c r="AA63" s="247">
        <v>0.19864352434554819</v>
      </c>
      <c r="AB63" s="247">
        <v>0.19864352434554819</v>
      </c>
    </row>
    <row r="64" spans="2:28">
      <c r="B64" s="4">
        <v>80</v>
      </c>
      <c r="C64" s="140">
        <v>0</v>
      </c>
      <c r="D64" s="140">
        <v>9.2379999999999995</v>
      </c>
      <c r="E64" s="140">
        <v>3.5310000000000001</v>
      </c>
      <c r="F64" s="140">
        <v>3.5310000000000001</v>
      </c>
      <c r="G64" s="140">
        <v>9.2379999999999995</v>
      </c>
      <c r="H64" s="141">
        <v>0</v>
      </c>
      <c r="I64" s="141">
        <v>0.38222558995453565</v>
      </c>
      <c r="J64" s="141">
        <v>0.38222558995453565</v>
      </c>
      <c r="K64" s="4">
        <v>80</v>
      </c>
      <c r="L64" s="140">
        <v>0</v>
      </c>
      <c r="M64" s="140">
        <v>10.391999999999999</v>
      </c>
      <c r="N64" s="140">
        <v>0.32700000000000001</v>
      </c>
      <c r="O64" s="140">
        <v>0.32700000000000001</v>
      </c>
      <c r="P64" s="140">
        <v>10.888</v>
      </c>
      <c r="Q64" s="141">
        <v>0</v>
      </c>
      <c r="R64" s="141">
        <v>3.0033063923585599E-2</v>
      </c>
      <c r="S64" s="141">
        <v>3.0033063923585599E-2</v>
      </c>
      <c r="T64" s="4">
        <v>80</v>
      </c>
      <c r="U64" s="142">
        <v>0</v>
      </c>
      <c r="V64" s="142">
        <v>9.8149999999999995</v>
      </c>
      <c r="W64" s="142">
        <v>1.929</v>
      </c>
      <c r="X64" s="142">
        <v>1.929</v>
      </c>
      <c r="Y64" s="142">
        <v>10.062999999999999</v>
      </c>
      <c r="Z64" s="247">
        <v>0</v>
      </c>
      <c r="AA64" s="247">
        <v>0.20612932693906064</v>
      </c>
      <c r="AB64" s="247">
        <v>0.20612932693906064</v>
      </c>
    </row>
    <row r="65" spans="2:28">
      <c r="B65" s="4">
        <v>81</v>
      </c>
      <c r="C65" s="140">
        <v>0</v>
      </c>
      <c r="D65" s="140">
        <v>8.7469999999999999</v>
      </c>
      <c r="E65" s="140">
        <v>3.4820000000000002</v>
      </c>
      <c r="F65" s="140">
        <v>3.4820000000000002</v>
      </c>
      <c r="G65" s="140">
        <v>8.7469999999999999</v>
      </c>
      <c r="H65" s="141">
        <v>0</v>
      </c>
      <c r="I65" s="141">
        <v>0.39807934148851037</v>
      </c>
      <c r="J65" s="141">
        <v>0.39807934148851037</v>
      </c>
      <c r="K65" s="4">
        <v>81</v>
      </c>
      <c r="L65" s="140">
        <v>0</v>
      </c>
      <c r="M65" s="140">
        <v>9.8529999999999998</v>
      </c>
      <c r="N65" s="140">
        <v>0.30399999999999999</v>
      </c>
      <c r="O65" s="140">
        <v>0.30399999999999999</v>
      </c>
      <c r="P65" s="140">
        <v>10.331999999999999</v>
      </c>
      <c r="Q65" s="141">
        <v>0</v>
      </c>
      <c r="R65" s="141">
        <v>2.942315137437089E-2</v>
      </c>
      <c r="S65" s="141">
        <v>2.942315137437089E-2</v>
      </c>
      <c r="T65" s="4">
        <v>81</v>
      </c>
      <c r="U65" s="142">
        <v>0</v>
      </c>
      <c r="V65" s="142">
        <v>9.3000000000000007</v>
      </c>
      <c r="W65" s="142">
        <v>1.893</v>
      </c>
      <c r="X65" s="142">
        <v>1.893</v>
      </c>
      <c r="Y65" s="142">
        <v>9.5395000000000003</v>
      </c>
      <c r="Z65" s="247">
        <v>0</v>
      </c>
      <c r="AA65" s="247">
        <v>0.21375124643144064</v>
      </c>
      <c r="AB65" s="247">
        <v>0.21375124643144064</v>
      </c>
    </row>
    <row r="66" spans="2:28">
      <c r="B66" s="4">
        <v>82</v>
      </c>
      <c r="C66" s="140">
        <v>0</v>
      </c>
      <c r="D66" s="140">
        <v>8.2629999999999999</v>
      </c>
      <c r="E66" s="140">
        <v>3.4089999999999998</v>
      </c>
      <c r="F66" s="140">
        <v>3.4089999999999998</v>
      </c>
      <c r="G66" s="140">
        <v>8.2629999999999999</v>
      </c>
      <c r="H66" s="141">
        <v>0</v>
      </c>
      <c r="I66" s="141">
        <v>0.41256202347815563</v>
      </c>
      <c r="J66" s="141">
        <v>0.41256202347815563</v>
      </c>
      <c r="K66" s="4">
        <v>82</v>
      </c>
      <c r="L66" s="140">
        <v>0</v>
      </c>
      <c r="M66" s="140">
        <v>9.3179999999999996</v>
      </c>
      <c r="N66" s="140">
        <v>0.28100000000000003</v>
      </c>
      <c r="O66" s="140">
        <v>0.28100000000000003</v>
      </c>
      <c r="P66" s="140">
        <v>9.777000000000001</v>
      </c>
      <c r="Q66" s="141">
        <v>0</v>
      </c>
      <c r="R66" s="141">
        <v>2.8740922573386521E-2</v>
      </c>
      <c r="S66" s="141">
        <v>2.8740922573386521E-2</v>
      </c>
      <c r="T66" s="4">
        <v>82</v>
      </c>
      <c r="U66" s="142">
        <v>0</v>
      </c>
      <c r="V66" s="142">
        <v>8.7904999999999998</v>
      </c>
      <c r="W66" s="142">
        <v>1.845</v>
      </c>
      <c r="X66" s="142">
        <v>1.845</v>
      </c>
      <c r="Y66" s="142">
        <v>9.02</v>
      </c>
      <c r="Z66" s="247">
        <v>0</v>
      </c>
      <c r="AA66" s="247">
        <v>0.22065147302577107</v>
      </c>
      <c r="AB66" s="247">
        <v>0.22065147302577107</v>
      </c>
    </row>
    <row r="67" spans="2:28">
      <c r="B67" s="4">
        <v>83</v>
      </c>
      <c r="C67" s="140">
        <v>0</v>
      </c>
      <c r="D67" s="140">
        <v>7.7880000000000003</v>
      </c>
      <c r="E67" s="140">
        <v>3.3220000000000001</v>
      </c>
      <c r="F67" s="140">
        <v>3.3220000000000001</v>
      </c>
      <c r="G67" s="140">
        <v>7.7880000000000003</v>
      </c>
      <c r="H67" s="141">
        <v>0</v>
      </c>
      <c r="I67" s="141">
        <v>0.42655367231638419</v>
      </c>
      <c r="J67" s="141">
        <v>0.42655367231638419</v>
      </c>
      <c r="K67" s="4">
        <v>83</v>
      </c>
      <c r="L67" s="140">
        <v>0</v>
      </c>
      <c r="M67" s="140">
        <v>8.7889999999999997</v>
      </c>
      <c r="N67" s="140">
        <v>0.25800000000000001</v>
      </c>
      <c r="O67" s="140">
        <v>0.25800000000000001</v>
      </c>
      <c r="P67" s="140">
        <v>9.2279999999999998</v>
      </c>
      <c r="Q67" s="141">
        <v>0</v>
      </c>
      <c r="R67" s="141">
        <v>2.7958387516254877E-2</v>
      </c>
      <c r="S67" s="141">
        <v>2.7958387516254877E-2</v>
      </c>
      <c r="T67" s="4">
        <v>83</v>
      </c>
      <c r="U67" s="142">
        <v>0</v>
      </c>
      <c r="V67" s="142">
        <v>8.2884999999999991</v>
      </c>
      <c r="W67" s="142">
        <v>1.79</v>
      </c>
      <c r="X67" s="142">
        <v>1.79</v>
      </c>
      <c r="Y67" s="142">
        <v>8.5079999999999991</v>
      </c>
      <c r="Z67" s="247">
        <v>0</v>
      </c>
      <c r="AA67" s="247">
        <v>0.22725602991631955</v>
      </c>
      <c r="AB67" s="247">
        <v>0.22725602991631955</v>
      </c>
    </row>
    <row r="68" spans="2:28">
      <c r="B68" s="4">
        <v>84</v>
      </c>
      <c r="C68" s="140">
        <v>0</v>
      </c>
      <c r="D68" s="140">
        <v>7.327</v>
      </c>
      <c r="E68" s="140">
        <v>3.2229999999999999</v>
      </c>
      <c r="F68" s="140">
        <v>3.2229999999999999</v>
      </c>
      <c r="G68" s="140">
        <v>7.327</v>
      </c>
      <c r="H68" s="141">
        <v>0</v>
      </c>
      <c r="I68" s="141">
        <v>0.43987989627405483</v>
      </c>
      <c r="J68" s="141">
        <v>0.43987989627405483</v>
      </c>
      <c r="K68" s="4">
        <v>84</v>
      </c>
      <c r="L68" s="140">
        <v>0</v>
      </c>
      <c r="M68" s="140">
        <v>8.2710000000000008</v>
      </c>
      <c r="N68" s="140">
        <v>0.23499999999999999</v>
      </c>
      <c r="O68" s="140">
        <v>0.23499999999999999</v>
      </c>
      <c r="P68" s="140">
        <v>8.6879999999999988</v>
      </c>
      <c r="Q68" s="141">
        <v>0</v>
      </c>
      <c r="R68" s="141">
        <v>2.7048802946593006E-2</v>
      </c>
      <c r="S68" s="141">
        <v>2.7048802946593006E-2</v>
      </c>
      <c r="T68" s="4">
        <v>84</v>
      </c>
      <c r="U68" s="142">
        <v>0</v>
      </c>
      <c r="V68" s="142">
        <v>7.7990000000000004</v>
      </c>
      <c r="W68" s="142">
        <v>1.7289999999999999</v>
      </c>
      <c r="X68" s="142">
        <v>1.7289999999999999</v>
      </c>
      <c r="Y68" s="142">
        <v>8.0075000000000003</v>
      </c>
      <c r="Z68" s="247">
        <v>0</v>
      </c>
      <c r="AA68" s="247">
        <v>0.23346434961032392</v>
      </c>
      <c r="AB68" s="247">
        <v>0.23346434961032392</v>
      </c>
    </row>
    <row r="69" spans="2:28">
      <c r="B69" s="4">
        <v>85</v>
      </c>
      <c r="C69" s="140">
        <v>0</v>
      </c>
      <c r="D69" s="140">
        <v>6.883</v>
      </c>
      <c r="E69" s="140">
        <v>3.1139999999999999</v>
      </c>
      <c r="F69" s="140">
        <v>3.1139999999999999</v>
      </c>
      <c r="G69" s="140">
        <v>6.883</v>
      </c>
      <c r="H69" s="141">
        <v>0</v>
      </c>
      <c r="I69" s="141">
        <v>0.45241900334156615</v>
      </c>
      <c r="J69" s="141">
        <v>0.45241900334156615</v>
      </c>
      <c r="K69" s="4">
        <v>85</v>
      </c>
      <c r="L69" s="140">
        <v>0</v>
      </c>
      <c r="M69" s="140">
        <v>7.7679999999999998</v>
      </c>
      <c r="N69" s="140">
        <v>0.21</v>
      </c>
      <c r="O69" s="140">
        <v>0.21</v>
      </c>
      <c r="P69" s="140">
        <v>8.1560000000000006</v>
      </c>
      <c r="Q69" s="141">
        <v>0</v>
      </c>
      <c r="R69" s="141">
        <v>2.5747915644923978E-2</v>
      </c>
      <c r="S69" s="141">
        <v>2.5747915644923978E-2</v>
      </c>
      <c r="T69" s="4">
        <v>85</v>
      </c>
      <c r="U69" s="142">
        <v>0</v>
      </c>
      <c r="V69" s="142">
        <v>7.3254999999999999</v>
      </c>
      <c r="W69" s="142">
        <v>1.6619999999999999</v>
      </c>
      <c r="X69" s="142">
        <v>1.6619999999999999</v>
      </c>
      <c r="Y69" s="142">
        <v>7.5195000000000007</v>
      </c>
      <c r="Z69" s="247">
        <v>0</v>
      </c>
      <c r="AA69" s="247">
        <v>0.23908345949324505</v>
      </c>
      <c r="AB69" s="247">
        <v>0.23908345949324505</v>
      </c>
    </row>
    <row r="70" spans="2:28">
      <c r="B70" s="4">
        <v>86</v>
      </c>
      <c r="C70" s="140">
        <v>0</v>
      </c>
      <c r="D70" s="140">
        <v>6.4619999999999997</v>
      </c>
      <c r="E70" s="140">
        <v>2.9969999999999999</v>
      </c>
      <c r="F70" s="140">
        <v>2.9969999999999999</v>
      </c>
      <c r="G70" s="140">
        <v>6.4619999999999997</v>
      </c>
      <c r="H70" s="141">
        <v>0</v>
      </c>
      <c r="I70" s="141">
        <v>0.46378830083565459</v>
      </c>
      <c r="J70" s="141">
        <v>0.46378830083565459</v>
      </c>
      <c r="K70" s="4">
        <v>86</v>
      </c>
      <c r="L70" s="140">
        <v>0</v>
      </c>
      <c r="M70" s="140">
        <v>7.2850000000000001</v>
      </c>
      <c r="N70" s="140">
        <v>0.186</v>
      </c>
      <c r="O70" s="140">
        <v>0.186</v>
      </c>
      <c r="P70" s="140">
        <v>7.6379999999999999</v>
      </c>
      <c r="Q70" s="141">
        <v>0</v>
      </c>
      <c r="R70" s="141">
        <v>2.4351924587588374E-2</v>
      </c>
      <c r="S70" s="141">
        <v>2.4351924587588374E-2</v>
      </c>
      <c r="T70" s="4">
        <v>86</v>
      </c>
      <c r="U70" s="142">
        <v>0</v>
      </c>
      <c r="V70" s="142">
        <v>6.8734999999999999</v>
      </c>
      <c r="W70" s="142">
        <v>1.5914999999999999</v>
      </c>
      <c r="X70" s="142">
        <v>1.5914999999999999</v>
      </c>
      <c r="Y70" s="142">
        <v>7.05</v>
      </c>
      <c r="Z70" s="247">
        <v>0</v>
      </c>
      <c r="AA70" s="247">
        <v>0.24407011271162149</v>
      </c>
      <c r="AB70" s="247">
        <v>0.24407011271162149</v>
      </c>
    </row>
    <row r="71" spans="2:28">
      <c r="B71" s="4">
        <v>87</v>
      </c>
      <c r="C71" s="140">
        <v>0</v>
      </c>
      <c r="D71" s="140">
        <v>6.069</v>
      </c>
      <c r="E71" s="140">
        <v>2.8730000000000002</v>
      </c>
      <c r="F71" s="140">
        <v>2.8730000000000002</v>
      </c>
      <c r="G71" s="140">
        <v>6.069</v>
      </c>
      <c r="H71" s="141">
        <v>0</v>
      </c>
      <c r="I71" s="141">
        <v>0.47338935574229696</v>
      </c>
      <c r="J71" s="141">
        <v>0.47338935574229696</v>
      </c>
      <c r="K71" s="4">
        <v>87</v>
      </c>
      <c r="L71" s="140">
        <v>0</v>
      </c>
      <c r="M71" s="140">
        <v>6.8259999999999996</v>
      </c>
      <c r="N71" s="140">
        <v>0.16200000000000001</v>
      </c>
      <c r="O71" s="140">
        <v>0.16200000000000001</v>
      </c>
      <c r="P71" s="140">
        <v>7.1390000000000002</v>
      </c>
      <c r="Q71" s="141">
        <v>0</v>
      </c>
      <c r="R71" s="141">
        <v>2.2692253817061213E-2</v>
      </c>
      <c r="S71" s="141">
        <v>2.2692253817061213E-2</v>
      </c>
      <c r="T71" s="4">
        <v>87</v>
      </c>
      <c r="U71" s="142">
        <v>0</v>
      </c>
      <c r="V71" s="142">
        <v>6.4474999999999998</v>
      </c>
      <c r="W71" s="142">
        <v>1.5175000000000001</v>
      </c>
      <c r="X71" s="142">
        <v>1.5175000000000001</v>
      </c>
      <c r="Y71" s="142">
        <v>6.6040000000000001</v>
      </c>
      <c r="Z71" s="247">
        <v>0</v>
      </c>
      <c r="AA71" s="247">
        <v>0.24804080477967907</v>
      </c>
      <c r="AB71" s="247">
        <v>0.24804080477967907</v>
      </c>
    </row>
    <row r="72" spans="2:28">
      <c r="B72" s="4">
        <v>88</v>
      </c>
      <c r="C72" s="140">
        <v>0</v>
      </c>
      <c r="D72" s="140">
        <v>5.7119999999999997</v>
      </c>
      <c r="E72" s="140">
        <v>2.7149999999999999</v>
      </c>
      <c r="F72" s="140">
        <v>2.7149999999999999</v>
      </c>
      <c r="G72" s="140">
        <v>5.7119999999999997</v>
      </c>
      <c r="H72" s="141">
        <v>0</v>
      </c>
      <c r="I72" s="141">
        <v>0.47531512605042014</v>
      </c>
      <c r="J72" s="141">
        <v>0.47531512605042014</v>
      </c>
      <c r="K72" s="4">
        <v>88</v>
      </c>
      <c r="L72" s="140">
        <v>0</v>
      </c>
      <c r="M72" s="140">
        <v>6.3979999999999997</v>
      </c>
      <c r="N72" s="140">
        <v>0.14000000000000001</v>
      </c>
      <c r="O72" s="140">
        <v>0.14000000000000001</v>
      </c>
      <c r="P72" s="140">
        <v>6.6609999999999996</v>
      </c>
      <c r="Q72" s="141">
        <v>0</v>
      </c>
      <c r="R72" s="141">
        <v>2.1017865185407599E-2</v>
      </c>
      <c r="S72" s="141">
        <v>2.1017865185407599E-2</v>
      </c>
      <c r="T72" s="4">
        <v>88</v>
      </c>
      <c r="U72" s="142">
        <v>0</v>
      </c>
      <c r="V72" s="142">
        <v>6.0549999999999997</v>
      </c>
      <c r="W72" s="142">
        <v>1.4275</v>
      </c>
      <c r="X72" s="142">
        <v>1.4275</v>
      </c>
      <c r="Y72" s="142">
        <v>6.1864999999999997</v>
      </c>
      <c r="Z72" s="247">
        <v>0</v>
      </c>
      <c r="AA72" s="247">
        <v>0.24816649561791387</v>
      </c>
      <c r="AB72" s="247">
        <v>0.24816649561791387</v>
      </c>
    </row>
    <row r="73" spans="2:28">
      <c r="B73" s="4">
        <v>89</v>
      </c>
      <c r="C73" s="140">
        <v>0</v>
      </c>
      <c r="D73" s="140">
        <v>5.3979999999999997</v>
      </c>
      <c r="E73" s="140">
        <v>2.5489999999999999</v>
      </c>
      <c r="F73" s="140">
        <v>2.5489999999999999</v>
      </c>
      <c r="G73" s="140">
        <v>5.3979999999999997</v>
      </c>
      <c r="H73" s="141">
        <v>0</v>
      </c>
      <c r="I73" s="141">
        <v>0.4722119303445721</v>
      </c>
      <c r="J73" s="141">
        <v>0.4722119303445721</v>
      </c>
      <c r="K73" s="4">
        <v>89</v>
      </c>
      <c r="L73" s="140">
        <v>0</v>
      </c>
      <c r="M73" s="140">
        <v>6.0069999999999997</v>
      </c>
      <c r="N73" s="140">
        <v>0.11700000000000001</v>
      </c>
      <c r="O73" s="140">
        <v>0.11700000000000001</v>
      </c>
      <c r="P73" s="140">
        <v>6.21</v>
      </c>
      <c r="Q73" s="141">
        <v>0</v>
      </c>
      <c r="R73" s="141">
        <v>1.8840579710144929E-2</v>
      </c>
      <c r="S73" s="141">
        <v>1.8840579710144929E-2</v>
      </c>
      <c r="T73" s="4">
        <v>89</v>
      </c>
      <c r="U73" s="142">
        <v>0</v>
      </c>
      <c r="V73" s="142">
        <v>5.7024999999999997</v>
      </c>
      <c r="W73" s="142">
        <v>1.333</v>
      </c>
      <c r="X73" s="142">
        <v>1.333</v>
      </c>
      <c r="Y73" s="142">
        <v>5.8040000000000003</v>
      </c>
      <c r="Z73" s="247">
        <v>0</v>
      </c>
      <c r="AA73" s="247">
        <v>0.2455262550273585</v>
      </c>
      <c r="AB73" s="247">
        <v>0.2455262550273585</v>
      </c>
    </row>
    <row r="74" spans="2:28">
      <c r="B74" s="4">
        <v>90</v>
      </c>
      <c r="C74" s="140">
        <v>0</v>
      </c>
      <c r="D74" s="140">
        <v>5.1150000000000002</v>
      </c>
      <c r="E74" s="140">
        <v>2.387</v>
      </c>
      <c r="F74" s="140">
        <v>2.387</v>
      </c>
      <c r="G74" s="140">
        <v>5.1150000000000002</v>
      </c>
      <c r="H74" s="141">
        <v>0</v>
      </c>
      <c r="I74" s="141">
        <v>0.46666666666666667</v>
      </c>
      <c r="J74" s="141">
        <v>0.46666666666666667</v>
      </c>
      <c r="K74" s="4">
        <v>90</v>
      </c>
      <c r="L74" s="140">
        <v>0</v>
      </c>
      <c r="M74" s="140">
        <v>5.6550000000000002</v>
      </c>
      <c r="N74" s="140">
        <v>9.7000000000000003E-2</v>
      </c>
      <c r="O74" s="140">
        <v>9.7000000000000003E-2</v>
      </c>
      <c r="P74" s="140">
        <v>5.7910000000000004</v>
      </c>
      <c r="Q74" s="141">
        <v>0</v>
      </c>
      <c r="R74" s="141">
        <v>1.6750129511310653E-2</v>
      </c>
      <c r="S74" s="141">
        <v>1.6750129511310653E-2</v>
      </c>
      <c r="T74" s="4">
        <v>90</v>
      </c>
      <c r="U74" s="142">
        <v>0</v>
      </c>
      <c r="V74" s="142">
        <v>5.3849999999999998</v>
      </c>
      <c r="W74" s="142">
        <v>1.242</v>
      </c>
      <c r="X74" s="142">
        <v>1.242</v>
      </c>
      <c r="Y74" s="142">
        <v>5.4530000000000003</v>
      </c>
      <c r="Z74" s="247">
        <v>0</v>
      </c>
      <c r="AA74" s="247">
        <v>0.24170839808898867</v>
      </c>
      <c r="AB74" s="247">
        <v>0.24170839808898867</v>
      </c>
    </row>
    <row r="75" spans="2:28">
      <c r="B75" s="4">
        <v>91</v>
      </c>
      <c r="C75" s="140">
        <v>0</v>
      </c>
      <c r="D75" s="140">
        <v>4.8499999999999996</v>
      </c>
      <c r="E75" s="140">
        <v>2.2040000000000002</v>
      </c>
      <c r="F75" s="140">
        <v>2.2040000000000002</v>
      </c>
      <c r="G75" s="140">
        <v>4.8499999999999996</v>
      </c>
      <c r="H75" s="141">
        <v>0</v>
      </c>
      <c r="I75" s="141">
        <v>0.45443298969072171</v>
      </c>
      <c r="J75" s="141">
        <v>0.45443298969072171</v>
      </c>
      <c r="K75" s="4">
        <v>91</v>
      </c>
      <c r="L75" s="140">
        <v>0</v>
      </c>
      <c r="M75" s="140">
        <v>5.3319999999999999</v>
      </c>
      <c r="N75" s="140">
        <v>0.08</v>
      </c>
      <c r="O75" s="140">
        <v>0.08</v>
      </c>
      <c r="P75" s="140">
        <v>5.4059999999999997</v>
      </c>
      <c r="Q75" s="141">
        <v>0</v>
      </c>
      <c r="R75" s="141">
        <v>1.4798372179060304E-2</v>
      </c>
      <c r="S75" s="141">
        <v>1.4798372179060304E-2</v>
      </c>
      <c r="T75" s="4">
        <v>91</v>
      </c>
      <c r="U75" s="142">
        <v>0</v>
      </c>
      <c r="V75" s="142">
        <v>5.0909999999999993</v>
      </c>
      <c r="W75" s="142">
        <v>1.1420000000000001</v>
      </c>
      <c r="X75" s="142">
        <v>1.1420000000000001</v>
      </c>
      <c r="Y75" s="142">
        <v>5.1280000000000001</v>
      </c>
      <c r="Z75" s="247">
        <v>0</v>
      </c>
      <c r="AA75" s="247">
        <v>0.23461568093489102</v>
      </c>
      <c r="AB75" s="247">
        <v>0.23461568093489102</v>
      </c>
    </row>
    <row r="76" spans="2:28">
      <c r="B76" s="4">
        <v>92</v>
      </c>
      <c r="C76" s="140">
        <v>0</v>
      </c>
      <c r="D76" s="140">
        <v>4.6040000000000001</v>
      </c>
      <c r="E76" s="140">
        <v>2.0350000000000001</v>
      </c>
      <c r="F76" s="140">
        <v>2.0350000000000001</v>
      </c>
      <c r="G76" s="140">
        <v>4.6040000000000001</v>
      </c>
      <c r="H76" s="141">
        <v>0</v>
      </c>
      <c r="I76" s="141">
        <v>0.44200695047784538</v>
      </c>
      <c r="J76" s="141">
        <v>0.44200695047784538</v>
      </c>
      <c r="K76" s="4">
        <v>92</v>
      </c>
      <c r="L76" s="140">
        <v>0</v>
      </c>
      <c r="M76" s="140">
        <v>5.0289999999999999</v>
      </c>
      <c r="N76" s="140">
        <v>6.5000000000000002E-2</v>
      </c>
      <c r="O76" s="140">
        <v>6.5000000000000002E-2</v>
      </c>
      <c r="P76" s="140">
        <v>5.0540000000000003</v>
      </c>
      <c r="Q76" s="141">
        <v>0</v>
      </c>
      <c r="R76" s="141">
        <v>1.2861100118717847E-2</v>
      </c>
      <c r="S76" s="141">
        <v>1.2861100118717847E-2</v>
      </c>
      <c r="T76" s="4">
        <v>92</v>
      </c>
      <c r="U76" s="142">
        <v>0</v>
      </c>
      <c r="V76" s="142">
        <v>4.8164999999999996</v>
      </c>
      <c r="W76" s="142">
        <v>1.05</v>
      </c>
      <c r="X76" s="142">
        <v>1.05</v>
      </c>
      <c r="Y76" s="142">
        <v>4.8290000000000006</v>
      </c>
      <c r="Z76" s="247">
        <v>0</v>
      </c>
      <c r="AA76" s="247">
        <v>0.22743402529828161</v>
      </c>
      <c r="AB76" s="247">
        <v>0.22743402529828161</v>
      </c>
    </row>
    <row r="77" spans="2:28">
      <c r="B77" s="4">
        <v>93</v>
      </c>
      <c r="C77" s="140">
        <v>0</v>
      </c>
      <c r="D77" s="140">
        <v>4.3760000000000003</v>
      </c>
      <c r="E77" s="140">
        <v>1.85</v>
      </c>
      <c r="F77" s="140">
        <v>1.85</v>
      </c>
      <c r="G77" s="140">
        <v>4.3760000000000003</v>
      </c>
      <c r="H77" s="141">
        <v>0</v>
      </c>
      <c r="I77" s="141">
        <v>0.42276051188299818</v>
      </c>
      <c r="J77" s="141">
        <v>0.42276051188299818</v>
      </c>
      <c r="K77" s="4">
        <v>93</v>
      </c>
      <c r="L77" s="140">
        <v>0</v>
      </c>
      <c r="M77" s="140">
        <v>4.7469999999999999</v>
      </c>
      <c r="N77" s="140">
        <v>5.2999999999999999E-2</v>
      </c>
      <c r="O77" s="140">
        <v>5.2999999999999999E-2</v>
      </c>
      <c r="P77" s="140">
        <v>4.7359999999999998</v>
      </c>
      <c r="Q77" s="141">
        <v>0</v>
      </c>
      <c r="R77" s="141">
        <v>1.1190878378378379E-2</v>
      </c>
      <c r="S77" s="141">
        <v>1.1190878378378379E-2</v>
      </c>
      <c r="T77" s="4">
        <v>93</v>
      </c>
      <c r="U77" s="142">
        <v>0</v>
      </c>
      <c r="V77" s="142">
        <v>4.5615000000000006</v>
      </c>
      <c r="W77" s="142">
        <v>0.95150000000000001</v>
      </c>
      <c r="X77" s="142">
        <v>0.95150000000000001</v>
      </c>
      <c r="Y77" s="142">
        <v>4.556</v>
      </c>
      <c r="Z77" s="247">
        <v>0</v>
      </c>
      <c r="AA77" s="247">
        <v>0.21697569513068829</v>
      </c>
      <c r="AB77" s="247">
        <v>0.21697569513068829</v>
      </c>
    </row>
    <row r="78" spans="2:28">
      <c r="B78" s="4">
        <v>94</v>
      </c>
      <c r="C78" s="140">
        <v>0</v>
      </c>
      <c r="D78" s="140">
        <v>4.1660000000000004</v>
      </c>
      <c r="E78" s="140">
        <v>1.6830000000000001</v>
      </c>
      <c r="F78" s="140">
        <v>1.6830000000000001</v>
      </c>
      <c r="G78" s="140">
        <v>4.1660000000000004</v>
      </c>
      <c r="H78" s="141">
        <v>0</v>
      </c>
      <c r="I78" s="141">
        <v>0.4039846375420067</v>
      </c>
      <c r="J78" s="141">
        <v>0.4039846375420067</v>
      </c>
      <c r="K78" s="4">
        <v>94</v>
      </c>
      <c r="L78" s="140">
        <v>0</v>
      </c>
      <c r="M78" s="140">
        <v>4.4850000000000003</v>
      </c>
      <c r="N78" s="140">
        <v>4.2000000000000003E-2</v>
      </c>
      <c r="O78" s="140">
        <v>4.2000000000000003E-2</v>
      </c>
      <c r="P78" s="140">
        <v>4.4459999999999997</v>
      </c>
      <c r="Q78" s="141">
        <v>0</v>
      </c>
      <c r="R78" s="141">
        <v>9.4466936572199737E-3</v>
      </c>
      <c r="S78" s="141">
        <v>9.4466936572199737E-3</v>
      </c>
      <c r="T78" s="4">
        <v>94</v>
      </c>
      <c r="U78" s="142">
        <v>0</v>
      </c>
      <c r="V78" s="142">
        <v>4.3254999999999999</v>
      </c>
      <c r="W78" s="142">
        <v>0.86250000000000004</v>
      </c>
      <c r="X78" s="142">
        <v>0.86250000000000004</v>
      </c>
      <c r="Y78" s="142">
        <v>4.306</v>
      </c>
      <c r="Z78" s="247">
        <v>0</v>
      </c>
      <c r="AA78" s="247">
        <v>0.20671566559961332</v>
      </c>
      <c r="AB78" s="247">
        <v>0.20671566559961332</v>
      </c>
    </row>
    <row r="79" spans="2:28">
      <c r="B79" s="4">
        <v>95</v>
      </c>
      <c r="C79" s="140">
        <v>0</v>
      </c>
      <c r="D79" s="140">
        <v>3.9740000000000002</v>
      </c>
      <c r="E79" s="140">
        <v>1.5349999999999999</v>
      </c>
      <c r="F79" s="140">
        <v>1.5349999999999999</v>
      </c>
      <c r="G79" s="140">
        <v>3.9740000000000002</v>
      </c>
      <c r="H79" s="141">
        <v>0</v>
      </c>
      <c r="I79" s="141">
        <v>0.38626069451434319</v>
      </c>
      <c r="J79" s="141">
        <v>0.38626069451434319</v>
      </c>
      <c r="K79" s="4">
        <v>95</v>
      </c>
      <c r="L79" s="140">
        <v>0</v>
      </c>
      <c r="M79" s="140">
        <v>4.2450000000000001</v>
      </c>
      <c r="N79" s="140">
        <v>3.4000000000000002E-2</v>
      </c>
      <c r="O79" s="140">
        <v>3.4000000000000002E-2</v>
      </c>
      <c r="P79" s="140">
        <v>4.1829999999999998</v>
      </c>
      <c r="Q79" s="141">
        <v>0</v>
      </c>
      <c r="R79" s="141">
        <v>8.1281377002151572E-3</v>
      </c>
      <c r="S79" s="141">
        <v>8.1281377002151572E-3</v>
      </c>
      <c r="T79" s="4">
        <v>95</v>
      </c>
      <c r="U79" s="142">
        <v>0</v>
      </c>
      <c r="V79" s="142">
        <v>4.1095000000000006</v>
      </c>
      <c r="W79" s="142">
        <v>0.78449999999999998</v>
      </c>
      <c r="X79" s="142">
        <v>0.78449999999999998</v>
      </c>
      <c r="Y79" s="142">
        <v>4.0785</v>
      </c>
      <c r="Z79" s="247">
        <v>0</v>
      </c>
      <c r="AA79" s="247">
        <v>0.19719441610727917</v>
      </c>
      <c r="AB79" s="247">
        <v>0.19719441610727917</v>
      </c>
    </row>
    <row r="80" spans="2:28">
      <c r="B80" s="4">
        <v>96</v>
      </c>
      <c r="C80" s="140">
        <v>0</v>
      </c>
      <c r="D80" s="140">
        <v>3.798</v>
      </c>
      <c r="E80" s="140">
        <v>1.371</v>
      </c>
      <c r="F80" s="140">
        <v>1.371</v>
      </c>
      <c r="G80" s="140">
        <v>3.798</v>
      </c>
      <c r="H80" s="141">
        <v>0</v>
      </c>
      <c r="I80" s="141">
        <v>0.36097946287519744</v>
      </c>
      <c r="J80" s="141">
        <v>0.36097946287519744</v>
      </c>
      <c r="K80" s="4">
        <v>96</v>
      </c>
      <c r="L80" s="140">
        <v>0</v>
      </c>
      <c r="M80" s="140">
        <v>4.024</v>
      </c>
      <c r="N80" s="140">
        <v>2.7E-2</v>
      </c>
      <c r="O80" s="140">
        <v>2.7E-2</v>
      </c>
      <c r="P80" s="140">
        <v>3.9460000000000002</v>
      </c>
      <c r="Q80" s="141">
        <v>0</v>
      </c>
      <c r="R80" s="141">
        <v>6.842372022301064E-3</v>
      </c>
      <c r="S80" s="141">
        <v>6.842372022301064E-3</v>
      </c>
      <c r="T80" s="4">
        <v>96</v>
      </c>
      <c r="U80" s="142">
        <v>0</v>
      </c>
      <c r="V80" s="142">
        <v>3.911</v>
      </c>
      <c r="W80" s="142">
        <v>0.69899999999999995</v>
      </c>
      <c r="X80" s="142">
        <v>0.69899999999999995</v>
      </c>
      <c r="Y80" s="142">
        <v>3.8719999999999999</v>
      </c>
      <c r="Z80" s="247">
        <v>0</v>
      </c>
      <c r="AA80" s="247">
        <v>0.18391091744874927</v>
      </c>
      <c r="AB80" s="247">
        <v>0.18391091744874927</v>
      </c>
    </row>
    <row r="81" spans="2:28">
      <c r="B81" s="4">
        <v>97</v>
      </c>
      <c r="C81" s="140">
        <v>0</v>
      </c>
      <c r="D81" s="140">
        <v>3.6389999999999998</v>
      </c>
      <c r="E81" s="140">
        <v>1.216</v>
      </c>
      <c r="F81" s="140">
        <v>1.216</v>
      </c>
      <c r="G81" s="140">
        <v>3.6389999999999998</v>
      </c>
      <c r="H81" s="141">
        <v>0</v>
      </c>
      <c r="I81" s="141">
        <v>0.33415773564165979</v>
      </c>
      <c r="J81" s="141">
        <v>0.33415773564165979</v>
      </c>
      <c r="K81" s="4">
        <v>97</v>
      </c>
      <c r="L81" s="140">
        <v>0</v>
      </c>
      <c r="M81" s="140">
        <v>3.8239999999999998</v>
      </c>
      <c r="N81" s="140">
        <v>2.1000000000000001E-2</v>
      </c>
      <c r="O81" s="140">
        <v>2.1000000000000001E-2</v>
      </c>
      <c r="P81" s="140">
        <v>3.734</v>
      </c>
      <c r="Q81" s="141">
        <v>0</v>
      </c>
      <c r="R81" s="141">
        <v>5.6239957150508845E-3</v>
      </c>
      <c r="S81" s="141">
        <v>5.6239957150508845E-3</v>
      </c>
      <c r="T81" s="4">
        <v>97</v>
      </c>
      <c r="U81" s="142">
        <v>0</v>
      </c>
      <c r="V81" s="142">
        <v>3.7314999999999996</v>
      </c>
      <c r="W81" s="142">
        <v>0.61849999999999994</v>
      </c>
      <c r="X81" s="142">
        <v>0.61849999999999994</v>
      </c>
      <c r="Y81" s="142">
        <v>3.6864999999999997</v>
      </c>
      <c r="Z81" s="247">
        <v>0</v>
      </c>
      <c r="AA81" s="247">
        <v>0.16989086567835535</v>
      </c>
      <c r="AB81" s="247">
        <v>0.16989086567835535</v>
      </c>
    </row>
    <row r="82" spans="2:28">
      <c r="B82" s="4">
        <v>98</v>
      </c>
      <c r="C82" s="140">
        <v>0</v>
      </c>
      <c r="D82" s="140">
        <v>3.4950000000000001</v>
      </c>
      <c r="E82" s="140">
        <v>1.0409999999999999</v>
      </c>
      <c r="F82" s="140">
        <v>1.0409999999999999</v>
      </c>
      <c r="G82" s="140">
        <v>3.4950000000000001</v>
      </c>
      <c r="H82" s="141">
        <v>0</v>
      </c>
      <c r="I82" s="141">
        <v>0.29785407725321883</v>
      </c>
      <c r="J82" s="141">
        <v>0.29785407725321883</v>
      </c>
      <c r="K82" s="4">
        <v>98</v>
      </c>
      <c r="L82" s="140">
        <v>0</v>
      </c>
      <c r="M82" s="140">
        <v>3.6429999999999998</v>
      </c>
      <c r="N82" s="140">
        <v>1.7000000000000001E-2</v>
      </c>
      <c r="O82" s="140">
        <v>1.7000000000000001E-2</v>
      </c>
      <c r="P82" s="140">
        <v>3.5459999999999998</v>
      </c>
      <c r="Q82" s="141">
        <v>0</v>
      </c>
      <c r="R82" s="141">
        <v>4.7941342357586021E-3</v>
      </c>
      <c r="S82" s="141">
        <v>4.7941342357586021E-3</v>
      </c>
      <c r="T82" s="4">
        <v>98</v>
      </c>
      <c r="U82" s="142">
        <v>0</v>
      </c>
      <c r="V82" s="142">
        <v>3.569</v>
      </c>
      <c r="W82" s="142">
        <v>0.52899999999999991</v>
      </c>
      <c r="X82" s="142">
        <v>0.52899999999999991</v>
      </c>
      <c r="Y82" s="142">
        <v>3.5205000000000002</v>
      </c>
      <c r="Z82" s="247">
        <v>0</v>
      </c>
      <c r="AA82" s="247">
        <v>0.15132410574448871</v>
      </c>
      <c r="AB82" s="247">
        <v>0.15132410574448871</v>
      </c>
    </row>
    <row r="83" spans="2:28">
      <c r="B83" s="4">
        <v>99</v>
      </c>
      <c r="C83" s="140">
        <v>0</v>
      </c>
      <c r="D83" s="140">
        <v>3.3639999999999999</v>
      </c>
      <c r="E83" s="140">
        <v>0.84799999999999998</v>
      </c>
      <c r="F83" s="140">
        <v>0.84799999999999998</v>
      </c>
      <c r="G83" s="140">
        <v>3.3639999999999999</v>
      </c>
      <c r="H83" s="141">
        <v>0</v>
      </c>
      <c r="I83" s="141">
        <v>0.25208085612366232</v>
      </c>
      <c r="J83" s="141">
        <v>0.25208085612366232</v>
      </c>
      <c r="K83" s="4">
        <v>99</v>
      </c>
      <c r="L83" s="140">
        <v>0</v>
      </c>
      <c r="M83" s="140">
        <v>3.48</v>
      </c>
      <c r="N83" s="140">
        <v>1.2999999999999999E-2</v>
      </c>
      <c r="O83" s="140">
        <v>1.2999999999999999E-2</v>
      </c>
      <c r="P83" s="140">
        <v>3.3820000000000001</v>
      </c>
      <c r="Q83" s="141">
        <v>0</v>
      </c>
      <c r="R83" s="141">
        <v>3.8438793613246596E-3</v>
      </c>
      <c r="S83" s="141">
        <v>3.8438793613246596E-3</v>
      </c>
      <c r="T83" s="4">
        <v>99</v>
      </c>
      <c r="U83" s="142">
        <v>0</v>
      </c>
      <c r="V83" s="142">
        <v>3.4219999999999997</v>
      </c>
      <c r="W83" s="142">
        <v>0.43049999999999999</v>
      </c>
      <c r="X83" s="142">
        <v>0.43049999999999999</v>
      </c>
      <c r="Y83" s="142">
        <v>3.3730000000000002</v>
      </c>
      <c r="Z83" s="247">
        <v>0</v>
      </c>
      <c r="AA83" s="247">
        <v>0.1279623677424935</v>
      </c>
      <c r="AB83" s="247">
        <v>0.1279623677424935</v>
      </c>
    </row>
    <row r="84" spans="2:28">
      <c r="B84" s="4">
        <v>100</v>
      </c>
      <c r="C84" s="140">
        <v>0</v>
      </c>
      <c r="D84" s="140">
        <v>3.2450000000000001</v>
      </c>
      <c r="E84" s="140">
        <v>0.67200000000000004</v>
      </c>
      <c r="F84" s="140">
        <v>0.67200000000000004</v>
      </c>
      <c r="G84" s="140">
        <v>3.2450000000000001</v>
      </c>
      <c r="H84" s="141">
        <v>0</v>
      </c>
      <c r="I84" s="141">
        <v>0.20708782742681048</v>
      </c>
      <c r="J84" s="141">
        <v>0.20708782742681048</v>
      </c>
      <c r="K84" s="4">
        <v>100</v>
      </c>
      <c r="L84" s="140">
        <v>0</v>
      </c>
      <c r="M84" s="140">
        <v>3.335</v>
      </c>
      <c r="N84" s="140">
        <v>0.01</v>
      </c>
      <c r="O84" s="140">
        <v>0.01</v>
      </c>
      <c r="P84" s="140">
        <v>3.2409999999999997</v>
      </c>
      <c r="Q84" s="141">
        <v>0</v>
      </c>
      <c r="R84" s="141">
        <v>3.0854674483184207E-3</v>
      </c>
      <c r="S84" s="141">
        <v>3.0854674483184207E-3</v>
      </c>
      <c r="T84" s="4">
        <v>100</v>
      </c>
      <c r="U84" s="142">
        <v>0</v>
      </c>
      <c r="V84" s="142">
        <v>3.29</v>
      </c>
      <c r="W84" s="142">
        <v>0.34100000000000003</v>
      </c>
      <c r="X84" s="142">
        <v>0.34100000000000003</v>
      </c>
      <c r="Y84" s="142">
        <v>3.2429999999999999</v>
      </c>
      <c r="Z84" s="247">
        <v>0</v>
      </c>
      <c r="AA84" s="247">
        <v>0.10508664743756445</v>
      </c>
      <c r="AB84" s="247">
        <v>0.10508664743756445</v>
      </c>
    </row>
  </sheetData>
  <sheetProtection algorithmName="SHA-512" hashValue="0ye4VttTxHoHcZoC7QvEWzUw3UDLMsKfVUTG9t9fm7yvDOpVWmvfrLCbgD3g76RM4nCk0ErTPJImzaX2GuHADg==" saltValue="EOh7SH6vbAaWGWpRggjcIw==" spinCount="100000" sheet="1" objects="1" scenarios="1" formatColumns="0" autoFilter="0"/>
  <mergeCells count="7">
    <mergeCell ref="H2:J2"/>
    <mergeCell ref="Q2:S2"/>
    <mergeCell ref="Z2:AB2"/>
    <mergeCell ref="B2:B3"/>
    <mergeCell ref="B1:J1"/>
    <mergeCell ref="K1:S1"/>
    <mergeCell ref="T1:AB1"/>
  </mergeCells>
  <phoneticPr fontId="61" type="noConversion"/>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8"/>
  <dimension ref="A1:AB84"/>
  <sheetViews>
    <sheetView topLeftCell="B1" zoomScale="85" zoomScaleNormal="85" workbookViewId="0">
      <pane ySplit="1935" topLeftCell="A9" activePane="bottomLeft"/>
      <selection activeCell="C1" sqref="A1:XFD1048576"/>
      <selection pane="bottomLeft" activeCell="AB17" sqref="AB17"/>
    </sheetView>
  </sheetViews>
  <sheetFormatPr baseColWidth="10" defaultColWidth="11.125" defaultRowHeight="14.25"/>
  <cols>
    <col min="1" max="1" width="21" hidden="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1" spans="1:28" ht="15" thickBot="1">
      <c r="B1" s="4">
        <v>1</v>
      </c>
      <c r="C1" s="4">
        <v>2</v>
      </c>
      <c r="D1" s="4">
        <v>3</v>
      </c>
      <c r="E1" s="4">
        <v>4</v>
      </c>
      <c r="F1" s="4">
        <v>5</v>
      </c>
      <c r="G1" s="4">
        <v>6</v>
      </c>
      <c r="H1" s="4">
        <v>7</v>
      </c>
      <c r="I1" s="4">
        <v>8</v>
      </c>
      <c r="J1" s="4">
        <v>9</v>
      </c>
      <c r="K1" s="4">
        <v>10</v>
      </c>
      <c r="L1" s="4">
        <v>11</v>
      </c>
      <c r="M1" s="4">
        <v>12</v>
      </c>
      <c r="N1" s="4">
        <v>13</v>
      </c>
      <c r="O1" s="4">
        <v>14</v>
      </c>
      <c r="P1" s="4">
        <v>15</v>
      </c>
      <c r="Q1" s="4">
        <v>16</v>
      </c>
      <c r="R1" s="4">
        <v>17</v>
      </c>
      <c r="S1" s="4">
        <v>18</v>
      </c>
      <c r="T1" s="4">
        <v>19</v>
      </c>
      <c r="U1" s="4">
        <v>20</v>
      </c>
      <c r="V1" s="4">
        <v>21</v>
      </c>
      <c r="W1" s="4">
        <v>22</v>
      </c>
      <c r="X1" s="4">
        <v>23</v>
      </c>
      <c r="Y1" s="4">
        <v>24</v>
      </c>
      <c r="Z1" s="4">
        <v>25</v>
      </c>
      <c r="AA1" s="4">
        <v>26</v>
      </c>
      <c r="AB1" s="4">
        <v>27</v>
      </c>
    </row>
    <row r="2" spans="1:28" s="127" customFormat="1" ht="72" customHeight="1">
      <c r="A2" s="127" t="s">
        <v>164</v>
      </c>
      <c r="B2" s="4050" t="s">
        <v>7</v>
      </c>
      <c r="C2" s="2074" t="s">
        <v>0</v>
      </c>
      <c r="D2" s="2074" t="s">
        <v>1</v>
      </c>
      <c r="E2" s="2074" t="s">
        <v>2</v>
      </c>
      <c r="F2" s="2074" t="s">
        <v>1688</v>
      </c>
      <c r="G2" s="2074" t="s">
        <v>1940</v>
      </c>
      <c r="H2" s="4046" t="s">
        <v>162</v>
      </c>
      <c r="I2" s="4046"/>
      <c r="J2" s="4047"/>
      <c r="K2" s="2084"/>
      <c r="L2" s="2085" t="s">
        <v>0</v>
      </c>
      <c r="M2" s="2085" t="s">
        <v>1</v>
      </c>
      <c r="N2" s="2085" t="s">
        <v>2</v>
      </c>
      <c r="O2" s="2085" t="s">
        <v>1688</v>
      </c>
      <c r="P2" s="2085" t="str">
        <f>+G2</f>
        <v>Anwartschafts-barwert
Altersrente</v>
      </c>
      <c r="Q2" s="4048" t="s">
        <v>163</v>
      </c>
      <c r="R2" s="4048"/>
      <c r="S2" s="4049"/>
      <c r="T2" s="2089"/>
      <c r="U2" s="2090" t="s">
        <v>0</v>
      </c>
      <c r="V2" s="2090" t="s">
        <v>1</v>
      </c>
      <c r="W2" s="2090" t="s">
        <v>2</v>
      </c>
      <c r="X2" s="2090" t="s">
        <v>1688</v>
      </c>
      <c r="Y2" s="2090" t="str">
        <f>+P2</f>
        <v>Anwartschafts-barwert
Altersrente</v>
      </c>
      <c r="Z2" s="4052" t="s">
        <v>167</v>
      </c>
      <c r="AA2" s="4052"/>
      <c r="AB2" s="4053"/>
    </row>
    <row r="3" spans="1:28" s="2" customFormat="1" ht="13.5">
      <c r="A3" s="60">
        <v>43463</v>
      </c>
      <c r="B3" s="4051"/>
      <c r="C3" s="2068" t="s">
        <v>165</v>
      </c>
      <c r="D3" s="2068" t="s">
        <v>18</v>
      </c>
      <c r="E3" s="2068" t="s">
        <v>24</v>
      </c>
      <c r="F3" s="2068"/>
      <c r="G3" s="2068"/>
      <c r="H3" s="1105" t="s">
        <v>8</v>
      </c>
      <c r="I3" s="1105" t="s">
        <v>9</v>
      </c>
      <c r="J3" s="2076" t="s">
        <v>10</v>
      </c>
      <c r="K3" s="2086" t="s">
        <v>7</v>
      </c>
      <c r="L3" s="1106" t="s">
        <v>166</v>
      </c>
      <c r="M3" s="1106" t="s">
        <v>20</v>
      </c>
      <c r="N3" s="1106" t="s">
        <v>26</v>
      </c>
      <c r="O3" s="1106" t="s">
        <v>27</v>
      </c>
      <c r="P3" s="1106"/>
      <c r="Q3" s="1106" t="s">
        <v>8</v>
      </c>
      <c r="R3" s="1106" t="s">
        <v>9</v>
      </c>
      <c r="S3" s="2087" t="s">
        <v>10</v>
      </c>
      <c r="T3" s="2091" t="s">
        <v>7</v>
      </c>
      <c r="U3" s="2066" t="s">
        <v>146</v>
      </c>
      <c r="V3" s="2066" t="s">
        <v>147</v>
      </c>
      <c r="W3" s="2066" t="s">
        <v>148</v>
      </c>
      <c r="X3" s="2066" t="s">
        <v>149</v>
      </c>
      <c r="Y3" s="2066"/>
      <c r="Z3" s="2066" t="s">
        <v>8</v>
      </c>
      <c r="AA3" s="2066" t="s">
        <v>9</v>
      </c>
      <c r="AB3" s="2092" t="s">
        <v>10</v>
      </c>
    </row>
    <row r="4" spans="1:28">
      <c r="B4" s="2077">
        <v>20</v>
      </c>
      <c r="C4" s="2069">
        <v>0.29599999999999999</v>
      </c>
      <c r="D4" s="2069">
        <v>4.476</v>
      </c>
      <c r="E4" s="2069">
        <v>0.53500000000000003</v>
      </c>
      <c r="F4" s="2069">
        <v>0.53500000000000003</v>
      </c>
      <c r="G4" s="2069">
        <v>4.18</v>
      </c>
      <c r="H4" s="2070">
        <v>7.0813397129186606E-2</v>
      </c>
      <c r="I4" s="2070">
        <v>0.1279904306220096</v>
      </c>
      <c r="J4" s="2078">
        <v>0.1988038277511962</v>
      </c>
      <c r="K4" s="2077">
        <v>20</v>
      </c>
      <c r="L4" s="2069">
        <v>0.308</v>
      </c>
      <c r="M4" s="2069">
        <v>5.2350000000000003</v>
      </c>
      <c r="N4" s="2071">
        <v>0.14000000000000001</v>
      </c>
      <c r="O4" s="2069">
        <v>0.14000000000000001</v>
      </c>
      <c r="P4" s="2069">
        <v>4.9270000000000005</v>
      </c>
      <c r="Q4" s="2070">
        <v>6.2512685203978069E-2</v>
      </c>
      <c r="R4" s="2070">
        <v>2.8414856910899126E-2</v>
      </c>
      <c r="S4" s="2078">
        <v>9.0927542114877191E-2</v>
      </c>
      <c r="T4" s="2077">
        <v>20</v>
      </c>
      <c r="U4" s="1686">
        <v>0.30199999999999999</v>
      </c>
      <c r="V4" s="1686">
        <v>4.8555000000000001</v>
      </c>
      <c r="W4" s="1686">
        <v>0.33750000000000002</v>
      </c>
      <c r="X4" s="1686">
        <v>0.33750000000000002</v>
      </c>
      <c r="Y4" s="1686">
        <v>4.5534999999999997</v>
      </c>
      <c r="Z4" s="2072">
        <v>6.6663041166582337E-2</v>
      </c>
      <c r="AA4" s="2072">
        <v>7.8202643766454361E-2</v>
      </c>
      <c r="AB4" s="2093">
        <v>0.1448656849330367</v>
      </c>
    </row>
    <row r="5" spans="1:28">
      <c r="B5" s="89">
        <v>21</v>
      </c>
      <c r="C5" s="1">
        <v>0.34200000000000003</v>
      </c>
      <c r="D5" s="1">
        <v>4.6120000000000001</v>
      </c>
      <c r="E5" s="1">
        <v>0.623</v>
      </c>
      <c r="F5" s="1">
        <v>0.623</v>
      </c>
      <c r="G5" s="1">
        <v>4.2700000000000005</v>
      </c>
      <c r="H5" s="741">
        <v>8.0093676814988288E-2</v>
      </c>
      <c r="I5" s="741">
        <v>0.14590163934426228</v>
      </c>
      <c r="J5" s="2079">
        <v>0.22599531615925056</v>
      </c>
      <c r="K5" s="89">
        <v>21</v>
      </c>
      <c r="L5" s="1">
        <v>0.37</v>
      </c>
      <c r="M5" s="1">
        <v>5.391</v>
      </c>
      <c r="N5" s="1419">
        <v>0.16900000000000001</v>
      </c>
      <c r="O5" s="1">
        <v>0.16900000000000001</v>
      </c>
      <c r="P5" s="1">
        <v>5.0209999999999999</v>
      </c>
      <c r="Q5" s="741">
        <v>7.3690499900418246E-2</v>
      </c>
      <c r="R5" s="741">
        <v>3.3658633738299144E-2</v>
      </c>
      <c r="S5" s="2079">
        <v>0.1073491336387174</v>
      </c>
      <c r="T5" s="89">
        <v>21</v>
      </c>
      <c r="U5" s="740">
        <v>0.35599999999999998</v>
      </c>
      <c r="V5" s="740">
        <v>5.0015000000000001</v>
      </c>
      <c r="W5" s="740">
        <v>0.39600000000000002</v>
      </c>
      <c r="X5" s="740">
        <v>0.39600000000000002</v>
      </c>
      <c r="Y5" s="740">
        <v>4.6455000000000002</v>
      </c>
      <c r="Z5" s="2067">
        <v>7.6892088357703267E-2</v>
      </c>
      <c r="AA5" s="2067">
        <v>8.9780136541280711E-2</v>
      </c>
      <c r="AB5" s="2094">
        <v>0.16667222489898398</v>
      </c>
    </row>
    <row r="6" spans="1:28">
      <c r="B6" s="2077">
        <v>22</v>
      </c>
      <c r="C6" s="2069">
        <v>0.38900000000000001</v>
      </c>
      <c r="D6" s="2069">
        <v>4.7510000000000003</v>
      </c>
      <c r="E6" s="2069">
        <v>0.71499999999999997</v>
      </c>
      <c r="F6" s="2069">
        <v>0.71499999999999997</v>
      </c>
      <c r="G6" s="2069">
        <v>4.3620000000000001</v>
      </c>
      <c r="H6" s="2070">
        <v>8.9179275561668964E-2</v>
      </c>
      <c r="I6" s="2070">
        <v>0.16391563502980283</v>
      </c>
      <c r="J6" s="2078">
        <v>0.25309491059147182</v>
      </c>
      <c r="K6" s="2077">
        <v>22</v>
      </c>
      <c r="L6" s="2069">
        <v>0.42799999999999999</v>
      </c>
      <c r="M6" s="2069">
        <v>5.5519999999999996</v>
      </c>
      <c r="N6" s="2071">
        <v>0.19600000000000001</v>
      </c>
      <c r="O6" s="2069">
        <v>0.19600000000000001</v>
      </c>
      <c r="P6" s="2069">
        <v>5.1239999999999997</v>
      </c>
      <c r="Q6" s="2070">
        <v>8.3528493364558948E-2</v>
      </c>
      <c r="R6" s="2070">
        <v>3.825136612021858E-2</v>
      </c>
      <c r="S6" s="2078">
        <v>0.12177985948477753</v>
      </c>
      <c r="T6" s="2077">
        <v>22</v>
      </c>
      <c r="U6" s="1686">
        <v>0.40849999999999997</v>
      </c>
      <c r="V6" s="1686">
        <v>5.1515000000000004</v>
      </c>
      <c r="W6" s="1686">
        <v>0.45550000000000002</v>
      </c>
      <c r="X6" s="1686">
        <v>0.45550000000000002</v>
      </c>
      <c r="Y6" s="1686">
        <v>4.7430000000000003</v>
      </c>
      <c r="Z6" s="2072">
        <v>8.6353884463113956E-2</v>
      </c>
      <c r="AA6" s="2072">
        <v>0.1010835005750107</v>
      </c>
      <c r="AB6" s="2093">
        <v>0.18743738503812468</v>
      </c>
    </row>
    <row r="7" spans="1:28">
      <c r="B7" s="89">
        <v>23</v>
      </c>
      <c r="C7" s="1">
        <v>0.437</v>
      </c>
      <c r="D7" s="1">
        <v>4.8929999999999998</v>
      </c>
      <c r="E7" s="1">
        <v>0.81200000000000006</v>
      </c>
      <c r="F7" s="1">
        <v>0.81200000000000006</v>
      </c>
      <c r="G7" s="1">
        <v>4.4559999999999995</v>
      </c>
      <c r="H7" s="741">
        <v>9.8070017953321376E-2</v>
      </c>
      <c r="I7" s="741">
        <v>0.18222621184919213</v>
      </c>
      <c r="J7" s="2079">
        <v>0.28029622980251351</v>
      </c>
      <c r="K7" s="89">
        <v>23</v>
      </c>
      <c r="L7" s="1">
        <v>0.47599999999999998</v>
      </c>
      <c r="M7" s="1">
        <v>5.7160000000000002</v>
      </c>
      <c r="N7" s="1419">
        <v>0.219</v>
      </c>
      <c r="O7" s="1">
        <v>0.219</v>
      </c>
      <c r="P7" s="1">
        <v>5.24</v>
      </c>
      <c r="Q7" s="741">
        <v>9.0839694656488543E-2</v>
      </c>
      <c r="R7" s="741">
        <v>4.1793893129770991E-2</v>
      </c>
      <c r="S7" s="2079">
        <v>0.13263358778625953</v>
      </c>
      <c r="T7" s="89">
        <v>23</v>
      </c>
      <c r="U7" s="740">
        <v>0.45650000000000002</v>
      </c>
      <c r="V7" s="740">
        <v>5.3045</v>
      </c>
      <c r="W7" s="740">
        <v>0.51550000000000007</v>
      </c>
      <c r="X7" s="740">
        <v>0.51550000000000007</v>
      </c>
      <c r="Y7" s="740">
        <v>4.8479999999999999</v>
      </c>
      <c r="Z7" s="2067">
        <v>9.4454856304904966E-2</v>
      </c>
      <c r="AA7" s="2067">
        <v>0.11201005248948157</v>
      </c>
      <c r="AB7" s="2094">
        <v>0.2064649087943865</v>
      </c>
    </row>
    <row r="8" spans="1:28">
      <c r="B8" s="2077">
        <v>24</v>
      </c>
      <c r="C8" s="2069">
        <v>0.48</v>
      </c>
      <c r="D8" s="2069">
        <v>5.0380000000000003</v>
      </c>
      <c r="E8" s="2069">
        <v>0.90100000000000002</v>
      </c>
      <c r="F8" s="2069">
        <v>0.90100000000000002</v>
      </c>
      <c r="G8" s="2069">
        <v>4.5579999999999998</v>
      </c>
      <c r="H8" s="2070">
        <v>0.10530934620447564</v>
      </c>
      <c r="I8" s="2070">
        <v>0.19767441860465118</v>
      </c>
      <c r="J8" s="2078">
        <v>0.30298376480912681</v>
      </c>
      <c r="K8" s="2077">
        <v>24</v>
      </c>
      <c r="L8" s="2069">
        <v>0.52</v>
      </c>
      <c r="M8" s="2069">
        <v>5.8840000000000003</v>
      </c>
      <c r="N8" s="2071">
        <v>0.24099999999999999</v>
      </c>
      <c r="O8" s="2069">
        <v>0.24099999999999999</v>
      </c>
      <c r="P8" s="2069">
        <v>5.3640000000000008</v>
      </c>
      <c r="Q8" s="2070">
        <v>9.6942580164056658E-2</v>
      </c>
      <c r="R8" s="2070">
        <v>4.4929157345264717E-2</v>
      </c>
      <c r="S8" s="2078">
        <v>0.14187173750932136</v>
      </c>
      <c r="T8" s="2077">
        <v>24</v>
      </c>
      <c r="U8" s="1686">
        <v>0.5</v>
      </c>
      <c r="V8" s="1686">
        <v>5.4610000000000003</v>
      </c>
      <c r="W8" s="1686">
        <v>0.57099999999999995</v>
      </c>
      <c r="X8" s="1686">
        <v>0.57099999999999995</v>
      </c>
      <c r="Y8" s="1686">
        <v>4.9610000000000003</v>
      </c>
      <c r="Z8" s="2072">
        <v>0.10112596318426614</v>
      </c>
      <c r="AA8" s="2072">
        <v>0.12130178797495794</v>
      </c>
      <c r="AB8" s="2093">
        <v>0.22242775115922409</v>
      </c>
    </row>
    <row r="9" spans="1:28">
      <c r="B9" s="89">
        <v>25</v>
      </c>
      <c r="C9" s="1">
        <v>0.51900000000000002</v>
      </c>
      <c r="D9" s="1">
        <v>5.1870000000000003</v>
      </c>
      <c r="E9" s="1">
        <v>0.98399999999999999</v>
      </c>
      <c r="F9" s="1">
        <v>0.98399999999999999</v>
      </c>
      <c r="G9" s="1">
        <v>4.6680000000000001</v>
      </c>
      <c r="H9" s="741">
        <v>0.11118251928020566</v>
      </c>
      <c r="I9" s="741">
        <v>0.21079691516709512</v>
      </c>
      <c r="J9" s="2079">
        <v>0.32197943444730076</v>
      </c>
      <c r="K9" s="89">
        <v>25</v>
      </c>
      <c r="L9" s="1">
        <v>0.56299999999999994</v>
      </c>
      <c r="M9" s="1">
        <v>6.056</v>
      </c>
      <c r="N9" s="1419">
        <v>0.26200000000000001</v>
      </c>
      <c r="O9" s="1">
        <v>0.26200000000000001</v>
      </c>
      <c r="P9" s="1">
        <v>5.4930000000000003</v>
      </c>
      <c r="Q9" s="741">
        <v>0.10249408337884579</v>
      </c>
      <c r="R9" s="741">
        <v>4.7697068996905151E-2</v>
      </c>
      <c r="S9" s="2079">
        <v>0.15019115237575092</v>
      </c>
      <c r="T9" s="89">
        <v>25</v>
      </c>
      <c r="U9" s="740">
        <v>0.54099999999999993</v>
      </c>
      <c r="V9" s="740">
        <v>5.6215000000000002</v>
      </c>
      <c r="W9" s="740">
        <v>0.623</v>
      </c>
      <c r="X9" s="740">
        <v>0.623</v>
      </c>
      <c r="Y9" s="740">
        <v>5.0805000000000007</v>
      </c>
      <c r="Z9" s="2067">
        <v>0.10683830132952572</v>
      </c>
      <c r="AA9" s="2067">
        <v>0.12924699208200013</v>
      </c>
      <c r="AB9" s="2094">
        <v>0.23608529341152584</v>
      </c>
    </row>
    <row r="10" spans="1:28">
      <c r="B10" s="2077">
        <v>26</v>
      </c>
      <c r="C10" s="2069">
        <v>0.55400000000000005</v>
      </c>
      <c r="D10" s="2069">
        <v>5.3390000000000004</v>
      </c>
      <c r="E10" s="2069">
        <v>1.0629999999999999</v>
      </c>
      <c r="F10" s="2069">
        <v>1.0629999999999999</v>
      </c>
      <c r="G10" s="2069">
        <v>4.7850000000000001</v>
      </c>
      <c r="H10" s="2070">
        <v>0.11577847439916406</v>
      </c>
      <c r="I10" s="2070">
        <v>0.22215256008359455</v>
      </c>
      <c r="J10" s="2078">
        <v>0.33793103448275863</v>
      </c>
      <c r="K10" s="2077">
        <v>26</v>
      </c>
      <c r="L10" s="2069">
        <v>0.60499999999999998</v>
      </c>
      <c r="M10" s="2069">
        <v>6.2309999999999999</v>
      </c>
      <c r="N10" s="2071">
        <v>0.28299999999999997</v>
      </c>
      <c r="O10" s="2069">
        <v>0.28299999999999997</v>
      </c>
      <c r="P10" s="2069">
        <v>5.6259999999999994</v>
      </c>
      <c r="Q10" s="2070">
        <v>0.10753643796658373</v>
      </c>
      <c r="R10" s="2070">
        <v>5.0302168503377175E-2</v>
      </c>
      <c r="S10" s="2078">
        <v>0.1578386064699609</v>
      </c>
      <c r="T10" s="2077">
        <v>26</v>
      </c>
      <c r="U10" s="1686">
        <v>0.57950000000000002</v>
      </c>
      <c r="V10" s="1686">
        <v>5.7850000000000001</v>
      </c>
      <c r="W10" s="1686">
        <v>0.67299999999999993</v>
      </c>
      <c r="X10" s="1686">
        <v>0.67299999999999993</v>
      </c>
      <c r="Y10" s="1686">
        <v>5.2054999999999998</v>
      </c>
      <c r="Z10" s="2072">
        <v>0.1116574561828739</v>
      </c>
      <c r="AA10" s="2072">
        <v>0.13622736429348586</v>
      </c>
      <c r="AB10" s="2093">
        <v>0.24788482047635976</v>
      </c>
    </row>
    <row r="11" spans="1:28">
      <c r="B11" s="89">
        <v>27</v>
      </c>
      <c r="C11" s="1">
        <v>0.58499999999999996</v>
      </c>
      <c r="D11" s="1">
        <v>5.4939999999999998</v>
      </c>
      <c r="E11" s="1">
        <v>1.139</v>
      </c>
      <c r="F11" s="1">
        <v>1.139</v>
      </c>
      <c r="G11" s="1">
        <v>4.9089999999999998</v>
      </c>
      <c r="H11" s="741">
        <v>0.11916887349765737</v>
      </c>
      <c r="I11" s="741">
        <v>0.23202281523731921</v>
      </c>
      <c r="J11" s="2079">
        <v>0.35119168873497658</v>
      </c>
      <c r="K11" s="89">
        <v>27</v>
      </c>
      <c r="L11" s="1">
        <v>0.64700000000000002</v>
      </c>
      <c r="M11" s="1">
        <v>6.4089999999999998</v>
      </c>
      <c r="N11" s="1419">
        <v>0.30499999999999999</v>
      </c>
      <c r="O11" s="1">
        <v>0.30499999999999999</v>
      </c>
      <c r="P11" s="1">
        <v>5.7619999999999996</v>
      </c>
      <c r="Q11" s="741">
        <v>0.11228740020826103</v>
      </c>
      <c r="R11" s="741">
        <v>5.2933009371745922E-2</v>
      </c>
      <c r="S11" s="2079">
        <v>0.16522040958000694</v>
      </c>
      <c r="T11" s="89">
        <v>27</v>
      </c>
      <c r="U11" s="740">
        <v>0.61599999999999999</v>
      </c>
      <c r="V11" s="740">
        <v>5.9514999999999993</v>
      </c>
      <c r="W11" s="740">
        <v>0.72199999999999998</v>
      </c>
      <c r="X11" s="740">
        <v>0.72199999999999998</v>
      </c>
      <c r="Y11" s="740">
        <v>5.3354999999999997</v>
      </c>
      <c r="Z11" s="2067">
        <v>0.1157281368529592</v>
      </c>
      <c r="AA11" s="2067">
        <v>0.14247791230453258</v>
      </c>
      <c r="AB11" s="2094">
        <v>0.25820604915749179</v>
      </c>
    </row>
    <row r="12" spans="1:28">
      <c r="B12" s="2077">
        <v>28</v>
      </c>
      <c r="C12" s="2069">
        <v>0.61499999999999999</v>
      </c>
      <c r="D12" s="2069">
        <v>5.6529999999999996</v>
      </c>
      <c r="E12" s="2069">
        <v>1.214</v>
      </c>
      <c r="F12" s="2069">
        <v>1.214</v>
      </c>
      <c r="G12" s="2069">
        <v>5.0379999999999994</v>
      </c>
      <c r="H12" s="2070">
        <v>0.12207225089321161</v>
      </c>
      <c r="I12" s="2070">
        <v>0.24096863834855103</v>
      </c>
      <c r="J12" s="2078">
        <v>0.36304088924176264</v>
      </c>
      <c r="K12" s="2077">
        <v>28</v>
      </c>
      <c r="L12" s="2069">
        <v>0.68600000000000005</v>
      </c>
      <c r="M12" s="2069">
        <v>6.5910000000000002</v>
      </c>
      <c r="N12" s="2071">
        <v>0.32600000000000001</v>
      </c>
      <c r="O12" s="2069">
        <v>0.32600000000000001</v>
      </c>
      <c r="P12" s="2069">
        <v>5.9050000000000002</v>
      </c>
      <c r="Q12" s="2070">
        <v>0.11617273497036411</v>
      </c>
      <c r="R12" s="2070">
        <v>5.520745131244708E-2</v>
      </c>
      <c r="S12" s="2078">
        <v>0.17138018628281118</v>
      </c>
      <c r="T12" s="2077">
        <v>28</v>
      </c>
      <c r="U12" s="1686">
        <v>0.65050000000000008</v>
      </c>
      <c r="V12" s="1686">
        <v>6.1219999999999999</v>
      </c>
      <c r="W12" s="1686">
        <v>0.77</v>
      </c>
      <c r="X12" s="1686">
        <v>0.77</v>
      </c>
      <c r="Y12" s="1686">
        <v>5.4714999999999998</v>
      </c>
      <c r="Z12" s="2072">
        <v>0.11912249293178787</v>
      </c>
      <c r="AA12" s="2072">
        <v>0.14808804483049906</v>
      </c>
      <c r="AB12" s="2093">
        <v>0.26721053776228693</v>
      </c>
    </row>
    <row r="13" spans="1:28">
      <c r="B13" s="89">
        <v>29</v>
      </c>
      <c r="C13" s="1">
        <v>0.64200000000000002</v>
      </c>
      <c r="D13" s="1">
        <v>5.8150000000000004</v>
      </c>
      <c r="E13" s="1">
        <v>1.2869999999999999</v>
      </c>
      <c r="F13" s="1">
        <v>1.2869999999999999</v>
      </c>
      <c r="G13" s="1">
        <v>5.173</v>
      </c>
      <c r="H13" s="741">
        <v>0.12410593466073845</v>
      </c>
      <c r="I13" s="741">
        <v>0.24879180359559247</v>
      </c>
      <c r="J13" s="2079">
        <v>0.37289773825633094</v>
      </c>
      <c r="K13" s="89">
        <v>29</v>
      </c>
      <c r="L13" s="1">
        <v>0.72399999999999998</v>
      </c>
      <c r="M13" s="1">
        <v>6.7770000000000001</v>
      </c>
      <c r="N13" s="1419">
        <v>0.34599999999999997</v>
      </c>
      <c r="O13" s="1">
        <v>0.34599999999999997</v>
      </c>
      <c r="P13" s="1">
        <v>6.0529999999999999</v>
      </c>
      <c r="Q13" s="741">
        <v>0.11961011068891458</v>
      </c>
      <c r="R13" s="741">
        <v>5.7161737981166361E-2</v>
      </c>
      <c r="S13" s="2079">
        <v>0.17677184867008094</v>
      </c>
      <c r="T13" s="89">
        <v>29</v>
      </c>
      <c r="U13" s="740">
        <v>0.68300000000000005</v>
      </c>
      <c r="V13" s="740">
        <v>6.2960000000000003</v>
      </c>
      <c r="W13" s="740">
        <v>0.8165</v>
      </c>
      <c r="X13" s="740">
        <v>0.8165</v>
      </c>
      <c r="Y13" s="740">
        <v>5.6129999999999995</v>
      </c>
      <c r="Z13" s="2067">
        <v>0.12185802267482651</v>
      </c>
      <c r="AA13" s="2067">
        <v>0.1529767707883794</v>
      </c>
      <c r="AB13" s="2094">
        <v>0.27483479346320594</v>
      </c>
    </row>
    <row r="14" spans="1:28">
      <c r="B14" s="2077">
        <v>30</v>
      </c>
      <c r="C14" s="2069">
        <v>0.66800000000000004</v>
      </c>
      <c r="D14" s="2069">
        <v>5.9820000000000002</v>
      </c>
      <c r="E14" s="2069">
        <v>1.359</v>
      </c>
      <c r="F14" s="2069">
        <v>1.359</v>
      </c>
      <c r="G14" s="2069">
        <v>5.3140000000000001</v>
      </c>
      <c r="H14" s="2070">
        <v>0.125705683101242</v>
      </c>
      <c r="I14" s="2070">
        <v>0.25573955589010161</v>
      </c>
      <c r="J14" s="2078">
        <v>0.38144523899134364</v>
      </c>
      <c r="K14" s="2077">
        <v>30</v>
      </c>
      <c r="L14" s="2069">
        <v>0.76</v>
      </c>
      <c r="M14" s="2069">
        <v>6.9660000000000002</v>
      </c>
      <c r="N14" s="2071">
        <v>0.36599999999999999</v>
      </c>
      <c r="O14" s="2069">
        <v>0.36599999999999999</v>
      </c>
      <c r="P14" s="2069">
        <v>6.2060000000000004</v>
      </c>
      <c r="Q14" s="2070">
        <v>0.12246213341927166</v>
      </c>
      <c r="R14" s="2070">
        <v>5.8975185304543987E-2</v>
      </c>
      <c r="S14" s="2078">
        <v>0.18143731872381563</v>
      </c>
      <c r="T14" s="2077">
        <v>30</v>
      </c>
      <c r="U14" s="1686">
        <v>0.71399999999999997</v>
      </c>
      <c r="V14" s="1686">
        <v>6.4740000000000002</v>
      </c>
      <c r="W14" s="1686">
        <v>0.86250000000000004</v>
      </c>
      <c r="X14" s="1686">
        <v>0.86250000000000004</v>
      </c>
      <c r="Y14" s="1686">
        <v>5.76</v>
      </c>
      <c r="Z14" s="2072">
        <v>0.12408390826025684</v>
      </c>
      <c r="AA14" s="2072">
        <v>0.1573573705973228</v>
      </c>
      <c r="AB14" s="2093">
        <v>0.28144127885757964</v>
      </c>
    </row>
    <row r="15" spans="1:28">
      <c r="B15" s="89">
        <v>31</v>
      </c>
      <c r="C15" s="1">
        <v>0.69199999999999995</v>
      </c>
      <c r="D15" s="1">
        <v>6.1520000000000001</v>
      </c>
      <c r="E15" s="1">
        <v>1.431</v>
      </c>
      <c r="F15" s="1">
        <v>1.431</v>
      </c>
      <c r="G15" s="1">
        <v>5.46</v>
      </c>
      <c r="H15" s="741">
        <v>0.12673992673992673</v>
      </c>
      <c r="I15" s="741">
        <v>0.2620879120879121</v>
      </c>
      <c r="J15" s="2079">
        <v>0.38882783882783883</v>
      </c>
      <c r="K15" s="89">
        <v>31</v>
      </c>
      <c r="L15" s="1">
        <v>0.79300000000000004</v>
      </c>
      <c r="M15" s="1">
        <v>7.1589999999999998</v>
      </c>
      <c r="N15" s="1419">
        <v>0.38600000000000001</v>
      </c>
      <c r="O15" s="1">
        <v>0.38600000000000001</v>
      </c>
      <c r="P15" s="1">
        <v>6.3659999999999997</v>
      </c>
      <c r="Q15" s="741">
        <v>0.12456801759346529</v>
      </c>
      <c r="R15" s="741">
        <v>6.0634621426327369E-2</v>
      </c>
      <c r="S15" s="2079">
        <v>0.18520263901979267</v>
      </c>
      <c r="T15" s="89">
        <v>31</v>
      </c>
      <c r="U15" s="740">
        <v>0.74249999999999994</v>
      </c>
      <c r="V15" s="740">
        <v>6.6555</v>
      </c>
      <c r="W15" s="740">
        <v>0.90850000000000009</v>
      </c>
      <c r="X15" s="740">
        <v>0.90850000000000009</v>
      </c>
      <c r="Y15" s="740">
        <v>5.9130000000000003</v>
      </c>
      <c r="Z15" s="2067">
        <v>0.12565397216669602</v>
      </c>
      <c r="AA15" s="2067">
        <v>0.16136126675711973</v>
      </c>
      <c r="AB15" s="2094">
        <v>0.28701523892381575</v>
      </c>
    </row>
    <row r="16" spans="1:28">
      <c r="B16" s="2077">
        <v>32</v>
      </c>
      <c r="C16" s="2069">
        <v>0.71499999999999997</v>
      </c>
      <c r="D16" s="2069">
        <v>6.327</v>
      </c>
      <c r="E16" s="2069">
        <v>1.502</v>
      </c>
      <c r="F16" s="2069">
        <v>1.502</v>
      </c>
      <c r="G16" s="2069">
        <v>5.6120000000000001</v>
      </c>
      <c r="H16" s="2070">
        <v>0.12740555951532428</v>
      </c>
      <c r="I16" s="2070">
        <v>0.26764076977904488</v>
      </c>
      <c r="J16" s="2078">
        <v>0.39504632929436917</v>
      </c>
      <c r="K16" s="2077">
        <v>32</v>
      </c>
      <c r="L16" s="2069">
        <v>0.82399999999999995</v>
      </c>
      <c r="M16" s="2069">
        <v>7.3550000000000004</v>
      </c>
      <c r="N16" s="2071">
        <v>0.40500000000000003</v>
      </c>
      <c r="O16" s="2069">
        <v>0.40500000000000003</v>
      </c>
      <c r="P16" s="2069">
        <v>6.5310000000000006</v>
      </c>
      <c r="Q16" s="2070">
        <v>0.12616750880416475</v>
      </c>
      <c r="R16" s="2070">
        <v>6.2011943040881944E-2</v>
      </c>
      <c r="S16" s="2078">
        <v>0.1881794518450467</v>
      </c>
      <c r="T16" s="2077">
        <v>32</v>
      </c>
      <c r="U16" s="1686">
        <v>0.76949999999999996</v>
      </c>
      <c r="V16" s="1686">
        <v>6.8410000000000002</v>
      </c>
      <c r="W16" s="1686">
        <v>0.95350000000000001</v>
      </c>
      <c r="X16" s="1686">
        <v>0.95350000000000001</v>
      </c>
      <c r="Y16" s="1686">
        <v>6.0715000000000003</v>
      </c>
      <c r="Z16" s="2072">
        <v>0.1267865341597445</v>
      </c>
      <c r="AA16" s="2072">
        <v>0.1648263564099634</v>
      </c>
      <c r="AB16" s="2093">
        <v>0.29161289056970796</v>
      </c>
    </row>
    <row r="17" spans="2:28">
      <c r="B17" s="89">
        <v>33</v>
      </c>
      <c r="C17" s="1">
        <v>0.73699999999999999</v>
      </c>
      <c r="D17" s="1">
        <v>6.5060000000000002</v>
      </c>
      <c r="E17" s="1">
        <v>1.5740000000000001</v>
      </c>
      <c r="F17" s="1">
        <v>1.5740000000000001</v>
      </c>
      <c r="G17" s="1">
        <v>5.7690000000000001</v>
      </c>
      <c r="H17" s="741">
        <v>0.12775177673773616</v>
      </c>
      <c r="I17" s="741">
        <v>0.27283758016987347</v>
      </c>
      <c r="J17" s="2079">
        <v>0.40058935690760966</v>
      </c>
      <c r="K17" s="89">
        <v>33</v>
      </c>
      <c r="L17" s="1">
        <v>0.85199999999999998</v>
      </c>
      <c r="M17" s="1">
        <v>7.556</v>
      </c>
      <c r="N17" s="1419">
        <v>0.42299999999999999</v>
      </c>
      <c r="O17" s="1">
        <v>0.42299999999999999</v>
      </c>
      <c r="P17" s="1">
        <v>6.7039999999999997</v>
      </c>
      <c r="Q17" s="741">
        <v>0.12708830548926014</v>
      </c>
      <c r="R17" s="741">
        <v>6.3096658711217182E-2</v>
      </c>
      <c r="S17" s="2079">
        <v>0.19018496420047731</v>
      </c>
      <c r="T17" s="89">
        <v>33</v>
      </c>
      <c r="U17" s="740">
        <v>0.79449999999999998</v>
      </c>
      <c r="V17" s="740">
        <v>7.0310000000000006</v>
      </c>
      <c r="W17" s="740">
        <v>0.99850000000000005</v>
      </c>
      <c r="X17" s="740">
        <v>0.99850000000000005</v>
      </c>
      <c r="Y17" s="740">
        <v>6.2364999999999995</v>
      </c>
      <c r="Z17" s="2067">
        <v>0.12742004111349814</v>
      </c>
      <c r="AA17" s="2067">
        <v>0.16796711944054532</v>
      </c>
      <c r="AB17" s="2094">
        <v>0.29538716055404346</v>
      </c>
    </row>
    <row r="18" spans="2:28">
      <c r="B18" s="2077">
        <v>34</v>
      </c>
      <c r="C18" s="2069">
        <v>0.75700000000000001</v>
      </c>
      <c r="D18" s="2069">
        <v>6.6890000000000001</v>
      </c>
      <c r="E18" s="2069">
        <v>1.6459999999999999</v>
      </c>
      <c r="F18" s="2069">
        <v>1.6459999999999999</v>
      </c>
      <c r="G18" s="2069">
        <v>5.9320000000000004</v>
      </c>
      <c r="H18" s="2070">
        <v>0.12761294672960216</v>
      </c>
      <c r="I18" s="2070">
        <v>0.27747808496291299</v>
      </c>
      <c r="J18" s="2078">
        <v>0.40509103169251515</v>
      </c>
      <c r="K18" s="2077">
        <v>34</v>
      </c>
      <c r="L18" s="2069">
        <v>0.877</v>
      </c>
      <c r="M18" s="2069">
        <v>7.76</v>
      </c>
      <c r="N18" s="2071">
        <v>0.441</v>
      </c>
      <c r="O18" s="2069">
        <v>0.441</v>
      </c>
      <c r="P18" s="2069">
        <v>6.883</v>
      </c>
      <c r="Q18" s="2070">
        <v>0.12741537120441668</v>
      </c>
      <c r="R18" s="2070">
        <v>6.4070899317158217E-2</v>
      </c>
      <c r="S18" s="2078">
        <v>0.19148627052157491</v>
      </c>
      <c r="T18" s="2077">
        <v>34</v>
      </c>
      <c r="U18" s="1686">
        <v>0.81699999999999995</v>
      </c>
      <c r="V18" s="1686">
        <v>7.2244999999999999</v>
      </c>
      <c r="W18" s="1686">
        <v>1.0434999999999999</v>
      </c>
      <c r="X18" s="1686">
        <v>1.0434999999999999</v>
      </c>
      <c r="Y18" s="1686">
        <v>6.4075000000000006</v>
      </c>
      <c r="Z18" s="2072">
        <v>0.12751415896700941</v>
      </c>
      <c r="AA18" s="2072">
        <v>0.17077449214003559</v>
      </c>
      <c r="AB18" s="2093">
        <v>0.29828865110704506</v>
      </c>
    </row>
    <row r="19" spans="2:28">
      <c r="B19" s="89">
        <v>35</v>
      </c>
      <c r="C19" s="1">
        <v>0.77500000000000002</v>
      </c>
      <c r="D19" s="1">
        <v>6.8769999999999998</v>
      </c>
      <c r="E19" s="1">
        <v>1.718</v>
      </c>
      <c r="F19" s="1">
        <v>1.718</v>
      </c>
      <c r="G19" s="1">
        <v>6.1019999999999994</v>
      </c>
      <c r="H19" s="741">
        <v>0.12700753851196331</v>
      </c>
      <c r="I19" s="741">
        <v>0.28154703375942314</v>
      </c>
      <c r="J19" s="2079">
        <v>0.40855457227138647</v>
      </c>
      <c r="K19" s="89">
        <v>35</v>
      </c>
      <c r="L19" s="1">
        <v>0.89800000000000002</v>
      </c>
      <c r="M19" s="1">
        <v>7.968</v>
      </c>
      <c r="N19" s="1419">
        <v>0.45800000000000002</v>
      </c>
      <c r="O19" s="1">
        <v>0.45800000000000002</v>
      </c>
      <c r="P19" s="1">
        <v>7.07</v>
      </c>
      <c r="Q19" s="741">
        <v>0.12701555869872702</v>
      </c>
      <c r="R19" s="741">
        <v>6.4780763790664775E-2</v>
      </c>
      <c r="S19" s="2079">
        <v>0.1917963224893918</v>
      </c>
      <c r="T19" s="89">
        <v>35</v>
      </c>
      <c r="U19" s="740">
        <v>0.83650000000000002</v>
      </c>
      <c r="V19" s="740">
        <v>7.4224999999999994</v>
      </c>
      <c r="W19" s="740">
        <v>1.0880000000000001</v>
      </c>
      <c r="X19" s="740">
        <v>1.0880000000000001</v>
      </c>
      <c r="Y19" s="740">
        <v>6.5860000000000003</v>
      </c>
      <c r="Z19" s="2067">
        <v>0.12701154860534516</v>
      </c>
      <c r="AA19" s="2067">
        <v>0.17316389877504396</v>
      </c>
      <c r="AB19" s="2094">
        <v>0.30017544738038915</v>
      </c>
    </row>
    <row r="20" spans="2:28">
      <c r="B20" s="2077">
        <v>36</v>
      </c>
      <c r="C20" s="2069">
        <v>0.79</v>
      </c>
      <c r="D20" s="2069">
        <v>7.0670000000000002</v>
      </c>
      <c r="E20" s="2069">
        <v>1.79</v>
      </c>
      <c r="F20" s="2069">
        <v>1.79</v>
      </c>
      <c r="G20" s="2069">
        <v>6.2770000000000001</v>
      </c>
      <c r="H20" s="2070">
        <v>0.12585630078062768</v>
      </c>
      <c r="I20" s="2070">
        <v>0.28516807392066273</v>
      </c>
      <c r="J20" s="2078">
        <v>0.41102437470129038</v>
      </c>
      <c r="K20" s="2077">
        <v>36</v>
      </c>
      <c r="L20" s="2069">
        <v>0.91400000000000003</v>
      </c>
      <c r="M20" s="2069">
        <v>8.1780000000000008</v>
      </c>
      <c r="N20" s="2071">
        <v>0.47499999999999998</v>
      </c>
      <c r="O20" s="2069">
        <v>0.47499999999999998</v>
      </c>
      <c r="P20" s="2069">
        <v>7.2640000000000011</v>
      </c>
      <c r="Q20" s="2070">
        <v>0.12582599118942731</v>
      </c>
      <c r="R20" s="2070">
        <v>6.5390969162995582E-2</v>
      </c>
      <c r="S20" s="2078">
        <v>0.19121696035242289</v>
      </c>
      <c r="T20" s="2077">
        <v>36</v>
      </c>
      <c r="U20" s="1686">
        <v>0.85200000000000009</v>
      </c>
      <c r="V20" s="1686">
        <v>7.6225000000000005</v>
      </c>
      <c r="W20" s="1686">
        <v>1.1325000000000001</v>
      </c>
      <c r="X20" s="1686">
        <v>1.1325000000000001</v>
      </c>
      <c r="Y20" s="1686">
        <v>6.7705000000000002</v>
      </c>
      <c r="Z20" s="2072">
        <v>0.12584114598502749</v>
      </c>
      <c r="AA20" s="2072">
        <v>0.17527952154182916</v>
      </c>
      <c r="AB20" s="2093">
        <v>0.30112066752685662</v>
      </c>
    </row>
    <row r="21" spans="2:28">
      <c r="B21" s="89">
        <v>37</v>
      </c>
      <c r="C21" s="1">
        <v>0.8</v>
      </c>
      <c r="D21" s="1">
        <v>7.26</v>
      </c>
      <c r="E21" s="1">
        <v>1.8620000000000001</v>
      </c>
      <c r="F21" s="1">
        <v>1.8620000000000001</v>
      </c>
      <c r="G21" s="1">
        <v>6.46</v>
      </c>
      <c r="H21" s="741">
        <v>0.12383900928792571</v>
      </c>
      <c r="I21" s="741">
        <v>0.28823529411764709</v>
      </c>
      <c r="J21" s="2079">
        <v>0.41207430340557283</v>
      </c>
      <c r="K21" s="89">
        <v>37</v>
      </c>
      <c r="L21" s="1">
        <v>0.92500000000000004</v>
      </c>
      <c r="M21" s="1">
        <v>8.391</v>
      </c>
      <c r="N21" s="1419">
        <v>0.49</v>
      </c>
      <c r="O21" s="1">
        <v>0.49</v>
      </c>
      <c r="P21" s="1">
        <v>7.4660000000000002</v>
      </c>
      <c r="Q21" s="741">
        <v>0.12389499062416287</v>
      </c>
      <c r="R21" s="741">
        <v>6.5630859898205191E-2</v>
      </c>
      <c r="S21" s="2079">
        <v>0.18952585052236806</v>
      </c>
      <c r="T21" s="89">
        <v>37</v>
      </c>
      <c r="U21" s="740">
        <v>0.86250000000000004</v>
      </c>
      <c r="V21" s="740">
        <v>7.8254999999999999</v>
      </c>
      <c r="W21" s="740">
        <v>1.1760000000000002</v>
      </c>
      <c r="X21" s="740">
        <v>1.1760000000000002</v>
      </c>
      <c r="Y21" s="740">
        <v>6.9630000000000001</v>
      </c>
      <c r="Z21" s="2067">
        <v>0.12386699995604429</v>
      </c>
      <c r="AA21" s="2067">
        <v>0.17693307700792615</v>
      </c>
      <c r="AB21" s="2094">
        <v>0.30080007696397043</v>
      </c>
    </row>
    <row r="22" spans="2:28">
      <c r="B22" s="2077">
        <v>38</v>
      </c>
      <c r="C22" s="2069">
        <v>0.80400000000000005</v>
      </c>
      <c r="D22" s="2069">
        <v>7.4550000000000001</v>
      </c>
      <c r="E22" s="2069">
        <v>1.9339999999999999</v>
      </c>
      <c r="F22" s="2069">
        <v>1.9339999999999999</v>
      </c>
      <c r="G22" s="2069">
        <v>6.6509999999999998</v>
      </c>
      <c r="H22" s="2070">
        <v>0.12088407758231846</v>
      </c>
      <c r="I22" s="2070">
        <v>0.29078334085099983</v>
      </c>
      <c r="J22" s="2078">
        <v>0.41166741843331828</v>
      </c>
      <c r="K22" s="2077">
        <v>38</v>
      </c>
      <c r="L22" s="2069">
        <v>0.92900000000000005</v>
      </c>
      <c r="M22" s="2069">
        <v>8.6050000000000004</v>
      </c>
      <c r="N22" s="2071">
        <v>0.505</v>
      </c>
      <c r="O22" s="2069">
        <v>0.505</v>
      </c>
      <c r="P22" s="2069">
        <v>7.6760000000000002</v>
      </c>
      <c r="Q22" s="2070">
        <v>0.12102657634184472</v>
      </c>
      <c r="R22" s="2070">
        <v>6.5789473684210523E-2</v>
      </c>
      <c r="S22" s="2078">
        <v>0.18681605002605522</v>
      </c>
      <c r="T22" s="2077">
        <v>38</v>
      </c>
      <c r="U22" s="1686">
        <v>0.86650000000000005</v>
      </c>
      <c r="V22" s="1686">
        <v>8.0300000000000011</v>
      </c>
      <c r="W22" s="1686">
        <v>1.2195</v>
      </c>
      <c r="X22" s="1686">
        <v>1.2195</v>
      </c>
      <c r="Y22" s="1686">
        <v>7.1635</v>
      </c>
      <c r="Z22" s="2072">
        <v>0.12095532696208158</v>
      </c>
      <c r="AA22" s="2072">
        <v>0.17828640726760517</v>
      </c>
      <c r="AB22" s="2093">
        <v>0.29924173422968675</v>
      </c>
    </row>
    <row r="23" spans="2:28">
      <c r="B23" s="89">
        <v>39</v>
      </c>
      <c r="C23" s="1">
        <v>0.80400000000000005</v>
      </c>
      <c r="D23" s="1">
        <v>7.6529999999999996</v>
      </c>
      <c r="E23" s="1">
        <v>2.0059999999999998</v>
      </c>
      <c r="F23" s="1">
        <v>2.0059999999999998</v>
      </c>
      <c r="G23" s="1">
        <v>6.8489999999999993</v>
      </c>
      <c r="H23" s="741">
        <v>0.11738939991239598</v>
      </c>
      <c r="I23" s="741">
        <v>0.29288947291575412</v>
      </c>
      <c r="J23" s="2079">
        <v>0.41027887282815012</v>
      </c>
      <c r="K23" s="89">
        <v>39</v>
      </c>
      <c r="L23" s="1">
        <v>0.92700000000000005</v>
      </c>
      <c r="M23" s="1">
        <v>8.8230000000000004</v>
      </c>
      <c r="N23" s="1419">
        <v>0.51900000000000002</v>
      </c>
      <c r="O23" s="1">
        <v>0.51900000000000002</v>
      </c>
      <c r="P23" s="1">
        <v>7.8960000000000008</v>
      </c>
      <c r="Q23" s="741">
        <v>0.11740121580547112</v>
      </c>
      <c r="R23" s="741">
        <v>6.5729483282674764E-2</v>
      </c>
      <c r="S23" s="2079">
        <v>0.18313069908814589</v>
      </c>
      <c r="T23" s="89">
        <v>39</v>
      </c>
      <c r="U23" s="740">
        <v>0.86550000000000005</v>
      </c>
      <c r="V23" s="740">
        <v>8.2379999999999995</v>
      </c>
      <c r="W23" s="740">
        <v>1.2625</v>
      </c>
      <c r="X23" s="740">
        <v>1.2625</v>
      </c>
      <c r="Y23" s="740">
        <v>7.3725000000000005</v>
      </c>
      <c r="Z23" s="2067">
        <v>0.11739530785893355</v>
      </c>
      <c r="AA23" s="2067">
        <v>0.17930947809921444</v>
      </c>
      <c r="AB23" s="2094">
        <v>0.29670478595814798</v>
      </c>
    </row>
    <row r="24" spans="2:28">
      <c r="B24" s="2077">
        <v>40</v>
      </c>
      <c r="C24" s="2069">
        <v>0.79900000000000004</v>
      </c>
      <c r="D24" s="2069">
        <v>7.8540000000000001</v>
      </c>
      <c r="E24" s="2069">
        <v>2.0790000000000002</v>
      </c>
      <c r="F24" s="2069">
        <v>2.0790000000000002</v>
      </c>
      <c r="G24" s="2069">
        <v>7.0549999999999997</v>
      </c>
      <c r="H24" s="2070">
        <v>0.11325301204819278</v>
      </c>
      <c r="I24" s="2070">
        <v>0.29468462083628638</v>
      </c>
      <c r="J24" s="2078">
        <v>0.40793763288447915</v>
      </c>
      <c r="K24" s="2077">
        <v>40</v>
      </c>
      <c r="L24" s="2069">
        <v>0.92</v>
      </c>
      <c r="M24" s="2069">
        <v>9.0429999999999993</v>
      </c>
      <c r="N24" s="2071">
        <v>0.53300000000000003</v>
      </c>
      <c r="O24" s="2069">
        <v>0.53300000000000003</v>
      </c>
      <c r="P24" s="2069">
        <v>8.1229999999999993</v>
      </c>
      <c r="Q24" s="2070">
        <v>0.11325864828265421</v>
      </c>
      <c r="R24" s="2070">
        <v>6.5616151668102932E-2</v>
      </c>
      <c r="S24" s="2078">
        <v>0.17887479995075714</v>
      </c>
      <c r="T24" s="2077">
        <v>40</v>
      </c>
      <c r="U24" s="1686">
        <v>0.85950000000000004</v>
      </c>
      <c r="V24" s="1686">
        <v>8.4484999999999992</v>
      </c>
      <c r="W24" s="1686">
        <v>1.306</v>
      </c>
      <c r="X24" s="1686">
        <v>1.306</v>
      </c>
      <c r="Y24" s="1686">
        <v>7.5889999999999995</v>
      </c>
      <c r="Z24" s="2072">
        <v>0.1132558301654235</v>
      </c>
      <c r="AA24" s="2072">
        <v>0.18015038625219465</v>
      </c>
      <c r="AB24" s="2093">
        <v>0.29340621641761816</v>
      </c>
    </row>
    <row r="25" spans="2:28">
      <c r="B25" s="89">
        <v>41</v>
      </c>
      <c r="C25" s="1">
        <v>0.79200000000000004</v>
      </c>
      <c r="D25" s="1">
        <v>8.0609999999999999</v>
      </c>
      <c r="E25" s="1">
        <v>2.153</v>
      </c>
      <c r="F25" s="1">
        <v>2.153</v>
      </c>
      <c r="G25" s="1">
        <v>7.2690000000000001</v>
      </c>
      <c r="H25" s="741">
        <v>0.10895583986793232</v>
      </c>
      <c r="I25" s="741">
        <v>0.29618929701472002</v>
      </c>
      <c r="J25" s="2079">
        <v>0.40514513688265236</v>
      </c>
      <c r="K25" s="89">
        <v>41</v>
      </c>
      <c r="L25" s="1">
        <v>0.90900000000000003</v>
      </c>
      <c r="M25" s="1">
        <v>9.2690000000000001</v>
      </c>
      <c r="N25" s="1419">
        <v>0.54500000000000004</v>
      </c>
      <c r="O25" s="1">
        <v>0.54500000000000004</v>
      </c>
      <c r="P25" s="1">
        <v>8.36</v>
      </c>
      <c r="Q25" s="741">
        <v>0.10873205741626796</v>
      </c>
      <c r="R25" s="741">
        <v>6.519138755980862E-2</v>
      </c>
      <c r="S25" s="2079">
        <v>0.17392344497607659</v>
      </c>
      <c r="T25" s="89">
        <v>41</v>
      </c>
      <c r="U25" s="740">
        <v>0.85050000000000003</v>
      </c>
      <c r="V25" s="740">
        <v>8.6649999999999991</v>
      </c>
      <c r="W25" s="740">
        <v>1.349</v>
      </c>
      <c r="X25" s="740">
        <v>1.349</v>
      </c>
      <c r="Y25" s="740">
        <v>7.8144999999999998</v>
      </c>
      <c r="Z25" s="2067">
        <v>0.10884394864210015</v>
      </c>
      <c r="AA25" s="2067">
        <v>0.18069034228726433</v>
      </c>
      <c r="AB25" s="2094">
        <v>0.28953429092936445</v>
      </c>
    </row>
    <row r="26" spans="2:28">
      <c r="B26" s="2077">
        <v>42</v>
      </c>
      <c r="C26" s="2069">
        <v>0.78400000000000003</v>
      </c>
      <c r="D26" s="2069">
        <v>8.2739999999999991</v>
      </c>
      <c r="E26" s="2069">
        <v>2.2269999999999999</v>
      </c>
      <c r="F26" s="2069">
        <v>2.2269999999999999</v>
      </c>
      <c r="G26" s="2069">
        <v>7.4899999999999993</v>
      </c>
      <c r="H26" s="2070">
        <v>0.1046728971962617</v>
      </c>
      <c r="I26" s="2070">
        <v>0.29732977303070762</v>
      </c>
      <c r="J26" s="2078">
        <v>0.40200267022696934</v>
      </c>
      <c r="K26" s="2077">
        <v>42</v>
      </c>
      <c r="L26" s="2069">
        <v>0.89400000000000002</v>
      </c>
      <c r="M26" s="2069">
        <v>9.5</v>
      </c>
      <c r="N26" s="2071">
        <v>0.55800000000000005</v>
      </c>
      <c r="O26" s="2069">
        <v>0.55800000000000005</v>
      </c>
      <c r="P26" s="2069">
        <v>8.6059999999999999</v>
      </c>
      <c r="Q26" s="2070">
        <v>0.10388101324657216</v>
      </c>
      <c r="R26" s="2070">
        <v>6.4838484778061825E-2</v>
      </c>
      <c r="S26" s="2078">
        <v>0.16871949802463398</v>
      </c>
      <c r="T26" s="2077">
        <v>42</v>
      </c>
      <c r="U26" s="1686">
        <v>0.83899999999999997</v>
      </c>
      <c r="V26" s="1686">
        <v>8.8870000000000005</v>
      </c>
      <c r="W26" s="1686">
        <v>1.3925000000000001</v>
      </c>
      <c r="X26" s="1686">
        <v>1.3925000000000001</v>
      </c>
      <c r="Y26" s="1686">
        <v>8.048</v>
      </c>
      <c r="Z26" s="2072">
        <v>0.10427695522141693</v>
      </c>
      <c r="AA26" s="2072">
        <v>0.18108412890438472</v>
      </c>
      <c r="AB26" s="2093">
        <v>0.28536108412580163</v>
      </c>
    </row>
    <row r="27" spans="2:28">
      <c r="B27" s="89">
        <v>43</v>
      </c>
      <c r="C27" s="1">
        <v>0.77500000000000002</v>
      </c>
      <c r="D27" s="1">
        <v>8.4960000000000004</v>
      </c>
      <c r="E27" s="1">
        <v>2.3029999999999999</v>
      </c>
      <c r="F27" s="1">
        <v>2.3029999999999999</v>
      </c>
      <c r="G27" s="1">
        <v>7.7210000000000001</v>
      </c>
      <c r="H27" s="741">
        <v>0.10037559901567154</v>
      </c>
      <c r="I27" s="741">
        <v>0.29827742520398909</v>
      </c>
      <c r="J27" s="2079">
        <v>0.39865302421966065</v>
      </c>
      <c r="K27" s="89">
        <v>43</v>
      </c>
      <c r="L27" s="1">
        <v>0.877</v>
      </c>
      <c r="M27" s="1">
        <v>9.7379999999999995</v>
      </c>
      <c r="N27" s="1419">
        <v>0.56999999999999995</v>
      </c>
      <c r="O27" s="1">
        <v>0.56999999999999995</v>
      </c>
      <c r="P27" s="1">
        <v>8.8609999999999989</v>
      </c>
      <c r="Q27" s="741">
        <v>9.8973027874957695E-2</v>
      </c>
      <c r="R27" s="741">
        <v>6.4326825414738747E-2</v>
      </c>
      <c r="S27" s="2079">
        <v>0.16329985328969643</v>
      </c>
      <c r="T27" s="89">
        <v>43</v>
      </c>
      <c r="U27" s="740">
        <v>0.82600000000000007</v>
      </c>
      <c r="V27" s="740">
        <v>9.1170000000000009</v>
      </c>
      <c r="W27" s="740">
        <v>1.4364999999999999</v>
      </c>
      <c r="X27" s="740">
        <v>1.4364999999999999</v>
      </c>
      <c r="Y27" s="740">
        <v>8.2910000000000004</v>
      </c>
      <c r="Z27" s="2067">
        <v>9.9674313445314619E-2</v>
      </c>
      <c r="AA27" s="2067">
        <v>0.1813021253093639</v>
      </c>
      <c r="AB27" s="2094">
        <v>0.28097643875467854</v>
      </c>
    </row>
    <row r="28" spans="2:28">
      <c r="B28" s="2077">
        <v>44</v>
      </c>
      <c r="C28" s="2069">
        <v>0.76600000000000001</v>
      </c>
      <c r="D28" s="2069">
        <v>8.7260000000000009</v>
      </c>
      <c r="E28" s="2069">
        <v>2.38</v>
      </c>
      <c r="F28" s="2069">
        <v>2.38</v>
      </c>
      <c r="G28" s="2069">
        <v>7.9600000000000009</v>
      </c>
      <c r="H28" s="2070">
        <v>9.6231155778894462E-2</v>
      </c>
      <c r="I28" s="2070">
        <v>0.29899497487437182</v>
      </c>
      <c r="J28" s="2078">
        <v>0.39522613065326628</v>
      </c>
      <c r="K28" s="2077">
        <v>44</v>
      </c>
      <c r="L28" s="2069">
        <v>0.85799999999999998</v>
      </c>
      <c r="M28" s="2069">
        <v>9.984</v>
      </c>
      <c r="N28" s="2071">
        <v>0.58199999999999996</v>
      </c>
      <c r="O28" s="2069">
        <v>0.58199999999999996</v>
      </c>
      <c r="P28" s="2069">
        <v>9.1259999999999994</v>
      </c>
      <c r="Q28" s="2070">
        <v>9.4017094017094016E-2</v>
      </c>
      <c r="R28" s="2070">
        <v>6.3773833004602237E-2</v>
      </c>
      <c r="S28" s="2078">
        <v>0.15779092702169625</v>
      </c>
      <c r="T28" s="2077">
        <v>44</v>
      </c>
      <c r="U28" s="1686">
        <v>0.81200000000000006</v>
      </c>
      <c r="V28" s="1686">
        <v>9.3550000000000004</v>
      </c>
      <c r="W28" s="1686">
        <v>1.4809999999999999</v>
      </c>
      <c r="X28" s="1686">
        <v>1.4809999999999999</v>
      </c>
      <c r="Y28" s="1686">
        <v>8.5429999999999993</v>
      </c>
      <c r="Z28" s="2072">
        <v>9.5124124897994239E-2</v>
      </c>
      <c r="AA28" s="2072">
        <v>0.18138440393948702</v>
      </c>
      <c r="AB28" s="2093">
        <v>0.27650852883748128</v>
      </c>
    </row>
    <row r="29" spans="2:28">
      <c r="B29" s="89">
        <v>45</v>
      </c>
      <c r="C29" s="1">
        <v>0.75600000000000001</v>
      </c>
      <c r="D29" s="1">
        <v>8.9640000000000004</v>
      </c>
      <c r="E29" s="1">
        <v>2.456</v>
      </c>
      <c r="F29" s="1">
        <v>2.456</v>
      </c>
      <c r="G29" s="1">
        <v>8.2080000000000002</v>
      </c>
      <c r="H29" s="741">
        <v>9.2105263157894732E-2</v>
      </c>
      <c r="I29" s="741">
        <v>0.29922027290448344</v>
      </c>
      <c r="J29" s="2079">
        <v>0.39132553606237819</v>
      </c>
      <c r="K29" s="89">
        <v>45</v>
      </c>
      <c r="L29" s="1">
        <v>0.83799999999999997</v>
      </c>
      <c r="M29" s="1">
        <v>10.238</v>
      </c>
      <c r="N29" s="1419">
        <v>0.59399999999999997</v>
      </c>
      <c r="O29" s="1">
        <v>0.59399999999999997</v>
      </c>
      <c r="P29" s="1">
        <v>9.4</v>
      </c>
      <c r="Q29" s="741">
        <v>8.9148936170212759E-2</v>
      </c>
      <c r="R29" s="741">
        <v>6.3191489361702116E-2</v>
      </c>
      <c r="S29" s="2079">
        <v>0.15234042553191487</v>
      </c>
      <c r="T29" s="89">
        <v>45</v>
      </c>
      <c r="U29" s="740">
        <v>0.79699999999999993</v>
      </c>
      <c r="V29" s="740">
        <v>9.6009999999999991</v>
      </c>
      <c r="W29" s="740">
        <v>1.5249999999999999</v>
      </c>
      <c r="X29" s="740">
        <v>1.5249999999999999</v>
      </c>
      <c r="Y29" s="740">
        <v>8.8040000000000003</v>
      </c>
      <c r="Z29" s="2067">
        <v>9.0627099664053745E-2</v>
      </c>
      <c r="AA29" s="2067">
        <v>0.18120588113309277</v>
      </c>
      <c r="AB29" s="2094">
        <v>0.27183298079714652</v>
      </c>
    </row>
    <row r="30" spans="2:28">
      <c r="B30" s="2077">
        <v>46</v>
      </c>
      <c r="C30" s="2069">
        <v>0.74399999999999999</v>
      </c>
      <c r="D30" s="2069">
        <v>9.2089999999999996</v>
      </c>
      <c r="E30" s="2069">
        <v>2.5329999999999999</v>
      </c>
      <c r="F30" s="2069">
        <v>2.5329999999999999</v>
      </c>
      <c r="G30" s="2069">
        <v>8.4649999999999999</v>
      </c>
      <c r="H30" s="2070">
        <v>8.7891317188422913E-2</v>
      </c>
      <c r="I30" s="2070">
        <v>0.29923213230950974</v>
      </c>
      <c r="J30" s="2078">
        <v>0.38712344949793265</v>
      </c>
      <c r="K30" s="2077">
        <v>46</v>
      </c>
      <c r="L30" s="2069">
        <v>0.81499999999999995</v>
      </c>
      <c r="M30" s="2069">
        <v>10.5</v>
      </c>
      <c r="N30" s="2071">
        <v>0.60599999999999998</v>
      </c>
      <c r="O30" s="2069">
        <v>0.60599999999999998</v>
      </c>
      <c r="P30" s="2069">
        <v>9.6850000000000005</v>
      </c>
      <c r="Q30" s="2070">
        <v>8.4150748580278767E-2</v>
      </c>
      <c r="R30" s="2070">
        <v>6.2570986060918946E-2</v>
      </c>
      <c r="S30" s="2078">
        <v>0.1467217346411977</v>
      </c>
      <c r="T30" s="2077">
        <v>46</v>
      </c>
      <c r="U30" s="1686">
        <v>0.77949999999999997</v>
      </c>
      <c r="V30" s="1686">
        <v>9.8544999999999998</v>
      </c>
      <c r="W30" s="1686">
        <v>1.5694999999999999</v>
      </c>
      <c r="X30" s="1686">
        <v>1.5694999999999999</v>
      </c>
      <c r="Y30" s="1686">
        <v>9.0749999999999993</v>
      </c>
      <c r="Z30" s="2072">
        <v>8.602103288435084E-2</v>
      </c>
      <c r="AA30" s="2072">
        <v>0.18090155918521433</v>
      </c>
      <c r="AB30" s="2093">
        <v>0.26692259206956515</v>
      </c>
    </row>
    <row r="31" spans="2:28">
      <c r="B31" s="89">
        <v>47</v>
      </c>
      <c r="C31" s="1">
        <v>0.73</v>
      </c>
      <c r="D31" s="1">
        <v>9.4629999999999992</v>
      </c>
      <c r="E31" s="1">
        <v>2.6080000000000001</v>
      </c>
      <c r="F31" s="1">
        <v>2.6080000000000001</v>
      </c>
      <c r="G31" s="1">
        <v>8.7329999999999988</v>
      </c>
      <c r="H31" s="741">
        <v>8.3590976754837981E-2</v>
      </c>
      <c r="I31" s="741">
        <v>0.29863735257070884</v>
      </c>
      <c r="J31" s="2079">
        <v>0.38222832932554685</v>
      </c>
      <c r="K31" s="89">
        <v>47</v>
      </c>
      <c r="L31" s="1">
        <v>0.78900000000000003</v>
      </c>
      <c r="M31" s="1">
        <v>10.769</v>
      </c>
      <c r="N31" s="1419">
        <v>0.61699999999999999</v>
      </c>
      <c r="O31" s="1">
        <v>0.61699999999999999</v>
      </c>
      <c r="P31" s="1">
        <v>9.98</v>
      </c>
      <c r="Q31" s="741">
        <v>7.9058116232464934E-2</v>
      </c>
      <c r="R31" s="741">
        <v>6.1823647294589175E-2</v>
      </c>
      <c r="S31" s="2079">
        <v>0.14088176352705412</v>
      </c>
      <c r="T31" s="89">
        <v>47</v>
      </c>
      <c r="U31" s="740">
        <v>0.75950000000000006</v>
      </c>
      <c r="V31" s="740">
        <v>10.116</v>
      </c>
      <c r="W31" s="740">
        <v>1.6125</v>
      </c>
      <c r="X31" s="740">
        <v>1.6125</v>
      </c>
      <c r="Y31" s="740">
        <v>9.3565000000000005</v>
      </c>
      <c r="Z31" s="2067">
        <v>8.1324546493651451E-2</v>
      </c>
      <c r="AA31" s="2067">
        <v>0.180230499932649</v>
      </c>
      <c r="AB31" s="2094">
        <v>0.26155504642630045</v>
      </c>
    </row>
    <row r="32" spans="2:28">
      <c r="B32" s="2077">
        <v>48</v>
      </c>
      <c r="C32" s="2069">
        <v>0.71199999999999997</v>
      </c>
      <c r="D32" s="2069">
        <v>9.7240000000000002</v>
      </c>
      <c r="E32" s="2069">
        <v>2.6829999999999998</v>
      </c>
      <c r="F32" s="2069">
        <v>2.6829999999999998</v>
      </c>
      <c r="G32" s="2069">
        <v>9.0120000000000005</v>
      </c>
      <c r="H32" s="2070">
        <v>7.9005770084331989E-2</v>
      </c>
      <c r="I32" s="2070">
        <v>0.29771415889924541</v>
      </c>
      <c r="J32" s="2078">
        <v>0.37671992898357742</v>
      </c>
      <c r="K32" s="2077">
        <v>48</v>
      </c>
      <c r="L32" s="2069">
        <v>0.76100000000000001</v>
      </c>
      <c r="M32" s="2069">
        <v>11.047000000000001</v>
      </c>
      <c r="N32" s="2071">
        <v>0.627</v>
      </c>
      <c r="O32" s="2069">
        <v>0.627</v>
      </c>
      <c r="P32" s="2069">
        <v>10.286000000000001</v>
      </c>
      <c r="Q32" s="2070">
        <v>7.3984055998444473E-2</v>
      </c>
      <c r="R32" s="2070">
        <v>6.0956640093330731E-2</v>
      </c>
      <c r="S32" s="2078">
        <v>0.1349406960917752</v>
      </c>
      <c r="T32" s="2077">
        <v>48</v>
      </c>
      <c r="U32" s="1686">
        <v>0.73649999999999993</v>
      </c>
      <c r="V32" s="1686">
        <v>10.3855</v>
      </c>
      <c r="W32" s="1686">
        <v>1.6549999999999998</v>
      </c>
      <c r="X32" s="1686">
        <v>1.6549999999999998</v>
      </c>
      <c r="Y32" s="1686">
        <v>9.6490000000000009</v>
      </c>
      <c r="Z32" s="2072">
        <v>7.6494913041388224E-2</v>
      </c>
      <c r="AA32" s="2072">
        <v>0.17933539949628807</v>
      </c>
      <c r="AB32" s="2093">
        <v>0.2558303125376763</v>
      </c>
    </row>
    <row r="33" spans="2:28">
      <c r="B33" s="89">
        <v>49</v>
      </c>
      <c r="C33" s="1">
        <v>0.68899999999999995</v>
      </c>
      <c r="D33" s="1">
        <v>9.9939999999999998</v>
      </c>
      <c r="E33" s="1">
        <v>2.7559999999999998</v>
      </c>
      <c r="F33" s="1">
        <v>2.7559999999999998</v>
      </c>
      <c r="G33" s="1">
        <v>9.3049999999999997</v>
      </c>
      <c r="H33" s="741">
        <v>7.4046211714132185E-2</v>
      </c>
      <c r="I33" s="741">
        <v>0.29618484685652874</v>
      </c>
      <c r="J33" s="2079">
        <v>0.37023105857066091</v>
      </c>
      <c r="K33" s="89">
        <v>49</v>
      </c>
      <c r="L33" s="1">
        <v>0.72799999999999998</v>
      </c>
      <c r="M33" s="1">
        <v>11.332000000000001</v>
      </c>
      <c r="N33" s="1419">
        <v>0.63600000000000001</v>
      </c>
      <c r="O33" s="1">
        <v>0.63600000000000001</v>
      </c>
      <c r="P33" s="1">
        <v>10.604000000000001</v>
      </c>
      <c r="Q33" s="741">
        <v>6.8653338362881927E-2</v>
      </c>
      <c r="R33" s="741">
        <v>5.9977367031308938E-2</v>
      </c>
      <c r="S33" s="2079">
        <v>0.12863070539419086</v>
      </c>
      <c r="T33" s="89">
        <v>49</v>
      </c>
      <c r="U33" s="740">
        <v>0.70849999999999991</v>
      </c>
      <c r="V33" s="740">
        <v>10.663</v>
      </c>
      <c r="W33" s="740">
        <v>1.696</v>
      </c>
      <c r="X33" s="740">
        <v>1.696</v>
      </c>
      <c r="Y33" s="740">
        <v>9.9544999999999995</v>
      </c>
      <c r="Z33" s="2067">
        <v>7.1349775038507063E-2</v>
      </c>
      <c r="AA33" s="2067">
        <v>0.17808110694391885</v>
      </c>
      <c r="AB33" s="2094">
        <v>0.24943088198242588</v>
      </c>
    </row>
    <row r="34" spans="2:28">
      <c r="B34" s="2077">
        <v>50</v>
      </c>
      <c r="C34" s="2069">
        <v>0.66200000000000003</v>
      </c>
      <c r="D34" s="2069">
        <v>10.271000000000001</v>
      </c>
      <c r="E34" s="2069">
        <v>2.827</v>
      </c>
      <c r="F34" s="2069">
        <v>2.827</v>
      </c>
      <c r="G34" s="2069">
        <v>9.609</v>
      </c>
      <c r="H34" s="2070">
        <v>6.8893745446976795E-2</v>
      </c>
      <c r="I34" s="2070">
        <v>0.29420335102508066</v>
      </c>
      <c r="J34" s="2078">
        <v>0.36309709647205746</v>
      </c>
      <c r="K34" s="2077">
        <v>50</v>
      </c>
      <c r="L34" s="2069">
        <v>0.69199999999999995</v>
      </c>
      <c r="M34" s="2069">
        <v>11.625</v>
      </c>
      <c r="N34" s="2071">
        <v>0.64500000000000002</v>
      </c>
      <c r="O34" s="2069">
        <v>0.64500000000000002</v>
      </c>
      <c r="P34" s="2069">
        <v>10.933</v>
      </c>
      <c r="Q34" s="2070">
        <v>6.3294612640629286E-2</v>
      </c>
      <c r="R34" s="2070">
        <v>5.8995701088447823E-2</v>
      </c>
      <c r="S34" s="2078">
        <v>0.12229031372907712</v>
      </c>
      <c r="T34" s="2077">
        <v>50</v>
      </c>
      <c r="U34" s="1686">
        <v>0.67700000000000005</v>
      </c>
      <c r="V34" s="1686">
        <v>10.948</v>
      </c>
      <c r="W34" s="1686">
        <v>1.736</v>
      </c>
      <c r="X34" s="1686">
        <v>1.736</v>
      </c>
      <c r="Y34" s="1686">
        <v>10.271000000000001</v>
      </c>
      <c r="Z34" s="2072">
        <v>6.6094179043803047E-2</v>
      </c>
      <c r="AA34" s="2072">
        <v>0.17659952605676424</v>
      </c>
      <c r="AB34" s="2093">
        <v>0.24269370510056729</v>
      </c>
    </row>
    <row r="35" spans="2:28">
      <c r="B35" s="89">
        <v>51</v>
      </c>
      <c r="C35" s="1">
        <v>0.629</v>
      </c>
      <c r="D35" s="1">
        <v>10.555999999999999</v>
      </c>
      <c r="E35" s="1">
        <v>2.895</v>
      </c>
      <c r="F35" s="1">
        <v>2.895</v>
      </c>
      <c r="G35" s="1">
        <v>9.9269999999999996</v>
      </c>
      <c r="H35" s="741">
        <v>6.3362546590107788E-2</v>
      </c>
      <c r="I35" s="741">
        <v>0.29162889090359628</v>
      </c>
      <c r="J35" s="2079">
        <v>0.3549914374937041</v>
      </c>
      <c r="K35" s="89">
        <v>51</v>
      </c>
      <c r="L35" s="1">
        <v>0.65</v>
      </c>
      <c r="M35" s="1">
        <v>11.927</v>
      </c>
      <c r="N35" s="1419">
        <v>0.65200000000000002</v>
      </c>
      <c r="O35" s="1">
        <v>0.65200000000000002</v>
      </c>
      <c r="P35" s="1">
        <v>11.276999999999999</v>
      </c>
      <c r="Q35" s="741">
        <v>5.7639443114303454E-2</v>
      </c>
      <c r="R35" s="741">
        <v>5.781679524696285E-2</v>
      </c>
      <c r="S35" s="2079">
        <v>0.11545623836126631</v>
      </c>
      <c r="T35" s="89">
        <v>51</v>
      </c>
      <c r="U35" s="740">
        <v>0.63949999999999996</v>
      </c>
      <c r="V35" s="740">
        <v>11.241499999999998</v>
      </c>
      <c r="W35" s="740">
        <v>1.7735000000000001</v>
      </c>
      <c r="X35" s="740">
        <v>1.7735000000000001</v>
      </c>
      <c r="Y35" s="740">
        <v>10.602</v>
      </c>
      <c r="Z35" s="2067">
        <v>6.0500994852205621E-2</v>
      </c>
      <c r="AA35" s="2067">
        <v>0.17472284307527958</v>
      </c>
      <c r="AB35" s="2094">
        <v>0.23522383792748519</v>
      </c>
    </row>
    <row r="36" spans="2:28">
      <c r="B36" s="2077">
        <v>52</v>
      </c>
      <c r="C36" s="2069">
        <v>0.59099999999999997</v>
      </c>
      <c r="D36" s="2069">
        <v>10.851000000000001</v>
      </c>
      <c r="E36" s="2069">
        <v>2.9609999999999999</v>
      </c>
      <c r="F36" s="2069">
        <v>2.9609999999999999</v>
      </c>
      <c r="G36" s="2069">
        <v>10.260000000000002</v>
      </c>
      <c r="H36" s="2070">
        <v>5.7602339181286537E-2</v>
      </c>
      <c r="I36" s="2070">
        <v>0.28859649122807013</v>
      </c>
      <c r="J36" s="2078">
        <v>0.34619883040935667</v>
      </c>
      <c r="K36" s="2077">
        <v>52</v>
      </c>
      <c r="L36" s="2069">
        <v>0.60399999999999998</v>
      </c>
      <c r="M36" s="2069">
        <v>12.236000000000001</v>
      </c>
      <c r="N36" s="2071">
        <v>0.65800000000000003</v>
      </c>
      <c r="O36" s="2069">
        <v>0.65800000000000003</v>
      </c>
      <c r="P36" s="2069">
        <v>11.632000000000001</v>
      </c>
      <c r="Q36" s="2070">
        <v>5.1925722145804667E-2</v>
      </c>
      <c r="R36" s="2070">
        <v>5.6568088033012373E-2</v>
      </c>
      <c r="S36" s="2078">
        <v>0.10849381017881704</v>
      </c>
      <c r="T36" s="2077">
        <v>52</v>
      </c>
      <c r="U36" s="1686">
        <v>0.59749999999999992</v>
      </c>
      <c r="V36" s="1686">
        <v>11.543500000000002</v>
      </c>
      <c r="W36" s="1686">
        <v>1.8094999999999999</v>
      </c>
      <c r="X36" s="1686">
        <v>1.8094999999999999</v>
      </c>
      <c r="Y36" s="1686">
        <v>10.946000000000002</v>
      </c>
      <c r="Z36" s="2072">
        <v>5.4764030663545599E-2</v>
      </c>
      <c r="AA36" s="2072">
        <v>0.17258228963054126</v>
      </c>
      <c r="AB36" s="2093">
        <v>0.22734632029408686</v>
      </c>
    </row>
    <row r="37" spans="2:28">
      <c r="B37" s="89">
        <v>53</v>
      </c>
      <c r="C37" s="1">
        <v>0.54700000000000004</v>
      </c>
      <c r="D37" s="1">
        <v>11.156000000000001</v>
      </c>
      <c r="E37" s="1">
        <v>3.0249999999999999</v>
      </c>
      <c r="F37" s="1">
        <v>3.0249999999999999</v>
      </c>
      <c r="G37" s="1">
        <v>10.609</v>
      </c>
      <c r="H37" s="741">
        <v>5.1559996229616364E-2</v>
      </c>
      <c r="I37" s="741">
        <v>0.28513526251296067</v>
      </c>
      <c r="J37" s="2079">
        <v>0.33669525874257705</v>
      </c>
      <c r="K37" s="89">
        <v>53</v>
      </c>
      <c r="L37" s="1">
        <v>0.55200000000000005</v>
      </c>
      <c r="M37" s="1">
        <v>12.553000000000001</v>
      </c>
      <c r="N37" s="1419">
        <v>0.66300000000000003</v>
      </c>
      <c r="O37" s="1">
        <v>0.66300000000000003</v>
      </c>
      <c r="P37" s="1">
        <v>12.001000000000001</v>
      </c>
      <c r="Q37" s="741">
        <v>4.599616698608449E-2</v>
      </c>
      <c r="R37" s="741">
        <v>5.5245396216981914E-2</v>
      </c>
      <c r="S37" s="2079">
        <v>0.1012415632030664</v>
      </c>
      <c r="T37" s="89">
        <v>53</v>
      </c>
      <c r="U37" s="740">
        <v>0.5495000000000001</v>
      </c>
      <c r="V37" s="740">
        <v>11.854500000000002</v>
      </c>
      <c r="W37" s="740">
        <v>1.8439999999999999</v>
      </c>
      <c r="X37" s="740">
        <v>1.8439999999999999</v>
      </c>
      <c r="Y37" s="740">
        <v>11.305</v>
      </c>
      <c r="Z37" s="2067">
        <v>4.8778081607850424E-2</v>
      </c>
      <c r="AA37" s="2067">
        <v>0.1701903293649713</v>
      </c>
      <c r="AB37" s="2094">
        <v>0.21896841097282171</v>
      </c>
    </row>
    <row r="38" spans="2:28">
      <c r="B38" s="2077">
        <v>54</v>
      </c>
      <c r="C38" s="2069">
        <v>0.498</v>
      </c>
      <c r="D38" s="2069">
        <v>11.47</v>
      </c>
      <c r="E38" s="2069">
        <v>3.0859999999999999</v>
      </c>
      <c r="F38" s="2069">
        <v>3.0859999999999999</v>
      </c>
      <c r="G38" s="2069">
        <v>10.972000000000001</v>
      </c>
      <c r="H38" s="2070">
        <v>4.5388261028071447E-2</v>
      </c>
      <c r="I38" s="2070">
        <v>0.28126139263580019</v>
      </c>
      <c r="J38" s="2078">
        <v>0.32664965366387166</v>
      </c>
      <c r="K38" s="2077">
        <v>54</v>
      </c>
      <c r="L38" s="2069">
        <v>0.495</v>
      </c>
      <c r="M38" s="2069">
        <v>12.879</v>
      </c>
      <c r="N38" s="2071">
        <v>0.66600000000000004</v>
      </c>
      <c r="O38" s="2069">
        <v>0.66600000000000004</v>
      </c>
      <c r="P38" s="2069">
        <v>12.384</v>
      </c>
      <c r="Q38" s="2070">
        <v>3.9970930232558141E-2</v>
      </c>
      <c r="R38" s="2070">
        <v>5.3779069767441859E-2</v>
      </c>
      <c r="S38" s="2078">
        <v>9.375E-2</v>
      </c>
      <c r="T38" s="2077">
        <v>54</v>
      </c>
      <c r="U38" s="1686">
        <v>0.4965</v>
      </c>
      <c r="V38" s="1686">
        <v>12.1745</v>
      </c>
      <c r="W38" s="1686">
        <v>1.8759999999999999</v>
      </c>
      <c r="X38" s="1686">
        <v>1.8759999999999999</v>
      </c>
      <c r="Y38" s="1686">
        <v>11.678000000000001</v>
      </c>
      <c r="Z38" s="2072">
        <v>4.2679595630314794E-2</v>
      </c>
      <c r="AA38" s="2072">
        <v>0.16752023120162102</v>
      </c>
      <c r="AB38" s="2093">
        <v>0.21019982683193583</v>
      </c>
    </row>
    <row r="39" spans="2:28">
      <c r="B39" s="89">
        <v>55</v>
      </c>
      <c r="C39" s="1">
        <v>0.443</v>
      </c>
      <c r="D39" s="1">
        <v>11.795</v>
      </c>
      <c r="E39" s="1">
        <v>3.1440000000000001</v>
      </c>
      <c r="F39" s="1">
        <v>3.1440000000000001</v>
      </c>
      <c r="G39" s="1">
        <v>11.352</v>
      </c>
      <c r="H39" s="741">
        <v>3.9023960535588445E-2</v>
      </c>
      <c r="I39" s="741">
        <v>0.27695560253699791</v>
      </c>
      <c r="J39" s="2079">
        <v>0.31597956307258634</v>
      </c>
      <c r="K39" s="89">
        <v>55</v>
      </c>
      <c r="L39" s="1">
        <v>0.433</v>
      </c>
      <c r="M39" s="1">
        <v>13.214</v>
      </c>
      <c r="N39" s="1419">
        <v>0.66900000000000004</v>
      </c>
      <c r="O39" s="1">
        <v>0.66900000000000004</v>
      </c>
      <c r="P39" s="1">
        <v>12.781000000000001</v>
      </c>
      <c r="Q39" s="741">
        <v>3.3878413269697205E-2</v>
      </c>
      <c r="R39" s="741">
        <v>5.2343322118770047E-2</v>
      </c>
      <c r="S39" s="2079">
        <v>8.6221735388467252E-2</v>
      </c>
      <c r="T39" s="89">
        <v>55</v>
      </c>
      <c r="U39" s="740">
        <v>0.438</v>
      </c>
      <c r="V39" s="740">
        <v>12.5045</v>
      </c>
      <c r="W39" s="740">
        <v>1.9065000000000001</v>
      </c>
      <c r="X39" s="740">
        <v>1.9065000000000001</v>
      </c>
      <c r="Y39" s="740">
        <v>12.066500000000001</v>
      </c>
      <c r="Z39" s="2067">
        <v>3.6451186902642825E-2</v>
      </c>
      <c r="AA39" s="2067">
        <v>0.16464946232788397</v>
      </c>
      <c r="AB39" s="2094">
        <v>0.20110064923052678</v>
      </c>
    </row>
    <row r="40" spans="2:28">
      <c r="B40" s="2077">
        <v>56</v>
      </c>
      <c r="C40" s="2069">
        <v>0.38200000000000001</v>
      </c>
      <c r="D40" s="2069">
        <v>12.131</v>
      </c>
      <c r="E40" s="2069">
        <v>3.2</v>
      </c>
      <c r="F40" s="2069">
        <v>3.2</v>
      </c>
      <c r="G40" s="2069">
        <v>11.749000000000001</v>
      </c>
      <c r="H40" s="2070">
        <v>3.2513405396203933E-2</v>
      </c>
      <c r="I40" s="2070">
        <v>0.27236360541322668</v>
      </c>
      <c r="J40" s="2078">
        <v>0.30487701080943064</v>
      </c>
      <c r="K40" s="2077">
        <v>56</v>
      </c>
      <c r="L40" s="2069">
        <v>0.36599999999999999</v>
      </c>
      <c r="M40" s="2069">
        <v>13.558999999999999</v>
      </c>
      <c r="N40" s="2071">
        <v>0.67</v>
      </c>
      <c r="O40" s="2069">
        <v>0.67</v>
      </c>
      <c r="P40" s="2069">
        <v>13.193</v>
      </c>
      <c r="Q40" s="2070">
        <v>2.7741984385659061E-2</v>
      </c>
      <c r="R40" s="2070">
        <v>5.0784506935496104E-2</v>
      </c>
      <c r="S40" s="2078">
        <v>7.8526491321155162E-2</v>
      </c>
      <c r="T40" s="2077">
        <v>56</v>
      </c>
      <c r="U40" s="1686">
        <v>0.374</v>
      </c>
      <c r="V40" s="1686">
        <v>12.844999999999999</v>
      </c>
      <c r="W40" s="1686">
        <v>1.9350000000000001</v>
      </c>
      <c r="X40" s="1686">
        <v>1.9350000000000001</v>
      </c>
      <c r="Y40" s="1686">
        <v>12.471</v>
      </c>
      <c r="Z40" s="2072">
        <v>3.0127694890931499E-2</v>
      </c>
      <c r="AA40" s="2072">
        <v>0.16157405617436138</v>
      </c>
      <c r="AB40" s="2093">
        <v>0.19170175106529291</v>
      </c>
    </row>
    <row r="41" spans="2:28">
      <c r="B41" s="89">
        <v>57</v>
      </c>
      <c r="C41" s="1">
        <v>0.316</v>
      </c>
      <c r="D41" s="1">
        <v>12.478999999999999</v>
      </c>
      <c r="E41" s="1">
        <v>3.2559999999999998</v>
      </c>
      <c r="F41" s="1">
        <v>3.2559999999999998</v>
      </c>
      <c r="G41" s="1">
        <v>12.162999999999998</v>
      </c>
      <c r="H41" s="741">
        <v>2.5980432459097265E-2</v>
      </c>
      <c r="I41" s="741">
        <v>0.26769711419879966</v>
      </c>
      <c r="J41" s="2079">
        <v>0.29367754665789692</v>
      </c>
      <c r="K41" s="89">
        <v>57</v>
      </c>
      <c r="L41" s="1">
        <v>0.29499999999999998</v>
      </c>
      <c r="M41" s="1">
        <v>13.916</v>
      </c>
      <c r="N41" s="1419">
        <v>0.67</v>
      </c>
      <c r="O41" s="1">
        <v>0.67</v>
      </c>
      <c r="P41" s="1">
        <v>13.621</v>
      </c>
      <c r="Q41" s="741">
        <v>2.1657734380735628E-2</v>
      </c>
      <c r="R41" s="741">
        <v>4.9188752661331769E-2</v>
      </c>
      <c r="S41" s="2079">
        <v>7.0846487042067391E-2</v>
      </c>
      <c r="T41" s="89">
        <v>57</v>
      </c>
      <c r="U41" s="740">
        <v>0.30549999999999999</v>
      </c>
      <c r="V41" s="740">
        <v>13.1975</v>
      </c>
      <c r="W41" s="740">
        <v>1.9629999999999999</v>
      </c>
      <c r="X41" s="740">
        <v>1.9629999999999999</v>
      </c>
      <c r="Y41" s="740">
        <v>12.891999999999999</v>
      </c>
      <c r="Z41" s="2067">
        <v>2.3819083419916447E-2</v>
      </c>
      <c r="AA41" s="2067">
        <v>0.15844293343006571</v>
      </c>
      <c r="AB41" s="2094">
        <v>0.18226201684998217</v>
      </c>
    </row>
    <row r="42" spans="2:28">
      <c r="B42" s="2077">
        <v>58</v>
      </c>
      <c r="C42" s="2069">
        <v>0.249</v>
      </c>
      <c r="D42" s="2069">
        <v>12.840999999999999</v>
      </c>
      <c r="E42" s="2069">
        <v>3.3109999999999999</v>
      </c>
      <c r="F42" s="2069">
        <v>3.3109999999999999</v>
      </c>
      <c r="G42" s="2069">
        <v>12.591999999999999</v>
      </c>
      <c r="H42" s="2070">
        <v>1.9774459974587041E-2</v>
      </c>
      <c r="I42" s="2070">
        <v>0.26294472681067349</v>
      </c>
      <c r="J42" s="2078">
        <v>0.28271918678526053</v>
      </c>
      <c r="K42" s="2077">
        <v>58</v>
      </c>
      <c r="L42" s="2069">
        <v>0.22500000000000001</v>
      </c>
      <c r="M42" s="2069">
        <v>14.288</v>
      </c>
      <c r="N42" s="2071">
        <v>0.67</v>
      </c>
      <c r="O42" s="2069">
        <v>0.67</v>
      </c>
      <c r="P42" s="2069">
        <v>14.063000000000001</v>
      </c>
      <c r="Q42" s="2070">
        <v>1.5999431131337553E-2</v>
      </c>
      <c r="R42" s="2070">
        <v>4.7642750479982933E-2</v>
      </c>
      <c r="S42" s="2078">
        <v>6.3642181611320486E-2</v>
      </c>
      <c r="T42" s="2077">
        <v>58</v>
      </c>
      <c r="U42" s="1686">
        <v>0.23699999999999999</v>
      </c>
      <c r="V42" s="1686">
        <v>13.564499999999999</v>
      </c>
      <c r="W42" s="1686">
        <v>1.9904999999999999</v>
      </c>
      <c r="X42" s="1686">
        <v>1.9904999999999999</v>
      </c>
      <c r="Y42" s="1686">
        <v>13.327500000000001</v>
      </c>
      <c r="Z42" s="2072">
        <v>1.7886945552962295E-2</v>
      </c>
      <c r="AA42" s="2072">
        <v>0.15529373864532822</v>
      </c>
      <c r="AB42" s="2093">
        <v>0.17318068419829052</v>
      </c>
    </row>
    <row r="43" spans="2:28">
      <c r="B43" s="89">
        <v>59</v>
      </c>
      <c r="C43" s="1">
        <v>0.183</v>
      </c>
      <c r="D43" s="1">
        <v>13.22</v>
      </c>
      <c r="E43" s="1">
        <v>3.367</v>
      </c>
      <c r="F43" s="1">
        <v>3.367</v>
      </c>
      <c r="G43" s="1">
        <v>13.037000000000001</v>
      </c>
      <c r="H43" s="741">
        <v>1.4036971695942316E-2</v>
      </c>
      <c r="I43" s="741">
        <v>0.2582649382526655</v>
      </c>
      <c r="J43" s="2079">
        <v>0.27230190994860781</v>
      </c>
      <c r="K43" s="89">
        <v>59</v>
      </c>
      <c r="L43" s="1">
        <v>0.16</v>
      </c>
      <c r="M43" s="1">
        <v>14.679</v>
      </c>
      <c r="N43" s="1419">
        <v>0.67</v>
      </c>
      <c r="O43" s="1">
        <v>0.67</v>
      </c>
      <c r="P43" s="1">
        <v>14.519</v>
      </c>
      <c r="Q43" s="741">
        <v>1.1020042702665473E-2</v>
      </c>
      <c r="R43" s="741">
        <v>4.6146428817411669E-2</v>
      </c>
      <c r="S43" s="2079">
        <v>5.7166471520077144E-2</v>
      </c>
      <c r="T43" s="89">
        <v>59</v>
      </c>
      <c r="U43" s="740">
        <v>0.17149999999999999</v>
      </c>
      <c r="V43" s="740">
        <v>13.9495</v>
      </c>
      <c r="W43" s="740">
        <v>2.0185</v>
      </c>
      <c r="X43" s="740">
        <v>2.0185</v>
      </c>
      <c r="Y43" s="740">
        <v>13.778</v>
      </c>
      <c r="Z43" s="2067">
        <v>1.2528507199303894E-2</v>
      </c>
      <c r="AA43" s="2067">
        <v>0.15220568353503858</v>
      </c>
      <c r="AB43" s="2094">
        <v>0.16473419073434248</v>
      </c>
    </row>
    <row r="44" spans="2:28">
      <c r="B44" s="2077">
        <v>60</v>
      </c>
      <c r="C44" s="2069">
        <v>0.123</v>
      </c>
      <c r="D44" s="2069">
        <v>13.619</v>
      </c>
      <c r="E44" s="2069">
        <v>3.4249999999999998</v>
      </c>
      <c r="F44" s="2069">
        <v>3.4249999999999998</v>
      </c>
      <c r="G44" s="2069">
        <v>13.496</v>
      </c>
      <c r="H44" s="2070">
        <v>9.1138114997036147E-3</v>
      </c>
      <c r="I44" s="2070">
        <v>0.25377889745109661</v>
      </c>
      <c r="J44" s="2078">
        <v>0.26289270895080025</v>
      </c>
      <c r="K44" s="2077">
        <v>60</v>
      </c>
      <c r="L44" s="2069">
        <v>0.10299999999999999</v>
      </c>
      <c r="M44" s="2069">
        <v>15.093999999999999</v>
      </c>
      <c r="N44" s="2071">
        <v>0.66900000000000004</v>
      </c>
      <c r="O44" s="2069">
        <v>0.66900000000000004</v>
      </c>
      <c r="P44" s="2069">
        <v>14.991</v>
      </c>
      <c r="Q44" s="2070">
        <v>6.8707891401507569E-3</v>
      </c>
      <c r="R44" s="2070">
        <v>4.462677606563939E-2</v>
      </c>
      <c r="S44" s="2078">
        <v>5.1497565205790144E-2</v>
      </c>
      <c r="T44" s="2077">
        <v>60</v>
      </c>
      <c r="U44" s="1686">
        <v>0.11299999999999999</v>
      </c>
      <c r="V44" s="1686">
        <v>14.3565</v>
      </c>
      <c r="W44" s="1686">
        <v>2.0469999999999997</v>
      </c>
      <c r="X44" s="1686">
        <v>2.0469999999999997</v>
      </c>
      <c r="Y44" s="1686">
        <v>14.243500000000001</v>
      </c>
      <c r="Z44" s="2072">
        <v>7.9923003199271862E-3</v>
      </c>
      <c r="AA44" s="2072">
        <v>0.14920283675836798</v>
      </c>
      <c r="AB44" s="2093">
        <v>0.15719513707829519</v>
      </c>
    </row>
    <row r="45" spans="2:28">
      <c r="B45" s="89">
        <v>61</v>
      </c>
      <c r="C45" s="1">
        <v>7.3999999999999996E-2</v>
      </c>
      <c r="D45" s="1">
        <v>14.044</v>
      </c>
      <c r="E45" s="1">
        <v>3.4860000000000002</v>
      </c>
      <c r="F45" s="1">
        <v>3.4860000000000002</v>
      </c>
      <c r="G45" s="1">
        <v>13.97</v>
      </c>
      <c r="H45" s="741">
        <v>5.2970651395848238E-3</v>
      </c>
      <c r="I45" s="741">
        <v>0.24953471725125267</v>
      </c>
      <c r="J45" s="2079">
        <v>0.25483178239083748</v>
      </c>
      <c r="K45" s="89">
        <v>61</v>
      </c>
      <c r="L45" s="1">
        <v>5.8999999999999997E-2</v>
      </c>
      <c r="M45" s="1">
        <v>15.537000000000001</v>
      </c>
      <c r="N45" s="1419">
        <v>0.66800000000000004</v>
      </c>
      <c r="O45" s="1">
        <v>0.66800000000000004</v>
      </c>
      <c r="P45" s="1">
        <v>15.478000000000002</v>
      </c>
      <c r="Q45" s="741">
        <v>3.8118619976741175E-3</v>
      </c>
      <c r="R45" s="741">
        <v>4.3158030753327303E-2</v>
      </c>
      <c r="S45" s="2079">
        <v>4.696989275100142E-2</v>
      </c>
      <c r="T45" s="89">
        <v>61</v>
      </c>
      <c r="U45" s="740">
        <v>6.6500000000000004E-2</v>
      </c>
      <c r="V45" s="740">
        <v>14.790500000000002</v>
      </c>
      <c r="W45" s="740">
        <v>2.077</v>
      </c>
      <c r="X45" s="740">
        <v>2.077</v>
      </c>
      <c r="Y45" s="740">
        <v>14.724</v>
      </c>
      <c r="Z45" s="2067">
        <v>4.5544635686294707E-3</v>
      </c>
      <c r="AA45" s="2067">
        <v>0.14634637400229</v>
      </c>
      <c r="AB45" s="2094">
        <v>0.15090083757091946</v>
      </c>
    </row>
    <row r="46" spans="2:28">
      <c r="B46" s="2077">
        <v>62</v>
      </c>
      <c r="C46" s="2069">
        <v>3.6999999999999998E-2</v>
      </c>
      <c r="D46" s="2069">
        <v>14.497999999999999</v>
      </c>
      <c r="E46" s="2069">
        <v>3.5329999999999999</v>
      </c>
      <c r="F46" s="2069">
        <v>3.5329999999999999</v>
      </c>
      <c r="G46" s="2069">
        <v>14.460999999999999</v>
      </c>
      <c r="H46" s="2070">
        <v>2.5586059055390364E-3</v>
      </c>
      <c r="I46" s="2070">
        <v>0.24431228822349771</v>
      </c>
      <c r="J46" s="2078">
        <v>0.24687089412903673</v>
      </c>
      <c r="K46" s="2077">
        <v>62</v>
      </c>
      <c r="L46" s="2069">
        <v>2.8000000000000001E-2</v>
      </c>
      <c r="M46" s="2069">
        <v>16.010999999999999</v>
      </c>
      <c r="N46" s="2071">
        <v>0.66500000000000004</v>
      </c>
      <c r="O46" s="2069">
        <v>0.66500000000000004</v>
      </c>
      <c r="P46" s="2069">
        <v>15.982999999999999</v>
      </c>
      <c r="Q46" s="2070">
        <v>1.7518613526872303E-3</v>
      </c>
      <c r="R46" s="2070">
        <v>4.1606707126321724E-2</v>
      </c>
      <c r="S46" s="2078">
        <v>4.3358568479008951E-2</v>
      </c>
      <c r="T46" s="2077">
        <v>62</v>
      </c>
      <c r="U46" s="1686">
        <v>3.2500000000000001E-2</v>
      </c>
      <c r="V46" s="1686">
        <v>15.2545</v>
      </c>
      <c r="W46" s="1686">
        <v>2.0990000000000002</v>
      </c>
      <c r="X46" s="1686">
        <v>2.0990000000000002</v>
      </c>
      <c r="Y46" s="1686">
        <v>15.221999999999998</v>
      </c>
      <c r="Z46" s="2072">
        <v>2.1552336291131334E-3</v>
      </c>
      <c r="AA46" s="2072">
        <v>0.14295949767490973</v>
      </c>
      <c r="AB46" s="2093">
        <v>0.14511473130402283</v>
      </c>
    </row>
    <row r="47" spans="2:28">
      <c r="B47" s="89">
        <v>63</v>
      </c>
      <c r="C47" s="1">
        <v>1.4E-2</v>
      </c>
      <c r="D47" s="1">
        <v>14.983000000000001</v>
      </c>
      <c r="E47" s="1">
        <v>3.58</v>
      </c>
      <c r="F47" s="1">
        <v>3.58</v>
      </c>
      <c r="G47" s="1">
        <v>14.969000000000001</v>
      </c>
      <c r="H47" s="741">
        <v>9.3526621684815274E-4</v>
      </c>
      <c r="I47" s="741">
        <v>0.23916093259402765</v>
      </c>
      <c r="J47" s="2079">
        <v>0.24009619881087579</v>
      </c>
      <c r="K47" s="89">
        <v>63</v>
      </c>
      <c r="L47" s="1">
        <v>0.01</v>
      </c>
      <c r="M47" s="1">
        <v>16.516999999999999</v>
      </c>
      <c r="N47" s="1419">
        <v>0.66100000000000003</v>
      </c>
      <c r="O47" s="1">
        <v>0.66100000000000003</v>
      </c>
      <c r="P47" s="1">
        <v>16.506999999999998</v>
      </c>
      <c r="Q47" s="741">
        <v>6.0580359847337505E-4</v>
      </c>
      <c r="R47" s="741">
        <v>4.0043617859090087E-2</v>
      </c>
      <c r="S47" s="2079">
        <v>4.0649421457563464E-2</v>
      </c>
      <c r="T47" s="89">
        <v>63</v>
      </c>
      <c r="U47" s="740">
        <v>1.2E-2</v>
      </c>
      <c r="V47" s="740">
        <v>15.75</v>
      </c>
      <c r="W47" s="740">
        <v>2.1204999999999998</v>
      </c>
      <c r="X47" s="740">
        <v>2.1204999999999998</v>
      </c>
      <c r="Y47" s="740">
        <v>15.738</v>
      </c>
      <c r="Z47" s="2067">
        <v>7.7053490766076384E-4</v>
      </c>
      <c r="AA47" s="2067">
        <v>0.13960227522655888</v>
      </c>
      <c r="AB47" s="2094">
        <v>0.14037281013421962</v>
      </c>
    </row>
    <row r="48" spans="2:28">
      <c r="B48" s="2077">
        <v>64</v>
      </c>
      <c r="C48" s="2069">
        <v>3.0000000000000001E-3</v>
      </c>
      <c r="D48" s="2069">
        <v>15.500999999999999</v>
      </c>
      <c r="E48" s="2069">
        <v>3.6259999999999999</v>
      </c>
      <c r="F48" s="2069">
        <v>3.6259999999999999</v>
      </c>
      <c r="G48" s="2069">
        <v>15.497999999999999</v>
      </c>
      <c r="H48" s="2070">
        <v>1.9357336430507162E-4</v>
      </c>
      <c r="I48" s="2070">
        <v>0.23396567299006324</v>
      </c>
      <c r="J48" s="2078">
        <v>0.2341592463543683</v>
      </c>
      <c r="K48" s="2077">
        <v>64</v>
      </c>
      <c r="L48" s="2069">
        <v>2E-3</v>
      </c>
      <c r="M48" s="2069">
        <v>17.053000000000001</v>
      </c>
      <c r="N48" s="2071">
        <v>0.65600000000000003</v>
      </c>
      <c r="O48" s="2069">
        <v>0.65600000000000003</v>
      </c>
      <c r="P48" s="2069">
        <v>17.051000000000002</v>
      </c>
      <c r="Q48" s="2070">
        <v>1.1729517330361855E-4</v>
      </c>
      <c r="R48" s="2070">
        <v>3.8472816843586881E-2</v>
      </c>
      <c r="S48" s="2078">
        <v>3.8590112016890499E-2</v>
      </c>
      <c r="T48" s="2077">
        <v>64</v>
      </c>
      <c r="U48" s="1686">
        <v>2.5000000000000001E-3</v>
      </c>
      <c r="V48" s="1686">
        <v>16.277000000000001</v>
      </c>
      <c r="W48" s="1686">
        <v>2.141</v>
      </c>
      <c r="X48" s="1686">
        <v>2.141</v>
      </c>
      <c r="Y48" s="1686">
        <v>16.2745</v>
      </c>
      <c r="Z48" s="2072">
        <v>1.5543426880434508E-4</v>
      </c>
      <c r="AA48" s="2072">
        <v>0.13621924491682505</v>
      </c>
      <c r="AB48" s="2093">
        <v>0.1363746791856294</v>
      </c>
    </row>
    <row r="49" spans="2:28">
      <c r="B49" s="2098">
        <v>65</v>
      </c>
      <c r="C49" s="2099">
        <v>0</v>
      </c>
      <c r="D49" s="2099">
        <v>16.053000000000001</v>
      </c>
      <c r="E49" s="2099">
        <v>3.6680000000000001</v>
      </c>
      <c r="F49" s="2099">
        <v>3.6680000000000001</v>
      </c>
      <c r="G49" s="2099">
        <v>16.053000000000001</v>
      </c>
      <c r="H49" s="2100">
        <v>0</v>
      </c>
      <c r="I49" s="2100">
        <v>0.2284931165514234</v>
      </c>
      <c r="J49" s="2101">
        <v>0.2284931165514234</v>
      </c>
      <c r="K49" s="2098">
        <v>65</v>
      </c>
      <c r="L49" s="2099">
        <v>0</v>
      </c>
      <c r="M49" s="2099">
        <v>17.619</v>
      </c>
      <c r="N49" s="2102">
        <v>0.623</v>
      </c>
      <c r="O49" s="2099">
        <v>0.623</v>
      </c>
      <c r="P49" s="2099">
        <v>17.619</v>
      </c>
      <c r="Q49" s="2100">
        <v>0</v>
      </c>
      <c r="R49" s="2100">
        <v>3.5359555025824392E-2</v>
      </c>
      <c r="S49" s="2101">
        <v>3.5359555025824392E-2</v>
      </c>
      <c r="T49" s="2098">
        <v>65</v>
      </c>
      <c r="U49" s="2103">
        <v>0</v>
      </c>
      <c r="V49" s="2103">
        <v>16.835999999999999</v>
      </c>
      <c r="W49" s="2103">
        <v>2.1455000000000002</v>
      </c>
      <c r="X49" s="2103">
        <v>2.1455000000000002</v>
      </c>
      <c r="Y49" s="2103">
        <v>16.835999999999999</v>
      </c>
      <c r="Z49" s="2104">
        <v>0</v>
      </c>
      <c r="AA49" s="2104">
        <v>0.13192633578862389</v>
      </c>
      <c r="AB49" s="2105">
        <v>0.13192633578862389</v>
      </c>
    </row>
    <row r="50" spans="2:28">
      <c r="B50" s="2077">
        <v>66</v>
      </c>
      <c r="C50" s="2069"/>
      <c r="D50" s="2069">
        <v>15.661</v>
      </c>
      <c r="E50" s="2069">
        <v>3.6739999999999999</v>
      </c>
      <c r="F50" s="2069">
        <v>3.6739999999999999</v>
      </c>
      <c r="G50" s="2069">
        <v>15.661</v>
      </c>
      <c r="H50" s="2070">
        <v>0</v>
      </c>
      <c r="I50" s="2070">
        <v>0.23459549198646318</v>
      </c>
      <c r="J50" s="2078">
        <v>0.23459549198646318</v>
      </c>
      <c r="K50" s="2077">
        <v>66</v>
      </c>
      <c r="L50" s="2069">
        <v>0</v>
      </c>
      <c r="M50" s="2069">
        <v>17.216999999999999</v>
      </c>
      <c r="N50" s="2071">
        <v>0.60399999999999998</v>
      </c>
      <c r="O50" s="2069">
        <v>0.60399999999999998</v>
      </c>
      <c r="P50" s="2069">
        <v>17.216999999999999</v>
      </c>
      <c r="Q50" s="2070">
        <v>0</v>
      </c>
      <c r="R50" s="2070">
        <v>3.5081605390021489E-2</v>
      </c>
      <c r="S50" s="2078">
        <v>3.5081605390021489E-2</v>
      </c>
      <c r="T50" s="2077">
        <v>66</v>
      </c>
      <c r="U50" s="1686">
        <v>0</v>
      </c>
      <c r="V50" s="1686">
        <v>16.439</v>
      </c>
      <c r="W50" s="1686">
        <v>2.1389999999999998</v>
      </c>
      <c r="X50" s="1686">
        <v>2.1389999999999998</v>
      </c>
      <c r="Y50" s="1686">
        <v>16.439</v>
      </c>
      <c r="Z50" s="2072">
        <v>0</v>
      </c>
      <c r="AA50" s="2072">
        <v>0.13483854868824233</v>
      </c>
      <c r="AB50" s="2093">
        <v>0.13483854868824233</v>
      </c>
    </row>
    <row r="51" spans="2:28">
      <c r="B51" s="89">
        <v>67</v>
      </c>
      <c r="C51" s="1"/>
      <c r="D51" s="1">
        <v>15.260999999999999</v>
      </c>
      <c r="E51" s="1">
        <v>3.6779999999999999</v>
      </c>
      <c r="F51" s="1">
        <v>3.6779999999999999</v>
      </c>
      <c r="G51" s="1">
        <v>15.260999999999999</v>
      </c>
      <c r="H51" s="741">
        <v>0</v>
      </c>
      <c r="I51" s="741">
        <v>0.24100648712404169</v>
      </c>
      <c r="J51" s="2079">
        <v>0.24100648712404169</v>
      </c>
      <c r="K51" s="89">
        <v>67</v>
      </c>
      <c r="L51" s="1">
        <v>0</v>
      </c>
      <c r="M51" s="1">
        <v>16.803000000000001</v>
      </c>
      <c r="N51" s="1419">
        <v>0.58599999999999997</v>
      </c>
      <c r="O51" s="1">
        <v>0.58599999999999997</v>
      </c>
      <c r="P51" s="1">
        <v>16.803000000000001</v>
      </c>
      <c r="Q51" s="741">
        <v>0</v>
      </c>
      <c r="R51" s="741">
        <v>3.4874724751532464E-2</v>
      </c>
      <c r="S51" s="2079">
        <v>3.4874724751532464E-2</v>
      </c>
      <c r="T51" s="89">
        <v>67</v>
      </c>
      <c r="U51" s="740">
        <v>0</v>
      </c>
      <c r="V51" s="740">
        <v>16.032</v>
      </c>
      <c r="W51" s="740">
        <v>2.1320000000000001</v>
      </c>
      <c r="X51" s="740">
        <v>2.1320000000000001</v>
      </c>
      <c r="Y51" s="740">
        <v>16.032</v>
      </c>
      <c r="Z51" s="2067">
        <v>0</v>
      </c>
      <c r="AA51" s="2067">
        <v>0.13794060593778706</v>
      </c>
      <c r="AB51" s="2094">
        <v>0.13794060593778706</v>
      </c>
    </row>
    <row r="52" spans="2:28">
      <c r="B52" s="2077">
        <v>68</v>
      </c>
      <c r="C52" s="2069"/>
      <c r="D52" s="2069">
        <v>14.851000000000001</v>
      </c>
      <c r="E52" s="2069">
        <v>3.68</v>
      </c>
      <c r="F52" s="2069">
        <v>3.68</v>
      </c>
      <c r="G52" s="2069">
        <v>14.851000000000001</v>
      </c>
      <c r="H52" s="2070">
        <v>0</v>
      </c>
      <c r="I52" s="2070">
        <v>0.24779476129553565</v>
      </c>
      <c r="J52" s="2078">
        <v>0.24779476129553565</v>
      </c>
      <c r="K52" s="2077">
        <v>68</v>
      </c>
      <c r="L52" s="2069">
        <v>0</v>
      </c>
      <c r="M52" s="2069">
        <v>16.378</v>
      </c>
      <c r="N52" s="2071">
        <v>0.56699999999999995</v>
      </c>
      <c r="O52" s="2069">
        <v>0.56699999999999995</v>
      </c>
      <c r="P52" s="2069">
        <v>16.378</v>
      </c>
      <c r="Q52" s="2070">
        <v>0</v>
      </c>
      <c r="R52" s="2070">
        <v>3.4619611674197089E-2</v>
      </c>
      <c r="S52" s="2078">
        <v>3.4619611674197089E-2</v>
      </c>
      <c r="T52" s="2077">
        <v>68</v>
      </c>
      <c r="U52" s="1686">
        <v>0</v>
      </c>
      <c r="V52" s="1686">
        <v>15.6145</v>
      </c>
      <c r="W52" s="1686">
        <v>2.1234999999999999</v>
      </c>
      <c r="X52" s="1686">
        <v>2.1234999999999999</v>
      </c>
      <c r="Y52" s="1686">
        <v>15.6145</v>
      </c>
      <c r="Z52" s="2072">
        <v>0</v>
      </c>
      <c r="AA52" s="2072">
        <v>0.14120718648486638</v>
      </c>
      <c r="AB52" s="2093">
        <v>0.14120718648486638</v>
      </c>
    </row>
    <row r="53" spans="2:28">
      <c r="B53" s="89">
        <v>69</v>
      </c>
      <c r="C53" s="1"/>
      <c r="D53" s="1">
        <v>14.432</v>
      </c>
      <c r="E53" s="1">
        <v>3.681</v>
      </c>
      <c r="F53" s="1">
        <v>3.681</v>
      </c>
      <c r="G53" s="1">
        <v>14.432</v>
      </c>
      <c r="H53" s="741">
        <v>0</v>
      </c>
      <c r="I53" s="741">
        <v>0.25505820399113083</v>
      </c>
      <c r="J53" s="2079">
        <v>0.25505820399113083</v>
      </c>
      <c r="K53" s="89">
        <v>69</v>
      </c>
      <c r="L53" s="1">
        <v>0</v>
      </c>
      <c r="M53" s="1">
        <v>15.94</v>
      </c>
      <c r="N53" s="1419">
        <v>0.54900000000000004</v>
      </c>
      <c r="O53" s="1">
        <v>0.54900000000000004</v>
      </c>
      <c r="P53" s="1">
        <v>15.94</v>
      </c>
      <c r="Q53" s="741">
        <v>0</v>
      </c>
      <c r="R53" s="741">
        <v>3.4441656210790469E-2</v>
      </c>
      <c r="S53" s="2079">
        <v>3.4441656210790469E-2</v>
      </c>
      <c r="T53" s="89">
        <v>69</v>
      </c>
      <c r="U53" s="740">
        <v>0</v>
      </c>
      <c r="V53" s="740">
        <v>15.186</v>
      </c>
      <c r="W53" s="740">
        <v>2.1150000000000002</v>
      </c>
      <c r="X53" s="740">
        <v>2.1150000000000002</v>
      </c>
      <c r="Y53" s="740">
        <v>15.186</v>
      </c>
      <c r="Z53" s="2067">
        <v>0</v>
      </c>
      <c r="AA53" s="2067">
        <v>0.14474993010096066</v>
      </c>
      <c r="AB53" s="2094">
        <v>0.14474993010096066</v>
      </c>
    </row>
    <row r="54" spans="2:28">
      <c r="B54" s="2077">
        <v>70</v>
      </c>
      <c r="C54" s="2069"/>
      <c r="D54" s="2069">
        <v>14.002000000000001</v>
      </c>
      <c r="E54" s="2069">
        <v>3.6789999999999998</v>
      </c>
      <c r="F54" s="2069">
        <v>3.6789999999999998</v>
      </c>
      <c r="G54" s="2069">
        <v>14.002000000000001</v>
      </c>
      <c r="H54" s="2070">
        <v>0</v>
      </c>
      <c r="I54" s="2070">
        <v>0.26274817883159546</v>
      </c>
      <c r="J54" s="2078">
        <v>0.26274817883159546</v>
      </c>
      <c r="K54" s="2077">
        <v>70</v>
      </c>
      <c r="L54" s="2069">
        <v>0</v>
      </c>
      <c r="M54" s="2069">
        <v>15.49</v>
      </c>
      <c r="N54" s="2071">
        <v>0.53</v>
      </c>
      <c r="O54" s="2069">
        <v>0.53</v>
      </c>
      <c r="P54" s="2069">
        <v>15.49</v>
      </c>
      <c r="Q54" s="2070">
        <v>0</v>
      </c>
      <c r="R54" s="2070">
        <v>3.4215622982569402E-2</v>
      </c>
      <c r="S54" s="2078">
        <v>3.4215622982569402E-2</v>
      </c>
      <c r="T54" s="2077">
        <v>70</v>
      </c>
      <c r="U54" s="1686">
        <v>0</v>
      </c>
      <c r="V54" s="1686">
        <v>14.746</v>
      </c>
      <c r="W54" s="1686">
        <v>2.1044999999999998</v>
      </c>
      <c r="X54" s="1686">
        <v>2.1044999999999998</v>
      </c>
      <c r="Y54" s="1686">
        <v>14.746</v>
      </c>
      <c r="Z54" s="2072">
        <v>0</v>
      </c>
      <c r="AA54" s="2072">
        <v>0.14848190090708244</v>
      </c>
      <c r="AB54" s="2093">
        <v>0.14848190090708244</v>
      </c>
    </row>
    <row r="55" spans="2:28">
      <c r="B55" s="89">
        <v>71</v>
      </c>
      <c r="C55" s="1"/>
      <c r="D55" s="1">
        <v>13.561999999999999</v>
      </c>
      <c r="E55" s="1">
        <v>3.6749999999999998</v>
      </c>
      <c r="F55" s="1">
        <v>3.6749999999999998</v>
      </c>
      <c r="G55" s="1">
        <v>13.561999999999999</v>
      </c>
      <c r="H55" s="741">
        <v>0</v>
      </c>
      <c r="I55" s="741">
        <v>0.27097773189795016</v>
      </c>
      <c r="J55" s="2079">
        <v>0.27097773189795016</v>
      </c>
      <c r="K55" s="89">
        <v>71</v>
      </c>
      <c r="L55" s="1">
        <v>0</v>
      </c>
      <c r="M55" s="1">
        <v>15.026</v>
      </c>
      <c r="N55" s="1419">
        <v>0.51</v>
      </c>
      <c r="O55" s="1">
        <v>0.51</v>
      </c>
      <c r="P55" s="1">
        <v>15.026</v>
      </c>
      <c r="Q55" s="741">
        <v>0</v>
      </c>
      <c r="R55" s="741">
        <v>3.3941168641022229E-2</v>
      </c>
      <c r="S55" s="2079">
        <v>3.3941168641022229E-2</v>
      </c>
      <c r="T55" s="89">
        <v>71</v>
      </c>
      <c r="U55" s="740">
        <v>0</v>
      </c>
      <c r="V55" s="740">
        <v>14.294</v>
      </c>
      <c r="W55" s="740">
        <v>2.0924999999999998</v>
      </c>
      <c r="X55" s="740">
        <v>2.0924999999999998</v>
      </c>
      <c r="Y55" s="740">
        <v>14.294</v>
      </c>
      <c r="Z55" s="2067">
        <v>0</v>
      </c>
      <c r="AA55" s="2067">
        <v>0.15245945026948621</v>
      </c>
      <c r="AB55" s="2094">
        <v>0.15245945026948621</v>
      </c>
    </row>
    <row r="56" spans="2:28">
      <c r="B56" s="2077">
        <v>72</v>
      </c>
      <c r="C56" s="2069"/>
      <c r="D56" s="2069">
        <v>13.111000000000001</v>
      </c>
      <c r="E56" s="2069">
        <v>3.669</v>
      </c>
      <c r="F56" s="2069">
        <v>3.669</v>
      </c>
      <c r="G56" s="2069">
        <v>13.111000000000001</v>
      </c>
      <c r="H56" s="2070">
        <v>0</v>
      </c>
      <c r="I56" s="2070">
        <v>0.27984135458775072</v>
      </c>
      <c r="J56" s="2078">
        <v>0.27984135458775072</v>
      </c>
      <c r="K56" s="2077">
        <v>72</v>
      </c>
      <c r="L56" s="2069">
        <v>0</v>
      </c>
      <c r="M56" s="2069">
        <v>14.55</v>
      </c>
      <c r="N56" s="2071">
        <v>0.49099999999999999</v>
      </c>
      <c r="O56" s="2069">
        <v>0.49099999999999999</v>
      </c>
      <c r="P56" s="2069">
        <v>14.55</v>
      </c>
      <c r="Q56" s="2070">
        <v>0</v>
      </c>
      <c r="R56" s="2070">
        <v>3.3745704467353949E-2</v>
      </c>
      <c r="S56" s="2078">
        <v>3.3745704467353949E-2</v>
      </c>
      <c r="T56" s="2077">
        <v>72</v>
      </c>
      <c r="U56" s="1686">
        <v>0</v>
      </c>
      <c r="V56" s="1686">
        <v>13.830500000000001</v>
      </c>
      <c r="W56" s="1686">
        <v>2.08</v>
      </c>
      <c r="X56" s="1686">
        <v>2.08</v>
      </c>
      <c r="Y56" s="1686">
        <v>13.830500000000001</v>
      </c>
      <c r="Z56" s="2072">
        <v>0</v>
      </c>
      <c r="AA56" s="2072">
        <v>0.15679352952755232</v>
      </c>
      <c r="AB56" s="2093">
        <v>0.15679352952755232</v>
      </c>
    </row>
    <row r="57" spans="2:28">
      <c r="B57" s="89">
        <v>73</v>
      </c>
      <c r="C57" s="1"/>
      <c r="D57" s="1">
        <v>12.65</v>
      </c>
      <c r="E57" s="1">
        <v>3.6669999999999998</v>
      </c>
      <c r="F57" s="1">
        <v>3.6669999999999998</v>
      </c>
      <c r="G57" s="1">
        <v>12.65</v>
      </c>
      <c r="H57" s="741">
        <v>0</v>
      </c>
      <c r="I57" s="741">
        <v>0.28988142292490116</v>
      </c>
      <c r="J57" s="2079">
        <v>0.28988142292490116</v>
      </c>
      <c r="K57" s="89">
        <v>73</v>
      </c>
      <c r="L57" s="1">
        <v>0</v>
      </c>
      <c r="M57" s="1">
        <v>14.061999999999999</v>
      </c>
      <c r="N57" s="1419">
        <v>0.47199999999999998</v>
      </c>
      <c r="O57" s="1">
        <v>0.47199999999999998</v>
      </c>
      <c r="P57" s="1">
        <v>14.061999999999999</v>
      </c>
      <c r="Q57" s="741">
        <v>0</v>
      </c>
      <c r="R57" s="741">
        <v>3.3565637889347175E-2</v>
      </c>
      <c r="S57" s="2079">
        <v>3.3565637889347175E-2</v>
      </c>
      <c r="T57" s="89">
        <v>73</v>
      </c>
      <c r="U57" s="740">
        <v>0</v>
      </c>
      <c r="V57" s="740">
        <v>13.356</v>
      </c>
      <c r="W57" s="740">
        <v>2.0694999999999997</v>
      </c>
      <c r="X57" s="740">
        <v>2.0694999999999997</v>
      </c>
      <c r="Y57" s="740">
        <v>13.356</v>
      </c>
      <c r="Z57" s="2067">
        <v>0</v>
      </c>
      <c r="AA57" s="2067">
        <v>0.16172353040712417</v>
      </c>
      <c r="AB57" s="2094">
        <v>0.16172353040712417</v>
      </c>
    </row>
    <row r="58" spans="2:28">
      <c r="B58" s="2077">
        <v>74</v>
      </c>
      <c r="C58" s="2069"/>
      <c r="D58" s="2069">
        <v>12.18</v>
      </c>
      <c r="E58" s="2069">
        <v>3.6619999999999999</v>
      </c>
      <c r="F58" s="2069">
        <v>3.6619999999999999</v>
      </c>
      <c r="G58" s="2069">
        <v>12.18</v>
      </c>
      <c r="H58" s="2070">
        <v>0</v>
      </c>
      <c r="I58" s="2070">
        <v>0.30065681444991788</v>
      </c>
      <c r="J58" s="2078">
        <v>0.30065681444991788</v>
      </c>
      <c r="K58" s="2077">
        <v>74</v>
      </c>
      <c r="L58" s="2069">
        <v>0</v>
      </c>
      <c r="M58" s="2069">
        <v>13.561999999999999</v>
      </c>
      <c r="N58" s="2071">
        <v>0.45300000000000001</v>
      </c>
      <c r="O58" s="2069">
        <v>0.45300000000000001</v>
      </c>
      <c r="P58" s="2069">
        <v>13.561999999999999</v>
      </c>
      <c r="Q58" s="2070">
        <v>0</v>
      </c>
      <c r="R58" s="2070">
        <v>3.3402153074767738E-2</v>
      </c>
      <c r="S58" s="2078">
        <v>3.3402153074767738E-2</v>
      </c>
      <c r="T58" s="2077">
        <v>74</v>
      </c>
      <c r="U58" s="1686">
        <v>0</v>
      </c>
      <c r="V58" s="1686">
        <v>12.870999999999999</v>
      </c>
      <c r="W58" s="1686">
        <v>2.0575000000000001</v>
      </c>
      <c r="X58" s="1686">
        <v>2.0575000000000001</v>
      </c>
      <c r="Y58" s="1686">
        <v>12.870999999999999</v>
      </c>
      <c r="Z58" s="2072">
        <v>0</v>
      </c>
      <c r="AA58" s="2072">
        <v>0.16702948376234281</v>
      </c>
      <c r="AB58" s="2093">
        <v>0.16702948376234281</v>
      </c>
    </row>
    <row r="59" spans="2:28">
      <c r="B59" s="89">
        <v>75</v>
      </c>
      <c r="C59" s="1"/>
      <c r="D59" s="1">
        <v>11.701000000000001</v>
      </c>
      <c r="E59" s="1">
        <v>3.6549999999999998</v>
      </c>
      <c r="F59" s="1">
        <v>3.6549999999999998</v>
      </c>
      <c r="G59" s="1">
        <v>11.701000000000001</v>
      </c>
      <c r="H59" s="741">
        <v>0</v>
      </c>
      <c r="I59" s="741">
        <v>0.31236646440475169</v>
      </c>
      <c r="J59" s="2079">
        <v>0.31236646440475169</v>
      </c>
      <c r="K59" s="89">
        <v>75</v>
      </c>
      <c r="L59" s="1">
        <v>0</v>
      </c>
      <c r="M59" s="1">
        <v>13.051</v>
      </c>
      <c r="N59" s="1419">
        <v>0.434</v>
      </c>
      <c r="O59" s="1">
        <v>0.434</v>
      </c>
      <c r="P59" s="1">
        <v>13.051</v>
      </c>
      <c r="Q59" s="741">
        <v>0</v>
      </c>
      <c r="R59" s="741">
        <v>3.3254156769596199E-2</v>
      </c>
      <c r="S59" s="2079">
        <v>3.3254156769596199E-2</v>
      </c>
      <c r="T59" s="89">
        <v>75</v>
      </c>
      <c r="U59" s="740">
        <v>0</v>
      </c>
      <c r="V59" s="740">
        <v>12.376000000000001</v>
      </c>
      <c r="W59" s="740">
        <v>2.0444999999999998</v>
      </c>
      <c r="X59" s="740">
        <v>2.0444999999999998</v>
      </c>
      <c r="Y59" s="740">
        <v>12.376000000000001</v>
      </c>
      <c r="Z59" s="2067">
        <v>0</v>
      </c>
      <c r="AA59" s="2067">
        <v>0.17281031058717394</v>
      </c>
      <c r="AB59" s="2094">
        <v>0.17281031058717394</v>
      </c>
    </row>
    <row r="60" spans="2:28">
      <c r="B60" s="2077">
        <v>76</v>
      </c>
      <c r="C60" s="2069"/>
      <c r="D60" s="2069">
        <v>11.215</v>
      </c>
      <c r="E60" s="2069">
        <v>3.6429999999999998</v>
      </c>
      <c r="F60" s="2069">
        <v>3.6429999999999998</v>
      </c>
      <c r="G60" s="2069">
        <v>11.215</v>
      </c>
      <c r="H60" s="2070">
        <v>0</v>
      </c>
      <c r="I60" s="2070">
        <v>0.32483281319661167</v>
      </c>
      <c r="J60" s="2078">
        <v>0.32483281319661167</v>
      </c>
      <c r="K60" s="2077">
        <v>76</v>
      </c>
      <c r="L60" s="2069">
        <v>0</v>
      </c>
      <c r="M60" s="2069">
        <v>12.531000000000001</v>
      </c>
      <c r="N60" s="2071">
        <v>0.41399999999999998</v>
      </c>
      <c r="O60" s="2069">
        <v>0.41399999999999998</v>
      </c>
      <c r="P60" s="2069">
        <v>12.531000000000001</v>
      </c>
      <c r="Q60" s="2070">
        <v>0</v>
      </c>
      <c r="R60" s="2070">
        <v>3.3038065597318644E-2</v>
      </c>
      <c r="S60" s="2078">
        <v>3.3038065597318644E-2</v>
      </c>
      <c r="T60" s="2077">
        <v>76</v>
      </c>
      <c r="U60" s="1686">
        <v>0</v>
      </c>
      <c r="V60" s="1686">
        <v>11.873000000000001</v>
      </c>
      <c r="W60" s="1686">
        <v>2.0284999999999997</v>
      </c>
      <c r="X60" s="1686">
        <v>2.0284999999999997</v>
      </c>
      <c r="Y60" s="1686">
        <v>11.873000000000001</v>
      </c>
      <c r="Z60" s="2072">
        <v>0</v>
      </c>
      <c r="AA60" s="2072">
        <v>0.17893543939696516</v>
      </c>
      <c r="AB60" s="2093">
        <v>0.17893543939696516</v>
      </c>
    </row>
    <row r="61" spans="2:28">
      <c r="B61" s="89">
        <v>77</v>
      </c>
      <c r="C61" s="1"/>
      <c r="D61" s="1">
        <v>10.724</v>
      </c>
      <c r="E61" s="1">
        <v>3.625</v>
      </c>
      <c r="F61" s="1">
        <v>3.625</v>
      </c>
      <c r="G61" s="1">
        <v>10.724</v>
      </c>
      <c r="H61" s="741">
        <v>0</v>
      </c>
      <c r="I61" s="741">
        <v>0.33802685565087653</v>
      </c>
      <c r="J61" s="2079">
        <v>0.33802685565087653</v>
      </c>
      <c r="K61" s="89">
        <v>77</v>
      </c>
      <c r="L61" s="1">
        <v>0</v>
      </c>
      <c r="M61" s="1">
        <v>12.003</v>
      </c>
      <c r="N61" s="1419">
        <v>0.39300000000000002</v>
      </c>
      <c r="O61" s="1">
        <v>0.39300000000000002</v>
      </c>
      <c r="P61" s="1">
        <v>12.003</v>
      </c>
      <c r="Q61" s="741">
        <v>0</v>
      </c>
      <c r="R61" s="741">
        <v>3.2741814546363407E-2</v>
      </c>
      <c r="S61" s="2079">
        <v>3.2741814546363407E-2</v>
      </c>
      <c r="T61" s="89">
        <v>77</v>
      </c>
      <c r="U61" s="740">
        <v>0</v>
      </c>
      <c r="V61" s="740">
        <v>11.3635</v>
      </c>
      <c r="W61" s="740">
        <v>2.0089999999999999</v>
      </c>
      <c r="X61" s="740">
        <v>2.0089999999999999</v>
      </c>
      <c r="Y61" s="740">
        <v>11.3635</v>
      </c>
      <c r="Z61" s="2067">
        <v>0</v>
      </c>
      <c r="AA61" s="2067">
        <v>0.18538433509861996</v>
      </c>
      <c r="AB61" s="2094">
        <v>0.18538433509861996</v>
      </c>
    </row>
    <row r="62" spans="2:28">
      <c r="B62" s="2077">
        <v>78</v>
      </c>
      <c r="C62" s="2069"/>
      <c r="D62" s="2069">
        <v>10.228999999999999</v>
      </c>
      <c r="E62" s="2069">
        <v>3.601</v>
      </c>
      <c r="F62" s="2069">
        <v>3.601</v>
      </c>
      <c r="G62" s="2069">
        <v>10.228999999999999</v>
      </c>
      <c r="H62" s="2070">
        <v>0</v>
      </c>
      <c r="I62" s="2070">
        <v>0.35203832241665856</v>
      </c>
      <c r="J62" s="2078">
        <v>0.35203832241665856</v>
      </c>
      <c r="K62" s="2077">
        <v>78</v>
      </c>
      <c r="L62" s="2069">
        <v>0</v>
      </c>
      <c r="M62" s="2069">
        <v>11.47</v>
      </c>
      <c r="N62" s="2071">
        <v>0.371</v>
      </c>
      <c r="O62" s="2069">
        <v>0.371</v>
      </c>
      <c r="P62" s="2069">
        <v>11.47</v>
      </c>
      <c r="Q62" s="2070">
        <v>0</v>
      </c>
      <c r="R62" s="2070">
        <v>3.2345248474280733E-2</v>
      </c>
      <c r="S62" s="2078">
        <v>3.2345248474280733E-2</v>
      </c>
      <c r="T62" s="2077">
        <v>78</v>
      </c>
      <c r="U62" s="1686">
        <v>0</v>
      </c>
      <c r="V62" s="1686">
        <v>10.849499999999999</v>
      </c>
      <c r="W62" s="1686">
        <v>1.986</v>
      </c>
      <c r="X62" s="1686">
        <v>1.986</v>
      </c>
      <c r="Y62" s="1686">
        <v>10.849499999999999</v>
      </c>
      <c r="Z62" s="2072">
        <v>0</v>
      </c>
      <c r="AA62" s="2072">
        <v>0.19219178544546964</v>
      </c>
      <c r="AB62" s="2093">
        <v>0.19219178544546964</v>
      </c>
    </row>
    <row r="63" spans="2:28">
      <c r="B63" s="89">
        <v>79</v>
      </c>
      <c r="C63" s="1"/>
      <c r="D63" s="1">
        <v>9.7330000000000005</v>
      </c>
      <c r="E63" s="1">
        <v>3.57</v>
      </c>
      <c r="F63" s="1">
        <v>3.57</v>
      </c>
      <c r="G63" s="1">
        <v>9.7330000000000005</v>
      </c>
      <c r="H63" s="741">
        <v>0</v>
      </c>
      <c r="I63" s="741">
        <v>0.36679338333504569</v>
      </c>
      <c r="J63" s="2079">
        <v>0.36679338333504569</v>
      </c>
      <c r="K63" s="89">
        <v>79</v>
      </c>
      <c r="L63" s="1">
        <v>0</v>
      </c>
      <c r="M63" s="1">
        <v>10.932</v>
      </c>
      <c r="N63" s="1419">
        <v>0.34899999999999998</v>
      </c>
      <c r="O63" s="1">
        <v>0.34899999999999998</v>
      </c>
      <c r="P63" s="1">
        <v>10.932</v>
      </c>
      <c r="Q63" s="741">
        <v>0</v>
      </c>
      <c r="R63" s="741">
        <v>3.1924624954262709E-2</v>
      </c>
      <c r="S63" s="2079">
        <v>3.1924624954262709E-2</v>
      </c>
      <c r="T63" s="89">
        <v>79</v>
      </c>
      <c r="U63" s="740">
        <v>0</v>
      </c>
      <c r="V63" s="740">
        <v>10.3325</v>
      </c>
      <c r="W63" s="740">
        <v>1.9594999999999998</v>
      </c>
      <c r="X63" s="740">
        <v>1.9594999999999998</v>
      </c>
      <c r="Y63" s="740">
        <v>10.3325</v>
      </c>
      <c r="Z63" s="2067">
        <v>0</v>
      </c>
      <c r="AA63" s="2067">
        <v>0.19935900414465418</v>
      </c>
      <c r="AB63" s="2094">
        <v>0.19935900414465418</v>
      </c>
    </row>
    <row r="64" spans="2:28">
      <c r="B64" s="2077">
        <v>80</v>
      </c>
      <c r="C64" s="2069"/>
      <c r="D64" s="2069">
        <v>9.2379999999999995</v>
      </c>
      <c r="E64" s="2069">
        <v>3.5310000000000001</v>
      </c>
      <c r="F64" s="2069">
        <v>3.5310000000000001</v>
      </c>
      <c r="G64" s="2069">
        <v>9.2379999999999995</v>
      </c>
      <c r="H64" s="2070">
        <v>0</v>
      </c>
      <c r="I64" s="2070">
        <v>0.38222558995453565</v>
      </c>
      <c r="J64" s="2078">
        <v>0.38222558995453565</v>
      </c>
      <c r="K64" s="2077">
        <v>80</v>
      </c>
      <c r="L64" s="2069">
        <v>0</v>
      </c>
      <c r="M64" s="2069">
        <v>10.391999999999999</v>
      </c>
      <c r="N64" s="2071">
        <v>0.32700000000000001</v>
      </c>
      <c r="O64" s="2069">
        <v>0.32700000000000001</v>
      </c>
      <c r="P64" s="2069">
        <v>10.391999999999999</v>
      </c>
      <c r="Q64" s="2070">
        <v>0</v>
      </c>
      <c r="R64" s="2070">
        <v>3.1466512702078522E-2</v>
      </c>
      <c r="S64" s="2078">
        <v>3.1466512702078522E-2</v>
      </c>
      <c r="T64" s="2077">
        <v>80</v>
      </c>
      <c r="U64" s="1686">
        <v>0</v>
      </c>
      <c r="V64" s="1686">
        <v>9.8149999999999995</v>
      </c>
      <c r="W64" s="1686">
        <v>1.929</v>
      </c>
      <c r="X64" s="1686">
        <v>1.929</v>
      </c>
      <c r="Y64" s="1686">
        <v>9.8149999999999995</v>
      </c>
      <c r="Z64" s="2072">
        <v>0</v>
      </c>
      <c r="AA64" s="2072">
        <v>0.20684605132830708</v>
      </c>
      <c r="AB64" s="2093">
        <v>0.20684605132830708</v>
      </c>
    </row>
    <row r="65" spans="2:28">
      <c r="B65" s="89">
        <v>81</v>
      </c>
      <c r="C65" s="1"/>
      <c r="D65" s="1">
        <v>8.7469999999999999</v>
      </c>
      <c r="E65" s="1">
        <v>3.4820000000000002</v>
      </c>
      <c r="F65" s="1">
        <v>3.4820000000000002</v>
      </c>
      <c r="G65" s="1">
        <v>8.7469999999999999</v>
      </c>
      <c r="H65" s="741">
        <v>0</v>
      </c>
      <c r="I65" s="741">
        <v>0.39807934148851037</v>
      </c>
      <c r="J65" s="2079">
        <v>0.39807934148851037</v>
      </c>
      <c r="K65" s="89">
        <v>81</v>
      </c>
      <c r="L65" s="1">
        <v>0</v>
      </c>
      <c r="M65" s="1">
        <v>9.8529999999999998</v>
      </c>
      <c r="N65" s="1419">
        <v>0.30399999999999999</v>
      </c>
      <c r="O65" s="1">
        <v>0.30399999999999999</v>
      </c>
      <c r="P65" s="1">
        <v>9.8529999999999998</v>
      </c>
      <c r="Q65" s="741">
        <v>0</v>
      </c>
      <c r="R65" s="741">
        <v>3.0853547143002133E-2</v>
      </c>
      <c r="S65" s="2079">
        <v>3.0853547143002133E-2</v>
      </c>
      <c r="T65" s="89">
        <v>81</v>
      </c>
      <c r="U65" s="740">
        <v>0</v>
      </c>
      <c r="V65" s="740">
        <v>9.3000000000000007</v>
      </c>
      <c r="W65" s="740">
        <v>1.893</v>
      </c>
      <c r="X65" s="740">
        <v>1.893</v>
      </c>
      <c r="Y65" s="740">
        <v>9.3000000000000007</v>
      </c>
      <c r="Z65" s="2067">
        <v>0</v>
      </c>
      <c r="AA65" s="2067">
        <v>0.21446644431575626</v>
      </c>
      <c r="AB65" s="2094">
        <v>0.21446644431575626</v>
      </c>
    </row>
    <row r="66" spans="2:28">
      <c r="B66" s="2077">
        <v>82</v>
      </c>
      <c r="C66" s="2069"/>
      <c r="D66" s="2069">
        <v>8.2629999999999999</v>
      </c>
      <c r="E66" s="2069">
        <v>3.4089999999999998</v>
      </c>
      <c r="F66" s="2069">
        <v>3.4089999999999998</v>
      </c>
      <c r="G66" s="2069">
        <v>8.2629999999999999</v>
      </c>
      <c r="H66" s="2070">
        <v>0</v>
      </c>
      <c r="I66" s="2070">
        <v>0.41256202347815563</v>
      </c>
      <c r="J66" s="2078">
        <v>0.41256202347815563</v>
      </c>
      <c r="K66" s="2077">
        <v>82</v>
      </c>
      <c r="L66" s="2069">
        <v>0</v>
      </c>
      <c r="M66" s="2069">
        <v>9.3179999999999996</v>
      </c>
      <c r="N66" s="2071">
        <v>0.28100000000000003</v>
      </c>
      <c r="O66" s="2069">
        <v>0.28100000000000003</v>
      </c>
      <c r="P66" s="2069">
        <v>9.3179999999999996</v>
      </c>
      <c r="Q66" s="2070">
        <v>0</v>
      </c>
      <c r="R66" s="2070">
        <v>3.0156685984116766E-2</v>
      </c>
      <c r="S66" s="2078">
        <v>3.0156685984116766E-2</v>
      </c>
      <c r="T66" s="2077">
        <v>82</v>
      </c>
      <c r="U66" s="1686">
        <v>0</v>
      </c>
      <c r="V66" s="1686">
        <v>8.7904999999999998</v>
      </c>
      <c r="W66" s="1686">
        <v>1.845</v>
      </c>
      <c r="X66" s="1686">
        <v>1.845</v>
      </c>
      <c r="Y66" s="1686">
        <v>8.7904999999999998</v>
      </c>
      <c r="Z66" s="2072">
        <v>0</v>
      </c>
      <c r="AA66" s="2072">
        <v>0.22135935473113619</v>
      </c>
      <c r="AB66" s="2093">
        <v>0.22135935473113619</v>
      </c>
    </row>
    <row r="67" spans="2:28">
      <c r="B67" s="89">
        <v>83</v>
      </c>
      <c r="C67" s="1"/>
      <c r="D67" s="1">
        <v>7.7880000000000003</v>
      </c>
      <c r="E67" s="1">
        <v>3.3220000000000001</v>
      </c>
      <c r="F67" s="1">
        <v>3.3220000000000001</v>
      </c>
      <c r="G67" s="1">
        <v>7.7880000000000003</v>
      </c>
      <c r="H67" s="741">
        <v>0</v>
      </c>
      <c r="I67" s="741">
        <v>0.42655367231638419</v>
      </c>
      <c r="J67" s="2079">
        <v>0.42655367231638419</v>
      </c>
      <c r="K67" s="89">
        <v>83</v>
      </c>
      <c r="L67" s="1">
        <v>0</v>
      </c>
      <c r="M67" s="1">
        <v>8.7889999999999997</v>
      </c>
      <c r="N67" s="1419">
        <v>0.25800000000000001</v>
      </c>
      <c r="O67" s="1">
        <v>0.25800000000000001</v>
      </c>
      <c r="P67" s="1">
        <v>8.7889999999999997</v>
      </c>
      <c r="Q67" s="741">
        <v>0</v>
      </c>
      <c r="R67" s="741">
        <v>2.9354875412447381E-2</v>
      </c>
      <c r="S67" s="2079">
        <v>2.9354875412447381E-2</v>
      </c>
      <c r="T67" s="89">
        <v>83</v>
      </c>
      <c r="U67" s="740">
        <v>0</v>
      </c>
      <c r="V67" s="740">
        <v>8.2884999999999991</v>
      </c>
      <c r="W67" s="740">
        <v>1.79</v>
      </c>
      <c r="X67" s="740">
        <v>1.79</v>
      </c>
      <c r="Y67" s="740">
        <v>8.2884999999999991</v>
      </c>
      <c r="Z67" s="2067">
        <v>0</v>
      </c>
      <c r="AA67" s="2067">
        <v>0.22795427386441577</v>
      </c>
      <c r="AB67" s="2094">
        <v>0.22795427386441577</v>
      </c>
    </row>
    <row r="68" spans="2:28">
      <c r="B68" s="2077">
        <v>84</v>
      </c>
      <c r="C68" s="2069"/>
      <c r="D68" s="2069">
        <v>7.327</v>
      </c>
      <c r="E68" s="2069">
        <v>3.2229999999999999</v>
      </c>
      <c r="F68" s="2069">
        <v>3.2229999999999999</v>
      </c>
      <c r="G68" s="2069">
        <v>7.327</v>
      </c>
      <c r="H68" s="2070">
        <v>0</v>
      </c>
      <c r="I68" s="2070">
        <v>0.43987989627405483</v>
      </c>
      <c r="J68" s="2078">
        <v>0.43987989627405483</v>
      </c>
      <c r="K68" s="2077">
        <v>84</v>
      </c>
      <c r="L68" s="2069">
        <v>0</v>
      </c>
      <c r="M68" s="2069">
        <v>8.2710000000000008</v>
      </c>
      <c r="N68" s="2071">
        <v>0.23499999999999999</v>
      </c>
      <c r="O68" s="2069">
        <v>0.23499999999999999</v>
      </c>
      <c r="P68" s="2069">
        <v>8.2710000000000008</v>
      </c>
      <c r="Q68" s="2070">
        <v>0</v>
      </c>
      <c r="R68" s="2070">
        <v>2.8412525692177483E-2</v>
      </c>
      <c r="S68" s="2078">
        <v>2.8412525692177483E-2</v>
      </c>
      <c r="T68" s="2077">
        <v>84</v>
      </c>
      <c r="U68" s="1686">
        <v>0</v>
      </c>
      <c r="V68" s="1686">
        <v>7.7990000000000004</v>
      </c>
      <c r="W68" s="1686">
        <v>1.7289999999999999</v>
      </c>
      <c r="X68" s="1686">
        <v>1.7289999999999999</v>
      </c>
      <c r="Y68" s="1686">
        <v>7.7990000000000004</v>
      </c>
      <c r="Z68" s="2072">
        <v>0</v>
      </c>
      <c r="AA68" s="2072">
        <v>0.23414621098311617</v>
      </c>
      <c r="AB68" s="2093">
        <v>0.23414621098311617</v>
      </c>
    </row>
    <row r="69" spans="2:28">
      <c r="B69" s="89">
        <v>85</v>
      </c>
      <c r="C69" s="1"/>
      <c r="D69" s="1">
        <v>6.883</v>
      </c>
      <c r="E69" s="1">
        <v>3.1139999999999999</v>
      </c>
      <c r="F69" s="1">
        <v>3.1139999999999999</v>
      </c>
      <c r="G69" s="1">
        <v>6.883</v>
      </c>
      <c r="H69" s="741">
        <v>0</v>
      </c>
      <c r="I69" s="741">
        <v>0.45241900334156615</v>
      </c>
      <c r="J69" s="2079">
        <v>0.45241900334156615</v>
      </c>
      <c r="K69" s="89">
        <v>85</v>
      </c>
      <c r="L69" s="1">
        <v>0</v>
      </c>
      <c r="M69" s="1">
        <v>7.7679999999999998</v>
      </c>
      <c r="N69" s="1419">
        <v>0.21</v>
      </c>
      <c r="O69" s="1">
        <v>0.21</v>
      </c>
      <c r="P69" s="1">
        <v>7.7679999999999998</v>
      </c>
      <c r="Q69" s="741">
        <v>0</v>
      </c>
      <c r="R69" s="741">
        <v>2.7033985581874358E-2</v>
      </c>
      <c r="S69" s="2079">
        <v>2.7033985581874358E-2</v>
      </c>
      <c r="T69" s="89">
        <v>85</v>
      </c>
      <c r="U69" s="740">
        <v>0</v>
      </c>
      <c r="V69" s="740">
        <v>7.3254999999999999</v>
      </c>
      <c r="W69" s="740">
        <v>1.6619999999999999</v>
      </c>
      <c r="X69" s="740">
        <v>1.6619999999999999</v>
      </c>
      <c r="Y69" s="740">
        <v>7.3254999999999999</v>
      </c>
      <c r="Z69" s="2067">
        <v>0</v>
      </c>
      <c r="AA69" s="2067">
        <v>0.23972649446172026</v>
      </c>
      <c r="AB69" s="2094">
        <v>0.23972649446172026</v>
      </c>
    </row>
    <row r="70" spans="2:28">
      <c r="B70" s="2077">
        <v>86</v>
      </c>
      <c r="C70" s="2069"/>
      <c r="D70" s="2069">
        <v>6.4619999999999997</v>
      </c>
      <c r="E70" s="2069">
        <v>2.9969999999999999</v>
      </c>
      <c r="F70" s="2069">
        <v>2.9969999999999999</v>
      </c>
      <c r="G70" s="2069">
        <v>6.4619999999999997</v>
      </c>
      <c r="H70" s="2070">
        <v>0</v>
      </c>
      <c r="I70" s="2070">
        <v>0.46378830083565459</v>
      </c>
      <c r="J70" s="2078">
        <v>0.46378830083565459</v>
      </c>
      <c r="K70" s="2077">
        <v>86</v>
      </c>
      <c r="L70" s="2069">
        <v>0</v>
      </c>
      <c r="M70" s="2069">
        <v>7.2850000000000001</v>
      </c>
      <c r="N70" s="2071">
        <v>0.186</v>
      </c>
      <c r="O70" s="2069">
        <v>0.186</v>
      </c>
      <c r="P70" s="2069">
        <v>7.2850000000000001</v>
      </c>
      <c r="Q70" s="2070">
        <v>0</v>
      </c>
      <c r="R70" s="2070">
        <v>2.553191489361702E-2</v>
      </c>
      <c r="S70" s="2078">
        <v>2.553191489361702E-2</v>
      </c>
      <c r="T70" s="2077">
        <v>86</v>
      </c>
      <c r="U70" s="1686">
        <v>0</v>
      </c>
      <c r="V70" s="1686">
        <v>6.8734999999999999</v>
      </c>
      <c r="W70" s="1686">
        <v>1.5914999999999999</v>
      </c>
      <c r="X70" s="1686">
        <v>1.5914999999999999</v>
      </c>
      <c r="Y70" s="1686">
        <v>6.8734999999999999</v>
      </c>
      <c r="Z70" s="2072">
        <v>0</v>
      </c>
      <c r="AA70" s="2072">
        <v>0.2446601078646358</v>
      </c>
      <c r="AB70" s="2093">
        <v>0.2446601078646358</v>
      </c>
    </row>
    <row r="71" spans="2:28">
      <c r="B71" s="89">
        <v>87</v>
      </c>
      <c r="C71" s="1"/>
      <c r="D71" s="1">
        <v>6.069</v>
      </c>
      <c r="E71" s="1">
        <v>2.8730000000000002</v>
      </c>
      <c r="F71" s="1">
        <v>2.8730000000000002</v>
      </c>
      <c r="G71" s="1">
        <v>6.069</v>
      </c>
      <c r="H71" s="741">
        <v>0</v>
      </c>
      <c r="I71" s="741">
        <v>0.47338935574229696</v>
      </c>
      <c r="J71" s="2079">
        <v>0.47338935574229696</v>
      </c>
      <c r="K71" s="89">
        <v>87</v>
      </c>
      <c r="L71" s="1">
        <v>0</v>
      </c>
      <c r="M71" s="1">
        <v>6.8259999999999996</v>
      </c>
      <c r="N71" s="1419">
        <v>0.16200000000000001</v>
      </c>
      <c r="O71" s="1">
        <v>0.16200000000000001</v>
      </c>
      <c r="P71" s="1">
        <v>6.8259999999999996</v>
      </c>
      <c r="Q71" s="741">
        <v>0</v>
      </c>
      <c r="R71" s="741">
        <v>2.3732786404922358E-2</v>
      </c>
      <c r="S71" s="2079">
        <v>2.3732786404922358E-2</v>
      </c>
      <c r="T71" s="89">
        <v>87</v>
      </c>
      <c r="U71" s="740">
        <v>0</v>
      </c>
      <c r="V71" s="740">
        <v>6.4474999999999998</v>
      </c>
      <c r="W71" s="740">
        <v>1.5175000000000001</v>
      </c>
      <c r="X71" s="740">
        <v>1.5175000000000001</v>
      </c>
      <c r="Y71" s="740">
        <v>6.4474999999999998</v>
      </c>
      <c r="Z71" s="2067">
        <v>0</v>
      </c>
      <c r="AA71" s="2067">
        <v>0.24856107107360967</v>
      </c>
      <c r="AB71" s="2094">
        <v>0.24856107107360967</v>
      </c>
    </row>
    <row r="72" spans="2:28">
      <c r="B72" s="2077">
        <v>88</v>
      </c>
      <c r="C72" s="2069"/>
      <c r="D72" s="2069">
        <v>5.7119999999999997</v>
      </c>
      <c r="E72" s="2069">
        <v>2.7149999999999999</v>
      </c>
      <c r="F72" s="2069">
        <v>2.7149999999999999</v>
      </c>
      <c r="G72" s="2069">
        <v>5.7119999999999997</v>
      </c>
      <c r="H72" s="2070">
        <v>0</v>
      </c>
      <c r="I72" s="2070">
        <v>0.47531512605042014</v>
      </c>
      <c r="J72" s="2078">
        <v>0.47531512605042014</v>
      </c>
      <c r="K72" s="2077">
        <v>88</v>
      </c>
      <c r="L72" s="2069">
        <v>0</v>
      </c>
      <c r="M72" s="2069">
        <v>6.3979999999999997</v>
      </c>
      <c r="N72" s="2071">
        <v>0.14000000000000001</v>
      </c>
      <c r="O72" s="2069">
        <v>0.14000000000000001</v>
      </c>
      <c r="P72" s="2069">
        <v>6.3979999999999997</v>
      </c>
      <c r="Q72" s="2070">
        <v>0</v>
      </c>
      <c r="R72" s="2070">
        <v>2.1881838074398252E-2</v>
      </c>
      <c r="S72" s="2078">
        <v>2.1881838074398252E-2</v>
      </c>
      <c r="T72" s="2077">
        <v>88</v>
      </c>
      <c r="U72" s="1686">
        <v>0</v>
      </c>
      <c r="V72" s="1686">
        <v>6.0549999999999997</v>
      </c>
      <c r="W72" s="1686">
        <v>1.4275</v>
      </c>
      <c r="X72" s="1686">
        <v>1.4275</v>
      </c>
      <c r="Y72" s="1686">
        <v>6.0549999999999997</v>
      </c>
      <c r="Z72" s="2072">
        <v>0</v>
      </c>
      <c r="AA72" s="2072">
        <v>0.2485984820624092</v>
      </c>
      <c r="AB72" s="2093">
        <v>0.2485984820624092</v>
      </c>
    </row>
    <row r="73" spans="2:28">
      <c r="B73" s="89">
        <v>89</v>
      </c>
      <c r="C73" s="1"/>
      <c r="D73" s="1">
        <v>5.3979999999999997</v>
      </c>
      <c r="E73" s="1">
        <v>2.5489999999999999</v>
      </c>
      <c r="F73" s="1">
        <v>2.5489999999999999</v>
      </c>
      <c r="G73" s="1">
        <v>5.3979999999999997</v>
      </c>
      <c r="H73" s="741">
        <v>0</v>
      </c>
      <c r="I73" s="741">
        <v>0.4722119303445721</v>
      </c>
      <c r="J73" s="2079">
        <v>0.4722119303445721</v>
      </c>
      <c r="K73" s="89">
        <v>89</v>
      </c>
      <c r="L73" s="1">
        <v>0</v>
      </c>
      <c r="M73" s="1">
        <v>6.0069999999999997</v>
      </c>
      <c r="N73" s="1419">
        <v>0.11700000000000001</v>
      </c>
      <c r="O73" s="1">
        <v>0.11700000000000001</v>
      </c>
      <c r="P73" s="1">
        <v>6.0069999999999997</v>
      </c>
      <c r="Q73" s="741">
        <v>0</v>
      </c>
      <c r="R73" s="741">
        <v>1.9477276510737475E-2</v>
      </c>
      <c r="S73" s="2079">
        <v>1.9477276510737475E-2</v>
      </c>
      <c r="T73" s="89">
        <v>89</v>
      </c>
      <c r="U73" s="740">
        <v>0</v>
      </c>
      <c r="V73" s="740">
        <v>5.7024999999999997</v>
      </c>
      <c r="W73" s="740">
        <v>1.333</v>
      </c>
      <c r="X73" s="740">
        <v>1.333</v>
      </c>
      <c r="Y73" s="740">
        <v>5.7024999999999997</v>
      </c>
      <c r="Z73" s="2067">
        <v>0</v>
      </c>
      <c r="AA73" s="2067">
        <v>0.2458446034276548</v>
      </c>
      <c r="AB73" s="2094">
        <v>0.2458446034276548</v>
      </c>
    </row>
    <row r="74" spans="2:28">
      <c r="B74" s="2077">
        <v>90</v>
      </c>
      <c r="C74" s="2069"/>
      <c r="D74" s="2069">
        <v>5.1150000000000002</v>
      </c>
      <c r="E74" s="2069">
        <v>2.387</v>
      </c>
      <c r="F74" s="2069">
        <v>2.387</v>
      </c>
      <c r="G74" s="2069">
        <v>5.1150000000000002</v>
      </c>
      <c r="H74" s="2070">
        <v>0</v>
      </c>
      <c r="I74" s="2070">
        <v>0.46666666666666667</v>
      </c>
      <c r="J74" s="2078">
        <v>0.46666666666666667</v>
      </c>
      <c r="K74" s="2077">
        <v>90</v>
      </c>
      <c r="L74" s="2069">
        <v>0</v>
      </c>
      <c r="M74" s="2069">
        <v>5.6550000000000002</v>
      </c>
      <c r="N74" s="2071">
        <v>9.7000000000000003E-2</v>
      </c>
      <c r="O74" s="2069">
        <v>9.7000000000000003E-2</v>
      </c>
      <c r="P74" s="2069">
        <v>5.6550000000000002</v>
      </c>
      <c r="Q74" s="2070">
        <v>0</v>
      </c>
      <c r="R74" s="2070">
        <v>1.7152961980548186E-2</v>
      </c>
      <c r="S74" s="2078">
        <v>1.7152961980548186E-2</v>
      </c>
      <c r="T74" s="2077">
        <v>90</v>
      </c>
      <c r="U74" s="1686">
        <v>0</v>
      </c>
      <c r="V74" s="1686">
        <v>5.3849999999999998</v>
      </c>
      <c r="W74" s="1686">
        <v>1.242</v>
      </c>
      <c r="X74" s="1686">
        <v>1.242</v>
      </c>
      <c r="Y74" s="1686">
        <v>5.3849999999999998</v>
      </c>
      <c r="Z74" s="2072">
        <v>0</v>
      </c>
      <c r="AA74" s="2072">
        <v>0.24190981432360742</v>
      </c>
      <c r="AB74" s="2093">
        <v>0.24190981432360742</v>
      </c>
    </row>
    <row r="75" spans="2:28">
      <c r="B75" s="89">
        <v>91</v>
      </c>
      <c r="C75" s="1"/>
      <c r="D75" s="1">
        <v>4.8499999999999996</v>
      </c>
      <c r="E75" s="1">
        <v>2.2040000000000002</v>
      </c>
      <c r="F75" s="1">
        <v>2.2040000000000002</v>
      </c>
      <c r="G75" s="1">
        <v>4.8499999999999996</v>
      </c>
      <c r="H75" s="741">
        <v>0</v>
      </c>
      <c r="I75" s="741">
        <v>0.45443298969072171</v>
      </c>
      <c r="J75" s="2079">
        <v>0.45443298969072171</v>
      </c>
      <c r="K75" s="89">
        <v>91</v>
      </c>
      <c r="L75" s="1">
        <v>0</v>
      </c>
      <c r="M75" s="1">
        <v>5.3319999999999999</v>
      </c>
      <c r="N75" s="1419">
        <v>0.08</v>
      </c>
      <c r="O75" s="1">
        <v>0.08</v>
      </c>
      <c r="P75" s="1">
        <v>5.3319999999999999</v>
      </c>
      <c r="Q75" s="741">
        <v>0</v>
      </c>
      <c r="R75" s="741">
        <v>1.5003750937734435E-2</v>
      </c>
      <c r="S75" s="2079">
        <v>1.5003750937734435E-2</v>
      </c>
      <c r="T75" s="89">
        <v>91</v>
      </c>
      <c r="U75" s="740">
        <v>0</v>
      </c>
      <c r="V75" s="740">
        <v>5.0909999999999993</v>
      </c>
      <c r="W75" s="740">
        <v>1.1420000000000001</v>
      </c>
      <c r="X75" s="740">
        <v>1.1420000000000001</v>
      </c>
      <c r="Y75" s="740">
        <v>5.0909999999999993</v>
      </c>
      <c r="Z75" s="2067">
        <v>0</v>
      </c>
      <c r="AA75" s="2067">
        <v>0.23471837031422807</v>
      </c>
      <c r="AB75" s="2094">
        <v>0.23471837031422807</v>
      </c>
    </row>
    <row r="76" spans="2:28">
      <c r="B76" s="2077">
        <v>92</v>
      </c>
      <c r="C76" s="2069"/>
      <c r="D76" s="2069">
        <v>4.6040000000000001</v>
      </c>
      <c r="E76" s="2069">
        <v>2.0350000000000001</v>
      </c>
      <c r="F76" s="2069">
        <v>2.0350000000000001</v>
      </c>
      <c r="G76" s="2069">
        <v>4.6040000000000001</v>
      </c>
      <c r="H76" s="2070">
        <v>0</v>
      </c>
      <c r="I76" s="2070">
        <v>0.44200695047784538</v>
      </c>
      <c r="J76" s="2078">
        <v>0.44200695047784538</v>
      </c>
      <c r="K76" s="2077">
        <v>92</v>
      </c>
      <c r="L76" s="2069">
        <v>0</v>
      </c>
      <c r="M76" s="2069">
        <v>5.0289999999999999</v>
      </c>
      <c r="N76" s="2071">
        <v>6.5000000000000002E-2</v>
      </c>
      <c r="O76" s="2069">
        <v>6.5000000000000002E-2</v>
      </c>
      <c r="P76" s="2069">
        <v>5.0289999999999999</v>
      </c>
      <c r="Q76" s="2070">
        <v>0</v>
      </c>
      <c r="R76" s="2070">
        <v>1.2925034798170611E-2</v>
      </c>
      <c r="S76" s="2078">
        <v>1.2925034798170611E-2</v>
      </c>
      <c r="T76" s="2077">
        <v>92</v>
      </c>
      <c r="U76" s="1686">
        <v>0</v>
      </c>
      <c r="V76" s="1686">
        <v>4.8164999999999996</v>
      </c>
      <c r="W76" s="1686">
        <v>1.05</v>
      </c>
      <c r="X76" s="1686">
        <v>1.05</v>
      </c>
      <c r="Y76" s="1686">
        <v>4.8164999999999996</v>
      </c>
      <c r="Z76" s="2072">
        <v>0</v>
      </c>
      <c r="AA76" s="2072">
        <v>0.22746599263800799</v>
      </c>
      <c r="AB76" s="2093">
        <v>0.22746599263800799</v>
      </c>
    </row>
    <row r="77" spans="2:28">
      <c r="B77" s="89">
        <v>93</v>
      </c>
      <c r="C77" s="1"/>
      <c r="D77" s="1">
        <v>4.3760000000000003</v>
      </c>
      <c r="E77" s="1">
        <v>1.85</v>
      </c>
      <c r="F77" s="1">
        <v>1.85</v>
      </c>
      <c r="G77" s="1">
        <v>4.3760000000000003</v>
      </c>
      <c r="H77" s="741">
        <v>0</v>
      </c>
      <c r="I77" s="741">
        <v>0.42276051188299818</v>
      </c>
      <c r="J77" s="2079">
        <v>0.42276051188299818</v>
      </c>
      <c r="K77" s="89">
        <v>93</v>
      </c>
      <c r="L77" s="1">
        <v>0</v>
      </c>
      <c r="M77" s="1">
        <v>4.7469999999999999</v>
      </c>
      <c r="N77" s="1419">
        <v>5.2999999999999999E-2</v>
      </c>
      <c r="O77" s="1">
        <v>5.2999999999999999E-2</v>
      </c>
      <c r="P77" s="1">
        <v>4.7469999999999999</v>
      </c>
      <c r="Q77" s="741">
        <v>0</v>
      </c>
      <c r="R77" s="741">
        <v>1.1164946281862228E-2</v>
      </c>
      <c r="S77" s="2079">
        <v>1.1164946281862228E-2</v>
      </c>
      <c r="T77" s="89">
        <v>93</v>
      </c>
      <c r="U77" s="740">
        <v>0</v>
      </c>
      <c r="V77" s="740">
        <v>4.5615000000000006</v>
      </c>
      <c r="W77" s="740">
        <v>0.95150000000000001</v>
      </c>
      <c r="X77" s="740">
        <v>0.95150000000000001</v>
      </c>
      <c r="Y77" s="740">
        <v>4.5615000000000006</v>
      </c>
      <c r="Z77" s="2067">
        <v>0</v>
      </c>
      <c r="AA77" s="2067">
        <v>0.21696272908243019</v>
      </c>
      <c r="AB77" s="2094">
        <v>0.21696272908243019</v>
      </c>
    </row>
    <row r="78" spans="2:28">
      <c r="B78" s="2077">
        <v>94</v>
      </c>
      <c r="C78" s="2069"/>
      <c r="D78" s="2069">
        <v>4.1660000000000004</v>
      </c>
      <c r="E78" s="2069">
        <v>1.6830000000000001</v>
      </c>
      <c r="F78" s="2069">
        <v>1.6830000000000001</v>
      </c>
      <c r="G78" s="2069">
        <v>4.1660000000000004</v>
      </c>
      <c r="H78" s="2070">
        <v>0</v>
      </c>
      <c r="I78" s="2070">
        <v>0.4039846375420067</v>
      </c>
      <c r="J78" s="2078">
        <v>0.4039846375420067</v>
      </c>
      <c r="K78" s="2077">
        <v>94</v>
      </c>
      <c r="L78" s="2069">
        <v>0</v>
      </c>
      <c r="M78" s="2069">
        <v>4.4850000000000003</v>
      </c>
      <c r="N78" s="2071">
        <v>4.2000000000000003E-2</v>
      </c>
      <c r="O78" s="2069">
        <v>4.2000000000000003E-2</v>
      </c>
      <c r="P78" s="2069">
        <v>4.4850000000000003</v>
      </c>
      <c r="Q78" s="2070">
        <v>0</v>
      </c>
      <c r="R78" s="2070">
        <v>9.3645484949832769E-3</v>
      </c>
      <c r="S78" s="2078">
        <v>9.3645484949832769E-3</v>
      </c>
      <c r="T78" s="2077">
        <v>94</v>
      </c>
      <c r="U78" s="1686">
        <v>0</v>
      </c>
      <c r="V78" s="1686">
        <v>4.3254999999999999</v>
      </c>
      <c r="W78" s="1686">
        <v>0.86250000000000004</v>
      </c>
      <c r="X78" s="1686">
        <v>0.86250000000000004</v>
      </c>
      <c r="Y78" s="1686">
        <v>4.3254999999999999</v>
      </c>
      <c r="Z78" s="2072">
        <v>0</v>
      </c>
      <c r="AA78" s="2072">
        <v>0.206674593018495</v>
      </c>
      <c r="AB78" s="2093">
        <v>0.206674593018495</v>
      </c>
    </row>
    <row r="79" spans="2:28">
      <c r="B79" s="89">
        <v>95</v>
      </c>
      <c r="C79" s="1"/>
      <c r="D79" s="1">
        <v>3.9740000000000002</v>
      </c>
      <c r="E79" s="1">
        <v>1.5349999999999999</v>
      </c>
      <c r="F79" s="1">
        <v>1.5349999999999999</v>
      </c>
      <c r="G79" s="1">
        <v>3.9740000000000002</v>
      </c>
      <c r="H79" s="741">
        <v>0</v>
      </c>
      <c r="I79" s="741">
        <v>0.38626069451434319</v>
      </c>
      <c r="J79" s="2079">
        <v>0.38626069451434319</v>
      </c>
      <c r="K79" s="89">
        <v>95</v>
      </c>
      <c r="L79" s="1">
        <v>0</v>
      </c>
      <c r="M79" s="1">
        <v>4.2450000000000001</v>
      </c>
      <c r="N79" s="1419">
        <v>3.4000000000000002E-2</v>
      </c>
      <c r="O79" s="1">
        <v>3.4000000000000002E-2</v>
      </c>
      <c r="P79" s="1">
        <v>4.2450000000000001</v>
      </c>
      <c r="Q79" s="741">
        <v>0</v>
      </c>
      <c r="R79" s="741">
        <v>8.0094228504122497E-3</v>
      </c>
      <c r="S79" s="2079">
        <v>8.0094228504122497E-3</v>
      </c>
      <c r="T79" s="89">
        <v>95</v>
      </c>
      <c r="U79" s="740">
        <v>0</v>
      </c>
      <c r="V79" s="740">
        <v>4.1095000000000006</v>
      </c>
      <c r="W79" s="740">
        <v>0.78449999999999998</v>
      </c>
      <c r="X79" s="740">
        <v>0.78449999999999998</v>
      </c>
      <c r="Y79" s="740">
        <v>4.1095000000000006</v>
      </c>
      <c r="Z79" s="2067">
        <v>0</v>
      </c>
      <c r="AA79" s="2067">
        <v>0.19713505868237771</v>
      </c>
      <c r="AB79" s="2094">
        <v>0.19713505868237771</v>
      </c>
    </row>
    <row r="80" spans="2:28">
      <c r="B80" s="2077">
        <v>96</v>
      </c>
      <c r="C80" s="2069"/>
      <c r="D80" s="2069">
        <v>3.798</v>
      </c>
      <c r="E80" s="2069">
        <v>1.371</v>
      </c>
      <c r="F80" s="2069">
        <v>1.371</v>
      </c>
      <c r="G80" s="2069">
        <v>3.798</v>
      </c>
      <c r="H80" s="2070">
        <v>0</v>
      </c>
      <c r="I80" s="2070">
        <v>0.36097946287519744</v>
      </c>
      <c r="J80" s="2078">
        <v>0.36097946287519744</v>
      </c>
      <c r="K80" s="2077">
        <v>96</v>
      </c>
      <c r="L80" s="2069">
        <v>0</v>
      </c>
      <c r="M80" s="2069">
        <v>4.024</v>
      </c>
      <c r="N80" s="2071">
        <v>2.7E-2</v>
      </c>
      <c r="O80" s="2069">
        <v>2.7E-2</v>
      </c>
      <c r="P80" s="2069">
        <v>4.024</v>
      </c>
      <c r="Q80" s="2070">
        <v>0</v>
      </c>
      <c r="R80" s="2070">
        <v>6.7097415506958248E-3</v>
      </c>
      <c r="S80" s="2078">
        <v>6.7097415506958248E-3</v>
      </c>
      <c r="T80" s="2077">
        <v>96</v>
      </c>
      <c r="U80" s="1686">
        <v>0</v>
      </c>
      <c r="V80" s="1686">
        <v>3.911</v>
      </c>
      <c r="W80" s="1686">
        <v>0.69899999999999995</v>
      </c>
      <c r="X80" s="1686">
        <v>0.69899999999999995</v>
      </c>
      <c r="Y80" s="1686">
        <v>3.911</v>
      </c>
      <c r="Z80" s="2072">
        <v>0</v>
      </c>
      <c r="AA80" s="2072">
        <v>0.18384460221294663</v>
      </c>
      <c r="AB80" s="2093">
        <v>0.18384460221294663</v>
      </c>
    </row>
    <row r="81" spans="2:28">
      <c r="B81" s="89">
        <v>97</v>
      </c>
      <c r="C81" s="1"/>
      <c r="D81" s="1">
        <v>3.6389999999999998</v>
      </c>
      <c r="E81" s="1">
        <v>1.216</v>
      </c>
      <c r="F81" s="1">
        <v>1.216</v>
      </c>
      <c r="G81" s="1">
        <v>3.6389999999999998</v>
      </c>
      <c r="H81" s="741">
        <v>0</v>
      </c>
      <c r="I81" s="741">
        <v>0.33415773564165979</v>
      </c>
      <c r="J81" s="2079">
        <v>0.33415773564165979</v>
      </c>
      <c r="K81" s="89">
        <v>97</v>
      </c>
      <c r="L81" s="1">
        <v>0</v>
      </c>
      <c r="M81" s="1">
        <v>3.8239999999999998</v>
      </c>
      <c r="N81" s="1419">
        <v>2.1000000000000001E-2</v>
      </c>
      <c r="O81" s="1">
        <v>2.1000000000000001E-2</v>
      </c>
      <c r="P81" s="1">
        <v>3.8239999999999998</v>
      </c>
      <c r="Q81" s="741">
        <v>0</v>
      </c>
      <c r="R81" s="741">
        <v>5.4916317991631804E-3</v>
      </c>
      <c r="S81" s="2079">
        <v>5.4916317991631804E-3</v>
      </c>
      <c r="T81" s="89">
        <v>97</v>
      </c>
      <c r="U81" s="740">
        <v>0</v>
      </c>
      <c r="V81" s="740">
        <v>3.7314999999999996</v>
      </c>
      <c r="W81" s="740">
        <v>0.61849999999999994</v>
      </c>
      <c r="X81" s="740">
        <v>0.61849999999999994</v>
      </c>
      <c r="Y81" s="740">
        <v>3.7314999999999996</v>
      </c>
      <c r="Z81" s="2067">
        <v>0</v>
      </c>
      <c r="AA81" s="2067">
        <v>0.16982468372041148</v>
      </c>
      <c r="AB81" s="2094">
        <v>0.16982468372041148</v>
      </c>
    </row>
    <row r="82" spans="2:28">
      <c r="B82" s="2077">
        <v>98</v>
      </c>
      <c r="C82" s="2069"/>
      <c r="D82" s="2069">
        <v>3.4950000000000001</v>
      </c>
      <c r="E82" s="2069">
        <v>1.0409999999999999</v>
      </c>
      <c r="F82" s="2069">
        <v>1.0409999999999999</v>
      </c>
      <c r="G82" s="2069">
        <v>3.4950000000000001</v>
      </c>
      <c r="H82" s="2070">
        <v>0</v>
      </c>
      <c r="I82" s="2070">
        <v>0.29785407725321883</v>
      </c>
      <c r="J82" s="2078">
        <v>0.29785407725321883</v>
      </c>
      <c r="K82" s="2077">
        <v>98</v>
      </c>
      <c r="L82" s="2069">
        <v>0</v>
      </c>
      <c r="M82" s="2069">
        <v>3.6429999999999998</v>
      </c>
      <c r="N82" s="2071">
        <v>1.7000000000000001E-2</v>
      </c>
      <c r="O82" s="2069">
        <v>1.7000000000000001E-2</v>
      </c>
      <c r="P82" s="2069">
        <v>3.6429999999999998</v>
      </c>
      <c r="Q82" s="2070">
        <v>0</v>
      </c>
      <c r="R82" s="2070">
        <v>4.6664836673071652E-3</v>
      </c>
      <c r="S82" s="2078">
        <v>4.6664836673071652E-3</v>
      </c>
      <c r="T82" s="2077">
        <v>98</v>
      </c>
      <c r="U82" s="1686">
        <v>0</v>
      </c>
      <c r="V82" s="1686">
        <v>3.569</v>
      </c>
      <c r="W82" s="1686">
        <v>0.52899999999999991</v>
      </c>
      <c r="X82" s="1686">
        <v>0.52899999999999991</v>
      </c>
      <c r="Y82" s="1686">
        <v>3.569</v>
      </c>
      <c r="Z82" s="2072">
        <v>0</v>
      </c>
      <c r="AA82" s="2072">
        <v>0.15126028046026299</v>
      </c>
      <c r="AB82" s="2093">
        <v>0.15126028046026299</v>
      </c>
    </row>
    <row r="83" spans="2:28">
      <c r="B83" s="89">
        <v>99</v>
      </c>
      <c r="C83" s="1"/>
      <c r="D83" s="1">
        <v>3.3639999999999999</v>
      </c>
      <c r="E83" s="1">
        <v>0.84799999999999998</v>
      </c>
      <c r="F83" s="1">
        <v>0.84799999999999998</v>
      </c>
      <c r="G83" s="1">
        <v>3.3639999999999999</v>
      </c>
      <c r="H83" s="741">
        <v>0</v>
      </c>
      <c r="I83" s="741">
        <v>0.25208085612366232</v>
      </c>
      <c r="J83" s="2079">
        <v>0.25208085612366232</v>
      </c>
      <c r="K83" s="89">
        <v>99</v>
      </c>
      <c r="L83" s="1">
        <v>0</v>
      </c>
      <c r="M83" s="1">
        <v>3.48</v>
      </c>
      <c r="N83" s="1419">
        <v>1.2999999999999999E-2</v>
      </c>
      <c r="O83" s="1">
        <v>1.2999999999999999E-2</v>
      </c>
      <c r="P83" s="1">
        <v>3.48</v>
      </c>
      <c r="Q83" s="741">
        <v>0</v>
      </c>
      <c r="R83" s="741">
        <v>3.7356321839080459E-3</v>
      </c>
      <c r="S83" s="2079">
        <v>3.7356321839080459E-3</v>
      </c>
      <c r="T83" s="89">
        <v>99</v>
      </c>
      <c r="U83" s="740">
        <v>0</v>
      </c>
      <c r="V83" s="740">
        <v>3.4219999999999997</v>
      </c>
      <c r="W83" s="740">
        <v>0.43049999999999999</v>
      </c>
      <c r="X83" s="740">
        <v>0.43049999999999999</v>
      </c>
      <c r="Y83" s="740">
        <v>3.4219999999999997</v>
      </c>
      <c r="Z83" s="2067">
        <v>0</v>
      </c>
      <c r="AA83" s="2067">
        <v>0.12790824415378518</v>
      </c>
      <c r="AB83" s="2094">
        <v>0.12790824415378518</v>
      </c>
    </row>
    <row r="84" spans="2:28" ht="15" thickBot="1">
      <c r="B84" s="2080">
        <v>100</v>
      </c>
      <c r="C84" s="2081"/>
      <c r="D84" s="2081">
        <v>3.2450000000000001</v>
      </c>
      <c r="E84" s="2081">
        <v>0.67200000000000004</v>
      </c>
      <c r="F84" s="2081">
        <v>0.67200000000000004</v>
      </c>
      <c r="G84" s="2081">
        <v>3.2450000000000001</v>
      </c>
      <c r="H84" s="2082">
        <v>0</v>
      </c>
      <c r="I84" s="2082">
        <v>0.20708782742681048</v>
      </c>
      <c r="J84" s="2083">
        <v>0.20708782742681048</v>
      </c>
      <c r="K84" s="2080">
        <v>100</v>
      </c>
      <c r="L84" s="2081">
        <v>0</v>
      </c>
      <c r="M84" s="2081">
        <v>3.335</v>
      </c>
      <c r="N84" s="2088">
        <v>0.01</v>
      </c>
      <c r="O84" s="2081">
        <v>0.01</v>
      </c>
      <c r="P84" s="2081">
        <v>3.335</v>
      </c>
      <c r="Q84" s="2082">
        <v>0</v>
      </c>
      <c r="R84" s="2082">
        <v>2.9985007496251873E-3</v>
      </c>
      <c r="S84" s="2083">
        <v>2.9985007496251873E-3</v>
      </c>
      <c r="T84" s="2080">
        <v>100</v>
      </c>
      <c r="U84" s="2095">
        <v>0</v>
      </c>
      <c r="V84" s="2095">
        <v>3.29</v>
      </c>
      <c r="W84" s="2095">
        <v>0.34100000000000003</v>
      </c>
      <c r="X84" s="2095">
        <v>0.34100000000000003</v>
      </c>
      <c r="Y84" s="2095">
        <v>3.29</v>
      </c>
      <c r="Z84" s="2096">
        <v>0</v>
      </c>
      <c r="AA84" s="2096">
        <v>0.10504316408821783</v>
      </c>
      <c r="AB84" s="2097">
        <v>0.10504316408821783</v>
      </c>
    </row>
  </sheetData>
  <sheetProtection algorithmName="SHA-512" hashValue="PbocDFYzXX2ehBwSfaKFdbbFt1HtJ9Shi6+4yN6OSBkSVIZyaVWbj3qG1AHxMSsW11s3jR8Ohfcm2oZNJprJvQ==" saltValue="EpBAWG9r5hf794Wh1AE0lw==" spinCount="100000" sheet="1" objects="1" scenarios="1" formatColumns="0" autoFilter="0"/>
  <mergeCells count="4">
    <mergeCell ref="H2:J2"/>
    <mergeCell ref="Q2:S2"/>
    <mergeCell ref="B2:B3"/>
    <mergeCell ref="Z2:AB2"/>
  </mergeCells>
  <phoneticPr fontId="61" type="noConversion"/>
  <pageMargins left="0.70866141732283472" right="0.70866141732283472" top="0.78740157480314965" bottom="0.78740157480314965"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AB84"/>
  <sheetViews>
    <sheetView workbookViewId="0">
      <pane ySplit="1800" topLeftCell="A4" activePane="bottomLeft"/>
      <selection activeCell="D10" sqref="D10"/>
      <selection pane="bottomLeft" activeCell="J9" sqref="J9"/>
    </sheetView>
  </sheetViews>
  <sheetFormatPr baseColWidth="10" defaultColWidth="11.125" defaultRowHeight="14.25"/>
  <cols>
    <col min="1" max="1" width="2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1" spans="1:28" ht="15" thickBot="1">
      <c r="B1" s="4">
        <v>1</v>
      </c>
      <c r="C1" s="4">
        <v>2</v>
      </c>
      <c r="D1" s="4">
        <v>3</v>
      </c>
      <c r="E1" s="4">
        <v>4</v>
      </c>
      <c r="F1" s="4">
        <v>5</v>
      </c>
      <c r="G1" s="4">
        <v>6</v>
      </c>
      <c r="H1" s="4">
        <v>7</v>
      </c>
      <c r="I1" s="4">
        <v>8</v>
      </c>
      <c r="J1" s="4">
        <v>9</v>
      </c>
      <c r="K1" s="4">
        <v>10</v>
      </c>
      <c r="L1" s="4">
        <v>11</v>
      </c>
      <c r="M1" s="4">
        <v>12</v>
      </c>
      <c r="N1" s="4">
        <v>13</v>
      </c>
      <c r="O1" s="4">
        <v>14</v>
      </c>
      <c r="P1" s="4">
        <v>15</v>
      </c>
      <c r="Q1" s="4">
        <v>16</v>
      </c>
      <c r="R1" s="4">
        <v>17</v>
      </c>
      <c r="S1" s="4">
        <v>18</v>
      </c>
      <c r="T1" s="4">
        <v>19</v>
      </c>
      <c r="U1" s="4">
        <v>20</v>
      </c>
      <c r="V1" s="4">
        <v>21</v>
      </c>
      <c r="W1" s="4">
        <v>22</v>
      </c>
      <c r="X1" s="4">
        <v>23</v>
      </c>
      <c r="Y1" s="4">
        <v>24</v>
      </c>
      <c r="Z1" s="4">
        <v>25</v>
      </c>
      <c r="AA1" s="4">
        <v>26</v>
      </c>
      <c r="AB1" s="4">
        <v>27</v>
      </c>
    </row>
    <row r="2" spans="1:28" s="127" customFormat="1" ht="72" customHeight="1">
      <c r="A2" s="127" t="s">
        <v>2025</v>
      </c>
      <c r="B2" s="4050"/>
      <c r="C2" s="2074" t="s">
        <v>0</v>
      </c>
      <c r="D2" s="2074" t="s">
        <v>1</v>
      </c>
      <c r="E2" s="2074" t="s">
        <v>2</v>
      </c>
      <c r="F2" s="2074" t="s">
        <v>185</v>
      </c>
      <c r="G2" s="2074" t="s">
        <v>1939</v>
      </c>
      <c r="H2" s="4046" t="s">
        <v>162</v>
      </c>
      <c r="I2" s="4046"/>
      <c r="J2" s="4047"/>
      <c r="K2" s="2084"/>
      <c r="L2" s="2085" t="s">
        <v>0</v>
      </c>
      <c r="M2" s="2085" t="s">
        <v>1</v>
      </c>
      <c r="N2" s="2085" t="s">
        <v>2</v>
      </c>
      <c r="O2" s="2085" t="s">
        <v>216</v>
      </c>
      <c r="P2" s="2085" t="str">
        <f>+G2</f>
        <v>Anwartschafts-barwert d. Altersrente</v>
      </c>
      <c r="Q2" s="4048" t="s">
        <v>163</v>
      </c>
      <c r="R2" s="4048"/>
      <c r="S2" s="4049"/>
      <c r="T2" s="2089"/>
      <c r="U2" s="2090" t="s">
        <v>0</v>
      </c>
      <c r="V2" s="2090" t="s">
        <v>1</v>
      </c>
      <c r="W2" s="2090" t="s">
        <v>2</v>
      </c>
      <c r="X2" s="2090" t="str">
        <f>+O2</f>
        <v>Witwenrente</v>
      </c>
      <c r="Y2" s="2090" t="s">
        <v>4</v>
      </c>
      <c r="Z2" s="4052" t="s">
        <v>167</v>
      </c>
      <c r="AA2" s="4052"/>
      <c r="AB2" s="4053"/>
    </row>
    <row r="3" spans="1:28" s="2" customFormat="1" ht="18.75">
      <c r="A3" s="60"/>
      <c r="B3" s="4051"/>
      <c r="C3" s="2068">
        <v>0.33100000000000002</v>
      </c>
      <c r="D3" s="2068" t="s">
        <v>14</v>
      </c>
      <c r="E3" s="2068" t="s">
        <v>28</v>
      </c>
      <c r="F3" s="2068" t="s">
        <v>1689</v>
      </c>
      <c r="G3" s="2068"/>
      <c r="H3" s="1105" t="s">
        <v>8</v>
      </c>
      <c r="I3" s="1105" t="s">
        <v>9</v>
      </c>
      <c r="J3" s="2076" t="s">
        <v>10</v>
      </c>
      <c r="K3" s="2086" t="s">
        <v>13</v>
      </c>
      <c r="L3" s="1106" t="s">
        <v>15</v>
      </c>
      <c r="M3" s="1106" t="s">
        <v>14</v>
      </c>
      <c r="N3" s="1106" t="s">
        <v>29</v>
      </c>
      <c r="O3" s="1106"/>
      <c r="P3" s="1106"/>
      <c r="Q3" s="1106" t="s">
        <v>8</v>
      </c>
      <c r="R3" s="1106" t="s">
        <v>9</v>
      </c>
      <c r="S3" s="2087" t="s">
        <v>10</v>
      </c>
      <c r="T3" s="2106" t="s">
        <v>13</v>
      </c>
      <c r="U3" s="2107" t="s">
        <v>15</v>
      </c>
      <c r="V3" s="2107" t="s">
        <v>14</v>
      </c>
      <c r="W3" s="2107" t="s">
        <v>29</v>
      </c>
      <c r="X3" s="2107"/>
      <c r="Y3" s="2107"/>
      <c r="Z3" s="2107" t="s">
        <v>8</v>
      </c>
      <c r="AA3" s="2107" t="s">
        <v>9</v>
      </c>
      <c r="AB3" s="2108" t="s">
        <v>10</v>
      </c>
    </row>
    <row r="4" spans="1:28">
      <c r="B4" s="2077">
        <v>20</v>
      </c>
      <c r="C4" s="2069">
        <v>0.32200000000000001</v>
      </c>
      <c r="D4" s="2069">
        <v>4.0860000000000003</v>
      </c>
      <c r="E4" s="2069">
        <v>0.53800000000000003</v>
      </c>
      <c r="F4" s="2069">
        <v>0.53800000000000003</v>
      </c>
      <c r="G4" s="2069">
        <v>3.7640000000000002</v>
      </c>
      <c r="H4" s="2070">
        <v>8.5547290116896921E-2</v>
      </c>
      <c r="I4" s="2070">
        <v>0.14293304994686504</v>
      </c>
      <c r="J4" s="2078">
        <v>0.22848034006376194</v>
      </c>
      <c r="K4" s="2077">
        <v>20</v>
      </c>
      <c r="L4" s="2069">
        <v>0.33300000000000002</v>
      </c>
      <c r="M4" s="2069">
        <v>4.835</v>
      </c>
      <c r="N4" s="2071">
        <v>0.13400000000000001</v>
      </c>
      <c r="O4" s="2069">
        <v>0.13400000000000001</v>
      </c>
      <c r="P4" s="2069">
        <v>4.5019999999999998</v>
      </c>
      <c r="Q4" s="2070">
        <v>7.3967125721901381E-2</v>
      </c>
      <c r="R4" s="2070">
        <v>2.976454908929365E-2</v>
      </c>
      <c r="S4" s="2078">
        <v>0.10373167481119502</v>
      </c>
      <c r="T4" s="2077">
        <v>20</v>
      </c>
      <c r="U4" s="1686">
        <v>0.32750000000000001</v>
      </c>
      <c r="V4" s="1686">
        <v>4.4604999999999997</v>
      </c>
      <c r="W4" s="1686">
        <v>0.33600000000000002</v>
      </c>
      <c r="X4" s="1686">
        <v>0.33600000000000002</v>
      </c>
      <c r="Y4" s="1686">
        <v>4.133</v>
      </c>
      <c r="Z4" s="2072">
        <v>7.9757207919399151E-2</v>
      </c>
      <c r="AA4" s="2072">
        <v>8.6348799518079347E-2</v>
      </c>
      <c r="AB4" s="2093">
        <v>0.1661060074374785</v>
      </c>
    </row>
    <row r="5" spans="1:28">
      <c r="B5" s="89">
        <v>21</v>
      </c>
      <c r="C5" s="1">
        <v>0.371</v>
      </c>
      <c r="D5" s="1">
        <v>4.21</v>
      </c>
      <c r="E5" s="1">
        <v>0.626</v>
      </c>
      <c r="F5" s="1">
        <v>0.626</v>
      </c>
      <c r="G5" s="1">
        <v>3.839</v>
      </c>
      <c r="H5" s="741">
        <v>9.663974993487888E-2</v>
      </c>
      <c r="I5" s="741">
        <v>0.16306329773378483</v>
      </c>
      <c r="J5" s="2079">
        <v>0.2597030476686637</v>
      </c>
      <c r="K5" s="89">
        <v>21</v>
      </c>
      <c r="L5" s="1">
        <v>0.40100000000000002</v>
      </c>
      <c r="M5" s="1">
        <v>4.9790000000000001</v>
      </c>
      <c r="N5" s="1419">
        <v>0.161</v>
      </c>
      <c r="O5" s="1">
        <v>0.161</v>
      </c>
      <c r="P5" s="1">
        <v>4.5780000000000003</v>
      </c>
      <c r="Q5" s="741">
        <v>8.7592835299257321E-2</v>
      </c>
      <c r="R5" s="741">
        <v>3.5168195718654434E-2</v>
      </c>
      <c r="S5" s="2079">
        <v>0.12276103101791175</v>
      </c>
      <c r="T5" s="89">
        <v>21</v>
      </c>
      <c r="U5" s="740">
        <v>0.38600000000000001</v>
      </c>
      <c r="V5" s="740">
        <v>4.5945</v>
      </c>
      <c r="W5" s="740">
        <v>0.39350000000000002</v>
      </c>
      <c r="X5" s="740">
        <v>0.39350000000000002</v>
      </c>
      <c r="Y5" s="740">
        <v>4.2084999999999999</v>
      </c>
      <c r="Z5" s="2067">
        <v>9.2116292617068107E-2</v>
      </c>
      <c r="AA5" s="2067">
        <v>9.9115746726219631E-2</v>
      </c>
      <c r="AB5" s="2094">
        <v>0.19123203934328772</v>
      </c>
    </row>
    <row r="6" spans="1:28">
      <c r="B6" s="2077">
        <v>22</v>
      </c>
      <c r="C6" s="2069">
        <v>0.42299999999999999</v>
      </c>
      <c r="D6" s="2069">
        <v>4.3360000000000003</v>
      </c>
      <c r="E6" s="2069">
        <v>0.71899999999999997</v>
      </c>
      <c r="F6" s="2069">
        <v>0.71899999999999997</v>
      </c>
      <c r="G6" s="2069">
        <v>3.9130000000000003</v>
      </c>
      <c r="H6" s="2070">
        <v>0.10810120112445692</v>
      </c>
      <c r="I6" s="2070">
        <v>0.18374648607206745</v>
      </c>
      <c r="J6" s="2078">
        <v>0.29184768719652437</v>
      </c>
      <c r="K6" s="2077">
        <v>22</v>
      </c>
      <c r="L6" s="2069">
        <v>0.46300000000000002</v>
      </c>
      <c r="M6" s="2069">
        <v>5.1269999999999998</v>
      </c>
      <c r="N6" s="2071">
        <v>0.187</v>
      </c>
      <c r="O6" s="2069">
        <v>0.187</v>
      </c>
      <c r="P6" s="2069">
        <v>4.6639999999999997</v>
      </c>
      <c r="Q6" s="2070">
        <v>9.9271012006861073E-2</v>
      </c>
      <c r="R6" s="2070">
        <v>4.0094339622641514E-2</v>
      </c>
      <c r="S6" s="2078">
        <v>0.13936535162950259</v>
      </c>
      <c r="T6" s="2077">
        <v>22</v>
      </c>
      <c r="U6" s="1686">
        <v>0.443</v>
      </c>
      <c r="V6" s="1686">
        <v>4.7315000000000005</v>
      </c>
      <c r="W6" s="1686">
        <v>0.45299999999999996</v>
      </c>
      <c r="X6" s="1686">
        <v>0.45299999999999996</v>
      </c>
      <c r="Y6" s="1686">
        <v>4.2885</v>
      </c>
      <c r="Z6" s="2072">
        <v>0.10368610656565899</v>
      </c>
      <c r="AA6" s="2072">
        <v>0.11192041284735449</v>
      </c>
      <c r="AB6" s="2093">
        <v>0.21560651941301348</v>
      </c>
    </row>
    <row r="7" spans="1:28">
      <c r="B7" s="89">
        <v>23</v>
      </c>
      <c r="C7" s="1">
        <v>0.47599999999999998</v>
      </c>
      <c r="D7" s="1">
        <v>4.4649999999999999</v>
      </c>
      <c r="E7" s="1">
        <v>0.81599999999999995</v>
      </c>
      <c r="F7" s="1">
        <v>0.81599999999999995</v>
      </c>
      <c r="G7" s="1">
        <v>3.9889999999999999</v>
      </c>
      <c r="H7" s="741">
        <v>0.11932815241915266</v>
      </c>
      <c r="I7" s="741">
        <v>0.20456254700426171</v>
      </c>
      <c r="J7" s="2079">
        <v>0.32389069942341436</v>
      </c>
      <c r="K7" s="89">
        <v>23</v>
      </c>
      <c r="L7" s="1">
        <v>0.51600000000000001</v>
      </c>
      <c r="M7" s="1">
        <v>5.2779999999999996</v>
      </c>
      <c r="N7" s="1419">
        <v>0.20899999999999999</v>
      </c>
      <c r="O7" s="1">
        <v>0.20899999999999999</v>
      </c>
      <c r="P7" s="1">
        <v>4.7619999999999996</v>
      </c>
      <c r="Q7" s="741">
        <v>0.10835783284334315</v>
      </c>
      <c r="R7" s="741">
        <v>4.388912221755565E-2</v>
      </c>
      <c r="S7" s="2079">
        <v>0.1522469550608988</v>
      </c>
      <c r="T7" s="89">
        <v>23</v>
      </c>
      <c r="U7" s="740">
        <v>0.496</v>
      </c>
      <c r="V7" s="740">
        <v>4.8714999999999993</v>
      </c>
      <c r="W7" s="740">
        <v>0.51249999999999996</v>
      </c>
      <c r="X7" s="740">
        <v>0.51249999999999996</v>
      </c>
      <c r="Y7" s="740">
        <v>4.3754999999999997</v>
      </c>
      <c r="Z7" s="2067">
        <v>0.11384299263124791</v>
      </c>
      <c r="AA7" s="2067">
        <v>0.12422583461090868</v>
      </c>
      <c r="AB7" s="2094">
        <v>0.23806882724215658</v>
      </c>
    </row>
    <row r="8" spans="1:28">
      <c r="B8" s="2077">
        <v>24</v>
      </c>
      <c r="C8" s="2069">
        <v>0.52400000000000002</v>
      </c>
      <c r="D8" s="2069">
        <v>4.5979999999999999</v>
      </c>
      <c r="E8" s="2069">
        <v>0.90600000000000003</v>
      </c>
      <c r="F8" s="2069">
        <v>0.90600000000000003</v>
      </c>
      <c r="G8" s="2069">
        <v>4.0739999999999998</v>
      </c>
      <c r="H8" s="2070">
        <v>0.12862052037309771</v>
      </c>
      <c r="I8" s="2070">
        <v>0.22238586156111931</v>
      </c>
      <c r="J8" s="2078">
        <v>0.35100638193421702</v>
      </c>
      <c r="K8" s="2077">
        <v>24</v>
      </c>
      <c r="L8" s="2069">
        <v>0.56399999999999995</v>
      </c>
      <c r="M8" s="2069">
        <v>5.4329999999999998</v>
      </c>
      <c r="N8" s="2071">
        <v>0.22900000000000001</v>
      </c>
      <c r="O8" s="2069">
        <v>0.22900000000000001</v>
      </c>
      <c r="P8" s="2069">
        <v>4.8689999999999998</v>
      </c>
      <c r="Q8" s="2070">
        <v>0.11583487369069624</v>
      </c>
      <c r="R8" s="2070">
        <v>4.7032244814130215E-2</v>
      </c>
      <c r="S8" s="2078">
        <v>0.16286711850482646</v>
      </c>
      <c r="T8" s="2077">
        <v>24</v>
      </c>
      <c r="U8" s="1686">
        <v>0.54400000000000004</v>
      </c>
      <c r="V8" s="1686">
        <v>5.0154999999999994</v>
      </c>
      <c r="W8" s="1686">
        <v>0.5675</v>
      </c>
      <c r="X8" s="1686">
        <v>0.5675</v>
      </c>
      <c r="Y8" s="1686">
        <v>4.4714999999999998</v>
      </c>
      <c r="Z8" s="2072">
        <v>0.12222769703189698</v>
      </c>
      <c r="AA8" s="2072">
        <v>0.13470905318762477</v>
      </c>
      <c r="AB8" s="2093">
        <v>0.25693675021952173</v>
      </c>
    </row>
    <row r="9" spans="1:28">
      <c r="B9" s="89">
        <v>25</v>
      </c>
      <c r="C9" s="1">
        <v>0.56599999999999995</v>
      </c>
      <c r="D9" s="1">
        <v>4.7329999999999997</v>
      </c>
      <c r="E9" s="1">
        <v>0.99</v>
      </c>
      <c r="F9" s="1">
        <v>0.99</v>
      </c>
      <c r="G9" s="1">
        <v>4.1669999999999998</v>
      </c>
      <c r="H9" s="741">
        <v>0.13582913366930646</v>
      </c>
      <c r="I9" s="741">
        <v>0.23758099352051837</v>
      </c>
      <c r="J9" s="2079">
        <v>0.3734101271898248</v>
      </c>
      <c r="K9" s="89">
        <v>25</v>
      </c>
      <c r="L9" s="1">
        <v>0.61099999999999999</v>
      </c>
      <c r="M9" s="1">
        <v>5.5910000000000002</v>
      </c>
      <c r="N9" s="1419">
        <v>0.25</v>
      </c>
      <c r="O9" s="1">
        <v>0.25</v>
      </c>
      <c r="P9" s="1">
        <v>4.9800000000000004</v>
      </c>
      <c r="Q9" s="741">
        <v>0.12269076305220883</v>
      </c>
      <c r="R9" s="741">
        <v>5.0200803212851398E-2</v>
      </c>
      <c r="S9" s="2079">
        <v>0.17289156626506022</v>
      </c>
      <c r="T9" s="89">
        <v>25</v>
      </c>
      <c r="U9" s="740">
        <v>0.58850000000000002</v>
      </c>
      <c r="V9" s="740">
        <v>5.1619999999999999</v>
      </c>
      <c r="W9" s="740">
        <v>0.62</v>
      </c>
      <c r="X9" s="740">
        <v>0.62</v>
      </c>
      <c r="Y9" s="740">
        <v>4.5735000000000001</v>
      </c>
      <c r="Z9" s="2067">
        <v>0.12925994836075766</v>
      </c>
      <c r="AA9" s="2067">
        <v>0.14389089836668489</v>
      </c>
      <c r="AB9" s="2094">
        <v>0.2731508467274425</v>
      </c>
    </row>
    <row r="10" spans="1:28">
      <c r="B10" s="2077">
        <v>26</v>
      </c>
      <c r="C10" s="2069">
        <v>0.60499999999999998</v>
      </c>
      <c r="D10" s="2069">
        <v>4.87</v>
      </c>
      <c r="E10" s="2069">
        <v>1.069</v>
      </c>
      <c r="F10" s="2069">
        <v>1.069</v>
      </c>
      <c r="G10" s="2069">
        <v>4.2650000000000006</v>
      </c>
      <c r="H10" s="2070">
        <v>0.14185228604923797</v>
      </c>
      <c r="I10" s="2070">
        <v>0.2506447831184056</v>
      </c>
      <c r="J10" s="2078">
        <v>0.3924970691676436</v>
      </c>
      <c r="K10" s="2077">
        <v>26</v>
      </c>
      <c r="L10" s="2069">
        <v>0.65800000000000003</v>
      </c>
      <c r="M10" s="2069">
        <v>5.7519999999999998</v>
      </c>
      <c r="N10" s="2071">
        <v>0.27100000000000002</v>
      </c>
      <c r="O10" s="2069">
        <v>0.27100000000000002</v>
      </c>
      <c r="P10" s="2069">
        <v>5.0939999999999994</v>
      </c>
      <c r="Q10" s="2070">
        <v>0.1291715744012564</v>
      </c>
      <c r="R10" s="2070">
        <v>5.3199842952493137E-2</v>
      </c>
      <c r="S10" s="2078">
        <v>0.18237141735374954</v>
      </c>
      <c r="T10" s="2077">
        <v>26</v>
      </c>
      <c r="U10" s="1686">
        <v>0.63149999999999995</v>
      </c>
      <c r="V10" s="1686">
        <v>5.3109999999999999</v>
      </c>
      <c r="W10" s="1686">
        <v>0.66999999999999993</v>
      </c>
      <c r="X10" s="1686">
        <v>0.66999999999999993</v>
      </c>
      <c r="Y10" s="1686">
        <v>4.6795</v>
      </c>
      <c r="Z10" s="2072">
        <v>0.13551193022524718</v>
      </c>
      <c r="AA10" s="2072">
        <v>0.15192231303544937</v>
      </c>
      <c r="AB10" s="2093">
        <v>0.28743424326069655</v>
      </c>
    </row>
    <row r="11" spans="1:28">
      <c r="B11" s="89">
        <v>27</v>
      </c>
      <c r="C11" s="1">
        <v>0.64</v>
      </c>
      <c r="D11" s="1">
        <v>5.0110000000000001</v>
      </c>
      <c r="E11" s="1">
        <v>1.145</v>
      </c>
      <c r="F11" s="1">
        <v>1.145</v>
      </c>
      <c r="G11" s="1">
        <v>4.3710000000000004</v>
      </c>
      <c r="H11" s="741">
        <v>0.14641958361930907</v>
      </c>
      <c r="I11" s="741">
        <v>0.26195378631892013</v>
      </c>
      <c r="J11" s="2079">
        <v>0.4083733699382292</v>
      </c>
      <c r="K11" s="89">
        <v>27</v>
      </c>
      <c r="L11" s="1">
        <v>0.70399999999999996</v>
      </c>
      <c r="M11" s="1">
        <v>5.915</v>
      </c>
      <c r="N11" s="1419">
        <v>0.29099999999999998</v>
      </c>
      <c r="O11" s="1">
        <v>0.29099999999999998</v>
      </c>
      <c r="P11" s="1">
        <v>5.2110000000000003</v>
      </c>
      <c r="Q11" s="741">
        <v>0.13509882939934753</v>
      </c>
      <c r="R11" s="741">
        <v>5.5843408175014389E-2</v>
      </c>
      <c r="S11" s="2079">
        <v>0.19094223757436191</v>
      </c>
      <c r="T11" s="89">
        <v>27</v>
      </c>
      <c r="U11" s="740">
        <v>0.67199999999999993</v>
      </c>
      <c r="V11" s="740">
        <v>5.4630000000000001</v>
      </c>
      <c r="W11" s="740">
        <v>0.71799999999999997</v>
      </c>
      <c r="X11" s="740">
        <v>0.71799999999999997</v>
      </c>
      <c r="Y11" s="740">
        <v>4.7910000000000004</v>
      </c>
      <c r="Z11" s="2067">
        <v>0.1407592065093283</v>
      </c>
      <c r="AA11" s="2067">
        <v>0.15889859724696725</v>
      </c>
      <c r="AB11" s="2094">
        <v>0.29965780375629558</v>
      </c>
    </row>
    <row r="12" spans="1:28">
      <c r="B12" s="2077">
        <v>28</v>
      </c>
      <c r="C12" s="2069">
        <v>0.67400000000000004</v>
      </c>
      <c r="D12" s="2069">
        <v>5.1550000000000002</v>
      </c>
      <c r="E12" s="2069">
        <v>1.22</v>
      </c>
      <c r="F12" s="2069">
        <v>1.22</v>
      </c>
      <c r="G12" s="2069">
        <v>4.4809999999999999</v>
      </c>
      <c r="H12" s="2070">
        <v>0.15041285427359966</v>
      </c>
      <c r="I12" s="2070">
        <v>0.27226065610354833</v>
      </c>
      <c r="J12" s="2078">
        <v>0.42267351037714795</v>
      </c>
      <c r="K12" s="2077">
        <v>28</v>
      </c>
      <c r="L12" s="2069">
        <v>0.748</v>
      </c>
      <c r="M12" s="2069">
        <v>6.0819999999999999</v>
      </c>
      <c r="N12" s="2071">
        <v>0.311</v>
      </c>
      <c r="O12" s="2069">
        <v>0.311</v>
      </c>
      <c r="P12" s="2069">
        <v>5.3339999999999996</v>
      </c>
      <c r="Q12" s="2070">
        <v>0.14023247094113236</v>
      </c>
      <c r="R12" s="2070">
        <v>5.8305211848518938E-2</v>
      </c>
      <c r="S12" s="2078">
        <v>0.19853768278965131</v>
      </c>
      <c r="T12" s="2077">
        <v>28</v>
      </c>
      <c r="U12" s="1686">
        <v>0.71100000000000008</v>
      </c>
      <c r="V12" s="1686">
        <v>5.6185</v>
      </c>
      <c r="W12" s="1686">
        <v>0.76549999999999996</v>
      </c>
      <c r="X12" s="1686">
        <v>0.76549999999999996</v>
      </c>
      <c r="Y12" s="1686">
        <v>4.9074999999999998</v>
      </c>
      <c r="Z12" s="2072">
        <v>0.14532266260736601</v>
      </c>
      <c r="AA12" s="2072">
        <v>0.16528293397603364</v>
      </c>
      <c r="AB12" s="2093">
        <v>0.31060559658339965</v>
      </c>
    </row>
    <row r="13" spans="1:28">
      <c r="B13" s="89">
        <v>29</v>
      </c>
      <c r="C13" s="1">
        <v>0.70499999999999996</v>
      </c>
      <c r="D13" s="1">
        <v>5.3019999999999996</v>
      </c>
      <c r="E13" s="1">
        <v>1.294</v>
      </c>
      <c r="F13" s="1">
        <v>1.294</v>
      </c>
      <c r="G13" s="1">
        <v>4.5969999999999995</v>
      </c>
      <c r="H13" s="741">
        <v>0.15336088753534916</v>
      </c>
      <c r="I13" s="741">
        <v>0.28148792690885366</v>
      </c>
      <c r="J13" s="2079">
        <v>0.43484881444420281</v>
      </c>
      <c r="K13" s="89">
        <v>29</v>
      </c>
      <c r="L13" s="1">
        <v>0.79</v>
      </c>
      <c r="M13" s="1">
        <v>6.2519999999999998</v>
      </c>
      <c r="N13" s="1419">
        <v>0.33100000000000002</v>
      </c>
      <c r="O13" s="1">
        <v>0.33100000000000002</v>
      </c>
      <c r="P13" s="1">
        <v>5.4619999999999997</v>
      </c>
      <c r="Q13" s="741">
        <v>0.14463566459172467</v>
      </c>
      <c r="R13" s="741">
        <v>6.0600512632735269E-2</v>
      </c>
      <c r="S13" s="2079">
        <v>0.20523617722445994</v>
      </c>
      <c r="T13" s="89">
        <v>29</v>
      </c>
      <c r="U13" s="740">
        <v>0.74750000000000005</v>
      </c>
      <c r="V13" s="740">
        <v>5.7769999999999992</v>
      </c>
      <c r="W13" s="740">
        <v>0.8125</v>
      </c>
      <c r="X13" s="740">
        <v>0.8125</v>
      </c>
      <c r="Y13" s="740">
        <v>5.0294999999999996</v>
      </c>
      <c r="Z13" s="2067">
        <v>0.14899827606353691</v>
      </c>
      <c r="AA13" s="2067">
        <v>0.17104421977079445</v>
      </c>
      <c r="AB13" s="2094">
        <v>0.32004249583433136</v>
      </c>
    </row>
    <row r="14" spans="1:28">
      <c r="B14" s="2077">
        <v>30</v>
      </c>
      <c r="C14" s="2069">
        <v>0.73399999999999999</v>
      </c>
      <c r="D14" s="2069">
        <v>5.452</v>
      </c>
      <c r="E14" s="2069">
        <v>1.3660000000000001</v>
      </c>
      <c r="F14" s="2069">
        <v>1.3660000000000001</v>
      </c>
      <c r="G14" s="2069">
        <v>4.718</v>
      </c>
      <c r="H14" s="2070">
        <v>0.155574395930479</v>
      </c>
      <c r="I14" s="2070">
        <v>0.28952946163628657</v>
      </c>
      <c r="J14" s="2078">
        <v>0.44510385756676557</v>
      </c>
      <c r="K14" s="2077">
        <v>30</v>
      </c>
      <c r="L14" s="2069">
        <v>0.83</v>
      </c>
      <c r="M14" s="2069">
        <v>6.4240000000000004</v>
      </c>
      <c r="N14" s="2071">
        <v>0.35099999999999998</v>
      </c>
      <c r="O14" s="2069">
        <v>0.35099999999999998</v>
      </c>
      <c r="P14" s="2069">
        <v>5.5940000000000003</v>
      </c>
      <c r="Q14" s="2070">
        <v>0.14837325706113691</v>
      </c>
      <c r="R14" s="2070">
        <v>6.2745799070432595E-2</v>
      </c>
      <c r="S14" s="2078">
        <v>0.2111190561315695</v>
      </c>
      <c r="T14" s="2077">
        <v>30</v>
      </c>
      <c r="U14" s="1686">
        <v>0.78200000000000003</v>
      </c>
      <c r="V14" s="1686">
        <v>5.9380000000000006</v>
      </c>
      <c r="W14" s="1686">
        <v>0.85850000000000004</v>
      </c>
      <c r="X14" s="1686">
        <v>0.85850000000000004</v>
      </c>
      <c r="Y14" s="1686">
        <v>5.1560000000000006</v>
      </c>
      <c r="Z14" s="2072">
        <v>0.15197382649580796</v>
      </c>
      <c r="AA14" s="2072">
        <v>0.17613763035335958</v>
      </c>
      <c r="AB14" s="2093">
        <v>0.32811145684916754</v>
      </c>
    </row>
    <row r="15" spans="1:28">
      <c r="B15" s="89">
        <v>31</v>
      </c>
      <c r="C15" s="1">
        <v>0.76200000000000001</v>
      </c>
      <c r="D15" s="1">
        <v>5.6059999999999999</v>
      </c>
      <c r="E15" s="1">
        <v>1.4379999999999999</v>
      </c>
      <c r="F15" s="1">
        <v>1.4379999999999999</v>
      </c>
      <c r="G15" s="1">
        <v>4.8439999999999994</v>
      </c>
      <c r="H15" s="741">
        <v>0.15730800990916599</v>
      </c>
      <c r="I15" s="741">
        <v>0.29686209744013214</v>
      </c>
      <c r="J15" s="2079">
        <v>0.45417010734929814</v>
      </c>
      <c r="K15" s="89">
        <v>31</v>
      </c>
      <c r="L15" s="1">
        <v>0.86799999999999999</v>
      </c>
      <c r="M15" s="1">
        <v>6.6</v>
      </c>
      <c r="N15" s="1419">
        <v>0.37</v>
      </c>
      <c r="O15" s="1">
        <v>0.37</v>
      </c>
      <c r="P15" s="1">
        <v>5.7319999999999993</v>
      </c>
      <c r="Q15" s="741">
        <v>0.15143056524773205</v>
      </c>
      <c r="R15" s="741">
        <v>6.454989532449408E-2</v>
      </c>
      <c r="S15" s="2079">
        <v>0.21598046057222614</v>
      </c>
      <c r="T15" s="89">
        <v>31</v>
      </c>
      <c r="U15" s="740">
        <v>0.81499999999999995</v>
      </c>
      <c r="V15" s="740">
        <v>6.1029999999999998</v>
      </c>
      <c r="W15" s="740">
        <v>0.90399999999999991</v>
      </c>
      <c r="X15" s="740">
        <v>0.90399999999999991</v>
      </c>
      <c r="Y15" s="740">
        <v>5.2879999999999994</v>
      </c>
      <c r="Z15" s="2067">
        <v>0.15436928757844903</v>
      </c>
      <c r="AA15" s="2067">
        <v>0.18070599638231311</v>
      </c>
      <c r="AB15" s="2094">
        <v>0.33507528396076214</v>
      </c>
    </row>
    <row r="16" spans="1:28">
      <c r="B16" s="2077">
        <v>32</v>
      </c>
      <c r="C16" s="2069">
        <v>0.78900000000000003</v>
      </c>
      <c r="D16" s="2069">
        <v>5.7629999999999999</v>
      </c>
      <c r="E16" s="2069">
        <v>1.51</v>
      </c>
      <c r="F16" s="2069">
        <v>1.51</v>
      </c>
      <c r="G16" s="2069">
        <v>4.9740000000000002</v>
      </c>
      <c r="H16" s="2070">
        <v>0.15862484921592279</v>
      </c>
      <c r="I16" s="2070">
        <v>0.30357860876558102</v>
      </c>
      <c r="J16" s="2078">
        <v>0.46220345798150381</v>
      </c>
      <c r="K16" s="2077">
        <v>32</v>
      </c>
      <c r="L16" s="2069">
        <v>0.90400000000000003</v>
      </c>
      <c r="M16" s="2069">
        <v>6.7789999999999999</v>
      </c>
      <c r="N16" s="2071">
        <v>0.38800000000000001</v>
      </c>
      <c r="O16" s="2069">
        <v>0.38800000000000001</v>
      </c>
      <c r="P16" s="2069">
        <v>5.875</v>
      </c>
      <c r="Q16" s="2070">
        <v>0.15387234042553191</v>
      </c>
      <c r="R16" s="2070">
        <v>6.604255319148937E-2</v>
      </c>
      <c r="S16" s="2078">
        <v>0.21991489361702127</v>
      </c>
      <c r="T16" s="2077">
        <v>32</v>
      </c>
      <c r="U16" s="1686">
        <v>0.84650000000000003</v>
      </c>
      <c r="V16" s="1686">
        <v>6.2709999999999999</v>
      </c>
      <c r="W16" s="1686">
        <v>0.94900000000000007</v>
      </c>
      <c r="X16" s="1686">
        <v>0.94900000000000007</v>
      </c>
      <c r="Y16" s="1686">
        <v>5.4245000000000001</v>
      </c>
      <c r="Z16" s="2072">
        <v>0.15624859482072734</v>
      </c>
      <c r="AA16" s="2072">
        <v>0.1848105809785352</v>
      </c>
      <c r="AB16" s="2093">
        <v>0.34105917579926254</v>
      </c>
    </row>
    <row r="17" spans="2:28">
      <c r="B17" s="89">
        <v>33</v>
      </c>
      <c r="C17" s="1">
        <v>0.81399999999999995</v>
      </c>
      <c r="D17" s="1">
        <v>5.9249999999999998</v>
      </c>
      <c r="E17" s="1">
        <v>1.5820000000000001</v>
      </c>
      <c r="F17" s="1">
        <v>1.5820000000000001</v>
      </c>
      <c r="G17" s="1">
        <v>5.1109999999999998</v>
      </c>
      <c r="H17" s="741">
        <v>0.15926433183330072</v>
      </c>
      <c r="I17" s="741">
        <v>0.30952846801017414</v>
      </c>
      <c r="J17" s="2079">
        <v>0.46879279984347488</v>
      </c>
      <c r="K17" s="89">
        <v>33</v>
      </c>
      <c r="L17" s="1">
        <v>0.93700000000000006</v>
      </c>
      <c r="M17" s="1">
        <v>6.9610000000000003</v>
      </c>
      <c r="N17" s="1419">
        <v>0.40600000000000003</v>
      </c>
      <c r="O17" s="1">
        <v>0.40600000000000003</v>
      </c>
      <c r="P17" s="1">
        <v>6.024</v>
      </c>
      <c r="Q17" s="741">
        <v>0.15554448871181939</v>
      </c>
      <c r="R17" s="741">
        <v>6.7397078353253662E-2</v>
      </c>
      <c r="S17" s="2079">
        <v>0.22294156706507307</v>
      </c>
      <c r="T17" s="89">
        <v>33</v>
      </c>
      <c r="U17" s="740">
        <v>0.87549999999999994</v>
      </c>
      <c r="V17" s="740">
        <v>6.4429999999999996</v>
      </c>
      <c r="W17" s="740">
        <v>0.99399999999999999</v>
      </c>
      <c r="X17" s="740">
        <v>0.99399999999999999</v>
      </c>
      <c r="Y17" s="740">
        <v>5.5674999999999999</v>
      </c>
      <c r="Z17" s="2067">
        <v>0.15740441027256005</v>
      </c>
      <c r="AA17" s="2067">
        <v>0.18846277318171389</v>
      </c>
      <c r="AB17" s="2094">
        <v>0.34586718345427397</v>
      </c>
    </row>
    <row r="18" spans="2:28">
      <c r="B18" s="2077">
        <v>34</v>
      </c>
      <c r="C18" s="2069">
        <v>0.83799999999999997</v>
      </c>
      <c r="D18" s="2069">
        <v>6.09</v>
      </c>
      <c r="E18" s="2069">
        <v>1.655</v>
      </c>
      <c r="F18" s="2069">
        <v>1.655</v>
      </c>
      <c r="G18" s="2069">
        <v>5.2519999999999998</v>
      </c>
      <c r="H18" s="2070">
        <v>0.15955826351865957</v>
      </c>
      <c r="I18" s="2070">
        <v>0.31511805026656514</v>
      </c>
      <c r="J18" s="2078">
        <v>0.47467631378522468</v>
      </c>
      <c r="K18" s="2077">
        <v>34</v>
      </c>
      <c r="L18" s="2069">
        <v>0.96599999999999997</v>
      </c>
      <c r="M18" s="2069">
        <v>7.1470000000000002</v>
      </c>
      <c r="N18" s="2071">
        <v>0.42399999999999999</v>
      </c>
      <c r="O18" s="2069">
        <v>0.42399999999999999</v>
      </c>
      <c r="P18" s="2069">
        <v>6.181</v>
      </c>
      <c r="Q18" s="2070">
        <v>0.15628539071347677</v>
      </c>
      <c r="R18" s="2070">
        <v>6.8597314350428734E-2</v>
      </c>
      <c r="S18" s="2078">
        <v>0.22488270506390551</v>
      </c>
      <c r="T18" s="2077">
        <v>34</v>
      </c>
      <c r="U18" s="1686">
        <v>0.90199999999999991</v>
      </c>
      <c r="V18" s="1686">
        <v>6.6185</v>
      </c>
      <c r="W18" s="1686">
        <v>1.0395000000000001</v>
      </c>
      <c r="X18" s="1686">
        <v>1.0395000000000001</v>
      </c>
      <c r="Y18" s="1686">
        <v>5.7164999999999999</v>
      </c>
      <c r="Z18" s="2072">
        <v>0.15792182711606817</v>
      </c>
      <c r="AA18" s="2072">
        <v>0.19185768230849692</v>
      </c>
      <c r="AB18" s="2093">
        <v>0.34977950942456509</v>
      </c>
    </row>
    <row r="19" spans="2:28">
      <c r="B19" s="89">
        <v>35</v>
      </c>
      <c r="C19" s="1">
        <v>0.86</v>
      </c>
      <c r="D19" s="1">
        <v>6.258</v>
      </c>
      <c r="E19" s="1">
        <v>1.7270000000000001</v>
      </c>
      <c r="F19" s="1">
        <v>1.7270000000000001</v>
      </c>
      <c r="G19" s="1">
        <v>5.3979999999999997</v>
      </c>
      <c r="H19" s="741">
        <v>0.15931826602445351</v>
      </c>
      <c r="I19" s="741">
        <v>0.31993330863282698</v>
      </c>
      <c r="J19" s="2079">
        <v>0.47925157465728052</v>
      </c>
      <c r="K19" s="89">
        <v>35</v>
      </c>
      <c r="L19" s="1">
        <v>0.99199999999999999</v>
      </c>
      <c r="M19" s="1">
        <v>7.335</v>
      </c>
      <c r="N19" s="1419">
        <v>0.441</v>
      </c>
      <c r="O19" s="1">
        <v>0.441</v>
      </c>
      <c r="P19" s="1">
        <v>6.343</v>
      </c>
      <c r="Q19" s="741">
        <v>0.15639287403436861</v>
      </c>
      <c r="R19" s="741">
        <v>6.9525461138262648E-2</v>
      </c>
      <c r="S19" s="2079">
        <v>0.22591833517263127</v>
      </c>
      <c r="T19" s="89">
        <v>35</v>
      </c>
      <c r="U19" s="740">
        <v>0.92599999999999993</v>
      </c>
      <c r="V19" s="740">
        <v>6.7965</v>
      </c>
      <c r="W19" s="740">
        <v>1.0840000000000001</v>
      </c>
      <c r="X19" s="740">
        <v>1.0840000000000001</v>
      </c>
      <c r="Y19" s="740">
        <v>5.8704999999999998</v>
      </c>
      <c r="Z19" s="2067">
        <v>0.15785557002941106</v>
      </c>
      <c r="AA19" s="2067">
        <v>0.19472938488554481</v>
      </c>
      <c r="AB19" s="2094">
        <v>0.35258495491495589</v>
      </c>
    </row>
    <row r="20" spans="2:28">
      <c r="B20" s="2077">
        <v>36</v>
      </c>
      <c r="C20" s="2069">
        <v>0.879</v>
      </c>
      <c r="D20" s="2069">
        <v>6.4290000000000003</v>
      </c>
      <c r="E20" s="2069">
        <v>1.8</v>
      </c>
      <c r="F20" s="2069">
        <v>1.8</v>
      </c>
      <c r="G20" s="2069">
        <v>5.5500000000000007</v>
      </c>
      <c r="H20" s="2070">
        <v>0.15837837837837837</v>
      </c>
      <c r="I20" s="2070">
        <v>0.32432432432432429</v>
      </c>
      <c r="J20" s="2078">
        <v>0.48270270270270266</v>
      </c>
      <c r="K20" s="2077">
        <v>36</v>
      </c>
      <c r="L20" s="2069">
        <v>1.0129999999999999</v>
      </c>
      <c r="M20" s="2069">
        <v>7.524</v>
      </c>
      <c r="N20" s="2071">
        <v>0.45700000000000002</v>
      </c>
      <c r="O20" s="2069">
        <v>0.45700000000000002</v>
      </c>
      <c r="P20" s="2069">
        <v>6.5110000000000001</v>
      </c>
      <c r="Q20" s="2070">
        <v>0.15558285977576408</v>
      </c>
      <c r="R20" s="2070">
        <v>7.0188911073567811E-2</v>
      </c>
      <c r="S20" s="2078">
        <v>0.22577177084933189</v>
      </c>
      <c r="T20" s="2077">
        <v>36</v>
      </c>
      <c r="U20" s="1686">
        <v>0.94599999999999995</v>
      </c>
      <c r="V20" s="1686">
        <v>6.9764999999999997</v>
      </c>
      <c r="W20" s="1686">
        <v>1.1285000000000001</v>
      </c>
      <c r="X20" s="1686">
        <v>1.1285000000000001</v>
      </c>
      <c r="Y20" s="1686">
        <v>6.0305</v>
      </c>
      <c r="Z20" s="2072">
        <v>0.15698061907707123</v>
      </c>
      <c r="AA20" s="2072">
        <v>0.19725661769894604</v>
      </c>
      <c r="AB20" s="2093">
        <v>0.35423723677601726</v>
      </c>
    </row>
    <row r="21" spans="2:28">
      <c r="B21" s="89">
        <v>37</v>
      </c>
      <c r="C21" s="1">
        <v>0.89300000000000002</v>
      </c>
      <c r="D21" s="1">
        <v>6.601</v>
      </c>
      <c r="E21" s="1">
        <v>1.8720000000000001</v>
      </c>
      <c r="F21" s="1">
        <v>1.8720000000000001</v>
      </c>
      <c r="G21" s="1">
        <v>5.7080000000000002</v>
      </c>
      <c r="H21" s="741">
        <v>0.15644709180098107</v>
      </c>
      <c r="I21" s="741">
        <v>0.3279607568325158</v>
      </c>
      <c r="J21" s="2079">
        <v>0.48440784863349684</v>
      </c>
      <c r="K21" s="89">
        <v>37</v>
      </c>
      <c r="L21" s="1">
        <v>1.028</v>
      </c>
      <c r="M21" s="1">
        <v>7.7160000000000002</v>
      </c>
      <c r="N21" s="1419">
        <v>0.47299999999999998</v>
      </c>
      <c r="O21" s="1">
        <v>0.47299999999999998</v>
      </c>
      <c r="P21" s="1">
        <v>6.6880000000000006</v>
      </c>
      <c r="Q21" s="741">
        <v>0.15370813397129185</v>
      </c>
      <c r="R21" s="741">
        <v>7.07236842105263E-2</v>
      </c>
      <c r="S21" s="2079">
        <v>0.22443181818181815</v>
      </c>
      <c r="T21" s="89">
        <v>37</v>
      </c>
      <c r="U21" s="740">
        <v>0.96050000000000002</v>
      </c>
      <c r="V21" s="740">
        <v>7.1585000000000001</v>
      </c>
      <c r="W21" s="740">
        <v>1.1725000000000001</v>
      </c>
      <c r="X21" s="740">
        <v>1.1725000000000001</v>
      </c>
      <c r="Y21" s="740">
        <v>6.1980000000000004</v>
      </c>
      <c r="Z21" s="2067">
        <v>0.15507761288613647</v>
      </c>
      <c r="AA21" s="2067">
        <v>0.19934222052152106</v>
      </c>
      <c r="AB21" s="2094">
        <v>0.35441983340765748</v>
      </c>
    </row>
    <row r="22" spans="2:28">
      <c r="B22" s="2077">
        <v>38</v>
      </c>
      <c r="C22" s="2069">
        <v>0.90100000000000002</v>
      </c>
      <c r="D22" s="2069">
        <v>6.774</v>
      </c>
      <c r="E22" s="2069">
        <v>1.944</v>
      </c>
      <c r="F22" s="2069">
        <v>1.944</v>
      </c>
      <c r="G22" s="2069">
        <v>5.8730000000000002</v>
      </c>
      <c r="H22" s="2070">
        <v>0.15341392814575175</v>
      </c>
      <c r="I22" s="2070">
        <v>0.33100630001702708</v>
      </c>
      <c r="J22" s="2078">
        <v>0.48442022816277885</v>
      </c>
      <c r="K22" s="2077">
        <v>38</v>
      </c>
      <c r="L22" s="2069">
        <v>1.0369999999999999</v>
      </c>
      <c r="M22" s="2069">
        <v>7.9080000000000004</v>
      </c>
      <c r="N22" s="2071">
        <v>0.48699999999999999</v>
      </c>
      <c r="O22" s="2069">
        <v>0.48699999999999999</v>
      </c>
      <c r="P22" s="2069">
        <v>6.8710000000000004</v>
      </c>
      <c r="Q22" s="2070">
        <v>0.15092417406491046</v>
      </c>
      <c r="R22" s="2070">
        <v>7.0877601513607905E-2</v>
      </c>
      <c r="S22" s="2078">
        <v>0.22180177557851838</v>
      </c>
      <c r="T22" s="2077">
        <v>38</v>
      </c>
      <c r="U22" s="1686">
        <v>0.96899999999999997</v>
      </c>
      <c r="V22" s="1686">
        <v>7.3410000000000002</v>
      </c>
      <c r="W22" s="1686">
        <v>1.2155</v>
      </c>
      <c r="X22" s="1686">
        <v>1.2155</v>
      </c>
      <c r="Y22" s="1686">
        <v>6.3719999999999999</v>
      </c>
      <c r="Z22" s="2072">
        <v>0.1521690511053311</v>
      </c>
      <c r="AA22" s="2072">
        <v>0.20094195076531748</v>
      </c>
      <c r="AB22" s="2093">
        <v>0.35311100187064859</v>
      </c>
    </row>
    <row r="23" spans="2:28">
      <c r="B23" s="89">
        <v>39</v>
      </c>
      <c r="C23" s="1">
        <v>0.90400000000000003</v>
      </c>
      <c r="D23" s="1">
        <v>6.9489999999999998</v>
      </c>
      <c r="E23" s="1">
        <v>2.016</v>
      </c>
      <c r="F23" s="1">
        <v>2.016</v>
      </c>
      <c r="G23" s="1">
        <v>6.0449999999999999</v>
      </c>
      <c r="H23" s="741">
        <v>0.14954507857733665</v>
      </c>
      <c r="I23" s="741">
        <v>0.33349875930521095</v>
      </c>
      <c r="J23" s="2079">
        <v>0.48304383788254757</v>
      </c>
      <c r="K23" s="89">
        <v>39</v>
      </c>
      <c r="L23" s="1">
        <v>1.0389999999999999</v>
      </c>
      <c r="M23" s="1">
        <v>8.1020000000000003</v>
      </c>
      <c r="N23" s="1419">
        <v>0.501</v>
      </c>
      <c r="O23" s="1">
        <v>0.501</v>
      </c>
      <c r="P23" s="1">
        <v>7.0630000000000006</v>
      </c>
      <c r="Q23" s="741">
        <v>0.14710462976072489</v>
      </c>
      <c r="R23" s="741">
        <v>7.0933031289820189E-2</v>
      </c>
      <c r="S23" s="2079">
        <v>0.21803766105054506</v>
      </c>
      <c r="T23" s="89">
        <v>39</v>
      </c>
      <c r="U23" s="740">
        <v>0.97150000000000003</v>
      </c>
      <c r="V23" s="740">
        <v>7.5255000000000001</v>
      </c>
      <c r="W23" s="740">
        <v>1.2585</v>
      </c>
      <c r="X23" s="740">
        <v>1.2585</v>
      </c>
      <c r="Y23" s="740">
        <v>6.5540000000000003</v>
      </c>
      <c r="Z23" s="2067">
        <v>0.14832485416903077</v>
      </c>
      <c r="AA23" s="2067">
        <v>0.20221589529751557</v>
      </c>
      <c r="AB23" s="2094">
        <v>0.35054074946654634</v>
      </c>
    </row>
    <row r="24" spans="2:28">
      <c r="B24" s="2077">
        <v>40</v>
      </c>
      <c r="C24" s="2069">
        <v>0.90300000000000002</v>
      </c>
      <c r="D24" s="2069">
        <v>7.1269999999999998</v>
      </c>
      <c r="E24" s="2069">
        <v>2.089</v>
      </c>
      <c r="F24" s="2069">
        <v>2.089</v>
      </c>
      <c r="G24" s="2069">
        <v>6.2240000000000002</v>
      </c>
      <c r="H24" s="2070">
        <v>0.14508354755784061</v>
      </c>
      <c r="I24" s="2070">
        <v>0.3356362467866324</v>
      </c>
      <c r="J24" s="2078">
        <v>0.48071979434447298</v>
      </c>
      <c r="K24" s="2077">
        <v>40</v>
      </c>
      <c r="L24" s="2069">
        <v>1.0349999999999999</v>
      </c>
      <c r="M24" s="2069">
        <v>8.2989999999999995</v>
      </c>
      <c r="N24" s="2071">
        <v>0.51500000000000001</v>
      </c>
      <c r="O24" s="2069">
        <v>0.51500000000000001</v>
      </c>
      <c r="P24" s="2069">
        <v>7.2639999999999993</v>
      </c>
      <c r="Q24" s="2070">
        <v>0.14248348017621146</v>
      </c>
      <c r="R24" s="2070">
        <v>7.0897577092511016E-2</v>
      </c>
      <c r="S24" s="2078">
        <v>0.21338105726872247</v>
      </c>
      <c r="T24" s="2077">
        <v>40</v>
      </c>
      <c r="U24" s="1686">
        <v>0.96899999999999997</v>
      </c>
      <c r="V24" s="1686">
        <v>7.7129999999999992</v>
      </c>
      <c r="W24" s="1686">
        <v>1.302</v>
      </c>
      <c r="X24" s="1686">
        <v>1.302</v>
      </c>
      <c r="Y24" s="1686">
        <v>6.7439999999999998</v>
      </c>
      <c r="Z24" s="2072">
        <v>0.14378351386702604</v>
      </c>
      <c r="AA24" s="2072">
        <v>0.20326691193957169</v>
      </c>
      <c r="AB24" s="2093">
        <v>0.34705042580659773</v>
      </c>
    </row>
    <row r="25" spans="2:28">
      <c r="B25" s="89">
        <v>41</v>
      </c>
      <c r="C25" s="1">
        <v>0.89900000000000002</v>
      </c>
      <c r="D25" s="1">
        <v>7.31</v>
      </c>
      <c r="E25" s="1">
        <v>2.1629999999999998</v>
      </c>
      <c r="F25" s="1">
        <v>2.1629999999999998</v>
      </c>
      <c r="G25" s="1">
        <v>6.4109999999999996</v>
      </c>
      <c r="H25" s="741">
        <v>0.14022773358290438</v>
      </c>
      <c r="I25" s="741">
        <v>0.33738886289190451</v>
      </c>
      <c r="J25" s="2079">
        <v>0.47761659647480892</v>
      </c>
      <c r="K25" s="89">
        <v>41</v>
      </c>
      <c r="L25" s="1">
        <v>1.028</v>
      </c>
      <c r="M25" s="1">
        <v>8.4990000000000006</v>
      </c>
      <c r="N25" s="1419">
        <v>0.52700000000000002</v>
      </c>
      <c r="O25" s="1">
        <v>0.52700000000000002</v>
      </c>
      <c r="P25" s="1">
        <v>7.4710000000000001</v>
      </c>
      <c r="Q25" s="741">
        <v>0.13759871503145496</v>
      </c>
      <c r="R25" s="741">
        <v>7.0539419087136929E-2</v>
      </c>
      <c r="S25" s="2079">
        <v>0.20813813411859189</v>
      </c>
      <c r="T25" s="89">
        <v>41</v>
      </c>
      <c r="U25" s="740">
        <v>0.96350000000000002</v>
      </c>
      <c r="V25" s="740">
        <v>7.9045000000000005</v>
      </c>
      <c r="W25" s="740">
        <v>1.345</v>
      </c>
      <c r="X25" s="740">
        <v>1.345</v>
      </c>
      <c r="Y25" s="740">
        <v>6.9409999999999998</v>
      </c>
      <c r="Z25" s="2067">
        <v>0.13891322430717967</v>
      </c>
      <c r="AA25" s="2067">
        <v>0.2039641409895207</v>
      </c>
      <c r="AB25" s="2094">
        <v>0.34287736529670043</v>
      </c>
    </row>
    <row r="26" spans="2:28">
      <c r="B26" s="2077">
        <v>42</v>
      </c>
      <c r="C26" s="2069">
        <v>0.89500000000000002</v>
      </c>
      <c r="D26" s="2069">
        <v>7.4980000000000002</v>
      </c>
      <c r="E26" s="2069">
        <v>2.238</v>
      </c>
      <c r="F26" s="2069">
        <v>2.238</v>
      </c>
      <c r="G26" s="2069">
        <v>6.6029999999999998</v>
      </c>
      <c r="H26" s="2070">
        <v>0.13554444949265487</v>
      </c>
      <c r="I26" s="2070">
        <v>0.33893684688777831</v>
      </c>
      <c r="J26" s="2078">
        <v>0.47448129638043318</v>
      </c>
      <c r="K26" s="2077">
        <v>42</v>
      </c>
      <c r="L26" s="2069">
        <v>1.0169999999999999</v>
      </c>
      <c r="M26" s="2069">
        <v>8.7040000000000006</v>
      </c>
      <c r="N26" s="2071">
        <v>0.54</v>
      </c>
      <c r="O26" s="2069">
        <v>0.54</v>
      </c>
      <c r="P26" s="2069">
        <v>7.6870000000000012</v>
      </c>
      <c r="Q26" s="2070">
        <v>0.13230128788864312</v>
      </c>
      <c r="R26" s="2070">
        <v>7.024847144529725E-2</v>
      </c>
      <c r="S26" s="2078">
        <v>0.20254975933394037</v>
      </c>
      <c r="T26" s="2077">
        <v>42</v>
      </c>
      <c r="U26" s="1686">
        <v>0.95599999999999996</v>
      </c>
      <c r="V26" s="1686">
        <v>8.1010000000000009</v>
      </c>
      <c r="W26" s="1686">
        <v>1.389</v>
      </c>
      <c r="X26" s="1686">
        <v>1.389</v>
      </c>
      <c r="Y26" s="1686">
        <v>7.1450000000000005</v>
      </c>
      <c r="Z26" s="2072">
        <v>0.13392286869064901</v>
      </c>
      <c r="AA26" s="2072">
        <v>0.20459265916653779</v>
      </c>
      <c r="AB26" s="2093">
        <v>0.33851552785718675</v>
      </c>
    </row>
    <row r="27" spans="2:28">
      <c r="B27" s="89">
        <v>43</v>
      </c>
      <c r="C27" s="1">
        <v>0.89</v>
      </c>
      <c r="D27" s="1">
        <v>7.694</v>
      </c>
      <c r="E27" s="1">
        <v>2.3130000000000002</v>
      </c>
      <c r="F27" s="1">
        <v>2.3130000000000002</v>
      </c>
      <c r="G27" s="1">
        <v>6.8040000000000003</v>
      </c>
      <c r="H27" s="741">
        <v>0.13080540858318634</v>
      </c>
      <c r="I27" s="741">
        <v>0.33994708994708994</v>
      </c>
      <c r="J27" s="2079">
        <v>0.47075249853027629</v>
      </c>
      <c r="K27" s="89">
        <v>43</v>
      </c>
      <c r="L27" s="1">
        <v>1.0029999999999999</v>
      </c>
      <c r="M27" s="1">
        <v>8.9149999999999991</v>
      </c>
      <c r="N27" s="1419">
        <v>0.55200000000000005</v>
      </c>
      <c r="O27" s="1">
        <v>0.55200000000000005</v>
      </c>
      <c r="P27" s="1">
        <v>7.911999999999999</v>
      </c>
      <c r="Q27" s="741">
        <v>0.12676946410515672</v>
      </c>
      <c r="R27" s="741">
        <v>6.9767441860465129E-2</v>
      </c>
      <c r="S27" s="2079">
        <v>0.19653690596562184</v>
      </c>
      <c r="T27" s="89">
        <v>43</v>
      </c>
      <c r="U27" s="740">
        <v>0.9464999999999999</v>
      </c>
      <c r="V27" s="740">
        <v>8.3044999999999991</v>
      </c>
      <c r="W27" s="740">
        <v>1.4325000000000001</v>
      </c>
      <c r="X27" s="740">
        <v>1.4325000000000001</v>
      </c>
      <c r="Y27" s="740">
        <v>7.3579999999999997</v>
      </c>
      <c r="Z27" s="2067">
        <v>0.12878743634417153</v>
      </c>
      <c r="AA27" s="2067">
        <v>0.20485726590377754</v>
      </c>
      <c r="AB27" s="2094">
        <v>0.33364470224794907</v>
      </c>
    </row>
    <row r="28" spans="2:28">
      <c r="B28" s="2077">
        <v>44</v>
      </c>
      <c r="C28" s="2069">
        <v>0.88500000000000001</v>
      </c>
      <c r="D28" s="2069">
        <v>7.8970000000000002</v>
      </c>
      <c r="E28" s="2069">
        <v>2.39</v>
      </c>
      <c r="F28" s="2069">
        <v>2.39</v>
      </c>
      <c r="G28" s="2069">
        <v>7.0120000000000005</v>
      </c>
      <c r="H28" s="2070">
        <v>0.12621220764403879</v>
      </c>
      <c r="I28" s="2070">
        <v>0.34084426697090703</v>
      </c>
      <c r="J28" s="2078">
        <v>0.46705647461494582</v>
      </c>
      <c r="K28" s="2077">
        <v>44</v>
      </c>
      <c r="L28" s="2069">
        <v>0.98799999999999999</v>
      </c>
      <c r="M28" s="2069">
        <v>9.1329999999999991</v>
      </c>
      <c r="N28" s="2071">
        <v>0.56399999999999995</v>
      </c>
      <c r="O28" s="2069">
        <v>0.56399999999999995</v>
      </c>
      <c r="P28" s="2069">
        <v>8.1449999999999996</v>
      </c>
      <c r="Q28" s="2070">
        <v>0.12130141190914671</v>
      </c>
      <c r="R28" s="2070">
        <v>6.9244935543278083E-2</v>
      </c>
      <c r="S28" s="2078">
        <v>0.1905463474524248</v>
      </c>
      <c r="T28" s="2077">
        <v>44</v>
      </c>
      <c r="U28" s="1686">
        <v>0.9365</v>
      </c>
      <c r="V28" s="1686">
        <v>8.5150000000000006</v>
      </c>
      <c r="W28" s="1686">
        <v>1.4770000000000001</v>
      </c>
      <c r="X28" s="1686">
        <v>1.4770000000000001</v>
      </c>
      <c r="Y28" s="1686">
        <v>7.5785</v>
      </c>
      <c r="Z28" s="2072">
        <v>0.12375680977659276</v>
      </c>
      <c r="AA28" s="2072">
        <v>0.20504460125709256</v>
      </c>
      <c r="AB28" s="2093">
        <v>0.32880141103368532</v>
      </c>
    </row>
    <row r="29" spans="2:28">
      <c r="B29" s="89">
        <v>45</v>
      </c>
      <c r="C29" s="1">
        <v>0.878</v>
      </c>
      <c r="D29" s="1">
        <v>8.1059999999999999</v>
      </c>
      <c r="E29" s="1">
        <v>2.4660000000000002</v>
      </c>
      <c r="F29" s="1">
        <v>2.4660000000000002</v>
      </c>
      <c r="G29" s="1">
        <v>7.2279999999999998</v>
      </c>
      <c r="H29" s="741">
        <v>0.12147205312672939</v>
      </c>
      <c r="I29" s="741">
        <v>0.34117321527393474</v>
      </c>
      <c r="J29" s="2079">
        <v>0.46264526840066411</v>
      </c>
      <c r="K29" s="89">
        <v>45</v>
      </c>
      <c r="L29" s="1">
        <v>0.97</v>
      </c>
      <c r="M29" s="1">
        <v>9.3569999999999993</v>
      </c>
      <c r="N29" s="1419">
        <v>0.57599999999999996</v>
      </c>
      <c r="O29" s="1">
        <v>0.57599999999999996</v>
      </c>
      <c r="P29" s="1">
        <v>8.3869999999999987</v>
      </c>
      <c r="Q29" s="741">
        <v>0.11565518063669968</v>
      </c>
      <c r="R29" s="741">
        <v>6.8677715512102069E-2</v>
      </c>
      <c r="S29" s="2079">
        <v>0.18433289614880174</v>
      </c>
      <c r="T29" s="89">
        <v>45</v>
      </c>
      <c r="U29" s="740">
        <v>0.92399999999999993</v>
      </c>
      <c r="V29" s="740">
        <v>8.7315000000000005</v>
      </c>
      <c r="W29" s="740">
        <v>1.5210000000000001</v>
      </c>
      <c r="X29" s="740">
        <v>1.5210000000000001</v>
      </c>
      <c r="Y29" s="740">
        <v>7.8074999999999992</v>
      </c>
      <c r="Z29" s="2067">
        <v>0.11856361688171453</v>
      </c>
      <c r="AA29" s="2067">
        <v>0.2049254653930184</v>
      </c>
      <c r="AB29" s="2094">
        <v>0.32348908227473294</v>
      </c>
    </row>
    <row r="30" spans="2:28">
      <c r="B30" s="2077">
        <v>46</v>
      </c>
      <c r="C30" s="2069">
        <v>0.86899999999999999</v>
      </c>
      <c r="D30" s="2069">
        <v>8.3230000000000004</v>
      </c>
      <c r="E30" s="2069">
        <v>2.5430000000000001</v>
      </c>
      <c r="F30" s="2069">
        <v>2.5430000000000001</v>
      </c>
      <c r="G30" s="2069">
        <v>7.4540000000000006</v>
      </c>
      <c r="H30" s="2070">
        <v>0.11658170110008048</v>
      </c>
      <c r="I30" s="2070">
        <v>0.34115910920311243</v>
      </c>
      <c r="J30" s="2078">
        <v>0.45774081030319291</v>
      </c>
      <c r="K30" s="2077">
        <v>46</v>
      </c>
      <c r="L30" s="2069">
        <v>0.95</v>
      </c>
      <c r="M30" s="2069">
        <v>9.5879999999999992</v>
      </c>
      <c r="N30" s="2071">
        <v>0.58699999999999997</v>
      </c>
      <c r="O30" s="2069">
        <v>0.58699999999999997</v>
      </c>
      <c r="P30" s="2069">
        <v>8.6379999999999999</v>
      </c>
      <c r="Q30" s="2070">
        <v>0.10997916184301922</v>
      </c>
      <c r="R30" s="2070">
        <v>6.7955545265107664E-2</v>
      </c>
      <c r="S30" s="2078">
        <v>0.17793470710812687</v>
      </c>
      <c r="T30" s="2077">
        <v>46</v>
      </c>
      <c r="U30" s="1686">
        <v>0.90949999999999998</v>
      </c>
      <c r="V30" s="1686">
        <v>8.9555000000000007</v>
      </c>
      <c r="W30" s="1686">
        <v>1.5649999999999999</v>
      </c>
      <c r="X30" s="1686">
        <v>1.5649999999999999</v>
      </c>
      <c r="Y30" s="1686">
        <v>8.0459999999999994</v>
      </c>
      <c r="Z30" s="2072">
        <v>0.11328043147154984</v>
      </c>
      <c r="AA30" s="2072">
        <v>0.20455732723411005</v>
      </c>
      <c r="AB30" s="2093">
        <v>0.31783775870565989</v>
      </c>
    </row>
    <row r="31" spans="2:28">
      <c r="B31" s="89">
        <v>47</v>
      </c>
      <c r="C31" s="1">
        <v>0.85799999999999998</v>
      </c>
      <c r="D31" s="1">
        <v>8.5459999999999994</v>
      </c>
      <c r="E31" s="1">
        <v>2.6179999999999999</v>
      </c>
      <c r="F31" s="1">
        <v>2.6179999999999999</v>
      </c>
      <c r="G31" s="1">
        <v>7.6879999999999997</v>
      </c>
      <c r="H31" s="741">
        <v>0.11160249739854318</v>
      </c>
      <c r="I31" s="741">
        <v>0.34053069719042661</v>
      </c>
      <c r="J31" s="2079">
        <v>0.45213319458896978</v>
      </c>
      <c r="K31" s="89">
        <v>47</v>
      </c>
      <c r="L31" s="1">
        <v>0.92600000000000005</v>
      </c>
      <c r="M31" s="1">
        <v>9.8249999999999993</v>
      </c>
      <c r="N31" s="1419">
        <v>0.59799999999999998</v>
      </c>
      <c r="O31" s="1">
        <v>0.59799999999999998</v>
      </c>
      <c r="P31" s="1">
        <v>8.8989999999999991</v>
      </c>
      <c r="Q31" s="741">
        <v>0.10405663557703114</v>
      </c>
      <c r="R31" s="741">
        <v>6.7198561636138895E-2</v>
      </c>
      <c r="S31" s="2079">
        <v>0.17125519721317004</v>
      </c>
      <c r="T31" s="89">
        <v>47</v>
      </c>
      <c r="U31" s="740">
        <v>0.89200000000000002</v>
      </c>
      <c r="V31" s="740">
        <v>9.1854999999999993</v>
      </c>
      <c r="W31" s="740">
        <v>1.6079999999999999</v>
      </c>
      <c r="X31" s="740">
        <v>1.6079999999999999</v>
      </c>
      <c r="Y31" s="740">
        <v>8.2934999999999999</v>
      </c>
      <c r="Z31" s="2067">
        <v>0.10782956648778716</v>
      </c>
      <c r="AA31" s="2067">
        <v>0.20386462941328276</v>
      </c>
      <c r="AB31" s="2094">
        <v>0.31169419590106989</v>
      </c>
    </row>
    <row r="32" spans="2:28">
      <c r="B32" s="2077">
        <v>48</v>
      </c>
      <c r="C32" s="2069">
        <v>0.84299999999999997</v>
      </c>
      <c r="D32" s="2069">
        <v>8.7750000000000004</v>
      </c>
      <c r="E32" s="2069">
        <v>2.6920000000000002</v>
      </c>
      <c r="F32" s="2069">
        <v>2.6920000000000002</v>
      </c>
      <c r="G32" s="2069">
        <v>7.9320000000000004</v>
      </c>
      <c r="H32" s="2070">
        <v>0.10627836611195159</v>
      </c>
      <c r="I32" s="2070">
        <v>0.3393847705496722</v>
      </c>
      <c r="J32" s="2078">
        <v>0.44566313666162377</v>
      </c>
      <c r="K32" s="2077">
        <v>48</v>
      </c>
      <c r="L32" s="2069">
        <v>0.9</v>
      </c>
      <c r="M32" s="2069">
        <v>10.07</v>
      </c>
      <c r="N32" s="2071">
        <v>0.60799999999999998</v>
      </c>
      <c r="O32" s="2069">
        <v>0.60799999999999998</v>
      </c>
      <c r="P32" s="2069">
        <v>9.17</v>
      </c>
      <c r="Q32" s="2070">
        <v>9.8146128680479824E-2</v>
      </c>
      <c r="R32" s="2070">
        <v>6.6303162486368597E-2</v>
      </c>
      <c r="S32" s="2078">
        <v>0.16444929116684842</v>
      </c>
      <c r="T32" s="2077">
        <v>48</v>
      </c>
      <c r="U32" s="1686">
        <v>0.87149999999999994</v>
      </c>
      <c r="V32" s="1686">
        <v>9.4224999999999994</v>
      </c>
      <c r="W32" s="1686">
        <v>1.6500000000000001</v>
      </c>
      <c r="X32" s="1686">
        <v>1.6500000000000001</v>
      </c>
      <c r="Y32" s="1686">
        <v>8.5510000000000002</v>
      </c>
      <c r="Z32" s="2072">
        <v>0.10221224739621571</v>
      </c>
      <c r="AA32" s="2072">
        <v>0.20284396651802039</v>
      </c>
      <c r="AB32" s="2093">
        <v>0.3050562139142361</v>
      </c>
    </row>
    <row r="33" spans="2:28">
      <c r="B33" s="89">
        <v>49</v>
      </c>
      <c r="C33" s="1">
        <v>0.82299999999999995</v>
      </c>
      <c r="D33" s="1">
        <v>9.0109999999999992</v>
      </c>
      <c r="E33" s="1">
        <v>2.7650000000000001</v>
      </c>
      <c r="F33" s="1">
        <v>2.7650000000000001</v>
      </c>
      <c r="G33" s="1">
        <v>8.1879999999999988</v>
      </c>
      <c r="H33" s="741">
        <v>0.10051294577430386</v>
      </c>
      <c r="I33" s="741">
        <v>0.33768930141670744</v>
      </c>
      <c r="J33" s="2079">
        <v>0.43820224719101131</v>
      </c>
      <c r="K33" s="89">
        <v>49</v>
      </c>
      <c r="L33" s="1">
        <v>0.86899999999999999</v>
      </c>
      <c r="M33" s="1">
        <v>10.32</v>
      </c>
      <c r="N33" s="1419">
        <v>0.61599999999999999</v>
      </c>
      <c r="O33" s="1">
        <v>0.61599999999999999</v>
      </c>
      <c r="P33" s="1">
        <v>9.4510000000000005</v>
      </c>
      <c r="Q33" s="741">
        <v>9.1947942016717799E-2</v>
      </c>
      <c r="R33" s="741">
        <v>6.5178288011850591E-2</v>
      </c>
      <c r="S33" s="2079">
        <v>0.1571262300285684</v>
      </c>
      <c r="T33" s="89">
        <v>49</v>
      </c>
      <c r="U33" s="740">
        <v>0.84599999999999997</v>
      </c>
      <c r="V33" s="740">
        <v>9.6654999999999998</v>
      </c>
      <c r="W33" s="740">
        <v>1.6905000000000001</v>
      </c>
      <c r="X33" s="740">
        <v>1.6905000000000001</v>
      </c>
      <c r="Y33" s="740">
        <v>8.8194999999999997</v>
      </c>
      <c r="Z33" s="2067">
        <v>9.6230443895510831E-2</v>
      </c>
      <c r="AA33" s="2067">
        <v>0.20143379471427902</v>
      </c>
      <c r="AB33" s="2094">
        <v>0.29766423860978986</v>
      </c>
    </row>
    <row r="34" spans="2:28">
      <c r="B34" s="2077">
        <v>50</v>
      </c>
      <c r="C34" s="2069">
        <v>0.79700000000000004</v>
      </c>
      <c r="D34" s="2069">
        <v>9.2530000000000001</v>
      </c>
      <c r="E34" s="2069">
        <v>2.835</v>
      </c>
      <c r="F34" s="2069">
        <v>2.835</v>
      </c>
      <c r="G34" s="2069">
        <v>8.4559999999999995</v>
      </c>
      <c r="H34" s="2070">
        <v>9.4252601702932842E-2</v>
      </c>
      <c r="I34" s="2070">
        <v>0.33526490066225167</v>
      </c>
      <c r="J34" s="2078">
        <v>0.42951750236518449</v>
      </c>
      <c r="K34" s="2077">
        <v>50</v>
      </c>
      <c r="L34" s="2069">
        <v>0.83299999999999996</v>
      </c>
      <c r="M34" s="2069">
        <v>10.577</v>
      </c>
      <c r="N34" s="2071">
        <v>0.624</v>
      </c>
      <c r="O34" s="2069">
        <v>0.624</v>
      </c>
      <c r="P34" s="2069">
        <v>9.7439999999999998</v>
      </c>
      <c r="Q34" s="2070">
        <v>8.5488505747126436E-2</v>
      </c>
      <c r="R34" s="2070">
        <v>6.4039408866995079E-2</v>
      </c>
      <c r="S34" s="2078">
        <v>0.14952791461412152</v>
      </c>
      <c r="T34" s="2077">
        <v>50</v>
      </c>
      <c r="U34" s="1686">
        <v>0.81499999999999995</v>
      </c>
      <c r="V34" s="1686">
        <v>9.9149999999999991</v>
      </c>
      <c r="W34" s="1686">
        <v>1.7295</v>
      </c>
      <c r="X34" s="1686">
        <v>1.7295</v>
      </c>
      <c r="Y34" s="1686">
        <v>9.1</v>
      </c>
      <c r="Z34" s="2072">
        <v>8.9870553725029639E-2</v>
      </c>
      <c r="AA34" s="2072">
        <v>0.19965215476462339</v>
      </c>
      <c r="AB34" s="2093">
        <v>0.289522708489653</v>
      </c>
    </row>
    <row r="35" spans="2:28">
      <c r="B35" s="89">
        <v>51</v>
      </c>
      <c r="C35" s="1">
        <v>0.76500000000000001</v>
      </c>
      <c r="D35" s="1">
        <v>9.5009999999999994</v>
      </c>
      <c r="E35" s="1">
        <v>2.9020000000000001</v>
      </c>
      <c r="F35" s="1">
        <v>2.9020000000000001</v>
      </c>
      <c r="G35" s="1">
        <v>8.7359999999999989</v>
      </c>
      <c r="H35" s="741">
        <v>8.7568681318681327E-2</v>
      </c>
      <c r="I35" s="741">
        <v>0.33218864468864473</v>
      </c>
      <c r="J35" s="2079">
        <v>0.41975732600732607</v>
      </c>
      <c r="K35" s="89">
        <v>51</v>
      </c>
      <c r="L35" s="1">
        <v>0.79200000000000004</v>
      </c>
      <c r="M35" s="1">
        <v>10.839</v>
      </c>
      <c r="N35" s="1419">
        <v>0.63100000000000001</v>
      </c>
      <c r="O35" s="1">
        <v>0.63100000000000001</v>
      </c>
      <c r="P35" s="1">
        <v>10.047000000000001</v>
      </c>
      <c r="Q35" s="741">
        <v>7.8829501343684674E-2</v>
      </c>
      <c r="R35" s="741">
        <v>6.2804817358415449E-2</v>
      </c>
      <c r="S35" s="2079">
        <v>0.14163431870210014</v>
      </c>
      <c r="T35" s="89">
        <v>51</v>
      </c>
      <c r="U35" s="740">
        <v>0.77849999999999997</v>
      </c>
      <c r="V35" s="740">
        <v>10.17</v>
      </c>
      <c r="W35" s="740">
        <v>1.7665000000000002</v>
      </c>
      <c r="X35" s="740">
        <v>1.7665000000000002</v>
      </c>
      <c r="Y35" s="740">
        <v>9.3915000000000006</v>
      </c>
      <c r="Z35" s="2067">
        <v>8.3199091331183E-2</v>
      </c>
      <c r="AA35" s="2067">
        <v>0.1974967310235301</v>
      </c>
      <c r="AB35" s="2094">
        <v>0.28069582235471313</v>
      </c>
    </row>
    <row r="36" spans="2:28">
      <c r="B36" s="2077">
        <v>52</v>
      </c>
      <c r="C36" s="2069">
        <v>0.72799999999999998</v>
      </c>
      <c r="D36" s="2069">
        <v>9.7569999999999997</v>
      </c>
      <c r="E36" s="2069">
        <v>2.9670000000000001</v>
      </c>
      <c r="F36" s="2069">
        <v>2.9670000000000001</v>
      </c>
      <c r="G36" s="2069">
        <v>9.0289999999999999</v>
      </c>
      <c r="H36" s="2070">
        <v>8.0629084062465384E-2</v>
      </c>
      <c r="I36" s="2070">
        <v>0.32860781924908627</v>
      </c>
      <c r="J36" s="2078">
        <v>0.40923690331155166</v>
      </c>
      <c r="K36" s="2077">
        <v>52</v>
      </c>
      <c r="L36" s="2069">
        <v>0.74399999999999999</v>
      </c>
      <c r="M36" s="2069">
        <v>11.108000000000001</v>
      </c>
      <c r="N36" s="2071">
        <v>0.63600000000000001</v>
      </c>
      <c r="O36" s="2069">
        <v>0.63600000000000001</v>
      </c>
      <c r="P36" s="2069">
        <v>10.364000000000001</v>
      </c>
      <c r="Q36" s="2070">
        <v>7.1786954843689688E-2</v>
      </c>
      <c r="R36" s="2070">
        <v>6.1366267850250865E-2</v>
      </c>
      <c r="S36" s="2078">
        <v>0.13315322269394056</v>
      </c>
      <c r="T36" s="2077">
        <v>52</v>
      </c>
      <c r="U36" s="1686">
        <v>0.73599999999999999</v>
      </c>
      <c r="V36" s="1686">
        <v>10.432500000000001</v>
      </c>
      <c r="W36" s="1686">
        <v>1.8015000000000001</v>
      </c>
      <c r="X36" s="1686">
        <v>1.8015000000000001</v>
      </c>
      <c r="Y36" s="1686">
        <v>9.6965000000000003</v>
      </c>
      <c r="Z36" s="2072">
        <v>7.6208019453077536E-2</v>
      </c>
      <c r="AA36" s="2072">
        <v>0.19498704354966856</v>
      </c>
      <c r="AB36" s="2093">
        <v>0.2711950630027461</v>
      </c>
    </row>
    <row r="37" spans="2:28">
      <c r="B37" s="89">
        <v>53</v>
      </c>
      <c r="C37" s="1">
        <v>0.68400000000000005</v>
      </c>
      <c r="D37" s="1">
        <v>10.02</v>
      </c>
      <c r="E37" s="1">
        <v>3.0289999999999999</v>
      </c>
      <c r="F37" s="1">
        <v>3.0289999999999999</v>
      </c>
      <c r="G37" s="1">
        <v>9.3360000000000003</v>
      </c>
      <c r="H37" s="741">
        <v>7.3264781491002573E-2</v>
      </c>
      <c r="I37" s="741">
        <v>0.32444301628106254</v>
      </c>
      <c r="J37" s="2079">
        <v>0.39770779777206511</v>
      </c>
      <c r="K37" s="89">
        <v>53</v>
      </c>
      <c r="L37" s="1">
        <v>0.69</v>
      </c>
      <c r="M37" s="1">
        <v>11.382</v>
      </c>
      <c r="N37" s="1419">
        <v>0.64</v>
      </c>
      <c r="O37" s="1">
        <v>0.64</v>
      </c>
      <c r="P37" s="1">
        <v>10.692</v>
      </c>
      <c r="Q37" s="741">
        <v>6.4534231200897865E-2</v>
      </c>
      <c r="R37" s="741">
        <v>5.9857837635615412E-2</v>
      </c>
      <c r="S37" s="2079">
        <v>0.12439206883651327</v>
      </c>
      <c r="T37" s="89">
        <v>53</v>
      </c>
      <c r="U37" s="740">
        <v>0.68700000000000006</v>
      </c>
      <c r="V37" s="740">
        <v>10.701000000000001</v>
      </c>
      <c r="W37" s="740">
        <v>1.8345</v>
      </c>
      <c r="X37" s="740">
        <v>1.8345</v>
      </c>
      <c r="Y37" s="740">
        <v>10.013999999999999</v>
      </c>
      <c r="Z37" s="2067">
        <v>6.8899506345950212E-2</v>
      </c>
      <c r="AA37" s="2067">
        <v>0.19215042695833898</v>
      </c>
      <c r="AB37" s="2094">
        <v>0.26104993330428916</v>
      </c>
    </row>
    <row r="38" spans="2:28">
      <c r="B38" s="2077">
        <v>54</v>
      </c>
      <c r="C38" s="2069">
        <v>0.63200000000000001</v>
      </c>
      <c r="D38" s="2069">
        <v>10.29</v>
      </c>
      <c r="E38" s="2069">
        <v>3.0870000000000002</v>
      </c>
      <c r="F38" s="2069">
        <v>3.0870000000000002</v>
      </c>
      <c r="G38" s="2069">
        <v>9.6579999999999995</v>
      </c>
      <c r="H38" s="2070">
        <v>6.5437978877614419E-2</v>
      </c>
      <c r="I38" s="2070">
        <v>0.31963139366328436</v>
      </c>
      <c r="J38" s="2078">
        <v>0.38506937254089879</v>
      </c>
      <c r="K38" s="2077">
        <v>54</v>
      </c>
      <c r="L38" s="2069">
        <v>0.629</v>
      </c>
      <c r="M38" s="2069">
        <v>11.662000000000001</v>
      </c>
      <c r="N38" s="2071">
        <v>0.64200000000000002</v>
      </c>
      <c r="O38" s="2069">
        <v>0.64200000000000002</v>
      </c>
      <c r="P38" s="2069">
        <v>11.033000000000001</v>
      </c>
      <c r="Q38" s="2070">
        <v>5.7010785824345142E-2</v>
      </c>
      <c r="R38" s="2070">
        <v>5.8189069156167852E-2</v>
      </c>
      <c r="S38" s="2078">
        <v>0.11519985498051299</v>
      </c>
      <c r="T38" s="2077">
        <v>54</v>
      </c>
      <c r="U38" s="1686">
        <v>0.63050000000000006</v>
      </c>
      <c r="V38" s="1686">
        <v>10.975999999999999</v>
      </c>
      <c r="W38" s="1686">
        <v>1.8645</v>
      </c>
      <c r="X38" s="1686">
        <v>1.8645</v>
      </c>
      <c r="Y38" s="1686">
        <v>10.345500000000001</v>
      </c>
      <c r="Z38" s="2072">
        <v>6.1224382350979781E-2</v>
      </c>
      <c r="AA38" s="2072">
        <v>0.1889102314097261</v>
      </c>
      <c r="AB38" s="2093">
        <v>0.25013461376070589</v>
      </c>
    </row>
    <row r="39" spans="2:28">
      <c r="B39" s="89">
        <v>55</v>
      </c>
      <c r="C39" s="1">
        <v>0.57399999999999995</v>
      </c>
      <c r="D39" s="1">
        <v>10.568</v>
      </c>
      <c r="E39" s="1">
        <v>3.1429999999999998</v>
      </c>
      <c r="F39" s="1">
        <v>3.1429999999999998</v>
      </c>
      <c r="G39" s="1">
        <v>9.9939999999999998</v>
      </c>
      <c r="H39" s="741">
        <v>5.7434460676405841E-2</v>
      </c>
      <c r="I39" s="741">
        <v>0.31448869321592954</v>
      </c>
      <c r="J39" s="2079">
        <v>0.37192315389233538</v>
      </c>
      <c r="K39" s="89">
        <v>55</v>
      </c>
      <c r="L39" s="1">
        <v>0.56000000000000005</v>
      </c>
      <c r="M39" s="1">
        <v>11.949</v>
      </c>
      <c r="N39" s="1419">
        <v>0.64300000000000002</v>
      </c>
      <c r="O39" s="1">
        <v>0.64300000000000002</v>
      </c>
      <c r="P39" s="1">
        <v>11.388999999999999</v>
      </c>
      <c r="Q39" s="741">
        <v>4.9170251997541492E-2</v>
      </c>
      <c r="R39" s="741">
        <v>5.6457985775748537E-2</v>
      </c>
      <c r="S39" s="2079">
        <v>0.10562823777329003</v>
      </c>
      <c r="T39" s="89">
        <v>55</v>
      </c>
      <c r="U39" s="740">
        <v>0.56699999999999995</v>
      </c>
      <c r="V39" s="740">
        <v>11.2585</v>
      </c>
      <c r="W39" s="740">
        <v>1.8929999999999998</v>
      </c>
      <c r="X39" s="740">
        <v>1.8929999999999998</v>
      </c>
      <c r="Y39" s="740">
        <v>10.6915</v>
      </c>
      <c r="Z39" s="2067">
        <v>5.3302356336973666E-2</v>
      </c>
      <c r="AA39" s="2067">
        <v>0.18547333949583905</v>
      </c>
      <c r="AB39" s="2094">
        <v>0.23877569583281272</v>
      </c>
    </row>
    <row r="40" spans="2:28">
      <c r="B40" s="2077">
        <v>56</v>
      </c>
      <c r="C40" s="2069">
        <v>0.50700000000000001</v>
      </c>
      <c r="D40" s="2069">
        <v>10.853999999999999</v>
      </c>
      <c r="E40" s="2069">
        <v>3.1960000000000002</v>
      </c>
      <c r="F40" s="2069">
        <v>3.1960000000000002</v>
      </c>
      <c r="G40" s="2069">
        <v>10.347</v>
      </c>
      <c r="H40" s="2070">
        <v>4.8999710060887214E-2</v>
      </c>
      <c r="I40" s="2070">
        <v>0.30888180148835415</v>
      </c>
      <c r="J40" s="2078">
        <v>0.35788151154924136</v>
      </c>
      <c r="K40" s="2077">
        <v>56</v>
      </c>
      <c r="L40" s="2069">
        <v>0.48499999999999999</v>
      </c>
      <c r="M40" s="2069">
        <v>12.242000000000001</v>
      </c>
      <c r="N40" s="2071">
        <v>0.64300000000000002</v>
      </c>
      <c r="O40" s="2069">
        <v>0.64300000000000002</v>
      </c>
      <c r="P40" s="2069">
        <v>11.757000000000001</v>
      </c>
      <c r="Q40" s="2070">
        <v>4.1252020073147905E-2</v>
      </c>
      <c r="R40" s="2070">
        <v>5.4690822488730112E-2</v>
      </c>
      <c r="S40" s="2078">
        <v>9.5942842561878017E-2</v>
      </c>
      <c r="T40" s="2077">
        <v>56</v>
      </c>
      <c r="U40" s="1686">
        <v>0.496</v>
      </c>
      <c r="V40" s="1686">
        <v>11.548</v>
      </c>
      <c r="W40" s="1686">
        <v>1.9195000000000002</v>
      </c>
      <c r="X40" s="1686">
        <v>1.9195000000000002</v>
      </c>
      <c r="Y40" s="1686">
        <v>11.052</v>
      </c>
      <c r="Z40" s="2072">
        <v>4.5125865067017559E-2</v>
      </c>
      <c r="AA40" s="2072">
        <v>0.18178631198854212</v>
      </c>
      <c r="AB40" s="2093">
        <v>0.22691217705555969</v>
      </c>
    </row>
    <row r="41" spans="2:28">
      <c r="B41" s="89">
        <v>57</v>
      </c>
      <c r="C41" s="1">
        <v>0.434</v>
      </c>
      <c r="D41" s="1">
        <v>11.148999999999999</v>
      </c>
      <c r="E41" s="1">
        <v>3.2480000000000002</v>
      </c>
      <c r="F41" s="1">
        <v>3.2480000000000002</v>
      </c>
      <c r="G41" s="1">
        <v>10.715</v>
      </c>
      <c r="H41" s="741">
        <v>4.0503966402239848E-2</v>
      </c>
      <c r="I41" s="741">
        <v>0.30312645823611761</v>
      </c>
      <c r="J41" s="2079">
        <v>0.34363042463835747</v>
      </c>
      <c r="K41" s="89">
        <v>57</v>
      </c>
      <c r="L41" s="1">
        <v>0.40500000000000003</v>
      </c>
      <c r="M41" s="1">
        <v>12.544</v>
      </c>
      <c r="N41" s="1419">
        <v>0.64100000000000001</v>
      </c>
      <c r="O41" s="1">
        <v>0.64100000000000001</v>
      </c>
      <c r="P41" s="1">
        <v>12.139000000000001</v>
      </c>
      <c r="Q41" s="741">
        <v>3.3363539006507952E-2</v>
      </c>
      <c r="R41" s="741">
        <v>5.2805008649806404E-2</v>
      </c>
      <c r="S41" s="2079">
        <v>8.6168547656314348E-2</v>
      </c>
      <c r="T41" s="89">
        <v>57</v>
      </c>
      <c r="U41" s="740">
        <v>0.41949999999999998</v>
      </c>
      <c r="V41" s="740">
        <v>11.846499999999999</v>
      </c>
      <c r="W41" s="740">
        <v>1.9445000000000001</v>
      </c>
      <c r="X41" s="740">
        <v>1.9445000000000001</v>
      </c>
      <c r="Y41" s="740">
        <v>11.427</v>
      </c>
      <c r="Z41" s="2067">
        <v>3.69337527043739E-2</v>
      </c>
      <c r="AA41" s="2067">
        <v>0.17796573344296202</v>
      </c>
      <c r="AB41" s="2094">
        <v>0.21489948614733589</v>
      </c>
    </row>
    <row r="42" spans="2:28">
      <c r="B42" s="2077">
        <v>58</v>
      </c>
      <c r="C42" s="2069">
        <v>0.35599999999999998</v>
      </c>
      <c r="D42" s="2069">
        <v>11.454000000000001</v>
      </c>
      <c r="E42" s="2069">
        <v>3.298</v>
      </c>
      <c r="F42" s="2069">
        <v>3.298</v>
      </c>
      <c r="G42" s="2069">
        <v>11.098000000000001</v>
      </c>
      <c r="H42" s="2070">
        <v>3.2077851865200936E-2</v>
      </c>
      <c r="I42" s="2070">
        <v>0.29717066138042891</v>
      </c>
      <c r="J42" s="2078">
        <v>0.32924851324562987</v>
      </c>
      <c r="K42" s="2077">
        <v>58</v>
      </c>
      <c r="L42" s="2069">
        <v>0.32200000000000001</v>
      </c>
      <c r="M42" s="2069">
        <v>12.856999999999999</v>
      </c>
      <c r="N42" s="2071">
        <v>0.63900000000000001</v>
      </c>
      <c r="O42" s="2069">
        <v>0.63900000000000001</v>
      </c>
      <c r="P42" s="2069">
        <v>12.535</v>
      </c>
      <c r="Q42" s="2070">
        <v>2.5688073394495414E-2</v>
      </c>
      <c r="R42" s="2070">
        <v>5.097726366174711E-2</v>
      </c>
      <c r="S42" s="2078">
        <v>7.6665337056242525E-2</v>
      </c>
      <c r="T42" s="2077">
        <v>58</v>
      </c>
      <c r="U42" s="1686">
        <v>0.33899999999999997</v>
      </c>
      <c r="V42" s="1686">
        <v>12.1555</v>
      </c>
      <c r="W42" s="1686">
        <v>1.9685000000000001</v>
      </c>
      <c r="X42" s="1686">
        <v>1.9685000000000001</v>
      </c>
      <c r="Y42" s="1686">
        <v>11.816500000000001</v>
      </c>
      <c r="Z42" s="2072">
        <v>2.8882962629848175E-2</v>
      </c>
      <c r="AA42" s="2072">
        <v>0.174073962521088</v>
      </c>
      <c r="AB42" s="2093">
        <v>0.20295692515093619</v>
      </c>
    </row>
    <row r="43" spans="2:28">
      <c r="B43" s="89">
        <v>59</v>
      </c>
      <c r="C43" s="1">
        <v>0.27700000000000002</v>
      </c>
      <c r="D43" s="1">
        <v>11.773</v>
      </c>
      <c r="E43" s="1">
        <v>3.3490000000000002</v>
      </c>
      <c r="F43" s="1">
        <v>3.3490000000000002</v>
      </c>
      <c r="G43" s="1">
        <v>11.496</v>
      </c>
      <c r="H43" s="741">
        <v>2.4095337508698678E-2</v>
      </c>
      <c r="I43" s="741">
        <v>0.29131871955462768</v>
      </c>
      <c r="J43" s="2079">
        <v>0.31541405706332637</v>
      </c>
      <c r="K43" s="89">
        <v>59</v>
      </c>
      <c r="L43" s="1">
        <v>0.24099999999999999</v>
      </c>
      <c r="M43" s="1">
        <v>13.186</v>
      </c>
      <c r="N43" s="1419">
        <v>0.63600000000000001</v>
      </c>
      <c r="O43" s="1">
        <v>0.63600000000000001</v>
      </c>
      <c r="P43" s="1">
        <v>12.945</v>
      </c>
      <c r="Q43" s="741">
        <v>1.861722672846659E-2</v>
      </c>
      <c r="R43" s="741">
        <v>4.9130938586326764E-2</v>
      </c>
      <c r="S43" s="2079">
        <v>6.7748165314793357E-2</v>
      </c>
      <c r="T43" s="89">
        <v>59</v>
      </c>
      <c r="U43" s="740">
        <v>0.25900000000000001</v>
      </c>
      <c r="V43" s="740">
        <v>12.4795</v>
      </c>
      <c r="W43" s="740">
        <v>1.9925000000000002</v>
      </c>
      <c r="X43" s="740">
        <v>1.9925000000000002</v>
      </c>
      <c r="Y43" s="740">
        <v>12.220500000000001</v>
      </c>
      <c r="Z43" s="2067">
        <v>2.1356282118582634E-2</v>
      </c>
      <c r="AA43" s="2067">
        <v>0.17022482907047723</v>
      </c>
      <c r="AB43" s="2094">
        <v>0.19158111118905985</v>
      </c>
    </row>
    <row r="44" spans="2:28">
      <c r="B44" s="2077">
        <v>60</v>
      </c>
      <c r="C44" s="2069">
        <v>0.20200000000000001</v>
      </c>
      <c r="D44" s="2069">
        <v>12.11</v>
      </c>
      <c r="E44" s="2069">
        <v>3.4009999999999998</v>
      </c>
      <c r="F44" s="2069">
        <v>3.4009999999999998</v>
      </c>
      <c r="G44" s="2069">
        <v>11.907999999999999</v>
      </c>
      <c r="H44" s="2070">
        <v>1.696338595901915E-2</v>
      </c>
      <c r="I44" s="2070">
        <v>0.28560631508229761</v>
      </c>
      <c r="J44" s="2078">
        <v>0.30256970104131675</v>
      </c>
      <c r="K44" s="2077">
        <v>60</v>
      </c>
      <c r="L44" s="2069">
        <v>0.16800000000000001</v>
      </c>
      <c r="M44" s="2069">
        <v>13.537000000000001</v>
      </c>
      <c r="N44" s="2071">
        <v>0.63300000000000001</v>
      </c>
      <c r="O44" s="2069">
        <v>0.63300000000000001</v>
      </c>
      <c r="P44" s="2069">
        <v>13.369000000000002</v>
      </c>
      <c r="Q44" s="2070">
        <v>1.2566384920338096E-2</v>
      </c>
      <c r="R44" s="2070">
        <v>4.7348343181988176E-2</v>
      </c>
      <c r="S44" s="2078">
        <v>5.9914728102326273E-2</v>
      </c>
      <c r="T44" s="2077">
        <v>60</v>
      </c>
      <c r="U44" s="1686">
        <v>0.185</v>
      </c>
      <c r="V44" s="1686">
        <v>12.823499999999999</v>
      </c>
      <c r="W44" s="1686">
        <v>2.0169999999999999</v>
      </c>
      <c r="X44" s="1686">
        <v>2.0169999999999999</v>
      </c>
      <c r="Y44" s="1686">
        <v>12.638500000000001</v>
      </c>
      <c r="Z44" s="2072">
        <v>1.4764885439678622E-2</v>
      </c>
      <c r="AA44" s="2072">
        <v>0.16647732913214289</v>
      </c>
      <c r="AB44" s="2093">
        <v>0.18124221457182152</v>
      </c>
    </row>
    <row r="45" spans="2:28">
      <c r="B45" s="89">
        <v>61</v>
      </c>
      <c r="C45" s="1">
        <v>0.13700000000000001</v>
      </c>
      <c r="D45" s="1">
        <v>12.47</v>
      </c>
      <c r="E45" s="1">
        <v>3.4550000000000001</v>
      </c>
      <c r="F45" s="1">
        <v>3.4550000000000001</v>
      </c>
      <c r="G45" s="1">
        <v>12.333</v>
      </c>
      <c r="H45" s="741">
        <v>1.1108408335360417E-2</v>
      </c>
      <c r="I45" s="741">
        <v>0.28014270655963674</v>
      </c>
      <c r="J45" s="2079">
        <v>0.29125111489499717</v>
      </c>
      <c r="K45" s="89">
        <v>61</v>
      </c>
      <c r="L45" s="1">
        <v>0.108</v>
      </c>
      <c r="M45" s="1">
        <v>13.914</v>
      </c>
      <c r="N45" s="1419">
        <v>0.63</v>
      </c>
      <c r="O45" s="1">
        <v>0.63</v>
      </c>
      <c r="P45" s="1">
        <v>13.805999999999999</v>
      </c>
      <c r="Q45" s="741">
        <v>7.8226857887874843E-3</v>
      </c>
      <c r="R45" s="741">
        <v>4.563233376792699E-2</v>
      </c>
      <c r="S45" s="2079">
        <v>5.3455019556714473E-2</v>
      </c>
      <c r="T45" s="89">
        <v>61</v>
      </c>
      <c r="U45" s="740">
        <v>0.1225</v>
      </c>
      <c r="V45" s="740">
        <v>13.192</v>
      </c>
      <c r="W45" s="740">
        <v>2.0425</v>
      </c>
      <c r="X45" s="740">
        <v>2.0425</v>
      </c>
      <c r="Y45" s="740">
        <v>13.0695</v>
      </c>
      <c r="Z45" s="2067">
        <v>9.4655470620739514E-3</v>
      </c>
      <c r="AA45" s="2067">
        <v>0.16288752016378186</v>
      </c>
      <c r="AB45" s="2094">
        <v>0.1723530672258558</v>
      </c>
    </row>
    <row r="46" spans="2:28">
      <c r="B46" s="2077">
        <v>62</v>
      </c>
      <c r="C46" s="2069">
        <v>8.4000000000000005E-2</v>
      </c>
      <c r="D46" s="2069">
        <v>12.856</v>
      </c>
      <c r="E46" s="2069">
        <v>3.4950000000000001</v>
      </c>
      <c r="F46" s="2069">
        <v>3.4950000000000001</v>
      </c>
      <c r="G46" s="2069">
        <v>12.772</v>
      </c>
      <c r="H46" s="2070">
        <v>6.5768869401816475E-3</v>
      </c>
      <c r="I46" s="2070">
        <v>0.27364547447541498</v>
      </c>
      <c r="J46" s="2078">
        <v>0.28022236141559664</v>
      </c>
      <c r="K46" s="2077">
        <v>62</v>
      </c>
      <c r="L46" s="2069">
        <v>6.2E-2</v>
      </c>
      <c r="M46" s="2069">
        <v>14.321</v>
      </c>
      <c r="N46" s="2071">
        <v>0.625</v>
      </c>
      <c r="O46" s="2069">
        <v>0.625</v>
      </c>
      <c r="P46" s="2069">
        <v>14.259</v>
      </c>
      <c r="Q46" s="2070">
        <v>4.3481310049793111E-3</v>
      </c>
      <c r="R46" s="2070">
        <v>4.3831965776001118E-2</v>
      </c>
      <c r="S46" s="2078">
        <v>4.8180096780980432E-2</v>
      </c>
      <c r="T46" s="2077">
        <v>62</v>
      </c>
      <c r="U46" s="1686">
        <v>7.3000000000000009E-2</v>
      </c>
      <c r="V46" s="1686">
        <v>13.5885</v>
      </c>
      <c r="W46" s="1686">
        <v>2.06</v>
      </c>
      <c r="X46" s="1686">
        <v>2.06</v>
      </c>
      <c r="Y46" s="1686">
        <v>13.515499999999999</v>
      </c>
      <c r="Z46" s="2072">
        <v>5.4625089725804793E-3</v>
      </c>
      <c r="AA46" s="2072">
        <v>0.15873872012570805</v>
      </c>
      <c r="AB46" s="2093">
        <v>0.16420122909828855</v>
      </c>
    </row>
    <row r="47" spans="2:28">
      <c r="B47" s="89">
        <v>63</v>
      </c>
      <c r="C47" s="1">
        <v>4.4999999999999998E-2</v>
      </c>
      <c r="D47" s="1">
        <v>13.273</v>
      </c>
      <c r="E47" s="1">
        <v>3.536</v>
      </c>
      <c r="F47" s="1">
        <v>3.536</v>
      </c>
      <c r="G47" s="1">
        <v>13.228</v>
      </c>
      <c r="H47" s="741">
        <v>3.4018748110069548E-3</v>
      </c>
      <c r="I47" s="741">
        <v>0.26731176292712427</v>
      </c>
      <c r="J47" s="2079">
        <v>0.27071363773813123</v>
      </c>
      <c r="K47" s="89">
        <v>63</v>
      </c>
      <c r="L47" s="1">
        <v>3.2000000000000001E-2</v>
      </c>
      <c r="M47" s="1">
        <v>14.76</v>
      </c>
      <c r="N47" s="1419">
        <v>0.61899999999999999</v>
      </c>
      <c r="O47" s="1">
        <v>0.61899999999999999</v>
      </c>
      <c r="P47" s="1">
        <v>14.728</v>
      </c>
      <c r="Q47" s="741">
        <v>2.1727322107550247E-3</v>
      </c>
      <c r="R47" s="741">
        <v>4.2028788701792504E-2</v>
      </c>
      <c r="S47" s="2079">
        <v>4.4201520912547532E-2</v>
      </c>
      <c r="T47" s="89">
        <v>63</v>
      </c>
      <c r="U47" s="740">
        <v>3.85E-2</v>
      </c>
      <c r="V47" s="740">
        <v>14.016500000000001</v>
      </c>
      <c r="W47" s="740">
        <v>2.0775000000000001</v>
      </c>
      <c r="X47" s="740">
        <v>2.0775000000000001</v>
      </c>
      <c r="Y47" s="740">
        <v>13.978</v>
      </c>
      <c r="Z47" s="2067">
        <v>2.7873035108809899E-3</v>
      </c>
      <c r="AA47" s="2067">
        <v>0.15467027581445839</v>
      </c>
      <c r="AB47" s="2094">
        <v>0.15745757932533938</v>
      </c>
    </row>
    <row r="48" spans="2:28">
      <c r="B48" s="2077">
        <v>64</v>
      </c>
      <c r="C48" s="2069">
        <v>1.9E-2</v>
      </c>
      <c r="D48" s="2069">
        <v>13.721</v>
      </c>
      <c r="E48" s="2069">
        <v>3.5760000000000001</v>
      </c>
      <c r="F48" s="2069">
        <v>3.5760000000000001</v>
      </c>
      <c r="G48" s="2069">
        <v>13.702</v>
      </c>
      <c r="H48" s="2070">
        <v>1.3866588819150488E-3</v>
      </c>
      <c r="I48" s="2070">
        <v>0.26098379798569554</v>
      </c>
      <c r="J48" s="2078">
        <v>0.26237045686761057</v>
      </c>
      <c r="K48" s="2077">
        <v>64</v>
      </c>
      <c r="L48" s="2069">
        <v>1.2999999999999999E-2</v>
      </c>
      <c r="M48" s="2069">
        <v>15.228999999999999</v>
      </c>
      <c r="N48" s="2071">
        <v>0.61299999999999999</v>
      </c>
      <c r="O48" s="2069">
        <v>0.61299999999999999</v>
      </c>
      <c r="P48" s="2069">
        <v>15.215999999999999</v>
      </c>
      <c r="Q48" s="2070">
        <v>8.5436382754994742E-4</v>
      </c>
      <c r="R48" s="2070">
        <v>4.0286540483701366E-2</v>
      </c>
      <c r="S48" s="2078">
        <v>4.1140904311251315E-2</v>
      </c>
      <c r="T48" s="2077">
        <v>64</v>
      </c>
      <c r="U48" s="1686">
        <v>1.6E-2</v>
      </c>
      <c r="V48" s="1686">
        <v>14.475</v>
      </c>
      <c r="W48" s="1686">
        <v>2.0945</v>
      </c>
      <c r="X48" s="1686">
        <v>2.0945</v>
      </c>
      <c r="Y48" s="1686">
        <v>14.459</v>
      </c>
      <c r="Z48" s="2072">
        <v>1.1205113547324982E-3</v>
      </c>
      <c r="AA48" s="2072">
        <v>0.15063516923469844</v>
      </c>
      <c r="AB48" s="2093">
        <v>0.15175568058943095</v>
      </c>
    </row>
    <row r="49" spans="2:28">
      <c r="B49" s="89">
        <v>65</v>
      </c>
      <c r="C49" s="1">
        <v>7.0000000000000001E-3</v>
      </c>
      <c r="D49" s="1">
        <v>14.202999999999999</v>
      </c>
      <c r="E49" s="1">
        <v>3.613</v>
      </c>
      <c r="F49" s="1">
        <v>3.613</v>
      </c>
      <c r="G49" s="1">
        <v>14.196</v>
      </c>
      <c r="H49" s="741">
        <v>4.9309664694280081E-4</v>
      </c>
      <c r="I49" s="741">
        <v>0.25450831220061992</v>
      </c>
      <c r="J49" s="2079">
        <v>0.25500140884756273</v>
      </c>
      <c r="K49" s="89">
        <v>65</v>
      </c>
      <c r="L49" s="1">
        <v>4.0000000000000001E-3</v>
      </c>
      <c r="M49" s="1">
        <v>15.728</v>
      </c>
      <c r="N49" s="1419">
        <v>0.60499999999999998</v>
      </c>
      <c r="O49" s="1">
        <v>0.60499999999999998</v>
      </c>
      <c r="P49" s="1">
        <v>15.724</v>
      </c>
      <c r="Q49" s="741">
        <v>2.5438819638768761E-4</v>
      </c>
      <c r="R49" s="741">
        <v>3.8476214703637747E-2</v>
      </c>
      <c r="S49" s="2079">
        <v>3.8730602900025432E-2</v>
      </c>
      <c r="T49" s="89">
        <v>65</v>
      </c>
      <c r="U49" s="740">
        <v>5.4999999999999997E-3</v>
      </c>
      <c r="V49" s="740">
        <v>14.965499999999999</v>
      </c>
      <c r="W49" s="740">
        <v>2.109</v>
      </c>
      <c r="X49" s="740">
        <v>2.109</v>
      </c>
      <c r="Y49" s="740">
        <v>14.96</v>
      </c>
      <c r="Z49" s="957">
        <v>3.7374242166524421E-4</v>
      </c>
      <c r="AA49" s="957">
        <v>0.14649226345212885</v>
      </c>
      <c r="AB49" s="958">
        <v>0.14686600587379409</v>
      </c>
    </row>
    <row r="50" spans="2:28">
      <c r="B50" s="2077">
        <v>66</v>
      </c>
      <c r="C50" s="2069">
        <v>1E-3</v>
      </c>
      <c r="D50" s="2069">
        <v>14.717000000000001</v>
      </c>
      <c r="E50" s="2069">
        <v>3.6469999999999998</v>
      </c>
      <c r="F50" s="2069">
        <v>3.6469999999999998</v>
      </c>
      <c r="G50" s="2069">
        <v>14.716000000000001</v>
      </c>
      <c r="H50" s="2070">
        <v>6.7953248165262298E-5</v>
      </c>
      <c r="I50" s="2070">
        <v>0.24782549605871157</v>
      </c>
      <c r="J50" s="2078">
        <v>0.24789344930687685</v>
      </c>
      <c r="K50" s="2077">
        <v>66</v>
      </c>
      <c r="L50" s="2069">
        <v>1E-3</v>
      </c>
      <c r="M50" s="2069">
        <v>16.253</v>
      </c>
      <c r="N50" s="2071">
        <v>0.59599999999999997</v>
      </c>
      <c r="O50" s="2069">
        <v>0.59599999999999997</v>
      </c>
      <c r="P50" s="2069">
        <v>16.251999999999999</v>
      </c>
      <c r="Q50" s="2070">
        <v>6.1530888506030037E-5</v>
      </c>
      <c r="R50" s="2070">
        <v>3.6672409549593894E-2</v>
      </c>
      <c r="S50" s="2078">
        <v>3.6733940438099924E-2</v>
      </c>
      <c r="T50" s="2077">
        <v>66</v>
      </c>
      <c r="U50" s="1686">
        <v>1E-3</v>
      </c>
      <c r="V50" s="1686">
        <v>15.484999999999999</v>
      </c>
      <c r="W50" s="1686">
        <v>2.1214999999999997</v>
      </c>
      <c r="X50" s="1686">
        <v>2.1214999999999997</v>
      </c>
      <c r="Y50" s="1686">
        <v>15.484</v>
      </c>
      <c r="Z50" s="2072">
        <v>6.4742068335646167E-5</v>
      </c>
      <c r="AA50" s="2072">
        <v>0.14224895280415273</v>
      </c>
      <c r="AB50" s="2093">
        <v>0.14231369487248838</v>
      </c>
    </row>
    <row r="51" spans="2:28">
      <c r="B51" s="2098">
        <v>67</v>
      </c>
      <c r="C51" s="2099">
        <v>0</v>
      </c>
      <c r="D51" s="2099">
        <v>15.260999999999999</v>
      </c>
      <c r="E51" s="2099">
        <v>3.6779999999999999</v>
      </c>
      <c r="F51" s="2099">
        <v>3.6779999999999999</v>
      </c>
      <c r="G51" s="2099">
        <v>15.260999999999999</v>
      </c>
      <c r="H51" s="2100">
        <v>0</v>
      </c>
      <c r="I51" s="2100">
        <v>0.24100648712404169</v>
      </c>
      <c r="J51" s="2101">
        <v>0.24100648712404169</v>
      </c>
      <c r="K51" s="2098">
        <v>67</v>
      </c>
      <c r="L51" s="2099">
        <v>0</v>
      </c>
      <c r="M51" s="2099">
        <v>16.803000000000001</v>
      </c>
      <c r="N51" s="2102">
        <v>0.58599999999999997</v>
      </c>
      <c r="O51" s="2099">
        <v>0.58599999999999997</v>
      </c>
      <c r="P51" s="2099">
        <v>16.803000000000001</v>
      </c>
      <c r="Q51" s="2100">
        <v>0</v>
      </c>
      <c r="R51" s="2100">
        <v>3.4874724751532464E-2</v>
      </c>
      <c r="S51" s="2101">
        <v>3.4874724751532464E-2</v>
      </c>
      <c r="T51" s="2098">
        <v>67</v>
      </c>
      <c r="U51" s="2103">
        <v>0</v>
      </c>
      <c r="V51" s="2103">
        <v>16.032</v>
      </c>
      <c r="W51" s="2103">
        <v>2.1320000000000001</v>
      </c>
      <c r="X51" s="2103">
        <v>2.1320000000000001</v>
      </c>
      <c r="Y51" s="2103">
        <v>16.032</v>
      </c>
      <c r="Z51" s="2104">
        <v>0</v>
      </c>
      <c r="AA51" s="2104">
        <v>0.13794060593778706</v>
      </c>
      <c r="AB51" s="2105">
        <v>0.13794060593778706</v>
      </c>
    </row>
    <row r="52" spans="2:28">
      <c r="B52" s="2077">
        <v>68</v>
      </c>
      <c r="C52" s="2069">
        <v>0</v>
      </c>
      <c r="D52" s="2069">
        <v>14.851000000000001</v>
      </c>
      <c r="E52" s="2069">
        <v>3.6779999999999999</v>
      </c>
      <c r="F52" s="2069">
        <v>3.6779999999999999</v>
      </c>
      <c r="G52" s="2069">
        <v>14.851000000000001</v>
      </c>
      <c r="H52" s="2070">
        <v>0</v>
      </c>
      <c r="I52" s="2069">
        <v>0.24766009022961416</v>
      </c>
      <c r="J52" s="2070">
        <v>0.24766009022961416</v>
      </c>
      <c r="K52" s="2077">
        <v>68</v>
      </c>
      <c r="L52" s="2069">
        <v>0</v>
      </c>
      <c r="M52" s="2069">
        <v>16.378</v>
      </c>
      <c r="N52" s="2071">
        <v>0.59099999999999997</v>
      </c>
      <c r="O52" s="2069">
        <v>0.56699999999999995</v>
      </c>
      <c r="P52" s="2069">
        <v>16.378</v>
      </c>
      <c r="Q52" s="2070">
        <v>0</v>
      </c>
      <c r="R52" s="2070">
        <v>3.4619611674197089E-2</v>
      </c>
      <c r="S52" s="2078">
        <v>3.4619611674197089E-2</v>
      </c>
      <c r="T52" s="2077">
        <v>68</v>
      </c>
      <c r="U52" s="1686">
        <v>0</v>
      </c>
      <c r="V52" s="1686">
        <v>15.6145</v>
      </c>
      <c r="W52" s="1686">
        <v>2.1345000000000001</v>
      </c>
      <c r="X52" s="1686">
        <v>2.1225000000000001</v>
      </c>
      <c r="Y52" s="1686">
        <v>15.6145</v>
      </c>
      <c r="Z52" s="2072">
        <v>0</v>
      </c>
      <c r="AA52" s="2072">
        <v>0.14113985095190562</v>
      </c>
      <c r="AB52" s="2093">
        <v>0.14113985095190562</v>
      </c>
    </row>
    <row r="53" spans="2:28">
      <c r="B53" s="89">
        <v>69</v>
      </c>
      <c r="C53" s="1">
        <v>0</v>
      </c>
      <c r="D53" s="1">
        <v>14.432</v>
      </c>
      <c r="E53" s="1">
        <v>3.68</v>
      </c>
      <c r="F53" s="1">
        <v>3.68</v>
      </c>
      <c r="G53" s="1">
        <v>14.432</v>
      </c>
      <c r="H53" s="741">
        <v>0</v>
      </c>
      <c r="I53" s="1">
        <v>0.25498891352549891</v>
      </c>
      <c r="J53" s="741">
        <v>0.25498891352549891</v>
      </c>
      <c r="K53" s="89">
        <v>69</v>
      </c>
      <c r="L53" s="1">
        <v>0</v>
      </c>
      <c r="M53" s="1">
        <v>15.94</v>
      </c>
      <c r="N53" s="1419">
        <v>0.57199999999999995</v>
      </c>
      <c r="O53" s="1">
        <v>0.54900000000000004</v>
      </c>
      <c r="P53" s="1">
        <v>15.94</v>
      </c>
      <c r="Q53" s="741">
        <v>0</v>
      </c>
      <c r="R53" s="741">
        <v>3.4441656210790469E-2</v>
      </c>
      <c r="S53" s="2079">
        <v>3.4441656210790469E-2</v>
      </c>
      <c r="T53" s="89">
        <v>69</v>
      </c>
      <c r="U53" s="740">
        <v>0</v>
      </c>
      <c r="V53" s="740">
        <v>15.186</v>
      </c>
      <c r="W53" s="740">
        <v>2.1259999999999999</v>
      </c>
      <c r="X53" s="740">
        <v>2.1145</v>
      </c>
      <c r="Y53" s="740">
        <v>15.186</v>
      </c>
      <c r="Z53" s="2067">
        <v>0</v>
      </c>
      <c r="AA53" s="2067">
        <v>0.14471528486814469</v>
      </c>
      <c r="AB53" s="2094">
        <v>0.14471528486814469</v>
      </c>
    </row>
    <row r="54" spans="2:28">
      <c r="B54" s="2077">
        <v>70</v>
      </c>
      <c r="C54" s="2069">
        <v>0</v>
      </c>
      <c r="D54" s="2069">
        <v>14.002000000000001</v>
      </c>
      <c r="E54" s="2069">
        <v>3.681</v>
      </c>
      <c r="F54" s="2069">
        <v>3.681</v>
      </c>
      <c r="G54" s="2069">
        <v>14.002000000000001</v>
      </c>
      <c r="H54" s="2070">
        <v>0</v>
      </c>
      <c r="I54" s="2069">
        <v>0.26289101556920441</v>
      </c>
      <c r="J54" s="2070">
        <v>0.26289101556920441</v>
      </c>
      <c r="K54" s="2077">
        <v>70</v>
      </c>
      <c r="L54" s="2069">
        <v>0</v>
      </c>
      <c r="M54" s="2069">
        <v>15.49</v>
      </c>
      <c r="N54" s="2071">
        <v>0.55100000000000005</v>
      </c>
      <c r="O54" s="2069">
        <v>0.53</v>
      </c>
      <c r="P54" s="2069">
        <v>15.49</v>
      </c>
      <c r="Q54" s="2070">
        <v>0</v>
      </c>
      <c r="R54" s="2070">
        <v>3.4215622982569402E-2</v>
      </c>
      <c r="S54" s="2078">
        <v>3.4215622982569402E-2</v>
      </c>
      <c r="T54" s="2077">
        <v>70</v>
      </c>
      <c r="U54" s="1686">
        <v>0</v>
      </c>
      <c r="V54" s="1686">
        <v>14.746</v>
      </c>
      <c r="W54" s="1686">
        <v>2.1160000000000001</v>
      </c>
      <c r="X54" s="1686">
        <v>2.1055000000000001</v>
      </c>
      <c r="Y54" s="1686">
        <v>14.746</v>
      </c>
      <c r="Z54" s="2072">
        <v>0</v>
      </c>
      <c r="AA54" s="2072">
        <v>0.14855331927588691</v>
      </c>
      <c r="AB54" s="2093">
        <v>0.14855331927588691</v>
      </c>
    </row>
    <row r="55" spans="2:28">
      <c r="B55" s="89">
        <v>71</v>
      </c>
      <c r="C55" s="1">
        <v>0</v>
      </c>
      <c r="D55" s="1">
        <v>13.561999999999999</v>
      </c>
      <c r="E55" s="1">
        <v>3.6789999999999998</v>
      </c>
      <c r="F55" s="1">
        <v>3.6789999999999998</v>
      </c>
      <c r="G55" s="1">
        <v>13.561999999999999</v>
      </c>
      <c r="H55" s="741">
        <v>0</v>
      </c>
      <c r="I55" s="1">
        <v>0.27127267364695473</v>
      </c>
      <c r="J55" s="741">
        <v>0.27127267364695473</v>
      </c>
      <c r="K55" s="89">
        <v>71</v>
      </c>
      <c r="L55" s="1">
        <v>0</v>
      </c>
      <c r="M55" s="1">
        <v>15.026</v>
      </c>
      <c r="N55" s="1419">
        <v>0.53100000000000003</v>
      </c>
      <c r="O55" s="1">
        <v>0.51</v>
      </c>
      <c r="P55" s="1">
        <v>15.026</v>
      </c>
      <c r="Q55" s="741">
        <v>0</v>
      </c>
      <c r="R55" s="741">
        <v>3.3941168641022229E-2</v>
      </c>
      <c r="S55" s="2079">
        <v>3.3941168641022229E-2</v>
      </c>
      <c r="T55" s="89">
        <v>71</v>
      </c>
      <c r="U55" s="740">
        <v>0</v>
      </c>
      <c r="V55" s="740">
        <v>14.294</v>
      </c>
      <c r="W55" s="740">
        <v>2.105</v>
      </c>
      <c r="X55" s="740">
        <v>2.0945</v>
      </c>
      <c r="Y55" s="740">
        <v>14.294</v>
      </c>
      <c r="Z55" s="2067">
        <v>0</v>
      </c>
      <c r="AA55" s="2067">
        <v>0.15260692114398849</v>
      </c>
      <c r="AB55" s="2094">
        <v>0.15260692114398849</v>
      </c>
    </row>
    <row r="56" spans="2:28">
      <c r="B56" s="2077">
        <v>72</v>
      </c>
      <c r="C56" s="2069">
        <v>0</v>
      </c>
      <c r="D56" s="2069">
        <v>13.111000000000001</v>
      </c>
      <c r="E56" s="2069">
        <v>3.6749999999999998</v>
      </c>
      <c r="F56" s="2069">
        <v>3.6749999999999998</v>
      </c>
      <c r="G56" s="2069">
        <v>13.111000000000001</v>
      </c>
      <c r="H56" s="2070">
        <v>0</v>
      </c>
      <c r="I56" s="2069">
        <v>0.28029898558462357</v>
      </c>
      <c r="J56" s="2070">
        <v>0.28029898558462357</v>
      </c>
      <c r="K56" s="2077">
        <v>72</v>
      </c>
      <c r="L56" s="2069">
        <v>0</v>
      </c>
      <c r="M56" s="2069">
        <v>14.55</v>
      </c>
      <c r="N56" s="2071">
        <v>0.51</v>
      </c>
      <c r="O56" s="2069">
        <v>0.49099999999999999</v>
      </c>
      <c r="P56" s="2069">
        <v>14.55</v>
      </c>
      <c r="Q56" s="2070">
        <v>0</v>
      </c>
      <c r="R56" s="2070">
        <v>3.3745704467353949E-2</v>
      </c>
      <c r="S56" s="2078">
        <v>3.3745704467353949E-2</v>
      </c>
      <c r="T56" s="2077">
        <v>72</v>
      </c>
      <c r="U56" s="1686">
        <v>0</v>
      </c>
      <c r="V56" s="1686">
        <v>13.830500000000001</v>
      </c>
      <c r="W56" s="1686">
        <v>2.0924999999999998</v>
      </c>
      <c r="X56" s="1686">
        <v>2.0829999999999997</v>
      </c>
      <c r="Y56" s="1686">
        <v>13.830500000000001</v>
      </c>
      <c r="Z56" s="2072">
        <v>0</v>
      </c>
      <c r="AA56" s="2072">
        <v>0.15702234502598877</v>
      </c>
      <c r="AB56" s="2093">
        <v>0.15702234502598877</v>
      </c>
    </row>
    <row r="57" spans="2:28">
      <c r="B57" s="89">
        <v>73</v>
      </c>
      <c r="C57" s="1">
        <v>0</v>
      </c>
      <c r="D57" s="1">
        <v>12.65</v>
      </c>
      <c r="E57" s="1">
        <v>3.669</v>
      </c>
      <c r="F57" s="1">
        <v>3.669</v>
      </c>
      <c r="G57" s="1">
        <v>12.65</v>
      </c>
      <c r="H57" s="741">
        <v>0</v>
      </c>
      <c r="I57" s="1">
        <v>0.29003952569169961</v>
      </c>
      <c r="J57" s="741">
        <v>0.29003952569169961</v>
      </c>
      <c r="K57" s="89">
        <v>73</v>
      </c>
      <c r="L57" s="1">
        <v>0</v>
      </c>
      <c r="M57" s="1">
        <v>14.061999999999999</v>
      </c>
      <c r="N57" s="1419">
        <v>0.48899999999999999</v>
      </c>
      <c r="O57" s="1">
        <v>0.47199999999999998</v>
      </c>
      <c r="P57" s="1">
        <v>14.061999999999999</v>
      </c>
      <c r="Q57" s="741">
        <v>0</v>
      </c>
      <c r="R57" s="741">
        <v>3.3565637889347175E-2</v>
      </c>
      <c r="S57" s="2079">
        <v>3.3565637889347175E-2</v>
      </c>
      <c r="T57" s="89">
        <v>73</v>
      </c>
      <c r="U57" s="740">
        <v>0</v>
      </c>
      <c r="V57" s="740">
        <v>13.356</v>
      </c>
      <c r="W57" s="740">
        <v>2.0790000000000002</v>
      </c>
      <c r="X57" s="740">
        <v>2.0705</v>
      </c>
      <c r="Y57" s="740">
        <v>13.356</v>
      </c>
      <c r="Z57" s="2067">
        <v>0</v>
      </c>
      <c r="AA57" s="2067">
        <v>0.1618025817905234</v>
      </c>
      <c r="AB57" s="2094">
        <v>0.1618025817905234</v>
      </c>
    </row>
    <row r="58" spans="2:28">
      <c r="B58" s="2077">
        <v>74</v>
      </c>
      <c r="C58" s="2069">
        <v>0</v>
      </c>
      <c r="D58" s="2069">
        <v>12.18</v>
      </c>
      <c r="E58" s="2069">
        <v>3.6669999999999998</v>
      </c>
      <c r="F58" s="2069">
        <v>3.6669999999999998</v>
      </c>
      <c r="G58" s="2069">
        <v>12.18</v>
      </c>
      <c r="H58" s="2070">
        <v>0</v>
      </c>
      <c r="I58" s="2069">
        <v>0.30106732348111659</v>
      </c>
      <c r="J58" s="2070">
        <v>0.30106732348111659</v>
      </c>
      <c r="K58" s="2077">
        <v>74</v>
      </c>
      <c r="L58" s="2069">
        <v>0</v>
      </c>
      <c r="M58" s="2069">
        <v>13.561999999999999</v>
      </c>
      <c r="N58" s="2071">
        <v>0.46899999999999997</v>
      </c>
      <c r="O58" s="2069">
        <v>0.45300000000000001</v>
      </c>
      <c r="P58" s="2069">
        <v>13.561999999999999</v>
      </c>
      <c r="Q58" s="2070">
        <v>0</v>
      </c>
      <c r="R58" s="2070">
        <v>3.3402153074767738E-2</v>
      </c>
      <c r="S58" s="2078">
        <v>3.3402153074767738E-2</v>
      </c>
      <c r="T58" s="2077">
        <v>74</v>
      </c>
      <c r="U58" s="1686">
        <v>0</v>
      </c>
      <c r="V58" s="1686">
        <v>12.870999999999999</v>
      </c>
      <c r="W58" s="1686">
        <v>2.0680000000000001</v>
      </c>
      <c r="X58" s="1686">
        <v>2.06</v>
      </c>
      <c r="Y58" s="1686">
        <v>12.870999999999999</v>
      </c>
      <c r="Z58" s="2072">
        <v>0</v>
      </c>
      <c r="AA58" s="2072">
        <v>0.16723473827794216</v>
      </c>
      <c r="AB58" s="2093">
        <v>0.16723473827794216</v>
      </c>
    </row>
    <row r="59" spans="2:28">
      <c r="B59" s="89">
        <v>75</v>
      </c>
      <c r="C59" s="1">
        <v>0</v>
      </c>
      <c r="D59" s="1">
        <v>11.701000000000001</v>
      </c>
      <c r="E59" s="1">
        <v>3.6619999999999999</v>
      </c>
      <c r="F59" s="1">
        <v>3.6619999999999999</v>
      </c>
      <c r="G59" s="1">
        <v>11.701000000000001</v>
      </c>
      <c r="H59" s="741">
        <v>0</v>
      </c>
      <c r="I59" s="1">
        <v>0.31296470387146397</v>
      </c>
      <c r="J59" s="741">
        <v>0.31296470387146397</v>
      </c>
      <c r="K59" s="89">
        <v>75</v>
      </c>
      <c r="L59" s="1">
        <v>0</v>
      </c>
      <c r="M59" s="1">
        <v>13.051</v>
      </c>
      <c r="N59" s="1419">
        <v>0.44800000000000001</v>
      </c>
      <c r="O59" s="1">
        <v>0.434</v>
      </c>
      <c r="P59" s="1">
        <v>13.051</v>
      </c>
      <c r="Q59" s="741">
        <v>0</v>
      </c>
      <c r="R59" s="741">
        <v>3.3254156769596199E-2</v>
      </c>
      <c r="S59" s="2079">
        <v>3.3254156769596199E-2</v>
      </c>
      <c r="T59" s="89">
        <v>75</v>
      </c>
      <c r="U59" s="740">
        <v>0</v>
      </c>
      <c r="V59" s="740">
        <v>12.376000000000001</v>
      </c>
      <c r="W59" s="740">
        <v>2.0550000000000002</v>
      </c>
      <c r="X59" s="740">
        <v>2.048</v>
      </c>
      <c r="Y59" s="740">
        <v>12.376000000000001</v>
      </c>
      <c r="Z59" s="2067">
        <v>0</v>
      </c>
      <c r="AA59" s="2067">
        <v>0.17310943032053008</v>
      </c>
      <c r="AB59" s="2094">
        <v>0.17310943032053008</v>
      </c>
    </row>
    <row r="60" spans="2:28">
      <c r="B60" s="2077">
        <v>76</v>
      </c>
      <c r="C60" s="2069">
        <v>0</v>
      </c>
      <c r="D60" s="2069">
        <v>11.215</v>
      </c>
      <c r="E60" s="2069">
        <v>3.6549999999999998</v>
      </c>
      <c r="F60" s="2069">
        <v>3.6549999999999998</v>
      </c>
      <c r="G60" s="2069">
        <v>11.215</v>
      </c>
      <c r="H60" s="2070">
        <v>0</v>
      </c>
      <c r="I60" s="2069">
        <v>0.32590280873829691</v>
      </c>
      <c r="J60" s="2070">
        <v>0.32590280873829691</v>
      </c>
      <c r="K60" s="2077">
        <v>76</v>
      </c>
      <c r="L60" s="2069">
        <v>0</v>
      </c>
      <c r="M60" s="2069">
        <v>12.531000000000001</v>
      </c>
      <c r="N60" s="2071">
        <v>0.42699999999999999</v>
      </c>
      <c r="O60" s="2069">
        <v>0.41399999999999998</v>
      </c>
      <c r="P60" s="2069">
        <v>12.531000000000001</v>
      </c>
      <c r="Q60" s="2070">
        <v>0</v>
      </c>
      <c r="R60" s="2070">
        <v>3.3038065597318644E-2</v>
      </c>
      <c r="S60" s="2078">
        <v>3.3038065597318644E-2</v>
      </c>
      <c r="T60" s="2077">
        <v>76</v>
      </c>
      <c r="U60" s="1686">
        <v>0</v>
      </c>
      <c r="V60" s="1686">
        <v>11.873000000000001</v>
      </c>
      <c r="W60" s="1686">
        <v>2.0409999999999999</v>
      </c>
      <c r="X60" s="1686">
        <v>2.0345</v>
      </c>
      <c r="Y60" s="1686">
        <v>11.873000000000001</v>
      </c>
      <c r="Z60" s="2072">
        <v>0</v>
      </c>
      <c r="AA60" s="2072">
        <v>0.17947043716780778</v>
      </c>
      <c r="AB60" s="2093">
        <v>0.17947043716780778</v>
      </c>
    </row>
    <row r="61" spans="2:28">
      <c r="B61" s="89">
        <v>77</v>
      </c>
      <c r="C61" s="1">
        <v>0</v>
      </c>
      <c r="D61" s="1">
        <v>10.724</v>
      </c>
      <c r="E61" s="1">
        <v>3.6429999999999998</v>
      </c>
      <c r="F61" s="1">
        <v>3.6429999999999998</v>
      </c>
      <c r="G61" s="1">
        <v>10.724</v>
      </c>
      <c r="H61" s="741">
        <v>0</v>
      </c>
      <c r="I61" s="1">
        <v>0.33970533383066015</v>
      </c>
      <c r="J61" s="741">
        <v>0.33970533383066015</v>
      </c>
      <c r="K61" s="89">
        <v>77</v>
      </c>
      <c r="L61" s="1">
        <v>0</v>
      </c>
      <c r="M61" s="1">
        <v>12.003</v>
      </c>
      <c r="N61" s="1419">
        <v>0.40400000000000003</v>
      </c>
      <c r="O61" s="1">
        <v>0.39300000000000002</v>
      </c>
      <c r="P61" s="1">
        <v>12.003</v>
      </c>
      <c r="Q61" s="741">
        <v>0</v>
      </c>
      <c r="R61" s="741">
        <v>3.2741814546363407E-2</v>
      </c>
      <c r="S61" s="2079">
        <v>3.2741814546363407E-2</v>
      </c>
      <c r="T61" s="89">
        <v>77</v>
      </c>
      <c r="U61" s="740">
        <v>0</v>
      </c>
      <c r="V61" s="740">
        <v>11.3635</v>
      </c>
      <c r="W61" s="740">
        <v>2.0234999999999999</v>
      </c>
      <c r="X61" s="740">
        <v>2.0179999999999998</v>
      </c>
      <c r="Y61" s="740">
        <v>11.3635</v>
      </c>
      <c r="Z61" s="2067">
        <v>0</v>
      </c>
      <c r="AA61" s="2067">
        <v>0.18622357418851176</v>
      </c>
      <c r="AB61" s="2094">
        <v>0.18622357418851176</v>
      </c>
    </row>
    <row r="62" spans="2:28">
      <c r="B62" s="2077">
        <v>78</v>
      </c>
      <c r="C62" s="2069">
        <v>0</v>
      </c>
      <c r="D62" s="2069">
        <v>10.228999999999999</v>
      </c>
      <c r="E62" s="2069">
        <v>3.625</v>
      </c>
      <c r="F62" s="2069">
        <v>3.625</v>
      </c>
      <c r="G62" s="2069">
        <v>10.228999999999999</v>
      </c>
      <c r="H62" s="2070">
        <v>0</v>
      </c>
      <c r="I62" s="2069">
        <v>0.35438459282432305</v>
      </c>
      <c r="J62" s="2070">
        <v>0.35438459282432305</v>
      </c>
      <c r="K62" s="2077">
        <v>78</v>
      </c>
      <c r="L62" s="2069">
        <v>0</v>
      </c>
      <c r="M62" s="2069">
        <v>11.47</v>
      </c>
      <c r="N62" s="2071">
        <v>0.38100000000000001</v>
      </c>
      <c r="O62" s="2069">
        <v>0.371</v>
      </c>
      <c r="P62" s="2069">
        <v>11.47</v>
      </c>
      <c r="Q62" s="2070">
        <v>0</v>
      </c>
      <c r="R62" s="2070">
        <v>3.2345248474280733E-2</v>
      </c>
      <c r="S62" s="2078">
        <v>3.2345248474280733E-2</v>
      </c>
      <c r="T62" s="2077">
        <v>78</v>
      </c>
      <c r="U62" s="1686">
        <v>0</v>
      </c>
      <c r="V62" s="1686">
        <v>10.849499999999999</v>
      </c>
      <c r="W62" s="1686">
        <v>2.0030000000000001</v>
      </c>
      <c r="X62" s="1686">
        <v>1.998</v>
      </c>
      <c r="Y62" s="1686">
        <v>10.849499999999999</v>
      </c>
      <c r="Z62" s="2072">
        <v>0</v>
      </c>
      <c r="AA62" s="2072">
        <v>0.19336492064930189</v>
      </c>
      <c r="AB62" s="2093">
        <v>0.19336492064930189</v>
      </c>
    </row>
    <row r="63" spans="2:28">
      <c r="B63" s="89">
        <v>79</v>
      </c>
      <c r="C63" s="1">
        <v>0</v>
      </c>
      <c r="D63" s="1">
        <v>9.7330000000000005</v>
      </c>
      <c r="E63" s="1">
        <v>3.601</v>
      </c>
      <c r="F63" s="1">
        <v>3.601</v>
      </c>
      <c r="G63" s="1">
        <v>9.7330000000000005</v>
      </c>
      <c r="H63" s="741">
        <v>0</v>
      </c>
      <c r="I63" s="1">
        <v>0.36997842391862734</v>
      </c>
      <c r="J63" s="741">
        <v>0.36997842391862734</v>
      </c>
      <c r="K63" s="89">
        <v>79</v>
      </c>
      <c r="L63" s="1">
        <v>0</v>
      </c>
      <c r="M63" s="1">
        <v>10.932</v>
      </c>
      <c r="N63" s="1419">
        <v>0.35699999999999998</v>
      </c>
      <c r="O63" s="1">
        <v>0.34899999999999998</v>
      </c>
      <c r="P63" s="1">
        <v>10.932</v>
      </c>
      <c r="Q63" s="741">
        <v>0</v>
      </c>
      <c r="R63" s="741">
        <v>3.1924624954262709E-2</v>
      </c>
      <c r="S63" s="2079">
        <v>3.1924624954262709E-2</v>
      </c>
      <c r="T63" s="89">
        <v>79</v>
      </c>
      <c r="U63" s="740">
        <v>0</v>
      </c>
      <c r="V63" s="740">
        <v>10.3325</v>
      </c>
      <c r="W63" s="740">
        <v>1.9790000000000001</v>
      </c>
      <c r="X63" s="740">
        <v>1.9750000000000001</v>
      </c>
      <c r="Y63" s="740">
        <v>10.3325</v>
      </c>
      <c r="Z63" s="2067">
        <v>0</v>
      </c>
      <c r="AA63" s="2067">
        <v>0.20095152443644504</v>
      </c>
      <c r="AB63" s="2094">
        <v>0.20095152443644504</v>
      </c>
    </row>
    <row r="64" spans="2:28">
      <c r="B64" s="2077">
        <v>80</v>
      </c>
      <c r="C64" s="2069">
        <v>0</v>
      </c>
      <c r="D64" s="2069">
        <v>9.2379999999999995</v>
      </c>
      <c r="E64" s="2069">
        <v>3.57</v>
      </c>
      <c r="F64" s="2069">
        <v>3.57</v>
      </c>
      <c r="G64" s="2069">
        <v>9.2379999999999995</v>
      </c>
      <c r="H64" s="2070">
        <v>0</v>
      </c>
      <c r="I64" s="2069">
        <v>0.38644728296168002</v>
      </c>
      <c r="J64" s="2070">
        <v>0.38644728296168002</v>
      </c>
      <c r="K64" s="2077">
        <v>80</v>
      </c>
      <c r="L64" s="2069">
        <v>0</v>
      </c>
      <c r="M64" s="2069">
        <v>10.391999999999999</v>
      </c>
      <c r="N64" s="2071">
        <v>0.33300000000000002</v>
      </c>
      <c r="O64" s="2069">
        <v>0.32700000000000001</v>
      </c>
      <c r="P64" s="2069">
        <v>10.391999999999999</v>
      </c>
      <c r="Q64" s="2070">
        <v>0</v>
      </c>
      <c r="R64" s="2070">
        <v>3.1466512702078522E-2</v>
      </c>
      <c r="S64" s="2078">
        <v>3.1466512702078522E-2</v>
      </c>
      <c r="T64" s="2077">
        <v>80</v>
      </c>
      <c r="U64" s="1686">
        <v>0</v>
      </c>
      <c r="V64" s="1686">
        <v>9.8149999999999995</v>
      </c>
      <c r="W64" s="1686">
        <v>1.9515</v>
      </c>
      <c r="X64" s="1686">
        <v>1.9484999999999999</v>
      </c>
      <c r="Y64" s="1686">
        <v>9.8149999999999995</v>
      </c>
      <c r="Z64" s="2072">
        <v>0</v>
      </c>
      <c r="AA64" s="2072">
        <v>0.20895689783187926</v>
      </c>
      <c r="AB64" s="2093">
        <v>0.20895689783187926</v>
      </c>
    </row>
    <row r="65" spans="2:28">
      <c r="B65" s="89">
        <v>81</v>
      </c>
      <c r="C65" s="1">
        <v>0</v>
      </c>
      <c r="D65" s="1">
        <v>8.7469999999999999</v>
      </c>
      <c r="E65" s="1">
        <v>3.5310000000000001</v>
      </c>
      <c r="F65" s="1">
        <v>3.5310000000000001</v>
      </c>
      <c r="G65" s="1">
        <v>8.7469999999999999</v>
      </c>
      <c r="H65" s="741">
        <v>0</v>
      </c>
      <c r="I65" s="1">
        <v>0.40368126214702188</v>
      </c>
      <c r="J65" s="741">
        <v>0.40368126214702188</v>
      </c>
      <c r="K65" s="89">
        <v>81</v>
      </c>
      <c r="L65" s="1">
        <v>0</v>
      </c>
      <c r="M65" s="1">
        <v>9.8529999999999998</v>
      </c>
      <c r="N65" s="1419">
        <v>0.309</v>
      </c>
      <c r="O65" s="1">
        <v>0.30399999999999999</v>
      </c>
      <c r="P65" s="1">
        <v>9.8529999999999998</v>
      </c>
      <c r="Q65" s="741">
        <v>0</v>
      </c>
      <c r="R65" s="741">
        <v>3.0853547143002133E-2</v>
      </c>
      <c r="S65" s="2079">
        <v>3.0853547143002133E-2</v>
      </c>
      <c r="T65" s="89">
        <v>81</v>
      </c>
      <c r="U65" s="740">
        <v>0</v>
      </c>
      <c r="V65" s="740">
        <v>9.3000000000000007</v>
      </c>
      <c r="W65" s="740">
        <v>1.9200000000000002</v>
      </c>
      <c r="X65" s="740">
        <v>1.9175</v>
      </c>
      <c r="Y65" s="740">
        <v>9.3000000000000007</v>
      </c>
      <c r="Z65" s="2067">
        <v>0</v>
      </c>
      <c r="AA65" s="2067">
        <v>0.21726740464501201</v>
      </c>
      <c r="AB65" s="2094">
        <v>0.21726740464501201</v>
      </c>
    </row>
    <row r="66" spans="2:28">
      <c r="B66" s="2077">
        <v>82</v>
      </c>
      <c r="C66" s="2069">
        <v>0</v>
      </c>
      <c r="D66" s="2069">
        <v>8.2629999999999999</v>
      </c>
      <c r="E66" s="2069">
        <v>3.4820000000000002</v>
      </c>
      <c r="F66" s="2069">
        <v>3.4820000000000002</v>
      </c>
      <c r="G66" s="2069">
        <v>8.2629999999999999</v>
      </c>
      <c r="H66" s="2070">
        <v>0</v>
      </c>
      <c r="I66" s="2069">
        <v>0.4213965871959337</v>
      </c>
      <c r="J66" s="2070">
        <v>0.4213965871959337</v>
      </c>
      <c r="K66" s="2077">
        <v>82</v>
      </c>
      <c r="L66" s="2069">
        <v>0</v>
      </c>
      <c r="M66" s="2069">
        <v>9.3179999999999996</v>
      </c>
      <c r="N66" s="2071">
        <v>0.28499999999999998</v>
      </c>
      <c r="O66" s="2069">
        <v>0.28100000000000003</v>
      </c>
      <c r="P66" s="2069">
        <v>9.3179999999999996</v>
      </c>
      <c r="Q66" s="2070">
        <v>0</v>
      </c>
      <c r="R66" s="2070">
        <v>3.0156685984116766E-2</v>
      </c>
      <c r="S66" s="2078">
        <v>3.0156685984116766E-2</v>
      </c>
      <c r="T66" s="2077">
        <v>82</v>
      </c>
      <c r="U66" s="1686">
        <v>0</v>
      </c>
      <c r="V66" s="1686">
        <v>8.7904999999999998</v>
      </c>
      <c r="W66" s="1686">
        <v>1.8835000000000002</v>
      </c>
      <c r="X66" s="1686">
        <v>1.8815000000000002</v>
      </c>
      <c r="Y66" s="1686">
        <v>8.7904999999999998</v>
      </c>
      <c r="Z66" s="2072">
        <v>0</v>
      </c>
      <c r="AA66" s="2072">
        <v>0.22577663659002523</v>
      </c>
      <c r="AB66" s="2093">
        <v>0.22577663659002523</v>
      </c>
    </row>
    <row r="67" spans="2:28">
      <c r="B67" s="89">
        <v>83</v>
      </c>
      <c r="C67" s="1">
        <v>0</v>
      </c>
      <c r="D67" s="1">
        <v>7.7880000000000003</v>
      </c>
      <c r="E67" s="1">
        <v>3.4089999999999998</v>
      </c>
      <c r="F67" s="1">
        <v>3.4089999999999998</v>
      </c>
      <c r="G67" s="1">
        <v>7.7880000000000003</v>
      </c>
      <c r="H67" s="741">
        <v>0</v>
      </c>
      <c r="I67" s="1">
        <v>0.43772470467385716</v>
      </c>
      <c r="J67" s="741">
        <v>0.43772470467385716</v>
      </c>
      <c r="K67" s="89">
        <v>83</v>
      </c>
      <c r="L67" s="1">
        <v>0</v>
      </c>
      <c r="M67" s="1">
        <v>8.7889999999999997</v>
      </c>
      <c r="N67" s="1419">
        <v>0.26100000000000001</v>
      </c>
      <c r="O67" s="1">
        <v>0.25800000000000001</v>
      </c>
      <c r="P67" s="1">
        <v>8.7889999999999997</v>
      </c>
      <c r="Q67" s="741">
        <v>0</v>
      </c>
      <c r="R67" s="741">
        <v>2.9354875412447381E-2</v>
      </c>
      <c r="S67" s="2079">
        <v>2.9354875412447381E-2</v>
      </c>
      <c r="T67" s="89">
        <v>83</v>
      </c>
      <c r="U67" s="740">
        <v>0</v>
      </c>
      <c r="V67" s="740">
        <v>8.2884999999999991</v>
      </c>
      <c r="W67" s="740">
        <v>1.835</v>
      </c>
      <c r="X67" s="740">
        <v>1.8334999999999999</v>
      </c>
      <c r="Y67" s="740">
        <v>8.2884999999999991</v>
      </c>
      <c r="Z67" s="2067">
        <v>0</v>
      </c>
      <c r="AA67" s="2067">
        <v>0.23353979004315226</v>
      </c>
      <c r="AB67" s="2094">
        <v>0.23353979004315226</v>
      </c>
    </row>
    <row r="68" spans="2:28">
      <c r="B68" s="2077">
        <v>84</v>
      </c>
      <c r="C68" s="2069">
        <v>0</v>
      </c>
      <c r="D68" s="2069">
        <v>7.327</v>
      </c>
      <c r="E68" s="2069">
        <v>3.3220000000000001</v>
      </c>
      <c r="F68" s="2069">
        <v>3.3220000000000001</v>
      </c>
      <c r="G68" s="2069">
        <v>7.327</v>
      </c>
      <c r="H68" s="2070">
        <v>0</v>
      </c>
      <c r="I68" s="2069">
        <v>0.4533915654428825</v>
      </c>
      <c r="J68" s="2070">
        <v>0.4533915654428825</v>
      </c>
      <c r="K68" s="2077">
        <v>84</v>
      </c>
      <c r="L68" s="2069">
        <v>0</v>
      </c>
      <c r="M68" s="2069">
        <v>8.2710000000000008</v>
      </c>
      <c r="N68" s="2071">
        <v>0.23799999999999999</v>
      </c>
      <c r="O68" s="2069">
        <v>0.23499999999999999</v>
      </c>
      <c r="P68" s="2069">
        <v>8.2710000000000008</v>
      </c>
      <c r="Q68" s="2070">
        <v>0</v>
      </c>
      <c r="R68" s="2070">
        <v>2.8412525692177483E-2</v>
      </c>
      <c r="S68" s="2078">
        <v>2.8412525692177483E-2</v>
      </c>
      <c r="T68" s="2077">
        <v>84</v>
      </c>
      <c r="U68" s="1686">
        <v>0</v>
      </c>
      <c r="V68" s="1686">
        <v>7.7990000000000004</v>
      </c>
      <c r="W68" s="1686">
        <v>1.78</v>
      </c>
      <c r="X68" s="1686">
        <v>1.7785</v>
      </c>
      <c r="Y68" s="1686">
        <v>7.7990000000000004</v>
      </c>
      <c r="Z68" s="2072">
        <v>0</v>
      </c>
      <c r="AA68" s="2072">
        <v>0.24090204556753</v>
      </c>
      <c r="AB68" s="2093">
        <v>0.24090204556753</v>
      </c>
    </row>
    <row r="69" spans="2:28">
      <c r="B69" s="89">
        <v>85</v>
      </c>
      <c r="C69" s="1">
        <v>0</v>
      </c>
      <c r="D69" s="1">
        <v>6.883</v>
      </c>
      <c r="E69" s="1">
        <v>3.2229999999999999</v>
      </c>
      <c r="F69" s="1">
        <v>3.2229999999999999</v>
      </c>
      <c r="G69" s="1">
        <v>6.883</v>
      </c>
      <c r="H69" s="741">
        <v>0</v>
      </c>
      <c r="I69" s="1">
        <v>0.46825512131338076</v>
      </c>
      <c r="J69" s="741">
        <v>0.46825512131338076</v>
      </c>
      <c r="K69" s="89">
        <v>85</v>
      </c>
      <c r="L69" s="1">
        <v>0</v>
      </c>
      <c r="M69" s="1">
        <v>7.7679999999999998</v>
      </c>
      <c r="N69" s="1419">
        <v>0.21199999999999999</v>
      </c>
      <c r="O69" s="1">
        <v>0.21</v>
      </c>
      <c r="P69" s="1">
        <v>7.7679999999999998</v>
      </c>
      <c r="Q69" s="741">
        <v>0</v>
      </c>
      <c r="R69" s="741">
        <v>2.7033985581874358E-2</v>
      </c>
      <c r="S69" s="2079">
        <v>2.7033985581874358E-2</v>
      </c>
      <c r="T69" s="89">
        <v>85</v>
      </c>
      <c r="U69" s="740">
        <v>0</v>
      </c>
      <c r="V69" s="740">
        <v>7.3254999999999999</v>
      </c>
      <c r="W69" s="740">
        <v>1.7175</v>
      </c>
      <c r="X69" s="740">
        <v>1.7164999999999999</v>
      </c>
      <c r="Y69" s="740">
        <v>7.3254999999999999</v>
      </c>
      <c r="Z69" s="2067">
        <v>0</v>
      </c>
      <c r="AA69" s="2067">
        <v>0.24764455344762756</v>
      </c>
      <c r="AB69" s="2094">
        <v>0.24764455344762756</v>
      </c>
    </row>
    <row r="70" spans="2:28">
      <c r="B70" s="2077">
        <v>86</v>
      </c>
      <c r="C70" s="2069">
        <v>0</v>
      </c>
      <c r="D70" s="2069">
        <v>6.4619999999999997</v>
      </c>
      <c r="E70" s="2069">
        <v>3.1139999999999999</v>
      </c>
      <c r="F70" s="2069">
        <v>3.1139999999999999</v>
      </c>
      <c r="G70" s="2069">
        <v>6.4619999999999997</v>
      </c>
      <c r="H70" s="2070">
        <v>0</v>
      </c>
      <c r="I70" s="2069">
        <v>0.48189415041782729</v>
      </c>
      <c r="J70" s="2070">
        <v>0.48189415041782729</v>
      </c>
      <c r="K70" s="2077">
        <v>86</v>
      </c>
      <c r="L70" s="2069">
        <v>0</v>
      </c>
      <c r="M70" s="2069">
        <v>7.2850000000000001</v>
      </c>
      <c r="N70" s="2071">
        <v>0.186</v>
      </c>
      <c r="O70" s="2069">
        <v>0.186</v>
      </c>
      <c r="P70" s="2069">
        <v>7.2850000000000001</v>
      </c>
      <c r="Q70" s="2070">
        <v>0</v>
      </c>
      <c r="R70" s="2070">
        <v>2.553191489361702E-2</v>
      </c>
      <c r="S70" s="2078">
        <v>2.553191489361702E-2</v>
      </c>
      <c r="T70" s="2077">
        <v>86</v>
      </c>
      <c r="U70" s="1686">
        <v>0</v>
      </c>
      <c r="V70" s="1686">
        <v>6.8734999999999999</v>
      </c>
      <c r="W70" s="1686">
        <v>1.65</v>
      </c>
      <c r="X70" s="1686">
        <v>1.65</v>
      </c>
      <c r="Y70" s="1686">
        <v>6.8734999999999999</v>
      </c>
      <c r="Z70" s="2072">
        <v>0</v>
      </c>
      <c r="AA70" s="2072">
        <v>0.25371303265572215</v>
      </c>
      <c r="AB70" s="2093">
        <v>0.25371303265572215</v>
      </c>
    </row>
    <row r="71" spans="2:28">
      <c r="B71" s="89">
        <v>87</v>
      </c>
      <c r="C71" s="1">
        <v>0</v>
      </c>
      <c r="D71" s="1">
        <v>6.069</v>
      </c>
      <c r="E71" s="1">
        <v>2.9969999999999999</v>
      </c>
      <c r="F71" s="1">
        <v>2.9969999999999999</v>
      </c>
      <c r="G71" s="1">
        <v>6.069</v>
      </c>
      <c r="H71" s="741">
        <v>0</v>
      </c>
      <c r="I71" s="1">
        <v>0.49382105783489866</v>
      </c>
      <c r="J71" s="741">
        <v>0.49382105783489866</v>
      </c>
      <c r="K71" s="89">
        <v>87</v>
      </c>
      <c r="L71" s="1">
        <v>0</v>
      </c>
      <c r="M71" s="1">
        <v>6.8259999999999996</v>
      </c>
      <c r="N71" s="1419">
        <v>0.16200000000000001</v>
      </c>
      <c r="O71" s="1">
        <v>0.16200000000000001</v>
      </c>
      <c r="P71" s="1">
        <v>6.8259999999999996</v>
      </c>
      <c r="Q71" s="741">
        <v>0</v>
      </c>
      <c r="R71" s="741">
        <v>2.3732786404922358E-2</v>
      </c>
      <c r="S71" s="2079">
        <v>2.3732786404922358E-2</v>
      </c>
      <c r="T71" s="89">
        <v>87</v>
      </c>
      <c r="U71" s="740">
        <v>0</v>
      </c>
      <c r="V71" s="740">
        <v>6.4474999999999998</v>
      </c>
      <c r="W71" s="740">
        <v>1.5794999999999999</v>
      </c>
      <c r="X71" s="740">
        <v>1.5794999999999999</v>
      </c>
      <c r="Y71" s="740">
        <v>6.4474999999999998</v>
      </c>
      <c r="Z71" s="2067">
        <v>0</v>
      </c>
      <c r="AA71" s="2067">
        <v>0.25877692211991049</v>
      </c>
      <c r="AB71" s="2094">
        <v>0.25877692211991049</v>
      </c>
    </row>
    <row r="72" spans="2:28">
      <c r="B72" s="2077">
        <v>88</v>
      </c>
      <c r="C72" s="2069">
        <v>0</v>
      </c>
      <c r="D72" s="2069">
        <v>5.7119999999999997</v>
      </c>
      <c r="E72" s="2069">
        <v>2.8730000000000002</v>
      </c>
      <c r="F72" s="2069">
        <v>2.8730000000000002</v>
      </c>
      <c r="G72" s="2069">
        <v>5.7119999999999997</v>
      </c>
      <c r="H72" s="2070">
        <v>0</v>
      </c>
      <c r="I72" s="2069">
        <v>0.50297619047619058</v>
      </c>
      <c r="J72" s="2070">
        <v>0.50297619047619058</v>
      </c>
      <c r="K72" s="2077">
        <v>88</v>
      </c>
      <c r="L72" s="2069">
        <v>0</v>
      </c>
      <c r="M72" s="2069">
        <v>6.3979999999999997</v>
      </c>
      <c r="N72" s="2071">
        <v>0.14000000000000001</v>
      </c>
      <c r="O72" s="2069">
        <v>0.14000000000000001</v>
      </c>
      <c r="P72" s="2069">
        <v>6.3979999999999997</v>
      </c>
      <c r="Q72" s="2070">
        <v>0</v>
      </c>
      <c r="R72" s="2070">
        <v>2.1881838074398252E-2</v>
      </c>
      <c r="S72" s="2078">
        <v>2.1881838074398252E-2</v>
      </c>
      <c r="T72" s="2077">
        <v>88</v>
      </c>
      <c r="U72" s="1686">
        <v>0</v>
      </c>
      <c r="V72" s="1686">
        <v>6.0549999999999997</v>
      </c>
      <c r="W72" s="1686">
        <v>1.5065000000000002</v>
      </c>
      <c r="X72" s="1686">
        <v>1.5065000000000002</v>
      </c>
      <c r="Y72" s="1686">
        <v>6.0549999999999997</v>
      </c>
      <c r="Z72" s="2072">
        <v>0</v>
      </c>
      <c r="AA72" s="2072">
        <v>0.26242901427529441</v>
      </c>
      <c r="AB72" s="2093">
        <v>0.26242901427529441</v>
      </c>
    </row>
    <row r="73" spans="2:28">
      <c r="B73" s="89">
        <v>89</v>
      </c>
      <c r="C73" s="1">
        <v>0</v>
      </c>
      <c r="D73" s="1">
        <v>5.3979999999999997</v>
      </c>
      <c r="E73" s="1">
        <v>2.7149999999999999</v>
      </c>
      <c r="F73" s="1">
        <v>2.7149999999999999</v>
      </c>
      <c r="G73" s="1">
        <v>5.3979999999999997</v>
      </c>
      <c r="H73" s="741">
        <v>0</v>
      </c>
      <c r="I73" s="1">
        <v>0.50296406076324562</v>
      </c>
      <c r="J73" s="741">
        <v>0.50296406076324562</v>
      </c>
      <c r="K73" s="89">
        <v>89</v>
      </c>
      <c r="L73" s="1">
        <v>0</v>
      </c>
      <c r="M73" s="1">
        <v>6.0069999999999997</v>
      </c>
      <c r="N73" s="1419">
        <v>0.11700000000000001</v>
      </c>
      <c r="O73" s="1">
        <v>0.11700000000000001</v>
      </c>
      <c r="P73" s="1">
        <v>6.0069999999999997</v>
      </c>
      <c r="Q73" s="741">
        <v>0</v>
      </c>
      <c r="R73" s="741">
        <v>1.9477276510737475E-2</v>
      </c>
      <c r="S73" s="2079">
        <v>1.9477276510737475E-2</v>
      </c>
      <c r="T73" s="89">
        <v>89</v>
      </c>
      <c r="U73" s="740">
        <v>0</v>
      </c>
      <c r="V73" s="740">
        <v>5.7024999999999997</v>
      </c>
      <c r="W73" s="740">
        <v>1.4159999999999999</v>
      </c>
      <c r="X73" s="740">
        <v>1.4159999999999999</v>
      </c>
      <c r="Y73" s="740">
        <v>5.7024999999999997</v>
      </c>
      <c r="Z73" s="2067">
        <v>0</v>
      </c>
      <c r="AA73" s="2067">
        <v>0.26122066863699156</v>
      </c>
      <c r="AB73" s="2094">
        <v>0.26122066863699156</v>
      </c>
    </row>
    <row r="74" spans="2:28">
      <c r="B74" s="2077">
        <v>90</v>
      </c>
      <c r="C74" s="2069">
        <v>0</v>
      </c>
      <c r="D74" s="2069">
        <v>5.1150000000000002</v>
      </c>
      <c r="E74" s="2069">
        <v>2.5489999999999999</v>
      </c>
      <c r="F74" s="2069">
        <v>2.5489999999999999</v>
      </c>
      <c r="G74" s="2069">
        <v>5.1150000000000002</v>
      </c>
      <c r="H74" s="2070">
        <v>0</v>
      </c>
      <c r="I74" s="2069">
        <v>0.49833822091886604</v>
      </c>
      <c r="J74" s="2070">
        <v>0.49833822091886604</v>
      </c>
      <c r="K74" s="2077">
        <v>90</v>
      </c>
      <c r="L74" s="2069">
        <v>0</v>
      </c>
      <c r="M74" s="2069">
        <v>5.6550000000000002</v>
      </c>
      <c r="N74" s="2071">
        <v>9.7000000000000003E-2</v>
      </c>
      <c r="O74" s="2069">
        <v>9.7000000000000003E-2</v>
      </c>
      <c r="P74" s="2069">
        <v>5.6550000000000002</v>
      </c>
      <c r="Q74" s="2070">
        <v>0</v>
      </c>
      <c r="R74" s="2070">
        <v>1.7152961980548186E-2</v>
      </c>
      <c r="S74" s="2078">
        <v>1.7152961980548186E-2</v>
      </c>
      <c r="T74" s="2077">
        <v>90</v>
      </c>
      <c r="U74" s="1686">
        <v>0</v>
      </c>
      <c r="V74" s="1686">
        <v>5.3849999999999998</v>
      </c>
      <c r="W74" s="1686">
        <v>1.323</v>
      </c>
      <c r="X74" s="1686">
        <v>1.323</v>
      </c>
      <c r="Y74" s="1686">
        <v>5.3849999999999998</v>
      </c>
      <c r="Z74" s="2072">
        <v>0</v>
      </c>
      <c r="AA74" s="2072">
        <v>0.2577455914497071</v>
      </c>
      <c r="AB74" s="2093">
        <v>0.2577455914497071</v>
      </c>
    </row>
    <row r="75" spans="2:28">
      <c r="B75" s="89">
        <v>91</v>
      </c>
      <c r="C75" s="1">
        <v>0</v>
      </c>
      <c r="D75" s="1">
        <v>4.8499999999999996</v>
      </c>
      <c r="E75" s="1">
        <v>2.387</v>
      </c>
      <c r="F75" s="1">
        <v>2.387</v>
      </c>
      <c r="G75" s="1">
        <v>4.8499999999999996</v>
      </c>
      <c r="H75" s="741">
        <v>0</v>
      </c>
      <c r="I75" s="1">
        <v>0.49216494845360831</v>
      </c>
      <c r="J75" s="741">
        <v>0.49216494845360831</v>
      </c>
      <c r="K75" s="89">
        <v>91</v>
      </c>
      <c r="L75" s="1">
        <v>0</v>
      </c>
      <c r="M75" s="1">
        <v>5.3319999999999999</v>
      </c>
      <c r="N75" s="1419">
        <v>0.08</v>
      </c>
      <c r="O75" s="1">
        <v>0.08</v>
      </c>
      <c r="P75" s="1">
        <v>5.3319999999999999</v>
      </c>
      <c r="Q75" s="741">
        <v>0</v>
      </c>
      <c r="R75" s="741">
        <v>1.5003750937734435E-2</v>
      </c>
      <c r="S75" s="2079">
        <v>1.5003750937734435E-2</v>
      </c>
      <c r="T75" s="89">
        <v>91</v>
      </c>
      <c r="U75" s="740">
        <v>0</v>
      </c>
      <c r="V75" s="740">
        <v>5.0909999999999993</v>
      </c>
      <c r="W75" s="740">
        <v>1.2335</v>
      </c>
      <c r="X75" s="740">
        <v>1.2335</v>
      </c>
      <c r="Y75" s="740">
        <v>5.0909999999999993</v>
      </c>
      <c r="Z75" s="2067">
        <v>0</v>
      </c>
      <c r="AA75" s="2067">
        <v>0.2535843496956714</v>
      </c>
      <c r="AB75" s="2094">
        <v>0.2535843496956714</v>
      </c>
    </row>
    <row r="76" spans="2:28">
      <c r="B76" s="2077">
        <v>92</v>
      </c>
      <c r="C76" s="2069">
        <v>0</v>
      </c>
      <c r="D76" s="2069">
        <v>4.6040000000000001</v>
      </c>
      <c r="E76" s="2069">
        <v>2.2040000000000002</v>
      </c>
      <c r="F76" s="2069">
        <v>2.2040000000000002</v>
      </c>
      <c r="G76" s="2069">
        <v>4.6040000000000001</v>
      </c>
      <c r="H76" s="2070">
        <v>0</v>
      </c>
      <c r="I76" s="2069">
        <v>0.47871416159860991</v>
      </c>
      <c r="J76" s="2070">
        <v>0.47871416159860991</v>
      </c>
      <c r="K76" s="2077">
        <v>92</v>
      </c>
      <c r="L76" s="2069">
        <v>0</v>
      </c>
      <c r="M76" s="2069">
        <v>5.0289999999999999</v>
      </c>
      <c r="N76" s="2071">
        <v>6.4000000000000001E-2</v>
      </c>
      <c r="O76" s="2069">
        <v>6.5000000000000002E-2</v>
      </c>
      <c r="P76" s="2069">
        <v>5.0289999999999999</v>
      </c>
      <c r="Q76" s="2070">
        <v>0</v>
      </c>
      <c r="R76" s="2070">
        <v>1.2925034798170611E-2</v>
      </c>
      <c r="S76" s="2078">
        <v>1.2925034798170611E-2</v>
      </c>
      <c r="T76" s="2077">
        <v>92</v>
      </c>
      <c r="U76" s="1686">
        <v>0</v>
      </c>
      <c r="V76" s="1686">
        <v>4.8164999999999996</v>
      </c>
      <c r="W76" s="1686">
        <v>1.1340000000000001</v>
      </c>
      <c r="X76" s="1686">
        <v>1.1345000000000001</v>
      </c>
      <c r="Y76" s="1686">
        <v>4.8164999999999996</v>
      </c>
      <c r="Z76" s="2072">
        <v>0</v>
      </c>
      <c r="AA76" s="2072">
        <v>0.24581959819839025</v>
      </c>
      <c r="AB76" s="2093">
        <v>0.24581959819839025</v>
      </c>
    </row>
    <row r="77" spans="2:28">
      <c r="B77" s="89">
        <v>93</v>
      </c>
      <c r="C77" s="1">
        <v>0</v>
      </c>
      <c r="D77" s="1">
        <v>4.3760000000000003</v>
      </c>
      <c r="E77" s="1">
        <v>2.0350000000000001</v>
      </c>
      <c r="F77" s="1">
        <v>2.0350000000000001</v>
      </c>
      <c r="G77" s="1">
        <v>4.3760000000000003</v>
      </c>
      <c r="H77" s="741">
        <v>0</v>
      </c>
      <c r="I77" s="1">
        <v>0.46503656307129798</v>
      </c>
      <c r="J77" s="741">
        <v>0.46503656307129798</v>
      </c>
      <c r="K77" s="89">
        <v>93</v>
      </c>
      <c r="L77" s="1">
        <v>0</v>
      </c>
      <c r="M77" s="1">
        <v>4.7469999999999999</v>
      </c>
      <c r="N77" s="1419">
        <v>5.1999999999999998E-2</v>
      </c>
      <c r="O77" s="1">
        <v>5.2999999999999999E-2</v>
      </c>
      <c r="P77" s="1">
        <v>4.7469999999999999</v>
      </c>
      <c r="Q77" s="741">
        <v>0</v>
      </c>
      <c r="R77" s="741">
        <v>1.1164946281862228E-2</v>
      </c>
      <c r="S77" s="2079">
        <v>1.1164946281862228E-2</v>
      </c>
      <c r="T77" s="89">
        <v>93</v>
      </c>
      <c r="U77" s="740">
        <v>0</v>
      </c>
      <c r="V77" s="740">
        <v>4.5615000000000006</v>
      </c>
      <c r="W77" s="740">
        <v>1.0435000000000001</v>
      </c>
      <c r="X77" s="740">
        <v>1.044</v>
      </c>
      <c r="Y77" s="740">
        <v>4.5615000000000006</v>
      </c>
      <c r="Z77" s="2067">
        <v>0</v>
      </c>
      <c r="AA77" s="2067">
        <v>0.2381007546765801</v>
      </c>
      <c r="AB77" s="2094">
        <v>0.2381007546765801</v>
      </c>
    </row>
    <row r="78" spans="2:28">
      <c r="B78" s="2077">
        <v>94</v>
      </c>
      <c r="C78" s="2069">
        <v>0</v>
      </c>
      <c r="D78" s="2069">
        <v>4.1660000000000004</v>
      </c>
      <c r="E78" s="2069">
        <v>1.85</v>
      </c>
      <c r="F78" s="2069">
        <v>1.85</v>
      </c>
      <c r="G78" s="2069">
        <v>4.1660000000000004</v>
      </c>
      <c r="H78" s="2070">
        <v>0</v>
      </c>
      <c r="I78" s="2069">
        <v>0.44407105136821889</v>
      </c>
      <c r="J78" s="2070">
        <v>0.44407105136821889</v>
      </c>
      <c r="K78" s="2077">
        <v>94</v>
      </c>
      <c r="L78" s="2069">
        <v>0</v>
      </c>
      <c r="M78" s="2069">
        <v>4.4850000000000003</v>
      </c>
      <c r="N78" s="2071">
        <v>4.2000000000000003E-2</v>
      </c>
      <c r="O78" s="2069">
        <v>4.2000000000000003E-2</v>
      </c>
      <c r="P78" s="2069">
        <v>4.4850000000000003</v>
      </c>
      <c r="Q78" s="2070">
        <v>0</v>
      </c>
      <c r="R78" s="2070">
        <v>9.3645484949832769E-3</v>
      </c>
      <c r="S78" s="2078">
        <v>9.3645484949832769E-3</v>
      </c>
      <c r="T78" s="2077">
        <v>94</v>
      </c>
      <c r="U78" s="1686">
        <v>0</v>
      </c>
      <c r="V78" s="1686">
        <v>4.3254999999999999</v>
      </c>
      <c r="W78" s="1686">
        <v>0.94600000000000006</v>
      </c>
      <c r="X78" s="1686">
        <v>0.94600000000000006</v>
      </c>
      <c r="Y78" s="1686">
        <v>4.3254999999999999</v>
      </c>
      <c r="Z78" s="2072">
        <v>0</v>
      </c>
      <c r="AA78" s="2072">
        <v>0.22671779993160107</v>
      </c>
      <c r="AB78" s="2093">
        <v>0.22671779993160107</v>
      </c>
    </row>
    <row r="79" spans="2:28">
      <c r="B79" s="89">
        <v>95</v>
      </c>
      <c r="C79" s="1">
        <v>0</v>
      </c>
      <c r="D79" s="1">
        <v>3.9740000000000002</v>
      </c>
      <c r="E79" s="1">
        <v>1.6830000000000001</v>
      </c>
      <c r="F79" s="1">
        <v>1.6830000000000001</v>
      </c>
      <c r="G79" s="1">
        <v>3.9740000000000002</v>
      </c>
      <c r="H79" s="741">
        <v>0</v>
      </c>
      <c r="I79" s="1">
        <v>0.42350276799194764</v>
      </c>
      <c r="J79" s="741">
        <v>0.42350276799194764</v>
      </c>
      <c r="K79" s="89">
        <v>95</v>
      </c>
      <c r="L79" s="1">
        <v>0</v>
      </c>
      <c r="M79" s="1">
        <v>4.2450000000000001</v>
      </c>
      <c r="N79" s="1419">
        <v>3.4000000000000002E-2</v>
      </c>
      <c r="O79" s="1">
        <v>3.4000000000000002E-2</v>
      </c>
      <c r="P79" s="1">
        <v>4.2450000000000001</v>
      </c>
      <c r="Q79" s="741">
        <v>0</v>
      </c>
      <c r="R79" s="741">
        <v>8.0094228504122497E-3</v>
      </c>
      <c r="S79" s="2079">
        <v>8.0094228504122497E-3</v>
      </c>
      <c r="T79" s="89">
        <v>95</v>
      </c>
      <c r="U79" s="740">
        <v>0</v>
      </c>
      <c r="V79" s="740">
        <v>4.1095000000000006</v>
      </c>
      <c r="W79" s="740">
        <v>0.85850000000000004</v>
      </c>
      <c r="X79" s="740">
        <v>0.85850000000000004</v>
      </c>
      <c r="Y79" s="740">
        <v>4.1095000000000006</v>
      </c>
      <c r="Z79" s="2067">
        <v>0</v>
      </c>
      <c r="AA79" s="2067">
        <v>0.21575609542117993</v>
      </c>
      <c r="AB79" s="2094">
        <v>0.21575609542117993</v>
      </c>
    </row>
    <row r="80" spans="2:28">
      <c r="B80" s="2077">
        <v>96</v>
      </c>
      <c r="C80" s="2069">
        <v>0</v>
      </c>
      <c r="D80" s="2069">
        <v>3.798</v>
      </c>
      <c r="E80" s="2069">
        <v>1.5349999999999999</v>
      </c>
      <c r="F80" s="2069">
        <v>1.5349999999999999</v>
      </c>
      <c r="G80" s="2069">
        <v>3.798</v>
      </c>
      <c r="H80" s="2070">
        <v>0</v>
      </c>
      <c r="I80" s="2069">
        <v>0.40416008425487093</v>
      </c>
      <c r="J80" s="2070">
        <v>0.40416008425487093</v>
      </c>
      <c r="K80" s="2077">
        <v>96</v>
      </c>
      <c r="L80" s="2069">
        <v>0</v>
      </c>
      <c r="M80" s="2069">
        <v>4.024</v>
      </c>
      <c r="N80" s="2071">
        <v>2.7E-2</v>
      </c>
      <c r="O80" s="2069">
        <v>2.7E-2</v>
      </c>
      <c r="P80" s="2069">
        <v>4.024</v>
      </c>
      <c r="Q80" s="2070">
        <v>0</v>
      </c>
      <c r="R80" s="2070">
        <v>6.7097415506958248E-3</v>
      </c>
      <c r="S80" s="2078">
        <v>6.7097415506958248E-3</v>
      </c>
      <c r="T80" s="2077">
        <v>96</v>
      </c>
      <c r="U80" s="1686">
        <v>0</v>
      </c>
      <c r="V80" s="1686">
        <v>3.911</v>
      </c>
      <c r="W80" s="1686">
        <v>0.78099999999999992</v>
      </c>
      <c r="X80" s="1686">
        <v>0.78099999999999992</v>
      </c>
      <c r="Y80" s="1686">
        <v>3.911</v>
      </c>
      <c r="Z80" s="2072">
        <v>0</v>
      </c>
      <c r="AA80" s="2072">
        <v>0.20543491290278337</v>
      </c>
      <c r="AB80" s="2093">
        <v>0.20543491290278337</v>
      </c>
    </row>
    <row r="81" spans="2:28">
      <c r="B81" s="89">
        <v>97</v>
      </c>
      <c r="C81" s="1">
        <v>0</v>
      </c>
      <c r="D81" s="1">
        <v>3.6389999999999998</v>
      </c>
      <c r="E81" s="1">
        <v>1.371</v>
      </c>
      <c r="F81" s="1">
        <v>1.371</v>
      </c>
      <c r="G81" s="1">
        <v>3.6389999999999998</v>
      </c>
      <c r="H81" s="741">
        <v>0</v>
      </c>
      <c r="I81" s="1">
        <v>0.37675185490519375</v>
      </c>
      <c r="J81" s="741">
        <v>0.37675185490519375</v>
      </c>
      <c r="K81" s="89">
        <v>97</v>
      </c>
      <c r="L81" s="1">
        <v>0</v>
      </c>
      <c r="M81" s="1">
        <v>3.8239999999999998</v>
      </c>
      <c r="N81" s="1419">
        <v>2.1000000000000001E-2</v>
      </c>
      <c r="O81" s="1">
        <v>2.1000000000000001E-2</v>
      </c>
      <c r="P81" s="1">
        <v>3.8239999999999998</v>
      </c>
      <c r="Q81" s="741">
        <v>0</v>
      </c>
      <c r="R81" s="741">
        <v>5.4916317991631804E-3</v>
      </c>
      <c r="S81" s="2079">
        <v>5.4916317991631804E-3</v>
      </c>
      <c r="T81" s="89">
        <v>97</v>
      </c>
      <c r="U81" s="740">
        <v>0</v>
      </c>
      <c r="V81" s="740">
        <v>3.7314999999999996</v>
      </c>
      <c r="W81" s="740">
        <v>0.69599999999999995</v>
      </c>
      <c r="X81" s="740">
        <v>0.69599999999999995</v>
      </c>
      <c r="Y81" s="740">
        <v>3.7314999999999996</v>
      </c>
      <c r="Z81" s="2067">
        <v>0</v>
      </c>
      <c r="AA81" s="2067">
        <v>0.19112174335217846</v>
      </c>
      <c r="AB81" s="2094">
        <v>0.19112174335217846</v>
      </c>
    </row>
    <row r="82" spans="2:28">
      <c r="B82" s="2077">
        <v>98</v>
      </c>
      <c r="C82" s="2069">
        <v>0</v>
      </c>
      <c r="D82" s="2069">
        <v>3.4950000000000001</v>
      </c>
      <c r="E82" s="2069">
        <v>1.216</v>
      </c>
      <c r="F82" s="2069">
        <v>1.216</v>
      </c>
      <c r="G82" s="2069">
        <v>3.4950000000000001</v>
      </c>
      <c r="H82" s="2070">
        <v>0</v>
      </c>
      <c r="I82" s="2069">
        <v>0.3479256080114449</v>
      </c>
      <c r="J82" s="2070">
        <v>0.3479256080114449</v>
      </c>
      <c r="K82" s="2077">
        <v>98</v>
      </c>
      <c r="L82" s="2069">
        <v>0</v>
      </c>
      <c r="M82" s="2069">
        <v>3.6429999999999998</v>
      </c>
      <c r="N82" s="2071">
        <v>1.6E-2</v>
      </c>
      <c r="O82" s="2069">
        <v>1.7000000000000001E-2</v>
      </c>
      <c r="P82" s="2069">
        <v>3.6429999999999998</v>
      </c>
      <c r="Q82" s="2070">
        <v>0</v>
      </c>
      <c r="R82" s="2070">
        <v>4.6664836673071652E-3</v>
      </c>
      <c r="S82" s="2078">
        <v>4.6664836673071652E-3</v>
      </c>
      <c r="T82" s="2077">
        <v>98</v>
      </c>
      <c r="U82" s="1686">
        <v>0</v>
      </c>
      <c r="V82" s="1686">
        <v>3.569</v>
      </c>
      <c r="W82" s="1686">
        <v>0.61599999999999999</v>
      </c>
      <c r="X82" s="1686">
        <v>0.61649999999999994</v>
      </c>
      <c r="Y82" s="1686">
        <v>3.569</v>
      </c>
      <c r="Z82" s="2072">
        <v>0</v>
      </c>
      <c r="AA82" s="2072">
        <v>0.17629604583937603</v>
      </c>
      <c r="AB82" s="2093">
        <v>0.17629604583937603</v>
      </c>
    </row>
    <row r="83" spans="2:28">
      <c r="B83" s="89">
        <v>99</v>
      </c>
      <c r="C83" s="1">
        <v>0</v>
      </c>
      <c r="D83" s="1">
        <v>3.3639999999999999</v>
      </c>
      <c r="E83" s="1">
        <v>1.0409999999999999</v>
      </c>
      <c r="F83" s="1">
        <v>1.0409999999999999</v>
      </c>
      <c r="G83" s="1">
        <v>3.3639999999999999</v>
      </c>
      <c r="H83" s="741">
        <v>0</v>
      </c>
      <c r="I83" s="1">
        <v>0.30945303210463732</v>
      </c>
      <c r="J83" s="741">
        <v>0.30945303210463732</v>
      </c>
      <c r="K83" s="89">
        <v>99</v>
      </c>
      <c r="L83" s="1">
        <v>0</v>
      </c>
      <c r="M83" s="1">
        <v>3.48</v>
      </c>
      <c r="N83" s="1419">
        <v>1.2999999999999999E-2</v>
      </c>
      <c r="O83" s="1">
        <v>1.2999999999999999E-2</v>
      </c>
      <c r="P83" s="1">
        <v>3.48</v>
      </c>
      <c r="Q83" s="741">
        <v>0</v>
      </c>
      <c r="R83" s="741">
        <v>3.7356321839080459E-3</v>
      </c>
      <c r="S83" s="2079">
        <v>3.7356321839080459E-3</v>
      </c>
      <c r="T83" s="89">
        <v>99</v>
      </c>
      <c r="U83" s="740">
        <v>0</v>
      </c>
      <c r="V83" s="740">
        <v>3.4219999999999997</v>
      </c>
      <c r="W83" s="740">
        <v>0.52699999999999991</v>
      </c>
      <c r="X83" s="740">
        <v>0.52699999999999991</v>
      </c>
      <c r="Y83" s="740">
        <v>3.4219999999999997</v>
      </c>
      <c r="Z83" s="2067">
        <v>0</v>
      </c>
      <c r="AA83" s="2067">
        <v>0.15659433214427268</v>
      </c>
      <c r="AB83" s="2094">
        <v>0.15659433214427268</v>
      </c>
    </row>
    <row r="84" spans="2:28" ht="15" thickBot="1">
      <c r="B84" s="2080">
        <v>100</v>
      </c>
      <c r="C84" s="2081">
        <v>0</v>
      </c>
      <c r="D84" s="2081">
        <v>3.2450000000000001</v>
      </c>
      <c r="E84" s="2081">
        <v>0.84799999999999998</v>
      </c>
      <c r="F84" s="2081">
        <v>0.84799999999999998</v>
      </c>
      <c r="G84" s="2081">
        <v>3.2450000000000001</v>
      </c>
      <c r="H84" s="2082">
        <v>0</v>
      </c>
      <c r="I84" s="2081">
        <v>0.26132511556240368</v>
      </c>
      <c r="J84" s="2082">
        <v>0.26132511556240368</v>
      </c>
      <c r="K84" s="2080">
        <v>100</v>
      </c>
      <c r="L84" s="2081">
        <v>0</v>
      </c>
      <c r="M84" s="2081">
        <v>3.335</v>
      </c>
      <c r="N84" s="2088">
        <v>0.01</v>
      </c>
      <c r="O84" s="2081">
        <v>0.01</v>
      </c>
      <c r="P84" s="2081">
        <v>3.335</v>
      </c>
      <c r="Q84" s="2082">
        <v>0</v>
      </c>
      <c r="R84" s="2082">
        <v>2.9985007496251873E-3</v>
      </c>
      <c r="S84" s="2083">
        <v>2.9985007496251873E-3</v>
      </c>
      <c r="T84" s="2080">
        <v>100</v>
      </c>
      <c r="U84" s="2095">
        <v>0</v>
      </c>
      <c r="V84" s="2095">
        <v>3.29</v>
      </c>
      <c r="W84" s="2095">
        <v>0.42899999999999999</v>
      </c>
      <c r="X84" s="2095">
        <v>0.42899999999999999</v>
      </c>
      <c r="Y84" s="2095">
        <v>3.29</v>
      </c>
      <c r="Z84" s="2096">
        <v>0</v>
      </c>
      <c r="AA84" s="2096">
        <v>0.13216180815601444</v>
      </c>
      <c r="AB84" s="2097">
        <v>0.13216180815601444</v>
      </c>
    </row>
  </sheetData>
  <sheetProtection algorithmName="SHA-512" hashValue="dOWbHlvrpoSsyN5CiOqtMS+pOhOuyddAvBOqf7SxUWxTxi5R/ecArEFmUM8uxGSbzkKWffRlrsyeoDqrFY/8VQ==" saltValue="n96XmMBHpERRaCc5H4P6AQ==" spinCount="100000" sheet="1" objects="1" scenarios="1" formatColumns="0" autoFilter="0"/>
  <mergeCells count="4">
    <mergeCell ref="H2:J2"/>
    <mergeCell ref="Q2:S2"/>
    <mergeCell ref="Z2:AB2"/>
    <mergeCell ref="B2:B3"/>
  </mergeCells>
  <phoneticPr fontId="61"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DU104"/>
  <sheetViews>
    <sheetView zoomScale="130" zoomScaleNormal="130" workbookViewId="0">
      <pane xSplit="1" ySplit="1" topLeftCell="AH58" activePane="bottomRight" state="frozen"/>
      <selection pane="topRight" activeCell="B1" sqref="B1"/>
      <selection pane="bottomLeft" activeCell="A2" sqref="A2"/>
      <selection pane="bottomRight" activeCell="AY79" sqref="AY79"/>
    </sheetView>
  </sheetViews>
  <sheetFormatPr baseColWidth="10" defaultColWidth="11" defaultRowHeight="15"/>
  <cols>
    <col min="1" max="1" width="4.625" style="25" customWidth="1"/>
    <col min="2" max="22" width="6.125" hidden="1" customWidth="1"/>
    <col min="23" max="24" width="6.125" style="2339" customWidth="1"/>
    <col min="25" max="77" width="6.125" customWidth="1"/>
    <col min="78" max="78" width="6.125" style="34" customWidth="1"/>
    <col min="79" max="114" width="6.125" customWidth="1"/>
    <col min="115" max="115" width="6.125" style="2345" customWidth="1"/>
    <col min="116" max="119" width="6.125" customWidth="1"/>
    <col min="120" max="122" width="5.5" customWidth="1"/>
    <col min="123" max="125" width="6.625" customWidth="1"/>
  </cols>
  <sheetData>
    <row r="1" spans="1:125" s="25" customFormat="1" ht="14.25">
      <c r="A1" s="902" t="s">
        <v>927</v>
      </c>
      <c r="B1" s="903">
        <v>1900</v>
      </c>
      <c r="C1" s="903">
        <v>1901</v>
      </c>
      <c r="D1" s="903">
        <v>1902</v>
      </c>
      <c r="E1" s="903">
        <v>1903</v>
      </c>
      <c r="F1" s="903">
        <v>1904</v>
      </c>
      <c r="G1" s="903">
        <v>1905</v>
      </c>
      <c r="H1" s="903">
        <v>1906</v>
      </c>
      <c r="I1" s="903">
        <v>1907</v>
      </c>
      <c r="J1" s="903">
        <v>1908</v>
      </c>
      <c r="K1" s="903">
        <v>1909</v>
      </c>
      <c r="L1" s="903">
        <v>1910</v>
      </c>
      <c r="M1" s="903">
        <v>1911</v>
      </c>
      <c r="N1" s="903">
        <v>1912</v>
      </c>
      <c r="O1" s="903">
        <v>1913</v>
      </c>
      <c r="P1" s="903">
        <v>1914</v>
      </c>
      <c r="Q1" s="903">
        <v>1915</v>
      </c>
      <c r="R1" s="903">
        <v>1916</v>
      </c>
      <c r="S1" s="903">
        <v>1917</v>
      </c>
      <c r="T1" s="903">
        <v>1918</v>
      </c>
      <c r="U1" s="903">
        <v>1919</v>
      </c>
      <c r="V1" s="903">
        <v>1920</v>
      </c>
      <c r="W1" s="2337">
        <v>1921</v>
      </c>
      <c r="X1" s="2337">
        <v>1922</v>
      </c>
      <c r="Y1" s="903">
        <v>1923</v>
      </c>
      <c r="Z1" s="903">
        <v>1924</v>
      </c>
      <c r="AA1" s="903">
        <v>1925</v>
      </c>
      <c r="AB1" s="903">
        <v>1926</v>
      </c>
      <c r="AC1" s="903">
        <v>1927</v>
      </c>
      <c r="AD1" s="903">
        <v>1928</v>
      </c>
      <c r="AE1" s="903">
        <v>1929</v>
      </c>
      <c r="AF1" s="903">
        <v>1930</v>
      </c>
      <c r="AG1" s="903">
        <v>1931</v>
      </c>
      <c r="AH1" s="903">
        <v>1932</v>
      </c>
      <c r="AI1" s="903">
        <v>1933</v>
      </c>
      <c r="AJ1" s="903">
        <v>1934</v>
      </c>
      <c r="AK1" s="903">
        <v>1935</v>
      </c>
      <c r="AL1" s="903">
        <v>1936</v>
      </c>
      <c r="AM1" s="903">
        <v>1937</v>
      </c>
      <c r="AN1" s="903">
        <v>1938</v>
      </c>
      <c r="AO1" s="903">
        <v>1939</v>
      </c>
      <c r="AP1" s="903">
        <v>1940</v>
      </c>
      <c r="AQ1" s="903">
        <v>1941</v>
      </c>
      <c r="AR1" s="903">
        <v>1942</v>
      </c>
      <c r="AS1" s="903">
        <v>1943</v>
      </c>
      <c r="AT1" s="903">
        <v>1944</v>
      </c>
      <c r="AU1" s="903">
        <v>1945</v>
      </c>
      <c r="AV1" s="903">
        <v>1946</v>
      </c>
      <c r="AW1" s="903">
        <v>1947</v>
      </c>
      <c r="AX1" s="903">
        <v>1948</v>
      </c>
      <c r="AY1" s="903">
        <v>1949</v>
      </c>
      <c r="AZ1" s="903">
        <v>1950</v>
      </c>
      <c r="BA1" s="903">
        <v>1951</v>
      </c>
      <c r="BB1" s="903">
        <v>1952</v>
      </c>
      <c r="BC1" s="903">
        <v>1953</v>
      </c>
      <c r="BD1" s="903">
        <v>1954</v>
      </c>
      <c r="BE1" s="903">
        <v>1955</v>
      </c>
      <c r="BF1" s="903">
        <v>1956</v>
      </c>
      <c r="BG1" s="903">
        <v>1957</v>
      </c>
      <c r="BH1" s="903">
        <v>1958</v>
      </c>
      <c r="BI1" s="903">
        <v>1959</v>
      </c>
      <c r="BJ1" s="903">
        <v>1960</v>
      </c>
      <c r="BK1" s="903">
        <v>1961</v>
      </c>
      <c r="BL1" s="903">
        <v>1962</v>
      </c>
      <c r="BM1" s="903">
        <v>1963</v>
      </c>
      <c r="BN1" s="903">
        <v>1964</v>
      </c>
      <c r="BO1" s="903">
        <v>1965</v>
      </c>
      <c r="BP1" s="903">
        <v>1966</v>
      </c>
      <c r="BQ1" s="903">
        <v>1967</v>
      </c>
      <c r="BR1" s="903">
        <v>1968</v>
      </c>
      <c r="BS1" s="903">
        <v>1969</v>
      </c>
      <c r="BT1" s="2334">
        <v>1970</v>
      </c>
      <c r="BU1" s="903">
        <v>1971</v>
      </c>
      <c r="BV1" s="903">
        <v>1972</v>
      </c>
      <c r="BW1" s="903">
        <v>1973</v>
      </c>
      <c r="BX1" s="903">
        <v>1974</v>
      </c>
      <c r="BY1" s="903">
        <v>1975</v>
      </c>
      <c r="BZ1" s="2335">
        <v>1976</v>
      </c>
      <c r="CA1" s="903">
        <v>1977</v>
      </c>
      <c r="CB1" s="903">
        <v>1978</v>
      </c>
      <c r="CC1" s="903">
        <v>1979</v>
      </c>
      <c r="CD1" s="903">
        <v>1980</v>
      </c>
      <c r="CE1" s="903">
        <v>1981</v>
      </c>
      <c r="CF1" s="903">
        <v>1982</v>
      </c>
      <c r="CG1" s="903">
        <v>1983</v>
      </c>
      <c r="CH1" s="903">
        <v>1984</v>
      </c>
      <c r="CI1" s="903">
        <v>1985</v>
      </c>
      <c r="CJ1" s="903">
        <v>1986</v>
      </c>
      <c r="CK1" s="903">
        <v>1987</v>
      </c>
      <c r="CL1" s="903">
        <v>1988</v>
      </c>
      <c r="CM1" s="903">
        <v>1989</v>
      </c>
      <c r="CN1" s="903">
        <v>1990</v>
      </c>
      <c r="CO1" s="903">
        <v>1991</v>
      </c>
      <c r="CP1" s="903">
        <v>1992</v>
      </c>
      <c r="CQ1" s="903">
        <v>1993</v>
      </c>
      <c r="CR1" s="903">
        <v>1994</v>
      </c>
      <c r="CS1" s="903">
        <v>1995</v>
      </c>
      <c r="CT1" s="903">
        <v>1996</v>
      </c>
      <c r="CU1" s="903">
        <v>1997</v>
      </c>
      <c r="CV1" s="903">
        <v>1998</v>
      </c>
      <c r="CW1" s="903">
        <v>1999</v>
      </c>
      <c r="CX1" s="903">
        <v>2000</v>
      </c>
      <c r="CY1" s="903">
        <v>2001</v>
      </c>
      <c r="CZ1" s="903">
        <v>2002</v>
      </c>
      <c r="DA1" s="903">
        <v>2003</v>
      </c>
      <c r="DB1" s="903">
        <v>2004</v>
      </c>
      <c r="DC1" s="903">
        <v>2005</v>
      </c>
      <c r="DD1" s="903">
        <v>2006</v>
      </c>
      <c r="DE1" s="903">
        <v>2007</v>
      </c>
      <c r="DF1" s="903">
        <v>2008</v>
      </c>
      <c r="DG1" s="903">
        <v>2009</v>
      </c>
      <c r="DH1" s="903">
        <v>2010</v>
      </c>
      <c r="DI1" s="903">
        <v>2011</v>
      </c>
      <c r="DJ1" s="903">
        <v>2012</v>
      </c>
      <c r="DK1" s="2343">
        <v>2013</v>
      </c>
      <c r="DL1" s="903">
        <v>2014</v>
      </c>
      <c r="DM1" s="903">
        <v>2015</v>
      </c>
      <c r="DN1" s="903">
        <v>2016</v>
      </c>
      <c r="DO1" s="903">
        <v>2017</v>
      </c>
      <c r="DP1" s="903">
        <v>2018</v>
      </c>
      <c r="DQ1" s="903">
        <v>2019</v>
      </c>
      <c r="DR1" s="903">
        <v>2020</v>
      </c>
      <c r="DS1" s="903">
        <v>2021</v>
      </c>
      <c r="DT1" s="903">
        <v>2022</v>
      </c>
      <c r="DU1" s="903">
        <v>2023</v>
      </c>
    </row>
    <row r="2" spans="1:125" ht="14.25">
      <c r="A2" s="904">
        <v>0</v>
      </c>
      <c r="B2" s="92"/>
      <c r="C2" s="92"/>
      <c r="D2" s="92"/>
      <c r="E2" s="92"/>
      <c r="F2" s="92"/>
      <c r="G2" s="92"/>
      <c r="H2" s="92"/>
      <c r="I2" s="92"/>
      <c r="J2" s="92"/>
      <c r="K2" s="92"/>
      <c r="L2" s="92"/>
      <c r="M2" s="92"/>
      <c r="N2" s="92"/>
      <c r="O2" s="92"/>
      <c r="P2" s="92"/>
      <c r="Q2" s="92"/>
      <c r="R2" s="92"/>
      <c r="S2" s="92"/>
      <c r="T2" s="92"/>
      <c r="U2" s="92"/>
      <c r="V2" s="739"/>
      <c r="W2" s="2338">
        <v>57.84</v>
      </c>
      <c r="X2" s="2338">
        <v>58.59</v>
      </c>
      <c r="Y2" s="2336">
        <v>58.729434945741694</v>
      </c>
      <c r="Z2" s="2336">
        <v>60.615796716949305</v>
      </c>
      <c r="AA2" s="2336">
        <v>61.014854058140322</v>
      </c>
      <c r="AB2" s="2336">
        <v>61.61486348227649</v>
      </c>
      <c r="AC2" s="2336">
        <v>62.206325180696453</v>
      </c>
      <c r="AD2" s="2336">
        <v>62.901346798002962</v>
      </c>
      <c r="AE2" s="2336">
        <v>62.889983052135605</v>
      </c>
      <c r="AF2" s="2336">
        <v>64.046082267023721</v>
      </c>
      <c r="AG2" s="2336">
        <v>64.549503075717851</v>
      </c>
      <c r="AH2" s="2336">
        <v>65.105032076911158</v>
      </c>
      <c r="AI2" s="2336">
        <v>65.495244280215459</v>
      </c>
      <c r="AJ2" s="2336">
        <v>66.698648404553268</v>
      </c>
      <c r="AK2" s="2336">
        <v>66.851890537710545</v>
      </c>
      <c r="AL2" s="2336">
        <v>67.368711934406846</v>
      </c>
      <c r="AM2" s="2336">
        <v>67.863028563725507</v>
      </c>
      <c r="AN2" s="2336">
        <v>68.378960908126317</v>
      </c>
      <c r="AO2" s="2336">
        <v>68.439680725969552</v>
      </c>
      <c r="AP2" s="2336">
        <v>68.674708453580436</v>
      </c>
      <c r="AQ2" s="2336">
        <v>68.866452682627568</v>
      </c>
      <c r="AR2" s="2336">
        <v>69.135343284458855</v>
      </c>
      <c r="AS2" s="2336">
        <v>68.66900465603841</v>
      </c>
      <c r="AT2" s="2336">
        <v>68.0779681244465</v>
      </c>
      <c r="AU2" s="2336">
        <v>67.029703906967271</v>
      </c>
      <c r="AV2" s="2336">
        <v>67.496834809096612</v>
      </c>
      <c r="AW2" s="2336">
        <v>68.034523646617231</v>
      </c>
      <c r="AX2" s="2336">
        <v>69.971257167782426</v>
      </c>
      <c r="AY2" s="2336">
        <v>71.575803667149145</v>
      </c>
      <c r="AZ2" s="2336">
        <v>71.60695891190062</v>
      </c>
      <c r="BA2" s="2336">
        <v>71.672702197338978</v>
      </c>
      <c r="BB2" s="2336">
        <v>72.371454396692769</v>
      </c>
      <c r="BC2" s="2336">
        <v>72.637860564357922</v>
      </c>
      <c r="BD2" s="2336">
        <v>73.146094634378144</v>
      </c>
      <c r="BE2" s="2336">
        <v>73.358012531688473</v>
      </c>
      <c r="BF2" s="2336">
        <v>73.837457590526185</v>
      </c>
      <c r="BG2" s="2336">
        <v>73.995283165642604</v>
      </c>
      <c r="BH2" s="2336">
        <v>74.517755903477607</v>
      </c>
      <c r="BI2" s="2336">
        <v>74.887710660331976</v>
      </c>
      <c r="BJ2" s="2336">
        <v>75.207747454033168</v>
      </c>
      <c r="BK2" s="2336">
        <v>75.670306429785441</v>
      </c>
      <c r="BL2" s="2336">
        <v>76.178234569980134</v>
      </c>
      <c r="BM2" s="2336">
        <v>76.667767915735936</v>
      </c>
      <c r="BN2" s="2336">
        <v>77.119808920682843</v>
      </c>
      <c r="BO2" s="2336">
        <v>77.516754650585781</v>
      </c>
      <c r="BP2" s="2336">
        <v>77.802655678161017</v>
      </c>
      <c r="BQ2" s="2336">
        <v>78.102407871411017</v>
      </c>
      <c r="BR2" s="2336">
        <v>78.364586606778573</v>
      </c>
      <c r="BS2" s="2336">
        <v>78.512068793633588</v>
      </c>
      <c r="BT2" s="2336">
        <v>78.764117674625538</v>
      </c>
      <c r="BU2" s="2336">
        <v>78.975126686479683</v>
      </c>
      <c r="BV2" s="2336">
        <v>79.252088692518413</v>
      </c>
      <c r="BW2" s="2336">
        <v>79.469601832462004</v>
      </c>
      <c r="BX2" s="2336">
        <v>79.760324151707877</v>
      </c>
      <c r="BY2" s="2336">
        <v>80.082476570450922</v>
      </c>
      <c r="BZ2" s="2336">
        <v>80.502809071686158</v>
      </c>
      <c r="CA2" s="2336">
        <v>80.812000585061057</v>
      </c>
      <c r="CB2" s="2336">
        <v>81.026547551709612</v>
      </c>
      <c r="CC2" s="2336">
        <v>81.356332424225755</v>
      </c>
      <c r="CD2" s="2336">
        <v>81.63009340379827</v>
      </c>
      <c r="CE2" s="2336">
        <v>81.874285222352086</v>
      </c>
      <c r="CF2" s="2336">
        <v>82.195612863219921</v>
      </c>
      <c r="CG2" s="2336">
        <v>82.442797164445565</v>
      </c>
      <c r="CH2" s="2336">
        <v>82.701394781752867</v>
      </c>
      <c r="CI2" s="2336">
        <v>82.99036545163446</v>
      </c>
      <c r="CJ2" s="2336">
        <v>83.183001637389964</v>
      </c>
      <c r="CK2" s="2336">
        <v>83.402598522200194</v>
      </c>
      <c r="CL2" s="2336">
        <v>83.690861889858894</v>
      </c>
      <c r="CM2" s="2336">
        <v>83.888661240373779</v>
      </c>
      <c r="CN2" s="2336">
        <v>84.120036602685531</v>
      </c>
      <c r="CO2" s="2336">
        <v>84.379935313002491</v>
      </c>
      <c r="CP2" s="2336">
        <v>84.597827566909473</v>
      </c>
      <c r="CQ2" s="2336">
        <v>84.824710725982257</v>
      </c>
      <c r="CR2" s="2336">
        <v>84.993672836226452</v>
      </c>
      <c r="CS2" s="2336">
        <v>85.2199574320408</v>
      </c>
      <c r="CT2" s="2336">
        <v>85.401411180876664</v>
      </c>
      <c r="CU2" s="2336">
        <v>85.600223896431743</v>
      </c>
      <c r="CV2" s="2336">
        <v>85.780133463962187</v>
      </c>
      <c r="CW2" s="2336">
        <v>85.940596534366577</v>
      </c>
      <c r="CX2" s="2336">
        <v>86.147274707084151</v>
      </c>
      <c r="CY2" s="2336">
        <v>86.294892848724743</v>
      </c>
      <c r="CZ2" s="2336">
        <v>86.475408390730408</v>
      </c>
      <c r="DA2" s="2336">
        <v>86.625284275497521</v>
      </c>
      <c r="DB2" s="2336">
        <v>86.828345838174144</v>
      </c>
      <c r="DC2" s="2336">
        <v>86.98423560255813</v>
      </c>
      <c r="DD2" s="2336">
        <v>87.149420777925414</v>
      </c>
      <c r="DE2" s="2336">
        <v>87.305228908084047</v>
      </c>
      <c r="DF2" s="2336">
        <v>87.488790107620204</v>
      </c>
      <c r="DG2" s="2336">
        <v>87.650801209358761</v>
      </c>
      <c r="DH2" s="2336">
        <v>87.804033385590458</v>
      </c>
      <c r="DI2" s="2336">
        <v>87.955188023479678</v>
      </c>
      <c r="DJ2" s="2336">
        <v>88.138546434778405</v>
      </c>
      <c r="DK2" s="2344">
        <v>88.287853346724191</v>
      </c>
      <c r="DL2" s="2336">
        <v>88.423302723978807</v>
      </c>
      <c r="DM2" s="2336">
        <v>88.579855999943248</v>
      </c>
      <c r="DN2" s="2336">
        <v>88.709755285766292</v>
      </c>
      <c r="DO2" s="2336">
        <v>88.871804974359478</v>
      </c>
      <c r="DP2" s="2336">
        <v>89.022474491154995</v>
      </c>
      <c r="DQ2" s="2336">
        <v>89.161574187114908</v>
      </c>
      <c r="DR2" s="2336">
        <v>89.326776344203225</v>
      </c>
      <c r="DS2" s="2336">
        <v>89.456635979737186</v>
      </c>
      <c r="DT2" s="2336">
        <v>89.608075801559522</v>
      </c>
      <c r="DU2" s="2336">
        <v>89.757554228965645</v>
      </c>
    </row>
    <row r="3" spans="1:125" ht="14.25">
      <c r="A3" s="904">
        <v>1</v>
      </c>
      <c r="B3" s="92"/>
      <c r="C3" s="92"/>
      <c r="D3" s="92"/>
      <c r="E3" s="92"/>
      <c r="F3" s="92"/>
      <c r="G3" s="92"/>
      <c r="H3" s="92"/>
      <c r="I3" s="92"/>
      <c r="J3" s="92"/>
      <c r="K3" s="92"/>
      <c r="L3" s="92"/>
      <c r="M3" s="92"/>
      <c r="N3" s="92"/>
      <c r="O3" s="92"/>
      <c r="P3" s="92"/>
      <c r="Q3" s="92"/>
      <c r="R3" s="92"/>
      <c r="S3" s="92"/>
      <c r="T3" s="92"/>
      <c r="U3" s="92"/>
      <c r="V3" s="739"/>
      <c r="W3" s="2338">
        <v>66.709999999999994</v>
      </c>
      <c r="X3" s="2338">
        <v>67.239999999999995</v>
      </c>
      <c r="Y3" s="2336">
        <v>67.565219763114229</v>
      </c>
      <c r="Z3" s="2336">
        <v>67.768437503321522</v>
      </c>
      <c r="AA3" s="2336">
        <v>67.987664028406527</v>
      </c>
      <c r="AB3" s="2336">
        <v>68.354305939770981</v>
      </c>
      <c r="AC3" s="2336">
        <v>68.630254357510779</v>
      </c>
      <c r="AD3" s="2336">
        <v>68.786078258642036</v>
      </c>
      <c r="AE3" s="2336">
        <v>69.280017830561391</v>
      </c>
      <c r="AF3" s="2336">
        <v>69.614659643116241</v>
      </c>
      <c r="AG3" s="2336">
        <v>69.952727121509838</v>
      </c>
      <c r="AH3" s="2336">
        <v>70.287397457663971</v>
      </c>
      <c r="AI3" s="2336">
        <v>70.558941796285822</v>
      </c>
      <c r="AJ3" s="2336">
        <v>71.011343165145604</v>
      </c>
      <c r="AK3" s="2336">
        <v>71.356267947689204</v>
      </c>
      <c r="AL3" s="2336">
        <v>71.735457861366953</v>
      </c>
      <c r="AM3" s="2336">
        <v>72.115998636622578</v>
      </c>
      <c r="AN3" s="2336">
        <v>72.369471460045276</v>
      </c>
      <c r="AO3" s="2336">
        <v>72.551370137974473</v>
      </c>
      <c r="AP3" s="2336">
        <v>72.804240123882153</v>
      </c>
      <c r="AQ3" s="2336">
        <v>73.01058422211392</v>
      </c>
      <c r="AR3" s="2336">
        <v>73.299853767545216</v>
      </c>
      <c r="AS3" s="2336">
        <v>73.354388488482513</v>
      </c>
      <c r="AT3" s="2336">
        <v>73.556513907164231</v>
      </c>
      <c r="AU3" s="2336">
        <v>73.833213233807527</v>
      </c>
      <c r="AV3" s="2336">
        <v>74.109653927129784</v>
      </c>
      <c r="AW3" s="2336">
        <v>74.708506560970932</v>
      </c>
      <c r="AX3" s="2336">
        <v>75.179787873081679</v>
      </c>
      <c r="AY3" s="2336">
        <v>75.27687122751891</v>
      </c>
      <c r="AZ3" s="2336">
        <v>75.310285230594431</v>
      </c>
      <c r="BA3" s="2336">
        <v>75.380413222992914</v>
      </c>
      <c r="BB3" s="2336">
        <v>75.544685789252057</v>
      </c>
      <c r="BC3" s="2336">
        <v>75.681406440993115</v>
      </c>
      <c r="BD3" s="2336">
        <v>75.839517832480865</v>
      </c>
      <c r="BE3" s="2336">
        <v>76.02816674995853</v>
      </c>
      <c r="BF3" s="2336">
        <v>76.246704650440179</v>
      </c>
      <c r="BG3" s="2336">
        <v>76.393640936147122</v>
      </c>
      <c r="BH3" s="2336">
        <v>76.722810316477279</v>
      </c>
      <c r="BI3" s="2336">
        <v>76.948842959246591</v>
      </c>
      <c r="BJ3" s="2336">
        <v>77.227610899012234</v>
      </c>
      <c r="BK3" s="2336">
        <v>77.467109914146548</v>
      </c>
      <c r="BL3" s="2336">
        <v>77.77368958437691</v>
      </c>
      <c r="BM3" s="2336">
        <v>78.104720368565808</v>
      </c>
      <c r="BN3" s="2336">
        <v>78.351861976765036</v>
      </c>
      <c r="BO3" s="2336">
        <v>78.635040181218969</v>
      </c>
      <c r="BP3" s="2336">
        <v>78.881666447586937</v>
      </c>
      <c r="BQ3" s="2336">
        <v>79.132736059279097</v>
      </c>
      <c r="BR3" s="2336">
        <v>79.357117939993742</v>
      </c>
      <c r="BS3" s="2336">
        <v>79.571463943488908</v>
      </c>
      <c r="BT3" s="2336">
        <v>79.809649745252287</v>
      </c>
      <c r="BU3" s="2336">
        <v>79.968373483274647</v>
      </c>
      <c r="BV3" s="2336">
        <v>80.201455871083951</v>
      </c>
      <c r="BW3" s="2336">
        <v>80.416294612770059</v>
      </c>
      <c r="BX3" s="2336">
        <v>80.619624406673339</v>
      </c>
      <c r="BY3" s="2336">
        <v>80.813862271781488</v>
      </c>
      <c r="BZ3" s="2336">
        <v>81.010217893398718</v>
      </c>
      <c r="CA3" s="2336">
        <v>81.191451663776078</v>
      </c>
      <c r="CB3" s="2336">
        <v>81.362658599553669</v>
      </c>
      <c r="CC3" s="2336">
        <v>81.5779171701233</v>
      </c>
      <c r="CD3" s="2336">
        <v>81.802481863061814</v>
      </c>
      <c r="CE3" s="2336">
        <v>81.985365242839038</v>
      </c>
      <c r="CF3" s="2336">
        <v>82.203438453976588</v>
      </c>
      <c r="CG3" s="2336">
        <v>82.407716210190813</v>
      </c>
      <c r="CH3" s="2336">
        <v>82.597695462033343</v>
      </c>
      <c r="CI3" s="2336">
        <v>82.842743760134923</v>
      </c>
      <c r="CJ3" s="2336">
        <v>83.006594380157139</v>
      </c>
      <c r="CK3" s="2336">
        <v>83.204287890000359</v>
      </c>
      <c r="CL3" s="2336">
        <v>83.425809741566169</v>
      </c>
      <c r="CM3" s="2336">
        <v>83.613106153941004</v>
      </c>
      <c r="CN3" s="2336">
        <v>83.800017889304627</v>
      </c>
      <c r="CO3" s="2336">
        <v>83.998150594514385</v>
      </c>
      <c r="CP3" s="2336">
        <v>84.171686226511554</v>
      </c>
      <c r="CQ3" s="2336">
        <v>84.364563007420301</v>
      </c>
      <c r="CR3" s="2336">
        <v>84.520081180891637</v>
      </c>
      <c r="CS3" s="2336">
        <v>84.715651909774337</v>
      </c>
      <c r="CT3" s="2336">
        <v>84.87826771197642</v>
      </c>
      <c r="CU3" s="2336">
        <v>85.060945064375801</v>
      </c>
      <c r="CV3" s="2336">
        <v>85.221840093464976</v>
      </c>
      <c r="CW3" s="2336">
        <v>85.371497140153636</v>
      </c>
      <c r="CX3" s="2336">
        <v>85.553591470483852</v>
      </c>
      <c r="CY3" s="2336">
        <v>85.705377425610024</v>
      </c>
      <c r="CZ3" s="2336">
        <v>85.870110787274143</v>
      </c>
      <c r="DA3" s="2336">
        <v>86.032927894257938</v>
      </c>
      <c r="DB3" s="2336">
        <v>86.211888750836692</v>
      </c>
      <c r="DC3" s="2336">
        <v>86.355827658341084</v>
      </c>
      <c r="DD3" s="2336">
        <v>86.518761902616404</v>
      </c>
      <c r="DE3" s="2336">
        <v>86.68011851471249</v>
      </c>
      <c r="DF3" s="2336">
        <v>86.831371460655561</v>
      </c>
      <c r="DG3" s="2336">
        <v>86.992126304096942</v>
      </c>
      <c r="DH3" s="2336">
        <v>87.139026918455244</v>
      </c>
      <c r="DI3" s="2336">
        <v>87.295435965064414</v>
      </c>
      <c r="DJ3" s="2336">
        <v>87.446397487351362</v>
      </c>
      <c r="DK3" s="2344">
        <v>87.600899837136396</v>
      </c>
      <c r="DL3" s="2336">
        <v>87.737512407240146</v>
      </c>
      <c r="DM3" s="2336">
        <v>87.884207675973059</v>
      </c>
      <c r="DN3" s="2336">
        <v>88.037663169154229</v>
      </c>
      <c r="DO3" s="2336">
        <v>88.183742653005865</v>
      </c>
      <c r="DP3" s="2336">
        <v>88.329765006820253</v>
      </c>
      <c r="DQ3" s="2336">
        <v>88.471462996037999</v>
      </c>
      <c r="DR3" s="2336">
        <v>88.607560705915972</v>
      </c>
      <c r="DS3" s="2336">
        <v>88.749985722975509</v>
      </c>
      <c r="DT3" s="2336">
        <v>88.888633744386055</v>
      </c>
      <c r="DU3" s="2336">
        <v>89.025880115096726</v>
      </c>
    </row>
    <row r="4" spans="1:125" ht="14.25">
      <c r="A4" s="904">
        <v>2</v>
      </c>
      <c r="B4" s="92"/>
      <c r="C4" s="92"/>
      <c r="D4" s="92"/>
      <c r="E4" s="92"/>
      <c r="F4" s="92"/>
      <c r="G4" s="92"/>
      <c r="H4" s="92"/>
      <c r="I4" s="92"/>
      <c r="J4" s="92"/>
      <c r="K4" s="92"/>
      <c r="L4" s="92"/>
      <c r="M4" s="92"/>
      <c r="N4" s="92"/>
      <c r="O4" s="92"/>
      <c r="P4" s="92"/>
      <c r="Q4" s="92"/>
      <c r="R4" s="92"/>
      <c r="S4" s="92"/>
      <c r="T4" s="92"/>
      <c r="U4" s="92"/>
      <c r="V4" s="739"/>
      <c r="W4" s="2338">
        <v>67.06</v>
      </c>
      <c r="X4" s="2338">
        <v>67.61</v>
      </c>
      <c r="Y4" s="2336">
        <v>67.668873830428865</v>
      </c>
      <c r="Z4" s="2336">
        <v>67.875435809070382</v>
      </c>
      <c r="AA4" s="2336">
        <v>68.098270020030839</v>
      </c>
      <c r="AB4" s="2336">
        <v>68.38860826914248</v>
      </c>
      <c r="AC4" s="2336">
        <v>68.479828016091318</v>
      </c>
      <c r="AD4" s="2336">
        <v>68.69433345194426</v>
      </c>
      <c r="AE4" s="2336">
        <v>68.983593803350061</v>
      </c>
      <c r="AF4" s="2336">
        <v>69.300314139835208</v>
      </c>
      <c r="AG4" s="2336">
        <v>69.601870441800912</v>
      </c>
      <c r="AH4" s="2336">
        <v>69.939668790665522</v>
      </c>
      <c r="AI4" s="2336">
        <v>70.21375113176596</v>
      </c>
      <c r="AJ4" s="2336">
        <v>70.599917193192994</v>
      </c>
      <c r="AK4" s="2336">
        <v>70.929747977024604</v>
      </c>
      <c r="AL4" s="2336">
        <v>71.296694345532572</v>
      </c>
      <c r="AM4" s="2336">
        <v>71.649937422380475</v>
      </c>
      <c r="AN4" s="2336">
        <v>71.917014854843956</v>
      </c>
      <c r="AO4" s="2336">
        <v>72.100299342597538</v>
      </c>
      <c r="AP4" s="2336">
        <v>72.355095838993108</v>
      </c>
      <c r="AQ4" s="2336">
        <v>72.563011986465639</v>
      </c>
      <c r="AR4" s="2336">
        <v>72.91041367417813</v>
      </c>
      <c r="AS4" s="2336">
        <v>73.049521301188761</v>
      </c>
      <c r="AT4" s="2336">
        <v>73.394586831295825</v>
      </c>
      <c r="AU4" s="2336">
        <v>73.592663029863616</v>
      </c>
      <c r="AV4" s="2336">
        <v>73.871966584622157</v>
      </c>
      <c r="AW4" s="2336">
        <v>74.325129888065348</v>
      </c>
      <c r="AX4" s="2336">
        <v>74.491753567924235</v>
      </c>
      <c r="AY4" s="2336">
        <v>74.589242476219979</v>
      </c>
      <c r="AZ4" s="2336">
        <v>74.62279606221324</v>
      </c>
      <c r="BA4" s="2336">
        <v>74.672500983462683</v>
      </c>
      <c r="BB4" s="2336">
        <v>74.820470721705277</v>
      </c>
      <c r="BC4" s="2336">
        <v>74.927574477769795</v>
      </c>
      <c r="BD4" s="2336">
        <v>75.091970445684908</v>
      </c>
      <c r="BE4" s="2336">
        <v>75.276932378552758</v>
      </c>
      <c r="BF4" s="2336">
        <v>75.49050383586966</v>
      </c>
      <c r="BG4" s="2336">
        <v>75.622732351098307</v>
      </c>
      <c r="BH4" s="2336">
        <v>75.946923919888462</v>
      </c>
      <c r="BI4" s="2336">
        <v>76.150592249295997</v>
      </c>
      <c r="BJ4" s="2336">
        <v>76.416914315249358</v>
      </c>
      <c r="BK4" s="2336">
        <v>76.648938960308811</v>
      </c>
      <c r="BL4" s="2336">
        <v>76.95119048346578</v>
      </c>
      <c r="BM4" s="2336">
        <v>77.250467023804134</v>
      </c>
      <c r="BN4" s="2336">
        <v>77.50565725420131</v>
      </c>
      <c r="BO4" s="2336">
        <v>77.777562069610809</v>
      </c>
      <c r="BP4" s="2336">
        <v>78.024851065935508</v>
      </c>
      <c r="BQ4" s="2336">
        <v>78.265578111214012</v>
      </c>
      <c r="BR4" s="2336">
        <v>78.506118736177186</v>
      </c>
      <c r="BS4" s="2336">
        <v>78.700444556519315</v>
      </c>
      <c r="BT4" s="2336">
        <v>78.924431810169978</v>
      </c>
      <c r="BU4" s="2336">
        <v>79.080517785518467</v>
      </c>
      <c r="BV4" s="2336">
        <v>79.301965266975202</v>
      </c>
      <c r="BW4" s="2336">
        <v>79.51866139359413</v>
      </c>
      <c r="BX4" s="2336">
        <v>79.721209631528012</v>
      </c>
      <c r="BY4" s="2336">
        <v>79.906702915844093</v>
      </c>
      <c r="BZ4" s="2336">
        <v>80.101921708184392</v>
      </c>
      <c r="CA4" s="2336">
        <v>80.277721123600955</v>
      </c>
      <c r="CB4" s="2336">
        <v>80.448992706781368</v>
      </c>
      <c r="CC4" s="2336">
        <v>80.654284769786997</v>
      </c>
      <c r="CD4" s="2336">
        <v>80.884026569769574</v>
      </c>
      <c r="CE4" s="2336">
        <v>81.068838706828558</v>
      </c>
      <c r="CF4" s="2336">
        <v>81.279700383586402</v>
      </c>
      <c r="CG4" s="2336">
        <v>81.478378665240385</v>
      </c>
      <c r="CH4" s="2336">
        <v>81.669920522503872</v>
      </c>
      <c r="CI4" s="2336">
        <v>81.901721746302101</v>
      </c>
      <c r="CJ4" s="2336">
        <v>82.074743962216772</v>
      </c>
      <c r="CK4" s="2336">
        <v>82.2636536620074</v>
      </c>
      <c r="CL4" s="2336">
        <v>82.478982195465136</v>
      </c>
      <c r="CM4" s="2336">
        <v>82.669261140874298</v>
      </c>
      <c r="CN4" s="2336">
        <v>82.853455887026541</v>
      </c>
      <c r="CO4" s="2336">
        <v>83.041202782810359</v>
      </c>
      <c r="CP4" s="2336">
        <v>83.217401218787927</v>
      </c>
      <c r="CQ4" s="2336">
        <v>83.40770482419326</v>
      </c>
      <c r="CR4" s="2336">
        <v>83.568172144550218</v>
      </c>
      <c r="CS4" s="2336">
        <v>83.753402776499058</v>
      </c>
      <c r="CT4" s="2336">
        <v>83.920275058525419</v>
      </c>
      <c r="CU4" s="2336">
        <v>84.097677130426788</v>
      </c>
      <c r="CV4" s="2336">
        <v>84.255984978987129</v>
      </c>
      <c r="CW4" s="2336">
        <v>84.413166283333183</v>
      </c>
      <c r="CX4" s="2336">
        <v>84.588613528080842</v>
      </c>
      <c r="CY4" s="2336">
        <v>84.741913020208187</v>
      </c>
      <c r="CZ4" s="2336">
        <v>84.906277998622073</v>
      </c>
      <c r="DA4" s="2336">
        <v>85.065113799743898</v>
      </c>
      <c r="DB4" s="2336">
        <v>85.238570486678512</v>
      </c>
      <c r="DC4" s="2336">
        <v>85.389642478214398</v>
      </c>
      <c r="DD4" s="2336">
        <v>85.547238561293597</v>
      </c>
      <c r="DE4" s="2336">
        <v>85.707682024508998</v>
      </c>
      <c r="DF4" s="2336">
        <v>85.861744366325496</v>
      </c>
      <c r="DG4" s="2336">
        <v>86.019209731058723</v>
      </c>
      <c r="DH4" s="2336">
        <v>86.164686871981161</v>
      </c>
      <c r="DI4" s="2336">
        <v>86.319846937081493</v>
      </c>
      <c r="DJ4" s="2336">
        <v>86.469431466299554</v>
      </c>
      <c r="DK4" s="2344">
        <v>86.621635082800111</v>
      </c>
      <c r="DL4" s="2336">
        <v>86.765363153000237</v>
      </c>
      <c r="DM4" s="2336">
        <v>86.909441283934271</v>
      </c>
      <c r="DN4" s="2336">
        <v>87.060853987633578</v>
      </c>
      <c r="DO4" s="2336">
        <v>87.207362528754643</v>
      </c>
      <c r="DP4" s="2336">
        <v>87.349394529579911</v>
      </c>
      <c r="DQ4" s="2336">
        <v>87.489402280772097</v>
      </c>
      <c r="DR4" s="2336">
        <v>87.627256955314664</v>
      </c>
      <c r="DS4" s="2336">
        <v>87.766579409529797</v>
      </c>
      <c r="DT4" s="2336">
        <v>87.904515110682297</v>
      </c>
      <c r="DU4" s="2336">
        <v>88.041079466624453</v>
      </c>
    </row>
    <row r="5" spans="1:125" ht="14.25">
      <c r="A5" s="904">
        <v>3</v>
      </c>
      <c r="B5" s="92"/>
      <c r="C5" s="92"/>
      <c r="D5" s="92"/>
      <c r="E5" s="92"/>
      <c r="F5" s="92"/>
      <c r="G5" s="92"/>
      <c r="H5" s="92"/>
      <c r="I5" s="92"/>
      <c r="J5" s="92"/>
      <c r="K5" s="92"/>
      <c r="L5" s="92"/>
      <c r="M5" s="92"/>
      <c r="N5" s="92"/>
      <c r="O5" s="92"/>
      <c r="P5" s="92"/>
      <c r="Q5" s="92"/>
      <c r="R5" s="92"/>
      <c r="S5" s="92"/>
      <c r="T5" s="92"/>
      <c r="U5" s="92"/>
      <c r="V5" s="739"/>
      <c r="W5" s="2338">
        <v>66.819999999999993</v>
      </c>
      <c r="X5" s="2338">
        <v>67.040000000000006</v>
      </c>
      <c r="Y5" s="2336">
        <v>67.098802212500374</v>
      </c>
      <c r="Z5" s="2336">
        <v>67.306686334155614</v>
      </c>
      <c r="AA5" s="2336">
        <v>67.559506460063147</v>
      </c>
      <c r="AB5" s="2336">
        <v>67.790336155194282</v>
      </c>
      <c r="AC5" s="2336">
        <v>67.950512691532623</v>
      </c>
      <c r="AD5" s="2336">
        <v>68.08415213586953</v>
      </c>
      <c r="AE5" s="2336">
        <v>68.319987577733727</v>
      </c>
      <c r="AF5" s="2336">
        <v>68.611315057594382</v>
      </c>
      <c r="AG5" s="2336">
        <v>68.914234497037597</v>
      </c>
      <c r="AH5" s="2336">
        <v>69.253559809809659</v>
      </c>
      <c r="AI5" s="2336">
        <v>69.584215743986704</v>
      </c>
      <c r="AJ5" s="2336">
        <v>69.979481569853206</v>
      </c>
      <c r="AK5" s="2336">
        <v>70.282779295205174</v>
      </c>
      <c r="AL5" s="2336">
        <v>70.63022260035541</v>
      </c>
      <c r="AM5" s="2336">
        <v>71.01372977373056</v>
      </c>
      <c r="AN5" s="2336">
        <v>71.282172783321272</v>
      </c>
      <c r="AO5" s="2336">
        <v>71.466394411670919</v>
      </c>
      <c r="AP5" s="2336">
        <v>71.722493692297903</v>
      </c>
      <c r="AQ5" s="2336">
        <v>71.968526357685647</v>
      </c>
      <c r="AR5" s="2336">
        <v>72.373802523700448</v>
      </c>
      <c r="AS5" s="2336">
        <v>72.607370168365449</v>
      </c>
      <c r="AT5" s="2336">
        <v>72.821316895628385</v>
      </c>
      <c r="AU5" s="2336">
        <v>73.020552646264889</v>
      </c>
      <c r="AV5" s="2336">
        <v>73.143946022946167</v>
      </c>
      <c r="AW5" s="2336">
        <v>73.507187569486291</v>
      </c>
      <c r="AX5" s="2336">
        <v>73.674222154424129</v>
      </c>
      <c r="AY5" s="2336">
        <v>73.771951476853047</v>
      </c>
      <c r="AZ5" s="2336">
        <v>73.778551636434216</v>
      </c>
      <c r="BA5" s="2336">
        <v>73.814689393885359</v>
      </c>
      <c r="BB5" s="2336">
        <v>73.956976835529673</v>
      </c>
      <c r="BC5" s="2336">
        <v>74.061348456934169</v>
      </c>
      <c r="BD5" s="2336">
        <v>74.212471226007395</v>
      </c>
      <c r="BE5" s="2336">
        <v>74.400489020721224</v>
      </c>
      <c r="BF5" s="2336">
        <v>74.599109403287784</v>
      </c>
      <c r="BG5" s="2336">
        <v>74.741962993746625</v>
      </c>
      <c r="BH5" s="2336">
        <v>75.058799841079335</v>
      </c>
      <c r="BI5" s="2336">
        <v>75.253179396667321</v>
      </c>
      <c r="BJ5" s="2336">
        <v>75.522981687952395</v>
      </c>
      <c r="BK5" s="2336">
        <v>75.748575594769164</v>
      </c>
      <c r="BL5" s="2336">
        <v>76.045272083746752</v>
      </c>
      <c r="BM5" s="2336">
        <v>76.339664534770208</v>
      </c>
      <c r="BN5" s="2336">
        <v>76.593045241557505</v>
      </c>
      <c r="BO5" s="2336">
        <v>76.855248260458424</v>
      </c>
      <c r="BP5" s="2336">
        <v>77.103971925691567</v>
      </c>
      <c r="BQ5" s="2336">
        <v>77.346813648796811</v>
      </c>
      <c r="BR5" s="2336">
        <v>77.582133863107416</v>
      </c>
      <c r="BS5" s="2336">
        <v>77.779342463366504</v>
      </c>
      <c r="BT5" s="2336">
        <v>77.992183700703706</v>
      </c>
      <c r="BU5" s="2336">
        <v>78.150241056887253</v>
      </c>
      <c r="BV5" s="2336">
        <v>78.373775753671111</v>
      </c>
      <c r="BW5" s="2336">
        <v>78.582137040165321</v>
      </c>
      <c r="BX5" s="2336">
        <v>78.784117783718102</v>
      </c>
      <c r="BY5" s="2336">
        <v>78.96519996584486</v>
      </c>
      <c r="BZ5" s="2336">
        <v>79.162343622407988</v>
      </c>
      <c r="CA5" s="2336">
        <v>79.331351418717773</v>
      </c>
      <c r="CB5" s="2336">
        <v>79.502093359998341</v>
      </c>
      <c r="CC5" s="2336">
        <v>79.703842385245466</v>
      </c>
      <c r="CD5" s="2336">
        <v>79.925373825376099</v>
      </c>
      <c r="CE5" s="2336">
        <v>80.110739035640563</v>
      </c>
      <c r="CF5" s="2336">
        <v>80.317083561503992</v>
      </c>
      <c r="CG5" s="2336">
        <v>80.519869694060162</v>
      </c>
      <c r="CH5" s="2336">
        <v>80.708995573934047</v>
      </c>
      <c r="CI5" s="2336">
        <v>80.940222032444481</v>
      </c>
      <c r="CJ5" s="2336">
        <v>81.116363086803773</v>
      </c>
      <c r="CK5" s="2336">
        <v>81.299338206191678</v>
      </c>
      <c r="CL5" s="2336">
        <v>81.516603691775146</v>
      </c>
      <c r="CM5" s="2336">
        <v>81.706526564603024</v>
      </c>
      <c r="CN5" s="2336">
        <v>81.886320703008764</v>
      </c>
      <c r="CO5" s="2336">
        <v>82.0729931674488</v>
      </c>
      <c r="CP5" s="2336">
        <v>82.251560688463883</v>
      </c>
      <c r="CQ5" s="2336">
        <v>82.436107420896306</v>
      </c>
      <c r="CR5" s="2336">
        <v>82.59183238486105</v>
      </c>
      <c r="CS5" s="2336">
        <v>82.777612409811709</v>
      </c>
      <c r="CT5" s="2336">
        <v>82.947150893275165</v>
      </c>
      <c r="CU5" s="2336">
        <v>83.118690578937588</v>
      </c>
      <c r="CV5" s="2336">
        <v>83.280583874938728</v>
      </c>
      <c r="CW5" s="2336">
        <v>83.434846348619246</v>
      </c>
      <c r="CX5" s="2336">
        <v>83.60365797648555</v>
      </c>
      <c r="CY5" s="2336">
        <v>83.760310310586959</v>
      </c>
      <c r="CZ5" s="2336">
        <v>83.923324158775117</v>
      </c>
      <c r="DA5" s="2336">
        <v>84.080659646492009</v>
      </c>
      <c r="DB5" s="2336">
        <v>84.252330837153309</v>
      </c>
      <c r="DC5" s="2336">
        <v>84.406939733257303</v>
      </c>
      <c r="DD5" s="2336">
        <v>84.5663128496263</v>
      </c>
      <c r="DE5" s="2336">
        <v>84.724773221674113</v>
      </c>
      <c r="DF5" s="2336">
        <v>84.877267296362561</v>
      </c>
      <c r="DG5" s="2336">
        <v>85.034147312496799</v>
      </c>
      <c r="DH5" s="2336">
        <v>85.179598438221731</v>
      </c>
      <c r="DI5" s="2336">
        <v>85.328313170928027</v>
      </c>
      <c r="DJ5" s="2336">
        <v>85.483184394168063</v>
      </c>
      <c r="DK5" s="2344">
        <v>85.63619966960735</v>
      </c>
      <c r="DL5" s="2336">
        <v>85.781435842825445</v>
      </c>
      <c r="DM5" s="2336">
        <v>85.921451709195409</v>
      </c>
      <c r="DN5" s="2336">
        <v>86.073703040068011</v>
      </c>
      <c r="DO5" s="2336">
        <v>86.218110578519969</v>
      </c>
      <c r="DP5" s="2336">
        <v>86.357877184227817</v>
      </c>
      <c r="DQ5" s="2336">
        <v>86.499897111411869</v>
      </c>
      <c r="DR5" s="2336">
        <v>86.640058001004263</v>
      </c>
      <c r="DS5" s="2336">
        <v>86.778839517265624</v>
      </c>
      <c r="DT5" s="2336">
        <v>86.91625692613907</v>
      </c>
      <c r="DU5" s="2336">
        <v>87.052324699312095</v>
      </c>
    </row>
    <row r="6" spans="1:125" ht="14.25">
      <c r="A6" s="904">
        <v>4</v>
      </c>
      <c r="B6" s="92"/>
      <c r="C6" s="92"/>
      <c r="D6" s="92"/>
      <c r="E6" s="92"/>
      <c r="F6" s="92"/>
      <c r="G6" s="92"/>
      <c r="H6" s="92"/>
      <c r="I6" s="92"/>
      <c r="J6" s="92"/>
      <c r="K6" s="92"/>
      <c r="L6" s="92"/>
      <c r="M6" s="92"/>
      <c r="N6" s="92"/>
      <c r="O6" s="92"/>
      <c r="P6" s="92"/>
      <c r="Q6" s="92"/>
      <c r="R6" s="92"/>
      <c r="S6" s="92"/>
      <c r="T6" s="92"/>
      <c r="U6" s="92"/>
      <c r="V6" s="739"/>
      <c r="W6" s="2338">
        <v>66.09</v>
      </c>
      <c r="X6" s="2338">
        <v>66.31</v>
      </c>
      <c r="Y6" s="2336">
        <v>66.368952781738599</v>
      </c>
      <c r="Z6" s="2336">
        <v>66.595523190272985</v>
      </c>
      <c r="AA6" s="2336">
        <v>66.836722706026421</v>
      </c>
      <c r="AB6" s="2336">
        <v>67.11571926038738</v>
      </c>
      <c r="AC6" s="2336">
        <v>67.24486073945809</v>
      </c>
      <c r="AD6" s="2336">
        <v>67.337635809581442</v>
      </c>
      <c r="AE6" s="2336">
        <v>67.554093659923865</v>
      </c>
      <c r="AF6" s="2336">
        <v>67.846426765668284</v>
      </c>
      <c r="AG6" s="2336">
        <v>68.150391844984341</v>
      </c>
      <c r="AH6" s="2336">
        <v>68.532509640706536</v>
      </c>
      <c r="AI6" s="2336">
        <v>68.869803205472891</v>
      </c>
      <c r="AJ6" s="2336">
        <v>69.245399190485259</v>
      </c>
      <c r="AK6" s="2336">
        <v>69.533813074665929</v>
      </c>
      <c r="AL6" s="2336">
        <v>69.904006204353905</v>
      </c>
      <c r="AM6" s="2336">
        <v>70.289010563566976</v>
      </c>
      <c r="AN6" s="2336">
        <v>70.558501556351089</v>
      </c>
      <c r="AO6" s="2336">
        <v>70.743442373368239</v>
      </c>
      <c r="AP6" s="2336">
        <v>71.028465673068069</v>
      </c>
      <c r="AQ6" s="2336">
        <v>71.317627387528105</v>
      </c>
      <c r="AR6" s="2336">
        <v>71.795511316457564</v>
      </c>
      <c r="AS6" s="2336">
        <v>71.912952829305112</v>
      </c>
      <c r="AT6" s="2336">
        <v>72.127806237952541</v>
      </c>
      <c r="AU6" s="2336">
        <v>72.215274248434042</v>
      </c>
      <c r="AV6" s="2336">
        <v>72.285149212418261</v>
      </c>
      <c r="AW6" s="2336">
        <v>72.649096817311872</v>
      </c>
      <c r="AX6" s="2336">
        <v>72.816456079217801</v>
      </c>
      <c r="AY6" s="2336">
        <v>72.881631374204616</v>
      </c>
      <c r="AZ6" s="2336">
        <v>72.884538707996853</v>
      </c>
      <c r="BA6" s="2336">
        <v>72.908427275759109</v>
      </c>
      <c r="BB6" s="2336">
        <v>73.053120465573755</v>
      </c>
      <c r="BC6" s="2336">
        <v>73.152411672908229</v>
      </c>
      <c r="BD6" s="2336">
        <v>73.30039913287942</v>
      </c>
      <c r="BE6" s="2336">
        <v>73.479123210121713</v>
      </c>
      <c r="BF6" s="2336">
        <v>73.681645920603202</v>
      </c>
      <c r="BG6" s="2336">
        <v>73.822070410180558</v>
      </c>
      <c r="BH6" s="2336">
        <v>74.140395368995868</v>
      </c>
      <c r="BI6" s="2336">
        <v>74.326592856513685</v>
      </c>
      <c r="BJ6" s="2336">
        <v>74.596066433883507</v>
      </c>
      <c r="BK6" s="2336">
        <v>74.816377528003883</v>
      </c>
      <c r="BL6" s="2336">
        <v>75.114145608098539</v>
      </c>
      <c r="BM6" s="2336">
        <v>75.412297178991423</v>
      </c>
      <c r="BN6" s="2336">
        <v>75.660579651080241</v>
      </c>
      <c r="BO6" s="2336">
        <v>75.919901772432866</v>
      </c>
      <c r="BP6" s="2336">
        <v>76.170506033373641</v>
      </c>
      <c r="BQ6" s="2336">
        <v>76.411991030864144</v>
      </c>
      <c r="BR6" s="2336">
        <v>76.646444124380025</v>
      </c>
      <c r="BS6" s="2336">
        <v>76.845005088394771</v>
      </c>
      <c r="BT6" s="2336">
        <v>77.048394013007851</v>
      </c>
      <c r="BU6" s="2336">
        <v>77.206498414254824</v>
      </c>
      <c r="BV6" s="2336">
        <v>77.424420084089803</v>
      </c>
      <c r="BW6" s="2336">
        <v>77.634530073555354</v>
      </c>
      <c r="BX6" s="2336">
        <v>77.828946074291437</v>
      </c>
      <c r="BY6" s="2336">
        <v>78.012177298243842</v>
      </c>
      <c r="BZ6" s="2336">
        <v>78.205763431818454</v>
      </c>
      <c r="CA6" s="2336">
        <v>78.376633470590079</v>
      </c>
      <c r="CB6" s="2336">
        <v>78.542302737952468</v>
      </c>
      <c r="CC6" s="2336">
        <v>78.74738867124907</v>
      </c>
      <c r="CD6" s="2336">
        <v>78.958364265779295</v>
      </c>
      <c r="CE6" s="2336">
        <v>79.144932753912656</v>
      </c>
      <c r="CF6" s="2336">
        <v>79.345399904859292</v>
      </c>
      <c r="CG6" s="2336">
        <v>79.551780787968852</v>
      </c>
      <c r="CH6" s="2336">
        <v>79.736603120152651</v>
      </c>
      <c r="CI6" s="2336">
        <v>79.968073494954396</v>
      </c>
      <c r="CJ6" s="2336">
        <v>80.147418896013392</v>
      </c>
      <c r="CK6" s="2336">
        <v>80.33081520206072</v>
      </c>
      <c r="CL6" s="2336">
        <v>80.543793365572597</v>
      </c>
      <c r="CM6" s="2336">
        <v>80.731995342377971</v>
      </c>
      <c r="CN6" s="2336">
        <v>80.909203192733244</v>
      </c>
      <c r="CO6" s="2336">
        <v>81.093635495179456</v>
      </c>
      <c r="CP6" s="2336">
        <v>81.273734158825349</v>
      </c>
      <c r="CQ6" s="2336">
        <v>81.456969167133948</v>
      </c>
      <c r="CR6" s="2336">
        <v>81.609851931383872</v>
      </c>
      <c r="CS6" s="2336">
        <v>81.793635860973581</v>
      </c>
      <c r="CT6" s="2336">
        <v>81.965825185527535</v>
      </c>
      <c r="CU6" s="2336">
        <v>82.136672492130572</v>
      </c>
      <c r="CV6" s="2336">
        <v>82.298513889247644</v>
      </c>
      <c r="CW6" s="2336">
        <v>82.452276000035781</v>
      </c>
      <c r="CX6" s="2336">
        <v>82.618764871326945</v>
      </c>
      <c r="CY6" s="2336">
        <v>82.775413606286051</v>
      </c>
      <c r="CZ6" s="2336">
        <v>82.936570179164633</v>
      </c>
      <c r="DA6" s="2336">
        <v>83.093738960445663</v>
      </c>
      <c r="DB6" s="2336">
        <v>83.265238710191483</v>
      </c>
      <c r="DC6" s="2336">
        <v>83.418574841564379</v>
      </c>
      <c r="DD6" s="2336">
        <v>83.578143322320074</v>
      </c>
      <c r="DE6" s="2336">
        <v>83.738139155116073</v>
      </c>
      <c r="DF6" s="2336">
        <v>83.885621971652185</v>
      </c>
      <c r="DG6" s="2336">
        <v>84.046126181805661</v>
      </c>
      <c r="DH6" s="2336">
        <v>84.191578597359708</v>
      </c>
      <c r="DI6" s="2336">
        <v>84.339729476653901</v>
      </c>
      <c r="DJ6" s="2336">
        <v>84.494109467842165</v>
      </c>
      <c r="DK6" s="2344">
        <v>84.644865488723724</v>
      </c>
      <c r="DL6" s="2336">
        <v>84.789295601283513</v>
      </c>
      <c r="DM6" s="2336">
        <v>84.933229606913642</v>
      </c>
      <c r="DN6" s="2336">
        <v>85.083014909789469</v>
      </c>
      <c r="DO6" s="2336">
        <v>85.226608370698997</v>
      </c>
      <c r="DP6" s="2336">
        <v>85.368884065218197</v>
      </c>
      <c r="DQ6" s="2336">
        <v>85.510002227041923</v>
      </c>
      <c r="DR6" s="2336">
        <v>85.649742905296208</v>
      </c>
      <c r="DS6" s="2336">
        <v>85.788121513356501</v>
      </c>
      <c r="DT6" s="2336">
        <v>85.925152614106906</v>
      </c>
      <c r="DU6" s="2336">
        <v>86.060850004156251</v>
      </c>
    </row>
    <row r="7" spans="1:125" ht="14.25">
      <c r="A7" s="904">
        <v>5</v>
      </c>
      <c r="B7" s="92"/>
      <c r="C7" s="92"/>
      <c r="D7" s="92"/>
      <c r="E7" s="92"/>
      <c r="F7" s="92"/>
      <c r="G7" s="92"/>
      <c r="H7" s="92"/>
      <c r="I7" s="92"/>
      <c r="J7" s="92"/>
      <c r="K7" s="92"/>
      <c r="L7" s="92"/>
      <c r="M7" s="92"/>
      <c r="N7" s="92"/>
      <c r="O7" s="92"/>
      <c r="P7" s="92"/>
      <c r="Q7" s="92"/>
      <c r="R7" s="92"/>
      <c r="S7" s="92"/>
      <c r="T7" s="92"/>
      <c r="U7" s="92"/>
      <c r="V7" s="739"/>
      <c r="W7" s="2338">
        <v>65.3</v>
      </c>
      <c r="X7" s="2338">
        <v>65.52</v>
      </c>
      <c r="Y7" s="2336">
        <v>65.591493943967521</v>
      </c>
      <c r="Z7" s="2336">
        <v>65.811009240324907</v>
      </c>
      <c r="AA7" s="2336">
        <v>66.089664721836428</v>
      </c>
      <c r="AB7" s="2336">
        <v>66.347063804547503</v>
      </c>
      <c r="AC7" s="2336">
        <v>66.444104046895674</v>
      </c>
      <c r="AD7" s="2336">
        <v>66.521274100617134</v>
      </c>
      <c r="AE7" s="2336">
        <v>66.738326675013397</v>
      </c>
      <c r="AF7" s="2336">
        <v>67.031462974217632</v>
      </c>
      <c r="AG7" s="2336">
        <v>67.36883324113515</v>
      </c>
      <c r="AH7" s="2336">
        <v>67.756332140034786</v>
      </c>
      <c r="AI7" s="2336">
        <v>68.078064659801356</v>
      </c>
      <c r="AJ7" s="2336">
        <v>68.442233981885181</v>
      </c>
      <c r="AK7" s="2336">
        <v>68.748305190155264</v>
      </c>
      <c r="AL7" s="2336">
        <v>69.119648531659593</v>
      </c>
      <c r="AM7" s="2336">
        <v>69.505849122049867</v>
      </c>
      <c r="AN7" s="2336">
        <v>69.776177439191017</v>
      </c>
      <c r="AO7" s="2336">
        <v>69.983592544751744</v>
      </c>
      <c r="AP7" s="2336">
        <v>70.302598721164742</v>
      </c>
      <c r="AQ7" s="2336">
        <v>70.648192727636143</v>
      </c>
      <c r="AR7" s="2336">
        <v>71.005021028069805</v>
      </c>
      <c r="AS7" s="2336">
        <v>71.122807655736423</v>
      </c>
      <c r="AT7" s="2336">
        <v>71.261230107504431</v>
      </c>
      <c r="AU7" s="2336">
        <v>71.32516675356699</v>
      </c>
      <c r="AV7" s="2336">
        <v>71.395148790067054</v>
      </c>
      <c r="AW7" s="2336">
        <v>71.759654088066611</v>
      </c>
      <c r="AX7" s="2336">
        <v>71.905115587192043</v>
      </c>
      <c r="AY7" s="2336">
        <v>71.968868212871172</v>
      </c>
      <c r="AZ7" s="2336">
        <v>71.96108940247214</v>
      </c>
      <c r="BA7" s="2336">
        <v>71.980853351804811</v>
      </c>
      <c r="BB7" s="2336">
        <v>72.12389399788961</v>
      </c>
      <c r="BC7" s="2336">
        <v>72.220760651786975</v>
      </c>
      <c r="BD7" s="2336">
        <v>72.371471836240204</v>
      </c>
      <c r="BE7" s="2336">
        <v>72.544554694739276</v>
      </c>
      <c r="BF7" s="2336">
        <v>72.746060589613535</v>
      </c>
      <c r="BG7" s="2336">
        <v>72.888931702813949</v>
      </c>
      <c r="BH7" s="2336">
        <v>73.19534876385697</v>
      </c>
      <c r="BI7" s="2336">
        <v>73.384616115124615</v>
      </c>
      <c r="BJ7" s="2336">
        <v>73.656731435225709</v>
      </c>
      <c r="BK7" s="2336">
        <v>73.875720480376998</v>
      </c>
      <c r="BL7" s="2336">
        <v>74.171646537688929</v>
      </c>
      <c r="BM7" s="2336">
        <v>74.470990995958829</v>
      </c>
      <c r="BN7" s="2336">
        <v>74.71687030256345</v>
      </c>
      <c r="BO7" s="2336">
        <v>74.980262908861391</v>
      </c>
      <c r="BP7" s="2336">
        <v>75.230686376965153</v>
      </c>
      <c r="BQ7" s="2336">
        <v>75.466575630690059</v>
      </c>
      <c r="BR7" s="2336">
        <v>75.699932119783398</v>
      </c>
      <c r="BS7" s="2336">
        <v>75.894680988619299</v>
      </c>
      <c r="BT7" s="2336">
        <v>76.092236589199288</v>
      </c>
      <c r="BU7" s="2336">
        <v>76.252589493295773</v>
      </c>
      <c r="BV7" s="2336">
        <v>76.466794527371192</v>
      </c>
      <c r="BW7" s="2336">
        <v>76.67653957530537</v>
      </c>
      <c r="BX7" s="2336">
        <v>76.871343982136253</v>
      </c>
      <c r="BY7" s="2336">
        <v>77.052798078874048</v>
      </c>
      <c r="BZ7" s="2336">
        <v>77.239413080392993</v>
      </c>
      <c r="CA7" s="2336">
        <v>77.409408226819139</v>
      </c>
      <c r="CB7" s="2336">
        <v>77.572820804794631</v>
      </c>
      <c r="CC7" s="2336">
        <v>77.77541091732202</v>
      </c>
      <c r="CD7" s="2336">
        <v>77.987480027161496</v>
      </c>
      <c r="CE7" s="2336">
        <v>78.174694162403455</v>
      </c>
      <c r="CF7" s="2336">
        <v>78.373989262566312</v>
      </c>
      <c r="CG7" s="2336">
        <v>78.574684539109228</v>
      </c>
      <c r="CH7" s="2336">
        <v>78.763343399627473</v>
      </c>
      <c r="CI7" s="2336">
        <v>78.99293578737138</v>
      </c>
      <c r="CJ7" s="2336">
        <v>79.169367227321587</v>
      </c>
      <c r="CK7" s="2336">
        <v>79.352593067019043</v>
      </c>
      <c r="CL7" s="2336">
        <v>79.563029943201343</v>
      </c>
      <c r="CM7" s="2336">
        <v>79.752868673907329</v>
      </c>
      <c r="CN7" s="2336">
        <v>79.928021444486532</v>
      </c>
      <c r="CO7" s="2336">
        <v>80.108970281529508</v>
      </c>
      <c r="CP7" s="2336">
        <v>80.291177663032485</v>
      </c>
      <c r="CQ7" s="2336">
        <v>80.469975140807136</v>
      </c>
      <c r="CR7" s="2336">
        <v>80.625221923873937</v>
      </c>
      <c r="CS7" s="2336">
        <v>80.807172028943441</v>
      </c>
      <c r="CT7" s="2336">
        <v>80.978911810254928</v>
      </c>
      <c r="CU7" s="2336">
        <v>81.146606958537475</v>
      </c>
      <c r="CV7" s="2336">
        <v>81.309964981068376</v>
      </c>
      <c r="CW7" s="2336">
        <v>81.464563012784112</v>
      </c>
      <c r="CX7" s="2336">
        <v>81.630366719924552</v>
      </c>
      <c r="CY7" s="2336">
        <v>81.787307937470828</v>
      </c>
      <c r="CZ7" s="2336">
        <v>81.947669996877039</v>
      </c>
      <c r="DA7" s="2336">
        <v>82.106444249700061</v>
      </c>
      <c r="DB7" s="2336">
        <v>82.276181118078071</v>
      </c>
      <c r="DC7" s="2336">
        <v>82.429830494090567</v>
      </c>
      <c r="DD7" s="2336">
        <v>82.588677620406941</v>
      </c>
      <c r="DE7" s="2336">
        <v>82.748012593419148</v>
      </c>
      <c r="DF7" s="2336">
        <v>82.895942257401344</v>
      </c>
      <c r="DG7" s="2336">
        <v>83.053313218404057</v>
      </c>
      <c r="DH7" s="2336">
        <v>83.202102008575849</v>
      </c>
      <c r="DI7" s="2336">
        <v>83.351207127379951</v>
      </c>
      <c r="DJ7" s="2336">
        <v>83.501780348207021</v>
      </c>
      <c r="DK7" s="2344">
        <v>83.652675844271016</v>
      </c>
      <c r="DL7" s="2336">
        <v>83.799358869900715</v>
      </c>
      <c r="DM7" s="2336">
        <v>83.943950886442465</v>
      </c>
      <c r="DN7" s="2336">
        <v>84.091971136791642</v>
      </c>
      <c r="DO7" s="2336">
        <v>84.23492717923024</v>
      </c>
      <c r="DP7" s="2336">
        <v>84.377089273805694</v>
      </c>
      <c r="DQ7" s="2336">
        <v>84.517871777458978</v>
      </c>
      <c r="DR7" s="2336">
        <v>84.657290387048874</v>
      </c>
      <c r="DS7" s="2336">
        <v>84.795359973519155</v>
      </c>
      <c r="DT7" s="2336">
        <v>84.932094578490236</v>
      </c>
      <c r="DU7" s="2336">
        <v>85.067507497686805</v>
      </c>
    </row>
    <row r="8" spans="1:125" ht="14.25">
      <c r="A8" s="904">
        <v>6</v>
      </c>
      <c r="B8" s="92"/>
      <c r="C8" s="92"/>
      <c r="D8" s="92"/>
      <c r="E8" s="92"/>
      <c r="F8" s="92"/>
      <c r="G8" s="92"/>
      <c r="H8" s="92"/>
      <c r="I8" s="92"/>
      <c r="J8" s="92"/>
      <c r="K8" s="92"/>
      <c r="L8" s="92"/>
      <c r="M8" s="92"/>
      <c r="N8" s="92"/>
      <c r="O8" s="92"/>
      <c r="P8" s="92"/>
      <c r="Q8" s="92"/>
      <c r="R8" s="92"/>
      <c r="S8" s="92"/>
      <c r="T8" s="92"/>
      <c r="U8" s="92"/>
      <c r="V8" s="739"/>
      <c r="W8" s="2338">
        <v>64.459999999999994</v>
      </c>
      <c r="X8" s="2338">
        <v>64.69</v>
      </c>
      <c r="Y8" s="2336">
        <v>64.762486471283793</v>
      </c>
      <c r="Z8" s="2336">
        <v>65.011646994348766</v>
      </c>
      <c r="AA8" s="2336">
        <v>65.282427974907435</v>
      </c>
      <c r="AB8" s="2336">
        <v>65.513420800498537</v>
      </c>
      <c r="AC8" s="2336">
        <v>65.597450131200063</v>
      </c>
      <c r="AD8" s="2336">
        <v>65.674799635772132</v>
      </c>
      <c r="AE8" s="2336">
        <v>65.892356943121442</v>
      </c>
      <c r="AF8" s="2336">
        <v>66.213271489704354</v>
      </c>
      <c r="AG8" s="2336">
        <v>66.555011711870009</v>
      </c>
      <c r="AH8" s="2336">
        <v>66.929717503968519</v>
      </c>
      <c r="AI8" s="2336">
        <v>67.241825791904233</v>
      </c>
      <c r="AJ8" s="2336">
        <v>67.620890935886564</v>
      </c>
      <c r="AK8" s="2336">
        <v>67.927766971236551</v>
      </c>
      <c r="AL8" s="2336">
        <v>68.300086775632863</v>
      </c>
      <c r="AM8" s="2336">
        <v>68.687302896674211</v>
      </c>
      <c r="AN8" s="2336">
        <v>68.976611219794449</v>
      </c>
      <c r="AO8" s="2336">
        <v>69.21213030840137</v>
      </c>
      <c r="AP8" s="2336">
        <v>69.578284476463907</v>
      </c>
      <c r="AQ8" s="2336">
        <v>69.808496098741273</v>
      </c>
      <c r="AR8" s="2336">
        <v>70.166139826875067</v>
      </c>
      <c r="AS8" s="2336">
        <v>70.2251333403091</v>
      </c>
      <c r="AT8" s="2336">
        <v>70.346954922961217</v>
      </c>
      <c r="AU8" s="2336">
        <v>70.410969026088551</v>
      </c>
      <c r="AV8" s="2336">
        <v>70.481035843437624</v>
      </c>
      <c r="AW8" s="2336">
        <v>70.827855127939557</v>
      </c>
      <c r="AX8" s="2336">
        <v>70.97352301272872</v>
      </c>
      <c r="AY8" s="2336">
        <v>71.036762770055333</v>
      </c>
      <c r="AZ8" s="2336">
        <v>71.028757671919166</v>
      </c>
      <c r="BA8" s="2336">
        <v>71.043313233123627</v>
      </c>
      <c r="BB8" s="2336">
        <v>71.183126336835358</v>
      </c>
      <c r="BC8" s="2336">
        <v>71.272283704788919</v>
      </c>
      <c r="BD8" s="2336">
        <v>71.428241516853276</v>
      </c>
      <c r="BE8" s="2336">
        <v>71.602426055534323</v>
      </c>
      <c r="BF8" s="2336">
        <v>71.801881457435485</v>
      </c>
      <c r="BG8" s="2336">
        <v>71.940932022562407</v>
      </c>
      <c r="BH8" s="2336">
        <v>72.248543917321996</v>
      </c>
      <c r="BI8" s="2336">
        <v>72.433319886461632</v>
      </c>
      <c r="BJ8" s="2336">
        <v>72.706350591427707</v>
      </c>
      <c r="BK8" s="2336">
        <v>72.928299396063622</v>
      </c>
      <c r="BL8" s="2336">
        <v>73.225743214544437</v>
      </c>
      <c r="BM8" s="2336">
        <v>73.522416480220755</v>
      </c>
      <c r="BN8" s="2336">
        <v>73.774588308654657</v>
      </c>
      <c r="BO8" s="2336">
        <v>74.030013338883847</v>
      </c>
      <c r="BP8" s="2336">
        <v>74.280938076172589</v>
      </c>
      <c r="BQ8" s="2336">
        <v>74.515205984747254</v>
      </c>
      <c r="BR8" s="2336">
        <v>74.744224291313955</v>
      </c>
      <c r="BS8" s="2336">
        <v>74.941161578190005</v>
      </c>
      <c r="BT8" s="2336">
        <v>75.135237012946305</v>
      </c>
      <c r="BU8" s="2336">
        <v>75.294164198348</v>
      </c>
      <c r="BV8" s="2336">
        <v>75.504289190942771</v>
      </c>
      <c r="BW8" s="2336">
        <v>75.71288848422337</v>
      </c>
      <c r="BX8" s="2336">
        <v>75.908281702248573</v>
      </c>
      <c r="BY8" s="2336">
        <v>76.089822021272568</v>
      </c>
      <c r="BZ8" s="2336">
        <v>76.269832438228974</v>
      </c>
      <c r="CA8" s="2336">
        <v>76.4394378502747</v>
      </c>
      <c r="CB8" s="2336">
        <v>76.599146395509038</v>
      </c>
      <c r="CC8" s="2336">
        <v>76.800225961628328</v>
      </c>
      <c r="CD8" s="2336">
        <v>77.009470583580367</v>
      </c>
      <c r="CE8" s="2336">
        <v>77.198594054476615</v>
      </c>
      <c r="CF8" s="2336">
        <v>77.398171763358775</v>
      </c>
      <c r="CG8" s="2336">
        <v>77.596704241274907</v>
      </c>
      <c r="CH8" s="2336">
        <v>77.785148712069926</v>
      </c>
      <c r="CI8" s="2336">
        <v>78.014817147128824</v>
      </c>
      <c r="CJ8" s="2336">
        <v>78.190245641149971</v>
      </c>
      <c r="CK8" s="2336">
        <v>78.368648766634536</v>
      </c>
      <c r="CL8" s="2336">
        <v>78.578125420677608</v>
      </c>
      <c r="CM8" s="2336">
        <v>78.769693222421395</v>
      </c>
      <c r="CN8" s="2336">
        <v>78.94486261776477</v>
      </c>
      <c r="CO8" s="2336">
        <v>79.121177713177445</v>
      </c>
      <c r="CP8" s="2336">
        <v>79.30483371702222</v>
      </c>
      <c r="CQ8" s="2336">
        <v>79.480327036418942</v>
      </c>
      <c r="CR8" s="2336">
        <v>79.633989847524816</v>
      </c>
      <c r="CS8" s="2336">
        <v>79.818301113692527</v>
      </c>
      <c r="CT8" s="2336">
        <v>79.990637746562797</v>
      </c>
      <c r="CU8" s="2336">
        <v>80.156590225570014</v>
      </c>
      <c r="CV8" s="2336">
        <v>80.320671261655207</v>
      </c>
      <c r="CW8" s="2336">
        <v>80.476093710348678</v>
      </c>
      <c r="CX8" s="2336">
        <v>80.638147197486859</v>
      </c>
      <c r="CY8" s="2336">
        <v>80.799924943685511</v>
      </c>
      <c r="CZ8" s="2336">
        <v>80.957109654383331</v>
      </c>
      <c r="DA8" s="2336">
        <v>81.115646372418993</v>
      </c>
      <c r="DB8" s="2336">
        <v>81.284742093280087</v>
      </c>
      <c r="DC8" s="2336">
        <v>81.439378149757303</v>
      </c>
      <c r="DD8" s="2336">
        <v>81.59834914740037</v>
      </c>
      <c r="DE8" s="2336">
        <v>81.757257494385286</v>
      </c>
      <c r="DF8" s="2336">
        <v>81.903764986448948</v>
      </c>
      <c r="DG8" s="2336">
        <v>82.060794823199927</v>
      </c>
      <c r="DH8" s="2336">
        <v>82.209997805716171</v>
      </c>
      <c r="DI8" s="2336">
        <v>82.360312268481735</v>
      </c>
      <c r="DJ8" s="2336">
        <v>82.509503799577729</v>
      </c>
      <c r="DK8" s="2344">
        <v>82.65902185667521</v>
      </c>
      <c r="DL8" s="2336">
        <v>82.80714068226618</v>
      </c>
      <c r="DM8" s="2336">
        <v>82.953253940587274</v>
      </c>
      <c r="DN8" s="2336">
        <v>83.09854658826869</v>
      </c>
      <c r="DO8" s="2336">
        <v>83.241816055724698</v>
      </c>
      <c r="DP8" s="2336">
        <v>83.3837010128683</v>
      </c>
      <c r="DQ8" s="2336">
        <v>83.524217406734351</v>
      </c>
      <c r="DR8" s="2336">
        <v>83.663380501986325</v>
      </c>
      <c r="DS8" s="2336">
        <v>83.801204753903662</v>
      </c>
      <c r="DT8" s="2336">
        <v>83.93770380436672</v>
      </c>
      <c r="DU8" s="2336">
        <v>84.072890564704224</v>
      </c>
    </row>
    <row r="9" spans="1:125" ht="14.25">
      <c r="A9" s="904">
        <v>7</v>
      </c>
      <c r="B9" s="92"/>
      <c r="C9" s="92"/>
      <c r="D9" s="92"/>
      <c r="E9" s="92"/>
      <c r="F9" s="92"/>
      <c r="G9" s="92"/>
      <c r="H9" s="92"/>
      <c r="I9" s="92"/>
      <c r="J9" s="92"/>
      <c r="K9" s="92"/>
      <c r="L9" s="92"/>
      <c r="M9" s="92"/>
      <c r="N9" s="92"/>
      <c r="O9" s="92"/>
      <c r="P9" s="92"/>
      <c r="Q9" s="92"/>
      <c r="R9" s="92"/>
      <c r="S9" s="92"/>
      <c r="T9" s="92"/>
      <c r="U9" s="92"/>
      <c r="V9" s="739"/>
      <c r="W9" s="2338">
        <v>63.59</v>
      </c>
      <c r="X9" s="2338">
        <v>63.84</v>
      </c>
      <c r="Y9" s="2336">
        <v>63.934211700451762</v>
      </c>
      <c r="Z9" s="2336">
        <v>64.185672965991827</v>
      </c>
      <c r="AA9" s="2336">
        <v>64.432660389155117</v>
      </c>
      <c r="AB9" s="2336">
        <v>64.652194975796988</v>
      </c>
      <c r="AC9" s="2336">
        <v>64.736403671019346</v>
      </c>
      <c r="AD9" s="2336">
        <v>64.813918281712176</v>
      </c>
      <c r="AE9" s="2336">
        <v>65.056381387117995</v>
      </c>
      <c r="AF9" s="2336">
        <v>65.381210428424865</v>
      </c>
      <c r="AG9" s="2336">
        <v>65.711321065007681</v>
      </c>
      <c r="AH9" s="2336">
        <v>66.07748296223825</v>
      </c>
      <c r="AI9" s="2336">
        <v>66.402918650737092</v>
      </c>
      <c r="AJ9" s="2336">
        <v>66.782898733545309</v>
      </c>
      <c r="AK9" s="2336">
        <v>67.090515466909693</v>
      </c>
      <c r="AL9" s="2336">
        <v>67.463733929096364</v>
      </c>
      <c r="AM9" s="2336">
        <v>67.868386547002785</v>
      </c>
      <c r="AN9" s="2336">
        <v>68.183336038002679</v>
      </c>
      <c r="AO9" s="2336">
        <v>68.461203689839607</v>
      </c>
      <c r="AP9" s="2336">
        <v>68.710476486553219</v>
      </c>
      <c r="AQ9" s="2336">
        <v>68.941128654471314</v>
      </c>
      <c r="AR9" s="2336">
        <v>69.250678970401779</v>
      </c>
      <c r="AS9" s="2336">
        <v>69.296325592413353</v>
      </c>
      <c r="AT9" s="2336">
        <v>69.418271559952373</v>
      </c>
      <c r="AU9" s="2336">
        <v>69.48235102413318</v>
      </c>
      <c r="AV9" s="2336">
        <v>69.540584268922046</v>
      </c>
      <c r="AW9" s="2336">
        <v>69.88412712895574</v>
      </c>
      <c r="AX9" s="2336">
        <v>70.028415170947184</v>
      </c>
      <c r="AY9" s="2336">
        <v>70.093468447066144</v>
      </c>
      <c r="AZ9" s="2336">
        <v>70.087203426364297</v>
      </c>
      <c r="BA9" s="2336">
        <v>70.096529289469487</v>
      </c>
      <c r="BB9" s="2336">
        <v>70.231518709924799</v>
      </c>
      <c r="BC9" s="2336">
        <v>70.318183065435605</v>
      </c>
      <c r="BD9" s="2336">
        <v>70.481524775896446</v>
      </c>
      <c r="BE9" s="2336">
        <v>70.653058251885327</v>
      </c>
      <c r="BF9" s="2336">
        <v>70.849485547901281</v>
      </c>
      <c r="BG9" s="2336">
        <v>70.987334176966215</v>
      </c>
      <c r="BH9" s="2336">
        <v>71.293422659104678</v>
      </c>
      <c r="BI9" s="2336">
        <v>71.479460566311829</v>
      </c>
      <c r="BJ9" s="2336">
        <v>71.753211056911098</v>
      </c>
      <c r="BK9" s="2336">
        <v>71.978105812769016</v>
      </c>
      <c r="BL9" s="2336">
        <v>72.27543648664053</v>
      </c>
      <c r="BM9" s="2336">
        <v>72.569082222737947</v>
      </c>
      <c r="BN9" s="2336">
        <v>72.822131780025344</v>
      </c>
      <c r="BO9" s="2336">
        <v>73.080153202632502</v>
      </c>
      <c r="BP9" s="2336">
        <v>73.327274922878544</v>
      </c>
      <c r="BQ9" s="2336">
        <v>73.553038326998191</v>
      </c>
      <c r="BR9" s="2336">
        <v>73.78609810348361</v>
      </c>
      <c r="BS9" s="2336">
        <v>73.978832856285962</v>
      </c>
      <c r="BT9" s="2336">
        <v>74.173489233451818</v>
      </c>
      <c r="BU9" s="2336">
        <v>74.328822707505864</v>
      </c>
      <c r="BV9" s="2336">
        <v>74.540939985477124</v>
      </c>
      <c r="BW9" s="2336">
        <v>74.742870156579428</v>
      </c>
      <c r="BX9" s="2336">
        <v>74.938685097892517</v>
      </c>
      <c r="BY9" s="2336">
        <v>75.118391408903804</v>
      </c>
      <c r="BZ9" s="2336">
        <v>75.294973817719054</v>
      </c>
      <c r="CA9" s="2336">
        <v>75.463169610745098</v>
      </c>
      <c r="CB9" s="2336">
        <v>75.619002779407509</v>
      </c>
      <c r="CC9" s="2336">
        <v>75.822760541759351</v>
      </c>
      <c r="CD9" s="2336">
        <v>76.029585437254099</v>
      </c>
      <c r="CE9" s="2336">
        <v>76.219226652861963</v>
      </c>
      <c r="CF9" s="2336">
        <v>76.419054439004142</v>
      </c>
      <c r="CG9" s="2336">
        <v>76.612624848709146</v>
      </c>
      <c r="CH9" s="2336">
        <v>76.803735782058126</v>
      </c>
      <c r="CI9" s="2336">
        <v>77.030336216001047</v>
      </c>
      <c r="CJ9" s="2336">
        <v>77.205904240446273</v>
      </c>
      <c r="CK9" s="2336">
        <v>77.385678528769304</v>
      </c>
      <c r="CL9" s="2336">
        <v>77.590080335330768</v>
      </c>
      <c r="CM9" s="2336">
        <v>77.784082408811884</v>
      </c>
      <c r="CN9" s="2336">
        <v>77.957568023324313</v>
      </c>
      <c r="CO9" s="2336">
        <v>78.133583232935493</v>
      </c>
      <c r="CP9" s="2336">
        <v>78.315741830482224</v>
      </c>
      <c r="CQ9" s="2336">
        <v>78.492991648819057</v>
      </c>
      <c r="CR9" s="2336">
        <v>78.646188159287135</v>
      </c>
      <c r="CS9" s="2336">
        <v>78.82727556008517</v>
      </c>
      <c r="CT9" s="2336">
        <v>79.001821064426935</v>
      </c>
      <c r="CU9" s="2336">
        <v>79.16530897096446</v>
      </c>
      <c r="CV9" s="2336">
        <v>79.329488876131833</v>
      </c>
      <c r="CW9" s="2336">
        <v>79.484899038472108</v>
      </c>
      <c r="CX9" s="2336">
        <v>79.645037480613439</v>
      </c>
      <c r="CY9" s="2336">
        <v>79.809873381235164</v>
      </c>
      <c r="CZ9" s="2336">
        <v>79.965586099149732</v>
      </c>
      <c r="DA9" s="2336">
        <v>80.122082795671403</v>
      </c>
      <c r="DB9" s="2336">
        <v>80.294806491275949</v>
      </c>
      <c r="DC9" s="2336">
        <v>80.448102966438469</v>
      </c>
      <c r="DD9" s="2336">
        <v>80.60415178841761</v>
      </c>
      <c r="DE9" s="2336">
        <v>80.764974491644594</v>
      </c>
      <c r="DF9" s="2336">
        <v>80.911187411969919</v>
      </c>
      <c r="DG9" s="2336">
        <v>81.068020130671115</v>
      </c>
      <c r="DH9" s="2336">
        <v>81.218336708201051</v>
      </c>
      <c r="DI9" s="2336">
        <v>81.367442433655214</v>
      </c>
      <c r="DJ9" s="2336">
        <v>81.517730181384067</v>
      </c>
      <c r="DK9" s="2344">
        <v>81.666330914395743</v>
      </c>
      <c r="DL9" s="2336">
        <v>81.812727775313903</v>
      </c>
      <c r="DM9" s="2336">
        <v>81.960135096967619</v>
      </c>
      <c r="DN9" s="2336">
        <v>82.104557974067859</v>
      </c>
      <c r="DO9" s="2336">
        <v>82.247589691922002</v>
      </c>
      <c r="DP9" s="2336">
        <v>82.389246193864125</v>
      </c>
      <c r="DQ9" s="2336">
        <v>82.529543069437494</v>
      </c>
      <c r="DR9" s="2336">
        <v>82.668495239214394</v>
      </c>
      <c r="DS9" s="2336">
        <v>82.806116827295099</v>
      </c>
      <c r="DT9" s="2336">
        <v>82.942421156829298</v>
      </c>
      <c r="DU9" s="2336">
        <v>83.077420832420231</v>
      </c>
    </row>
    <row r="10" spans="1:125" ht="14.25">
      <c r="A10" s="904">
        <v>8</v>
      </c>
      <c r="B10" s="92"/>
      <c r="C10" s="92"/>
      <c r="D10" s="92"/>
      <c r="E10" s="92"/>
      <c r="F10" s="92"/>
      <c r="G10" s="92"/>
      <c r="H10" s="92"/>
      <c r="I10" s="92"/>
      <c r="J10" s="92"/>
      <c r="K10" s="92"/>
      <c r="L10" s="92"/>
      <c r="M10" s="92"/>
      <c r="N10" s="92"/>
      <c r="O10" s="92"/>
      <c r="P10" s="92"/>
      <c r="Q10" s="92"/>
      <c r="R10" s="92"/>
      <c r="S10" s="92"/>
      <c r="T10" s="92"/>
      <c r="U10" s="92"/>
      <c r="V10" s="739"/>
      <c r="W10" s="2338">
        <v>62.72</v>
      </c>
      <c r="X10" s="2338">
        <v>62.98</v>
      </c>
      <c r="Y10" s="2336">
        <v>63.06756356447994</v>
      </c>
      <c r="Z10" s="2336">
        <v>63.300410441058169</v>
      </c>
      <c r="AA10" s="2336">
        <v>63.558214489554643</v>
      </c>
      <c r="AB10" s="2336">
        <v>63.778180209006635</v>
      </c>
      <c r="AC10" s="2336">
        <v>63.862554277403063</v>
      </c>
      <c r="AD10" s="2336">
        <v>63.962010599926053</v>
      </c>
      <c r="AE10" s="2336">
        <v>64.198561824650938</v>
      </c>
      <c r="AF10" s="2336">
        <v>64.511102741594883</v>
      </c>
      <c r="AG10" s="2336">
        <v>64.841874260333014</v>
      </c>
      <c r="AH10" s="2336">
        <v>65.215340426796729</v>
      </c>
      <c r="AI10" s="2336">
        <v>65.541460248581387</v>
      </c>
      <c r="AJ10" s="2336">
        <v>65.922239128300248</v>
      </c>
      <c r="AK10" s="2336">
        <v>66.230502535812548</v>
      </c>
      <c r="AL10" s="2336">
        <v>66.61861530500623</v>
      </c>
      <c r="AM10" s="2336">
        <v>67.04550752723253</v>
      </c>
      <c r="AN10" s="2336">
        <v>67.396987213991963</v>
      </c>
      <c r="AO10" s="2336">
        <v>67.57420687324921</v>
      </c>
      <c r="AP10" s="2336">
        <v>67.823894150843628</v>
      </c>
      <c r="AQ10" s="2336">
        <v>68.030159992091583</v>
      </c>
      <c r="AR10" s="2336">
        <v>68.315365413890845</v>
      </c>
      <c r="AS10" s="2336">
        <v>68.361054984098416</v>
      </c>
      <c r="AT10" s="2336">
        <v>68.483115688699755</v>
      </c>
      <c r="AU10" s="2336">
        <v>68.533031227620029</v>
      </c>
      <c r="AV10" s="2336">
        <v>68.594110515466284</v>
      </c>
      <c r="AW10" s="2336">
        <v>68.934681167241607</v>
      </c>
      <c r="AX10" s="2336">
        <v>69.074683293389171</v>
      </c>
      <c r="AY10" s="2336">
        <v>69.14323038558797</v>
      </c>
      <c r="AZ10" s="2336">
        <v>69.138656438050688</v>
      </c>
      <c r="BA10" s="2336">
        <v>69.140363324150925</v>
      </c>
      <c r="BB10" s="2336">
        <v>69.280003903623737</v>
      </c>
      <c r="BC10" s="2336">
        <v>69.360072653991111</v>
      </c>
      <c r="BD10" s="2336">
        <v>69.52080867352683</v>
      </c>
      <c r="BE10" s="2336">
        <v>69.692116373349933</v>
      </c>
      <c r="BF10" s="2336">
        <v>69.894772663162428</v>
      </c>
      <c r="BG10" s="2336">
        <v>70.025914992119411</v>
      </c>
      <c r="BH10" s="2336">
        <v>70.337775098071162</v>
      </c>
      <c r="BI10" s="2336">
        <v>70.522767974925401</v>
      </c>
      <c r="BJ10" s="2336">
        <v>70.799920690826923</v>
      </c>
      <c r="BK10" s="2336">
        <v>71.017887600845413</v>
      </c>
      <c r="BL10" s="2336">
        <v>71.318478302213563</v>
      </c>
      <c r="BM10" s="2336">
        <v>71.612104036082712</v>
      </c>
      <c r="BN10" s="2336">
        <v>71.864208313911476</v>
      </c>
      <c r="BO10" s="2336">
        <v>72.122970266725446</v>
      </c>
      <c r="BP10" s="2336">
        <v>72.366287393179178</v>
      </c>
      <c r="BQ10" s="2336">
        <v>72.58956502507381</v>
      </c>
      <c r="BR10" s="2336">
        <v>72.821121449360987</v>
      </c>
      <c r="BS10" s="2336">
        <v>73.012990347170074</v>
      </c>
      <c r="BT10" s="2336">
        <v>73.206322008786557</v>
      </c>
      <c r="BU10" s="2336">
        <v>73.360611736672467</v>
      </c>
      <c r="BV10" s="2336">
        <v>73.573659013147491</v>
      </c>
      <c r="BW10" s="2336">
        <v>73.772239706467118</v>
      </c>
      <c r="BX10" s="2336">
        <v>73.967656130466537</v>
      </c>
      <c r="BY10" s="2336">
        <v>74.144110959876372</v>
      </c>
      <c r="BZ10" s="2336">
        <v>74.317008933065324</v>
      </c>
      <c r="CA10" s="2336">
        <v>74.484019875124488</v>
      </c>
      <c r="CB10" s="2336">
        <v>74.642382466054571</v>
      </c>
      <c r="CC10" s="2336">
        <v>74.842046130724498</v>
      </c>
      <c r="CD10" s="2336">
        <v>75.048539972793264</v>
      </c>
      <c r="CE10" s="2336">
        <v>75.240808701898047</v>
      </c>
      <c r="CF10" s="2336">
        <v>75.436515693989492</v>
      </c>
      <c r="CG10" s="2336">
        <v>75.633716301331049</v>
      </c>
      <c r="CH10" s="2336">
        <v>75.817157738599491</v>
      </c>
      <c r="CI10" s="2336">
        <v>76.04427591717689</v>
      </c>
      <c r="CJ10" s="2336">
        <v>76.219917865276031</v>
      </c>
      <c r="CK10" s="2336">
        <v>76.399654526523221</v>
      </c>
      <c r="CL10" s="2336">
        <v>76.602754548534577</v>
      </c>
      <c r="CM10" s="2336">
        <v>76.79276247815541</v>
      </c>
      <c r="CN10" s="2336">
        <v>76.968196647768721</v>
      </c>
      <c r="CO10" s="2336">
        <v>77.144442035126062</v>
      </c>
      <c r="CP10" s="2336">
        <v>77.325946647897979</v>
      </c>
      <c r="CQ10" s="2336">
        <v>77.501572762014419</v>
      </c>
      <c r="CR10" s="2336">
        <v>77.654913121244931</v>
      </c>
      <c r="CS10" s="2336">
        <v>77.837303049463401</v>
      </c>
      <c r="CT10" s="2336">
        <v>78.012285411722601</v>
      </c>
      <c r="CU10" s="2336">
        <v>78.172612615588562</v>
      </c>
      <c r="CV10" s="2336">
        <v>78.338400344023427</v>
      </c>
      <c r="CW10" s="2336">
        <v>78.49281933890326</v>
      </c>
      <c r="CX10" s="2336">
        <v>78.65405653263025</v>
      </c>
      <c r="CY10" s="2336">
        <v>78.81573579108597</v>
      </c>
      <c r="CZ10" s="2336">
        <v>78.973318957010633</v>
      </c>
      <c r="DA10" s="2336">
        <v>79.126928965995603</v>
      </c>
      <c r="DB10" s="2336">
        <v>79.302080181515493</v>
      </c>
      <c r="DC10" s="2336">
        <v>79.457136803505364</v>
      </c>
      <c r="DD10" s="2336">
        <v>79.610303083020071</v>
      </c>
      <c r="DE10" s="2336">
        <v>79.771410247728014</v>
      </c>
      <c r="DF10" s="2336">
        <v>79.917486548066051</v>
      </c>
      <c r="DG10" s="2336">
        <v>80.073726850561158</v>
      </c>
      <c r="DH10" s="2336">
        <v>80.225206605104617</v>
      </c>
      <c r="DI10" s="2336">
        <v>80.376400684621231</v>
      </c>
      <c r="DJ10" s="2336">
        <v>80.524527781679311</v>
      </c>
      <c r="DK10" s="2344">
        <v>80.672247559299521</v>
      </c>
      <c r="DL10" s="2336">
        <v>80.820007375331585</v>
      </c>
      <c r="DM10" s="2336">
        <v>80.965615652522828</v>
      </c>
      <c r="DN10" s="2336">
        <v>81.109825505935589</v>
      </c>
      <c r="DO10" s="2336">
        <v>81.252652378666639</v>
      </c>
      <c r="DP10" s="2336">
        <v>81.39411190546312</v>
      </c>
      <c r="DQ10" s="2336">
        <v>81.534219378623177</v>
      </c>
      <c r="DR10" s="2336">
        <v>81.67298943239868</v>
      </c>
      <c r="DS10" s="2336">
        <v>81.810435915104563</v>
      </c>
      <c r="DT10" s="2336">
        <v>81.946571884270369</v>
      </c>
      <c r="DU10" s="2336">
        <v>82.08140968869094</v>
      </c>
    </row>
    <row r="11" spans="1:125" ht="14.25">
      <c r="A11" s="904">
        <v>9</v>
      </c>
      <c r="B11" s="92"/>
      <c r="C11" s="92"/>
      <c r="D11" s="92"/>
      <c r="E11" s="92"/>
      <c r="F11" s="92"/>
      <c r="G11" s="92"/>
      <c r="H11" s="92"/>
      <c r="I11" s="92"/>
      <c r="J11" s="92"/>
      <c r="K11" s="92"/>
      <c r="L11" s="92"/>
      <c r="M11" s="92"/>
      <c r="N11" s="92"/>
      <c r="O11" s="92"/>
      <c r="P11" s="92"/>
      <c r="Q11" s="92"/>
      <c r="R11" s="92"/>
      <c r="S11" s="92"/>
      <c r="T11" s="92"/>
      <c r="U11" s="92"/>
      <c r="V11" s="739"/>
      <c r="W11" s="2338">
        <v>61.84</v>
      </c>
      <c r="X11" s="2338">
        <v>62.09</v>
      </c>
      <c r="Y11" s="2336">
        <v>62.167037892685485</v>
      </c>
      <c r="Z11" s="2336">
        <v>62.409243432195872</v>
      </c>
      <c r="AA11" s="2336">
        <v>62.667494254615136</v>
      </c>
      <c r="AB11" s="2336">
        <v>62.887841174238062</v>
      </c>
      <c r="AC11" s="2336">
        <v>62.99130003755922</v>
      </c>
      <c r="AD11" s="2336">
        <v>63.08534729272526</v>
      </c>
      <c r="AE11" s="2336">
        <v>63.311095408471857</v>
      </c>
      <c r="AF11" s="2336">
        <v>63.624188478376048</v>
      </c>
      <c r="AG11" s="2336">
        <v>63.961232432939973</v>
      </c>
      <c r="AH11" s="2336">
        <v>64.335391402336029</v>
      </c>
      <c r="AI11" s="2336">
        <v>64.662116196643268</v>
      </c>
      <c r="AJ11" s="2336">
        <v>65.043601444831694</v>
      </c>
      <c r="AK11" s="2336">
        <v>65.364655002654573</v>
      </c>
      <c r="AL11" s="2336">
        <v>65.77200411343091</v>
      </c>
      <c r="AM11" s="2336">
        <v>66.230848510505197</v>
      </c>
      <c r="AN11" s="2336">
        <v>66.497483439150699</v>
      </c>
      <c r="AO11" s="2336">
        <v>66.674969327240063</v>
      </c>
      <c r="AP11" s="2336">
        <v>66.903020965934033</v>
      </c>
      <c r="AQ11" s="2336">
        <v>67.083550997379518</v>
      </c>
      <c r="AR11" s="2336">
        <v>67.368981909599427</v>
      </c>
      <c r="AS11" s="2336">
        <v>67.414707603104858</v>
      </c>
      <c r="AT11" s="2336">
        <v>67.528294073462902</v>
      </c>
      <c r="AU11" s="2336">
        <v>67.578190951582101</v>
      </c>
      <c r="AV11" s="2336">
        <v>67.638448044527138</v>
      </c>
      <c r="AW11" s="2336">
        <v>67.971529664673483</v>
      </c>
      <c r="AX11" s="2336">
        <v>68.117896174632534</v>
      </c>
      <c r="AY11" s="2336">
        <v>68.187803729303695</v>
      </c>
      <c r="AZ11" s="2336">
        <v>68.178364444037527</v>
      </c>
      <c r="BA11" s="2336">
        <v>68.181631969848382</v>
      </c>
      <c r="BB11" s="2336">
        <v>68.317750079375529</v>
      </c>
      <c r="BC11" s="2336">
        <v>68.403034873122664</v>
      </c>
      <c r="BD11" s="2336">
        <v>68.560291137081663</v>
      </c>
      <c r="BE11" s="2336">
        <v>68.730480009891437</v>
      </c>
      <c r="BF11" s="2336">
        <v>68.932762951121617</v>
      </c>
      <c r="BG11" s="2336">
        <v>69.06683348052961</v>
      </c>
      <c r="BH11" s="2336">
        <v>69.378481359282773</v>
      </c>
      <c r="BI11" s="2336">
        <v>69.563668444228952</v>
      </c>
      <c r="BJ11" s="2336">
        <v>69.836962195238328</v>
      </c>
      <c r="BK11" s="2336">
        <v>70.054989258039527</v>
      </c>
      <c r="BL11" s="2336">
        <v>70.358761109582318</v>
      </c>
      <c r="BM11" s="2336">
        <v>70.650722045055005</v>
      </c>
      <c r="BN11" s="2336">
        <v>70.901407291518865</v>
      </c>
      <c r="BO11" s="2336">
        <v>71.152655801499748</v>
      </c>
      <c r="BP11" s="2336">
        <v>71.39729815041531</v>
      </c>
      <c r="BQ11" s="2336">
        <v>71.622933729404366</v>
      </c>
      <c r="BR11" s="2336">
        <v>71.849014739119056</v>
      </c>
      <c r="BS11" s="2336">
        <v>72.039918460874844</v>
      </c>
      <c r="BT11" s="2336">
        <v>72.238916139028348</v>
      </c>
      <c r="BU11" s="2336">
        <v>72.386710179050112</v>
      </c>
      <c r="BV11" s="2336">
        <v>72.601575128416485</v>
      </c>
      <c r="BW11" s="2336">
        <v>72.796857177266702</v>
      </c>
      <c r="BX11" s="2336">
        <v>72.990600194448518</v>
      </c>
      <c r="BY11" s="2336">
        <v>73.165648442720681</v>
      </c>
      <c r="BZ11" s="2336">
        <v>73.336284038103059</v>
      </c>
      <c r="CA11" s="2336">
        <v>73.504438203640277</v>
      </c>
      <c r="CB11" s="2336">
        <v>73.663019221203641</v>
      </c>
      <c r="CC11" s="2336">
        <v>73.857603316250035</v>
      </c>
      <c r="CD11" s="2336">
        <v>74.066729296620949</v>
      </c>
      <c r="CE11" s="2336">
        <v>74.261661870709048</v>
      </c>
      <c r="CF11" s="2336">
        <v>74.455715057935024</v>
      </c>
      <c r="CG11" s="2336">
        <v>74.648515284833152</v>
      </c>
      <c r="CH11" s="2336">
        <v>74.830072851563813</v>
      </c>
      <c r="CI11" s="2336">
        <v>75.057572976493617</v>
      </c>
      <c r="CJ11" s="2336">
        <v>75.230422251389669</v>
      </c>
      <c r="CK11" s="2336">
        <v>75.410988915652354</v>
      </c>
      <c r="CL11" s="2336">
        <v>75.612898216620877</v>
      </c>
      <c r="CM11" s="2336">
        <v>75.804324951435518</v>
      </c>
      <c r="CN11" s="2336">
        <v>75.979310665181046</v>
      </c>
      <c r="CO11" s="2336">
        <v>76.157210174058335</v>
      </c>
      <c r="CP11" s="2336">
        <v>76.333671342146431</v>
      </c>
      <c r="CQ11" s="2336">
        <v>76.508736634548072</v>
      </c>
      <c r="CR11" s="2336">
        <v>76.664840775534515</v>
      </c>
      <c r="CS11" s="2336">
        <v>76.848351602513901</v>
      </c>
      <c r="CT11" s="2336">
        <v>77.020549011629356</v>
      </c>
      <c r="CU11" s="2336">
        <v>77.180383049777433</v>
      </c>
      <c r="CV11" s="2336">
        <v>77.346060096074581</v>
      </c>
      <c r="CW11" s="2336">
        <v>77.50319418655404</v>
      </c>
      <c r="CX11" s="2336">
        <v>77.659800019835686</v>
      </c>
      <c r="CY11" s="2336">
        <v>77.821316617408996</v>
      </c>
      <c r="CZ11" s="2336">
        <v>77.98119531968905</v>
      </c>
      <c r="DA11" s="2336">
        <v>78.134740110761157</v>
      </c>
      <c r="DB11" s="2336">
        <v>78.308365556825208</v>
      </c>
      <c r="DC11" s="2336">
        <v>78.462235635841097</v>
      </c>
      <c r="DD11" s="2336">
        <v>78.615868579402132</v>
      </c>
      <c r="DE11" s="2336">
        <v>78.777848151412755</v>
      </c>
      <c r="DF11" s="2336">
        <v>78.924659922796423</v>
      </c>
      <c r="DG11" s="2336">
        <v>79.080811267443778</v>
      </c>
      <c r="DH11" s="2336">
        <v>79.23172670512885</v>
      </c>
      <c r="DI11" s="2336">
        <v>79.380900769569379</v>
      </c>
      <c r="DJ11" s="2336">
        <v>79.530369867597841</v>
      </c>
      <c r="DK11" s="2344">
        <v>79.678436722011142</v>
      </c>
      <c r="DL11" s="2336">
        <v>79.82524996695733</v>
      </c>
      <c r="DM11" s="2336">
        <v>79.970658042844391</v>
      </c>
      <c r="DN11" s="2336">
        <v>80.11467524062418</v>
      </c>
      <c r="DO11" s="2336">
        <v>80.257316724210554</v>
      </c>
      <c r="DP11" s="2336">
        <v>80.398597859240581</v>
      </c>
      <c r="DQ11" s="2336">
        <v>80.538533678595456</v>
      </c>
      <c r="DR11" s="2336">
        <v>80.67713856645338</v>
      </c>
      <c r="DS11" s="2336">
        <v>80.814426130072604</v>
      </c>
      <c r="DT11" s="2336">
        <v>80.950409194634105</v>
      </c>
      <c r="DU11" s="2336">
        <v>81.085099884996623</v>
      </c>
    </row>
    <row r="12" spans="1:125" ht="14.25">
      <c r="A12" s="904">
        <v>10</v>
      </c>
      <c r="B12" s="92"/>
      <c r="C12" s="92"/>
      <c r="D12" s="92"/>
      <c r="E12" s="92"/>
      <c r="F12" s="92"/>
      <c r="G12" s="92"/>
      <c r="H12" s="92"/>
      <c r="I12" s="92"/>
      <c r="J12" s="92"/>
      <c r="K12" s="92"/>
      <c r="L12" s="92"/>
      <c r="M12" s="92"/>
      <c r="N12" s="92"/>
      <c r="O12" s="92"/>
      <c r="P12" s="92"/>
      <c r="Q12" s="92"/>
      <c r="R12" s="92"/>
      <c r="S12" s="92"/>
      <c r="T12" s="92"/>
      <c r="U12" s="92"/>
      <c r="V12" s="739"/>
      <c r="W12" s="2338">
        <v>60.94</v>
      </c>
      <c r="X12" s="2338">
        <v>61.18</v>
      </c>
      <c r="Y12" s="2336">
        <v>61.260295939554211</v>
      </c>
      <c r="Z12" s="2336">
        <v>61.502867762517276</v>
      </c>
      <c r="AA12" s="2336">
        <v>61.761509133406591</v>
      </c>
      <c r="AB12" s="2336">
        <v>61.998457405658598</v>
      </c>
      <c r="AC12" s="2336">
        <v>62.097279461402572</v>
      </c>
      <c r="AD12" s="2336">
        <v>62.18183199813943</v>
      </c>
      <c r="AE12" s="2336">
        <v>62.407928138485836</v>
      </c>
      <c r="AF12" s="2336">
        <v>62.726372423475958</v>
      </c>
      <c r="AG12" s="2336">
        <v>63.063961976831408</v>
      </c>
      <c r="AH12" s="2336">
        <v>63.438726625928204</v>
      </c>
      <c r="AI12" s="2336">
        <v>63.765980314614112</v>
      </c>
      <c r="AJ12" s="2336">
        <v>64.158549875418572</v>
      </c>
      <c r="AK12" s="2336">
        <v>64.4959598549449</v>
      </c>
      <c r="AL12" s="2336">
        <v>64.930623665689737</v>
      </c>
      <c r="AM12" s="2336">
        <v>65.326296640634126</v>
      </c>
      <c r="AN12" s="2336">
        <v>65.593318751340135</v>
      </c>
      <c r="AO12" s="2336">
        <v>65.750150298953955</v>
      </c>
      <c r="AP12" s="2336">
        <v>65.95286061139258</v>
      </c>
      <c r="AQ12" s="2336">
        <v>66.13352614198601</v>
      </c>
      <c r="AR12" s="2336">
        <v>66.419171288065471</v>
      </c>
      <c r="AS12" s="2336">
        <v>66.456543405373964</v>
      </c>
      <c r="AT12" s="2336">
        <v>66.565023068314318</v>
      </c>
      <c r="AU12" s="2336">
        <v>66.618882837423627</v>
      </c>
      <c r="AV12" s="2336">
        <v>66.68054541978384</v>
      </c>
      <c r="AW12" s="2336">
        <v>67.011311720231973</v>
      </c>
      <c r="AX12" s="2336">
        <v>67.154373703800658</v>
      </c>
      <c r="AY12" s="2336">
        <v>67.226621154474557</v>
      </c>
      <c r="AZ12" s="2336">
        <v>67.217370050677658</v>
      </c>
      <c r="BA12" s="2336">
        <v>67.213349355809299</v>
      </c>
      <c r="BB12" s="2336">
        <v>67.355459998392533</v>
      </c>
      <c r="BC12" s="2336">
        <v>67.436000585873316</v>
      </c>
      <c r="BD12" s="2336">
        <v>67.596808728777674</v>
      </c>
      <c r="BE12" s="2336">
        <v>67.764640485839138</v>
      </c>
      <c r="BF12" s="2336">
        <v>67.966123607237904</v>
      </c>
      <c r="BG12" s="2336">
        <v>68.100801541499607</v>
      </c>
      <c r="BH12" s="2336">
        <v>68.412930884507105</v>
      </c>
      <c r="BI12" s="2336">
        <v>68.597456788042152</v>
      </c>
      <c r="BJ12" s="2336">
        <v>68.870742017255949</v>
      </c>
      <c r="BK12" s="2336">
        <v>69.089394967986067</v>
      </c>
      <c r="BL12" s="2336">
        <v>69.390660976328903</v>
      </c>
      <c r="BM12" s="2336">
        <v>69.68456258221093</v>
      </c>
      <c r="BN12" s="2336">
        <v>69.930975723921421</v>
      </c>
      <c r="BO12" s="2336">
        <v>70.179746851949488</v>
      </c>
      <c r="BP12" s="2336">
        <v>70.423708151183803</v>
      </c>
      <c r="BQ12" s="2336">
        <v>70.647942401781364</v>
      </c>
      <c r="BR12" s="2336">
        <v>70.87558591948445</v>
      </c>
      <c r="BS12" s="2336">
        <v>71.065410546422513</v>
      </c>
      <c r="BT12" s="2336">
        <v>71.264503652794517</v>
      </c>
      <c r="BU12" s="2336">
        <v>71.408798953354761</v>
      </c>
      <c r="BV12" s="2336">
        <v>71.623297407312748</v>
      </c>
      <c r="BW12" s="2336">
        <v>71.816567848994353</v>
      </c>
      <c r="BX12" s="2336">
        <v>72.013713713686982</v>
      </c>
      <c r="BY12" s="2336">
        <v>72.181929049438153</v>
      </c>
      <c r="BZ12" s="2336">
        <v>72.350323699224333</v>
      </c>
      <c r="CA12" s="2336">
        <v>72.521440297967146</v>
      </c>
      <c r="CB12" s="2336">
        <v>72.681015179713597</v>
      </c>
      <c r="CC12" s="2336">
        <v>72.875440387191375</v>
      </c>
      <c r="CD12" s="2336">
        <v>73.080311379225662</v>
      </c>
      <c r="CE12" s="2336">
        <v>73.275536857910353</v>
      </c>
      <c r="CF12" s="2336">
        <v>73.468573372471937</v>
      </c>
      <c r="CG12" s="2336">
        <v>73.66079017652963</v>
      </c>
      <c r="CH12" s="2336">
        <v>73.842528179022295</v>
      </c>
      <c r="CI12" s="2336">
        <v>74.068620426850799</v>
      </c>
      <c r="CJ12" s="2336">
        <v>74.241659950523058</v>
      </c>
      <c r="CK12" s="2336">
        <v>74.422884207864328</v>
      </c>
      <c r="CL12" s="2336">
        <v>74.621675182796864</v>
      </c>
      <c r="CM12" s="2336">
        <v>74.81307343897528</v>
      </c>
      <c r="CN12" s="2336">
        <v>74.987941169753228</v>
      </c>
      <c r="CO12" s="2336">
        <v>75.168944878376976</v>
      </c>
      <c r="CP12" s="2336">
        <v>75.341098859626655</v>
      </c>
      <c r="CQ12" s="2336">
        <v>75.516332304273519</v>
      </c>
      <c r="CR12" s="2336">
        <v>75.673308642476243</v>
      </c>
      <c r="CS12" s="2336">
        <v>75.855997868842309</v>
      </c>
      <c r="CT12" s="2336">
        <v>76.02870800915278</v>
      </c>
      <c r="CU12" s="2336">
        <v>76.187694495181105</v>
      </c>
      <c r="CV12" s="2336">
        <v>76.353250193661964</v>
      </c>
      <c r="CW12" s="2336">
        <v>76.50880472536555</v>
      </c>
      <c r="CX12" s="2336">
        <v>76.666248277304362</v>
      </c>
      <c r="CY12" s="2336">
        <v>76.82745182588252</v>
      </c>
      <c r="CZ12" s="2336">
        <v>76.987903462253357</v>
      </c>
      <c r="DA12" s="2336">
        <v>77.142844502404927</v>
      </c>
      <c r="DB12" s="2336">
        <v>77.316235590642549</v>
      </c>
      <c r="DC12" s="2336">
        <v>77.46851847072061</v>
      </c>
      <c r="DD12" s="2336">
        <v>77.621683359876911</v>
      </c>
      <c r="DE12" s="2336">
        <v>77.783692503888332</v>
      </c>
      <c r="DF12" s="2336">
        <v>77.93105306373738</v>
      </c>
      <c r="DG12" s="2336">
        <v>78.087328187454617</v>
      </c>
      <c r="DH12" s="2336">
        <v>78.237293965109288</v>
      </c>
      <c r="DI12" s="2336">
        <v>78.387001193516468</v>
      </c>
      <c r="DJ12" s="2336">
        <v>78.535665181452202</v>
      </c>
      <c r="DK12" s="2344">
        <v>78.683692079848129</v>
      </c>
      <c r="DL12" s="2336">
        <v>78.830308219328856</v>
      </c>
      <c r="DM12" s="2336">
        <v>78.975526480053929</v>
      </c>
      <c r="DN12" s="2336">
        <v>79.119360888560081</v>
      </c>
      <c r="DO12" s="2336">
        <v>79.261826353722839</v>
      </c>
      <c r="DP12" s="2336">
        <v>79.402937995155654</v>
      </c>
      <c r="DQ12" s="2336">
        <v>79.542710608395879</v>
      </c>
      <c r="DR12" s="2336">
        <v>79.681158348649859</v>
      </c>
      <c r="DS12" s="2336">
        <v>79.818294602290194</v>
      </c>
      <c r="DT12" s="2336">
        <v>79.95413198142802</v>
      </c>
      <c r="DU12" s="2336">
        <v>80.088682405409742</v>
      </c>
    </row>
    <row r="13" spans="1:125" ht="14.25">
      <c r="A13" s="904">
        <v>11</v>
      </c>
      <c r="B13" s="92"/>
      <c r="C13" s="92"/>
      <c r="D13" s="92"/>
      <c r="E13" s="92"/>
      <c r="F13" s="92"/>
      <c r="G13" s="92"/>
      <c r="H13" s="92"/>
      <c r="I13" s="92"/>
      <c r="J13" s="92"/>
      <c r="K13" s="92"/>
      <c r="L13" s="92"/>
      <c r="M13" s="92"/>
      <c r="N13" s="92"/>
      <c r="O13" s="92"/>
      <c r="P13" s="92"/>
      <c r="Q13" s="92"/>
      <c r="R13" s="92"/>
      <c r="S13" s="92"/>
      <c r="T13" s="92"/>
      <c r="U13" s="92"/>
      <c r="V13" s="739"/>
      <c r="W13" s="2338">
        <v>60.01</v>
      </c>
      <c r="X13" s="2338">
        <v>60.26</v>
      </c>
      <c r="Y13" s="2336">
        <v>60.341214755178605</v>
      </c>
      <c r="Z13" s="2336">
        <v>60.584109628322949</v>
      </c>
      <c r="AA13" s="2336">
        <v>60.85716013110671</v>
      </c>
      <c r="AB13" s="2336">
        <v>61.090301898836508</v>
      </c>
      <c r="AC13" s="2336">
        <v>61.180905635733879</v>
      </c>
      <c r="AD13" s="2336">
        <v>61.265572963338769</v>
      </c>
      <c r="AE13" s="2336">
        <v>61.496180030542703</v>
      </c>
      <c r="AF13" s="2336">
        <v>61.815078268871432</v>
      </c>
      <c r="AG13" s="2336">
        <v>62.153149067807504</v>
      </c>
      <c r="AH13" s="2336">
        <v>62.528447956869257</v>
      </c>
      <c r="AI13" s="2336">
        <v>62.865201085506207</v>
      </c>
      <c r="AJ13" s="2336">
        <v>63.272024645810006</v>
      </c>
      <c r="AK13" s="2336">
        <v>63.63290014169668</v>
      </c>
      <c r="AL13" s="2336">
        <v>64.023537559775818</v>
      </c>
      <c r="AM13" s="2336">
        <v>64.419781125454776</v>
      </c>
      <c r="AN13" s="2336">
        <v>64.666760276540131</v>
      </c>
      <c r="AO13" s="2336">
        <v>64.79585739913334</v>
      </c>
      <c r="AP13" s="2336">
        <v>64.998709708188315</v>
      </c>
      <c r="AQ13" s="2336">
        <v>65.179501793241272</v>
      </c>
      <c r="AR13" s="2336">
        <v>65.460859646290629</v>
      </c>
      <c r="AS13" s="2336">
        <v>65.490852571087288</v>
      </c>
      <c r="AT13" s="2336">
        <v>65.600433431467138</v>
      </c>
      <c r="AU13" s="2336">
        <v>65.655190393942931</v>
      </c>
      <c r="AV13" s="2336">
        <v>65.713845196721522</v>
      </c>
      <c r="AW13" s="2336">
        <v>66.047347828070528</v>
      </c>
      <c r="AX13" s="2336">
        <v>66.183268147592898</v>
      </c>
      <c r="AY13" s="2336">
        <v>66.259731159079067</v>
      </c>
      <c r="AZ13" s="2336">
        <v>66.245048078748781</v>
      </c>
      <c r="BA13" s="2336">
        <v>66.244790946763388</v>
      </c>
      <c r="BB13" s="2336">
        <v>66.385727396196913</v>
      </c>
      <c r="BC13" s="2336">
        <v>66.466826030692317</v>
      </c>
      <c r="BD13" s="2336">
        <v>66.629640759904419</v>
      </c>
      <c r="BE13" s="2336">
        <v>66.798021313995477</v>
      </c>
      <c r="BF13" s="2336">
        <v>67.000175528454506</v>
      </c>
      <c r="BG13" s="2336">
        <v>67.133923335932678</v>
      </c>
      <c r="BH13" s="2336">
        <v>67.446373354049342</v>
      </c>
      <c r="BI13" s="2336">
        <v>67.633214826307253</v>
      </c>
      <c r="BJ13" s="2336">
        <v>67.903456252994161</v>
      </c>
      <c r="BK13" s="2336">
        <v>68.119938002135001</v>
      </c>
      <c r="BL13" s="2336">
        <v>68.420334753036983</v>
      </c>
      <c r="BM13" s="2336">
        <v>68.71070621627311</v>
      </c>
      <c r="BN13" s="2336">
        <v>68.95469071705007</v>
      </c>
      <c r="BO13" s="2336">
        <v>69.203653277542145</v>
      </c>
      <c r="BP13" s="2336">
        <v>69.447530547067075</v>
      </c>
      <c r="BQ13" s="2336">
        <v>69.670945998946294</v>
      </c>
      <c r="BR13" s="2336">
        <v>69.898179172188648</v>
      </c>
      <c r="BS13" s="2336">
        <v>70.086406648333792</v>
      </c>
      <c r="BT13" s="2336">
        <v>70.287702872647273</v>
      </c>
      <c r="BU13" s="2336">
        <v>70.42651923754616</v>
      </c>
      <c r="BV13" s="2336">
        <v>70.639421190114675</v>
      </c>
      <c r="BW13" s="2336">
        <v>70.833980983049116</v>
      </c>
      <c r="BX13" s="2336">
        <v>71.028277220571582</v>
      </c>
      <c r="BY13" s="2336">
        <v>71.197059908066421</v>
      </c>
      <c r="BZ13" s="2336">
        <v>71.369580000440365</v>
      </c>
      <c r="CA13" s="2336">
        <v>71.537128049077978</v>
      </c>
      <c r="CB13" s="2336">
        <v>71.693317718327606</v>
      </c>
      <c r="CC13" s="2336">
        <v>71.89212402318195</v>
      </c>
      <c r="CD13" s="2336">
        <v>72.093867928322894</v>
      </c>
      <c r="CE13" s="2336">
        <v>72.287614241689994</v>
      </c>
      <c r="CF13" s="2336">
        <v>72.479367023553138</v>
      </c>
      <c r="CG13" s="2336">
        <v>72.672626570258956</v>
      </c>
      <c r="CH13" s="2336">
        <v>72.853746287222123</v>
      </c>
      <c r="CI13" s="2336">
        <v>73.077983329023439</v>
      </c>
      <c r="CJ13" s="2336">
        <v>73.251596605053834</v>
      </c>
      <c r="CK13" s="2336">
        <v>73.433677678506086</v>
      </c>
      <c r="CL13" s="2336">
        <v>73.630478256471349</v>
      </c>
      <c r="CM13" s="2336">
        <v>73.821377591569373</v>
      </c>
      <c r="CN13" s="2336">
        <v>73.996595006896911</v>
      </c>
      <c r="CO13" s="2336">
        <v>74.176309137684939</v>
      </c>
      <c r="CP13" s="2336">
        <v>74.348581786166079</v>
      </c>
      <c r="CQ13" s="2336">
        <v>74.522747977827109</v>
      </c>
      <c r="CR13" s="2336">
        <v>74.679803136863711</v>
      </c>
      <c r="CS13" s="2336">
        <v>74.862033410255265</v>
      </c>
      <c r="CT13" s="2336">
        <v>75.034018807427074</v>
      </c>
      <c r="CU13" s="2336">
        <v>75.196181150582419</v>
      </c>
      <c r="CV13" s="2336">
        <v>75.358671951996243</v>
      </c>
      <c r="CW13" s="2336">
        <v>75.516063342918841</v>
      </c>
      <c r="CX13" s="2336">
        <v>75.673009235289499</v>
      </c>
      <c r="CY13" s="2336">
        <v>75.834298018986885</v>
      </c>
      <c r="CZ13" s="2336">
        <v>75.992849030664317</v>
      </c>
      <c r="DA13" s="2336">
        <v>76.14807719600212</v>
      </c>
      <c r="DB13" s="2336">
        <v>76.321018885728307</v>
      </c>
      <c r="DC13" s="2336">
        <v>76.474806067730796</v>
      </c>
      <c r="DD13" s="2336">
        <v>76.627966688754043</v>
      </c>
      <c r="DE13" s="2336">
        <v>76.788592327476721</v>
      </c>
      <c r="DF13" s="2336">
        <v>76.938124526556265</v>
      </c>
      <c r="DG13" s="2336">
        <v>77.09268581642516</v>
      </c>
      <c r="DH13" s="2336">
        <v>77.242152311921132</v>
      </c>
      <c r="DI13" s="2336">
        <v>77.391928794847288</v>
      </c>
      <c r="DJ13" s="2336">
        <v>77.541168106519478</v>
      </c>
      <c r="DK13" s="2344">
        <v>77.688992366904799</v>
      </c>
      <c r="DL13" s="2336">
        <v>77.835413220548844</v>
      </c>
      <c r="DM13" s="2336">
        <v>77.980443286313161</v>
      </c>
      <c r="DN13" s="2336">
        <v>78.124096338524168</v>
      </c>
      <c r="DO13" s="2336">
        <v>78.266387042607903</v>
      </c>
      <c r="DP13" s="2336">
        <v>78.40733028315428</v>
      </c>
      <c r="DQ13" s="2336">
        <v>78.546940628793735</v>
      </c>
      <c r="DR13" s="2336">
        <v>78.685232015659992</v>
      </c>
      <c r="DS13" s="2336">
        <v>78.822217618625942</v>
      </c>
      <c r="DT13" s="2336">
        <v>78.957909845629203</v>
      </c>
      <c r="DU13" s="2336">
        <v>79.092320418933156</v>
      </c>
    </row>
    <row r="14" spans="1:125" ht="14.25">
      <c r="A14" s="904">
        <v>12</v>
      </c>
      <c r="B14" s="92"/>
      <c r="C14" s="92"/>
      <c r="D14" s="92"/>
      <c r="E14" s="92"/>
      <c r="F14" s="92"/>
      <c r="G14" s="92"/>
      <c r="H14" s="92"/>
      <c r="I14" s="92"/>
      <c r="J14" s="92"/>
      <c r="K14" s="92"/>
      <c r="L14" s="92"/>
      <c r="M14" s="92"/>
      <c r="N14" s="92"/>
      <c r="O14" s="92"/>
      <c r="P14" s="92"/>
      <c r="Q14" s="92"/>
      <c r="R14" s="92"/>
      <c r="S14" s="92"/>
      <c r="T14" s="92"/>
      <c r="U14" s="92"/>
      <c r="V14" s="739"/>
      <c r="W14" s="2338">
        <v>59.09</v>
      </c>
      <c r="X14" s="2338">
        <v>59.33</v>
      </c>
      <c r="Y14" s="2336">
        <v>59.41431021363924</v>
      </c>
      <c r="Z14" s="2336">
        <v>59.67015223400427</v>
      </c>
      <c r="AA14" s="2336">
        <v>59.939834758655309</v>
      </c>
      <c r="AB14" s="2336">
        <v>60.165749118886907</v>
      </c>
      <c r="AC14" s="2336">
        <v>60.256465675820834</v>
      </c>
      <c r="AD14" s="2336">
        <v>60.345022677924604</v>
      </c>
      <c r="AE14" s="2336">
        <v>60.575931259041383</v>
      </c>
      <c r="AF14" s="2336">
        <v>60.895246450140931</v>
      </c>
      <c r="AG14" s="2336">
        <v>61.233759269569454</v>
      </c>
      <c r="AH14" s="2336">
        <v>61.617670609467503</v>
      </c>
      <c r="AI14" s="2336">
        <v>61.967160906675424</v>
      </c>
      <c r="AJ14" s="2336">
        <v>62.395214842348103</v>
      </c>
      <c r="AK14" s="2336">
        <v>62.722043222640607</v>
      </c>
      <c r="AL14" s="2336">
        <v>63.113232217202068</v>
      </c>
      <c r="AM14" s="2336">
        <v>63.490394499724147</v>
      </c>
      <c r="AN14" s="2336">
        <v>63.711065912019414</v>
      </c>
      <c r="AO14" s="2336">
        <v>63.840252173132797</v>
      </c>
      <c r="AP14" s="2336">
        <v>64.043244546925692</v>
      </c>
      <c r="AQ14" s="2336">
        <v>64.221627312449954</v>
      </c>
      <c r="AR14" s="2336">
        <v>64.491423281519289</v>
      </c>
      <c r="AS14" s="2336">
        <v>64.525650015496865</v>
      </c>
      <c r="AT14" s="2336">
        <v>64.637127603059909</v>
      </c>
      <c r="AU14" s="2336">
        <v>64.690606519310293</v>
      </c>
      <c r="AV14" s="2336">
        <v>64.744426038484875</v>
      </c>
      <c r="AW14" s="2336">
        <v>65.07750999678413</v>
      </c>
      <c r="AX14" s="2336">
        <v>65.214304385736256</v>
      </c>
      <c r="AY14" s="2336">
        <v>65.289199892311686</v>
      </c>
      <c r="AZ14" s="2336">
        <v>65.275253721896931</v>
      </c>
      <c r="BA14" s="2336">
        <v>65.272655888383454</v>
      </c>
      <c r="BB14" s="2336">
        <v>65.414179101282301</v>
      </c>
      <c r="BC14" s="2336">
        <v>65.496105228097818</v>
      </c>
      <c r="BD14" s="2336">
        <v>65.659995826744833</v>
      </c>
      <c r="BE14" s="2336">
        <v>65.829052392686563</v>
      </c>
      <c r="BF14" s="2336">
        <v>66.029794702486413</v>
      </c>
      <c r="BG14" s="2336">
        <v>66.162806481078306</v>
      </c>
      <c r="BH14" s="2336">
        <v>66.475354294496071</v>
      </c>
      <c r="BI14" s="2336">
        <v>66.660562600305099</v>
      </c>
      <c r="BJ14" s="2336">
        <v>66.928947363692131</v>
      </c>
      <c r="BK14" s="2336">
        <v>67.147467412069219</v>
      </c>
      <c r="BL14" s="2336">
        <v>67.445673986556898</v>
      </c>
      <c r="BM14" s="2336">
        <v>67.735617827833138</v>
      </c>
      <c r="BN14" s="2336">
        <v>67.980261703054779</v>
      </c>
      <c r="BO14" s="2336">
        <v>68.228549552674053</v>
      </c>
      <c r="BP14" s="2336">
        <v>68.469218693712293</v>
      </c>
      <c r="BQ14" s="2336">
        <v>68.693562367554179</v>
      </c>
      <c r="BR14" s="2336">
        <v>68.917535701678929</v>
      </c>
      <c r="BS14" s="2336">
        <v>69.107549859718276</v>
      </c>
      <c r="BT14" s="2336">
        <v>69.309488170932852</v>
      </c>
      <c r="BU14" s="2336">
        <v>69.445354417230874</v>
      </c>
      <c r="BV14" s="2336">
        <v>69.65677095383414</v>
      </c>
      <c r="BW14" s="2336">
        <v>69.847237258307842</v>
      </c>
      <c r="BX14" s="2336">
        <v>70.045337750887114</v>
      </c>
      <c r="BY14" s="2336">
        <v>70.211195919144075</v>
      </c>
      <c r="BZ14" s="2336">
        <v>70.385262235600194</v>
      </c>
      <c r="CA14" s="2336">
        <v>70.550876628889057</v>
      </c>
      <c r="CB14" s="2336">
        <v>70.710604140737132</v>
      </c>
      <c r="CC14" s="2336">
        <v>70.909705774379717</v>
      </c>
      <c r="CD14" s="2336">
        <v>71.105347390583404</v>
      </c>
      <c r="CE14" s="2336">
        <v>71.299391081973369</v>
      </c>
      <c r="CF14" s="2336">
        <v>71.494264555839322</v>
      </c>
      <c r="CG14" s="2336">
        <v>71.685800834358432</v>
      </c>
      <c r="CH14" s="2336">
        <v>71.863292231908616</v>
      </c>
      <c r="CI14" s="2336">
        <v>72.088747316080998</v>
      </c>
      <c r="CJ14" s="2336">
        <v>72.260912640906284</v>
      </c>
      <c r="CK14" s="2336">
        <v>72.443415842243894</v>
      </c>
      <c r="CL14" s="2336">
        <v>72.641489552764313</v>
      </c>
      <c r="CM14" s="2336">
        <v>72.830612551108558</v>
      </c>
      <c r="CN14" s="2336">
        <v>73.007198464219982</v>
      </c>
      <c r="CO14" s="2336">
        <v>73.186678502079133</v>
      </c>
      <c r="CP14" s="2336">
        <v>73.359377322780205</v>
      </c>
      <c r="CQ14" s="2336">
        <v>73.532758450562085</v>
      </c>
      <c r="CR14" s="2336">
        <v>73.686207431671704</v>
      </c>
      <c r="CS14" s="2336">
        <v>73.86817647516385</v>
      </c>
      <c r="CT14" s="2336">
        <v>74.041791777812364</v>
      </c>
      <c r="CU14" s="2336">
        <v>74.203847211508716</v>
      </c>
      <c r="CV14" s="2336">
        <v>74.365127619206788</v>
      </c>
      <c r="CW14" s="2336">
        <v>74.520228322545833</v>
      </c>
      <c r="CX14" s="2336">
        <v>74.681756020465357</v>
      </c>
      <c r="CY14" s="2336">
        <v>74.839444818478427</v>
      </c>
      <c r="CZ14" s="2336">
        <v>74.99830952485793</v>
      </c>
      <c r="DA14" s="2336">
        <v>75.156879113181247</v>
      </c>
      <c r="DB14" s="2336">
        <v>75.325453694525507</v>
      </c>
      <c r="DC14" s="2336">
        <v>75.481539198037069</v>
      </c>
      <c r="DD14" s="2336">
        <v>75.633700338146994</v>
      </c>
      <c r="DE14" s="2336">
        <v>75.793991891648147</v>
      </c>
      <c r="DF14" s="2336">
        <v>75.943274822990347</v>
      </c>
      <c r="DG14" s="2336">
        <v>76.097134183141478</v>
      </c>
      <c r="DH14" s="2336">
        <v>76.247487875521315</v>
      </c>
      <c r="DI14" s="2336">
        <v>76.397928348096784</v>
      </c>
      <c r="DJ14" s="2336">
        <v>76.546950824691564</v>
      </c>
      <c r="DK14" s="2344">
        <v>76.694565964360834</v>
      </c>
      <c r="DL14" s="2336">
        <v>76.84078514312705</v>
      </c>
      <c r="DM14" s="2336">
        <v>76.985620720455486</v>
      </c>
      <c r="DN14" s="2336">
        <v>77.129086220110295</v>
      </c>
      <c r="DO14" s="2336">
        <v>77.271196065476488</v>
      </c>
      <c r="DP14" s="2336">
        <v>77.411964907300927</v>
      </c>
      <c r="DQ14" s="2336">
        <v>77.551407088271972</v>
      </c>
      <c r="DR14" s="2336">
        <v>77.689536326212377</v>
      </c>
      <c r="DS14" s="2336">
        <v>77.826365585066455</v>
      </c>
      <c r="DT14" s="2336">
        <v>77.961907068991678</v>
      </c>
      <c r="DU14" s="2336">
        <v>78.096172303396159</v>
      </c>
    </row>
    <row r="15" spans="1:125" ht="14.25">
      <c r="A15" s="904">
        <v>13</v>
      </c>
      <c r="B15" s="92"/>
      <c r="C15" s="92"/>
      <c r="D15" s="92"/>
      <c r="E15" s="92"/>
      <c r="F15" s="92"/>
      <c r="G15" s="92"/>
      <c r="H15" s="92"/>
      <c r="I15" s="92"/>
      <c r="J15" s="92"/>
      <c r="K15" s="92"/>
      <c r="L15" s="92"/>
      <c r="M15" s="92"/>
      <c r="N15" s="92"/>
      <c r="O15" s="92"/>
      <c r="P15" s="92"/>
      <c r="Q15" s="92"/>
      <c r="R15" s="92"/>
      <c r="S15" s="92"/>
      <c r="T15" s="92"/>
      <c r="U15" s="92"/>
      <c r="V15" s="739"/>
      <c r="W15" s="2338">
        <v>58.16</v>
      </c>
      <c r="X15" s="2338">
        <v>58.4</v>
      </c>
      <c r="Y15" s="2336">
        <v>58.502748007304952</v>
      </c>
      <c r="Z15" s="2336">
        <v>58.758974078738831</v>
      </c>
      <c r="AA15" s="2336">
        <v>59.023108819159773</v>
      </c>
      <c r="AB15" s="2336">
        <v>59.243365043092204</v>
      </c>
      <c r="AC15" s="2336">
        <v>59.340183330125001</v>
      </c>
      <c r="AD15" s="2336">
        <v>59.42886439887836</v>
      </c>
      <c r="AE15" s="2336">
        <v>59.660096478457632</v>
      </c>
      <c r="AF15" s="2336">
        <v>59.979859023972807</v>
      </c>
      <c r="AG15" s="2336">
        <v>60.327367890085831</v>
      </c>
      <c r="AH15" s="2336">
        <v>60.724738954796656</v>
      </c>
      <c r="AI15" s="2336">
        <v>61.096422911386036</v>
      </c>
      <c r="AJ15" s="2336">
        <v>61.478886338905625</v>
      </c>
      <c r="AK15" s="2336">
        <v>61.806156533961463</v>
      </c>
      <c r="AL15" s="2336">
        <v>62.175876771696515</v>
      </c>
      <c r="AM15" s="2336">
        <v>62.534518662788102</v>
      </c>
      <c r="AN15" s="2336">
        <v>62.755344653276708</v>
      </c>
      <c r="AO15" s="2336">
        <v>62.884621408118484</v>
      </c>
      <c r="AP15" s="2336">
        <v>63.079709367959197</v>
      </c>
      <c r="AQ15" s="2336">
        <v>63.257597408109952</v>
      </c>
      <c r="AR15" s="2336">
        <v>63.524503167778114</v>
      </c>
      <c r="AS15" s="2336">
        <v>63.55932186535717</v>
      </c>
      <c r="AT15" s="2336">
        <v>63.670086276343532</v>
      </c>
      <c r="AU15" s="2336">
        <v>63.721703193293102</v>
      </c>
      <c r="AV15" s="2336">
        <v>63.776265313442217</v>
      </c>
      <c r="AW15" s="2336">
        <v>64.106224668114947</v>
      </c>
      <c r="AX15" s="2336">
        <v>64.240611183170813</v>
      </c>
      <c r="AY15" s="2336">
        <v>64.317382569351395</v>
      </c>
      <c r="AZ15" s="2336">
        <v>64.305721114055672</v>
      </c>
      <c r="BA15" s="2336">
        <v>64.303249186975961</v>
      </c>
      <c r="BB15" s="2336">
        <v>64.442633345892617</v>
      </c>
      <c r="BC15" s="2336">
        <v>64.527242063173162</v>
      </c>
      <c r="BD15" s="2336">
        <v>64.690221623415113</v>
      </c>
      <c r="BE15" s="2336">
        <v>64.859008229719819</v>
      </c>
      <c r="BF15" s="2336">
        <v>65.054013592886633</v>
      </c>
      <c r="BG15" s="2336">
        <v>65.194497636820245</v>
      </c>
      <c r="BH15" s="2336">
        <v>65.509270577789238</v>
      </c>
      <c r="BI15" s="2336">
        <v>65.690175003291856</v>
      </c>
      <c r="BJ15" s="2336">
        <v>65.959624882478849</v>
      </c>
      <c r="BK15" s="2336">
        <v>66.172178562830325</v>
      </c>
      <c r="BL15" s="2336">
        <v>66.472207359198393</v>
      </c>
      <c r="BM15" s="2336">
        <v>66.760866326532991</v>
      </c>
      <c r="BN15" s="2336">
        <v>67.00625320387141</v>
      </c>
      <c r="BO15" s="2336">
        <v>67.252461660954097</v>
      </c>
      <c r="BP15" s="2336">
        <v>67.490840583871531</v>
      </c>
      <c r="BQ15" s="2336">
        <v>67.715017175389207</v>
      </c>
      <c r="BR15" s="2336">
        <v>67.937480927549842</v>
      </c>
      <c r="BS15" s="2336">
        <v>68.124552136608457</v>
      </c>
      <c r="BT15" s="2336">
        <v>68.328394570675144</v>
      </c>
      <c r="BU15" s="2336">
        <v>68.46169896880005</v>
      </c>
      <c r="BV15" s="2336">
        <v>68.673653535352145</v>
      </c>
      <c r="BW15" s="2336">
        <v>68.864951697984992</v>
      </c>
      <c r="BX15" s="2336">
        <v>69.059455411281377</v>
      </c>
      <c r="BY15" s="2336">
        <v>69.226145416752118</v>
      </c>
      <c r="BZ15" s="2336">
        <v>69.399878187860494</v>
      </c>
      <c r="CA15" s="2336">
        <v>69.56494083703862</v>
      </c>
      <c r="CB15" s="2336">
        <v>69.723766343330396</v>
      </c>
      <c r="CC15" s="2336">
        <v>69.924704300750363</v>
      </c>
      <c r="CD15" s="2336">
        <v>70.118690350768432</v>
      </c>
      <c r="CE15" s="2336">
        <v>70.313513302214972</v>
      </c>
      <c r="CF15" s="2336">
        <v>70.505356519375169</v>
      </c>
      <c r="CG15" s="2336">
        <v>70.695897466606624</v>
      </c>
      <c r="CH15" s="2336">
        <v>70.875456668696245</v>
      </c>
      <c r="CI15" s="2336">
        <v>71.098241581712159</v>
      </c>
      <c r="CJ15" s="2336">
        <v>71.272799278921667</v>
      </c>
      <c r="CK15" s="2336">
        <v>71.454910693040134</v>
      </c>
      <c r="CL15" s="2336">
        <v>71.652325589058847</v>
      </c>
      <c r="CM15" s="2336">
        <v>71.842966860685976</v>
      </c>
      <c r="CN15" s="2336">
        <v>72.016600669368728</v>
      </c>
      <c r="CO15" s="2336">
        <v>72.194942794334281</v>
      </c>
      <c r="CP15" s="2336">
        <v>72.369000285686937</v>
      </c>
      <c r="CQ15" s="2336">
        <v>72.542974566027056</v>
      </c>
      <c r="CR15" s="2336">
        <v>72.695234324106451</v>
      </c>
      <c r="CS15" s="2336">
        <v>72.877175809664422</v>
      </c>
      <c r="CT15" s="2336">
        <v>73.048035357886036</v>
      </c>
      <c r="CU15" s="2336">
        <v>73.212643186242971</v>
      </c>
      <c r="CV15" s="2336">
        <v>73.374260966918754</v>
      </c>
      <c r="CW15" s="2336">
        <v>73.528428192748834</v>
      </c>
      <c r="CX15" s="2336">
        <v>73.68717501636344</v>
      </c>
      <c r="CY15" s="2336">
        <v>73.846050947046436</v>
      </c>
      <c r="CZ15" s="2336">
        <v>74.00464267751201</v>
      </c>
      <c r="DA15" s="2336">
        <v>74.162631666052135</v>
      </c>
      <c r="DB15" s="2336">
        <v>74.329579247759895</v>
      </c>
      <c r="DC15" s="2336">
        <v>74.48672928869739</v>
      </c>
      <c r="DD15" s="2336">
        <v>74.641524879141556</v>
      </c>
      <c r="DE15" s="2336">
        <v>74.80065634305177</v>
      </c>
      <c r="DF15" s="2336">
        <v>74.949302247114474</v>
      </c>
      <c r="DG15" s="2336">
        <v>75.102657210999354</v>
      </c>
      <c r="DH15" s="2336">
        <v>75.254276429791275</v>
      </c>
      <c r="DI15" s="2336">
        <v>75.404476178017646</v>
      </c>
      <c r="DJ15" s="2336">
        <v>75.553266324643502</v>
      </c>
      <c r="DK15" s="2344">
        <v>75.700657242705702</v>
      </c>
      <c r="DL15" s="2336">
        <v>75.84666003169319</v>
      </c>
      <c r="DM15" s="2336">
        <v>75.991286783735802</v>
      </c>
      <c r="DN15" s="2336">
        <v>76.134550764173341</v>
      </c>
      <c r="DO15" s="2336">
        <v>76.276466146566435</v>
      </c>
      <c r="DP15" s="2336">
        <v>76.417047340113655</v>
      </c>
      <c r="DQ15" s="2336">
        <v>76.55630845393469</v>
      </c>
      <c r="DR15" s="2336">
        <v>76.694262979995855</v>
      </c>
      <c r="DS15" s="2336">
        <v>76.830923663851905</v>
      </c>
      <c r="DT15" s="2336">
        <v>76.96630249850736</v>
      </c>
      <c r="DU15" s="2336">
        <v>77.100419337335879</v>
      </c>
    </row>
    <row r="16" spans="1:125" ht="14.25">
      <c r="A16" s="904">
        <v>14</v>
      </c>
      <c r="B16" s="92"/>
      <c r="C16" s="92"/>
      <c r="D16" s="92"/>
      <c r="E16" s="92"/>
      <c r="F16" s="92"/>
      <c r="G16" s="92"/>
      <c r="H16" s="92"/>
      <c r="I16" s="92"/>
      <c r="J16" s="92"/>
      <c r="K16" s="92"/>
      <c r="L16" s="92"/>
      <c r="M16" s="92"/>
      <c r="N16" s="92"/>
      <c r="O16" s="92"/>
      <c r="P16" s="92"/>
      <c r="Q16" s="92"/>
      <c r="R16" s="92"/>
      <c r="S16" s="92"/>
      <c r="T16" s="92"/>
      <c r="U16" s="92"/>
      <c r="V16" s="739"/>
      <c r="W16" s="2338">
        <v>57.22</v>
      </c>
      <c r="X16" s="2338">
        <v>57.5</v>
      </c>
      <c r="Y16" s="2336">
        <v>57.596786960449009</v>
      </c>
      <c r="Z16" s="2336">
        <v>57.842003017951775</v>
      </c>
      <c r="AA16" s="2336">
        <v>58.10055265978415</v>
      </c>
      <c r="AB16" s="2336">
        <v>58.327084321751911</v>
      </c>
      <c r="AC16" s="2336">
        <v>58.424040591298059</v>
      </c>
      <c r="AD16" s="2336">
        <v>58.512848045645804</v>
      </c>
      <c r="AE16" s="2336">
        <v>58.744409670236514</v>
      </c>
      <c r="AF16" s="2336">
        <v>59.073118113503128</v>
      </c>
      <c r="AG16" s="2336">
        <v>59.433986086027673</v>
      </c>
      <c r="AH16" s="2336">
        <v>59.853576494858494</v>
      </c>
      <c r="AI16" s="2336">
        <v>60.178338668588623</v>
      </c>
      <c r="AJ16" s="2336">
        <v>60.56131911971724</v>
      </c>
      <c r="AK16" s="2336">
        <v>60.867493358907893</v>
      </c>
      <c r="AL16" s="2336">
        <v>61.224021508473122</v>
      </c>
      <c r="AM16" s="2336">
        <v>61.582943358607821</v>
      </c>
      <c r="AN16" s="2336">
        <v>61.803941727824416</v>
      </c>
      <c r="AO16" s="2336">
        <v>61.922934725478996</v>
      </c>
      <c r="AP16" s="2336">
        <v>62.116726234612663</v>
      </c>
      <c r="AQ16" s="2336">
        <v>62.29114846451774</v>
      </c>
      <c r="AR16" s="2336">
        <v>62.561249113837633</v>
      </c>
      <c r="AS16" s="2336">
        <v>62.594910978009551</v>
      </c>
      <c r="AT16" s="2336">
        <v>62.701395609493986</v>
      </c>
      <c r="AU16" s="2336">
        <v>62.7547008874417</v>
      </c>
      <c r="AV16" s="2336">
        <v>62.809317179541786</v>
      </c>
      <c r="AW16" s="2336">
        <v>63.139109505219103</v>
      </c>
      <c r="AX16" s="2336">
        <v>63.275620959166034</v>
      </c>
      <c r="AY16" s="2336">
        <v>63.345982932088681</v>
      </c>
      <c r="AZ16" s="2336">
        <v>63.336897598363372</v>
      </c>
      <c r="BA16" s="2336">
        <v>63.333020153514333</v>
      </c>
      <c r="BB16" s="2336">
        <v>63.473132238807473</v>
      </c>
      <c r="BC16" s="2336">
        <v>63.559922843953906</v>
      </c>
      <c r="BD16" s="2336">
        <v>63.722459212858737</v>
      </c>
      <c r="BE16" s="2336">
        <v>63.889404285050432</v>
      </c>
      <c r="BF16" s="2336">
        <v>64.085377827223226</v>
      </c>
      <c r="BG16" s="2336">
        <v>64.226055339433984</v>
      </c>
      <c r="BH16" s="2336">
        <v>64.54088596132658</v>
      </c>
      <c r="BI16" s="2336">
        <v>64.718500244300913</v>
      </c>
      <c r="BJ16" s="2336">
        <v>64.989110297577056</v>
      </c>
      <c r="BK16" s="2336">
        <v>65.200159509731023</v>
      </c>
      <c r="BL16" s="2336">
        <v>65.496462636184518</v>
      </c>
      <c r="BM16" s="2336">
        <v>65.786323704391236</v>
      </c>
      <c r="BN16" s="2336">
        <v>66.03290533141444</v>
      </c>
      <c r="BO16" s="2336">
        <v>66.27406821230484</v>
      </c>
      <c r="BP16" s="2336">
        <v>66.516254327091758</v>
      </c>
      <c r="BQ16" s="2336">
        <v>66.736368146177185</v>
      </c>
      <c r="BR16" s="2336">
        <v>66.958665456826822</v>
      </c>
      <c r="BS16" s="2336">
        <v>67.144979312208392</v>
      </c>
      <c r="BT16" s="2336">
        <v>67.349364145909206</v>
      </c>
      <c r="BU16" s="2336">
        <v>67.481052934460351</v>
      </c>
      <c r="BV16" s="2336">
        <v>67.693013327011357</v>
      </c>
      <c r="BW16" s="2336">
        <v>67.883700401534185</v>
      </c>
      <c r="BX16" s="2336">
        <v>68.072452238586678</v>
      </c>
      <c r="BY16" s="2336">
        <v>68.242846243967165</v>
      </c>
      <c r="BZ16" s="2336">
        <v>68.416815196503649</v>
      </c>
      <c r="CA16" s="2336">
        <v>68.578635297996499</v>
      </c>
      <c r="CB16" s="2336">
        <v>68.739337084920109</v>
      </c>
      <c r="CC16" s="2336">
        <v>68.939637756900439</v>
      </c>
      <c r="CD16" s="2336">
        <v>69.133082070846655</v>
      </c>
      <c r="CE16" s="2336">
        <v>69.327941214884561</v>
      </c>
      <c r="CF16" s="2336">
        <v>69.517394513383309</v>
      </c>
      <c r="CG16" s="2336">
        <v>69.70746768672457</v>
      </c>
      <c r="CH16" s="2336">
        <v>69.891244360560691</v>
      </c>
      <c r="CI16" s="2336">
        <v>70.110348865382775</v>
      </c>
      <c r="CJ16" s="2336">
        <v>70.283152736807267</v>
      </c>
      <c r="CK16" s="2336">
        <v>70.467957279363205</v>
      </c>
      <c r="CL16" s="2336">
        <v>70.664538739887817</v>
      </c>
      <c r="CM16" s="2336">
        <v>70.853795840735017</v>
      </c>
      <c r="CN16" s="2336">
        <v>71.023975922527256</v>
      </c>
      <c r="CO16" s="2336">
        <v>71.20419963417821</v>
      </c>
      <c r="CP16" s="2336">
        <v>71.381147233970296</v>
      </c>
      <c r="CQ16" s="2336">
        <v>71.550491468389694</v>
      </c>
      <c r="CR16" s="2336">
        <v>71.701645856438915</v>
      </c>
      <c r="CS16" s="2336">
        <v>71.883335923957674</v>
      </c>
      <c r="CT16" s="2336">
        <v>72.05647729574234</v>
      </c>
      <c r="CU16" s="2336">
        <v>72.219793531251554</v>
      </c>
      <c r="CV16" s="2336">
        <v>72.386130368794085</v>
      </c>
      <c r="CW16" s="2336">
        <v>72.535572240782486</v>
      </c>
      <c r="CX16" s="2336">
        <v>72.693777948508355</v>
      </c>
      <c r="CY16" s="2336">
        <v>72.851752325707565</v>
      </c>
      <c r="CZ16" s="2336">
        <v>73.013082106197771</v>
      </c>
      <c r="DA16" s="2336">
        <v>73.169006506331428</v>
      </c>
      <c r="DB16" s="2336">
        <v>73.335732674170075</v>
      </c>
      <c r="DC16" s="2336">
        <v>73.495335774299448</v>
      </c>
      <c r="DD16" s="2336">
        <v>73.648016124121597</v>
      </c>
      <c r="DE16" s="2336">
        <v>73.806814040728668</v>
      </c>
      <c r="DF16" s="2336">
        <v>73.957841480038397</v>
      </c>
      <c r="DG16" s="2336">
        <v>74.110603568165047</v>
      </c>
      <c r="DH16" s="2336">
        <v>74.261946418811192</v>
      </c>
      <c r="DI16" s="2336">
        <v>74.411879241079873</v>
      </c>
      <c r="DJ16" s="2336">
        <v>74.560411589191816</v>
      </c>
      <c r="DK16" s="2344">
        <v>74.707553531614408</v>
      </c>
      <c r="DL16" s="2336">
        <v>74.85331587314414</v>
      </c>
      <c r="DM16" s="2336">
        <v>74.997710420806612</v>
      </c>
      <c r="DN16" s="2336">
        <v>75.140750164134261</v>
      </c>
      <c r="DO16" s="2336">
        <v>75.282449009857586</v>
      </c>
      <c r="DP16" s="2336">
        <v>75.422821108985644</v>
      </c>
      <c r="DQ16" s="2336">
        <v>75.561880320783189</v>
      </c>
      <c r="DR16" s="2336">
        <v>75.699639895421811</v>
      </c>
      <c r="DS16" s="2336">
        <v>75.836112344471744</v>
      </c>
      <c r="DT16" s="2336">
        <v>75.971319142060722</v>
      </c>
      <c r="DU16" s="2336">
        <v>76.105269553212793</v>
      </c>
    </row>
    <row r="17" spans="1:125" ht="14.25">
      <c r="A17" s="904">
        <v>15</v>
      </c>
      <c r="B17" s="92"/>
      <c r="C17" s="92"/>
      <c r="D17" s="92"/>
      <c r="E17" s="92"/>
      <c r="F17" s="92"/>
      <c r="G17" s="92"/>
      <c r="H17" s="92"/>
      <c r="I17" s="92"/>
      <c r="J17" s="92"/>
      <c r="K17" s="92"/>
      <c r="L17" s="92"/>
      <c r="M17" s="92"/>
      <c r="N17" s="92"/>
      <c r="O17" s="92"/>
      <c r="P17" s="92"/>
      <c r="Q17" s="92"/>
      <c r="R17" s="92"/>
      <c r="S17" s="92"/>
      <c r="T17" s="92"/>
      <c r="U17" s="92"/>
      <c r="V17" s="739"/>
      <c r="W17" s="2338">
        <v>56.33</v>
      </c>
      <c r="X17" s="2338">
        <v>56.6</v>
      </c>
      <c r="Y17" s="2336">
        <v>56.687138552356252</v>
      </c>
      <c r="Z17" s="2336">
        <v>56.92625593791783</v>
      </c>
      <c r="AA17" s="2336">
        <v>57.191701424970411</v>
      </c>
      <c r="AB17" s="2336">
        <v>57.418591557131776</v>
      </c>
      <c r="AC17" s="2336">
        <v>57.515701253057337</v>
      </c>
      <c r="AD17" s="2336">
        <v>57.604649238865797</v>
      </c>
      <c r="AE17" s="2336">
        <v>57.845810101398982</v>
      </c>
      <c r="AF17" s="2336">
        <v>58.189023692369261</v>
      </c>
      <c r="AG17" s="2336">
        <v>58.573985097930034</v>
      </c>
      <c r="AH17" s="2336">
        <v>58.942145291342591</v>
      </c>
      <c r="AI17" s="2336">
        <v>59.267392082791986</v>
      </c>
      <c r="AJ17" s="2336">
        <v>59.627649063711857</v>
      </c>
      <c r="AK17" s="2336">
        <v>59.920663542825579</v>
      </c>
      <c r="AL17" s="2336">
        <v>60.277505713501</v>
      </c>
      <c r="AM17" s="2336">
        <v>60.63674369305771</v>
      </c>
      <c r="AN17" s="2336">
        <v>60.849435984395548</v>
      </c>
      <c r="AO17" s="2336">
        <v>60.96282859796446</v>
      </c>
      <c r="AP17" s="2336">
        <v>61.156766426281443</v>
      </c>
      <c r="AQ17" s="2336">
        <v>61.329819025299471</v>
      </c>
      <c r="AR17" s="2336">
        <v>61.601515614569315</v>
      </c>
      <c r="AS17" s="2336">
        <v>61.635293074238625</v>
      </c>
      <c r="AT17" s="2336">
        <v>61.741411828561958</v>
      </c>
      <c r="AU17" s="2336">
        <v>61.788016804683629</v>
      </c>
      <c r="AV17" s="2336">
        <v>61.845511129850721</v>
      </c>
      <c r="AW17" s="2336">
        <v>62.171532130348275</v>
      </c>
      <c r="AX17" s="2336">
        <v>62.31472540782336</v>
      </c>
      <c r="AY17" s="2336">
        <v>62.379059169571711</v>
      </c>
      <c r="AZ17" s="2336">
        <v>62.37463452013651</v>
      </c>
      <c r="BA17" s="2336">
        <v>62.369508043443545</v>
      </c>
      <c r="BB17" s="2336">
        <v>62.511349460285309</v>
      </c>
      <c r="BC17" s="2336">
        <v>62.598484319966389</v>
      </c>
      <c r="BD17" s="2336">
        <v>62.756795264840292</v>
      </c>
      <c r="BE17" s="2336">
        <v>62.925103315038037</v>
      </c>
      <c r="BF17" s="2336">
        <v>63.12074930759411</v>
      </c>
      <c r="BG17" s="2336">
        <v>63.263782133872532</v>
      </c>
      <c r="BH17" s="2336">
        <v>63.573703092977922</v>
      </c>
      <c r="BI17" s="2336">
        <v>63.748836640567035</v>
      </c>
      <c r="BJ17" s="2336">
        <v>64.019077491064067</v>
      </c>
      <c r="BK17" s="2336">
        <v>64.234895617908109</v>
      </c>
      <c r="BL17" s="2336">
        <v>64.525560744897817</v>
      </c>
      <c r="BM17" s="2336">
        <v>64.818352088579488</v>
      </c>
      <c r="BN17" s="2336">
        <v>65.059068830468803</v>
      </c>
      <c r="BO17" s="2336">
        <v>65.302004121769258</v>
      </c>
      <c r="BP17" s="2336">
        <v>65.544347896798101</v>
      </c>
      <c r="BQ17" s="2336">
        <v>65.759636079162888</v>
      </c>
      <c r="BR17" s="2336">
        <v>65.98324746050811</v>
      </c>
      <c r="BS17" s="2336">
        <v>66.166393465092312</v>
      </c>
      <c r="BT17" s="2336">
        <v>66.37009849517608</v>
      </c>
      <c r="BU17" s="2336">
        <v>66.502325430123093</v>
      </c>
      <c r="BV17" s="2336">
        <v>66.711857327510486</v>
      </c>
      <c r="BW17" s="2336">
        <v>66.905812067026503</v>
      </c>
      <c r="BX17" s="2336">
        <v>67.090346066057776</v>
      </c>
      <c r="BY17" s="2336">
        <v>67.259929560723478</v>
      </c>
      <c r="BZ17" s="2336">
        <v>67.438057977802515</v>
      </c>
      <c r="CA17" s="2336">
        <v>67.595649133394431</v>
      </c>
      <c r="CB17" s="2336">
        <v>67.756236483487527</v>
      </c>
      <c r="CC17" s="2336">
        <v>67.956395762763421</v>
      </c>
      <c r="CD17" s="2336">
        <v>68.148332188697722</v>
      </c>
      <c r="CE17" s="2336">
        <v>68.345566544736201</v>
      </c>
      <c r="CF17" s="2336">
        <v>68.533983313704042</v>
      </c>
      <c r="CG17" s="2336">
        <v>68.72272160319848</v>
      </c>
      <c r="CH17" s="2336">
        <v>68.907686112339903</v>
      </c>
      <c r="CI17" s="2336">
        <v>69.12450272722954</v>
      </c>
      <c r="CJ17" s="2336">
        <v>69.297110741345705</v>
      </c>
      <c r="CK17" s="2336">
        <v>69.48091496111951</v>
      </c>
      <c r="CL17" s="2336">
        <v>69.678357526239196</v>
      </c>
      <c r="CM17" s="2336">
        <v>69.865746147541913</v>
      </c>
      <c r="CN17" s="2336">
        <v>70.036365620382298</v>
      </c>
      <c r="CO17" s="2336">
        <v>70.213322137720866</v>
      </c>
      <c r="CP17" s="2336">
        <v>70.393621678373705</v>
      </c>
      <c r="CQ17" s="2336">
        <v>70.559592127835543</v>
      </c>
      <c r="CR17" s="2336">
        <v>70.715698599062108</v>
      </c>
      <c r="CS17" s="2336">
        <v>70.893335697098507</v>
      </c>
      <c r="CT17" s="2336">
        <v>71.067815945988499</v>
      </c>
      <c r="CU17" s="2336">
        <v>71.228716576781295</v>
      </c>
      <c r="CV17" s="2336">
        <v>71.393908029122727</v>
      </c>
      <c r="CW17" s="2336">
        <v>71.543842814371473</v>
      </c>
      <c r="CX17" s="2336">
        <v>71.703467894730863</v>
      </c>
      <c r="CY17" s="2336">
        <v>71.859285435429641</v>
      </c>
      <c r="CZ17" s="2336">
        <v>72.022599256656562</v>
      </c>
      <c r="DA17" s="2336">
        <v>72.179589944748528</v>
      </c>
      <c r="DB17" s="2336">
        <v>72.345155636894432</v>
      </c>
      <c r="DC17" s="2336">
        <v>72.503003537844037</v>
      </c>
      <c r="DD17" s="2336">
        <v>72.658249444598965</v>
      </c>
      <c r="DE17" s="2336">
        <v>72.813572938182844</v>
      </c>
      <c r="DF17" s="2336">
        <v>72.967425766840577</v>
      </c>
      <c r="DG17" s="2336">
        <v>73.119861042569639</v>
      </c>
      <c r="DH17" s="2336">
        <v>73.270888015686182</v>
      </c>
      <c r="DI17" s="2336">
        <v>73.420515538895003</v>
      </c>
      <c r="DJ17" s="2336">
        <v>73.568752821243237</v>
      </c>
      <c r="DK17" s="2344">
        <v>73.715609596929411</v>
      </c>
      <c r="DL17" s="2336">
        <v>73.861096347077179</v>
      </c>
      <c r="DM17" s="2336">
        <v>74.005224565335695</v>
      </c>
      <c r="DN17" s="2336">
        <v>74.14800693785358</v>
      </c>
      <c r="DO17" s="2336">
        <v>74.289457077630857</v>
      </c>
      <c r="DP17" s="2336">
        <v>74.429588851238876</v>
      </c>
      <c r="DQ17" s="2336">
        <v>74.568415842471367</v>
      </c>
      <c r="DR17" s="2336">
        <v>74.705951034705535</v>
      </c>
      <c r="DS17" s="2336">
        <v>74.842218046998738</v>
      </c>
      <c r="DT17" s="2336">
        <v>74.977225977237765</v>
      </c>
      <c r="DU17" s="2336">
        <v>75.110983885545394</v>
      </c>
    </row>
    <row r="18" spans="1:125" ht="14.25">
      <c r="A18" s="904">
        <v>16</v>
      </c>
      <c r="B18" s="92"/>
      <c r="C18" s="92"/>
      <c r="D18" s="92"/>
      <c r="E18" s="92"/>
      <c r="F18" s="92"/>
      <c r="G18" s="92"/>
      <c r="H18" s="92"/>
      <c r="I18" s="92"/>
      <c r="J18" s="92"/>
      <c r="K18" s="92"/>
      <c r="L18" s="92"/>
      <c r="M18" s="92"/>
      <c r="N18" s="92"/>
      <c r="O18" s="92"/>
      <c r="P18" s="92"/>
      <c r="Q18" s="92"/>
      <c r="R18" s="92"/>
      <c r="S18" s="92"/>
      <c r="T18" s="92"/>
      <c r="U18" s="92"/>
      <c r="V18" s="739"/>
      <c r="W18" s="2338">
        <v>55.43</v>
      </c>
      <c r="X18" s="2338">
        <v>55.7</v>
      </c>
      <c r="Y18" s="2336">
        <v>55.786108659522867</v>
      </c>
      <c r="Z18" s="2336">
        <v>56.033301865682851</v>
      </c>
      <c r="AA18" s="2336">
        <v>56.29925092785237</v>
      </c>
      <c r="AB18" s="2336">
        <v>56.526571491987198</v>
      </c>
      <c r="AC18" s="2336">
        <v>56.62386541416209</v>
      </c>
      <c r="AD18" s="2336">
        <v>56.723838044308472</v>
      </c>
      <c r="AE18" s="2336">
        <v>56.98186263841535</v>
      </c>
      <c r="AF18" s="2336">
        <v>57.353341831757298</v>
      </c>
      <c r="AG18" s="2336">
        <v>57.676958314146077</v>
      </c>
      <c r="AH18" s="2336">
        <v>58.045771306555189</v>
      </c>
      <c r="AI18" s="2336">
        <v>58.344505210837724</v>
      </c>
      <c r="AJ18" s="2336">
        <v>58.689205837783149</v>
      </c>
      <c r="AK18" s="2336">
        <v>58.982525369209561</v>
      </c>
      <c r="AL18" s="2336">
        <v>59.339739042104782</v>
      </c>
      <c r="AM18" s="2336">
        <v>59.690539593646051</v>
      </c>
      <c r="AN18" s="2336">
        <v>59.896476229696475</v>
      </c>
      <c r="AO18" s="2336">
        <v>60.012793704520611</v>
      </c>
      <c r="AP18" s="2336">
        <v>60.20580361417511</v>
      </c>
      <c r="AQ18" s="2336">
        <v>60.382345051108125</v>
      </c>
      <c r="AR18" s="2336">
        <v>60.648427678266152</v>
      </c>
      <c r="AS18" s="2336">
        <v>60.683487069027549</v>
      </c>
      <c r="AT18" s="2336">
        <v>60.786350330232189</v>
      </c>
      <c r="AU18" s="2336">
        <v>60.827786223785957</v>
      </c>
      <c r="AV18" s="2336">
        <v>60.890430491412026</v>
      </c>
      <c r="AW18" s="2336">
        <v>61.21401097226962</v>
      </c>
      <c r="AX18" s="2336">
        <v>61.35899727761015</v>
      </c>
      <c r="AY18" s="2336">
        <v>61.420225834981338</v>
      </c>
      <c r="AZ18" s="2336">
        <v>61.414911474550863</v>
      </c>
      <c r="BA18" s="2336">
        <v>61.409425000073824</v>
      </c>
      <c r="BB18" s="2336">
        <v>61.551939331664329</v>
      </c>
      <c r="BC18" s="2336">
        <v>61.639822989988886</v>
      </c>
      <c r="BD18" s="2336">
        <v>61.800409988551408</v>
      </c>
      <c r="BE18" s="2336">
        <v>61.970431421505396</v>
      </c>
      <c r="BF18" s="2336">
        <v>62.164368203584104</v>
      </c>
      <c r="BG18" s="2336">
        <v>62.308890279163521</v>
      </c>
      <c r="BH18" s="2336">
        <v>62.614124762372626</v>
      </c>
      <c r="BI18" s="2336">
        <v>62.791634515293175</v>
      </c>
      <c r="BJ18" s="2336">
        <v>63.060026481447885</v>
      </c>
      <c r="BK18" s="2336">
        <v>63.276140217383549</v>
      </c>
      <c r="BL18" s="2336">
        <v>63.568377654855837</v>
      </c>
      <c r="BM18" s="2336">
        <v>63.856813248858032</v>
      </c>
      <c r="BN18" s="2336">
        <v>64.097353465542895</v>
      </c>
      <c r="BO18" s="2336">
        <v>64.339573285090353</v>
      </c>
      <c r="BP18" s="2336">
        <v>64.581099700809716</v>
      </c>
      <c r="BQ18" s="2336">
        <v>64.791897423156513</v>
      </c>
      <c r="BR18" s="2336">
        <v>65.014708591387588</v>
      </c>
      <c r="BS18" s="2336">
        <v>65.193258124952507</v>
      </c>
      <c r="BT18" s="2336">
        <v>65.39852656716117</v>
      </c>
      <c r="BU18" s="2336">
        <v>65.53060615170601</v>
      </c>
      <c r="BV18" s="2336">
        <v>65.741212722934051</v>
      </c>
      <c r="BW18" s="2336">
        <v>65.932175910926674</v>
      </c>
      <c r="BX18" s="2336">
        <v>66.114761137572387</v>
      </c>
      <c r="BY18" s="2336">
        <v>66.287611586592291</v>
      </c>
      <c r="BZ18" s="2336">
        <v>66.45964494848414</v>
      </c>
      <c r="CA18" s="2336">
        <v>66.619679890605852</v>
      </c>
      <c r="CB18" s="2336">
        <v>66.781946804358029</v>
      </c>
      <c r="CC18" s="2336">
        <v>66.978819342221101</v>
      </c>
      <c r="CD18" s="2336">
        <v>67.171662191930636</v>
      </c>
      <c r="CE18" s="2336">
        <v>67.363794568749697</v>
      </c>
      <c r="CF18" s="2336">
        <v>67.55182469423967</v>
      </c>
      <c r="CG18" s="2336">
        <v>67.744334801352991</v>
      </c>
      <c r="CH18" s="2336">
        <v>67.924264070478998</v>
      </c>
      <c r="CI18" s="2336">
        <v>68.138847398928121</v>
      </c>
      <c r="CJ18" s="2336">
        <v>68.3140897907723</v>
      </c>
      <c r="CK18" s="2336">
        <v>68.498253023649227</v>
      </c>
      <c r="CL18" s="2336">
        <v>68.696067097904475</v>
      </c>
      <c r="CM18" s="2336">
        <v>68.880060249045826</v>
      </c>
      <c r="CN18" s="2336">
        <v>69.04871228243772</v>
      </c>
      <c r="CO18" s="2336">
        <v>69.226033744992037</v>
      </c>
      <c r="CP18" s="2336">
        <v>69.407538497139399</v>
      </c>
      <c r="CQ18" s="2336">
        <v>69.575374682795456</v>
      </c>
      <c r="CR18" s="2336">
        <v>69.730752894261357</v>
      </c>
      <c r="CS18" s="2336">
        <v>69.904314036830201</v>
      </c>
      <c r="CT18" s="2336">
        <v>70.076906443365047</v>
      </c>
      <c r="CU18" s="2336">
        <v>70.241185977654638</v>
      </c>
      <c r="CV18" s="2336">
        <v>70.405523387759246</v>
      </c>
      <c r="CW18" s="2336">
        <v>70.553675884352046</v>
      </c>
      <c r="CX18" s="2336">
        <v>70.713988393387666</v>
      </c>
      <c r="CY18" s="2336">
        <v>70.86979308016987</v>
      </c>
      <c r="CZ18" s="2336">
        <v>71.034088823510089</v>
      </c>
      <c r="DA18" s="2336">
        <v>71.192174093686958</v>
      </c>
      <c r="DB18" s="2336">
        <v>71.356233698907786</v>
      </c>
      <c r="DC18" s="2336">
        <v>71.512967660112267</v>
      </c>
      <c r="DD18" s="2336">
        <v>71.670485415411562</v>
      </c>
      <c r="DE18" s="2336">
        <v>71.825358170395702</v>
      </c>
      <c r="DF18" s="2336">
        <v>71.978817146269307</v>
      </c>
      <c r="DG18" s="2336">
        <v>72.130871469153305</v>
      </c>
      <c r="DH18" s="2336">
        <v>72.281529978591905</v>
      </c>
      <c r="DI18" s="2336">
        <v>72.430801129015038</v>
      </c>
      <c r="DJ18" s="2336">
        <v>72.578693743444887</v>
      </c>
      <c r="DK18" s="2344">
        <v>72.725217181967494</v>
      </c>
      <c r="DL18" s="2336">
        <v>72.870381563180686</v>
      </c>
      <c r="DM18" s="2336">
        <v>73.014198029478592</v>
      </c>
      <c r="DN18" s="2336">
        <v>73.15667892670254</v>
      </c>
      <c r="DO18" s="2336">
        <v>73.297837538125975</v>
      </c>
      <c r="DP18" s="2336">
        <v>73.43768741077966</v>
      </c>
      <c r="DQ18" s="2336">
        <v>73.576241818747704</v>
      </c>
      <c r="DR18" s="2336">
        <v>73.713526995302885</v>
      </c>
      <c r="DS18" s="2336">
        <v>73.849551829726977</v>
      </c>
      <c r="DT18" s="2336">
        <v>73.984325180661855</v>
      </c>
      <c r="DU18" s="2336">
        <v>74.117855876006047</v>
      </c>
    </row>
    <row r="19" spans="1:125" ht="14.25">
      <c r="A19" s="904">
        <v>17</v>
      </c>
      <c r="B19" s="92"/>
      <c r="C19" s="92"/>
      <c r="D19" s="92"/>
      <c r="E19" s="92"/>
      <c r="F19" s="92"/>
      <c r="G19" s="92"/>
      <c r="H19" s="92"/>
      <c r="I19" s="92"/>
      <c r="J19" s="92"/>
      <c r="K19" s="92"/>
      <c r="L19" s="92"/>
      <c r="M19" s="92"/>
      <c r="N19" s="92"/>
      <c r="O19" s="92"/>
      <c r="P19" s="92"/>
      <c r="Q19" s="92"/>
      <c r="R19" s="92"/>
      <c r="S19" s="92"/>
      <c r="T19" s="92"/>
      <c r="U19" s="92"/>
      <c r="V19" s="739"/>
      <c r="W19" s="2338">
        <v>54.56</v>
      </c>
      <c r="X19" s="2338">
        <v>54.82</v>
      </c>
      <c r="Y19" s="2336">
        <v>54.912417879024311</v>
      </c>
      <c r="Z19" s="2336">
        <v>55.160175834299267</v>
      </c>
      <c r="AA19" s="2336">
        <v>55.426732496086196</v>
      </c>
      <c r="AB19" s="2336">
        <v>55.6545724073722</v>
      </c>
      <c r="AC19" s="2336">
        <v>55.764943162815349</v>
      </c>
      <c r="AD19" s="2336">
        <v>55.884494304678562</v>
      </c>
      <c r="AE19" s="2336">
        <v>56.17564564337961</v>
      </c>
      <c r="AF19" s="2336">
        <v>56.474126980956932</v>
      </c>
      <c r="AG19" s="2336">
        <v>56.798430987840291</v>
      </c>
      <c r="AH19" s="2336">
        <v>57.136236311816305</v>
      </c>
      <c r="AI19" s="2336">
        <v>57.412842364828229</v>
      </c>
      <c r="AJ19" s="2336">
        <v>57.757950219041618</v>
      </c>
      <c r="AK19" s="2336">
        <v>58.051616276415729</v>
      </c>
      <c r="AL19" s="2336">
        <v>58.401034395801595</v>
      </c>
      <c r="AM19" s="2336">
        <v>58.748352328386837</v>
      </c>
      <c r="AN19" s="2336">
        <v>58.954260136107763</v>
      </c>
      <c r="AO19" s="2336">
        <v>59.069144601352718</v>
      </c>
      <c r="AP19" s="2336">
        <v>59.263785141304062</v>
      </c>
      <c r="AQ19" s="2336">
        <v>59.442784273269083</v>
      </c>
      <c r="AR19" s="2336">
        <v>59.704795876995384</v>
      </c>
      <c r="AS19" s="2336">
        <v>59.745104568574398</v>
      </c>
      <c r="AT19" s="2336">
        <v>59.845865600718021</v>
      </c>
      <c r="AU19" s="2336">
        <v>59.883895451695537</v>
      </c>
      <c r="AV19" s="2336">
        <v>59.948130862339383</v>
      </c>
      <c r="AW19" s="2336">
        <v>60.273055749177743</v>
      </c>
      <c r="AX19" s="2336">
        <v>60.421233245681329</v>
      </c>
      <c r="AY19" s="2336">
        <v>60.481624795371353</v>
      </c>
      <c r="AZ19" s="2336">
        <v>60.478123162309252</v>
      </c>
      <c r="BA19" s="2336">
        <v>60.479466566374192</v>
      </c>
      <c r="BB19" s="2336">
        <v>60.615896918602594</v>
      </c>
      <c r="BC19" s="2336">
        <v>60.712028491092276</v>
      </c>
      <c r="BD19" s="2336">
        <v>60.87088497997798</v>
      </c>
      <c r="BE19" s="2336">
        <v>61.043746042493723</v>
      </c>
      <c r="BF19" s="2336">
        <v>61.23846279928415</v>
      </c>
      <c r="BG19" s="2336">
        <v>61.377417790864051</v>
      </c>
      <c r="BH19" s="2336">
        <v>61.68837351461972</v>
      </c>
      <c r="BI19" s="2336">
        <v>61.859927672306902</v>
      </c>
      <c r="BJ19" s="2336">
        <v>62.127914215511574</v>
      </c>
      <c r="BK19" s="2336">
        <v>62.344030476200558</v>
      </c>
      <c r="BL19" s="2336">
        <v>62.629429129729921</v>
      </c>
      <c r="BM19" s="2336">
        <v>62.919900943643988</v>
      </c>
      <c r="BN19" s="2336">
        <v>63.154476365986</v>
      </c>
      <c r="BO19" s="2336">
        <v>63.39149146029402</v>
      </c>
      <c r="BP19" s="2336">
        <v>63.634158615008644</v>
      </c>
      <c r="BQ19" s="2336">
        <v>63.844968127691018</v>
      </c>
      <c r="BR19" s="2336">
        <v>64.059309542944845</v>
      </c>
      <c r="BS19" s="2336">
        <v>64.231928479332922</v>
      </c>
      <c r="BT19" s="2336">
        <v>64.439682696404304</v>
      </c>
      <c r="BU19" s="2336">
        <v>64.56888533861283</v>
      </c>
      <c r="BV19" s="2336">
        <v>64.779389537052751</v>
      </c>
      <c r="BW19" s="2336">
        <v>64.965985025948697</v>
      </c>
      <c r="BX19" s="2336">
        <v>65.153282551015565</v>
      </c>
      <c r="BY19" s="2336">
        <v>65.325883524265876</v>
      </c>
      <c r="BZ19" s="2336">
        <v>65.492512003627084</v>
      </c>
      <c r="CA19" s="2336">
        <v>65.65552537874386</v>
      </c>
      <c r="CB19" s="2336">
        <v>65.816335289511898</v>
      </c>
      <c r="CC19" s="2336">
        <v>66.01412347102783</v>
      </c>
      <c r="CD19" s="2336">
        <v>66.207747726796754</v>
      </c>
      <c r="CE19" s="2336">
        <v>66.395297782007873</v>
      </c>
      <c r="CF19" s="2336">
        <v>66.579001411090886</v>
      </c>
      <c r="CG19" s="2336">
        <v>66.773152801071262</v>
      </c>
      <c r="CH19" s="2336">
        <v>66.953141966529913</v>
      </c>
      <c r="CI19" s="2336">
        <v>67.170103396699275</v>
      </c>
      <c r="CJ19" s="2336">
        <v>67.341790438982599</v>
      </c>
      <c r="CK19" s="2336">
        <v>67.520639991939476</v>
      </c>
      <c r="CL19" s="2336">
        <v>67.718206157945858</v>
      </c>
      <c r="CM19" s="2336">
        <v>67.902797677223447</v>
      </c>
      <c r="CN19" s="2336">
        <v>68.070274892502724</v>
      </c>
      <c r="CO19" s="2336">
        <v>68.247412778510068</v>
      </c>
      <c r="CP19" s="2336">
        <v>68.425388446601175</v>
      </c>
      <c r="CQ19" s="2336">
        <v>68.592867158366175</v>
      </c>
      <c r="CR19" s="2336">
        <v>68.74946454650707</v>
      </c>
      <c r="CS19" s="2336">
        <v>68.921517818817122</v>
      </c>
      <c r="CT19" s="2336">
        <v>69.094731024303883</v>
      </c>
      <c r="CU19" s="2336">
        <v>69.259500830520565</v>
      </c>
      <c r="CV19" s="2336">
        <v>69.422729707406575</v>
      </c>
      <c r="CW19" s="2336">
        <v>69.571490550154309</v>
      </c>
      <c r="CX19" s="2336">
        <v>69.732379699389199</v>
      </c>
      <c r="CY19" s="2336">
        <v>69.887157565308456</v>
      </c>
      <c r="CZ19" s="2336">
        <v>70.048348225791329</v>
      </c>
      <c r="DA19" s="2336">
        <v>70.20848026137979</v>
      </c>
      <c r="DB19" s="2336">
        <v>70.371981409092356</v>
      </c>
      <c r="DC19" s="2336">
        <v>70.529250453707121</v>
      </c>
      <c r="DD19" s="2336">
        <v>70.685053576418895</v>
      </c>
      <c r="DE19" s="2336">
        <v>70.839449359917026</v>
      </c>
      <c r="DF19" s="2336">
        <v>70.992446650221353</v>
      </c>
      <c r="DG19" s="2336">
        <v>71.144054098153504</v>
      </c>
      <c r="DH19" s="2336">
        <v>71.294280082040657</v>
      </c>
      <c r="DI19" s="2336">
        <v>71.443132608778797</v>
      </c>
      <c r="DJ19" s="2336">
        <v>71.590620067293244</v>
      </c>
      <c r="DK19" s="2344">
        <v>71.736751396652636</v>
      </c>
      <c r="DL19" s="2336">
        <v>71.881536307172382</v>
      </c>
      <c r="DM19" s="2336">
        <v>72.02498554536443</v>
      </c>
      <c r="DN19" s="2336">
        <v>72.167111073244044</v>
      </c>
      <c r="DO19" s="2336">
        <v>72.307925801914521</v>
      </c>
      <c r="DP19" s="2336">
        <v>72.447442917456868</v>
      </c>
      <c r="DQ19" s="2336">
        <v>72.585691563568275</v>
      </c>
      <c r="DR19" s="2336">
        <v>72.722680371362486</v>
      </c>
      <c r="DS19" s="2336">
        <v>72.858417949669786</v>
      </c>
      <c r="DT19" s="2336">
        <v>72.992912884705689</v>
      </c>
      <c r="DU19" s="2336">
        <v>73.126173739753</v>
      </c>
    </row>
    <row r="20" spans="1:125" ht="14.25">
      <c r="A20" s="904">
        <v>18</v>
      </c>
      <c r="B20" s="92"/>
      <c r="C20" s="92"/>
      <c r="D20" s="92"/>
      <c r="E20" s="92"/>
      <c r="F20" s="92"/>
      <c r="G20" s="92"/>
      <c r="H20" s="92"/>
      <c r="I20" s="92"/>
      <c r="J20" s="92"/>
      <c r="K20" s="92"/>
      <c r="L20" s="92"/>
      <c r="M20" s="92"/>
      <c r="N20" s="92"/>
      <c r="O20" s="92"/>
      <c r="P20" s="92"/>
      <c r="Q20" s="92"/>
      <c r="R20" s="92"/>
      <c r="S20" s="92"/>
      <c r="T20" s="92"/>
      <c r="U20" s="92"/>
      <c r="V20" s="739"/>
      <c r="W20" s="2338">
        <v>53.68</v>
      </c>
      <c r="X20" s="2338">
        <v>53.94</v>
      </c>
      <c r="Y20" s="2336">
        <v>54.03771052669088</v>
      </c>
      <c r="Z20" s="2336">
        <v>54.286038981337256</v>
      </c>
      <c r="AA20" s="2336">
        <v>54.553209429300388</v>
      </c>
      <c r="AB20" s="2336">
        <v>54.794306308346194</v>
      </c>
      <c r="AC20" s="2336">
        <v>54.924104427590187</v>
      </c>
      <c r="AD20" s="2336">
        <v>55.114473749640361</v>
      </c>
      <c r="AE20" s="2336">
        <v>55.315743158707967</v>
      </c>
      <c r="AF20" s="2336">
        <v>55.614975569636712</v>
      </c>
      <c r="AG20" s="2336">
        <v>55.90549972201466</v>
      </c>
      <c r="AH20" s="2336">
        <v>56.213366490243047</v>
      </c>
      <c r="AI20" s="2336">
        <v>56.490349239794348</v>
      </c>
      <c r="AJ20" s="2336">
        <v>56.835927079870231</v>
      </c>
      <c r="AK20" s="2336">
        <v>57.122346133612524</v>
      </c>
      <c r="AL20" s="2336">
        <v>57.469279265917706</v>
      </c>
      <c r="AM20" s="2336">
        <v>57.807216287539262</v>
      </c>
      <c r="AN20" s="2336">
        <v>58.018894927212003</v>
      </c>
      <c r="AO20" s="2336">
        <v>58.134051767357477</v>
      </c>
      <c r="AP20" s="2336">
        <v>58.328354139680414</v>
      </c>
      <c r="AQ20" s="2336">
        <v>58.511889036550834</v>
      </c>
      <c r="AR20" s="2336">
        <v>58.766789087814772</v>
      </c>
      <c r="AS20" s="2336">
        <v>58.816420498973656</v>
      </c>
      <c r="AT20" s="2336">
        <v>58.91622315240226</v>
      </c>
      <c r="AU20" s="2336">
        <v>58.947524088204176</v>
      </c>
      <c r="AV20" s="2336">
        <v>59.0268966412156</v>
      </c>
      <c r="AW20" s="2336">
        <v>59.339897767768484</v>
      </c>
      <c r="AX20" s="2336">
        <v>59.49579285865326</v>
      </c>
      <c r="AY20" s="2336">
        <v>59.560999189919499</v>
      </c>
      <c r="AZ20" s="2336">
        <v>59.552148342654498</v>
      </c>
      <c r="BA20" s="2336">
        <v>59.563036465604029</v>
      </c>
      <c r="BB20" s="2336">
        <v>59.700531259664594</v>
      </c>
      <c r="BC20" s="2336">
        <v>59.798658934353348</v>
      </c>
      <c r="BD20" s="2336">
        <v>59.958920992344829</v>
      </c>
      <c r="BE20" s="2336">
        <v>60.1277940026254</v>
      </c>
      <c r="BF20" s="2336">
        <v>60.316178598250467</v>
      </c>
      <c r="BG20" s="2336">
        <v>60.45927809150924</v>
      </c>
      <c r="BH20" s="2336">
        <v>60.770533525910153</v>
      </c>
      <c r="BI20" s="2336">
        <v>60.943869977962812</v>
      </c>
      <c r="BJ20" s="2336">
        <v>61.207442842188556</v>
      </c>
      <c r="BK20" s="2336">
        <v>61.415627130073887</v>
      </c>
      <c r="BL20" s="2336">
        <v>61.702382575638325</v>
      </c>
      <c r="BM20" s="2336">
        <v>61.991267859064763</v>
      </c>
      <c r="BN20" s="2336">
        <v>62.22216403726366</v>
      </c>
      <c r="BO20" s="2336">
        <v>62.456082568087737</v>
      </c>
      <c r="BP20" s="2336">
        <v>62.690436767078474</v>
      </c>
      <c r="BQ20" s="2336">
        <v>62.901345400746742</v>
      </c>
      <c r="BR20" s="2336">
        <v>63.11053580062358</v>
      </c>
      <c r="BS20" s="2336">
        <v>63.282056816720214</v>
      </c>
      <c r="BT20" s="2336">
        <v>63.488270769893624</v>
      </c>
      <c r="BU20" s="2336">
        <v>63.614506053670674</v>
      </c>
      <c r="BV20" s="2336">
        <v>63.823131832405899</v>
      </c>
      <c r="BW20" s="2336">
        <v>64.015297027170575</v>
      </c>
      <c r="BX20" s="2336">
        <v>64.202452690190128</v>
      </c>
      <c r="BY20" s="2336">
        <v>64.371791892163159</v>
      </c>
      <c r="BZ20" s="2336">
        <v>64.532318892842738</v>
      </c>
      <c r="CA20" s="2336">
        <v>64.700579016005776</v>
      </c>
      <c r="CB20" s="2336">
        <v>64.862157457956826</v>
      </c>
      <c r="CC20" s="2336">
        <v>65.052808946561953</v>
      </c>
      <c r="CD20" s="2336">
        <v>65.249544924860942</v>
      </c>
      <c r="CE20" s="2336">
        <v>65.437075541198368</v>
      </c>
      <c r="CF20" s="2336">
        <v>65.616761742793457</v>
      </c>
      <c r="CG20" s="2336">
        <v>65.805500599709376</v>
      </c>
      <c r="CH20" s="2336">
        <v>65.987639571972977</v>
      </c>
      <c r="CI20" s="2336">
        <v>66.204709422046804</v>
      </c>
      <c r="CJ20" s="2336">
        <v>66.374620698600452</v>
      </c>
      <c r="CK20" s="2336">
        <v>66.548998928068016</v>
      </c>
      <c r="CL20" s="2336">
        <v>66.744254999952076</v>
      </c>
      <c r="CM20" s="2336">
        <v>66.928364875398955</v>
      </c>
      <c r="CN20" s="2336">
        <v>67.090157805356895</v>
      </c>
      <c r="CO20" s="2336">
        <v>67.272088360711862</v>
      </c>
      <c r="CP20" s="2336">
        <v>67.449543097693805</v>
      </c>
      <c r="CQ20" s="2336">
        <v>67.61459338952244</v>
      </c>
      <c r="CR20" s="2336">
        <v>67.774234005694851</v>
      </c>
      <c r="CS20" s="2336">
        <v>67.945702435942934</v>
      </c>
      <c r="CT20" s="2336">
        <v>68.113493709444441</v>
      </c>
      <c r="CU20" s="2336">
        <v>68.279253274147678</v>
      </c>
      <c r="CV20" s="2336">
        <v>68.442892261182322</v>
      </c>
      <c r="CW20" s="2336">
        <v>68.591301380610901</v>
      </c>
      <c r="CX20" s="2336">
        <v>68.748995689912647</v>
      </c>
      <c r="CY20" s="2336">
        <v>68.906853100307515</v>
      </c>
      <c r="CZ20" s="2336">
        <v>69.066668099764229</v>
      </c>
      <c r="DA20" s="2336">
        <v>69.227667059555614</v>
      </c>
      <c r="DB20" s="2336">
        <v>69.390472314741231</v>
      </c>
      <c r="DC20" s="2336">
        <v>69.547100909671414</v>
      </c>
      <c r="DD20" s="2336">
        <v>69.702331686411242</v>
      </c>
      <c r="DE20" s="2336">
        <v>69.856173063252953</v>
      </c>
      <c r="DF20" s="2336">
        <v>70.008633341819888</v>
      </c>
      <c r="DG20" s="2336">
        <v>70.159720644234341</v>
      </c>
      <c r="DH20" s="2336">
        <v>70.309442835391764</v>
      </c>
      <c r="DI20" s="2336">
        <v>70.457807423602091</v>
      </c>
      <c r="DJ20" s="2336">
        <v>70.604822313811667</v>
      </c>
      <c r="DK20" s="2344">
        <v>70.750495975342488</v>
      </c>
      <c r="DL20" s="2336">
        <v>70.89483766263514</v>
      </c>
      <c r="DM20" s="2336">
        <v>71.037857679848258</v>
      </c>
      <c r="DN20" s="2336">
        <v>71.179567559801697</v>
      </c>
      <c r="DO20" s="2336">
        <v>71.319979797128582</v>
      </c>
      <c r="DP20" s="2336">
        <v>71.459126395863493</v>
      </c>
      <c r="DQ20" s="2336">
        <v>71.59701567431911</v>
      </c>
      <c r="DR20" s="2336">
        <v>71.733655938180391</v>
      </c>
      <c r="DS20" s="2336">
        <v>71.86905547992265</v>
      </c>
      <c r="DT20" s="2336">
        <v>72.003222578245584</v>
      </c>
      <c r="DU20" s="2336">
        <v>72.136165497525766</v>
      </c>
    </row>
    <row r="21" spans="1:125" ht="14.25">
      <c r="A21" s="904">
        <v>19</v>
      </c>
      <c r="B21" s="92"/>
      <c r="C21" s="92"/>
      <c r="D21" s="92"/>
      <c r="E21" s="92"/>
      <c r="F21" s="92"/>
      <c r="G21" s="92"/>
      <c r="H21" s="92"/>
      <c r="I21" s="92"/>
      <c r="J21" s="92"/>
      <c r="K21" s="92"/>
      <c r="L21" s="92"/>
      <c r="M21" s="92"/>
      <c r="N21" s="92"/>
      <c r="O21" s="92"/>
      <c r="P21" s="92"/>
      <c r="Q21" s="92"/>
      <c r="R21" s="92"/>
      <c r="S21" s="92"/>
      <c r="T21" s="92"/>
      <c r="U21" s="92"/>
      <c r="V21" s="739"/>
      <c r="W21" s="2338">
        <v>52.81</v>
      </c>
      <c r="X21" s="2338">
        <v>53.08</v>
      </c>
      <c r="Y21" s="2336">
        <v>53.175662547828679</v>
      </c>
      <c r="Z21" s="2336">
        <v>53.424630876909113</v>
      </c>
      <c r="AA21" s="2336">
        <v>53.706457269802925</v>
      </c>
      <c r="AB21" s="2336">
        <v>53.969295985101517</v>
      </c>
      <c r="AC21" s="2336">
        <v>54.177050674104152</v>
      </c>
      <c r="AD21" s="2336">
        <v>54.279359622102888</v>
      </c>
      <c r="AE21" s="2336">
        <v>54.481236681118133</v>
      </c>
      <c r="AF21" s="2336">
        <v>54.740721324418416</v>
      </c>
      <c r="AG21" s="2336">
        <v>54.991511564940311</v>
      </c>
      <c r="AH21" s="2336">
        <v>55.299856267457606</v>
      </c>
      <c r="AI21" s="2336">
        <v>55.577269006754818</v>
      </c>
      <c r="AJ21" s="2336">
        <v>55.915020681093246</v>
      </c>
      <c r="AK21" s="2336">
        <v>56.19992930628279</v>
      </c>
      <c r="AL21" s="2336">
        <v>56.549003784191164</v>
      </c>
      <c r="AM21" s="2336">
        <v>56.890086630491439</v>
      </c>
      <c r="AN21" s="2336">
        <v>57.109053193559291</v>
      </c>
      <c r="AO21" s="2336">
        <v>57.220863047675572</v>
      </c>
      <c r="AP21" s="2336">
        <v>57.412942274453606</v>
      </c>
      <c r="AQ21" s="2336">
        <v>57.599879723432352</v>
      </c>
      <c r="AR21" s="2336">
        <v>57.855057128210071</v>
      </c>
      <c r="AS21" s="2336">
        <v>57.901920166117186</v>
      </c>
      <c r="AT21" s="2336">
        <v>58.004213861995957</v>
      </c>
      <c r="AU21" s="2336">
        <v>58.034296244684462</v>
      </c>
      <c r="AV21" s="2336">
        <v>58.11777195711894</v>
      </c>
      <c r="AW21" s="2336">
        <v>58.427620500391946</v>
      </c>
      <c r="AX21" s="2336">
        <v>58.590830811276128</v>
      </c>
      <c r="AY21" s="2336">
        <v>58.654245870948337</v>
      </c>
      <c r="AZ21" s="2336">
        <v>58.645804573524309</v>
      </c>
      <c r="BA21" s="2336">
        <v>58.671736349317889</v>
      </c>
      <c r="BB21" s="2336">
        <v>58.810004918395322</v>
      </c>
      <c r="BC21" s="2336">
        <v>58.912330441709472</v>
      </c>
      <c r="BD21" s="2336">
        <v>59.066625867211528</v>
      </c>
      <c r="BE21" s="2336">
        <v>59.230382136362145</v>
      </c>
      <c r="BF21" s="2336">
        <v>59.419980027499577</v>
      </c>
      <c r="BG21" s="2336">
        <v>59.568511573887264</v>
      </c>
      <c r="BH21" s="2336">
        <v>59.880877799559286</v>
      </c>
      <c r="BI21" s="2336">
        <v>60.05010182867872</v>
      </c>
      <c r="BJ21" s="2336">
        <v>60.314879578685527</v>
      </c>
      <c r="BK21" s="2336">
        <v>60.514967086545163</v>
      </c>
      <c r="BL21" s="2336">
        <v>60.795371562164782</v>
      </c>
      <c r="BM21" s="2336">
        <v>61.079123553062459</v>
      </c>
      <c r="BN21" s="2336">
        <v>61.310514881357349</v>
      </c>
      <c r="BO21" s="2336">
        <v>61.539885165560236</v>
      </c>
      <c r="BP21" s="2336">
        <v>61.760422212146004</v>
      </c>
      <c r="BQ21" s="2336">
        <v>61.970418173049964</v>
      </c>
      <c r="BR21" s="2336">
        <v>62.171978366608101</v>
      </c>
      <c r="BS21" s="2336">
        <v>62.349195487593825</v>
      </c>
      <c r="BT21" s="2336">
        <v>62.550581954637074</v>
      </c>
      <c r="BU21" s="2336">
        <v>62.67867730124307</v>
      </c>
      <c r="BV21" s="2336">
        <v>62.89124932024373</v>
      </c>
      <c r="BW21" s="2336">
        <v>63.083052845039724</v>
      </c>
      <c r="BX21" s="2336">
        <v>63.27065380480483</v>
      </c>
      <c r="BY21" s="2336">
        <v>63.44051862342814</v>
      </c>
      <c r="BZ21" s="2336">
        <v>63.604036268636655</v>
      </c>
      <c r="CA21" s="2336">
        <v>63.771922059001355</v>
      </c>
      <c r="CB21" s="2336">
        <v>63.933902095770527</v>
      </c>
      <c r="CC21" s="2336">
        <v>64.122891072778188</v>
      </c>
      <c r="CD21" s="2336">
        <v>64.312273065526966</v>
      </c>
      <c r="CE21" s="2336">
        <v>64.500352986583465</v>
      </c>
      <c r="CF21" s="2336">
        <v>64.679388194006876</v>
      </c>
      <c r="CG21" s="2336">
        <v>64.861025000580298</v>
      </c>
      <c r="CH21" s="2336">
        <v>65.041730359162173</v>
      </c>
      <c r="CI21" s="2336">
        <v>65.25119031574188</v>
      </c>
      <c r="CJ21" s="2336">
        <v>65.41645266594908</v>
      </c>
      <c r="CK21" s="2336">
        <v>65.59271598521488</v>
      </c>
      <c r="CL21" s="2336">
        <v>65.781928844009684</v>
      </c>
      <c r="CM21" s="2336">
        <v>65.964735067758113</v>
      </c>
      <c r="CN21" s="2336">
        <v>66.126456482601</v>
      </c>
      <c r="CO21" s="2336">
        <v>66.305036165840718</v>
      </c>
      <c r="CP21" s="2336">
        <v>66.482455743406618</v>
      </c>
      <c r="CQ21" s="2336">
        <v>66.646218161112373</v>
      </c>
      <c r="CR21" s="2336">
        <v>66.803157727036677</v>
      </c>
      <c r="CS21" s="2336">
        <v>66.972489224449589</v>
      </c>
      <c r="CT21" s="2336">
        <v>67.138698728387809</v>
      </c>
      <c r="CU21" s="2336">
        <v>67.305509254277666</v>
      </c>
      <c r="CV21" s="2336">
        <v>67.467966158771802</v>
      </c>
      <c r="CW21" s="2336">
        <v>67.618260194742575</v>
      </c>
      <c r="CX21" s="2336">
        <v>67.776244080007231</v>
      </c>
      <c r="CY21" s="2336">
        <v>67.933604215283694</v>
      </c>
      <c r="CZ21" s="2336">
        <v>68.090319596732314</v>
      </c>
      <c r="DA21" s="2336">
        <v>68.254507302113268</v>
      </c>
      <c r="DB21" s="2336">
        <v>68.411850038692691</v>
      </c>
      <c r="DC21" s="2336">
        <v>68.567807649314858</v>
      </c>
      <c r="DD21" s="2336">
        <v>68.722388000676332</v>
      </c>
      <c r="DE21" s="2336">
        <v>68.875598902506241</v>
      </c>
      <c r="DF21" s="2336">
        <v>69.027448064930624</v>
      </c>
      <c r="DG21" s="2336">
        <v>69.177943035189088</v>
      </c>
      <c r="DH21" s="2336">
        <v>69.327091119466118</v>
      </c>
      <c r="DI21" s="2336">
        <v>69.474899283096974</v>
      </c>
      <c r="DJ21" s="2336">
        <v>69.621374903568451</v>
      </c>
      <c r="DK21" s="2344">
        <v>69.766525937875485</v>
      </c>
      <c r="DL21" s="2336">
        <v>69.910361142896036</v>
      </c>
      <c r="DM21" s="2336">
        <v>70.052890339633166</v>
      </c>
      <c r="DN21" s="2336">
        <v>70.194124591783662</v>
      </c>
      <c r="DO21" s="2336">
        <v>70.334098176727608</v>
      </c>
      <c r="DP21" s="2336">
        <v>70.472819045999387</v>
      </c>
      <c r="DQ21" s="2336">
        <v>70.610295149367644</v>
      </c>
      <c r="DR21" s="2336">
        <v>70.74653443397861</v>
      </c>
      <c r="DS21" s="2336">
        <v>70.881544843523884</v>
      </c>
      <c r="DT21" s="2336">
        <v>71.015334317429435</v>
      </c>
      <c r="DU21" s="2336">
        <v>71.147910790068408</v>
      </c>
    </row>
    <row r="22" spans="1:125" ht="14.25">
      <c r="A22" s="904">
        <v>20</v>
      </c>
      <c r="B22" s="92"/>
      <c r="C22" s="92"/>
      <c r="D22" s="92"/>
      <c r="E22" s="92"/>
      <c r="F22" s="92"/>
      <c r="G22" s="92"/>
      <c r="H22" s="92"/>
      <c r="I22" s="92"/>
      <c r="J22" s="92"/>
      <c r="K22" s="92"/>
      <c r="L22" s="92"/>
      <c r="M22" s="92"/>
      <c r="N22" s="92"/>
      <c r="O22" s="92"/>
      <c r="P22" s="92"/>
      <c r="Q22" s="92"/>
      <c r="R22" s="92"/>
      <c r="S22" s="92"/>
      <c r="T22" s="92"/>
      <c r="U22" s="92"/>
      <c r="V22" s="739"/>
      <c r="W22" s="2338">
        <v>51.96</v>
      </c>
      <c r="X22" s="2338">
        <v>52.23</v>
      </c>
      <c r="Y22" s="2336">
        <v>52.323059926976562</v>
      </c>
      <c r="Z22" s="2336">
        <v>52.587579921743789</v>
      </c>
      <c r="AA22" s="2336">
        <v>52.892690865274147</v>
      </c>
      <c r="AB22" s="2336">
        <v>53.239212844424678</v>
      </c>
      <c r="AC22" s="2336">
        <v>53.37531182160766</v>
      </c>
      <c r="AD22" s="2336">
        <v>53.47799865716123</v>
      </c>
      <c r="AE22" s="2336">
        <v>53.631886452311427</v>
      </c>
      <c r="AF22" s="2336">
        <v>53.834720390694315</v>
      </c>
      <c r="AG22" s="2336">
        <v>54.085945250223197</v>
      </c>
      <c r="AH22" s="2336">
        <v>54.394824313519997</v>
      </c>
      <c r="AI22" s="2336">
        <v>54.673302953346365</v>
      </c>
      <c r="AJ22" s="2336">
        <v>55.007936544072948</v>
      </c>
      <c r="AK22" s="2336">
        <v>55.282659469893396</v>
      </c>
      <c r="AL22" s="2336">
        <v>55.64476194984325</v>
      </c>
      <c r="AM22" s="2336">
        <v>55.991246563222397</v>
      </c>
      <c r="AN22" s="2336">
        <v>56.20690953595588</v>
      </c>
      <c r="AO22" s="2336">
        <v>56.320339068879854</v>
      </c>
      <c r="AP22" s="2336">
        <v>56.515268697314042</v>
      </c>
      <c r="AQ22" s="2336">
        <v>56.70230634753834</v>
      </c>
      <c r="AR22" s="2336">
        <v>56.953300101385949</v>
      </c>
      <c r="AS22" s="2336">
        <v>56.998547119819818</v>
      </c>
      <c r="AT22" s="2336">
        <v>57.098327624415298</v>
      </c>
      <c r="AU22" s="2336">
        <v>57.137852559546928</v>
      </c>
      <c r="AV22" s="2336">
        <v>57.221201409140633</v>
      </c>
      <c r="AW22" s="2336">
        <v>57.525879949009273</v>
      </c>
      <c r="AX22" s="2336">
        <v>57.681062561668234</v>
      </c>
      <c r="AY22" s="2336">
        <v>57.748194990046038</v>
      </c>
      <c r="AZ22" s="2336">
        <v>57.751374350482706</v>
      </c>
      <c r="BA22" s="2336">
        <v>57.784011121531954</v>
      </c>
      <c r="BB22" s="2336">
        <v>57.918893841003225</v>
      </c>
      <c r="BC22" s="2336">
        <v>58.023843941836823</v>
      </c>
      <c r="BD22" s="2336">
        <v>58.167325295299506</v>
      </c>
      <c r="BE22" s="2336">
        <v>58.336390372574449</v>
      </c>
      <c r="BF22" s="2336">
        <v>58.526011334699838</v>
      </c>
      <c r="BG22" s="2336">
        <v>58.678107351131601</v>
      </c>
      <c r="BH22" s="2336">
        <v>58.986034444738969</v>
      </c>
      <c r="BI22" s="2336">
        <v>59.155165311219179</v>
      </c>
      <c r="BJ22" s="2336">
        <v>59.411357298733797</v>
      </c>
      <c r="BK22" s="2336">
        <v>59.615465102668516</v>
      </c>
      <c r="BL22" s="2336">
        <v>59.891160730989249</v>
      </c>
      <c r="BM22" s="2336">
        <v>60.167418548984237</v>
      </c>
      <c r="BN22" s="2336">
        <v>60.398803913227283</v>
      </c>
      <c r="BO22" s="2336">
        <v>60.607806305685642</v>
      </c>
      <c r="BP22" s="2336">
        <v>60.830908602511442</v>
      </c>
      <c r="BQ22" s="2336">
        <v>61.041677786195251</v>
      </c>
      <c r="BR22" s="2336">
        <v>61.237754111855587</v>
      </c>
      <c r="BS22" s="2336">
        <v>61.410752570492058</v>
      </c>
      <c r="BT22" s="2336">
        <v>61.613038574451259</v>
      </c>
      <c r="BU22" s="2336">
        <v>61.753991182936929</v>
      </c>
      <c r="BV22" s="2336">
        <v>61.966689084315853</v>
      </c>
      <c r="BW22" s="2336">
        <v>62.155550504775967</v>
      </c>
      <c r="BX22" s="2336">
        <v>62.342704244134111</v>
      </c>
      <c r="BY22" s="2336">
        <v>62.511716578662977</v>
      </c>
      <c r="BZ22" s="2336">
        <v>62.671911486148929</v>
      </c>
      <c r="CA22" s="2336">
        <v>62.847683787902326</v>
      </c>
      <c r="CB22" s="2336">
        <v>63.000573969111223</v>
      </c>
      <c r="CC22" s="2336">
        <v>63.182007349162198</v>
      </c>
      <c r="CD22" s="2336">
        <v>63.369964286866818</v>
      </c>
      <c r="CE22" s="2336">
        <v>63.56005567281089</v>
      </c>
      <c r="CF22" s="2336">
        <v>63.733364486894885</v>
      </c>
      <c r="CG22" s="2336">
        <v>63.916066708889666</v>
      </c>
      <c r="CH22" s="2336">
        <v>64.093026116678402</v>
      </c>
      <c r="CI22" s="2336">
        <v>64.294669009801552</v>
      </c>
      <c r="CJ22" s="2336">
        <v>64.455239935490042</v>
      </c>
      <c r="CK22" s="2336">
        <v>64.635489393374826</v>
      </c>
      <c r="CL22" s="2336">
        <v>64.818985423661431</v>
      </c>
      <c r="CM22" s="2336">
        <v>64.996146275901381</v>
      </c>
      <c r="CN22" s="2336">
        <v>65.158465916567337</v>
      </c>
      <c r="CO22" s="2336">
        <v>65.339681214642695</v>
      </c>
      <c r="CP22" s="2336">
        <v>65.514640973801136</v>
      </c>
      <c r="CQ22" s="2336">
        <v>65.67673623364567</v>
      </c>
      <c r="CR22" s="2336">
        <v>65.829612078044477</v>
      </c>
      <c r="CS22" s="2336">
        <v>66.002484054114007</v>
      </c>
      <c r="CT22" s="2336">
        <v>66.16686004635325</v>
      </c>
      <c r="CU22" s="2336">
        <v>66.331189774250262</v>
      </c>
      <c r="CV22" s="2336">
        <v>66.49524481322851</v>
      </c>
      <c r="CW22" s="2336">
        <v>66.644701630172491</v>
      </c>
      <c r="CX22" s="2336">
        <v>66.80391042832251</v>
      </c>
      <c r="CY22" s="2336">
        <v>66.964141122145691</v>
      </c>
      <c r="CZ22" s="2336">
        <v>67.121226064696856</v>
      </c>
      <c r="DA22" s="2336">
        <v>67.279180729225899</v>
      </c>
      <c r="DB22" s="2336">
        <v>67.435765719890014</v>
      </c>
      <c r="DC22" s="2336">
        <v>67.590988268765216</v>
      </c>
      <c r="DD22" s="2336">
        <v>67.744855587980837</v>
      </c>
      <c r="DE22" s="2336">
        <v>67.897374850535158</v>
      </c>
      <c r="DF22" s="2336">
        <v>68.048553147207102</v>
      </c>
      <c r="DG22" s="2336">
        <v>68.198397422825522</v>
      </c>
      <c r="DH22" s="2336">
        <v>68.346914397660981</v>
      </c>
      <c r="DI22" s="2336">
        <v>68.494110467198453</v>
      </c>
      <c r="DJ22" s="2336">
        <v>68.639992454947688</v>
      </c>
      <c r="DK22" s="2344">
        <v>68.784567779424052</v>
      </c>
      <c r="DL22" s="2336">
        <v>68.927844674162756</v>
      </c>
      <c r="DM22" s="2336">
        <v>69.069832451610921</v>
      </c>
      <c r="DN22" s="2336">
        <v>69.21056644366125</v>
      </c>
      <c r="DO22" s="2336">
        <v>69.350054190274946</v>
      </c>
      <c r="DP22" s="2336">
        <v>69.488303241397006</v>
      </c>
      <c r="DQ22" s="2336">
        <v>69.625321155812628</v>
      </c>
      <c r="DR22" s="2336">
        <v>69.761115500034279</v>
      </c>
      <c r="DS22" s="2336">
        <v>69.895693847218354</v>
      </c>
      <c r="DT22" s="2336">
        <v>70.029063776108146</v>
      </c>
      <c r="DU22" s="2336">
        <v>70.161232870005747</v>
      </c>
    </row>
    <row r="23" spans="1:125" ht="14.25">
      <c r="A23" s="904">
        <v>21</v>
      </c>
      <c r="B23" s="92"/>
      <c r="C23" s="92"/>
      <c r="D23" s="92"/>
      <c r="E23" s="92"/>
      <c r="F23" s="92"/>
      <c r="G23" s="92"/>
      <c r="H23" s="92"/>
      <c r="I23" s="92"/>
      <c r="J23" s="92"/>
      <c r="K23" s="92"/>
      <c r="L23" s="92"/>
      <c r="M23" s="92"/>
      <c r="N23" s="92"/>
      <c r="O23" s="92"/>
      <c r="P23" s="92"/>
      <c r="Q23" s="92"/>
      <c r="R23" s="92"/>
      <c r="S23" s="92"/>
      <c r="T23" s="92"/>
      <c r="U23" s="92"/>
      <c r="V23" s="739"/>
      <c r="W23" s="2338">
        <v>51.11</v>
      </c>
      <c r="X23" s="2338">
        <v>51.38</v>
      </c>
      <c r="Y23" s="2336">
        <v>51.492848046313654</v>
      </c>
      <c r="Z23" s="2336">
        <v>51.781592472495049</v>
      </c>
      <c r="AA23" s="2336">
        <v>52.174166744456649</v>
      </c>
      <c r="AB23" s="2336">
        <v>52.471226817887029</v>
      </c>
      <c r="AC23" s="2336">
        <v>52.607924531053669</v>
      </c>
      <c r="AD23" s="2336">
        <v>52.654065710130126</v>
      </c>
      <c r="AE23" s="2336">
        <v>52.731962541890184</v>
      </c>
      <c r="AF23" s="2336">
        <v>52.935178526323803</v>
      </c>
      <c r="AG23" s="2336">
        <v>53.186876578190194</v>
      </c>
      <c r="AH23" s="2336">
        <v>53.491741508928328</v>
      </c>
      <c r="AI23" s="2336">
        <v>53.766197008506659</v>
      </c>
      <c r="AJ23" s="2336">
        <v>54.107850206531175</v>
      </c>
      <c r="AK23" s="2336">
        <v>54.378720833611176</v>
      </c>
      <c r="AL23" s="2336">
        <v>54.753812505092483</v>
      </c>
      <c r="AM23" s="2336">
        <v>55.092021447298329</v>
      </c>
      <c r="AN23" s="2336">
        <v>55.311215372443939</v>
      </c>
      <c r="AO23" s="2336">
        <v>55.428123260651141</v>
      </c>
      <c r="AP23" s="2336">
        <v>55.615653865915135</v>
      </c>
      <c r="AQ23" s="2336">
        <v>55.806766205250277</v>
      </c>
      <c r="AR23" s="2336">
        <v>56.049931357276265</v>
      </c>
      <c r="AS23" s="2336">
        <v>56.098490534414701</v>
      </c>
      <c r="AT23" s="2336">
        <v>56.189674051247295</v>
      </c>
      <c r="AU23" s="2336">
        <v>56.234295346360454</v>
      </c>
      <c r="AV23" s="2336">
        <v>56.323715562617473</v>
      </c>
      <c r="AW23" s="2336">
        <v>56.620608482853449</v>
      </c>
      <c r="AX23" s="2336">
        <v>56.766417007140312</v>
      </c>
      <c r="AY23" s="2336">
        <v>56.846397052226045</v>
      </c>
      <c r="AZ23" s="2336">
        <v>56.853431896292413</v>
      </c>
      <c r="BA23" s="2336">
        <v>56.897764896562009</v>
      </c>
      <c r="BB23" s="2336">
        <v>57.024714840571484</v>
      </c>
      <c r="BC23" s="2336">
        <v>57.118377423238449</v>
      </c>
      <c r="BD23" s="2336">
        <v>57.269877256388646</v>
      </c>
      <c r="BE23" s="2336">
        <v>57.435850884941708</v>
      </c>
      <c r="BF23" s="2336">
        <v>57.634715154480794</v>
      </c>
      <c r="BG23" s="2336">
        <v>57.78174033340499</v>
      </c>
      <c r="BH23" s="2336">
        <v>58.07949661353959</v>
      </c>
      <c r="BI23" s="2336">
        <v>58.253235386770861</v>
      </c>
      <c r="BJ23" s="2336">
        <v>58.505978946202042</v>
      </c>
      <c r="BK23" s="2336">
        <v>58.700395640192951</v>
      </c>
      <c r="BL23" s="2336">
        <v>58.977260899689512</v>
      </c>
      <c r="BM23" s="2336">
        <v>59.246105760337343</v>
      </c>
      <c r="BN23" s="2336">
        <v>59.47084761838795</v>
      </c>
      <c r="BO23" s="2336">
        <v>59.676195250967844</v>
      </c>
      <c r="BP23" s="2336">
        <v>59.897380384065016</v>
      </c>
      <c r="BQ23" s="2336">
        <v>60.110780540268117</v>
      </c>
      <c r="BR23" s="2336">
        <v>60.300683323233073</v>
      </c>
      <c r="BS23" s="2336">
        <v>60.47625331789115</v>
      </c>
      <c r="BT23" s="2336">
        <v>60.682779050325749</v>
      </c>
      <c r="BU23" s="2336">
        <v>60.822457037250572</v>
      </c>
      <c r="BV23" s="2336">
        <v>61.033275690200455</v>
      </c>
      <c r="BW23" s="2336">
        <v>61.221753983050348</v>
      </c>
      <c r="BX23" s="2336">
        <v>61.40557798274795</v>
      </c>
      <c r="BY23" s="2336">
        <v>61.575980654932515</v>
      </c>
      <c r="BZ23" s="2336">
        <v>61.738725140863274</v>
      </c>
      <c r="CA23" s="2336">
        <v>61.910618097089149</v>
      </c>
      <c r="CB23" s="2336">
        <v>62.06288398283322</v>
      </c>
      <c r="CC23" s="2336">
        <v>62.241955872253151</v>
      </c>
      <c r="CD23" s="2336">
        <v>62.430626276565619</v>
      </c>
      <c r="CE23" s="2336">
        <v>62.615705366341992</v>
      </c>
      <c r="CF23" s="2336">
        <v>62.785430282013444</v>
      </c>
      <c r="CG23" s="2336">
        <v>62.961927415654316</v>
      </c>
      <c r="CH23" s="2336">
        <v>63.135729637849003</v>
      </c>
      <c r="CI23" s="2336">
        <v>63.331753776088497</v>
      </c>
      <c r="CJ23" s="2336">
        <v>63.496077303466876</v>
      </c>
      <c r="CK23" s="2336">
        <v>63.676711019005239</v>
      </c>
      <c r="CL23" s="2336">
        <v>63.853620864087141</v>
      </c>
      <c r="CM23" s="2336">
        <v>64.029448972217565</v>
      </c>
      <c r="CN23" s="2336">
        <v>64.193916172244414</v>
      </c>
      <c r="CO23" s="2336">
        <v>64.374914776449998</v>
      </c>
      <c r="CP23" s="2336">
        <v>64.545627745114459</v>
      </c>
      <c r="CQ23" s="2336">
        <v>64.701963602572548</v>
      </c>
      <c r="CR23" s="2336">
        <v>64.861783383061294</v>
      </c>
      <c r="CS23" s="2336">
        <v>65.033061426941231</v>
      </c>
      <c r="CT23" s="2336">
        <v>65.195011771343871</v>
      </c>
      <c r="CU23" s="2336">
        <v>65.35895875017431</v>
      </c>
      <c r="CV23" s="2336">
        <v>65.522038441514965</v>
      </c>
      <c r="CW23" s="2336">
        <v>65.672028697563334</v>
      </c>
      <c r="CX23" s="2336">
        <v>65.831524404322039</v>
      </c>
      <c r="CY23" s="2336">
        <v>65.98982221960371</v>
      </c>
      <c r="CZ23" s="2336">
        <v>66.148315740167618</v>
      </c>
      <c r="DA23" s="2336">
        <v>66.305456803887083</v>
      </c>
      <c r="DB23" s="2336">
        <v>66.461251975832937</v>
      </c>
      <c r="DC23" s="2336">
        <v>66.615707819627019</v>
      </c>
      <c r="DD23" s="2336">
        <v>66.768830896620017</v>
      </c>
      <c r="DE23" s="2336">
        <v>66.920627746280886</v>
      </c>
      <c r="DF23" s="2336">
        <v>67.071104842683525</v>
      </c>
      <c r="DG23" s="2336">
        <v>67.22026853035473</v>
      </c>
      <c r="DH23" s="2336">
        <v>67.368124945251466</v>
      </c>
      <c r="DI23" s="2336">
        <v>67.514679914124244</v>
      </c>
      <c r="DJ23" s="2336">
        <v>67.659939707180413</v>
      </c>
      <c r="DK23" s="2344">
        <v>67.803911204715519</v>
      </c>
      <c r="DL23" s="2336">
        <v>67.946602116792974</v>
      </c>
      <c r="DM23" s="2336">
        <v>68.088047434889546</v>
      </c>
      <c r="DN23" s="2336">
        <v>68.228254261380386</v>
      </c>
      <c r="DO23" s="2336">
        <v>68.367229720714647</v>
      </c>
      <c r="DP23" s="2336">
        <v>68.504980957988948</v>
      </c>
      <c r="DQ23" s="2336">
        <v>68.641515137555444</v>
      </c>
      <c r="DR23" s="2336">
        <v>68.776839441665146</v>
      </c>
      <c r="DS23" s="2336">
        <v>68.910961069145628</v>
      </c>
      <c r="DT23" s="2336">
        <v>69.043887234109533</v>
      </c>
      <c r="DU23" s="2336">
        <v>69.175625164696726</v>
      </c>
    </row>
    <row r="24" spans="1:125" ht="14.25">
      <c r="A24" s="904">
        <v>22</v>
      </c>
      <c r="B24" s="92"/>
      <c r="C24" s="92"/>
      <c r="D24" s="92"/>
      <c r="E24" s="92"/>
      <c r="F24" s="92"/>
      <c r="G24" s="92"/>
      <c r="H24" s="92"/>
      <c r="I24" s="92"/>
      <c r="J24" s="92"/>
      <c r="K24" s="92"/>
      <c r="L24" s="92"/>
      <c r="M24" s="92"/>
      <c r="N24" s="92"/>
      <c r="O24" s="92"/>
      <c r="P24" s="92"/>
      <c r="Q24" s="92"/>
      <c r="R24" s="92"/>
      <c r="S24" s="92"/>
      <c r="T24" s="92"/>
      <c r="U24" s="92"/>
      <c r="V24" s="739"/>
      <c r="W24" s="2338">
        <v>50.27</v>
      </c>
      <c r="X24" s="2338">
        <v>50.56</v>
      </c>
      <c r="Y24" s="2336">
        <v>50.690194210812102</v>
      </c>
      <c r="Z24" s="2336">
        <v>51.067867574378248</v>
      </c>
      <c r="AA24" s="2336">
        <v>51.425486097166932</v>
      </c>
      <c r="AB24" s="2336">
        <v>51.723990934007624</v>
      </c>
      <c r="AC24" s="2336">
        <v>51.799354171285543</v>
      </c>
      <c r="AD24" s="2336">
        <v>51.757535630678873</v>
      </c>
      <c r="AE24" s="2336">
        <v>51.83558700415842</v>
      </c>
      <c r="AF24" s="2336">
        <v>52.039206154509728</v>
      </c>
      <c r="AG24" s="2336">
        <v>52.286899602457346</v>
      </c>
      <c r="AH24" s="2336">
        <v>52.591169166488406</v>
      </c>
      <c r="AI24" s="2336">
        <v>52.864240180324963</v>
      </c>
      <c r="AJ24" s="2336">
        <v>53.204415375279247</v>
      </c>
      <c r="AK24" s="2336">
        <v>53.492818104116459</v>
      </c>
      <c r="AL24" s="2336">
        <v>53.863687811844372</v>
      </c>
      <c r="AM24" s="2336">
        <v>54.19382697213014</v>
      </c>
      <c r="AN24" s="2336">
        <v>54.410228956670714</v>
      </c>
      <c r="AO24" s="2336">
        <v>54.524187338905627</v>
      </c>
      <c r="AP24" s="2336">
        <v>54.725157624292677</v>
      </c>
      <c r="AQ24" s="2336">
        <v>54.903296137522041</v>
      </c>
      <c r="AR24" s="2336">
        <v>55.151657082881506</v>
      </c>
      <c r="AS24" s="2336">
        <v>55.190843956672246</v>
      </c>
      <c r="AT24" s="2336">
        <v>55.283932059777726</v>
      </c>
      <c r="AU24" s="2336">
        <v>55.328503548935245</v>
      </c>
      <c r="AV24" s="2336">
        <v>55.41518764870807</v>
      </c>
      <c r="AW24" s="2336">
        <v>55.710108805699747</v>
      </c>
      <c r="AX24" s="2336">
        <v>55.866983599479056</v>
      </c>
      <c r="AY24" s="2336">
        <v>55.94515951112313</v>
      </c>
      <c r="AZ24" s="2336">
        <v>55.958073207204833</v>
      </c>
      <c r="BA24" s="2336">
        <v>55.999970600743922</v>
      </c>
      <c r="BB24" s="2336">
        <v>56.117856804660924</v>
      </c>
      <c r="BC24" s="2336">
        <v>56.213717381446131</v>
      </c>
      <c r="BD24" s="2336">
        <v>56.36192207562322</v>
      </c>
      <c r="BE24" s="2336">
        <v>56.534577338070513</v>
      </c>
      <c r="BF24" s="2336">
        <v>56.731019683219699</v>
      </c>
      <c r="BG24" s="2336">
        <v>56.878614073314026</v>
      </c>
      <c r="BH24" s="2336">
        <v>57.170497380986774</v>
      </c>
      <c r="BI24" s="2336">
        <v>57.338111826238297</v>
      </c>
      <c r="BJ24" s="2336">
        <v>57.589097125679217</v>
      </c>
      <c r="BK24" s="2336">
        <v>57.783535799073405</v>
      </c>
      <c r="BL24" s="2336">
        <v>58.055133825779571</v>
      </c>
      <c r="BM24" s="2336">
        <v>58.313821814407156</v>
      </c>
      <c r="BN24" s="2336">
        <v>58.535129802236675</v>
      </c>
      <c r="BO24" s="2336">
        <v>58.739268794571906</v>
      </c>
      <c r="BP24" s="2336">
        <v>58.958518056156983</v>
      </c>
      <c r="BQ24" s="2336">
        <v>59.17278310582266</v>
      </c>
      <c r="BR24" s="2336">
        <v>59.366346106987635</v>
      </c>
      <c r="BS24" s="2336">
        <v>59.545845103114885</v>
      </c>
      <c r="BT24" s="2336">
        <v>59.751421755467554</v>
      </c>
      <c r="BU24" s="2336">
        <v>59.892859766180173</v>
      </c>
      <c r="BV24" s="2336">
        <v>60.098111480972939</v>
      </c>
      <c r="BW24" s="2336">
        <v>60.285707109215714</v>
      </c>
      <c r="BX24" s="2336">
        <v>60.472596197420991</v>
      </c>
      <c r="BY24" s="2336">
        <v>60.627438118634863</v>
      </c>
      <c r="BZ24" s="2336">
        <v>60.800936924717057</v>
      </c>
      <c r="CA24" s="2336">
        <v>60.96759259684891</v>
      </c>
      <c r="CB24" s="2336">
        <v>61.124139724415478</v>
      </c>
      <c r="CC24" s="2336">
        <v>61.298351454615428</v>
      </c>
      <c r="CD24" s="2336">
        <v>61.481134728269843</v>
      </c>
      <c r="CE24" s="2336">
        <v>61.668422887078506</v>
      </c>
      <c r="CF24" s="2336">
        <v>61.83168011422169</v>
      </c>
      <c r="CG24" s="2336">
        <v>62.004957538613617</v>
      </c>
      <c r="CH24" s="2336">
        <v>62.174768797866776</v>
      </c>
      <c r="CI24" s="2336">
        <v>62.370911512782612</v>
      </c>
      <c r="CJ24" s="2336">
        <v>62.535017306199471</v>
      </c>
      <c r="CK24" s="2336">
        <v>62.708197076065474</v>
      </c>
      <c r="CL24" s="2336">
        <v>62.888724021956946</v>
      </c>
      <c r="CM24" s="2336">
        <v>63.068198632910352</v>
      </c>
      <c r="CN24" s="2336">
        <v>63.227062325148054</v>
      </c>
      <c r="CO24" s="2336">
        <v>63.402425578250103</v>
      </c>
      <c r="CP24" s="2336">
        <v>63.573326766815228</v>
      </c>
      <c r="CQ24" s="2336">
        <v>63.734919750033569</v>
      </c>
      <c r="CR24" s="2336">
        <v>63.889434613674943</v>
      </c>
      <c r="CS24" s="2336">
        <v>64.059474250407661</v>
      </c>
      <c r="CT24" s="2336">
        <v>64.219413968893832</v>
      </c>
      <c r="CU24" s="2336">
        <v>64.386816022675205</v>
      </c>
      <c r="CV24" s="2336">
        <v>64.547263989904536</v>
      </c>
      <c r="CW24" s="2336">
        <v>64.698004137112875</v>
      </c>
      <c r="CX24" s="2336">
        <v>64.859162151628894</v>
      </c>
      <c r="CY24" s="2336">
        <v>65.018158583415229</v>
      </c>
      <c r="CZ24" s="2336">
        <v>65.175820364915978</v>
      </c>
      <c r="DA24" s="2336">
        <v>65.332153410383853</v>
      </c>
      <c r="DB24" s="2336">
        <v>65.487163636099012</v>
      </c>
      <c r="DC24" s="2336">
        <v>65.640856973510409</v>
      </c>
      <c r="DD24" s="2336">
        <v>65.793239368035145</v>
      </c>
      <c r="DE24" s="2336">
        <v>65.944316759068997</v>
      </c>
      <c r="DF24" s="2336">
        <v>66.094095036093989</v>
      </c>
      <c r="DG24" s="2336">
        <v>66.242579974149521</v>
      </c>
      <c r="DH24" s="2336">
        <v>66.389777154438178</v>
      </c>
      <c r="DI24" s="2336">
        <v>66.53569186332156</v>
      </c>
      <c r="DJ24" s="2336">
        <v>66.680329844886643</v>
      </c>
      <c r="DK24" s="2344">
        <v>66.823697467269184</v>
      </c>
      <c r="DL24" s="2336">
        <v>66.965828268759537</v>
      </c>
      <c r="DM24" s="2336">
        <v>67.10672890907027</v>
      </c>
      <c r="DN24" s="2336">
        <v>67.246406081863967</v>
      </c>
      <c r="DO24" s="2336">
        <v>67.384866513056252</v>
      </c>
      <c r="DP24" s="2336">
        <v>67.522116959161167</v>
      </c>
      <c r="DQ24" s="2336">
        <v>67.658164205675192</v>
      </c>
      <c r="DR24" s="2336">
        <v>67.793015065500697</v>
      </c>
      <c r="DS24" s="2336">
        <v>67.926676377407617</v>
      </c>
      <c r="DT24" s="2336">
        <v>68.059155004530169</v>
      </c>
      <c r="DU24" s="2336">
        <v>68.190457832900961</v>
      </c>
    </row>
    <row r="25" spans="1:125" ht="14.25">
      <c r="A25" s="904">
        <v>23</v>
      </c>
      <c r="B25" s="92"/>
      <c r="C25" s="92"/>
      <c r="D25" s="92"/>
      <c r="E25" s="92"/>
      <c r="F25" s="92"/>
      <c r="G25" s="92"/>
      <c r="H25" s="92"/>
      <c r="I25" s="92"/>
      <c r="J25" s="92"/>
      <c r="K25" s="92"/>
      <c r="L25" s="92"/>
      <c r="M25" s="92"/>
      <c r="N25" s="92"/>
      <c r="O25" s="92"/>
      <c r="P25" s="92"/>
      <c r="Q25" s="92"/>
      <c r="R25" s="92"/>
      <c r="S25" s="92"/>
      <c r="T25" s="92"/>
      <c r="U25" s="92"/>
      <c r="V25" s="739"/>
      <c r="W25" s="2338">
        <v>49.43</v>
      </c>
      <c r="X25" s="2338">
        <v>49.74</v>
      </c>
      <c r="Y25" s="2336">
        <v>49.962282403501973</v>
      </c>
      <c r="Z25" s="2336">
        <v>50.318402297705937</v>
      </c>
      <c r="AA25" s="2336">
        <v>50.677792614757685</v>
      </c>
      <c r="AB25" s="2336">
        <v>50.888170392129439</v>
      </c>
      <c r="AC25" s="2336">
        <v>50.905764102978722</v>
      </c>
      <c r="AD25" s="2336">
        <v>50.86385881843303</v>
      </c>
      <c r="AE25" s="2336">
        <v>50.942072093391737</v>
      </c>
      <c r="AF25" s="2336">
        <v>51.14440899855537</v>
      </c>
      <c r="AG25" s="2336">
        <v>51.390464415085923</v>
      </c>
      <c r="AH25" s="2336">
        <v>51.694903972861489</v>
      </c>
      <c r="AI25" s="2336">
        <v>51.967856033205408</v>
      </c>
      <c r="AJ25" s="2336">
        <v>52.30292540785306</v>
      </c>
      <c r="AK25" s="2336">
        <v>52.59328646117946</v>
      </c>
      <c r="AL25" s="2336">
        <v>52.963335654944466</v>
      </c>
      <c r="AM25" s="2336">
        <v>53.293807920825344</v>
      </c>
      <c r="AN25" s="2336">
        <v>53.503159814433246</v>
      </c>
      <c r="AO25" s="2336">
        <v>53.623794026574672</v>
      </c>
      <c r="AP25" s="2336">
        <v>53.814805329466644</v>
      </c>
      <c r="AQ25" s="2336">
        <v>53.997458198561382</v>
      </c>
      <c r="AR25" s="2336">
        <v>54.242525277134291</v>
      </c>
      <c r="AS25" s="2336">
        <v>54.2766469553208</v>
      </c>
      <c r="AT25" s="2336">
        <v>54.373705655128639</v>
      </c>
      <c r="AU25" s="2336">
        <v>54.427011908639841</v>
      </c>
      <c r="AV25" s="2336">
        <v>54.501140156040329</v>
      </c>
      <c r="AW25" s="2336">
        <v>54.799363642210544</v>
      </c>
      <c r="AX25" s="2336">
        <v>54.962838200901032</v>
      </c>
      <c r="AY25" s="2336">
        <v>55.038995428704553</v>
      </c>
      <c r="AZ25" s="2336">
        <v>55.05960117134552</v>
      </c>
      <c r="BA25" s="2336">
        <v>55.085065388135682</v>
      </c>
      <c r="BB25" s="2336">
        <v>55.196596711476829</v>
      </c>
      <c r="BC25" s="2336">
        <v>55.302228294942346</v>
      </c>
      <c r="BD25" s="2336">
        <v>55.450706738122577</v>
      </c>
      <c r="BE25" s="2336">
        <v>55.622548042545112</v>
      </c>
      <c r="BF25" s="2336">
        <v>55.822783493777507</v>
      </c>
      <c r="BG25" s="2336">
        <v>55.969094040946864</v>
      </c>
      <c r="BH25" s="2336">
        <v>56.246082247790071</v>
      </c>
      <c r="BI25" s="2336">
        <v>56.410166829079429</v>
      </c>
      <c r="BJ25" s="2336">
        <v>56.665377596706961</v>
      </c>
      <c r="BK25" s="2336">
        <v>56.858444268331574</v>
      </c>
      <c r="BL25" s="2336">
        <v>57.126280116552358</v>
      </c>
      <c r="BM25" s="2336">
        <v>57.376995489400535</v>
      </c>
      <c r="BN25" s="2336">
        <v>57.597613120699037</v>
      </c>
      <c r="BO25" s="2336">
        <v>57.798562651489384</v>
      </c>
      <c r="BP25" s="2336">
        <v>58.019077511677409</v>
      </c>
      <c r="BQ25" s="2336">
        <v>58.234765723726504</v>
      </c>
      <c r="BR25" s="2336">
        <v>58.432652412597697</v>
      </c>
      <c r="BS25" s="2336">
        <v>58.614508744188718</v>
      </c>
      <c r="BT25" s="2336">
        <v>58.813412609888211</v>
      </c>
      <c r="BU25" s="2336">
        <v>58.953340722671577</v>
      </c>
      <c r="BV25" s="2336">
        <v>59.161102765850536</v>
      </c>
      <c r="BW25" s="2336">
        <v>59.344055010581037</v>
      </c>
      <c r="BX25" s="2336">
        <v>59.53023304706705</v>
      </c>
      <c r="BY25" s="2336">
        <v>59.678798904235897</v>
      </c>
      <c r="BZ25" s="2336">
        <v>59.860659873644622</v>
      </c>
      <c r="CA25" s="2336">
        <v>60.021481851184376</v>
      </c>
      <c r="CB25" s="2336">
        <v>60.173182832387468</v>
      </c>
      <c r="CC25" s="2336">
        <v>60.350777077015266</v>
      </c>
      <c r="CD25" s="2336">
        <v>60.527471202213327</v>
      </c>
      <c r="CE25" s="2336">
        <v>60.714505388200372</v>
      </c>
      <c r="CF25" s="2336">
        <v>60.871633715710523</v>
      </c>
      <c r="CG25" s="2336">
        <v>61.039964334764619</v>
      </c>
      <c r="CH25" s="2336">
        <v>61.21613898389321</v>
      </c>
      <c r="CI25" s="2336">
        <v>61.405496498062739</v>
      </c>
      <c r="CJ25" s="2336">
        <v>61.569292048553862</v>
      </c>
      <c r="CK25" s="2336">
        <v>61.740455751072467</v>
      </c>
      <c r="CL25" s="2336">
        <v>61.921626417191199</v>
      </c>
      <c r="CM25" s="2336">
        <v>62.101748741368205</v>
      </c>
      <c r="CN25" s="2336">
        <v>62.25714604473967</v>
      </c>
      <c r="CO25" s="2336">
        <v>62.427046015525981</v>
      </c>
      <c r="CP25" s="2336">
        <v>62.601038220675335</v>
      </c>
      <c r="CQ25" s="2336">
        <v>62.764829700676309</v>
      </c>
      <c r="CR25" s="2336">
        <v>62.918717722564097</v>
      </c>
      <c r="CS25" s="2336">
        <v>63.087458579292807</v>
      </c>
      <c r="CT25" s="2336">
        <v>63.245176266416365</v>
      </c>
      <c r="CU25" s="2336">
        <v>63.41302212487755</v>
      </c>
      <c r="CV25" s="2336">
        <v>63.571924357725216</v>
      </c>
      <c r="CW25" s="2336">
        <v>63.728247429653216</v>
      </c>
      <c r="CX25" s="2336">
        <v>63.88774186977971</v>
      </c>
      <c r="CY25" s="2336">
        <v>64.045919104896825</v>
      </c>
      <c r="CZ25" s="2336">
        <v>64.202784462180375</v>
      </c>
      <c r="DA25" s="2336">
        <v>64.358343250586827</v>
      </c>
      <c r="DB25" s="2336">
        <v>64.512600796081983</v>
      </c>
      <c r="DC25" s="2336">
        <v>64.665562454462204</v>
      </c>
      <c r="DD25" s="2336">
        <v>64.817233609832499</v>
      </c>
      <c r="DE25" s="2336">
        <v>64.967619654294467</v>
      </c>
      <c r="DF25" s="2336">
        <v>65.116725943729278</v>
      </c>
      <c r="DG25" s="2336">
        <v>65.264557732945349</v>
      </c>
      <c r="DH25" s="2336">
        <v>65.411120095964563</v>
      </c>
      <c r="DI25" s="2336">
        <v>65.556417824701256</v>
      </c>
      <c r="DJ25" s="2336">
        <v>65.700456181481172</v>
      </c>
      <c r="DK25" s="2344">
        <v>65.843266484477724</v>
      </c>
      <c r="DL25" s="2336">
        <v>65.984854961512184</v>
      </c>
      <c r="DM25" s="2336">
        <v>66.125227885625947</v>
      </c>
      <c r="DN25" s="2336">
        <v>66.264391573139633</v>
      </c>
      <c r="DO25" s="2336">
        <v>66.402352381755605</v>
      </c>
      <c r="DP25" s="2336">
        <v>66.539116708706459</v>
      </c>
      <c r="DQ25" s="2336">
        <v>66.674690988945159</v>
      </c>
      <c r="DR25" s="2336">
        <v>66.809081693378189</v>
      </c>
      <c r="DS25" s="2336">
        <v>66.942295327140073</v>
      </c>
      <c r="DT25" s="2336">
        <v>67.074338427906156</v>
      </c>
      <c r="DU25" s="2336">
        <v>67.205217564246169</v>
      </c>
    </row>
    <row r="26" spans="1:125" ht="14.25">
      <c r="A26" s="904">
        <v>24</v>
      </c>
      <c r="B26" s="92"/>
      <c r="C26" s="92"/>
      <c r="D26" s="92"/>
      <c r="E26" s="92"/>
      <c r="F26" s="92"/>
      <c r="G26" s="92"/>
      <c r="H26" s="92"/>
      <c r="I26" s="92"/>
      <c r="J26" s="92"/>
      <c r="K26" s="92"/>
      <c r="L26" s="92"/>
      <c r="M26" s="92"/>
      <c r="N26" s="92"/>
      <c r="O26" s="92"/>
      <c r="P26" s="92"/>
      <c r="Q26" s="92"/>
      <c r="R26" s="92"/>
      <c r="S26" s="92"/>
      <c r="T26" s="92"/>
      <c r="U26" s="92"/>
      <c r="V26" s="739"/>
      <c r="W26" s="2338">
        <v>48.62</v>
      </c>
      <c r="X26" s="2338">
        <v>49.01</v>
      </c>
      <c r="Y26" s="2336">
        <v>49.201845297837544</v>
      </c>
      <c r="Z26" s="2336">
        <v>49.559690003522917</v>
      </c>
      <c r="AA26" s="2336">
        <v>49.835019213731293</v>
      </c>
      <c r="AB26" s="2336">
        <v>49.99572628912528</v>
      </c>
      <c r="AC26" s="2336">
        <v>50.01335755456995</v>
      </c>
      <c r="AD26" s="2336">
        <v>49.971362821242273</v>
      </c>
      <c r="AE26" s="2336">
        <v>50.038888727477065</v>
      </c>
      <c r="AF26" s="2336">
        <v>50.248463571269433</v>
      </c>
      <c r="AG26" s="2336">
        <v>50.485667701473339</v>
      </c>
      <c r="AH26" s="2336">
        <v>50.792717242075</v>
      </c>
      <c r="AI26" s="2336">
        <v>51.068380371277492</v>
      </c>
      <c r="AJ26" s="2336">
        <v>51.397291848141158</v>
      </c>
      <c r="AK26" s="2336">
        <v>51.682866587347696</v>
      </c>
      <c r="AL26" s="2336">
        <v>52.052076405398886</v>
      </c>
      <c r="AM26" s="2336">
        <v>52.38178096225063</v>
      </c>
      <c r="AN26" s="2336">
        <v>52.596472313663135</v>
      </c>
      <c r="AO26" s="2336">
        <v>52.713205672521482</v>
      </c>
      <c r="AP26" s="2336">
        <v>52.904215203282874</v>
      </c>
      <c r="AQ26" s="2336">
        <v>53.0851573451408</v>
      </c>
      <c r="AR26" s="2336">
        <v>53.331659524330725</v>
      </c>
      <c r="AS26" s="2336">
        <v>53.358336624857159</v>
      </c>
      <c r="AT26" s="2336">
        <v>53.452344535066345</v>
      </c>
      <c r="AU26" s="2336">
        <v>53.51069939757587</v>
      </c>
      <c r="AV26" s="2336">
        <v>53.590201340032579</v>
      </c>
      <c r="AW26" s="2336">
        <v>53.888617913172418</v>
      </c>
      <c r="AX26" s="2336">
        <v>54.052964338800464</v>
      </c>
      <c r="AY26" s="2336">
        <v>54.122012013414448</v>
      </c>
      <c r="AZ26" s="2336">
        <v>54.133189330030774</v>
      </c>
      <c r="BA26" s="2336">
        <v>54.16311885305447</v>
      </c>
      <c r="BB26" s="2336">
        <v>54.27531097291515</v>
      </c>
      <c r="BC26" s="2336">
        <v>54.388284602849119</v>
      </c>
      <c r="BD26" s="2336">
        <v>54.534925078837162</v>
      </c>
      <c r="BE26" s="2336">
        <v>54.703677432694498</v>
      </c>
      <c r="BF26" s="2336">
        <v>54.902828204805346</v>
      </c>
      <c r="BG26" s="2336">
        <v>55.046632906282262</v>
      </c>
      <c r="BH26" s="2336">
        <v>55.31993796801121</v>
      </c>
      <c r="BI26" s="2336">
        <v>55.481606703485681</v>
      </c>
      <c r="BJ26" s="2336">
        <v>55.736406495236629</v>
      </c>
      <c r="BK26" s="2336">
        <v>55.916827022319929</v>
      </c>
      <c r="BL26" s="2336">
        <v>56.185444915673081</v>
      </c>
      <c r="BM26" s="2336">
        <v>56.434246098939127</v>
      </c>
      <c r="BN26" s="2336">
        <v>56.656943241209326</v>
      </c>
      <c r="BO26" s="2336">
        <v>56.857935135970337</v>
      </c>
      <c r="BP26" s="2336">
        <v>57.076794118948527</v>
      </c>
      <c r="BQ26" s="2336">
        <v>57.299968307310657</v>
      </c>
      <c r="BR26" s="2336">
        <v>57.496879849546389</v>
      </c>
      <c r="BS26" s="2336">
        <v>57.675436657394307</v>
      </c>
      <c r="BT26" s="2336">
        <v>57.873820699500165</v>
      </c>
      <c r="BU26" s="2336">
        <v>58.007215284697679</v>
      </c>
      <c r="BV26" s="2336">
        <v>58.219745238005068</v>
      </c>
      <c r="BW26" s="2336">
        <v>58.406790408139102</v>
      </c>
      <c r="BX26" s="2336">
        <v>58.58554565102267</v>
      </c>
      <c r="BY26" s="2336">
        <v>58.730144111884911</v>
      </c>
      <c r="BZ26" s="2336">
        <v>58.912120394728525</v>
      </c>
      <c r="CA26" s="2336">
        <v>59.070628081287907</v>
      </c>
      <c r="CB26" s="2336">
        <v>59.218322962308051</v>
      </c>
      <c r="CC26" s="2336">
        <v>59.400833285210808</v>
      </c>
      <c r="CD26" s="2336">
        <v>59.569789666745045</v>
      </c>
      <c r="CE26" s="2336">
        <v>59.753893355976565</v>
      </c>
      <c r="CF26" s="2336">
        <v>59.907076366902864</v>
      </c>
      <c r="CG26" s="2336">
        <v>60.077243433400533</v>
      </c>
      <c r="CH26" s="2336">
        <v>60.252468388174478</v>
      </c>
      <c r="CI26" s="2336">
        <v>60.43821808898953</v>
      </c>
      <c r="CJ26" s="2336">
        <v>60.597827838392973</v>
      </c>
      <c r="CK26" s="2336">
        <v>60.775711795633057</v>
      </c>
      <c r="CL26" s="2336">
        <v>60.957941870400184</v>
      </c>
      <c r="CM26" s="2336">
        <v>61.13070952168686</v>
      </c>
      <c r="CN26" s="2336">
        <v>61.286698895354014</v>
      </c>
      <c r="CO26" s="2336">
        <v>61.458663939592213</v>
      </c>
      <c r="CP26" s="2336">
        <v>61.625699693340181</v>
      </c>
      <c r="CQ26" s="2336">
        <v>61.78954455109195</v>
      </c>
      <c r="CR26" s="2336">
        <v>61.946371508838176</v>
      </c>
      <c r="CS26" s="2336">
        <v>62.112206860400597</v>
      </c>
      <c r="CT26" s="2336">
        <v>62.272110202268415</v>
      </c>
      <c r="CU26" s="2336">
        <v>62.438597530639818</v>
      </c>
      <c r="CV26" s="2336">
        <v>62.596374437699062</v>
      </c>
      <c r="CW26" s="2336">
        <v>62.756382891311176</v>
      </c>
      <c r="CX26" s="2336">
        <v>62.915090601558063</v>
      </c>
      <c r="CY26" s="2336">
        <v>63.07250239710465</v>
      </c>
      <c r="CZ26" s="2336">
        <v>63.228623056121748</v>
      </c>
      <c r="DA26" s="2336">
        <v>63.383457351645255</v>
      </c>
      <c r="DB26" s="2336">
        <v>63.53701008655073</v>
      </c>
      <c r="DC26" s="2336">
        <v>63.689286106113272</v>
      </c>
      <c r="DD26" s="2336">
        <v>63.840290296222044</v>
      </c>
      <c r="DE26" s="2336">
        <v>63.990027562801963</v>
      </c>
      <c r="DF26" s="2336">
        <v>64.138502787327667</v>
      </c>
      <c r="DG26" s="2336">
        <v>64.285720761701697</v>
      </c>
      <c r="DH26" s="2336">
        <v>64.43168610827432</v>
      </c>
      <c r="DI26" s="2336">
        <v>64.576403178257067</v>
      </c>
      <c r="DJ26" s="2336">
        <v>64.719900577944074</v>
      </c>
      <c r="DK26" s="2344">
        <v>64.862184123395366</v>
      </c>
      <c r="DL26" s="2336">
        <v>65.003259686358291</v>
      </c>
      <c r="DM26" s="2336">
        <v>65.143133192105481</v>
      </c>
      <c r="DN26" s="2336">
        <v>65.281810617323657</v>
      </c>
      <c r="DO26" s="2336">
        <v>65.419297988048569</v>
      </c>
      <c r="DP26" s="2336">
        <v>65.55560137764833</v>
      </c>
      <c r="DQ26" s="2336">
        <v>65.690726904851147</v>
      </c>
      <c r="DR26" s="2336">
        <v>65.824680731818546</v>
      </c>
      <c r="DS26" s="2336">
        <v>65.957469062262547</v>
      </c>
      <c r="DT26" s="2336">
        <v>66.089098139603678</v>
      </c>
      <c r="DU26" s="2336">
        <v>66.219574245172339</v>
      </c>
    </row>
    <row r="27" spans="1:125" ht="14.25">
      <c r="A27" s="904">
        <v>25</v>
      </c>
      <c r="B27" s="92"/>
      <c r="C27" s="92"/>
      <c r="D27" s="92"/>
      <c r="E27" s="92"/>
      <c r="F27" s="92"/>
      <c r="G27" s="92"/>
      <c r="H27" s="92"/>
      <c r="I27" s="92"/>
      <c r="J27" s="92"/>
      <c r="K27" s="92"/>
      <c r="L27" s="92"/>
      <c r="M27" s="92"/>
      <c r="N27" s="92"/>
      <c r="O27" s="92"/>
      <c r="P27" s="92"/>
      <c r="Q27" s="92"/>
      <c r="R27" s="92"/>
      <c r="S27" s="92"/>
      <c r="T27" s="92"/>
      <c r="U27" s="92"/>
      <c r="V27" s="739"/>
      <c r="W27" s="2338">
        <v>47.87</v>
      </c>
      <c r="X27" s="2338">
        <v>48.24</v>
      </c>
      <c r="Y27" s="2336">
        <v>48.430350032489272</v>
      </c>
      <c r="Z27" s="2336">
        <v>48.708614713495784</v>
      </c>
      <c r="AA27" s="2336">
        <v>48.943300040820695</v>
      </c>
      <c r="AB27" s="2336">
        <v>49.10435983716868</v>
      </c>
      <c r="AC27" s="2336">
        <v>49.12202979983158</v>
      </c>
      <c r="AD27" s="2336">
        <v>49.05620701119237</v>
      </c>
      <c r="AE27" s="2336">
        <v>49.133289415897551</v>
      </c>
      <c r="AF27" s="2336">
        <v>49.340179419148285</v>
      </c>
      <c r="AG27" s="2336">
        <v>49.582741576691959</v>
      </c>
      <c r="AH27" s="2336">
        <v>49.885815267837216</v>
      </c>
      <c r="AI27" s="2336">
        <v>50.1587887905579</v>
      </c>
      <c r="AJ27" s="2336">
        <v>50.483457319465295</v>
      </c>
      <c r="AK27" s="2336">
        <v>50.770807495245712</v>
      </c>
      <c r="AL27" s="2336">
        <v>51.135943579110986</v>
      </c>
      <c r="AM27" s="2336">
        <v>51.468387844554648</v>
      </c>
      <c r="AN27" s="2336">
        <v>51.678268055989243</v>
      </c>
      <c r="AO27" s="2336">
        <v>51.799903090882644</v>
      </c>
      <c r="AP27" s="2336">
        <v>51.990129749745755</v>
      </c>
      <c r="AQ27" s="2336">
        <v>52.16384516001709</v>
      </c>
      <c r="AR27" s="2336">
        <v>52.41416418796085</v>
      </c>
      <c r="AS27" s="2336">
        <v>52.435711833351156</v>
      </c>
      <c r="AT27" s="2336">
        <v>52.529215878582299</v>
      </c>
      <c r="AU27" s="2336">
        <v>52.592930663592441</v>
      </c>
      <c r="AV27" s="2336">
        <v>52.680537192804962</v>
      </c>
      <c r="AW27" s="2336">
        <v>52.976696842865046</v>
      </c>
      <c r="AX27" s="2336">
        <v>53.129969658913602</v>
      </c>
      <c r="AY27" s="2336">
        <v>53.197076379096806</v>
      </c>
      <c r="AZ27" s="2336">
        <v>53.201737333571721</v>
      </c>
      <c r="BA27" s="2336">
        <v>53.239178223158881</v>
      </c>
      <c r="BB27" s="2336">
        <v>53.350562838964812</v>
      </c>
      <c r="BC27" s="2336">
        <v>53.465678052544462</v>
      </c>
      <c r="BD27" s="2336">
        <v>53.606908037138602</v>
      </c>
      <c r="BE27" s="2336">
        <v>53.783146366518388</v>
      </c>
      <c r="BF27" s="2336">
        <v>53.974427182349373</v>
      </c>
      <c r="BG27" s="2336">
        <v>54.115506335987114</v>
      </c>
      <c r="BH27" s="2336">
        <v>54.385931263051425</v>
      </c>
      <c r="BI27" s="2336">
        <v>54.545886340501987</v>
      </c>
      <c r="BJ27" s="2336">
        <v>54.801279693853999</v>
      </c>
      <c r="BK27" s="2336">
        <v>54.977906137848024</v>
      </c>
      <c r="BL27" s="2336">
        <v>55.243377127260608</v>
      </c>
      <c r="BM27" s="2336">
        <v>55.491824910174564</v>
      </c>
      <c r="BN27" s="2336">
        <v>55.714389121504809</v>
      </c>
      <c r="BO27" s="2336">
        <v>55.912695402787811</v>
      </c>
      <c r="BP27" s="2336">
        <v>56.135811274438105</v>
      </c>
      <c r="BQ27" s="2336">
        <v>56.355774907943022</v>
      </c>
      <c r="BR27" s="2336">
        <v>56.556493476150258</v>
      </c>
      <c r="BS27" s="2336">
        <v>56.734147117122475</v>
      </c>
      <c r="BT27" s="2336">
        <v>56.930253942633591</v>
      </c>
      <c r="BU27" s="2336">
        <v>57.065565236468004</v>
      </c>
      <c r="BV27" s="2336">
        <v>57.269560354281104</v>
      </c>
      <c r="BW27" s="2336">
        <v>57.458016720916298</v>
      </c>
      <c r="BX27" s="2336">
        <v>57.63499510978837</v>
      </c>
      <c r="BY27" s="2336">
        <v>57.78668545125759</v>
      </c>
      <c r="BZ27" s="2336">
        <v>57.959473117583592</v>
      </c>
      <c r="CA27" s="2336">
        <v>58.115578560291212</v>
      </c>
      <c r="CB27" s="2336">
        <v>58.259514584967647</v>
      </c>
      <c r="CC27" s="2336">
        <v>58.44336152969305</v>
      </c>
      <c r="CD27" s="2336">
        <v>58.610798160564748</v>
      </c>
      <c r="CE27" s="2336">
        <v>58.788305967369759</v>
      </c>
      <c r="CF27" s="2336">
        <v>58.944423288034685</v>
      </c>
      <c r="CG27" s="2336">
        <v>59.110212802029054</v>
      </c>
      <c r="CH27" s="2336">
        <v>59.286000028403123</v>
      </c>
      <c r="CI27" s="2336">
        <v>59.471958997634168</v>
      </c>
      <c r="CJ27" s="2336">
        <v>59.633898560708005</v>
      </c>
      <c r="CK27" s="2336">
        <v>59.809270281700968</v>
      </c>
      <c r="CL27" s="2336">
        <v>59.98664012778152</v>
      </c>
      <c r="CM27" s="2336">
        <v>60.15872040734957</v>
      </c>
      <c r="CN27" s="2336">
        <v>60.316110848853292</v>
      </c>
      <c r="CO27" s="2336">
        <v>60.486808644254928</v>
      </c>
      <c r="CP27" s="2336">
        <v>60.656253708290961</v>
      </c>
      <c r="CQ27" s="2336">
        <v>60.81742000214652</v>
      </c>
      <c r="CR27" s="2336">
        <v>60.975676109797348</v>
      </c>
      <c r="CS27" s="2336">
        <v>61.139025907642477</v>
      </c>
      <c r="CT27" s="2336">
        <v>61.300871169040235</v>
      </c>
      <c r="CU27" s="2336">
        <v>61.463193985009731</v>
      </c>
      <c r="CV27" s="2336">
        <v>61.623742403917113</v>
      </c>
      <c r="CW27" s="2336">
        <v>61.783005260250256</v>
      </c>
      <c r="CX27" s="2336">
        <v>61.940986985184587</v>
      </c>
      <c r="CY27" s="2336">
        <v>62.097691917817961</v>
      </c>
      <c r="CZ27" s="2336">
        <v>62.253124357940365</v>
      </c>
      <c r="DA27" s="2336">
        <v>62.407288611197686</v>
      </c>
      <c r="DB27" s="2336">
        <v>62.56018902386618</v>
      </c>
      <c r="DC27" s="2336">
        <v>62.711829995204319</v>
      </c>
      <c r="DD27" s="2336">
        <v>62.86221597545611</v>
      </c>
      <c r="DE27" s="2336">
        <v>63.01135144505816</v>
      </c>
      <c r="DF27" s="2336">
        <v>63.159240869935168</v>
      </c>
      <c r="DG27" s="2336">
        <v>63.3058886361585</v>
      </c>
      <c r="DH27" s="2336">
        <v>63.451298969747803</v>
      </c>
      <c r="DI27" s="2336">
        <v>63.59549747318249</v>
      </c>
      <c r="DJ27" s="2336">
        <v>63.738489574096739</v>
      </c>
      <c r="DK27" s="2344">
        <v>63.880280765434946</v>
      </c>
      <c r="DL27" s="2336">
        <v>64.020876603097719</v>
      </c>
      <c r="DM27" s="2336">
        <v>64.160282703638387</v>
      </c>
      <c r="DN27" s="2336">
        <v>64.29850474201227</v>
      </c>
      <c r="DO27" s="2336">
        <v>64.435548449374011</v>
      </c>
      <c r="DP27" s="2336">
        <v>64.57141961092519</v>
      </c>
      <c r="DQ27" s="2336">
        <v>64.706124063808545</v>
      </c>
      <c r="DR27" s="2336">
        <v>64.839667695049144</v>
      </c>
      <c r="DS27" s="2336">
        <v>64.972056439542058</v>
      </c>
      <c r="DT27" s="2336">
        <v>65.103296278082169</v>
      </c>
      <c r="DU27" s="2336">
        <v>65.233393235439877</v>
      </c>
    </row>
    <row r="28" spans="1:125" ht="14.25">
      <c r="A28" s="904">
        <v>26</v>
      </c>
      <c r="B28" s="92"/>
      <c r="C28" s="92"/>
      <c r="D28" s="92"/>
      <c r="E28" s="92"/>
      <c r="F28" s="92"/>
      <c r="G28" s="92"/>
      <c r="H28" s="92"/>
      <c r="I28" s="92"/>
      <c r="J28" s="92"/>
      <c r="K28" s="92"/>
      <c r="L28" s="92"/>
      <c r="M28" s="92"/>
      <c r="N28" s="92"/>
      <c r="O28" s="92"/>
      <c r="P28" s="92"/>
      <c r="Q28" s="92"/>
      <c r="R28" s="92"/>
      <c r="S28" s="92"/>
      <c r="T28" s="92"/>
      <c r="U28" s="92"/>
      <c r="V28" s="739"/>
      <c r="W28" s="2338">
        <v>47.09</v>
      </c>
      <c r="X28" s="2338">
        <v>47.45</v>
      </c>
      <c r="Y28" s="2336">
        <v>47.570847035340293</v>
      </c>
      <c r="Z28" s="2336">
        <v>47.8163601967345</v>
      </c>
      <c r="AA28" s="2336">
        <v>48.051570042014383</v>
      </c>
      <c r="AB28" s="2336">
        <v>48.21298980443256</v>
      </c>
      <c r="AC28" s="2336">
        <v>48.210896960256463</v>
      </c>
      <c r="AD28" s="2336">
        <v>48.145025618113472</v>
      </c>
      <c r="AE28" s="2336">
        <v>48.219689247815502</v>
      </c>
      <c r="AF28" s="2336">
        <v>48.433022903559348</v>
      </c>
      <c r="AG28" s="2336">
        <v>48.669854549005379</v>
      </c>
      <c r="AH28" s="2336">
        <v>48.971616138198662</v>
      </c>
      <c r="AI28" s="2336">
        <v>49.244342990066897</v>
      </c>
      <c r="AJ28" s="2336">
        <v>49.568639882993018</v>
      </c>
      <c r="AK28" s="2336">
        <v>49.849777444203404</v>
      </c>
      <c r="AL28" s="2336">
        <v>50.219602872851823</v>
      </c>
      <c r="AM28" s="2336">
        <v>50.546470028267812</v>
      </c>
      <c r="AN28" s="2336">
        <v>50.756689152021949</v>
      </c>
      <c r="AO28" s="2336">
        <v>50.883003413733711</v>
      </c>
      <c r="AP28" s="2336">
        <v>51.072434054492469</v>
      </c>
      <c r="AQ28" s="2336">
        <v>51.242592238759471</v>
      </c>
      <c r="AR28" s="2336">
        <v>51.494681604576769</v>
      </c>
      <c r="AS28" s="2336">
        <v>51.509482576796437</v>
      </c>
      <c r="AT28" s="2336">
        <v>51.603223997629271</v>
      </c>
      <c r="AU28" s="2336">
        <v>51.679567079359181</v>
      </c>
      <c r="AV28" s="2336">
        <v>51.759242693446751</v>
      </c>
      <c r="AW28" s="2336">
        <v>52.059715990067644</v>
      </c>
      <c r="AX28" s="2336">
        <v>52.200709833982373</v>
      </c>
      <c r="AY28" s="2336">
        <v>52.262530629706347</v>
      </c>
      <c r="AZ28" s="2336">
        <v>52.26930463448403</v>
      </c>
      <c r="BA28" s="2336">
        <v>52.312397629461728</v>
      </c>
      <c r="BB28" s="2336">
        <v>52.420590047116526</v>
      </c>
      <c r="BC28" s="2336">
        <v>52.539007103774303</v>
      </c>
      <c r="BD28" s="2336">
        <v>52.679097287058255</v>
      </c>
      <c r="BE28" s="2336">
        <v>52.853228918593246</v>
      </c>
      <c r="BF28" s="2336">
        <v>53.044000366318464</v>
      </c>
      <c r="BG28" s="2336">
        <v>53.18239566546589</v>
      </c>
      <c r="BH28" s="2336">
        <v>53.446764278903672</v>
      </c>
      <c r="BI28" s="2336">
        <v>53.605927518785329</v>
      </c>
      <c r="BJ28" s="2336">
        <v>53.855929633598869</v>
      </c>
      <c r="BK28" s="2336">
        <v>54.035213129614426</v>
      </c>
      <c r="BL28" s="2336">
        <v>54.30028101389253</v>
      </c>
      <c r="BM28" s="2336">
        <v>54.5449535434323</v>
      </c>
      <c r="BN28" s="2336">
        <v>54.77137898062302</v>
      </c>
      <c r="BO28" s="2336">
        <v>54.974808823366892</v>
      </c>
      <c r="BP28" s="2336">
        <v>55.199280659992567</v>
      </c>
      <c r="BQ28" s="2336">
        <v>55.414955225364722</v>
      </c>
      <c r="BR28" s="2336">
        <v>55.611319455506283</v>
      </c>
      <c r="BS28" s="2336">
        <v>55.788083496170117</v>
      </c>
      <c r="BT28" s="2336">
        <v>55.981654333870473</v>
      </c>
      <c r="BU28" s="2336">
        <v>56.11618018824889</v>
      </c>
      <c r="BV28" s="2336">
        <v>56.320325985719002</v>
      </c>
      <c r="BW28" s="2336">
        <v>56.502729600374927</v>
      </c>
      <c r="BX28" s="2336">
        <v>56.680812527204452</v>
      </c>
      <c r="BY28" s="2336">
        <v>56.831838059313981</v>
      </c>
      <c r="BZ28" s="2336">
        <v>57.003748383509453</v>
      </c>
      <c r="CA28" s="2336">
        <v>57.158268869325894</v>
      </c>
      <c r="CB28" s="2336">
        <v>57.303795614735634</v>
      </c>
      <c r="CC28" s="2336">
        <v>57.477518721264076</v>
      </c>
      <c r="CD28" s="2336">
        <v>57.64811951971631</v>
      </c>
      <c r="CE28" s="2336">
        <v>57.82752401184991</v>
      </c>
      <c r="CF28" s="2336">
        <v>57.977461466444517</v>
      </c>
      <c r="CG28" s="2336">
        <v>58.144348234539343</v>
      </c>
      <c r="CH28" s="2336">
        <v>58.318029515315281</v>
      </c>
      <c r="CI28" s="2336">
        <v>58.503597723631522</v>
      </c>
      <c r="CJ28" s="2336">
        <v>58.666951664700292</v>
      </c>
      <c r="CK28" s="2336">
        <v>58.840999271393002</v>
      </c>
      <c r="CL28" s="2336">
        <v>59.017092097529691</v>
      </c>
      <c r="CM28" s="2336">
        <v>59.188613841026175</v>
      </c>
      <c r="CN28" s="2336">
        <v>59.342837270746635</v>
      </c>
      <c r="CO28" s="2336">
        <v>59.514266538008314</v>
      </c>
      <c r="CP28" s="2336">
        <v>59.681013642359439</v>
      </c>
      <c r="CQ28" s="2336">
        <v>59.843030639867386</v>
      </c>
      <c r="CR28" s="2336">
        <v>60.002235825070642</v>
      </c>
      <c r="CS28" s="2336">
        <v>60.162490621306702</v>
      </c>
      <c r="CT28" s="2336">
        <v>60.328707374199887</v>
      </c>
      <c r="CU28" s="2336">
        <v>60.489821591238737</v>
      </c>
      <c r="CV28" s="2336">
        <v>60.649664119859871</v>
      </c>
      <c r="CW28" s="2336">
        <v>60.808239104728223</v>
      </c>
      <c r="CX28" s="2336">
        <v>60.965550542605222</v>
      </c>
      <c r="CY28" s="2336">
        <v>61.121602347641939</v>
      </c>
      <c r="CZ28" s="2336">
        <v>61.276398404004929</v>
      </c>
      <c r="DA28" s="2336">
        <v>61.429942610890613</v>
      </c>
      <c r="DB28" s="2336">
        <v>61.582238917145006</v>
      </c>
      <c r="DC28" s="2336">
        <v>61.733291333452435</v>
      </c>
      <c r="DD28" s="2336">
        <v>61.883103930172005</v>
      </c>
      <c r="DE28" s="2336">
        <v>62.031680816373488</v>
      </c>
      <c r="DF28" s="2336">
        <v>62.179026094957301</v>
      </c>
      <c r="DG28" s="2336">
        <v>62.325143797135418</v>
      </c>
      <c r="DH28" s="2336">
        <v>62.470056999393336</v>
      </c>
      <c r="DI28" s="2336">
        <v>62.613770762423755</v>
      </c>
      <c r="DJ28" s="2336">
        <v>62.756290221094531</v>
      </c>
      <c r="DK28" s="2344">
        <v>62.897620581922638</v>
      </c>
      <c r="DL28" s="2336">
        <v>63.037767120603782</v>
      </c>
      <c r="DM28" s="2336">
        <v>63.176735179593869</v>
      </c>
      <c r="DN28" s="2336">
        <v>63.31453016574455</v>
      </c>
      <c r="DO28" s="2336">
        <v>63.451157547988245</v>
      </c>
      <c r="DP28" s="2336">
        <v>63.586622855075028</v>
      </c>
      <c r="DQ28" s="2336">
        <v>63.720931673357313</v>
      </c>
      <c r="DR28" s="2336">
        <v>63.854089644623095</v>
      </c>
      <c r="DS28" s="2336">
        <v>63.986102463976984</v>
      </c>
      <c r="DT28" s="2336">
        <v>64.116975877765029</v>
      </c>
      <c r="DU28" s="2336">
        <v>64.246715681546576</v>
      </c>
    </row>
    <row r="29" spans="1:125" ht="14.25">
      <c r="A29" s="904">
        <v>27</v>
      </c>
      <c r="B29" s="92"/>
      <c r="C29" s="92"/>
      <c r="D29" s="92"/>
      <c r="E29" s="92"/>
      <c r="F29" s="92"/>
      <c r="G29" s="92"/>
      <c r="H29" s="92"/>
      <c r="I29" s="92"/>
      <c r="J29" s="92"/>
      <c r="K29" s="92"/>
      <c r="L29" s="92"/>
      <c r="M29" s="92"/>
      <c r="N29" s="92"/>
      <c r="O29" s="92"/>
      <c r="P29" s="92"/>
      <c r="Q29" s="92"/>
      <c r="R29" s="92"/>
      <c r="S29" s="92"/>
      <c r="T29" s="92"/>
      <c r="U29" s="92"/>
      <c r="V29" s="739"/>
      <c r="W29" s="2338">
        <v>46.29</v>
      </c>
      <c r="X29" s="2338">
        <v>46.59</v>
      </c>
      <c r="Y29" s="2336">
        <v>46.677468113276298</v>
      </c>
      <c r="Z29" s="2336">
        <v>46.923537391238703</v>
      </c>
      <c r="AA29" s="2336">
        <v>47.159280014847937</v>
      </c>
      <c r="AB29" s="2336">
        <v>47.297374626509843</v>
      </c>
      <c r="AC29" s="2336">
        <v>47.302820651268661</v>
      </c>
      <c r="AD29" s="2336">
        <v>47.236199550111692</v>
      </c>
      <c r="AE29" s="2336">
        <v>47.305229719292619</v>
      </c>
      <c r="AF29" s="2336">
        <v>47.521667121066102</v>
      </c>
      <c r="AG29" s="2336">
        <v>47.756441450925585</v>
      </c>
      <c r="AH29" s="2336">
        <v>48.053751880298428</v>
      </c>
      <c r="AI29" s="2336">
        <v>48.328452514535506</v>
      </c>
      <c r="AJ29" s="2336">
        <v>48.649114354564887</v>
      </c>
      <c r="AK29" s="2336">
        <v>48.931711217470919</v>
      </c>
      <c r="AL29" s="2336">
        <v>49.29508494084692</v>
      </c>
      <c r="AM29" s="2336">
        <v>49.625272928354683</v>
      </c>
      <c r="AN29" s="2336">
        <v>49.830897734991822</v>
      </c>
      <c r="AO29" s="2336">
        <v>49.962219932544912</v>
      </c>
      <c r="AP29" s="2336">
        <v>50.147611715903388</v>
      </c>
      <c r="AQ29" s="2336">
        <v>50.317654044308071</v>
      </c>
      <c r="AR29" s="2336">
        <v>50.565596704005586</v>
      </c>
      <c r="AS29" s="2336">
        <v>50.586792626794001</v>
      </c>
      <c r="AT29" s="2336">
        <v>50.682765934778537</v>
      </c>
      <c r="AU29" s="2336">
        <v>50.762154673838729</v>
      </c>
      <c r="AV29" s="2336">
        <v>50.839660554710157</v>
      </c>
      <c r="AW29" s="2336">
        <v>51.123251137356519</v>
      </c>
      <c r="AX29" s="2336">
        <v>51.267604221069639</v>
      </c>
      <c r="AY29" s="2336">
        <v>51.327875284859324</v>
      </c>
      <c r="AZ29" s="2336">
        <v>51.340039389684748</v>
      </c>
      <c r="BA29" s="2336">
        <v>51.385802486887847</v>
      </c>
      <c r="BB29" s="2336">
        <v>51.49140796828101</v>
      </c>
      <c r="BC29" s="2336">
        <v>51.604972221528151</v>
      </c>
      <c r="BD29" s="2336">
        <v>51.746282815713961</v>
      </c>
      <c r="BE29" s="2336">
        <v>51.918200771658142</v>
      </c>
      <c r="BF29" s="2336">
        <v>52.110301019722655</v>
      </c>
      <c r="BG29" s="2336">
        <v>52.240451520436253</v>
      </c>
      <c r="BH29" s="2336">
        <v>52.5069821833372</v>
      </c>
      <c r="BI29" s="2336">
        <v>52.661133811612352</v>
      </c>
      <c r="BJ29" s="2336">
        <v>52.9112765815795</v>
      </c>
      <c r="BK29" s="2336">
        <v>53.092044303477955</v>
      </c>
      <c r="BL29" s="2336">
        <v>53.356377977426583</v>
      </c>
      <c r="BM29" s="2336">
        <v>53.601034794611863</v>
      </c>
      <c r="BN29" s="2336">
        <v>53.832266095322602</v>
      </c>
      <c r="BO29" s="2336">
        <v>54.037208566513279</v>
      </c>
      <c r="BP29" s="2336">
        <v>54.256720026640707</v>
      </c>
      <c r="BQ29" s="2336">
        <v>54.468180959359287</v>
      </c>
      <c r="BR29" s="2336">
        <v>54.662470652802881</v>
      </c>
      <c r="BS29" s="2336">
        <v>54.836707251577664</v>
      </c>
      <c r="BT29" s="2336">
        <v>55.031174445135107</v>
      </c>
      <c r="BU29" s="2336">
        <v>55.161508935708028</v>
      </c>
      <c r="BV29" s="2336">
        <v>55.368038856261649</v>
      </c>
      <c r="BW29" s="2336">
        <v>55.549499045948515</v>
      </c>
      <c r="BX29" s="2336">
        <v>55.723295516039279</v>
      </c>
      <c r="BY29" s="2336">
        <v>55.87451950429994</v>
      </c>
      <c r="BZ29" s="2336">
        <v>56.044198886965887</v>
      </c>
      <c r="CA29" s="2336">
        <v>56.199187630997187</v>
      </c>
      <c r="CB29" s="2336">
        <v>56.343214349040309</v>
      </c>
      <c r="CC29" s="2336">
        <v>56.514230704236525</v>
      </c>
      <c r="CD29" s="2336">
        <v>56.686062242333044</v>
      </c>
      <c r="CE29" s="2336">
        <v>56.86217503124427</v>
      </c>
      <c r="CF29" s="2336">
        <v>57.012864476683745</v>
      </c>
      <c r="CG29" s="2336">
        <v>57.180655013425202</v>
      </c>
      <c r="CH29" s="2336">
        <v>57.351946559712495</v>
      </c>
      <c r="CI29" s="2336">
        <v>57.536293265394882</v>
      </c>
      <c r="CJ29" s="2336">
        <v>57.699239286237301</v>
      </c>
      <c r="CK29" s="2336">
        <v>57.870180977691582</v>
      </c>
      <c r="CL29" s="2336">
        <v>58.044065195340032</v>
      </c>
      <c r="CM29" s="2336">
        <v>58.216797972120119</v>
      </c>
      <c r="CN29" s="2336">
        <v>58.369180519504695</v>
      </c>
      <c r="CO29" s="2336">
        <v>58.542736229529233</v>
      </c>
      <c r="CP29" s="2336">
        <v>58.707021876195213</v>
      </c>
      <c r="CQ29" s="2336">
        <v>58.86717060469595</v>
      </c>
      <c r="CR29" s="2336">
        <v>59.02867347414405</v>
      </c>
      <c r="CS29" s="2336">
        <v>59.193234369782232</v>
      </c>
      <c r="CT29" s="2336">
        <v>59.354928902478349</v>
      </c>
      <c r="CU29" s="2336">
        <v>59.51536464230837</v>
      </c>
      <c r="CV29" s="2336">
        <v>59.674545552523192</v>
      </c>
      <c r="CW29" s="2336">
        <v>59.832475384108086</v>
      </c>
      <c r="CX29" s="2336">
        <v>59.989157748333504</v>
      </c>
      <c r="CY29" s="2336">
        <v>60.144596181946085</v>
      </c>
      <c r="CZ29" s="2336">
        <v>60.298794199683385</v>
      </c>
      <c r="DA29" s="2336">
        <v>60.451755339171399</v>
      </c>
      <c r="DB29" s="2336">
        <v>60.603483195421532</v>
      </c>
      <c r="DC29" s="2336">
        <v>60.753981432888075</v>
      </c>
      <c r="DD29" s="2336">
        <v>60.903253783168971</v>
      </c>
      <c r="DE29" s="2336">
        <v>61.051304023901366</v>
      </c>
      <c r="DF29" s="2336">
        <v>61.198135933736346</v>
      </c>
      <c r="DG29" s="2336">
        <v>61.343770405527934</v>
      </c>
      <c r="DH29" s="2336">
        <v>61.488212146834847</v>
      </c>
      <c r="DI29" s="2336">
        <v>61.63146594772676</v>
      </c>
      <c r="DJ29" s="2336">
        <v>61.773536678104392</v>
      </c>
      <c r="DK29" s="2344">
        <v>61.914429285075272</v>
      </c>
      <c r="DL29" s="2336">
        <v>62.054148790386158</v>
      </c>
      <c r="DM29" s="2336">
        <v>62.192700287908238</v>
      </c>
      <c r="DN29" s="2336">
        <v>62.33008894117755</v>
      </c>
      <c r="DO29" s="2336">
        <v>62.466319980985816</v>
      </c>
      <c r="DP29" s="2336">
        <v>62.601398703024259</v>
      </c>
      <c r="DQ29" s="2336">
        <v>62.735330465576247</v>
      </c>
      <c r="DR29" s="2336">
        <v>62.868120687259548</v>
      </c>
      <c r="DS29" s="2336">
        <v>62.999774844817573</v>
      </c>
      <c r="DT29" s="2336">
        <v>63.130298470955367</v>
      </c>
      <c r="DU29" s="2336">
        <v>63.259697152223808</v>
      </c>
    </row>
    <row r="30" spans="1:125" ht="14.25">
      <c r="A30" s="904">
        <v>28</v>
      </c>
      <c r="B30" s="92"/>
      <c r="C30" s="92"/>
      <c r="D30" s="92"/>
      <c r="E30" s="92"/>
      <c r="F30" s="92"/>
      <c r="G30" s="92"/>
      <c r="H30" s="92"/>
      <c r="I30" s="92"/>
      <c r="J30" s="92"/>
      <c r="K30" s="92"/>
      <c r="L30" s="92"/>
      <c r="M30" s="92"/>
      <c r="N30" s="92"/>
      <c r="O30" s="92"/>
      <c r="P30" s="92"/>
      <c r="Q30" s="92"/>
      <c r="R30" s="92"/>
      <c r="S30" s="92"/>
      <c r="T30" s="92"/>
      <c r="U30" s="92"/>
      <c r="V30" s="739"/>
      <c r="W30" s="2338">
        <v>45.44</v>
      </c>
      <c r="X30" s="2338">
        <v>45.69</v>
      </c>
      <c r="Y30" s="2336">
        <v>45.781601717139871</v>
      </c>
      <c r="Z30" s="2336">
        <v>46.028225899512606</v>
      </c>
      <c r="AA30" s="2336">
        <v>46.241666075412276</v>
      </c>
      <c r="AB30" s="2336">
        <v>46.381015950057204</v>
      </c>
      <c r="AC30" s="2336">
        <v>46.385232044272399</v>
      </c>
      <c r="AD30" s="2336">
        <v>46.320872347111184</v>
      </c>
      <c r="AE30" s="2336">
        <v>46.393023952821764</v>
      </c>
      <c r="AF30" s="2336">
        <v>46.598129512250779</v>
      </c>
      <c r="AG30" s="2336">
        <v>46.838989483860281</v>
      </c>
      <c r="AH30" s="2336">
        <v>47.138054969981368</v>
      </c>
      <c r="AI30" s="2336">
        <v>47.410125608835223</v>
      </c>
      <c r="AJ30" s="2336">
        <v>47.72434016681418</v>
      </c>
      <c r="AK30" s="2336">
        <v>48.007164742522079</v>
      </c>
      <c r="AL30" s="2336">
        <v>48.36984447690692</v>
      </c>
      <c r="AM30" s="2336">
        <v>48.701144738837591</v>
      </c>
      <c r="AN30" s="2336">
        <v>48.906766234570725</v>
      </c>
      <c r="AO30" s="2336">
        <v>49.041893531257585</v>
      </c>
      <c r="AP30" s="2336">
        <v>49.219356755572029</v>
      </c>
      <c r="AQ30" s="2336">
        <v>49.390755335767167</v>
      </c>
      <c r="AR30" s="2336">
        <v>49.645453532802783</v>
      </c>
      <c r="AS30" s="2336">
        <v>49.666882287909083</v>
      </c>
      <c r="AT30" s="2336">
        <v>49.755496354726297</v>
      </c>
      <c r="AU30" s="2336">
        <v>49.83776330466771</v>
      </c>
      <c r="AV30" s="2336">
        <v>49.906508618613195</v>
      </c>
      <c r="AW30" s="2336">
        <v>50.190303500137794</v>
      </c>
      <c r="AX30" s="2336">
        <v>50.333602638957053</v>
      </c>
      <c r="AY30" s="2336">
        <v>50.393063062371212</v>
      </c>
      <c r="AZ30" s="2336">
        <v>50.415962556405816</v>
      </c>
      <c r="BA30" s="2336">
        <v>50.456303638819222</v>
      </c>
      <c r="BB30" s="2336">
        <v>50.559206774101163</v>
      </c>
      <c r="BC30" s="2336">
        <v>50.663993905075273</v>
      </c>
      <c r="BD30" s="2336">
        <v>50.809037547185518</v>
      </c>
      <c r="BE30" s="2336">
        <v>50.982924807333923</v>
      </c>
      <c r="BF30" s="2336">
        <v>51.173489601944162</v>
      </c>
      <c r="BG30" s="2336">
        <v>51.299332289180263</v>
      </c>
      <c r="BH30" s="2336">
        <v>51.560533350472873</v>
      </c>
      <c r="BI30" s="2336">
        <v>51.71938928208904</v>
      </c>
      <c r="BJ30" s="2336">
        <v>51.964909248369878</v>
      </c>
      <c r="BK30" s="2336">
        <v>52.144733479047694</v>
      </c>
      <c r="BL30" s="2336">
        <v>52.409905261895751</v>
      </c>
      <c r="BM30" s="2336">
        <v>52.661928056599798</v>
      </c>
      <c r="BN30" s="2336">
        <v>52.894944871467857</v>
      </c>
      <c r="BO30" s="2336">
        <v>53.090415665490951</v>
      </c>
      <c r="BP30" s="2336">
        <v>53.312655314098727</v>
      </c>
      <c r="BQ30" s="2336">
        <v>53.522057854102918</v>
      </c>
      <c r="BR30" s="2336">
        <v>53.716863929956943</v>
      </c>
      <c r="BS30" s="2336">
        <v>53.888216872327057</v>
      </c>
      <c r="BT30" s="2336">
        <v>54.078076254864435</v>
      </c>
      <c r="BU30" s="2336">
        <v>54.204100709499784</v>
      </c>
      <c r="BV30" s="2336">
        <v>54.413020670647136</v>
      </c>
      <c r="BW30" s="2336">
        <v>54.596771900926392</v>
      </c>
      <c r="BX30" s="2336">
        <v>54.761747719423077</v>
      </c>
      <c r="BY30" s="2336">
        <v>54.91536616791408</v>
      </c>
      <c r="BZ30" s="2336">
        <v>55.083676424669797</v>
      </c>
      <c r="CA30" s="2336">
        <v>55.237826654692746</v>
      </c>
      <c r="CB30" s="2336">
        <v>55.379130797506335</v>
      </c>
      <c r="CC30" s="2336">
        <v>55.547420735685456</v>
      </c>
      <c r="CD30" s="2336">
        <v>55.721362454601277</v>
      </c>
      <c r="CE30" s="2336">
        <v>55.896714815559157</v>
      </c>
      <c r="CF30" s="2336">
        <v>56.050199123855904</v>
      </c>
      <c r="CG30" s="2336">
        <v>56.216991114660367</v>
      </c>
      <c r="CH30" s="2336">
        <v>56.385554890806105</v>
      </c>
      <c r="CI30" s="2336">
        <v>56.563970498925961</v>
      </c>
      <c r="CJ30" s="2336">
        <v>56.72898789042226</v>
      </c>
      <c r="CK30" s="2336">
        <v>56.900818061397779</v>
      </c>
      <c r="CL30" s="2336">
        <v>57.074334415440617</v>
      </c>
      <c r="CM30" s="2336">
        <v>57.244487097429769</v>
      </c>
      <c r="CN30" s="2336">
        <v>57.395244420172162</v>
      </c>
      <c r="CO30" s="2336">
        <v>57.568135301352427</v>
      </c>
      <c r="CP30" s="2336">
        <v>57.731259465595308</v>
      </c>
      <c r="CQ30" s="2336">
        <v>57.892949733765548</v>
      </c>
      <c r="CR30" s="2336">
        <v>58.057231903961174</v>
      </c>
      <c r="CS30" s="2336">
        <v>58.219509456198466</v>
      </c>
      <c r="CT30" s="2336">
        <v>58.38054037347365</v>
      </c>
      <c r="CU30" s="2336">
        <v>58.540328546261762</v>
      </c>
      <c r="CV30" s="2336">
        <v>58.698877575141282</v>
      </c>
      <c r="CW30" s="2336">
        <v>58.856190855591869</v>
      </c>
      <c r="CX30" s="2336">
        <v>59.012271650477679</v>
      </c>
      <c r="CY30" s="2336">
        <v>59.167123155162201</v>
      </c>
      <c r="CZ30" s="2336">
        <v>59.320748549937491</v>
      </c>
      <c r="DA30" s="2336">
        <v>59.473151044830182</v>
      </c>
      <c r="DB30" s="2336">
        <v>59.624333914000694</v>
      </c>
      <c r="DC30" s="2336">
        <v>59.774300507693937</v>
      </c>
      <c r="DD30" s="2336">
        <v>59.923054249828532</v>
      </c>
      <c r="DE30" s="2336">
        <v>60.070598616775754</v>
      </c>
      <c r="DF30" s="2336">
        <v>60.21695255909782</v>
      </c>
      <c r="DG30" s="2336">
        <v>60.362120439414497</v>
      </c>
      <c r="DH30" s="2336">
        <v>60.50610671080485</v>
      </c>
      <c r="DI30" s="2336">
        <v>60.648915913985689</v>
      </c>
      <c r="DJ30" s="2336">
        <v>60.790552674547897</v>
      </c>
      <c r="DK30" s="2344">
        <v>60.931021700249268</v>
      </c>
      <c r="DL30" s="2336">
        <v>61.070327778364522</v>
      </c>
      <c r="DM30" s="2336">
        <v>61.20847577308907</v>
      </c>
      <c r="DN30" s="2336">
        <v>61.345470622998434</v>
      </c>
      <c r="DO30" s="2336">
        <v>61.481317338559116</v>
      </c>
      <c r="DP30" s="2336">
        <v>61.616020999692985</v>
      </c>
      <c r="DQ30" s="2336">
        <v>61.749586753391455</v>
      </c>
      <c r="DR30" s="2336">
        <v>61.882019811380012</v>
      </c>
      <c r="DS30" s="2336">
        <v>62.013325447832521</v>
      </c>
      <c r="DT30" s="2336">
        <v>62.143508997131036</v>
      </c>
      <c r="DU30" s="2336">
        <v>62.272575851674858</v>
      </c>
    </row>
    <row r="31" spans="1:125" ht="14.25">
      <c r="A31" s="904">
        <v>29</v>
      </c>
      <c r="B31" s="92"/>
      <c r="C31" s="92"/>
      <c r="D31" s="92"/>
      <c r="E31" s="92"/>
      <c r="F31" s="92"/>
      <c r="G31" s="92"/>
      <c r="H31" s="92"/>
      <c r="I31" s="92"/>
      <c r="J31" s="92"/>
      <c r="K31" s="92"/>
      <c r="L31" s="92"/>
      <c r="M31" s="92"/>
      <c r="N31" s="92"/>
      <c r="O31" s="92"/>
      <c r="P31" s="92"/>
      <c r="Q31" s="92"/>
      <c r="R31" s="92"/>
      <c r="S31" s="92"/>
      <c r="T31" s="92"/>
      <c r="U31" s="92"/>
      <c r="V31" s="739"/>
      <c r="W31" s="2338">
        <v>44.54</v>
      </c>
      <c r="X31" s="2338">
        <v>44.79</v>
      </c>
      <c r="Y31" s="2336">
        <v>44.883715076061009</v>
      </c>
      <c r="Z31" s="2336">
        <v>45.107943249623062</v>
      </c>
      <c r="AA31" s="2336">
        <v>45.317528740631815</v>
      </c>
      <c r="AB31" s="2336">
        <v>45.462908071876306</v>
      </c>
      <c r="AC31" s="2336">
        <v>45.464973830154598</v>
      </c>
      <c r="AD31" s="2336">
        <v>45.401220541970382</v>
      </c>
      <c r="AE31" s="2336">
        <v>45.47556952012274</v>
      </c>
      <c r="AF31" s="2336">
        <v>45.674984541988273</v>
      </c>
      <c r="AG31" s="2336">
        <v>45.919070916385394</v>
      </c>
      <c r="AH31" s="2336">
        <v>46.219783838018763</v>
      </c>
      <c r="AI31" s="2336">
        <v>46.486159256633464</v>
      </c>
      <c r="AJ31" s="2336">
        <v>46.791152269755379</v>
      </c>
      <c r="AK31" s="2336">
        <v>47.083743264952986</v>
      </c>
      <c r="AL31" s="2336">
        <v>47.436323654220047</v>
      </c>
      <c r="AM31" s="2336">
        <v>47.774227740138649</v>
      </c>
      <c r="AN31" s="2336">
        <v>47.980602906949777</v>
      </c>
      <c r="AO31" s="2336">
        <v>48.117752202566798</v>
      </c>
      <c r="AP31" s="2336">
        <v>48.29227359217397</v>
      </c>
      <c r="AQ31" s="2336">
        <v>48.46530758419285</v>
      </c>
      <c r="AR31" s="2336">
        <v>48.725620620065911</v>
      </c>
      <c r="AS31" s="2336">
        <v>48.739009222999307</v>
      </c>
      <c r="AT31" s="2336">
        <v>48.828086312747701</v>
      </c>
      <c r="AU31" s="2336">
        <v>48.910357168772094</v>
      </c>
      <c r="AV31" s="2336">
        <v>48.97513131432116</v>
      </c>
      <c r="AW31" s="2336">
        <v>49.262166733447593</v>
      </c>
      <c r="AX31" s="2336">
        <v>49.397784066092107</v>
      </c>
      <c r="AY31" s="2336">
        <v>49.463694850473708</v>
      </c>
      <c r="AZ31" s="2336">
        <v>49.479489478304743</v>
      </c>
      <c r="BA31" s="2336">
        <v>49.524175219102631</v>
      </c>
      <c r="BB31" s="2336">
        <v>49.623736836439548</v>
      </c>
      <c r="BC31" s="2336">
        <v>49.730911063941505</v>
      </c>
      <c r="BD31" s="2336">
        <v>49.875889498401811</v>
      </c>
      <c r="BE31" s="2336">
        <v>50.044345145900273</v>
      </c>
      <c r="BF31" s="2336">
        <v>50.230035913547759</v>
      </c>
      <c r="BG31" s="2336">
        <v>50.35787563005924</v>
      </c>
      <c r="BH31" s="2336">
        <v>50.612657485429686</v>
      </c>
      <c r="BI31" s="2336">
        <v>50.773829317059644</v>
      </c>
      <c r="BJ31" s="2336">
        <v>51.021875813988153</v>
      </c>
      <c r="BK31" s="2336">
        <v>51.20068193412493</v>
      </c>
      <c r="BL31" s="2336">
        <v>51.468439885099407</v>
      </c>
      <c r="BM31" s="2336">
        <v>51.724711009269662</v>
      </c>
      <c r="BN31" s="2336">
        <v>51.950421305090288</v>
      </c>
      <c r="BO31" s="2336">
        <v>52.147039097289621</v>
      </c>
      <c r="BP31" s="2336">
        <v>52.367867190901627</v>
      </c>
      <c r="BQ31" s="2336">
        <v>52.576539301741491</v>
      </c>
      <c r="BR31" s="2336">
        <v>52.770556743401869</v>
      </c>
      <c r="BS31" s="2336">
        <v>52.935456032274672</v>
      </c>
      <c r="BT31" s="2336">
        <v>53.12317611016789</v>
      </c>
      <c r="BU31" s="2336">
        <v>53.252013775537698</v>
      </c>
      <c r="BV31" s="2336">
        <v>53.455142329547215</v>
      </c>
      <c r="BW31" s="2336">
        <v>53.634348225050545</v>
      </c>
      <c r="BX31" s="2336">
        <v>53.802528612011393</v>
      </c>
      <c r="BY31" s="2336">
        <v>53.957255337851244</v>
      </c>
      <c r="BZ31" s="2336">
        <v>54.121275805591431</v>
      </c>
      <c r="CA31" s="2336">
        <v>54.271802921999907</v>
      </c>
      <c r="CB31" s="2336">
        <v>54.414295378068594</v>
      </c>
      <c r="CC31" s="2336">
        <v>54.581363785846555</v>
      </c>
      <c r="CD31" s="2336">
        <v>54.755258029780045</v>
      </c>
      <c r="CE31" s="2336">
        <v>54.928182751286705</v>
      </c>
      <c r="CF31" s="2336">
        <v>55.085933963530429</v>
      </c>
      <c r="CG31" s="2336">
        <v>55.247498720528974</v>
      </c>
      <c r="CH31" s="2336">
        <v>55.417407005206975</v>
      </c>
      <c r="CI31" s="2336">
        <v>55.596638974328705</v>
      </c>
      <c r="CJ31" s="2336">
        <v>55.760078807277665</v>
      </c>
      <c r="CK31" s="2336">
        <v>55.927668863014034</v>
      </c>
      <c r="CL31" s="2336">
        <v>56.101235104913584</v>
      </c>
      <c r="CM31" s="2336">
        <v>56.271167056736324</v>
      </c>
      <c r="CN31" s="2336">
        <v>56.423986253796926</v>
      </c>
      <c r="CO31" s="2336">
        <v>56.594213404825872</v>
      </c>
      <c r="CP31" s="2336">
        <v>56.757083318835143</v>
      </c>
      <c r="CQ31" s="2336">
        <v>56.921132252144453</v>
      </c>
      <c r="CR31" s="2336">
        <v>57.083985239727433</v>
      </c>
      <c r="CS31" s="2336">
        <v>57.245603194978564</v>
      </c>
      <c r="CT31" s="2336">
        <v>57.405990037037917</v>
      </c>
      <c r="CU31" s="2336">
        <v>57.565149317242962</v>
      </c>
      <c r="CV31" s="2336">
        <v>57.723084303362135</v>
      </c>
      <c r="CW31" s="2336">
        <v>57.879798064358738</v>
      </c>
      <c r="CX31" s="2336">
        <v>58.03529354282815</v>
      </c>
      <c r="CY31" s="2336">
        <v>58.189573620057494</v>
      </c>
      <c r="CZ31" s="2336">
        <v>58.342641168390095</v>
      </c>
      <c r="DA31" s="2336">
        <v>58.494499095960172</v>
      </c>
      <c r="DB31" s="2336">
        <v>58.645150381014254</v>
      </c>
      <c r="DC31" s="2336">
        <v>58.794598083774517</v>
      </c>
      <c r="DD31" s="2336">
        <v>58.942845343935431</v>
      </c>
      <c r="DE31" s="2336">
        <v>59.089909331352871</v>
      </c>
      <c r="DF31" s="2336">
        <v>59.23579406744873</v>
      </c>
      <c r="DG31" s="2336">
        <v>59.380503671770562</v>
      </c>
      <c r="DH31" s="2336">
        <v>59.524042359038305</v>
      </c>
      <c r="DI31" s="2336">
        <v>59.666414436250804</v>
      </c>
      <c r="DJ31" s="2336">
        <v>59.807624299850865</v>
      </c>
      <c r="DK31" s="2344">
        <v>59.947676432947048</v>
      </c>
      <c r="DL31" s="2336">
        <v>60.086575402593297</v>
      </c>
      <c r="DM31" s="2336">
        <v>60.224325857122587</v>
      </c>
      <c r="DN31" s="2336">
        <v>60.360932523536938</v>
      </c>
      <c r="DO31" s="2336">
        <v>60.49640020494931</v>
      </c>
      <c r="DP31" s="2336">
        <v>60.630733778079502</v>
      </c>
      <c r="DQ31" s="2336">
        <v>60.763938190800559</v>
      </c>
      <c r="DR31" s="2336">
        <v>60.896018459735942</v>
      </c>
      <c r="DS31" s="2336">
        <v>61.026979667907177</v>
      </c>
      <c r="DT31" s="2336">
        <v>61.156826962427587</v>
      </c>
      <c r="DU31" s="2336">
        <v>61.285565552245849</v>
      </c>
    </row>
    <row r="32" spans="1:125" ht="14.25">
      <c r="A32" s="904">
        <v>30</v>
      </c>
      <c r="B32" s="92"/>
      <c r="C32" s="92"/>
      <c r="D32" s="92"/>
      <c r="E32" s="92"/>
      <c r="F32" s="92"/>
      <c r="G32" s="92"/>
      <c r="H32" s="92"/>
      <c r="I32" s="92"/>
      <c r="J32" s="92"/>
      <c r="K32" s="92"/>
      <c r="L32" s="92"/>
      <c r="M32" s="92"/>
      <c r="N32" s="92"/>
      <c r="O32" s="92"/>
      <c r="P32" s="92"/>
      <c r="Q32" s="92"/>
      <c r="R32" s="92"/>
      <c r="S32" s="92"/>
      <c r="T32" s="92"/>
      <c r="U32" s="92"/>
      <c r="V32" s="739"/>
      <c r="W32" s="2338">
        <v>43.64</v>
      </c>
      <c r="X32" s="2338">
        <v>43.89</v>
      </c>
      <c r="Y32" s="2336">
        <v>43.95961449110164</v>
      </c>
      <c r="Z32" s="2336">
        <v>44.19340043258731</v>
      </c>
      <c r="AA32" s="2336">
        <v>44.396078731376583</v>
      </c>
      <c r="AB32" s="2336">
        <v>44.548005491560396</v>
      </c>
      <c r="AC32" s="2336">
        <v>44.548499642711654</v>
      </c>
      <c r="AD32" s="2336">
        <v>44.478597351300074</v>
      </c>
      <c r="AE32" s="2336">
        <v>44.54974561970014</v>
      </c>
      <c r="AF32" s="2336">
        <v>44.754554368272963</v>
      </c>
      <c r="AG32" s="2336">
        <v>44.99802493882401</v>
      </c>
      <c r="AH32" s="2336">
        <v>45.295770325209055</v>
      </c>
      <c r="AI32" s="2336">
        <v>45.55860203601533</v>
      </c>
      <c r="AJ32" s="2336">
        <v>45.866336515420734</v>
      </c>
      <c r="AK32" s="2336">
        <v>46.155743452111487</v>
      </c>
      <c r="AL32" s="2336">
        <v>46.505846074000416</v>
      </c>
      <c r="AM32" s="2336">
        <v>46.8476223474485</v>
      </c>
      <c r="AN32" s="2336">
        <v>47.059562588682532</v>
      </c>
      <c r="AO32" s="2336">
        <v>47.189991020675478</v>
      </c>
      <c r="AP32" s="2336">
        <v>47.370770678448416</v>
      </c>
      <c r="AQ32" s="2336">
        <v>47.54520609937439</v>
      </c>
      <c r="AR32" s="2336">
        <v>47.806675896178106</v>
      </c>
      <c r="AS32" s="2336">
        <v>47.813593331153136</v>
      </c>
      <c r="AT32" s="2336">
        <v>47.896343316692729</v>
      </c>
      <c r="AU32" s="2336">
        <v>47.980208093560925</v>
      </c>
      <c r="AV32" s="2336">
        <v>48.048258135186103</v>
      </c>
      <c r="AW32" s="2336">
        <v>48.325194584148015</v>
      </c>
      <c r="AX32" s="2336">
        <v>48.464052577064386</v>
      </c>
      <c r="AY32" s="2336">
        <v>48.530085501587834</v>
      </c>
      <c r="AZ32" s="2336">
        <v>48.548248321233288</v>
      </c>
      <c r="BA32" s="2336">
        <v>48.592558659061389</v>
      </c>
      <c r="BB32" s="2336">
        <v>48.691397990822679</v>
      </c>
      <c r="BC32" s="2336">
        <v>48.797365698597908</v>
      </c>
      <c r="BD32" s="2336">
        <v>48.937111715992167</v>
      </c>
      <c r="BE32" s="2336">
        <v>49.10288245655763</v>
      </c>
      <c r="BF32" s="2336">
        <v>49.289488928511553</v>
      </c>
      <c r="BG32" s="2336">
        <v>49.411223065173964</v>
      </c>
      <c r="BH32" s="2336">
        <v>49.676822745031785</v>
      </c>
      <c r="BI32" s="2336">
        <v>49.833514283514205</v>
      </c>
      <c r="BJ32" s="2336">
        <v>50.080831428930701</v>
      </c>
      <c r="BK32" s="2336">
        <v>50.266351368845591</v>
      </c>
      <c r="BL32" s="2336">
        <v>50.535267435069962</v>
      </c>
      <c r="BM32" s="2336">
        <v>50.782260160411674</v>
      </c>
      <c r="BN32" s="2336">
        <v>51.007940664852434</v>
      </c>
      <c r="BO32" s="2336">
        <v>51.20191860245874</v>
      </c>
      <c r="BP32" s="2336">
        <v>51.423855032181351</v>
      </c>
      <c r="BQ32" s="2336">
        <v>51.6258120970626</v>
      </c>
      <c r="BR32" s="2336">
        <v>51.818209224466266</v>
      </c>
      <c r="BS32" s="2336">
        <v>51.980546193258405</v>
      </c>
      <c r="BT32" s="2336">
        <v>52.169176913672267</v>
      </c>
      <c r="BU32" s="2336">
        <v>52.293530018838794</v>
      </c>
      <c r="BV32" s="2336">
        <v>52.497008889253429</v>
      </c>
      <c r="BW32" s="2336">
        <v>52.673097688221915</v>
      </c>
      <c r="BX32" s="2336">
        <v>52.838045611157476</v>
      </c>
      <c r="BY32" s="2336">
        <v>52.993839959455528</v>
      </c>
      <c r="BZ32" s="2336">
        <v>53.15472692402539</v>
      </c>
      <c r="CA32" s="2336">
        <v>53.305295739112829</v>
      </c>
      <c r="CB32" s="2336">
        <v>53.449419884828245</v>
      </c>
      <c r="CC32" s="2336">
        <v>53.617123423967165</v>
      </c>
      <c r="CD32" s="2336">
        <v>53.792303862557574</v>
      </c>
      <c r="CE32" s="2336">
        <v>53.965135394704106</v>
      </c>
      <c r="CF32" s="2336">
        <v>54.119595537412003</v>
      </c>
      <c r="CG32" s="2336">
        <v>54.279054237951598</v>
      </c>
      <c r="CH32" s="2336">
        <v>54.450096476634933</v>
      </c>
      <c r="CI32" s="2336">
        <v>54.62585219115509</v>
      </c>
      <c r="CJ32" s="2336">
        <v>54.794553111393405</v>
      </c>
      <c r="CK32" s="2336">
        <v>54.95778756774876</v>
      </c>
      <c r="CL32" s="2336">
        <v>55.129212846963981</v>
      </c>
      <c r="CM32" s="2336">
        <v>55.295809538141015</v>
      </c>
      <c r="CN32" s="2336">
        <v>55.454701733722068</v>
      </c>
      <c r="CO32" s="2336">
        <v>55.619868740502049</v>
      </c>
      <c r="CP32" s="2336">
        <v>55.785353047905723</v>
      </c>
      <c r="CQ32" s="2336">
        <v>55.948764782182813</v>
      </c>
      <c r="CR32" s="2336">
        <v>56.110952681448829</v>
      </c>
      <c r="CS32" s="2336">
        <v>56.271920774934635</v>
      </c>
      <c r="CT32" s="2336">
        <v>56.431672660485098</v>
      </c>
      <c r="CU32" s="2336">
        <v>56.590211573761849</v>
      </c>
      <c r="CV32" s="2336">
        <v>56.747540472470178</v>
      </c>
      <c r="CW32" s="2336">
        <v>56.903662121107722</v>
      </c>
      <c r="CX32" s="2336">
        <v>57.05857916337348</v>
      </c>
      <c r="CY32" s="2336">
        <v>57.212294187190047</v>
      </c>
      <c r="CZ32" s="2336">
        <v>57.364809777020469</v>
      </c>
      <c r="DA32" s="2336">
        <v>57.516128558548331</v>
      </c>
      <c r="DB32" s="2336">
        <v>57.666253232937819</v>
      </c>
      <c r="DC32" s="2336">
        <v>57.815186588625416</v>
      </c>
      <c r="DD32" s="2336">
        <v>57.962944122233502</v>
      </c>
      <c r="DE32" s="2336">
        <v>58.109529514216632</v>
      </c>
      <c r="DF32" s="2336">
        <v>58.25494655061356</v>
      </c>
      <c r="DG32" s="2336">
        <v>58.399199119973154</v>
      </c>
      <c r="DH32" s="2336">
        <v>58.542291210339258</v>
      </c>
      <c r="DI32" s="2336">
        <v>58.684226906295642</v>
      </c>
      <c r="DJ32" s="2336">
        <v>58.825010386069678</v>
      </c>
      <c r="DK32" s="2344">
        <v>58.964645918692916</v>
      </c>
      <c r="DL32" s="2336">
        <v>59.103137861219871</v>
      </c>
      <c r="DM32" s="2336">
        <v>59.240490656001107</v>
      </c>
      <c r="DN32" s="2336">
        <v>59.376708828012973</v>
      </c>
      <c r="DO32" s="2336">
        <v>59.511796982239517</v>
      </c>
      <c r="DP32" s="2336">
        <v>59.645759801108873</v>
      </c>
      <c r="DQ32" s="2336">
        <v>59.778602041980413</v>
      </c>
      <c r="DR32" s="2336">
        <v>59.910328534683195</v>
      </c>
      <c r="DS32" s="2336">
        <v>60.04094417910504</v>
      </c>
      <c r="DT32" s="2336">
        <v>60.170453942828487</v>
      </c>
      <c r="DU32" s="2336">
        <v>60.298862858816662</v>
      </c>
    </row>
    <row r="33" spans="1:125" ht="14.25">
      <c r="A33" s="904">
        <v>31</v>
      </c>
      <c r="B33" s="92"/>
      <c r="C33" s="92"/>
      <c r="D33" s="92"/>
      <c r="E33" s="92"/>
      <c r="F33" s="92"/>
      <c r="G33" s="92"/>
      <c r="H33" s="92"/>
      <c r="I33" s="92"/>
      <c r="J33" s="92"/>
      <c r="K33" s="92"/>
      <c r="L33" s="92"/>
      <c r="M33" s="92"/>
      <c r="N33" s="92"/>
      <c r="O33" s="92"/>
      <c r="P33" s="92"/>
      <c r="Q33" s="92"/>
      <c r="R33" s="92"/>
      <c r="S33" s="92"/>
      <c r="T33" s="92"/>
      <c r="U33" s="92"/>
      <c r="V33" s="739"/>
      <c r="W33" s="2338">
        <v>42.74</v>
      </c>
      <c r="X33" s="2338">
        <v>42.97</v>
      </c>
      <c r="Y33" s="2336">
        <v>43.037291639834727</v>
      </c>
      <c r="Z33" s="2336">
        <v>43.271578997683392</v>
      </c>
      <c r="AA33" s="2336">
        <v>43.470536373952861</v>
      </c>
      <c r="AB33" s="2336">
        <v>43.626586835243884</v>
      </c>
      <c r="AC33" s="2336">
        <v>43.626357248227933</v>
      </c>
      <c r="AD33" s="2336">
        <v>43.560171481849203</v>
      </c>
      <c r="AE33" s="2336">
        <v>43.628645660879556</v>
      </c>
      <c r="AF33" s="2336">
        <v>43.830154491875938</v>
      </c>
      <c r="AG33" s="2336">
        <v>44.076413802024639</v>
      </c>
      <c r="AH33" s="2336">
        <v>44.370272983893429</v>
      </c>
      <c r="AI33" s="2336">
        <v>44.633236924880869</v>
      </c>
      <c r="AJ33" s="2336">
        <v>44.938499688638508</v>
      </c>
      <c r="AK33" s="2336">
        <v>45.228034512693796</v>
      </c>
      <c r="AL33" s="2336">
        <v>45.582753487733534</v>
      </c>
      <c r="AM33" s="2336">
        <v>45.92047073966711</v>
      </c>
      <c r="AN33" s="2336">
        <v>46.130733717849544</v>
      </c>
      <c r="AO33" s="2336">
        <v>46.265485685780099</v>
      </c>
      <c r="AP33" s="2336">
        <v>46.448635034280422</v>
      </c>
      <c r="AQ33" s="2336">
        <v>46.625110113480112</v>
      </c>
      <c r="AR33" s="2336">
        <v>46.877894992998769</v>
      </c>
      <c r="AS33" s="2336">
        <v>46.883903744917809</v>
      </c>
      <c r="AT33" s="2336">
        <v>46.966767397469319</v>
      </c>
      <c r="AU33" s="2336">
        <v>47.051260273342791</v>
      </c>
      <c r="AV33" s="2336">
        <v>47.12192927245124</v>
      </c>
      <c r="AW33" s="2336">
        <v>47.397008708776816</v>
      </c>
      <c r="AX33" s="2336">
        <v>47.53100203597355</v>
      </c>
      <c r="AY33" s="2336">
        <v>47.589940044414419</v>
      </c>
      <c r="AZ33" s="2336">
        <v>47.613966404725872</v>
      </c>
      <c r="BA33" s="2336">
        <v>47.656886788605952</v>
      </c>
      <c r="BB33" s="2336">
        <v>47.758964379182181</v>
      </c>
      <c r="BC33" s="2336">
        <v>47.855413898565239</v>
      </c>
      <c r="BD33" s="2336">
        <v>47.994541979636175</v>
      </c>
      <c r="BE33" s="2336">
        <v>48.162615068218344</v>
      </c>
      <c r="BF33" s="2336">
        <v>48.347998773448694</v>
      </c>
      <c r="BG33" s="2336">
        <v>48.471984063927955</v>
      </c>
      <c r="BH33" s="2336">
        <v>48.734904118641083</v>
      </c>
      <c r="BI33" s="2336">
        <v>48.896313427416082</v>
      </c>
      <c r="BJ33" s="2336">
        <v>49.14656141429213</v>
      </c>
      <c r="BK33" s="2336">
        <v>49.334707167217253</v>
      </c>
      <c r="BL33" s="2336">
        <v>49.59646947655331</v>
      </c>
      <c r="BM33" s="2336">
        <v>49.841686139093277</v>
      </c>
      <c r="BN33" s="2336">
        <v>50.068437958019842</v>
      </c>
      <c r="BO33" s="2336">
        <v>50.257909651637185</v>
      </c>
      <c r="BP33" s="2336">
        <v>50.474619424500574</v>
      </c>
      <c r="BQ33" s="2336">
        <v>50.673541595272603</v>
      </c>
      <c r="BR33" s="2336">
        <v>50.862580161818165</v>
      </c>
      <c r="BS33" s="2336">
        <v>51.026927588504876</v>
      </c>
      <c r="BT33" s="2336">
        <v>51.211067565020862</v>
      </c>
      <c r="BU33" s="2336">
        <v>51.335854464055906</v>
      </c>
      <c r="BV33" s="2336">
        <v>51.53501409574374</v>
      </c>
      <c r="BW33" s="2336">
        <v>51.708741708568724</v>
      </c>
      <c r="BX33" s="2336">
        <v>51.874376319256804</v>
      </c>
      <c r="BY33" s="2336">
        <v>52.028644799185543</v>
      </c>
      <c r="BZ33" s="2336">
        <v>52.187274181001385</v>
      </c>
      <c r="CA33" s="2336">
        <v>52.337681223592966</v>
      </c>
      <c r="CB33" s="2336">
        <v>52.486880257384357</v>
      </c>
      <c r="CC33" s="2336">
        <v>52.653182440020096</v>
      </c>
      <c r="CD33" s="2336">
        <v>52.827009828348864</v>
      </c>
      <c r="CE33" s="2336">
        <v>52.998088787413124</v>
      </c>
      <c r="CF33" s="2336">
        <v>53.155842151764077</v>
      </c>
      <c r="CG33" s="2336">
        <v>53.309845425496512</v>
      </c>
      <c r="CH33" s="2336">
        <v>53.483634438498882</v>
      </c>
      <c r="CI33" s="2336">
        <v>53.657241687446138</v>
      </c>
      <c r="CJ33" s="2336">
        <v>53.824934625940251</v>
      </c>
      <c r="CK33" s="2336">
        <v>53.987960243242583</v>
      </c>
      <c r="CL33" s="2336">
        <v>54.159039686757325</v>
      </c>
      <c r="CM33" s="2336">
        <v>54.322013741050014</v>
      </c>
      <c r="CN33" s="2336">
        <v>54.485003384277057</v>
      </c>
      <c r="CO33" s="2336">
        <v>54.650309939461387</v>
      </c>
      <c r="CP33" s="2336">
        <v>54.814255437283904</v>
      </c>
      <c r="CQ33" s="2336">
        <v>54.976988034820742</v>
      </c>
      <c r="CR33" s="2336">
        <v>55.138511919581852</v>
      </c>
      <c r="CS33" s="2336">
        <v>55.298830813040802</v>
      </c>
      <c r="CT33" s="2336">
        <v>55.457948010291148</v>
      </c>
      <c r="CU33" s="2336">
        <v>55.615866449261375</v>
      </c>
      <c r="CV33" s="2336">
        <v>55.772588794951865</v>
      </c>
      <c r="CW33" s="2336">
        <v>55.928117524184842</v>
      </c>
      <c r="CX33" s="2336">
        <v>56.082454998001204</v>
      </c>
      <c r="CY33" s="2336">
        <v>56.23560352666064</v>
      </c>
      <c r="CZ33" s="2336">
        <v>56.387565421925721</v>
      </c>
      <c r="DA33" s="2336">
        <v>56.538343041701793</v>
      </c>
      <c r="DB33" s="2336">
        <v>56.687938824249514</v>
      </c>
      <c r="DC33" s="2336">
        <v>56.836366673734382</v>
      </c>
      <c r="DD33" s="2336">
        <v>56.983629927125051</v>
      </c>
      <c r="DE33" s="2336">
        <v>57.12973203428124</v>
      </c>
      <c r="DF33" s="2336">
        <v>57.274676554763609</v>
      </c>
      <c r="DG33" s="2336">
        <v>57.418467154706647</v>
      </c>
      <c r="DH33" s="2336">
        <v>57.561107603750372</v>
      </c>
      <c r="DI33" s="2336">
        <v>57.702601772032303</v>
      </c>
      <c r="DJ33" s="2336">
        <v>57.842953627238131</v>
      </c>
      <c r="DK33" s="2344">
        <v>57.982167231709305</v>
      </c>
      <c r="DL33" s="2336">
        <v>58.120246739609101</v>
      </c>
      <c r="DM33" s="2336">
        <v>58.257196394142959</v>
      </c>
      <c r="DN33" s="2336">
        <v>58.393020524835691</v>
      </c>
      <c r="DO33" s="2336">
        <v>58.527723544861068</v>
      </c>
      <c r="DP33" s="2336">
        <v>58.661309948425966</v>
      </c>
      <c r="DQ33" s="2336">
        <v>58.793784308205652</v>
      </c>
      <c r="DR33" s="2336">
        <v>58.925151272830419</v>
      </c>
      <c r="DS33" s="2336">
        <v>59.055415564423242</v>
      </c>
      <c r="DT33" s="2336">
        <v>59.184581976184539</v>
      </c>
      <c r="DU33" s="2336">
        <v>59.312655370027095</v>
      </c>
    </row>
    <row r="34" spans="1:125" ht="14.25">
      <c r="A34" s="904">
        <v>32</v>
      </c>
      <c r="B34" s="92"/>
      <c r="C34" s="92"/>
      <c r="D34" s="92"/>
      <c r="E34" s="92"/>
      <c r="F34" s="92"/>
      <c r="G34" s="92"/>
      <c r="H34" s="92"/>
      <c r="I34" s="92"/>
      <c r="J34" s="92"/>
      <c r="K34" s="92"/>
      <c r="L34" s="92"/>
      <c r="M34" s="92"/>
      <c r="N34" s="92"/>
      <c r="O34" s="92"/>
      <c r="P34" s="92"/>
      <c r="Q34" s="92"/>
      <c r="R34" s="92"/>
      <c r="S34" s="92"/>
      <c r="T34" s="92"/>
      <c r="U34" s="92"/>
      <c r="V34" s="739"/>
      <c r="W34" s="2338">
        <v>41.82</v>
      </c>
      <c r="X34" s="2338">
        <v>42.05</v>
      </c>
      <c r="Y34" s="2336">
        <v>42.119265464271166</v>
      </c>
      <c r="Z34" s="2336">
        <v>42.351459406460627</v>
      </c>
      <c r="AA34" s="2336">
        <v>42.548379405592605</v>
      </c>
      <c r="AB34" s="2336">
        <v>42.708244480956118</v>
      </c>
      <c r="AC34" s="2336">
        <v>42.705364404701363</v>
      </c>
      <c r="AD34" s="2336">
        <v>42.634642320964893</v>
      </c>
      <c r="AE34" s="2336">
        <v>42.703207759533321</v>
      </c>
      <c r="AF34" s="2336">
        <v>42.903966314047203</v>
      </c>
      <c r="AG34" s="2336">
        <v>43.153314217995124</v>
      </c>
      <c r="AH34" s="2336">
        <v>43.446139587811871</v>
      </c>
      <c r="AI34" s="2336">
        <v>43.709269818988801</v>
      </c>
      <c r="AJ34" s="2336">
        <v>44.01497164095386</v>
      </c>
      <c r="AK34" s="2336">
        <v>44.303329711423117</v>
      </c>
      <c r="AL34" s="2336">
        <v>44.658312307295652</v>
      </c>
      <c r="AM34" s="2336">
        <v>44.99254470060351</v>
      </c>
      <c r="AN34" s="2336">
        <v>45.20790775403372</v>
      </c>
      <c r="AO34" s="2336">
        <v>45.345149762431852</v>
      </c>
      <c r="AP34" s="2336">
        <v>45.526740419513935</v>
      </c>
      <c r="AQ34" s="2336">
        <v>45.705084176647453</v>
      </c>
      <c r="AR34" s="2336">
        <v>45.952640187561691</v>
      </c>
      <c r="AS34" s="2336">
        <v>45.957402400066286</v>
      </c>
      <c r="AT34" s="2336">
        <v>46.041104930950098</v>
      </c>
      <c r="AU34" s="2336">
        <v>46.126530789215145</v>
      </c>
      <c r="AV34" s="2336">
        <v>46.195891500792584</v>
      </c>
      <c r="AW34" s="2336">
        <v>46.465141465451801</v>
      </c>
      <c r="AX34" s="2336">
        <v>46.598858392232636</v>
      </c>
      <c r="AY34" s="2336">
        <v>46.652552989588067</v>
      </c>
      <c r="AZ34" s="2336">
        <v>46.681789436394105</v>
      </c>
      <c r="BA34" s="2336">
        <v>46.724381044615292</v>
      </c>
      <c r="BB34" s="2336">
        <v>46.824712243064305</v>
      </c>
      <c r="BC34" s="2336">
        <v>46.91782028268225</v>
      </c>
      <c r="BD34" s="2336">
        <v>47.05695475345248</v>
      </c>
      <c r="BE34" s="2336">
        <v>47.222711610805199</v>
      </c>
      <c r="BF34" s="2336">
        <v>47.407412061900978</v>
      </c>
      <c r="BG34" s="2336">
        <v>47.533928351419959</v>
      </c>
      <c r="BH34" s="2336">
        <v>47.795359137635216</v>
      </c>
      <c r="BI34" s="2336">
        <v>47.963941043583418</v>
      </c>
      <c r="BJ34" s="2336">
        <v>48.217251624742104</v>
      </c>
      <c r="BK34" s="2336">
        <v>48.398746064942166</v>
      </c>
      <c r="BL34" s="2336">
        <v>48.655828646253262</v>
      </c>
      <c r="BM34" s="2336">
        <v>48.901772143971783</v>
      </c>
      <c r="BN34" s="2336">
        <v>49.125936129446494</v>
      </c>
      <c r="BO34" s="2336">
        <v>49.312627759397522</v>
      </c>
      <c r="BP34" s="2336">
        <v>49.52512748936779</v>
      </c>
      <c r="BQ34" s="2336">
        <v>49.720687507074587</v>
      </c>
      <c r="BR34" s="2336">
        <v>49.905731450258735</v>
      </c>
      <c r="BS34" s="2336">
        <v>50.07162674116195</v>
      </c>
      <c r="BT34" s="2336">
        <v>50.251181667308813</v>
      </c>
      <c r="BU34" s="2336">
        <v>50.376936465287343</v>
      </c>
      <c r="BV34" s="2336">
        <v>50.575393388532483</v>
      </c>
      <c r="BW34" s="2336">
        <v>50.748480167296044</v>
      </c>
      <c r="BX34" s="2336">
        <v>50.911887068555664</v>
      </c>
      <c r="BY34" s="2336">
        <v>51.066703131679468</v>
      </c>
      <c r="BZ34" s="2336">
        <v>51.223472759002362</v>
      </c>
      <c r="CA34" s="2336">
        <v>51.376372577060962</v>
      </c>
      <c r="CB34" s="2336">
        <v>51.524392830803777</v>
      </c>
      <c r="CC34" s="2336">
        <v>51.690343445038586</v>
      </c>
      <c r="CD34" s="2336">
        <v>51.862756635586905</v>
      </c>
      <c r="CE34" s="2336">
        <v>52.031013891599017</v>
      </c>
      <c r="CF34" s="2336">
        <v>52.189990307141308</v>
      </c>
      <c r="CG34" s="2336">
        <v>52.349850573933963</v>
      </c>
      <c r="CH34" s="2336">
        <v>52.520235226551456</v>
      </c>
      <c r="CI34" s="2336">
        <v>52.692141805090749</v>
      </c>
      <c r="CJ34" s="2336">
        <v>52.853539684963557</v>
      </c>
      <c r="CK34" s="2336">
        <v>53.020593050145173</v>
      </c>
      <c r="CL34" s="2336">
        <v>53.190891712778502</v>
      </c>
      <c r="CM34" s="2336">
        <v>53.351640120440798</v>
      </c>
      <c r="CN34" s="2336">
        <v>53.516425175640428</v>
      </c>
      <c r="CO34" s="2336">
        <v>53.680871720822104</v>
      </c>
      <c r="CP34" s="2336">
        <v>53.844116179540471</v>
      </c>
      <c r="CQ34" s="2336">
        <v>54.006162914347982</v>
      </c>
      <c r="CR34" s="2336">
        <v>54.167015815340058</v>
      </c>
      <c r="CS34" s="2336">
        <v>54.326678311037853</v>
      </c>
      <c r="CT34" s="2336">
        <v>54.485153408065784</v>
      </c>
      <c r="CU34" s="2336">
        <v>54.642443760394535</v>
      </c>
      <c r="CV34" s="2336">
        <v>54.798551753603832</v>
      </c>
      <c r="CW34" s="2336">
        <v>54.953479589649</v>
      </c>
      <c r="CX34" s="2336">
        <v>55.107229359260181</v>
      </c>
      <c r="CY34" s="2336">
        <v>55.259803106934271</v>
      </c>
      <c r="CZ34" s="2336">
        <v>55.4112028831996</v>
      </c>
      <c r="DA34" s="2336">
        <v>55.561430789228389</v>
      </c>
      <c r="DB34" s="2336">
        <v>55.710499211642997</v>
      </c>
      <c r="DC34" s="2336">
        <v>55.858411139320204</v>
      </c>
      <c r="DD34" s="2336">
        <v>56.005169681212912</v>
      </c>
      <c r="DE34" s="2336">
        <v>56.150778063055093</v>
      </c>
      <c r="DF34" s="2336">
        <v>56.295239624126545</v>
      </c>
      <c r="DG34" s="2336">
        <v>56.438557814080518</v>
      </c>
      <c r="DH34" s="2336">
        <v>56.580736189829928</v>
      </c>
      <c r="DI34" s="2336">
        <v>56.721778412493748</v>
      </c>
      <c r="DJ34" s="2336">
        <v>56.86168824440206</v>
      </c>
      <c r="DK34" s="2344">
        <v>57.000469546157795</v>
      </c>
      <c r="DL34" s="2336">
        <v>57.138126273757145</v>
      </c>
      <c r="DM34" s="2336">
        <v>57.274662475763961</v>
      </c>
      <c r="DN34" s="2336">
        <v>57.410082290541226</v>
      </c>
      <c r="DO34" s="2336">
        <v>57.544389943534867</v>
      </c>
      <c r="DP34" s="2336">
        <v>57.677589744612099</v>
      </c>
      <c r="DQ34" s="2336">
        <v>57.809686085451105</v>
      </c>
      <c r="DR34" s="2336">
        <v>57.94068343698207</v>
      </c>
      <c r="DS34" s="2336">
        <v>58.070586346879395</v>
      </c>
      <c r="DT34" s="2336">
        <v>58.199399437101114</v>
      </c>
      <c r="DU34" s="2336">
        <v>58.32712740147862</v>
      </c>
    </row>
    <row r="35" spans="1:125" ht="14.25">
      <c r="A35" s="904">
        <v>33</v>
      </c>
      <c r="B35" s="92"/>
      <c r="C35" s="92"/>
      <c r="D35" s="92"/>
      <c r="E35" s="92"/>
      <c r="F35" s="92"/>
      <c r="G35" s="92"/>
      <c r="H35" s="92"/>
      <c r="I35" s="92"/>
      <c r="J35" s="92"/>
      <c r="K35" s="92"/>
      <c r="L35" s="92"/>
      <c r="M35" s="92"/>
      <c r="N35" s="92"/>
      <c r="O35" s="92"/>
      <c r="P35" s="92"/>
      <c r="Q35" s="92"/>
      <c r="R35" s="92"/>
      <c r="S35" s="92"/>
      <c r="T35" s="92"/>
      <c r="U35" s="92"/>
      <c r="V35" s="739"/>
      <c r="W35" s="2338">
        <v>40.89</v>
      </c>
      <c r="X35" s="2338">
        <v>41.13</v>
      </c>
      <c r="Y35" s="2336">
        <v>41.201922495251473</v>
      </c>
      <c r="Z35" s="2336">
        <v>41.43157625587569</v>
      </c>
      <c r="AA35" s="2336">
        <v>41.633005125525827</v>
      </c>
      <c r="AB35" s="2336">
        <v>41.786349363489386</v>
      </c>
      <c r="AC35" s="2336">
        <v>41.785586039310139</v>
      </c>
      <c r="AD35" s="2336">
        <v>41.709589435131335</v>
      </c>
      <c r="AE35" s="2336">
        <v>41.782498092823943</v>
      </c>
      <c r="AF35" s="2336">
        <v>41.979805427482368</v>
      </c>
      <c r="AG35" s="2336">
        <v>42.233020547881502</v>
      </c>
      <c r="AH35" s="2336">
        <v>42.526549440808218</v>
      </c>
      <c r="AI35" s="2336">
        <v>42.783783578558378</v>
      </c>
      <c r="AJ35" s="2336">
        <v>43.089660631359394</v>
      </c>
      <c r="AK35" s="2336">
        <v>43.374854708779985</v>
      </c>
      <c r="AL35" s="2336">
        <v>43.731641701956306</v>
      </c>
      <c r="AM35" s="2336">
        <v>44.067989076888423</v>
      </c>
      <c r="AN35" s="2336">
        <v>44.288870545932845</v>
      </c>
      <c r="AO35" s="2336">
        <v>44.422913418313833</v>
      </c>
      <c r="AP35" s="2336">
        <v>44.605911536004989</v>
      </c>
      <c r="AQ35" s="2336">
        <v>44.778209225681472</v>
      </c>
      <c r="AR35" s="2336">
        <v>45.028508280298155</v>
      </c>
      <c r="AS35" s="2336">
        <v>45.035198788813858</v>
      </c>
      <c r="AT35" s="2336">
        <v>45.115964111452122</v>
      </c>
      <c r="AU35" s="2336">
        <v>45.201015460446293</v>
      </c>
      <c r="AV35" s="2336">
        <v>45.268883849443476</v>
      </c>
      <c r="AW35" s="2336">
        <v>45.535953180597303</v>
      </c>
      <c r="AX35" s="2336">
        <v>45.664016147057957</v>
      </c>
      <c r="AY35" s="2336">
        <v>45.718645395728807</v>
      </c>
      <c r="AZ35" s="2336">
        <v>45.752155692459723</v>
      </c>
      <c r="BA35" s="2336">
        <v>45.788147139609443</v>
      </c>
      <c r="BB35" s="2336">
        <v>45.886526635925406</v>
      </c>
      <c r="BC35" s="2336">
        <v>45.978481269290278</v>
      </c>
      <c r="BD35" s="2336">
        <v>46.117968573793561</v>
      </c>
      <c r="BE35" s="2336">
        <v>46.29094009900011</v>
      </c>
      <c r="BF35" s="2336">
        <v>46.472626472842293</v>
      </c>
      <c r="BG35" s="2336">
        <v>46.602348602878223</v>
      </c>
      <c r="BH35" s="2336">
        <v>46.862288137610996</v>
      </c>
      <c r="BI35" s="2336">
        <v>47.035730098079867</v>
      </c>
      <c r="BJ35" s="2336">
        <v>47.28046538366705</v>
      </c>
      <c r="BK35" s="2336">
        <v>47.462421360377775</v>
      </c>
      <c r="BL35" s="2336">
        <v>47.717850012295429</v>
      </c>
      <c r="BM35" s="2336">
        <v>47.962231032919156</v>
      </c>
      <c r="BN35" s="2336">
        <v>48.183529249664822</v>
      </c>
      <c r="BO35" s="2336">
        <v>48.364089504797313</v>
      </c>
      <c r="BP35" s="2336">
        <v>48.57183178709225</v>
      </c>
      <c r="BQ35" s="2336">
        <v>48.766671865965229</v>
      </c>
      <c r="BR35" s="2336">
        <v>48.951343221988076</v>
      </c>
      <c r="BS35" s="2336">
        <v>49.115142260450028</v>
      </c>
      <c r="BT35" s="2336">
        <v>49.291078718068555</v>
      </c>
      <c r="BU35" s="2336">
        <v>49.41617047817055</v>
      </c>
      <c r="BV35" s="2336">
        <v>49.617250820010845</v>
      </c>
      <c r="BW35" s="2336">
        <v>49.784580555715053</v>
      </c>
      <c r="BX35" s="2336">
        <v>49.94885574324654</v>
      </c>
      <c r="BY35" s="2336">
        <v>50.104864090779429</v>
      </c>
      <c r="BZ35" s="2336">
        <v>50.261820004475375</v>
      </c>
      <c r="CA35" s="2336">
        <v>50.41264423898722</v>
      </c>
      <c r="CB35" s="2336">
        <v>50.564376031600844</v>
      </c>
      <c r="CC35" s="2336">
        <v>50.730373420572789</v>
      </c>
      <c r="CD35" s="2336">
        <v>50.897280930964108</v>
      </c>
      <c r="CE35" s="2336">
        <v>51.067531295734831</v>
      </c>
      <c r="CF35" s="2336">
        <v>51.225913692048799</v>
      </c>
      <c r="CG35" s="2336">
        <v>51.388366049893783</v>
      </c>
      <c r="CH35" s="2336">
        <v>51.554798318537664</v>
      </c>
      <c r="CI35" s="2336">
        <v>51.722523339990374</v>
      </c>
      <c r="CJ35" s="2336">
        <v>51.884834678099772</v>
      </c>
      <c r="CK35" s="2336">
        <v>52.054088531165384</v>
      </c>
      <c r="CL35" s="2336">
        <v>52.221859611159367</v>
      </c>
      <c r="CM35" s="2336">
        <v>52.384132270722134</v>
      </c>
      <c r="CN35" s="2336">
        <v>52.549039868453718</v>
      </c>
      <c r="CO35" s="2336">
        <v>52.712756183261781</v>
      </c>
      <c r="CP35" s="2336">
        <v>52.875285773118989</v>
      </c>
      <c r="CQ35" s="2336">
        <v>53.036632711230496</v>
      </c>
      <c r="CR35" s="2336">
        <v>53.196800602308571</v>
      </c>
      <c r="CS35" s="2336">
        <v>53.355792593482114</v>
      </c>
      <c r="CT35" s="2336">
        <v>53.513611414010278</v>
      </c>
      <c r="CU35" s="2336">
        <v>53.6702594445687</v>
      </c>
      <c r="CV35" s="2336">
        <v>53.825738801553562</v>
      </c>
      <c r="CW35" s="2336">
        <v>53.980051421879445</v>
      </c>
      <c r="CX35" s="2336">
        <v>54.133199135394761</v>
      </c>
      <c r="CY35" s="2336">
        <v>54.285183729878774</v>
      </c>
      <c r="CZ35" s="2336">
        <v>54.436007003299167</v>
      </c>
      <c r="DA35" s="2336">
        <v>54.58567990912551</v>
      </c>
      <c r="DB35" s="2336">
        <v>54.734205082037356</v>
      </c>
      <c r="DC35" s="2336">
        <v>54.881585283872624</v>
      </c>
      <c r="DD35" s="2336">
        <v>55.027823400232855</v>
      </c>
      <c r="DE35" s="2336">
        <v>55.172922437150575</v>
      </c>
      <c r="DF35" s="2336">
        <v>55.316885517816203</v>
      </c>
      <c r="DG35" s="2336">
        <v>55.459715879367366</v>
      </c>
      <c r="DH35" s="2336">
        <v>55.601416869736617</v>
      </c>
      <c r="DI35" s="2336">
        <v>55.741991944559004</v>
      </c>
      <c r="DJ35" s="2336">
        <v>55.881444664138115</v>
      </c>
      <c r="DK35" s="2344">
        <v>56.019778690468584</v>
      </c>
      <c r="DL35" s="2336">
        <v>56.156997784317028</v>
      </c>
      <c r="DM35" s="2336">
        <v>56.293105802356891</v>
      </c>
      <c r="DN35" s="2336">
        <v>56.428106694360174</v>
      </c>
      <c r="DO35" s="2336">
        <v>56.562004500441475</v>
      </c>
      <c r="DP35" s="2336">
        <v>56.694803348356352</v>
      </c>
      <c r="DQ35" s="2336">
        <v>56.826507450851004</v>
      </c>
      <c r="DR35" s="2336">
        <v>56.957121103063379</v>
      </c>
      <c r="DS35" s="2336">
        <v>57.086648679975298</v>
      </c>
      <c r="DT35" s="2336">
        <v>57.215094633911811</v>
      </c>
      <c r="DU35" s="2336">
        <v>57.342463492090943</v>
      </c>
    </row>
    <row r="36" spans="1:125" ht="14.25">
      <c r="A36" s="904">
        <v>34</v>
      </c>
      <c r="B36" s="92"/>
      <c r="C36" s="92"/>
      <c r="D36" s="92"/>
      <c r="E36" s="92"/>
      <c r="F36" s="92"/>
      <c r="G36" s="92"/>
      <c r="H36" s="92"/>
      <c r="I36" s="92"/>
      <c r="J36" s="92"/>
      <c r="K36" s="92"/>
      <c r="L36" s="92"/>
      <c r="M36" s="92"/>
      <c r="N36" s="92"/>
      <c r="O36" s="92"/>
      <c r="P36" s="92"/>
      <c r="Q36" s="92"/>
      <c r="R36" s="92"/>
      <c r="S36" s="92"/>
      <c r="T36" s="92"/>
      <c r="U36" s="92"/>
      <c r="V36" s="739"/>
      <c r="W36" s="2338">
        <v>39.97</v>
      </c>
      <c r="X36" s="2338">
        <v>40.21</v>
      </c>
      <c r="Y36" s="2336">
        <v>40.278612177152453</v>
      </c>
      <c r="Z36" s="2336">
        <v>40.510423234974837</v>
      </c>
      <c r="AA36" s="2336">
        <v>40.713834134643079</v>
      </c>
      <c r="AB36" s="2336">
        <v>40.866267924735006</v>
      </c>
      <c r="AC36" s="2336">
        <v>40.8637260267597</v>
      </c>
      <c r="AD36" s="2336">
        <v>40.789926939426913</v>
      </c>
      <c r="AE36" s="2336">
        <v>40.858395204679631</v>
      </c>
      <c r="AF36" s="2336">
        <v>41.05936020597948</v>
      </c>
      <c r="AG36" s="2336">
        <v>41.311487737518249</v>
      </c>
      <c r="AH36" s="2336">
        <v>41.603704773911737</v>
      </c>
      <c r="AI36" s="2336">
        <v>41.867131357234591</v>
      </c>
      <c r="AJ36" s="2336">
        <v>42.164412136427977</v>
      </c>
      <c r="AK36" s="2336">
        <v>42.44972712579591</v>
      </c>
      <c r="AL36" s="2336">
        <v>42.81056000421804</v>
      </c>
      <c r="AM36" s="2336">
        <v>43.151578401949401</v>
      </c>
      <c r="AN36" s="2336">
        <v>43.365549407100573</v>
      </c>
      <c r="AO36" s="2336">
        <v>43.505932073078739</v>
      </c>
      <c r="AP36" s="2336">
        <v>43.683478676077044</v>
      </c>
      <c r="AQ36" s="2336">
        <v>43.857507652806099</v>
      </c>
      <c r="AR36" s="2336">
        <v>44.107894783426374</v>
      </c>
      <c r="AS36" s="2336">
        <v>44.115850789028997</v>
      </c>
      <c r="AT36" s="2336">
        <v>44.191926057427686</v>
      </c>
      <c r="AU36" s="2336">
        <v>44.279188366357886</v>
      </c>
      <c r="AV36" s="2336">
        <v>44.344662743588465</v>
      </c>
      <c r="AW36" s="2336">
        <v>44.604275242615259</v>
      </c>
      <c r="AX36" s="2336">
        <v>44.730729461501248</v>
      </c>
      <c r="AY36" s="2336">
        <v>44.783821355049682</v>
      </c>
      <c r="AZ36" s="2336">
        <v>44.8151600801841</v>
      </c>
      <c r="BA36" s="2336">
        <v>44.849974645489169</v>
      </c>
      <c r="BB36" s="2336">
        <v>44.949050458188154</v>
      </c>
      <c r="BC36" s="2336">
        <v>45.039306742024898</v>
      </c>
      <c r="BD36" s="2336">
        <v>45.181029973500273</v>
      </c>
      <c r="BE36" s="2336">
        <v>45.356017055865543</v>
      </c>
      <c r="BF36" s="2336">
        <v>45.542601244680888</v>
      </c>
      <c r="BG36" s="2336">
        <v>45.676345079561997</v>
      </c>
      <c r="BH36" s="2336">
        <v>45.936423824501354</v>
      </c>
      <c r="BI36" s="2336">
        <v>46.107037335796953</v>
      </c>
      <c r="BJ36" s="2336">
        <v>46.353658476607961</v>
      </c>
      <c r="BK36" s="2336">
        <v>46.526400054103291</v>
      </c>
      <c r="BL36" s="2336">
        <v>46.782236182208003</v>
      </c>
      <c r="BM36" s="2336">
        <v>47.021748216606454</v>
      </c>
      <c r="BN36" s="2336">
        <v>47.238889041601787</v>
      </c>
      <c r="BO36" s="2336">
        <v>47.409981616004181</v>
      </c>
      <c r="BP36" s="2336">
        <v>47.620842799691957</v>
      </c>
      <c r="BQ36" s="2336">
        <v>47.812556718209336</v>
      </c>
      <c r="BR36" s="2336">
        <v>47.995095569940929</v>
      </c>
      <c r="BS36" s="2336">
        <v>48.158871219094372</v>
      </c>
      <c r="BT36" s="2336">
        <v>48.331908187850722</v>
      </c>
      <c r="BU36" s="2336">
        <v>48.459124658297242</v>
      </c>
      <c r="BV36" s="2336">
        <v>48.657807221062896</v>
      </c>
      <c r="BW36" s="2336">
        <v>48.818618656058135</v>
      </c>
      <c r="BX36" s="2336">
        <v>48.9863206343515</v>
      </c>
      <c r="BY36" s="2336">
        <v>49.142780461440616</v>
      </c>
      <c r="BZ36" s="2336">
        <v>49.298292902956732</v>
      </c>
      <c r="CA36" s="2336">
        <v>49.454437856781674</v>
      </c>
      <c r="CB36" s="2336">
        <v>49.599897006971645</v>
      </c>
      <c r="CC36" s="2336">
        <v>49.764862785377844</v>
      </c>
      <c r="CD36" s="2336">
        <v>49.935228458283675</v>
      </c>
      <c r="CE36" s="2336">
        <v>50.103385517948482</v>
      </c>
      <c r="CF36" s="2336">
        <v>50.262268903309497</v>
      </c>
      <c r="CG36" s="2336">
        <v>50.424738589026546</v>
      </c>
      <c r="CH36" s="2336">
        <v>50.594693685695027</v>
      </c>
      <c r="CI36" s="2336">
        <v>50.759016331938419</v>
      </c>
      <c r="CJ36" s="2336">
        <v>50.919784169534424</v>
      </c>
      <c r="CK36" s="2336">
        <v>51.088079526408428</v>
      </c>
      <c r="CL36" s="2336">
        <v>51.253864600064489</v>
      </c>
      <c r="CM36" s="2336">
        <v>51.419186652843578</v>
      </c>
      <c r="CN36" s="2336">
        <v>51.583328296853274</v>
      </c>
      <c r="CO36" s="2336">
        <v>51.746294306585071</v>
      </c>
      <c r="CP36" s="2336">
        <v>51.908088957327678</v>
      </c>
      <c r="CQ36" s="2336">
        <v>52.06871604307424</v>
      </c>
      <c r="CR36" s="2336">
        <v>52.228178892847914</v>
      </c>
      <c r="CS36" s="2336">
        <v>52.386480381651999</v>
      </c>
      <c r="CT36" s="2336">
        <v>52.543622970234203</v>
      </c>
      <c r="CU36" s="2336">
        <v>52.699608774431489</v>
      </c>
      <c r="CV36" s="2336">
        <v>52.854439649530498</v>
      </c>
      <c r="CW36" s="2336">
        <v>53.008117275111481</v>
      </c>
      <c r="CX36" s="2336">
        <v>53.160643227493431</v>
      </c>
      <c r="CY36" s="2336">
        <v>53.312019044749043</v>
      </c>
      <c r="CZ36" s="2336">
        <v>53.462254363857369</v>
      </c>
      <c r="DA36" s="2336">
        <v>53.61135145830152</v>
      </c>
      <c r="DB36" s="2336">
        <v>53.759312735703979</v>
      </c>
      <c r="DC36" s="2336">
        <v>53.906140734340092</v>
      </c>
      <c r="DD36" s="2336">
        <v>54.05183811971316</v>
      </c>
      <c r="DE36" s="2336">
        <v>54.196407681191218</v>
      </c>
      <c r="DF36" s="2336">
        <v>54.339852328702648</v>
      </c>
      <c r="DG36" s="2336">
        <v>54.482175089494049</v>
      </c>
      <c r="DH36" s="2336">
        <v>54.623379104945833</v>
      </c>
      <c r="DI36" s="2336">
        <v>54.763467627447447</v>
      </c>
      <c r="DJ36" s="2336">
        <v>54.902444017330538</v>
      </c>
      <c r="DK36" s="2344">
        <v>55.04031173985841</v>
      </c>
      <c r="DL36" s="2336">
        <v>55.177074362273494</v>
      </c>
      <c r="DM36" s="2336">
        <v>55.312735550898438</v>
      </c>
      <c r="DN36" s="2336">
        <v>55.447299068293837</v>
      </c>
      <c r="DO36" s="2336">
        <v>55.580768770468097</v>
      </c>
      <c r="DP36" s="2336">
        <v>55.713148604141274</v>
      </c>
      <c r="DQ36" s="2336">
        <v>55.844442604060163</v>
      </c>
      <c r="DR36" s="2336">
        <v>55.974654890364604</v>
      </c>
      <c r="DS36" s="2336">
        <v>56.10378966600463</v>
      </c>
      <c r="DT36" s="2336">
        <v>56.231851214204838</v>
      </c>
      <c r="DU36" s="2336">
        <v>56.35884389597885</v>
      </c>
    </row>
    <row r="37" spans="1:125" ht="14.25">
      <c r="A37" s="904">
        <v>35</v>
      </c>
      <c r="B37" s="92"/>
      <c r="C37" s="92"/>
      <c r="D37" s="92"/>
      <c r="E37" s="92"/>
      <c r="F37" s="92"/>
      <c r="G37" s="92"/>
      <c r="H37" s="92"/>
      <c r="I37" s="92"/>
      <c r="J37" s="92"/>
      <c r="K37" s="92"/>
      <c r="L37" s="92"/>
      <c r="M37" s="92"/>
      <c r="N37" s="92"/>
      <c r="O37" s="92"/>
      <c r="P37" s="92"/>
      <c r="Q37" s="92"/>
      <c r="R37" s="92"/>
      <c r="S37" s="92"/>
      <c r="T37" s="92"/>
      <c r="U37" s="92"/>
      <c r="V37" s="739"/>
      <c r="W37" s="2338">
        <v>39.049999999999997</v>
      </c>
      <c r="X37" s="2338">
        <v>39.299999999999997</v>
      </c>
      <c r="Y37" s="2336">
        <v>39.359277578908596</v>
      </c>
      <c r="Z37" s="2336">
        <v>39.589155461388366</v>
      </c>
      <c r="AA37" s="2336">
        <v>39.791827414869296</v>
      </c>
      <c r="AB37" s="2336">
        <v>39.946849559622905</v>
      </c>
      <c r="AC37" s="2336">
        <v>39.942594765959818</v>
      </c>
      <c r="AD37" s="2336">
        <v>39.86924488647314</v>
      </c>
      <c r="AE37" s="2336">
        <v>39.939428506549262</v>
      </c>
      <c r="AF37" s="2336">
        <v>40.1355079429554</v>
      </c>
      <c r="AG37" s="2336">
        <v>40.388694179722371</v>
      </c>
      <c r="AH37" s="2336">
        <v>40.686113123777652</v>
      </c>
      <c r="AI37" s="2336">
        <v>40.949996032108501</v>
      </c>
      <c r="AJ37" s="2336">
        <v>41.235114460524038</v>
      </c>
      <c r="AK37" s="2336">
        <v>41.536796452017313</v>
      </c>
      <c r="AL37" s="2336">
        <v>41.890318637440508</v>
      </c>
      <c r="AM37" s="2336">
        <v>42.233812166500961</v>
      </c>
      <c r="AN37" s="2336">
        <v>42.446149582254684</v>
      </c>
      <c r="AO37" s="2336">
        <v>42.58627711252263</v>
      </c>
      <c r="AP37" s="2336">
        <v>42.76677435445135</v>
      </c>
      <c r="AQ37" s="2336">
        <v>42.939574111597473</v>
      </c>
      <c r="AR37" s="2336">
        <v>43.184485508499129</v>
      </c>
      <c r="AS37" s="2336">
        <v>43.198067886840533</v>
      </c>
      <c r="AT37" s="2336">
        <v>43.270831326775479</v>
      </c>
      <c r="AU37" s="2336">
        <v>43.353047999204541</v>
      </c>
      <c r="AV37" s="2336">
        <v>43.420390249307509</v>
      </c>
      <c r="AW37" s="2336">
        <v>43.673565314695971</v>
      </c>
      <c r="AX37" s="2336">
        <v>43.797118328726533</v>
      </c>
      <c r="AY37" s="2336">
        <v>43.854351207423626</v>
      </c>
      <c r="AZ37" s="2336">
        <v>43.882289174633705</v>
      </c>
      <c r="BA37" s="2336">
        <v>43.918033901782636</v>
      </c>
      <c r="BB37" s="2336">
        <v>44.014969620212085</v>
      </c>
      <c r="BC37" s="2336">
        <v>44.102281006949845</v>
      </c>
      <c r="BD37" s="2336">
        <v>44.249448700893609</v>
      </c>
      <c r="BE37" s="2336">
        <v>44.428175836068078</v>
      </c>
      <c r="BF37" s="2336">
        <v>44.620710511891197</v>
      </c>
      <c r="BG37" s="2336">
        <v>44.752894757879723</v>
      </c>
      <c r="BH37" s="2336">
        <v>45.00887044888114</v>
      </c>
      <c r="BI37" s="2336">
        <v>45.181425922002404</v>
      </c>
      <c r="BJ37" s="2336">
        <v>45.425478757720981</v>
      </c>
      <c r="BK37" s="2336">
        <v>45.59143595677282</v>
      </c>
      <c r="BL37" s="2336">
        <v>45.84352191140718</v>
      </c>
      <c r="BM37" s="2336">
        <v>46.078872163209631</v>
      </c>
      <c r="BN37" s="2336">
        <v>46.287911389467602</v>
      </c>
      <c r="BO37" s="2336">
        <v>46.465821887372378</v>
      </c>
      <c r="BP37" s="2336">
        <v>46.667799579696009</v>
      </c>
      <c r="BQ37" s="2336">
        <v>46.857992264141629</v>
      </c>
      <c r="BR37" s="2336">
        <v>47.041836127274635</v>
      </c>
      <c r="BS37" s="2336">
        <v>47.20386947891906</v>
      </c>
      <c r="BT37" s="2336">
        <v>47.373574555822131</v>
      </c>
      <c r="BU37" s="2336">
        <v>47.499752877638862</v>
      </c>
      <c r="BV37" s="2336">
        <v>47.699460854369228</v>
      </c>
      <c r="BW37" s="2336">
        <v>47.857194626360709</v>
      </c>
      <c r="BX37" s="2336">
        <v>48.023111358487562</v>
      </c>
      <c r="BY37" s="2336">
        <v>48.183129106336224</v>
      </c>
      <c r="BZ37" s="2336">
        <v>48.338533943850607</v>
      </c>
      <c r="CA37" s="2336">
        <v>48.491455943062554</v>
      </c>
      <c r="CB37" s="2336">
        <v>48.638315626506781</v>
      </c>
      <c r="CC37" s="2336">
        <v>48.806131716831977</v>
      </c>
      <c r="CD37" s="2336">
        <v>48.973670355912752</v>
      </c>
      <c r="CE37" s="2336">
        <v>49.143111887714255</v>
      </c>
      <c r="CF37" s="2336">
        <v>49.301965199978177</v>
      </c>
      <c r="CG37" s="2336">
        <v>49.46173570637859</v>
      </c>
      <c r="CH37" s="2336">
        <v>49.629784778989098</v>
      </c>
      <c r="CI37" s="2336">
        <v>49.794350220681402</v>
      </c>
      <c r="CJ37" s="2336">
        <v>49.957385084828296</v>
      </c>
      <c r="CK37" s="2336">
        <v>50.126029480573749</v>
      </c>
      <c r="CL37" s="2336">
        <v>50.291713907539304</v>
      </c>
      <c r="CM37" s="2336">
        <v>50.45622895877797</v>
      </c>
      <c r="CN37" s="2336">
        <v>50.619579604061919</v>
      </c>
      <c r="CO37" s="2336">
        <v>50.781770341332226</v>
      </c>
      <c r="CP37" s="2336">
        <v>50.942805172294634</v>
      </c>
      <c r="CQ37" s="2336">
        <v>51.102687620401468</v>
      </c>
      <c r="CR37" s="2336">
        <v>51.261420747242447</v>
      </c>
      <c r="CS37" s="2336">
        <v>51.419007163549097</v>
      </c>
      <c r="CT37" s="2336">
        <v>51.575449069024316</v>
      </c>
      <c r="CU37" s="2336">
        <v>51.730748321761126</v>
      </c>
      <c r="CV37" s="2336">
        <v>51.884906522674996</v>
      </c>
      <c r="CW37" s="2336">
        <v>52.037925100408543</v>
      </c>
      <c r="CX37" s="2336">
        <v>52.189805383819909</v>
      </c>
      <c r="CY37" s="2336">
        <v>52.340555852238616</v>
      </c>
      <c r="CZ37" s="2336">
        <v>52.490178410737961</v>
      </c>
      <c r="DA37" s="2336">
        <v>52.638675105399166</v>
      </c>
      <c r="DB37" s="2336">
        <v>52.786048119740215</v>
      </c>
      <c r="DC37" s="2336">
        <v>52.932299771206687</v>
      </c>
      <c r="DD37" s="2336">
        <v>53.077432507723564</v>
      </c>
      <c r="DE37" s="2336">
        <v>53.221448904307898</v>
      </c>
      <c r="DF37" s="2336">
        <v>53.364351659739988</v>
      </c>
      <c r="DG37" s="2336">
        <v>53.506143593295981</v>
      </c>
      <c r="DH37" s="2336">
        <v>53.646827641537804</v>
      </c>
      <c r="DI37" s="2336">
        <v>53.786406855162156</v>
      </c>
      <c r="DJ37" s="2336">
        <v>53.924884395906936</v>
      </c>
      <c r="DK37" s="2344">
        <v>54.062263533513459</v>
      </c>
      <c r="DL37" s="2336">
        <v>54.198547642746398</v>
      </c>
      <c r="DM37" s="2336">
        <v>54.3337402004667</v>
      </c>
      <c r="DN37" s="2336">
        <v>54.467844782760999</v>
      </c>
      <c r="DO37" s="2336">
        <v>54.600865062122601</v>
      </c>
      <c r="DP37" s="2336">
        <v>54.732804804686268</v>
      </c>
      <c r="DQ37" s="2336">
        <v>54.863667867513797</v>
      </c>
      <c r="DR37" s="2336">
        <v>54.993458195930678</v>
      </c>
      <c r="DS37" s="2336">
        <v>55.122179820913217</v>
      </c>
      <c r="DT37" s="2336">
        <v>55.249836856522691</v>
      </c>
      <c r="DU37" s="2336">
        <v>55.376433497389421</v>
      </c>
    </row>
    <row r="38" spans="1:125" ht="14.25">
      <c r="A38" s="904">
        <v>36</v>
      </c>
      <c r="B38" s="92"/>
      <c r="C38" s="92"/>
      <c r="D38" s="92"/>
      <c r="E38" s="92"/>
      <c r="F38" s="92"/>
      <c r="G38" s="92"/>
      <c r="H38" s="92"/>
      <c r="I38" s="92"/>
      <c r="J38" s="92"/>
      <c r="K38" s="92"/>
      <c r="L38" s="92"/>
      <c r="M38" s="92"/>
      <c r="N38" s="92"/>
      <c r="O38" s="92"/>
      <c r="P38" s="92"/>
      <c r="Q38" s="92"/>
      <c r="R38" s="92"/>
      <c r="S38" s="92"/>
      <c r="T38" s="92"/>
      <c r="U38" s="92"/>
      <c r="V38" s="739"/>
      <c r="W38" s="2338">
        <v>38.14</v>
      </c>
      <c r="X38" s="2338">
        <v>38.380000000000003</v>
      </c>
      <c r="Y38" s="2336">
        <v>38.445387772437229</v>
      </c>
      <c r="Z38" s="2336">
        <v>38.67655970576444</v>
      </c>
      <c r="AA38" s="2336">
        <v>38.873544060773746</v>
      </c>
      <c r="AB38" s="2336">
        <v>39.026360423156582</v>
      </c>
      <c r="AC38" s="2336">
        <v>39.022115868618137</v>
      </c>
      <c r="AD38" s="2336">
        <v>38.954022354021994</v>
      </c>
      <c r="AE38" s="2336">
        <v>39.021040644926423</v>
      </c>
      <c r="AF38" s="2336">
        <v>39.217982743163219</v>
      </c>
      <c r="AG38" s="2336">
        <v>39.465111696240072</v>
      </c>
      <c r="AH38" s="2336">
        <v>39.767620793599114</v>
      </c>
      <c r="AI38" s="2336">
        <v>40.031626609227111</v>
      </c>
      <c r="AJ38" s="2336">
        <v>40.32069739566208</v>
      </c>
      <c r="AK38" s="2336">
        <v>40.623608996472598</v>
      </c>
      <c r="AL38" s="2336">
        <v>40.97359574462596</v>
      </c>
      <c r="AM38" s="2336">
        <v>41.319232936405989</v>
      </c>
      <c r="AN38" s="2336">
        <v>41.524117277464519</v>
      </c>
      <c r="AO38" s="2336">
        <v>41.66833743523636</v>
      </c>
      <c r="AP38" s="2336">
        <v>41.847524790110953</v>
      </c>
      <c r="AQ38" s="2336">
        <v>42.019392834252045</v>
      </c>
      <c r="AR38" s="2336">
        <v>42.267291340438867</v>
      </c>
      <c r="AS38" s="2336">
        <v>42.281063566905431</v>
      </c>
      <c r="AT38" s="2336">
        <v>42.346118523613868</v>
      </c>
      <c r="AU38" s="2336">
        <v>42.42642954980019</v>
      </c>
      <c r="AV38" s="2336">
        <v>42.49813285038428</v>
      </c>
      <c r="AW38" s="2336">
        <v>42.743106093546182</v>
      </c>
      <c r="AX38" s="2336">
        <v>42.865843379287746</v>
      </c>
      <c r="AY38" s="2336">
        <v>42.919026030581463</v>
      </c>
      <c r="AZ38" s="2336">
        <v>42.949403114040237</v>
      </c>
      <c r="BA38" s="2336">
        <v>42.988875132468813</v>
      </c>
      <c r="BB38" s="2336">
        <v>43.087216362932523</v>
      </c>
      <c r="BC38" s="2336">
        <v>43.171640163365389</v>
      </c>
      <c r="BD38" s="2336">
        <v>43.325255514352783</v>
      </c>
      <c r="BE38" s="2336">
        <v>43.507176803035051</v>
      </c>
      <c r="BF38" s="2336">
        <v>43.702388016944717</v>
      </c>
      <c r="BG38" s="2336">
        <v>43.829591010670683</v>
      </c>
      <c r="BH38" s="2336">
        <v>44.084690019580925</v>
      </c>
      <c r="BI38" s="2336">
        <v>44.254242524556993</v>
      </c>
      <c r="BJ38" s="2336">
        <v>44.492840468071307</v>
      </c>
      <c r="BK38" s="2336">
        <v>44.660735658725791</v>
      </c>
      <c r="BL38" s="2336">
        <v>44.905040093711065</v>
      </c>
      <c r="BM38" s="2336">
        <v>45.131560243092174</v>
      </c>
      <c r="BN38" s="2336">
        <v>45.3392180777821</v>
      </c>
      <c r="BO38" s="2336">
        <v>45.517978590395593</v>
      </c>
      <c r="BP38" s="2336">
        <v>45.717616163846444</v>
      </c>
      <c r="BQ38" s="2336">
        <v>45.908771166350945</v>
      </c>
      <c r="BR38" s="2336">
        <v>46.08937255511718</v>
      </c>
      <c r="BS38" s="2336">
        <v>46.250039637503249</v>
      </c>
      <c r="BT38" s="2336">
        <v>46.414874514898891</v>
      </c>
      <c r="BU38" s="2336">
        <v>46.542143727441974</v>
      </c>
      <c r="BV38" s="2336">
        <v>46.738579760380325</v>
      </c>
      <c r="BW38" s="2336">
        <v>46.90122380049489</v>
      </c>
      <c r="BX38" s="2336">
        <v>47.064447096104033</v>
      </c>
      <c r="BY38" s="2336">
        <v>47.221176238207775</v>
      </c>
      <c r="BZ38" s="2336">
        <v>47.375516269386175</v>
      </c>
      <c r="CA38" s="2336">
        <v>47.532986969310919</v>
      </c>
      <c r="CB38" s="2336">
        <v>47.677814654690437</v>
      </c>
      <c r="CC38" s="2336">
        <v>47.849736494145382</v>
      </c>
      <c r="CD38" s="2336">
        <v>48.016490728473713</v>
      </c>
      <c r="CE38" s="2336">
        <v>48.183417023773075</v>
      </c>
      <c r="CF38" s="2336">
        <v>48.34056403357333</v>
      </c>
      <c r="CG38" s="2336">
        <v>48.495641691528604</v>
      </c>
      <c r="CH38" s="2336">
        <v>48.667952618149357</v>
      </c>
      <c r="CI38" s="2336">
        <v>48.831243865381253</v>
      </c>
      <c r="CJ38" s="2336">
        <v>49.000987152632014</v>
      </c>
      <c r="CK38" s="2336">
        <v>49.166977793208297</v>
      </c>
      <c r="CL38" s="2336">
        <v>49.331810336590465</v>
      </c>
      <c r="CM38" s="2336">
        <v>49.495489891712012</v>
      </c>
      <c r="CN38" s="2336">
        <v>49.658021158151762</v>
      </c>
      <c r="CO38" s="2336">
        <v>49.819408366129345</v>
      </c>
      <c r="CP38" s="2336">
        <v>49.979655252164626</v>
      </c>
      <c r="CQ38" s="2336">
        <v>50.138765077149024</v>
      </c>
      <c r="CR38" s="2336">
        <v>50.296740642815941</v>
      </c>
      <c r="CS38" s="2336">
        <v>50.453584302813049</v>
      </c>
      <c r="CT38" s="2336">
        <v>50.609298002611695</v>
      </c>
      <c r="CU38" s="2336">
        <v>50.763883349015352</v>
      </c>
      <c r="CV38" s="2336">
        <v>50.917341694679365</v>
      </c>
      <c r="CW38" s="2336">
        <v>51.069674223091376</v>
      </c>
      <c r="CX38" s="2336">
        <v>51.22088846379954</v>
      </c>
      <c r="CY38" s="2336">
        <v>51.370985946697246</v>
      </c>
      <c r="CZ38" s="2336">
        <v>51.519968349417113</v>
      </c>
      <c r="DA38" s="2336">
        <v>51.667837493685347</v>
      </c>
      <c r="DB38" s="2336">
        <v>51.814595341735526</v>
      </c>
      <c r="DC38" s="2336">
        <v>51.960243992783511</v>
      </c>
      <c r="DD38" s="2336">
        <v>52.104785679562667</v>
      </c>
      <c r="DE38" s="2336">
        <v>52.248222764919106</v>
      </c>
      <c r="DF38" s="2336">
        <v>52.390557738464778</v>
      </c>
      <c r="DG38" s="2336">
        <v>52.531793213291223</v>
      </c>
      <c r="DH38" s="2336">
        <v>52.671931922740072</v>
      </c>
      <c r="DI38" s="2336">
        <v>52.810976717231839</v>
      </c>
      <c r="DJ38" s="2336">
        <v>52.948930561151748</v>
      </c>
      <c r="DK38" s="2344">
        <v>53.085796529790478</v>
      </c>
      <c r="DL38" s="2336">
        <v>53.221577806342388</v>
      </c>
      <c r="DM38" s="2336">
        <v>53.356277678955905</v>
      </c>
      <c r="DN38" s="2336">
        <v>53.489899537840124</v>
      </c>
      <c r="DO38" s="2336">
        <v>53.622446872422351</v>
      </c>
      <c r="DP38" s="2336">
        <v>53.753923268559078</v>
      </c>
      <c r="DQ38" s="2336">
        <v>53.884332405797302</v>
      </c>
      <c r="DR38" s="2336">
        <v>54.013678054686515</v>
      </c>
      <c r="DS38" s="2336">
        <v>54.141964074140844</v>
      </c>
      <c r="DT38" s="2336">
        <v>54.26919440884776</v>
      </c>
      <c r="DU38" s="2336">
        <v>54.395373086726444</v>
      </c>
    </row>
    <row r="39" spans="1:125" ht="14.25">
      <c r="A39" s="904">
        <v>37</v>
      </c>
      <c r="B39" s="92"/>
      <c r="C39" s="92"/>
      <c r="D39" s="92"/>
      <c r="E39" s="92"/>
      <c r="F39" s="92"/>
      <c r="G39" s="92"/>
      <c r="H39" s="92"/>
      <c r="I39" s="92"/>
      <c r="J39" s="92"/>
      <c r="K39" s="92"/>
      <c r="L39" s="92"/>
      <c r="M39" s="92"/>
      <c r="N39" s="92"/>
      <c r="O39" s="92"/>
      <c r="P39" s="92"/>
      <c r="Q39" s="92"/>
      <c r="R39" s="92"/>
      <c r="S39" s="92"/>
      <c r="T39" s="92"/>
      <c r="U39" s="92"/>
      <c r="V39" s="739"/>
      <c r="W39" s="2338">
        <v>37.229999999999997</v>
      </c>
      <c r="X39" s="2338">
        <v>37.46</v>
      </c>
      <c r="Y39" s="2336">
        <v>37.534660776519303</v>
      </c>
      <c r="Z39" s="2336">
        <v>37.760683885501827</v>
      </c>
      <c r="AA39" s="2336">
        <v>37.960418362222015</v>
      </c>
      <c r="AB39" s="2336">
        <v>38.108170398475558</v>
      </c>
      <c r="AC39" s="2336">
        <v>38.103737111063602</v>
      </c>
      <c r="AD39" s="2336">
        <v>38.036710451656567</v>
      </c>
      <c r="AE39" s="2336">
        <v>38.101826754771253</v>
      </c>
      <c r="AF39" s="2336">
        <v>38.305583667065889</v>
      </c>
      <c r="AG39" s="2336">
        <v>38.553607363194146</v>
      </c>
      <c r="AH39" s="2336">
        <v>38.853340874321717</v>
      </c>
      <c r="AI39" s="2336">
        <v>39.116045363379975</v>
      </c>
      <c r="AJ39" s="2336">
        <v>39.404462643215851</v>
      </c>
      <c r="AK39" s="2336">
        <v>39.708353803486347</v>
      </c>
      <c r="AL39" s="2336">
        <v>40.066069537735139</v>
      </c>
      <c r="AM39" s="2336">
        <v>40.404206568658516</v>
      </c>
      <c r="AN39" s="2336">
        <v>40.613632552066377</v>
      </c>
      <c r="AO39" s="2336">
        <v>40.762224663185044</v>
      </c>
      <c r="AP39" s="2336">
        <v>40.934192766439146</v>
      </c>
      <c r="AQ39" s="2336">
        <v>41.107704986551802</v>
      </c>
      <c r="AR39" s="2336">
        <v>41.351325551101297</v>
      </c>
      <c r="AS39" s="2336">
        <v>41.363189680080929</v>
      </c>
      <c r="AT39" s="2336">
        <v>41.423963881773894</v>
      </c>
      <c r="AU39" s="2336">
        <v>41.505358746919867</v>
      </c>
      <c r="AV39" s="2336">
        <v>41.572327054398343</v>
      </c>
      <c r="AW39" s="2336">
        <v>41.818278047201844</v>
      </c>
      <c r="AX39" s="2336">
        <v>41.933033408446136</v>
      </c>
      <c r="AY39" s="2336">
        <v>41.990056850668694</v>
      </c>
      <c r="AZ39" s="2336">
        <v>42.02046141877954</v>
      </c>
      <c r="BA39" s="2336">
        <v>42.06064706044365</v>
      </c>
      <c r="BB39" s="2336">
        <v>42.163758300286219</v>
      </c>
      <c r="BC39" s="2336">
        <v>42.249490067902727</v>
      </c>
      <c r="BD39" s="2336">
        <v>42.403874316978992</v>
      </c>
      <c r="BE39" s="2336">
        <v>42.591449056297165</v>
      </c>
      <c r="BF39" s="2336">
        <v>42.777926726633702</v>
      </c>
      <c r="BG39" s="2336">
        <v>42.913018971429125</v>
      </c>
      <c r="BH39" s="2336">
        <v>43.164991820804978</v>
      </c>
      <c r="BI39" s="2336">
        <v>43.331094392878526</v>
      </c>
      <c r="BJ39" s="2336">
        <v>43.559986156120431</v>
      </c>
      <c r="BK39" s="2336">
        <v>43.726118000862947</v>
      </c>
      <c r="BL39" s="2336">
        <v>43.967866561695992</v>
      </c>
      <c r="BM39" s="2336">
        <v>44.192166309343726</v>
      </c>
      <c r="BN39" s="2336">
        <v>44.393652941168511</v>
      </c>
      <c r="BO39" s="2336">
        <v>44.571313140027407</v>
      </c>
      <c r="BP39" s="2336">
        <v>44.770640319335513</v>
      </c>
      <c r="BQ39" s="2336">
        <v>44.958482119733823</v>
      </c>
      <c r="BR39" s="2336">
        <v>45.13807165225802</v>
      </c>
      <c r="BS39" s="2336">
        <v>45.293847115134426</v>
      </c>
      <c r="BT39" s="2336">
        <v>45.457669059490193</v>
      </c>
      <c r="BU39" s="2336">
        <v>45.584937095428913</v>
      </c>
      <c r="BV39" s="2336">
        <v>45.779800133273163</v>
      </c>
      <c r="BW39" s="2336">
        <v>45.944319818124313</v>
      </c>
      <c r="BX39" s="2336">
        <v>46.105778038342507</v>
      </c>
      <c r="BY39" s="2336">
        <v>46.260870999981783</v>
      </c>
      <c r="BZ39" s="2336">
        <v>46.417488997676159</v>
      </c>
      <c r="CA39" s="2336">
        <v>46.572411449453263</v>
      </c>
      <c r="CB39" s="2336">
        <v>46.721887489687873</v>
      </c>
      <c r="CC39" s="2336">
        <v>46.890537848792341</v>
      </c>
      <c r="CD39" s="2336">
        <v>47.059744896308189</v>
      </c>
      <c r="CE39" s="2336">
        <v>47.222855085001456</v>
      </c>
      <c r="CF39" s="2336">
        <v>47.383104179294705</v>
      </c>
      <c r="CG39" s="2336">
        <v>47.53970710318292</v>
      </c>
      <c r="CH39" s="2336">
        <v>47.709122403848887</v>
      </c>
      <c r="CI39" s="2336">
        <v>47.879023046170289</v>
      </c>
      <c r="CJ39" s="2336">
        <v>48.045261422300932</v>
      </c>
      <c r="CK39" s="2336">
        <v>48.210353303360904</v>
      </c>
      <c r="CL39" s="2336">
        <v>48.374303851410623</v>
      </c>
      <c r="CM39" s="2336">
        <v>48.537117912420634</v>
      </c>
      <c r="CN39" s="2336">
        <v>48.698799924990695</v>
      </c>
      <c r="CO39" s="2336">
        <v>48.859353860393554</v>
      </c>
      <c r="CP39" s="2336">
        <v>49.018783198310558</v>
      </c>
      <c r="CQ39" s="2336">
        <v>49.177090945007059</v>
      </c>
      <c r="CR39" s="2336">
        <v>49.334279649896658</v>
      </c>
      <c r="CS39" s="2336">
        <v>49.490351416694779</v>
      </c>
      <c r="CT39" s="2336">
        <v>49.645307943422601</v>
      </c>
      <c r="CU39" s="2336">
        <v>49.799150592020872</v>
      </c>
      <c r="CV39" s="2336">
        <v>49.951880472973009</v>
      </c>
      <c r="CW39" s="2336">
        <v>50.103504434785016</v>
      </c>
      <c r="CX39" s="2336">
        <v>50.254023626459073</v>
      </c>
      <c r="CY39" s="2336">
        <v>50.403439351301337</v>
      </c>
      <c r="CZ39" s="2336">
        <v>50.551753063208956</v>
      </c>
      <c r="DA39" s="2336">
        <v>50.698966363017163</v>
      </c>
      <c r="DB39" s="2336">
        <v>50.845080994904762</v>
      </c>
      <c r="DC39" s="2336">
        <v>50.990098842860057</v>
      </c>
      <c r="DD39" s="2336">
        <v>51.13402192720585</v>
      </c>
      <c r="DE39" s="2336">
        <v>51.276852401184016</v>
      </c>
      <c r="DF39" s="2336">
        <v>51.418592547596717</v>
      </c>
      <c r="DG39" s="2336">
        <v>51.559244775507771</v>
      </c>
      <c r="DH39" s="2336">
        <v>51.698811616999805</v>
      </c>
      <c r="DI39" s="2336">
        <v>51.837295723989044</v>
      </c>
      <c r="DJ39" s="2336">
        <v>51.974699865096376</v>
      </c>
      <c r="DK39" s="2344">
        <v>52.111026922572677</v>
      </c>
      <c r="DL39" s="2336">
        <v>52.246279889280878</v>
      </c>
      <c r="DM39" s="2336">
        <v>52.380461865729636</v>
      </c>
      <c r="DN39" s="2336">
        <v>52.51357605716256</v>
      </c>
      <c r="DO39" s="2336">
        <v>52.645625770697805</v>
      </c>
      <c r="DP39" s="2336">
        <v>52.776614412520523</v>
      </c>
      <c r="DQ39" s="2336">
        <v>52.906545485125179</v>
      </c>
      <c r="DR39" s="2336">
        <v>53.035422584607865</v>
      </c>
      <c r="DS39" s="2336">
        <v>53.163249398008553</v>
      </c>
      <c r="DT39" s="2336">
        <v>53.290029700699208</v>
      </c>
      <c r="DU39" s="2336">
        <v>53.415767353821245</v>
      </c>
    </row>
    <row r="40" spans="1:125" ht="14.25">
      <c r="A40" s="904">
        <v>38</v>
      </c>
      <c r="B40" s="92"/>
      <c r="C40" s="92"/>
      <c r="D40" s="92"/>
      <c r="E40" s="92"/>
      <c r="F40" s="92"/>
      <c r="G40" s="92"/>
      <c r="H40" s="92"/>
      <c r="I40" s="92"/>
      <c r="J40" s="92"/>
      <c r="K40" s="92"/>
      <c r="L40" s="92"/>
      <c r="M40" s="92"/>
      <c r="N40" s="92"/>
      <c r="O40" s="92"/>
      <c r="P40" s="92"/>
      <c r="Q40" s="92"/>
      <c r="R40" s="92"/>
      <c r="S40" s="92"/>
      <c r="T40" s="92"/>
      <c r="U40" s="92"/>
      <c r="V40" s="739"/>
      <c r="W40" s="2338">
        <v>36.32</v>
      </c>
      <c r="X40" s="2338">
        <v>36.549999999999997</v>
      </c>
      <c r="Y40" s="2336">
        <v>36.620230637659688</v>
      </c>
      <c r="Z40" s="2336">
        <v>36.844294996680489</v>
      </c>
      <c r="AA40" s="2336">
        <v>37.051380333865708</v>
      </c>
      <c r="AB40" s="2336">
        <v>37.199080814516847</v>
      </c>
      <c r="AC40" s="2336">
        <v>37.191386257429372</v>
      </c>
      <c r="AD40" s="2336">
        <v>37.12863935602514</v>
      </c>
      <c r="AE40" s="2336">
        <v>37.191893139936568</v>
      </c>
      <c r="AF40" s="2336">
        <v>37.395056878742963</v>
      </c>
      <c r="AG40" s="2336">
        <v>37.643382058838995</v>
      </c>
      <c r="AH40" s="2336">
        <v>37.948029383375079</v>
      </c>
      <c r="AI40" s="2336">
        <v>38.212656227168473</v>
      </c>
      <c r="AJ40" s="2336">
        <v>38.504362019144097</v>
      </c>
      <c r="AK40" s="2336">
        <v>38.802466328145286</v>
      </c>
      <c r="AL40" s="2336">
        <v>39.156606303007074</v>
      </c>
      <c r="AM40" s="2336">
        <v>39.497475264573623</v>
      </c>
      <c r="AN40" s="2336">
        <v>39.703502241416402</v>
      </c>
      <c r="AO40" s="2336">
        <v>39.855914349988396</v>
      </c>
      <c r="AP40" s="2336">
        <v>40.030040789264071</v>
      </c>
      <c r="AQ40" s="2336">
        <v>40.202718847387921</v>
      </c>
      <c r="AR40" s="2336">
        <v>40.43874534146741</v>
      </c>
      <c r="AS40" s="2336">
        <v>40.448658110778872</v>
      </c>
      <c r="AT40" s="2336">
        <v>40.512182835472174</v>
      </c>
      <c r="AU40" s="2336">
        <v>40.588926612305393</v>
      </c>
      <c r="AV40" s="2336">
        <v>40.655584803506102</v>
      </c>
      <c r="AW40" s="2336">
        <v>40.89324585294483</v>
      </c>
      <c r="AX40" s="2336">
        <v>41.006654587252463</v>
      </c>
      <c r="AY40" s="2336">
        <v>41.064412584439886</v>
      </c>
      <c r="AZ40" s="2336">
        <v>41.097578619377416</v>
      </c>
      <c r="BA40" s="2336">
        <v>41.136424564396407</v>
      </c>
      <c r="BB40" s="2336">
        <v>41.245838021095246</v>
      </c>
      <c r="BC40" s="2336">
        <v>41.34117458568268</v>
      </c>
      <c r="BD40" s="2336">
        <v>41.49132229284335</v>
      </c>
      <c r="BE40" s="2336">
        <v>41.675545086557598</v>
      </c>
      <c r="BF40" s="2336">
        <v>41.861419286746845</v>
      </c>
      <c r="BG40" s="2336">
        <v>41.99998063174953</v>
      </c>
      <c r="BH40" s="2336">
        <v>42.242134002624276</v>
      </c>
      <c r="BI40" s="2336">
        <v>42.405664034657534</v>
      </c>
      <c r="BJ40" s="2336">
        <v>42.627575316498827</v>
      </c>
      <c r="BK40" s="2336">
        <v>42.792560469717891</v>
      </c>
      <c r="BL40" s="2336">
        <v>43.029845286226724</v>
      </c>
      <c r="BM40" s="2336">
        <v>43.250197662003906</v>
      </c>
      <c r="BN40" s="2336">
        <v>43.451764802456864</v>
      </c>
      <c r="BO40" s="2336">
        <v>43.625145805541614</v>
      </c>
      <c r="BP40" s="2336">
        <v>43.824024314648142</v>
      </c>
      <c r="BQ40" s="2336">
        <v>44.007336211463759</v>
      </c>
      <c r="BR40" s="2336">
        <v>44.183431460606606</v>
      </c>
      <c r="BS40" s="2336">
        <v>44.340436812511328</v>
      </c>
      <c r="BT40" s="2336">
        <v>44.501654188797929</v>
      </c>
      <c r="BU40" s="2336">
        <v>44.631496583898809</v>
      </c>
      <c r="BV40" s="2336">
        <v>44.820559662729956</v>
      </c>
      <c r="BW40" s="2336">
        <v>44.990872411572738</v>
      </c>
      <c r="BX40" s="2336">
        <v>45.14828344687902</v>
      </c>
      <c r="BY40" s="2336">
        <v>45.302227367415483</v>
      </c>
      <c r="BZ40" s="2336">
        <v>45.456764830676967</v>
      </c>
      <c r="CA40" s="2336">
        <v>45.613372218841477</v>
      </c>
      <c r="CB40" s="2336">
        <v>45.767931562239482</v>
      </c>
      <c r="CC40" s="2336">
        <v>45.938026621928977</v>
      </c>
      <c r="CD40" s="2336">
        <v>46.106224892692872</v>
      </c>
      <c r="CE40" s="2336">
        <v>46.26615345454497</v>
      </c>
      <c r="CF40" s="2336">
        <v>46.429636178389913</v>
      </c>
      <c r="CG40" s="2336">
        <v>46.592398366848528</v>
      </c>
      <c r="CH40" s="2336">
        <v>46.760313047595879</v>
      </c>
      <c r="CI40" s="2336">
        <v>46.926740566830539</v>
      </c>
      <c r="CJ40" s="2336">
        <v>47.092033578746758</v>
      </c>
      <c r="CK40" s="2336">
        <v>47.256197187651253</v>
      </c>
      <c r="CL40" s="2336">
        <v>47.419236301292941</v>
      </c>
      <c r="CM40" s="2336">
        <v>47.581155512840596</v>
      </c>
      <c r="CN40" s="2336">
        <v>47.741959009628324</v>
      </c>
      <c r="CO40" s="2336">
        <v>47.901650513257202</v>
      </c>
      <c r="CP40" s="2336">
        <v>48.06023325541895</v>
      </c>
      <c r="CQ40" s="2336">
        <v>48.217709996189861</v>
      </c>
      <c r="CR40" s="2336">
        <v>48.374083040702757</v>
      </c>
      <c r="CS40" s="2336">
        <v>48.52935425039491</v>
      </c>
      <c r="CT40" s="2336">
        <v>48.683525083121054</v>
      </c>
      <c r="CU40" s="2336">
        <v>48.836596662888006</v>
      </c>
      <c r="CV40" s="2336">
        <v>48.98857549305454</v>
      </c>
      <c r="CW40" s="2336">
        <v>49.139462337662593</v>
      </c>
      <c r="CX40" s="2336">
        <v>49.289258121421547</v>
      </c>
      <c r="CY40" s="2336">
        <v>49.43796392593601</v>
      </c>
      <c r="CZ40" s="2336">
        <v>49.585580985993303</v>
      </c>
      <c r="DA40" s="2336">
        <v>49.732110685910094</v>
      </c>
      <c r="DB40" s="2336">
        <v>49.877554555936335</v>
      </c>
      <c r="DC40" s="2336">
        <v>50.021914268718668</v>
      </c>
      <c r="DD40" s="2336">
        <v>50.165191635821913</v>
      </c>
      <c r="DE40" s="2336">
        <v>50.307388604309217</v>
      </c>
      <c r="DF40" s="2336">
        <v>50.448507253377905</v>
      </c>
      <c r="DG40" s="2336">
        <v>50.58854979105454</v>
      </c>
      <c r="DH40" s="2336">
        <v>50.727518550944964</v>
      </c>
      <c r="DI40" s="2336">
        <v>50.865415989041161</v>
      </c>
      <c r="DJ40" s="2336">
        <v>51.002244680583367</v>
      </c>
      <c r="DK40" s="2344">
        <v>51.138007316975951</v>
      </c>
      <c r="DL40" s="2336">
        <v>51.272706702759081</v>
      </c>
      <c r="DM40" s="2336">
        <v>51.406345752631182</v>
      </c>
      <c r="DN40" s="2336">
        <v>51.538927488526468</v>
      </c>
      <c r="DO40" s="2336">
        <v>51.670455036742005</v>
      </c>
      <c r="DP40" s="2336">
        <v>51.800931625116945</v>
      </c>
      <c r="DQ40" s="2336">
        <v>51.930360580261024</v>
      </c>
      <c r="DR40" s="2336">
        <v>52.058745324832564</v>
      </c>
      <c r="DS40" s="2336">
        <v>52.186089374865603</v>
      </c>
      <c r="DT40" s="2336">
        <v>52.312396337142523</v>
      </c>
      <c r="DU40" s="2336">
        <v>52.437669906615398</v>
      </c>
    </row>
    <row r="41" spans="1:125" ht="14.25">
      <c r="A41" s="904">
        <v>39</v>
      </c>
      <c r="B41" s="92"/>
      <c r="C41" s="92"/>
      <c r="D41" s="92"/>
      <c r="E41" s="92"/>
      <c r="F41" s="92"/>
      <c r="G41" s="92"/>
      <c r="H41" s="92"/>
      <c r="I41" s="92"/>
      <c r="J41" s="92"/>
      <c r="K41" s="92"/>
      <c r="L41" s="92"/>
      <c r="M41" s="92"/>
      <c r="N41" s="92"/>
      <c r="O41" s="92"/>
      <c r="P41" s="92"/>
      <c r="Q41" s="92"/>
      <c r="R41" s="92"/>
      <c r="S41" s="92"/>
      <c r="T41" s="92"/>
      <c r="U41" s="92"/>
      <c r="V41" s="739"/>
      <c r="W41" s="2338">
        <v>35.409999999999997</v>
      </c>
      <c r="X41" s="2338">
        <v>35.64</v>
      </c>
      <c r="Y41" s="2336">
        <v>35.70940433812931</v>
      </c>
      <c r="Z41" s="2336">
        <v>35.932267172795079</v>
      </c>
      <c r="AA41" s="2336">
        <v>36.141774794432848</v>
      </c>
      <c r="AB41" s="2336">
        <v>36.287371842922525</v>
      </c>
      <c r="AC41" s="2336">
        <v>36.279656834993318</v>
      </c>
      <c r="AD41" s="2336">
        <v>36.222993367397876</v>
      </c>
      <c r="AE41" s="2336">
        <v>36.283835493945013</v>
      </c>
      <c r="AF41" s="2336">
        <v>36.490526166864704</v>
      </c>
      <c r="AG41" s="2336">
        <v>36.743486825343155</v>
      </c>
      <c r="AH41" s="2336">
        <v>37.048841963720974</v>
      </c>
      <c r="AI41" s="2336">
        <v>37.310138628646158</v>
      </c>
      <c r="AJ41" s="2336">
        <v>37.60692795139245</v>
      </c>
      <c r="AK41" s="2336">
        <v>37.900248220086183</v>
      </c>
      <c r="AL41" s="2336">
        <v>38.256375441737504</v>
      </c>
      <c r="AM41" s="2336">
        <v>38.596250006883153</v>
      </c>
      <c r="AN41" s="2336">
        <v>38.799769359877949</v>
      </c>
      <c r="AO41" s="2336">
        <v>38.952482451695481</v>
      </c>
      <c r="AP41" s="2336">
        <v>39.126130679675668</v>
      </c>
      <c r="AQ41" s="2336">
        <v>39.296170460069611</v>
      </c>
      <c r="AR41" s="2336">
        <v>39.530502729510218</v>
      </c>
      <c r="AS41" s="2336">
        <v>39.541977265117737</v>
      </c>
      <c r="AT41" s="2336">
        <v>39.597719575220133</v>
      </c>
      <c r="AU41" s="2336">
        <v>39.679607223457353</v>
      </c>
      <c r="AV41" s="2336">
        <v>39.741498493485253</v>
      </c>
      <c r="AW41" s="2336">
        <v>39.978944883252069</v>
      </c>
      <c r="AX41" s="2336">
        <v>40.084130283740436</v>
      </c>
      <c r="AY41" s="2336">
        <v>40.141783652603763</v>
      </c>
      <c r="AZ41" s="2336">
        <v>40.179092866729754</v>
      </c>
      <c r="BA41" s="2336">
        <v>40.218644379701786</v>
      </c>
      <c r="BB41" s="2336">
        <v>40.336620883099329</v>
      </c>
      <c r="BC41" s="2336">
        <v>40.436722188422024</v>
      </c>
      <c r="BD41" s="2336">
        <v>40.58354137681804</v>
      </c>
      <c r="BE41" s="2336">
        <v>40.761212948518143</v>
      </c>
      <c r="BF41" s="2336">
        <v>40.944406767960444</v>
      </c>
      <c r="BG41" s="2336">
        <v>41.087416879925293</v>
      </c>
      <c r="BH41" s="2336">
        <v>41.320463465067483</v>
      </c>
      <c r="BI41" s="2336">
        <v>41.478804795152861</v>
      </c>
      <c r="BJ41" s="2336">
        <v>41.692519111555235</v>
      </c>
      <c r="BK41" s="2336">
        <v>41.862099610214003</v>
      </c>
      <c r="BL41" s="2336">
        <v>42.095979403260273</v>
      </c>
      <c r="BM41" s="2336">
        <v>42.312161619203771</v>
      </c>
      <c r="BN41" s="2336">
        <v>42.51230357539594</v>
      </c>
      <c r="BO41" s="2336">
        <v>42.681338701768169</v>
      </c>
      <c r="BP41" s="2336">
        <v>42.880398031421961</v>
      </c>
      <c r="BQ41" s="2336">
        <v>43.05799001625666</v>
      </c>
      <c r="BR41" s="2336">
        <v>43.233399612845133</v>
      </c>
      <c r="BS41" s="2336">
        <v>43.386326207494115</v>
      </c>
      <c r="BT41" s="2336">
        <v>43.549568542804131</v>
      </c>
      <c r="BU41" s="2336">
        <v>43.682463736503095</v>
      </c>
      <c r="BV41" s="2336">
        <v>43.871085240309128</v>
      </c>
      <c r="BW41" s="2336">
        <v>44.036265753742434</v>
      </c>
      <c r="BX41" s="2336">
        <v>44.192784139600484</v>
      </c>
      <c r="BY41" s="2336">
        <v>44.351184755152282</v>
      </c>
      <c r="BZ41" s="2336">
        <v>44.502517907882492</v>
      </c>
      <c r="CA41" s="2336">
        <v>44.660239419490068</v>
      </c>
      <c r="CB41" s="2336">
        <v>44.816371248091066</v>
      </c>
      <c r="CC41" s="2336">
        <v>44.985518422506146</v>
      </c>
      <c r="CD41" s="2336">
        <v>45.151958161540506</v>
      </c>
      <c r="CE41" s="2336">
        <v>45.313723883350711</v>
      </c>
      <c r="CF41" s="2336">
        <v>45.479694897900067</v>
      </c>
      <c r="CG41" s="2336">
        <v>45.644884525853954</v>
      </c>
      <c r="CH41" s="2336">
        <v>45.811445127039192</v>
      </c>
      <c r="CI41" s="2336">
        <v>45.976883665380328</v>
      </c>
      <c r="CJ41" s="2336">
        <v>46.141205024122925</v>
      </c>
      <c r="CK41" s="2336">
        <v>46.304414063780087</v>
      </c>
      <c r="CL41" s="2336">
        <v>46.466515449367186</v>
      </c>
      <c r="CM41" s="2336">
        <v>46.627513532377392</v>
      </c>
      <c r="CN41" s="2336">
        <v>46.787412259559893</v>
      </c>
      <c r="CO41" s="2336">
        <v>46.946215113088066</v>
      </c>
      <c r="CP41" s="2336">
        <v>47.103925086482384</v>
      </c>
      <c r="CQ41" s="2336">
        <v>47.260544703036743</v>
      </c>
      <c r="CR41" s="2336">
        <v>47.416076032611294</v>
      </c>
      <c r="CS41" s="2336">
        <v>47.570520702987331</v>
      </c>
      <c r="CT41" s="2336">
        <v>47.723879940103117</v>
      </c>
      <c r="CU41" s="2336">
        <v>47.876160316519446</v>
      </c>
      <c r="CV41" s="2336">
        <v>48.027362209435537</v>
      </c>
      <c r="CW41" s="2336">
        <v>48.177486162840289</v>
      </c>
      <c r="CX41" s="2336">
        <v>48.326532883692117</v>
      </c>
      <c r="CY41" s="2336">
        <v>48.47450323815503</v>
      </c>
      <c r="CZ41" s="2336">
        <v>48.621398247893282</v>
      </c>
      <c r="DA41" s="2336">
        <v>48.767219086424042</v>
      </c>
      <c r="DB41" s="2336">
        <v>48.911967075526277</v>
      </c>
      <c r="DC41" s="2336">
        <v>49.055643681708105</v>
      </c>
      <c r="DD41" s="2336">
        <v>49.198250512731072</v>
      </c>
      <c r="DE41" s="2336">
        <v>49.33978931419211</v>
      </c>
      <c r="DF41" s="2336">
        <v>49.480261966160256</v>
      </c>
      <c r="DG41" s="2336">
        <v>49.619670479871502</v>
      </c>
      <c r="DH41" s="2336">
        <v>49.758016994477735</v>
      </c>
      <c r="DI41" s="2336">
        <v>49.895303773851587</v>
      </c>
      <c r="DJ41" s="2336">
        <v>50.031533203445534</v>
      </c>
      <c r="DK41" s="2344">
        <v>50.166707787203983</v>
      </c>
      <c r="DL41" s="2336">
        <v>50.300830144530238</v>
      </c>
      <c r="DM41" s="2336">
        <v>50.433903007303471</v>
      </c>
      <c r="DN41" s="2336">
        <v>50.565929216949897</v>
      </c>
      <c r="DO41" s="2336">
        <v>50.696911721562763</v>
      </c>
      <c r="DP41" s="2336">
        <v>50.826853573073713</v>
      </c>
      <c r="DQ41" s="2336">
        <v>50.955757924472763</v>
      </c>
      <c r="DR41" s="2336">
        <v>51.083628027076955</v>
      </c>
      <c r="DS41" s="2336">
        <v>51.210467227847595</v>
      </c>
      <c r="DT41" s="2336">
        <v>51.336278966752218</v>
      </c>
      <c r="DU41" s="2336">
        <v>51.461066774174789</v>
      </c>
    </row>
    <row r="42" spans="1:125" ht="14.25">
      <c r="A42" s="904">
        <v>40</v>
      </c>
      <c r="B42" s="92"/>
      <c r="C42" s="92"/>
      <c r="D42" s="92"/>
      <c r="E42" s="92"/>
      <c r="F42" s="92"/>
      <c r="G42" s="92"/>
      <c r="H42" s="92"/>
      <c r="I42" s="92"/>
      <c r="J42" s="92"/>
      <c r="K42" s="92"/>
      <c r="L42" s="92"/>
      <c r="M42" s="92"/>
      <c r="N42" s="92"/>
      <c r="O42" s="92"/>
      <c r="P42" s="92"/>
      <c r="Q42" s="92"/>
      <c r="R42" s="92"/>
      <c r="S42" s="92"/>
      <c r="T42" s="92"/>
      <c r="U42" s="92"/>
      <c r="V42" s="739"/>
      <c r="W42" s="2338">
        <v>34.51</v>
      </c>
      <c r="X42" s="2338">
        <v>34.729999999999997</v>
      </c>
      <c r="Y42" s="2336">
        <v>34.802340127664607</v>
      </c>
      <c r="Z42" s="2336">
        <v>35.029535591798435</v>
      </c>
      <c r="AA42" s="2336">
        <v>35.238151563184388</v>
      </c>
      <c r="AB42" s="2336">
        <v>35.381980704094808</v>
      </c>
      <c r="AC42" s="2336">
        <v>35.381904220678869</v>
      </c>
      <c r="AD42" s="2336">
        <v>35.32154867091144</v>
      </c>
      <c r="AE42" s="2336">
        <v>35.383151433317458</v>
      </c>
      <c r="AF42" s="2336">
        <v>35.593614252311582</v>
      </c>
      <c r="AG42" s="2336">
        <v>35.847990532774411</v>
      </c>
      <c r="AH42" s="2336">
        <v>36.154866158156715</v>
      </c>
      <c r="AI42" s="2336">
        <v>36.414144725622265</v>
      </c>
      <c r="AJ42" s="2336">
        <v>36.709726673174139</v>
      </c>
      <c r="AK42" s="2336">
        <v>37.00380177125944</v>
      </c>
      <c r="AL42" s="2336">
        <v>37.362891001626458</v>
      </c>
      <c r="AM42" s="2336">
        <v>37.698753749203028</v>
      </c>
      <c r="AN42" s="2336">
        <v>37.903329512907618</v>
      </c>
      <c r="AO42" s="2336">
        <v>38.053451629573551</v>
      </c>
      <c r="AP42" s="2336">
        <v>38.228427727863036</v>
      </c>
      <c r="AQ42" s="2336">
        <v>38.398929245032221</v>
      </c>
      <c r="AR42" s="2336">
        <v>38.629925638818577</v>
      </c>
      <c r="AS42" s="2336">
        <v>38.638551811822495</v>
      </c>
      <c r="AT42" s="2336">
        <v>38.689940203411957</v>
      </c>
      <c r="AU42" s="2336">
        <v>38.764489508218901</v>
      </c>
      <c r="AV42" s="2336">
        <v>38.826151416449555</v>
      </c>
      <c r="AW42" s="2336">
        <v>39.064602060499546</v>
      </c>
      <c r="AX42" s="2336">
        <v>39.169698761683016</v>
      </c>
      <c r="AY42" s="2336">
        <v>39.223705275829523</v>
      </c>
      <c r="AZ42" s="2336">
        <v>39.265688687860468</v>
      </c>
      <c r="BA42" s="2336">
        <v>39.309706992620846</v>
      </c>
      <c r="BB42" s="2336">
        <v>39.431457541517666</v>
      </c>
      <c r="BC42" s="2336">
        <v>39.535289765705507</v>
      </c>
      <c r="BD42" s="2336">
        <v>39.678940945097253</v>
      </c>
      <c r="BE42" s="2336">
        <v>39.857674359468767</v>
      </c>
      <c r="BF42" s="2336">
        <v>40.028913244262576</v>
      </c>
      <c r="BG42" s="2336">
        <v>40.170318329988703</v>
      </c>
      <c r="BH42" s="2336">
        <v>40.3999110203589</v>
      </c>
      <c r="BI42" s="2336">
        <v>40.55643470312102</v>
      </c>
      <c r="BJ42" s="2336">
        <v>40.767649764924577</v>
      </c>
      <c r="BK42" s="2336">
        <v>40.93297291242601</v>
      </c>
      <c r="BL42" s="2336">
        <v>41.162682161572931</v>
      </c>
      <c r="BM42" s="2336">
        <v>41.378426618132515</v>
      </c>
      <c r="BN42" s="2336">
        <v>41.57645591505257</v>
      </c>
      <c r="BO42" s="2336">
        <v>41.740408453424159</v>
      </c>
      <c r="BP42" s="2336">
        <v>41.939478545429239</v>
      </c>
      <c r="BQ42" s="2336">
        <v>42.112146202011488</v>
      </c>
      <c r="BR42" s="2336">
        <v>42.28306824118426</v>
      </c>
      <c r="BS42" s="2336">
        <v>42.436399899121866</v>
      </c>
      <c r="BT42" s="2336">
        <v>42.599298427814162</v>
      </c>
      <c r="BU42" s="2336">
        <v>42.735327282863992</v>
      </c>
      <c r="BV42" s="2336">
        <v>42.918215875233976</v>
      </c>
      <c r="BW42" s="2336">
        <v>43.088344251249609</v>
      </c>
      <c r="BX42" s="2336">
        <v>43.239943311512285</v>
      </c>
      <c r="BY42" s="2336">
        <v>43.397094255355874</v>
      </c>
      <c r="BZ42" s="2336">
        <v>43.551730001562312</v>
      </c>
      <c r="CA42" s="2336">
        <v>43.708694284194394</v>
      </c>
      <c r="CB42" s="2336">
        <v>43.866714998235153</v>
      </c>
      <c r="CC42" s="2336">
        <v>44.035350116762096</v>
      </c>
      <c r="CD42" s="2336">
        <v>44.203858991102869</v>
      </c>
      <c r="CE42" s="2336">
        <v>44.365922227653662</v>
      </c>
      <c r="CF42" s="2336">
        <v>44.532662324494211</v>
      </c>
      <c r="CG42" s="2336">
        <v>44.699303933547199</v>
      </c>
      <c r="CH42" s="2336">
        <v>44.864836475518501</v>
      </c>
      <c r="CI42" s="2336">
        <v>45.029264407839641</v>
      </c>
      <c r="CJ42" s="2336">
        <v>45.192592382282371</v>
      </c>
      <c r="CK42" s="2336">
        <v>45.354825028574822</v>
      </c>
      <c r="CL42" s="2336">
        <v>45.51596678156028</v>
      </c>
      <c r="CM42" s="2336">
        <v>45.676021763173637</v>
      </c>
      <c r="CN42" s="2336">
        <v>45.834993691257687</v>
      </c>
      <c r="CO42" s="2336">
        <v>45.992885819805736</v>
      </c>
      <c r="CP42" s="2336">
        <v>46.149700914994042</v>
      </c>
      <c r="CQ42" s="2336">
        <v>46.30544127375353</v>
      </c>
      <c r="CR42" s="2336">
        <v>46.460108740695858</v>
      </c>
      <c r="CS42" s="2336">
        <v>46.613704719587062</v>
      </c>
      <c r="CT42" s="2336">
        <v>46.766236342888327</v>
      </c>
      <c r="CU42" s="2336">
        <v>46.917703601407801</v>
      </c>
      <c r="CV42" s="2336">
        <v>47.06810665859242</v>
      </c>
      <c r="CW42" s="2336">
        <v>47.217445846666969</v>
      </c>
      <c r="CX42" s="2336">
        <v>47.365721662829742</v>
      </c>
      <c r="CY42" s="2336">
        <v>47.512934765503275</v>
      </c>
      <c r="CZ42" s="2336">
        <v>47.659085970642352</v>
      </c>
      <c r="DA42" s="2336">
        <v>47.804176248099004</v>
      </c>
      <c r="DB42" s="2336">
        <v>47.948206718042513</v>
      </c>
      <c r="DC42" s="2336">
        <v>48.091178647436749</v>
      </c>
      <c r="DD42" s="2336">
        <v>48.23309344657342</v>
      </c>
      <c r="DE42" s="2336">
        <v>48.373952665661797</v>
      </c>
      <c r="DF42" s="2336">
        <v>48.513757991472204</v>
      </c>
      <c r="DG42" s="2336">
        <v>48.652511244036589</v>
      </c>
      <c r="DH42" s="2336">
        <v>48.790214373402122</v>
      </c>
      <c r="DI42" s="2336">
        <v>48.926869456439789</v>
      </c>
      <c r="DJ42" s="2336">
        <v>49.062478693706176</v>
      </c>
      <c r="DK42" s="2344">
        <v>49.19704440635735</v>
      </c>
      <c r="DL42" s="2336">
        <v>49.33056903311661</v>
      </c>
      <c r="DM42" s="2336">
        <v>49.463055127291454</v>
      </c>
      <c r="DN42" s="2336">
        <v>49.594505353843779</v>
      </c>
      <c r="DO42" s="2336">
        <v>49.724922486508063</v>
      </c>
      <c r="DP42" s="2336">
        <v>49.854309404960105</v>
      </c>
      <c r="DQ42" s="2336">
        <v>49.982669092033589</v>
      </c>
      <c r="DR42" s="2336">
        <v>50.11000463098447</v>
      </c>
      <c r="DS42" s="2336">
        <v>50.236319202803287</v>
      </c>
      <c r="DT42" s="2336">
        <v>50.36161608357142</v>
      </c>
      <c r="DU42" s="2336">
        <v>50.485898641864821</v>
      </c>
    </row>
    <row r="43" spans="1:125" ht="14.25">
      <c r="A43" s="904">
        <v>41</v>
      </c>
      <c r="B43" s="92"/>
      <c r="C43" s="92"/>
      <c r="D43" s="92"/>
      <c r="E43" s="92"/>
      <c r="F43" s="92"/>
      <c r="G43" s="92"/>
      <c r="H43" s="92"/>
      <c r="I43" s="92"/>
      <c r="J43" s="92"/>
      <c r="K43" s="92"/>
      <c r="L43" s="92"/>
      <c r="M43" s="92"/>
      <c r="N43" s="92"/>
      <c r="O43" s="92"/>
      <c r="P43" s="92"/>
      <c r="Q43" s="92"/>
      <c r="R43" s="92"/>
      <c r="S43" s="92"/>
      <c r="T43" s="92"/>
      <c r="U43" s="92"/>
      <c r="V43" s="739"/>
      <c r="W43" s="2338">
        <v>33.6</v>
      </c>
      <c r="X43" s="2338">
        <v>33.83</v>
      </c>
      <c r="Y43" s="2336">
        <v>33.902000873807012</v>
      </c>
      <c r="Z43" s="2336">
        <v>34.129650862792396</v>
      </c>
      <c r="AA43" s="2336">
        <v>34.3380640500704</v>
      </c>
      <c r="AB43" s="2336">
        <v>34.487601450818978</v>
      </c>
      <c r="AC43" s="2336">
        <v>34.484439707704574</v>
      </c>
      <c r="AD43" s="2336">
        <v>34.422968822102334</v>
      </c>
      <c r="AE43" s="2336">
        <v>34.496179033231677</v>
      </c>
      <c r="AF43" s="2336">
        <v>34.706577470147451</v>
      </c>
      <c r="AG43" s="2336">
        <v>34.961031807641142</v>
      </c>
      <c r="AH43" s="2336">
        <v>35.263003122977878</v>
      </c>
      <c r="AI43" s="2336">
        <v>35.52170583364402</v>
      </c>
      <c r="AJ43" s="2336">
        <v>35.817956471991124</v>
      </c>
      <c r="AK43" s="2336">
        <v>36.11740207008009</v>
      </c>
      <c r="AL43" s="2336">
        <v>36.475103903016851</v>
      </c>
      <c r="AM43" s="2336">
        <v>36.806601186673895</v>
      </c>
      <c r="AN43" s="2336">
        <v>37.014810686730151</v>
      </c>
      <c r="AO43" s="2336">
        <v>37.166457435173527</v>
      </c>
      <c r="AP43" s="2336">
        <v>37.33380425876085</v>
      </c>
      <c r="AQ43" s="2336">
        <v>37.505199718158345</v>
      </c>
      <c r="AR43" s="2336">
        <v>37.733162469265928</v>
      </c>
      <c r="AS43" s="2336">
        <v>37.736322140258984</v>
      </c>
      <c r="AT43" s="2336">
        <v>37.786166425305524</v>
      </c>
      <c r="AU43" s="2336">
        <v>37.85438554528357</v>
      </c>
      <c r="AV43" s="2336">
        <v>37.915529197478079</v>
      </c>
      <c r="AW43" s="2336">
        <v>38.149214200143263</v>
      </c>
      <c r="AX43" s="2336">
        <v>38.258118904665153</v>
      </c>
      <c r="AY43" s="2336">
        <v>38.316780225014718</v>
      </c>
      <c r="AZ43" s="2336">
        <v>38.367046024151421</v>
      </c>
      <c r="BA43" s="2336">
        <v>38.412396528458274</v>
      </c>
      <c r="BB43" s="2336">
        <v>38.529861063680364</v>
      </c>
      <c r="BC43" s="2336">
        <v>38.635409232907932</v>
      </c>
      <c r="BD43" s="2336">
        <v>38.778989283717259</v>
      </c>
      <c r="BE43" s="2336">
        <v>38.948613135722916</v>
      </c>
      <c r="BF43" s="2336">
        <v>39.114377967578775</v>
      </c>
      <c r="BG43" s="2336">
        <v>39.258161738565043</v>
      </c>
      <c r="BH43" s="2336">
        <v>39.482663349301326</v>
      </c>
      <c r="BI43" s="2336">
        <v>39.637286987321978</v>
      </c>
      <c r="BJ43" s="2336">
        <v>39.845659868757551</v>
      </c>
      <c r="BK43" s="2336">
        <v>40.011062453903861</v>
      </c>
      <c r="BL43" s="2336">
        <v>40.23209379359475</v>
      </c>
      <c r="BM43" s="2336">
        <v>40.445025650918225</v>
      </c>
      <c r="BN43" s="2336">
        <v>40.641515398084188</v>
      </c>
      <c r="BO43" s="2336">
        <v>40.805118485804115</v>
      </c>
      <c r="BP43" s="2336">
        <v>40.999322517780243</v>
      </c>
      <c r="BQ43" s="2336">
        <v>41.16907234435125</v>
      </c>
      <c r="BR43" s="2336">
        <v>41.339871796813526</v>
      </c>
      <c r="BS43" s="2336">
        <v>41.491593325689927</v>
      </c>
      <c r="BT43" s="2336">
        <v>41.652633864090312</v>
      </c>
      <c r="BU43" s="2336">
        <v>41.7911481320671</v>
      </c>
      <c r="BV43" s="2336">
        <v>41.968556982846849</v>
      </c>
      <c r="BW43" s="2336">
        <v>42.137669047666911</v>
      </c>
      <c r="BX43" s="2336">
        <v>42.292957013139649</v>
      </c>
      <c r="BY43" s="2336">
        <v>42.452072820893157</v>
      </c>
      <c r="BZ43" s="2336">
        <v>42.607196222054462</v>
      </c>
      <c r="CA43" s="2336">
        <v>42.760649080224368</v>
      </c>
      <c r="CB43" s="2336">
        <v>42.921600739290248</v>
      </c>
      <c r="CC43" s="2336">
        <v>43.085347328768385</v>
      </c>
      <c r="CD43" s="2336">
        <v>43.259647351078186</v>
      </c>
      <c r="CE43" s="2336">
        <v>43.42363055673723</v>
      </c>
      <c r="CF43" s="2336">
        <v>43.590303487008725</v>
      </c>
      <c r="CG43" s="2336">
        <v>43.755880989021655</v>
      </c>
      <c r="CH43" s="2336">
        <v>43.920366926399488</v>
      </c>
      <c r="CI43" s="2336">
        <v>44.083765538471319</v>
      </c>
      <c r="CJ43" s="2336">
        <v>44.246081259321898</v>
      </c>
      <c r="CK43" s="2336">
        <v>44.407318501250124</v>
      </c>
      <c r="CL43" s="2336">
        <v>44.567481481849285</v>
      </c>
      <c r="CM43" s="2336">
        <v>44.726574105986529</v>
      </c>
      <c r="CN43" s="2336">
        <v>44.884599874661887</v>
      </c>
      <c r="CO43" s="2336">
        <v>45.041561825332529</v>
      </c>
      <c r="CP43" s="2336">
        <v>45.197462508064397</v>
      </c>
      <c r="CQ43" s="2336">
        <v>45.352304004261541</v>
      </c>
      <c r="CR43" s="2336">
        <v>45.506087943737334</v>
      </c>
      <c r="CS43" s="2336">
        <v>45.658822568934021</v>
      </c>
      <c r="CT43" s="2336">
        <v>45.810507486540182</v>
      </c>
      <c r="CU43" s="2336">
        <v>45.961142481435225</v>
      </c>
      <c r="CV43" s="2336">
        <v>46.110727512796501</v>
      </c>
      <c r="CW43" s="2336">
        <v>46.259262710261368</v>
      </c>
      <c r="CX43" s="2336">
        <v>46.406748370144619</v>
      </c>
      <c r="CY43" s="2336">
        <v>46.553184951709696</v>
      </c>
      <c r="CZ43" s="2336">
        <v>46.698573073496057</v>
      </c>
      <c r="DA43" s="2336">
        <v>46.842913509702306</v>
      </c>
      <c r="DB43" s="2336">
        <v>46.986207186623147</v>
      </c>
      <c r="DC43" s="2336">
        <v>47.128455179142541</v>
      </c>
      <c r="DD43" s="2336">
        <v>47.269658707281565</v>
      </c>
      <c r="DE43" s="2336">
        <v>47.40981913280163</v>
      </c>
      <c r="DF43" s="2336">
        <v>47.54893795586041</v>
      </c>
      <c r="DG43" s="2336">
        <v>47.687016811723723</v>
      </c>
      <c r="DH43" s="2336">
        <v>47.824057467529279</v>
      </c>
      <c r="DI43" s="2336">
        <v>47.960061819104524</v>
      </c>
      <c r="DJ43" s="2336">
        <v>48.095031887836512</v>
      </c>
      <c r="DK43" s="2344">
        <v>48.228969817592962</v>
      </c>
      <c r="DL43" s="2336">
        <v>48.361877871696088</v>
      </c>
      <c r="DM43" s="2336">
        <v>48.493758429944762</v>
      </c>
      <c r="DN43" s="2336">
        <v>48.62461398568896</v>
      </c>
      <c r="DO43" s="2336">
        <v>48.7544471429512</v>
      </c>
      <c r="DP43" s="2336">
        <v>48.883260613597749</v>
      </c>
      <c r="DQ43" s="2336">
        <v>49.011057214556672</v>
      </c>
      <c r="DR43" s="2336">
        <v>49.137839865082888</v>
      </c>
      <c r="DS43" s="2336">
        <v>49.263611584070425</v>
      </c>
      <c r="DT43" s="2336">
        <v>49.38837548740765</v>
      </c>
      <c r="DU43" s="2336">
        <v>49.512134785379324</v>
      </c>
    </row>
    <row r="44" spans="1:125" ht="14.25">
      <c r="A44" s="904">
        <v>42</v>
      </c>
      <c r="B44" s="92"/>
      <c r="C44" s="92"/>
      <c r="D44" s="92"/>
      <c r="E44" s="92"/>
      <c r="F44" s="92"/>
      <c r="G44" s="92"/>
      <c r="H44" s="92"/>
      <c r="I44" s="92"/>
      <c r="J44" s="92"/>
      <c r="K44" s="92"/>
      <c r="L44" s="92"/>
      <c r="M44" s="92"/>
      <c r="N44" s="92"/>
      <c r="O44" s="92"/>
      <c r="P44" s="92"/>
      <c r="Q44" s="92"/>
      <c r="R44" s="92"/>
      <c r="S44" s="92"/>
      <c r="T44" s="92"/>
      <c r="U44" s="92"/>
      <c r="V44" s="739"/>
      <c r="W44" s="2338">
        <v>32.71</v>
      </c>
      <c r="X44" s="2338">
        <v>32.94</v>
      </c>
      <c r="Y44" s="2336">
        <v>33.000784973084983</v>
      </c>
      <c r="Z44" s="2336">
        <v>33.237260448390359</v>
      </c>
      <c r="AA44" s="2336">
        <v>33.446576023346928</v>
      </c>
      <c r="AB44" s="2336">
        <v>33.59410219247723</v>
      </c>
      <c r="AC44" s="2336">
        <v>33.59079903300325</v>
      </c>
      <c r="AD44" s="2336">
        <v>33.536233073688692</v>
      </c>
      <c r="AE44" s="2336">
        <v>33.612208388962358</v>
      </c>
      <c r="AF44" s="2336">
        <v>33.828972206880245</v>
      </c>
      <c r="AG44" s="2336">
        <v>34.079050746879211</v>
      </c>
      <c r="AH44" s="2336">
        <v>34.377371061216536</v>
      </c>
      <c r="AI44" s="2336">
        <v>34.63680733547708</v>
      </c>
      <c r="AJ44" s="2336">
        <v>34.938291072857588</v>
      </c>
      <c r="AK44" s="2336">
        <v>35.236517967925927</v>
      </c>
      <c r="AL44" s="2336">
        <v>35.594042357425437</v>
      </c>
      <c r="AM44" s="2336">
        <v>35.920077092898978</v>
      </c>
      <c r="AN44" s="2336">
        <v>36.130520954218277</v>
      </c>
      <c r="AO44" s="2336">
        <v>36.277214491328678</v>
      </c>
      <c r="AP44" s="2336">
        <v>36.452628471530836</v>
      </c>
      <c r="AQ44" s="2336">
        <v>36.614342880727996</v>
      </c>
      <c r="AR44" s="2336">
        <v>36.83596450463061</v>
      </c>
      <c r="AS44" s="2336">
        <v>36.837855644726574</v>
      </c>
      <c r="AT44" s="2336">
        <v>36.882585138548116</v>
      </c>
      <c r="AU44" s="2336">
        <v>36.955700678621909</v>
      </c>
      <c r="AV44" s="2336">
        <v>37.011737432949715</v>
      </c>
      <c r="AW44" s="2336">
        <v>37.242405395890074</v>
      </c>
      <c r="AX44" s="2336">
        <v>37.352227299999129</v>
      </c>
      <c r="AY44" s="2336">
        <v>37.415284848207541</v>
      </c>
      <c r="AZ44" s="2336">
        <v>37.47721250437813</v>
      </c>
      <c r="BA44" s="2336">
        <v>37.518586033810493</v>
      </c>
      <c r="BB44" s="2336">
        <v>37.634352140302632</v>
      </c>
      <c r="BC44" s="2336">
        <v>37.739909890034767</v>
      </c>
      <c r="BD44" s="2336">
        <v>37.879112248300416</v>
      </c>
      <c r="BE44" s="2336">
        <v>38.0444706438157</v>
      </c>
      <c r="BF44" s="2336">
        <v>38.206911570414</v>
      </c>
      <c r="BG44" s="2336">
        <v>38.3477334214192</v>
      </c>
      <c r="BH44" s="2336">
        <v>38.571271062990846</v>
      </c>
      <c r="BI44" s="2336">
        <v>38.718946293330205</v>
      </c>
      <c r="BJ44" s="2336">
        <v>38.921505458586267</v>
      </c>
      <c r="BK44" s="2336">
        <v>39.089026464284373</v>
      </c>
      <c r="BL44" s="2336">
        <v>39.307859611078193</v>
      </c>
      <c r="BM44" s="2336">
        <v>39.514860983380061</v>
      </c>
      <c r="BN44" s="2336">
        <v>39.707276787183524</v>
      </c>
      <c r="BO44" s="2336">
        <v>39.871257474069765</v>
      </c>
      <c r="BP44" s="2336">
        <v>40.059454874964608</v>
      </c>
      <c r="BQ44" s="2336">
        <v>40.227205177502412</v>
      </c>
      <c r="BR44" s="2336">
        <v>40.398183031384434</v>
      </c>
      <c r="BS44" s="2336">
        <v>40.548975240418422</v>
      </c>
      <c r="BT44" s="2336">
        <v>40.708477784066766</v>
      </c>
      <c r="BU44" s="2336">
        <v>40.847495207820963</v>
      </c>
      <c r="BV44" s="2336">
        <v>41.022187340793138</v>
      </c>
      <c r="BW44" s="2336">
        <v>41.193450755740159</v>
      </c>
      <c r="BX44" s="2336">
        <v>41.347960823142557</v>
      </c>
      <c r="BY44" s="2336">
        <v>41.507072587017781</v>
      </c>
      <c r="BZ44" s="2336">
        <v>41.666813031697671</v>
      </c>
      <c r="CA44" s="2336">
        <v>41.818520415870111</v>
      </c>
      <c r="CB44" s="2336">
        <v>41.984962301401936</v>
      </c>
      <c r="CC44" s="2336">
        <v>42.147556824609225</v>
      </c>
      <c r="CD44" s="2336">
        <v>42.317881294772384</v>
      </c>
      <c r="CE44" s="2336">
        <v>42.48453595930274</v>
      </c>
      <c r="CF44" s="2336">
        <v>42.650109598399546</v>
      </c>
      <c r="CG44" s="2336">
        <v>42.814605324445296</v>
      </c>
      <c r="CH44" s="2336">
        <v>42.97802679678415</v>
      </c>
      <c r="CI44" s="2336">
        <v>43.140378050622679</v>
      </c>
      <c r="CJ44" s="2336">
        <v>43.301663315930753</v>
      </c>
      <c r="CK44" s="2336">
        <v>43.461886800733893</v>
      </c>
      <c r="CL44" s="2336">
        <v>43.621052518111419</v>
      </c>
      <c r="CM44" s="2336">
        <v>43.779164168180493</v>
      </c>
      <c r="CN44" s="2336">
        <v>43.936225047001905</v>
      </c>
      <c r="CO44" s="2336">
        <v>44.092237986992671</v>
      </c>
      <c r="CP44" s="2336">
        <v>44.247205333206225</v>
      </c>
      <c r="CQ44" s="2336">
        <v>44.40112896223139</v>
      </c>
      <c r="CR44" s="2336">
        <v>44.554018805150953</v>
      </c>
      <c r="CS44" s="2336">
        <v>44.705874088094419</v>
      </c>
      <c r="CT44" s="2336">
        <v>44.856694220618081</v>
      </c>
      <c r="CU44" s="2336">
        <v>45.006478791791253</v>
      </c>
      <c r="CV44" s="2336">
        <v>45.155227566333146</v>
      </c>
      <c r="CW44" s="2336">
        <v>45.302940480803528</v>
      </c>
      <c r="CX44" s="2336">
        <v>45.449617639847446</v>
      </c>
      <c r="CY44" s="2336">
        <v>45.595259312492544</v>
      </c>
      <c r="CZ44" s="2336">
        <v>45.739865928501338</v>
      </c>
      <c r="DA44" s="2336">
        <v>45.883438074777928</v>
      </c>
      <c r="DB44" s="2336">
        <v>46.025976491827443</v>
      </c>
      <c r="DC44" s="2336">
        <v>46.167482070270403</v>
      </c>
      <c r="DD44" s="2336">
        <v>46.307955847410703</v>
      </c>
      <c r="DE44" s="2336">
        <v>46.447399003857676</v>
      </c>
      <c r="DF44" s="2336">
        <v>46.585812860199766</v>
      </c>
      <c r="DG44" s="2336">
        <v>46.723198873733011</v>
      </c>
      <c r="DH44" s="2336">
        <v>46.859558635240333</v>
      </c>
      <c r="DI44" s="2336">
        <v>46.994893865823677</v>
      </c>
      <c r="DJ44" s="2336">
        <v>47.129206413787252</v>
      </c>
      <c r="DK44" s="2344">
        <v>47.26249825157079</v>
      </c>
      <c r="DL44" s="2336">
        <v>47.394771472734597</v>
      </c>
      <c r="DM44" s="2336">
        <v>47.526028288991881</v>
      </c>
      <c r="DN44" s="2336">
        <v>47.656271027292384</v>
      </c>
      <c r="DO44" s="2336">
        <v>47.785502126952004</v>
      </c>
      <c r="DP44" s="2336">
        <v>47.913724136831263</v>
      </c>
      <c r="DQ44" s="2336">
        <v>48.04093971255962</v>
      </c>
      <c r="DR44" s="2336">
        <v>48.167151613806034</v>
      </c>
      <c r="DS44" s="2336">
        <v>48.292362701595586</v>
      </c>
      <c r="DT44" s="2336">
        <v>48.416575935668469</v>
      </c>
      <c r="DU44" s="2336">
        <v>48.539794371884803</v>
      </c>
    </row>
    <row r="45" spans="1:125" ht="14.25">
      <c r="A45" s="904">
        <v>43</v>
      </c>
      <c r="B45" s="92"/>
      <c r="C45" s="92"/>
      <c r="D45" s="92"/>
      <c r="E45" s="92"/>
      <c r="F45" s="92"/>
      <c r="G45" s="92"/>
      <c r="H45" s="92"/>
      <c r="I45" s="92"/>
      <c r="J45" s="92"/>
      <c r="K45" s="92"/>
      <c r="L45" s="92"/>
      <c r="M45" s="92"/>
      <c r="N45" s="92"/>
      <c r="O45" s="92"/>
      <c r="P45" s="92"/>
      <c r="Q45" s="92"/>
      <c r="R45" s="92"/>
      <c r="S45" s="92"/>
      <c r="T45" s="92"/>
      <c r="U45" s="92"/>
      <c r="V45" s="739"/>
      <c r="W45" s="2338">
        <v>31.82</v>
      </c>
      <c r="X45" s="2338">
        <v>32.049999999999997</v>
      </c>
      <c r="Y45" s="2336">
        <v>32.114918285891399</v>
      </c>
      <c r="Z45" s="2336">
        <v>32.35376597872613</v>
      </c>
      <c r="AA45" s="2336">
        <v>32.555068676273791</v>
      </c>
      <c r="AB45" s="2336">
        <v>32.704454613084103</v>
      </c>
      <c r="AC45" s="2336">
        <v>32.714179429238364</v>
      </c>
      <c r="AD45" s="2336">
        <v>32.65981242051069</v>
      </c>
      <c r="AE45" s="2336">
        <v>32.740006573748843</v>
      </c>
      <c r="AF45" s="2336">
        <v>32.954018639424163</v>
      </c>
      <c r="AG45" s="2336">
        <v>33.201531666501225</v>
      </c>
      <c r="AH45" s="2336">
        <v>33.502247324491414</v>
      </c>
      <c r="AI45" s="2336">
        <v>33.763880074099909</v>
      </c>
      <c r="AJ45" s="2336">
        <v>34.063115039272212</v>
      </c>
      <c r="AK45" s="2336">
        <v>34.357612030354034</v>
      </c>
      <c r="AL45" s="2336">
        <v>34.714530151116108</v>
      </c>
      <c r="AM45" s="2336">
        <v>35.041484306449973</v>
      </c>
      <c r="AN45" s="2336">
        <v>35.252036717752716</v>
      </c>
      <c r="AO45" s="2336">
        <v>35.398392326043407</v>
      </c>
      <c r="AP45" s="2336">
        <v>35.569905085694849</v>
      </c>
      <c r="AQ45" s="2336">
        <v>35.723961724789476</v>
      </c>
      <c r="AR45" s="2336">
        <v>35.94023368365125</v>
      </c>
      <c r="AS45" s="2336">
        <v>35.942857775213156</v>
      </c>
      <c r="AT45" s="2336">
        <v>35.987638379618453</v>
      </c>
      <c r="AU45" s="2336">
        <v>36.056174892863076</v>
      </c>
      <c r="AV45" s="2336">
        <v>36.11674410654259</v>
      </c>
      <c r="AW45" s="2336">
        <v>36.35010620243316</v>
      </c>
      <c r="AX45" s="2336">
        <v>36.457707914054787</v>
      </c>
      <c r="AY45" s="2336">
        <v>36.521608604085323</v>
      </c>
      <c r="AZ45" s="2336">
        <v>36.580821514212467</v>
      </c>
      <c r="BA45" s="2336">
        <v>36.630072711377878</v>
      </c>
      <c r="BB45" s="2336">
        <v>36.742627985139983</v>
      </c>
      <c r="BC45" s="2336">
        <v>36.852898877221364</v>
      </c>
      <c r="BD45" s="2336">
        <v>36.982979224320601</v>
      </c>
      <c r="BE45" s="2336">
        <v>37.145872766868727</v>
      </c>
      <c r="BF45" s="2336">
        <v>37.304977753547497</v>
      </c>
      <c r="BG45" s="2336">
        <v>37.441848696713613</v>
      </c>
      <c r="BH45" s="2336">
        <v>37.661278884838687</v>
      </c>
      <c r="BI45" s="2336">
        <v>37.806847302259328</v>
      </c>
      <c r="BJ45" s="2336">
        <v>38.009206440936438</v>
      </c>
      <c r="BK45" s="2336">
        <v>38.173025803767665</v>
      </c>
      <c r="BL45" s="2336">
        <v>38.38618633499236</v>
      </c>
      <c r="BM45" s="2336">
        <v>38.588340789899874</v>
      </c>
      <c r="BN45" s="2336">
        <v>38.777532761502719</v>
      </c>
      <c r="BO45" s="2336">
        <v>38.938761204040205</v>
      </c>
      <c r="BP45" s="2336">
        <v>39.120272384315747</v>
      </c>
      <c r="BQ45" s="2336">
        <v>39.288239908505332</v>
      </c>
      <c r="BR45" s="2336">
        <v>39.461567818138029</v>
      </c>
      <c r="BS45" s="2336">
        <v>39.610168266910698</v>
      </c>
      <c r="BT45" s="2336">
        <v>39.768183245583877</v>
      </c>
      <c r="BU45" s="2336">
        <v>39.906862222978788</v>
      </c>
      <c r="BV45" s="2336">
        <v>40.085038448890089</v>
      </c>
      <c r="BW45" s="2336">
        <v>40.252502350255853</v>
      </c>
      <c r="BX45" s="2336">
        <v>40.406375031764831</v>
      </c>
      <c r="BY45" s="2336">
        <v>40.565331921879249</v>
      </c>
      <c r="BZ45" s="2336">
        <v>40.724743552791082</v>
      </c>
      <c r="CA45" s="2336">
        <v>40.875319371136769</v>
      </c>
      <c r="CB45" s="2336">
        <v>41.04659518580231</v>
      </c>
      <c r="CC45" s="2336">
        <v>41.215647108453936</v>
      </c>
      <c r="CD45" s="2336">
        <v>41.382231381166726</v>
      </c>
      <c r="CE45" s="2336">
        <v>41.547749953441809</v>
      </c>
      <c r="CF45" s="2336">
        <v>41.712205031164849</v>
      </c>
      <c r="CG45" s="2336">
        <v>41.875599536225543</v>
      </c>
      <c r="CH45" s="2336">
        <v>42.037936937419246</v>
      </c>
      <c r="CI45" s="2336">
        <v>42.19922107917408</v>
      </c>
      <c r="CJ45" s="2336">
        <v>42.359456000294053</v>
      </c>
      <c r="CK45" s="2336">
        <v>42.518645717075707</v>
      </c>
      <c r="CL45" s="2336">
        <v>42.676794050219414</v>
      </c>
      <c r="CM45" s="2336">
        <v>42.833904506818989</v>
      </c>
      <c r="CN45" s="2336">
        <v>42.989980189317933</v>
      </c>
      <c r="CO45" s="2336">
        <v>43.145023736016903</v>
      </c>
      <c r="CP45" s="2336">
        <v>43.2990372974918</v>
      </c>
      <c r="CQ45" s="2336">
        <v>43.452033071923111</v>
      </c>
      <c r="CR45" s="2336">
        <v>43.604009909245079</v>
      </c>
      <c r="CS45" s="2336">
        <v>43.754966847730344</v>
      </c>
      <c r="CT45" s="2336">
        <v>43.904903110059834</v>
      </c>
      <c r="CU45" s="2336">
        <v>44.05381809944533</v>
      </c>
      <c r="CV45" s="2336">
        <v>44.201711395801446</v>
      </c>
      <c r="CW45" s="2336">
        <v>44.348582751970149</v>
      </c>
      <c r="CX45" s="2336">
        <v>44.494432089998114</v>
      </c>
      <c r="CY45" s="2336">
        <v>44.639259497465396</v>
      </c>
      <c r="CZ45" s="2336">
        <v>44.78306522386783</v>
      </c>
      <c r="DA45" s="2336">
        <v>44.925849677052639</v>
      </c>
      <c r="DB45" s="2336">
        <v>45.067613419705573</v>
      </c>
      <c r="DC45" s="2336">
        <v>45.20835716589167</v>
      </c>
      <c r="DD45" s="2336">
        <v>45.348081777648495</v>
      </c>
      <c r="DE45" s="2336">
        <v>45.486788261632242</v>
      </c>
      <c r="DF45" s="2336">
        <v>45.624477765814262</v>
      </c>
      <c r="DG45" s="2336">
        <v>45.761151576231185</v>
      </c>
      <c r="DH45" s="2336">
        <v>45.896811113784764</v>
      </c>
      <c r="DI45" s="2336">
        <v>46.031457931093392</v>
      </c>
      <c r="DJ45" s="2336">
        <v>46.165093709393553</v>
      </c>
      <c r="DK45" s="2344">
        <v>46.297720255490276</v>
      </c>
      <c r="DL45" s="2336">
        <v>46.42933949875821</v>
      </c>
      <c r="DM45" s="2336">
        <v>46.55995348818896</v>
      </c>
      <c r="DN45" s="2336">
        <v>46.689564389488609</v>
      </c>
      <c r="DO45" s="2336">
        <v>46.818174482220329</v>
      </c>
      <c r="DP45" s="2336">
        <v>46.945786156994679</v>
      </c>
      <c r="DQ45" s="2336">
        <v>47.072401912704855</v>
      </c>
      <c r="DR45" s="2336">
        <v>47.198024353807185</v>
      </c>
      <c r="DS45" s="2336">
        <v>47.322656187646785</v>
      </c>
      <c r="DT45" s="2336">
        <v>47.4463002218246</v>
      </c>
      <c r="DU45" s="2336">
        <v>47.568959361609387</v>
      </c>
    </row>
    <row r="46" spans="1:125" ht="14.25">
      <c r="A46" s="904">
        <v>44</v>
      </c>
      <c r="B46" s="92"/>
      <c r="C46" s="92"/>
      <c r="D46" s="92"/>
      <c r="E46" s="92"/>
      <c r="F46" s="92"/>
      <c r="G46" s="92"/>
      <c r="H46" s="92"/>
      <c r="I46" s="92"/>
      <c r="J46" s="92"/>
      <c r="K46" s="92"/>
      <c r="L46" s="92"/>
      <c r="M46" s="92"/>
      <c r="N46" s="92"/>
      <c r="O46" s="92"/>
      <c r="P46" s="92"/>
      <c r="Q46" s="92"/>
      <c r="R46" s="92"/>
      <c r="S46" s="92"/>
      <c r="T46" s="92"/>
      <c r="U46" s="92"/>
      <c r="V46" s="739"/>
      <c r="W46" s="2338">
        <v>30.93</v>
      </c>
      <c r="X46" s="2338">
        <v>31.16</v>
      </c>
      <c r="Y46" s="2336">
        <v>31.237662767476188</v>
      </c>
      <c r="Z46" s="2336">
        <v>31.477693424400183</v>
      </c>
      <c r="AA46" s="2336">
        <v>31.679106480616419</v>
      </c>
      <c r="AB46" s="2336">
        <v>31.831703371657156</v>
      </c>
      <c r="AC46" s="2336">
        <v>31.840147948263315</v>
      </c>
      <c r="AD46" s="2336">
        <v>31.791466115932895</v>
      </c>
      <c r="AE46" s="2336">
        <v>31.866253948431567</v>
      </c>
      <c r="AF46" s="2336">
        <v>32.080726103797929</v>
      </c>
      <c r="AG46" s="2336">
        <v>32.343023377723675</v>
      </c>
      <c r="AH46" s="2336">
        <v>32.639883496772548</v>
      </c>
      <c r="AI46" s="2336">
        <v>32.894223867390693</v>
      </c>
      <c r="AJ46" s="2336">
        <v>33.197145796223808</v>
      </c>
      <c r="AK46" s="2336">
        <v>33.491087984427132</v>
      </c>
      <c r="AL46" s="2336">
        <v>33.846723976471907</v>
      </c>
      <c r="AM46" s="2336">
        <v>34.169625935052593</v>
      </c>
      <c r="AN46" s="2336">
        <v>34.375897921650584</v>
      </c>
      <c r="AO46" s="2336">
        <v>34.522121742700406</v>
      </c>
      <c r="AP46" s="2336">
        <v>34.686284584306527</v>
      </c>
      <c r="AQ46" s="2336">
        <v>34.841504395795738</v>
      </c>
      <c r="AR46" s="2336">
        <v>35.059790575745716</v>
      </c>
      <c r="AS46" s="2336">
        <v>35.053222253457712</v>
      </c>
      <c r="AT46" s="2336">
        <v>35.094116385390173</v>
      </c>
      <c r="AU46" s="2336">
        <v>35.161321084055658</v>
      </c>
      <c r="AV46" s="2336">
        <v>35.229282104920777</v>
      </c>
      <c r="AW46" s="2336">
        <v>35.463375988828389</v>
      </c>
      <c r="AX46" s="2336">
        <v>35.574137599910514</v>
      </c>
      <c r="AY46" s="2336">
        <v>35.636194060532318</v>
      </c>
      <c r="AZ46" s="2336">
        <v>35.688082707896072</v>
      </c>
      <c r="BA46" s="2336">
        <v>35.746085334304247</v>
      </c>
      <c r="BB46" s="2336">
        <v>35.855540179670228</v>
      </c>
      <c r="BC46" s="2336">
        <v>35.964638947779903</v>
      </c>
      <c r="BD46" s="2336">
        <v>36.08912623507419</v>
      </c>
      <c r="BE46" s="2336">
        <v>36.249981616865803</v>
      </c>
      <c r="BF46" s="2336">
        <v>36.406264344510731</v>
      </c>
      <c r="BG46" s="2336">
        <v>36.540490178981415</v>
      </c>
      <c r="BH46" s="2336">
        <v>36.756112762929106</v>
      </c>
      <c r="BI46" s="2336">
        <v>36.902761599846357</v>
      </c>
      <c r="BJ46" s="2336">
        <v>37.098714085944607</v>
      </c>
      <c r="BK46" s="2336">
        <v>37.260322301807498</v>
      </c>
      <c r="BL46" s="2336">
        <v>37.467449627552085</v>
      </c>
      <c r="BM46" s="2336">
        <v>37.668792770270521</v>
      </c>
      <c r="BN46" s="2336">
        <v>37.852757011045185</v>
      </c>
      <c r="BO46" s="2336">
        <v>38.010435569751721</v>
      </c>
      <c r="BP46" s="2336">
        <v>38.190567107972029</v>
      </c>
      <c r="BQ46" s="2336">
        <v>38.35723403793228</v>
      </c>
      <c r="BR46" s="2336">
        <v>38.528742782672559</v>
      </c>
      <c r="BS46" s="2336">
        <v>38.673867197286171</v>
      </c>
      <c r="BT46" s="2336">
        <v>38.833224519088084</v>
      </c>
      <c r="BU46" s="2336">
        <v>38.975787010401476</v>
      </c>
      <c r="BV46" s="2336">
        <v>39.148144068197517</v>
      </c>
      <c r="BW46" s="2336">
        <v>39.314097038976605</v>
      </c>
      <c r="BX46" s="2336">
        <v>39.467682309641503</v>
      </c>
      <c r="BY46" s="2336">
        <v>39.629155527780974</v>
      </c>
      <c r="BZ46" s="2336">
        <v>39.788156723636824</v>
      </c>
      <c r="CA46" s="2336">
        <v>39.946156898998893</v>
      </c>
      <c r="CB46" s="2336">
        <v>40.117336755081595</v>
      </c>
      <c r="CC46" s="2336">
        <v>40.28379295981668</v>
      </c>
      <c r="CD46" s="2336">
        <v>40.44919989287461</v>
      </c>
      <c r="CE46" s="2336">
        <v>40.613558714656016</v>
      </c>
      <c r="CF46" s="2336">
        <v>40.776871453917195</v>
      </c>
      <c r="CG46" s="2336">
        <v>40.939140855210553</v>
      </c>
      <c r="CH46" s="2336">
        <v>41.100370209571352</v>
      </c>
      <c r="CI46" s="2336">
        <v>41.260563183060093</v>
      </c>
      <c r="CJ46" s="2336">
        <v>41.41972363533781</v>
      </c>
      <c r="CK46" s="2336">
        <v>41.57785540259524</v>
      </c>
      <c r="CL46" s="2336">
        <v>41.734962124371592</v>
      </c>
      <c r="CM46" s="2336">
        <v>41.89104712555006</v>
      </c>
      <c r="CN46" s="2336">
        <v>42.046113325368125</v>
      </c>
      <c r="CO46" s="2336">
        <v>42.200163178026528</v>
      </c>
      <c r="CP46" s="2336">
        <v>42.353211733874247</v>
      </c>
      <c r="CQ46" s="2336">
        <v>42.505257471388539</v>
      </c>
      <c r="CR46" s="2336">
        <v>42.656299061959025</v>
      </c>
      <c r="CS46" s="2336">
        <v>42.806335365952584</v>
      </c>
      <c r="CT46" s="2336">
        <v>42.955365428825942</v>
      </c>
      <c r="CU46" s="2336">
        <v>43.103388477289734</v>
      </c>
      <c r="CV46" s="2336">
        <v>43.250403915520678</v>
      </c>
      <c r="CW46" s="2336">
        <v>43.396411321425148</v>
      </c>
      <c r="CX46" s="2336">
        <v>43.541410442954202</v>
      </c>
      <c r="CY46" s="2336">
        <v>43.685401194468817</v>
      </c>
      <c r="CZ46" s="2336">
        <v>43.828383653157445</v>
      </c>
      <c r="DA46" s="2336">
        <v>43.970358055505656</v>
      </c>
      <c r="DB46" s="2336">
        <v>44.111324793816003</v>
      </c>
      <c r="DC46" s="2336">
        <v>44.251284412780258</v>
      </c>
      <c r="DD46" s="2336">
        <v>44.3902376061029</v>
      </c>
      <c r="DE46" s="2336">
        <v>44.5281852131763</v>
      </c>
      <c r="DF46" s="2336">
        <v>44.665128215804984</v>
      </c>
      <c r="DG46" s="2336">
        <v>44.801067734982411</v>
      </c>
      <c r="DH46" s="2336">
        <v>44.936005027716185</v>
      </c>
      <c r="DI46" s="2336">
        <v>45.069941483903875</v>
      </c>
      <c r="DJ46" s="2336">
        <v>45.202878623257462</v>
      </c>
      <c r="DK46" s="2344">
        <v>45.334818092275711</v>
      </c>
      <c r="DL46" s="2336">
        <v>45.465761661266093</v>
      </c>
      <c r="DM46" s="2336">
        <v>45.595711221411733</v>
      </c>
      <c r="DN46" s="2336">
        <v>45.724668781887502</v>
      </c>
      <c r="DO46" s="2336">
        <v>45.852636467020147</v>
      </c>
      <c r="DP46" s="2336">
        <v>45.97961651349501</v>
      </c>
      <c r="DQ46" s="2336">
        <v>46.105611267606669</v>
      </c>
      <c r="DR46" s="2336">
        <v>46.230623182553806</v>
      </c>
      <c r="DS46" s="2336">
        <v>46.354654815778225</v>
      </c>
      <c r="DT46" s="2336">
        <v>46.477708826344355</v>
      </c>
      <c r="DU46" s="2336">
        <v>46.599787972362584</v>
      </c>
    </row>
    <row r="47" spans="1:125" ht="14.25">
      <c r="A47" s="904">
        <v>45</v>
      </c>
      <c r="B47" s="92"/>
      <c r="C47" s="92"/>
      <c r="D47" s="92"/>
      <c r="E47" s="92"/>
      <c r="F47" s="92"/>
      <c r="G47" s="92"/>
      <c r="H47" s="92"/>
      <c r="I47" s="92"/>
      <c r="J47" s="92"/>
      <c r="K47" s="92"/>
      <c r="L47" s="92"/>
      <c r="M47" s="92"/>
      <c r="N47" s="92"/>
      <c r="O47" s="92"/>
      <c r="P47" s="92"/>
      <c r="Q47" s="92"/>
      <c r="R47" s="92"/>
      <c r="S47" s="92"/>
      <c r="T47" s="92"/>
      <c r="U47" s="92"/>
      <c r="V47" s="739"/>
      <c r="W47" s="2338">
        <v>30.06</v>
      </c>
      <c r="X47" s="2338">
        <v>30.29</v>
      </c>
      <c r="Y47" s="2336">
        <v>30.368459938371021</v>
      </c>
      <c r="Z47" s="2336">
        <v>30.608985304511499</v>
      </c>
      <c r="AA47" s="2336">
        <v>30.814563309196121</v>
      </c>
      <c r="AB47" s="2336">
        <v>30.962987207195017</v>
      </c>
      <c r="AC47" s="2336">
        <v>30.975176773125561</v>
      </c>
      <c r="AD47" s="2336">
        <v>30.932026234061428</v>
      </c>
      <c r="AE47" s="2336">
        <v>31.006149264413519</v>
      </c>
      <c r="AF47" s="2336">
        <v>31.218223253678623</v>
      </c>
      <c r="AG47" s="2336">
        <v>31.487974090710246</v>
      </c>
      <c r="AH47" s="2336">
        <v>31.780575573913332</v>
      </c>
      <c r="AI47" s="2336">
        <v>32.031737961919134</v>
      </c>
      <c r="AJ47" s="2336">
        <v>32.340364852416442</v>
      </c>
      <c r="AK47" s="2336">
        <v>32.627324464153524</v>
      </c>
      <c r="AL47" s="2336">
        <v>32.988715717885526</v>
      </c>
      <c r="AM47" s="2336">
        <v>33.304946366496708</v>
      </c>
      <c r="AN47" s="2336">
        <v>33.51173749952715</v>
      </c>
      <c r="AO47" s="2336">
        <v>33.648954206020832</v>
      </c>
      <c r="AP47" s="2336">
        <v>33.808011323733588</v>
      </c>
      <c r="AQ47" s="2336">
        <v>33.960589765069024</v>
      </c>
      <c r="AR47" s="2336">
        <v>34.177247333922402</v>
      </c>
      <c r="AS47" s="2336">
        <v>34.170458390771849</v>
      </c>
      <c r="AT47" s="2336">
        <v>34.214763796900762</v>
      </c>
      <c r="AU47" s="2336">
        <v>34.280073313292014</v>
      </c>
      <c r="AV47" s="2336">
        <v>34.346999839452437</v>
      </c>
      <c r="AW47" s="2336">
        <v>34.585122765533882</v>
      </c>
      <c r="AX47" s="2336">
        <v>34.690820827645616</v>
      </c>
      <c r="AY47" s="2336">
        <v>34.756244487100282</v>
      </c>
      <c r="AZ47" s="2336">
        <v>34.809874222533281</v>
      </c>
      <c r="BA47" s="2336">
        <v>34.868744950102545</v>
      </c>
      <c r="BB47" s="2336">
        <v>34.97132898116898</v>
      </c>
      <c r="BC47" s="2336">
        <v>35.075632464818973</v>
      </c>
      <c r="BD47" s="2336">
        <v>35.196281188283734</v>
      </c>
      <c r="BE47" s="2336">
        <v>35.357999442164768</v>
      </c>
      <c r="BF47" s="2336">
        <v>35.511988125713223</v>
      </c>
      <c r="BG47" s="2336">
        <v>35.640610187513076</v>
      </c>
      <c r="BH47" s="2336">
        <v>35.856717075391401</v>
      </c>
      <c r="BI47" s="2336">
        <v>35.996141874090682</v>
      </c>
      <c r="BJ47" s="2336">
        <v>36.194366205759863</v>
      </c>
      <c r="BK47" s="2336">
        <v>36.350167105943477</v>
      </c>
      <c r="BL47" s="2336">
        <v>36.555173805355736</v>
      </c>
      <c r="BM47" s="2336">
        <v>36.748982833190958</v>
      </c>
      <c r="BN47" s="2336">
        <v>36.930435906108137</v>
      </c>
      <c r="BO47" s="2336">
        <v>37.086032786496617</v>
      </c>
      <c r="BP47" s="2336">
        <v>37.265110819527706</v>
      </c>
      <c r="BQ47" s="2336">
        <v>37.432852537236229</v>
      </c>
      <c r="BR47" s="2336">
        <v>37.600156457782951</v>
      </c>
      <c r="BS47" s="2336">
        <v>37.741088389872267</v>
      </c>
      <c r="BT47" s="2336">
        <v>37.900823814169442</v>
      </c>
      <c r="BU47" s="2336">
        <v>38.047156788984921</v>
      </c>
      <c r="BV47" s="2336">
        <v>38.217665939391715</v>
      </c>
      <c r="BW47" s="2336">
        <v>38.383367367781425</v>
      </c>
      <c r="BX47" s="2336">
        <v>38.534206183581539</v>
      </c>
      <c r="BY47" s="2336">
        <v>38.694665547749409</v>
      </c>
      <c r="BZ47" s="2336">
        <v>38.859846200059067</v>
      </c>
      <c r="CA47" s="2336">
        <v>39.023577974389845</v>
      </c>
      <c r="CB47" s="2336">
        <v>39.189839433248977</v>
      </c>
      <c r="CC47" s="2336">
        <v>39.355069352596082</v>
      </c>
      <c r="CD47" s="2336">
        <v>39.519267730823479</v>
      </c>
      <c r="CE47" s="2336">
        <v>39.682435563884255</v>
      </c>
      <c r="CF47" s="2336">
        <v>39.844574715768587</v>
      </c>
      <c r="CG47" s="2336">
        <v>40.005687765706178</v>
      </c>
      <c r="CH47" s="2336">
        <v>40.165777838622787</v>
      </c>
      <c r="CI47" s="2336">
        <v>40.324848433484377</v>
      </c>
      <c r="CJ47" s="2336">
        <v>40.482903241692213</v>
      </c>
      <c r="CK47" s="2336">
        <v>40.639945929810409</v>
      </c>
      <c r="CL47" s="2336">
        <v>40.795979966284904</v>
      </c>
      <c r="CM47" s="2336">
        <v>40.95100850344479</v>
      </c>
      <c r="CN47" s="2336">
        <v>41.105034286570273</v>
      </c>
      <c r="CO47" s="2336">
        <v>41.258075812912857</v>
      </c>
      <c r="CP47" s="2336">
        <v>41.410131194257325</v>
      </c>
      <c r="CQ47" s="2336">
        <v>41.561198739525892</v>
      </c>
      <c r="CR47" s="2336">
        <v>41.711276950845921</v>
      </c>
      <c r="CS47" s="2336">
        <v>41.860364519663889</v>
      </c>
      <c r="CT47" s="2336">
        <v>42.00846032290584</v>
      </c>
      <c r="CU47" s="2336">
        <v>42.155563419188006</v>
      </c>
      <c r="CV47" s="2336">
        <v>42.301673045074402</v>
      </c>
      <c r="CW47" s="2336">
        <v>42.446788611384513</v>
      </c>
      <c r="CX47" s="2336">
        <v>42.590909699551204</v>
      </c>
      <c r="CY47" s="2336">
        <v>42.734036058027549</v>
      </c>
      <c r="CZ47" s="2336">
        <v>42.876167598744722</v>
      </c>
      <c r="DA47" s="2336">
        <v>43.017304393620755</v>
      </c>
      <c r="DB47" s="2336">
        <v>43.157446671118151</v>
      </c>
      <c r="DC47" s="2336">
        <v>43.296594812852675</v>
      </c>
      <c r="DD47" s="2336">
        <v>43.43474935025214</v>
      </c>
      <c r="DE47" s="2336">
        <v>43.571910961265559</v>
      </c>
      <c r="DF47" s="2336">
        <v>43.708080467120205</v>
      </c>
      <c r="DG47" s="2336">
        <v>43.843258829129908</v>
      </c>
      <c r="DH47" s="2336">
        <v>43.977447145550563</v>
      </c>
      <c r="DI47" s="2336">
        <v>44.11064664848498</v>
      </c>
      <c r="DJ47" s="2336">
        <v>44.242858700835249</v>
      </c>
      <c r="DK47" s="2344">
        <v>44.374084793301769</v>
      </c>
      <c r="DL47" s="2336">
        <v>44.504326541430636</v>
      </c>
      <c r="DM47" s="2336">
        <v>44.633585682704918</v>
      </c>
      <c r="DN47" s="2336">
        <v>44.761864073684002</v>
      </c>
      <c r="DO47" s="2336">
        <v>44.889163687185665</v>
      </c>
      <c r="DP47" s="2336">
        <v>45.0154866095138</v>
      </c>
      <c r="DQ47" s="2336">
        <v>45.140835037728934</v>
      </c>
      <c r="DR47" s="2336">
        <v>45.265211276961764</v>
      </c>
      <c r="DS47" s="2336">
        <v>45.388617737769991</v>
      </c>
      <c r="DT47" s="2336">
        <v>45.511056933534491</v>
      </c>
      <c r="DU47" s="2336">
        <v>45.632531477898283</v>
      </c>
    </row>
    <row r="48" spans="1:125" ht="14.25">
      <c r="A48" s="904">
        <v>46</v>
      </c>
      <c r="B48" s="92"/>
      <c r="C48" s="92"/>
      <c r="D48" s="92"/>
      <c r="E48" s="92"/>
      <c r="F48" s="92"/>
      <c r="G48" s="92"/>
      <c r="H48" s="92"/>
      <c r="I48" s="92"/>
      <c r="J48" s="92"/>
      <c r="K48" s="92"/>
      <c r="L48" s="92"/>
      <c r="M48" s="92"/>
      <c r="N48" s="92"/>
      <c r="O48" s="92"/>
      <c r="P48" s="92"/>
      <c r="Q48" s="92"/>
      <c r="R48" s="92"/>
      <c r="S48" s="92"/>
      <c r="T48" s="92"/>
      <c r="U48" s="92"/>
      <c r="V48" s="739"/>
      <c r="W48" s="2338">
        <v>29.19</v>
      </c>
      <c r="X48" s="2338">
        <v>29.43</v>
      </c>
      <c r="Y48" s="2336">
        <v>29.505728112332655</v>
      </c>
      <c r="Z48" s="2336">
        <v>29.752889645307732</v>
      </c>
      <c r="AA48" s="2336">
        <v>29.954914346987668</v>
      </c>
      <c r="AB48" s="2336">
        <v>30.109602432502886</v>
      </c>
      <c r="AC48" s="2336">
        <v>30.121383586681628</v>
      </c>
      <c r="AD48" s="2336">
        <v>30.07294905552418</v>
      </c>
      <c r="AE48" s="2336">
        <v>30.159851249419404</v>
      </c>
      <c r="AF48" s="2336">
        <v>30.373574677819018</v>
      </c>
      <c r="AG48" s="2336">
        <v>30.640227614877052</v>
      </c>
      <c r="AH48" s="2336">
        <v>30.931163259040343</v>
      </c>
      <c r="AI48" s="2336">
        <v>31.185604960171755</v>
      </c>
      <c r="AJ48" s="2336">
        <v>31.491103111768307</v>
      </c>
      <c r="AK48" s="2336">
        <v>31.77871284865471</v>
      </c>
      <c r="AL48" s="2336">
        <v>32.135977744160904</v>
      </c>
      <c r="AM48" s="2336">
        <v>32.443847459674686</v>
      </c>
      <c r="AN48" s="2336">
        <v>32.64981281902535</v>
      </c>
      <c r="AO48" s="2336">
        <v>32.787067212089326</v>
      </c>
      <c r="AP48" s="2336">
        <v>32.942512961834403</v>
      </c>
      <c r="AQ48" s="2336">
        <v>33.090213003222622</v>
      </c>
      <c r="AR48" s="2336">
        <v>33.30003887265017</v>
      </c>
      <c r="AS48" s="2336">
        <v>33.297605633497106</v>
      </c>
      <c r="AT48" s="2336">
        <v>33.340146159265785</v>
      </c>
      <c r="AU48" s="2336">
        <v>33.412969423156724</v>
      </c>
      <c r="AV48" s="2336">
        <v>33.481924823693447</v>
      </c>
      <c r="AW48" s="2336">
        <v>33.70749499518017</v>
      </c>
      <c r="AX48" s="2336">
        <v>33.817139854055618</v>
      </c>
      <c r="AY48" s="2336">
        <v>33.881053736781965</v>
      </c>
      <c r="AZ48" s="2336">
        <v>33.935179442433515</v>
      </c>
      <c r="BA48" s="2336">
        <v>33.994677490052773</v>
      </c>
      <c r="BB48" s="2336">
        <v>34.092390474490927</v>
      </c>
      <c r="BC48" s="2336">
        <v>34.193196514112941</v>
      </c>
      <c r="BD48" s="2336">
        <v>34.313167093861502</v>
      </c>
      <c r="BE48" s="2336">
        <v>34.469485736675395</v>
      </c>
      <c r="BF48" s="2336">
        <v>34.62581971699575</v>
      </c>
      <c r="BG48" s="2336">
        <v>34.755648582252157</v>
      </c>
      <c r="BH48" s="2336">
        <v>34.961607977661785</v>
      </c>
      <c r="BI48" s="2336">
        <v>35.096453381980979</v>
      </c>
      <c r="BJ48" s="2336">
        <v>35.288379154217779</v>
      </c>
      <c r="BK48" s="2336">
        <v>35.443270458913098</v>
      </c>
      <c r="BL48" s="2336">
        <v>35.643868079051998</v>
      </c>
      <c r="BM48" s="2336">
        <v>35.835599104427324</v>
      </c>
      <c r="BN48" s="2336">
        <v>36.013712583902326</v>
      </c>
      <c r="BO48" s="2336">
        <v>36.167118542814833</v>
      </c>
      <c r="BP48" s="2336">
        <v>36.345924124515072</v>
      </c>
      <c r="BQ48" s="2336">
        <v>36.512121121901423</v>
      </c>
      <c r="BR48" s="2336">
        <v>36.675446126817903</v>
      </c>
      <c r="BS48" s="2336">
        <v>36.819723625431301</v>
      </c>
      <c r="BT48" s="2336">
        <v>36.976609510399577</v>
      </c>
      <c r="BU48" s="2336">
        <v>37.123302263978005</v>
      </c>
      <c r="BV48" s="2336">
        <v>37.290973436146288</v>
      </c>
      <c r="BW48" s="2336">
        <v>37.453362569066584</v>
      </c>
      <c r="BX48" s="2336">
        <v>37.606135031160953</v>
      </c>
      <c r="BY48" s="2336">
        <v>37.769381696047645</v>
      </c>
      <c r="BZ48" s="2336">
        <v>37.935195908519034</v>
      </c>
      <c r="CA48" s="2336">
        <v>38.101184108270282</v>
      </c>
      <c r="CB48" s="2336">
        <v>38.266160044620463</v>
      </c>
      <c r="CC48" s="2336">
        <v>38.430122422400068</v>
      </c>
      <c r="CD48" s="2336">
        <v>38.593071087543024</v>
      </c>
      <c r="CE48" s="2336">
        <v>38.75500688314343</v>
      </c>
      <c r="CF48" s="2336">
        <v>38.9159315196815</v>
      </c>
      <c r="CG48" s="2336">
        <v>39.075847421968852</v>
      </c>
      <c r="CH48" s="2336">
        <v>39.234757559355963</v>
      </c>
      <c r="CI48" s="2336">
        <v>39.392665273861724</v>
      </c>
      <c r="CJ48" s="2336">
        <v>39.549574098372979</v>
      </c>
      <c r="CK48" s="2336">
        <v>39.705487539153324</v>
      </c>
      <c r="CL48" s="2336">
        <v>39.860408902453166</v>
      </c>
      <c r="CM48" s="2336">
        <v>40.014341176516425</v>
      </c>
      <c r="CN48" s="2336">
        <v>40.167306868791059</v>
      </c>
      <c r="CO48" s="2336">
        <v>40.319303729048542</v>
      </c>
      <c r="CP48" s="2336">
        <v>40.470329708057889</v>
      </c>
      <c r="CQ48" s="2336">
        <v>40.620382953664212</v>
      </c>
      <c r="CR48" s="2336">
        <v>40.76946180691197</v>
      </c>
      <c r="CS48" s="2336">
        <v>40.917564798213334</v>
      </c>
      <c r="CT48" s="2336">
        <v>41.064690643561725</v>
      </c>
      <c r="CU48" s="2336">
        <v>41.210838240794445</v>
      </c>
      <c r="CV48" s="2336">
        <v>41.356006665900907</v>
      </c>
      <c r="CW48" s="2336">
        <v>41.500195169379829</v>
      </c>
      <c r="CX48" s="2336">
        <v>41.643403172645236</v>
      </c>
      <c r="CY48" s="2336">
        <v>41.785630264480268</v>
      </c>
      <c r="CZ48" s="2336">
        <v>41.926876197540622</v>
      </c>
      <c r="DA48" s="2336">
        <v>42.067140884907644</v>
      </c>
      <c r="DB48" s="2336">
        <v>42.206424396688973</v>
      </c>
      <c r="DC48" s="2336">
        <v>42.344726956669035</v>
      </c>
      <c r="DD48" s="2336">
        <v>42.48204893900828</v>
      </c>
      <c r="DE48" s="2336">
        <v>42.618390864991483</v>
      </c>
      <c r="DF48" s="2336">
        <v>42.753753399822592</v>
      </c>
      <c r="DG48" s="2336">
        <v>42.888137349469673</v>
      </c>
      <c r="DH48" s="2336">
        <v>43.021543657555654</v>
      </c>
      <c r="DI48" s="2336">
        <v>43.153973402297233</v>
      </c>
      <c r="DJ48" s="2336">
        <v>43.285427793490015</v>
      </c>
      <c r="DK48" s="2344">
        <v>43.41590816953908</v>
      </c>
      <c r="DL48" s="2336">
        <v>43.545415994536611</v>
      </c>
      <c r="DM48" s="2336">
        <v>43.673952855382382</v>
      </c>
      <c r="DN48" s="2336">
        <v>43.801520458950868</v>
      </c>
      <c r="DO48" s="2336">
        <v>43.928120629300075</v>
      </c>
      <c r="DP48" s="2336">
        <v>44.053755304924792</v>
      </c>
      <c r="DQ48" s="2336">
        <v>44.178426536051518</v>
      </c>
      <c r="DR48" s="2336">
        <v>44.302136481975189</v>
      </c>
      <c r="DS48" s="2336">
        <v>44.424887408438174</v>
      </c>
      <c r="DT48" s="2336">
        <v>44.546681685047503</v>
      </c>
      <c r="DU48" s="2336">
        <v>44.667521782733822</v>
      </c>
    </row>
    <row r="49" spans="1:125" ht="14.25">
      <c r="A49" s="904">
        <v>47</v>
      </c>
      <c r="B49" s="92"/>
      <c r="C49" s="92"/>
      <c r="D49" s="92"/>
      <c r="E49" s="92"/>
      <c r="F49" s="92"/>
      <c r="G49" s="92"/>
      <c r="H49" s="92"/>
      <c r="I49" s="92"/>
      <c r="J49" s="92"/>
      <c r="K49" s="92"/>
      <c r="L49" s="92"/>
      <c r="M49" s="92"/>
      <c r="N49" s="92"/>
      <c r="O49" s="92"/>
      <c r="P49" s="92"/>
      <c r="Q49" s="92"/>
      <c r="R49" s="92"/>
      <c r="S49" s="92"/>
      <c r="T49" s="92"/>
      <c r="U49" s="92"/>
      <c r="V49" s="739"/>
      <c r="W49" s="2338">
        <v>28.33</v>
      </c>
      <c r="X49" s="2338">
        <v>28.57</v>
      </c>
      <c r="Y49" s="2336">
        <v>28.660475645772877</v>
      </c>
      <c r="Z49" s="2336">
        <v>28.904693524451986</v>
      </c>
      <c r="AA49" s="2336">
        <v>29.109762913262244</v>
      </c>
      <c r="AB49" s="2336">
        <v>29.260403697215708</v>
      </c>
      <c r="AC49" s="2336">
        <v>29.27699356074244</v>
      </c>
      <c r="AD49" s="2336">
        <v>29.22738873822717</v>
      </c>
      <c r="AE49" s="2336">
        <v>29.318168224056731</v>
      </c>
      <c r="AF49" s="2336">
        <v>29.534985737770857</v>
      </c>
      <c r="AG49" s="2336">
        <v>29.80662871594954</v>
      </c>
      <c r="AH49" s="2336">
        <v>30.085672617193822</v>
      </c>
      <c r="AI49" s="2336">
        <v>30.34354773310119</v>
      </c>
      <c r="AJ49" s="2336">
        <v>30.64706233714535</v>
      </c>
      <c r="AK49" s="2336">
        <v>30.933838156864844</v>
      </c>
      <c r="AL49" s="2336">
        <v>31.283953042634696</v>
      </c>
      <c r="AM49" s="2336">
        <v>31.590460546789696</v>
      </c>
      <c r="AN49" s="2336">
        <v>31.79477757832009</v>
      </c>
      <c r="AO49" s="2336">
        <v>31.929580204229303</v>
      </c>
      <c r="AP49" s="2336">
        <v>32.08098883747104</v>
      </c>
      <c r="AQ49" s="2336">
        <v>32.226239510876653</v>
      </c>
      <c r="AR49" s="2336">
        <v>32.439511068114001</v>
      </c>
      <c r="AS49" s="2336">
        <v>32.439311064851275</v>
      </c>
      <c r="AT49" s="2336">
        <v>32.478808514441361</v>
      </c>
      <c r="AU49" s="2336">
        <v>32.553106643470912</v>
      </c>
      <c r="AV49" s="2336">
        <v>32.617401870669646</v>
      </c>
      <c r="AW49" s="2336">
        <v>32.840694685355707</v>
      </c>
      <c r="AX49" s="2336">
        <v>32.945844411153672</v>
      </c>
      <c r="AY49" s="2336">
        <v>33.007941949132082</v>
      </c>
      <c r="AZ49" s="2336">
        <v>33.064766427230005</v>
      </c>
      <c r="BA49" s="2336">
        <v>33.123023993981604</v>
      </c>
      <c r="BB49" s="2336">
        <v>33.214988909972575</v>
      </c>
      <c r="BC49" s="2336">
        <v>33.315536741780726</v>
      </c>
      <c r="BD49" s="2336">
        <v>33.435812916586471</v>
      </c>
      <c r="BE49" s="2336">
        <v>33.586594307379919</v>
      </c>
      <c r="BF49" s="2336">
        <v>33.746650165880965</v>
      </c>
      <c r="BG49" s="2336">
        <v>33.872864291311004</v>
      </c>
      <c r="BH49" s="2336">
        <v>34.070174857087729</v>
      </c>
      <c r="BI49" s="2336">
        <v>34.202031218790758</v>
      </c>
      <c r="BJ49" s="2336">
        <v>34.386337730090169</v>
      </c>
      <c r="BK49" s="2336">
        <v>34.543850242337463</v>
      </c>
      <c r="BL49" s="2336">
        <v>34.73843251093539</v>
      </c>
      <c r="BM49" s="2336">
        <v>34.925297518995627</v>
      </c>
      <c r="BN49" s="2336">
        <v>35.101852364745184</v>
      </c>
      <c r="BO49" s="2336">
        <v>35.252844519286597</v>
      </c>
      <c r="BP49" s="2336">
        <v>35.430808786703324</v>
      </c>
      <c r="BQ49" s="2336">
        <v>35.592858137082814</v>
      </c>
      <c r="BR49" s="2336">
        <v>35.756291993462412</v>
      </c>
      <c r="BS49" s="2336">
        <v>35.899149779202389</v>
      </c>
      <c r="BT49" s="2336">
        <v>36.05762922820044</v>
      </c>
      <c r="BU49" s="2336">
        <v>36.203184662995049</v>
      </c>
      <c r="BV49" s="2336">
        <v>36.36687347012888</v>
      </c>
      <c r="BW49" s="2336">
        <v>36.528244759539277</v>
      </c>
      <c r="BX49" s="2336">
        <v>36.68487854797484</v>
      </c>
      <c r="BY49" s="2336">
        <v>36.853034000647028</v>
      </c>
      <c r="BZ49" s="2336">
        <v>37.01865871940462</v>
      </c>
      <c r="CA49" s="2336">
        <v>37.183292370862944</v>
      </c>
      <c r="CB49" s="2336">
        <v>37.346932079354623</v>
      </c>
      <c r="CC49" s="2336">
        <v>37.50957640888064</v>
      </c>
      <c r="CD49" s="2336">
        <v>37.671225064172411</v>
      </c>
      <c r="CE49" s="2336">
        <v>37.831878746404541</v>
      </c>
      <c r="CF49" s="2336">
        <v>37.991539023148448</v>
      </c>
      <c r="CG49" s="2336">
        <v>38.150208175037633</v>
      </c>
      <c r="CH49" s="2336">
        <v>38.307889025703687</v>
      </c>
      <c r="CI49" s="2336">
        <v>38.464584769671596</v>
      </c>
      <c r="CJ49" s="2336">
        <v>38.620298790345529</v>
      </c>
      <c r="CK49" s="2336">
        <v>38.775034442278468</v>
      </c>
      <c r="CL49" s="2336">
        <v>38.928794877662355</v>
      </c>
      <c r="CM49" s="2336">
        <v>39.081607113350032</v>
      </c>
      <c r="CN49" s="2336">
        <v>39.23346854205225</v>
      </c>
      <c r="CO49" s="2336">
        <v>39.38437676094815</v>
      </c>
      <c r="CP49" s="2336">
        <v>39.534329567784837</v>
      </c>
      <c r="CQ49" s="2336">
        <v>39.683324957018151</v>
      </c>
      <c r="CR49" s="2336">
        <v>39.831361115997012</v>
      </c>
      <c r="CS49" s="2336">
        <v>39.978436421191624</v>
      </c>
      <c r="CT49" s="2336">
        <v>40.12454943446582</v>
      </c>
      <c r="CU49" s="2336">
        <v>40.269698899397135</v>
      </c>
      <c r="CV49" s="2336">
        <v>40.413883737641314</v>
      </c>
      <c r="CW49" s="2336">
        <v>40.557103045344462</v>
      </c>
      <c r="CX49" s="2336">
        <v>40.699356089602787</v>
      </c>
      <c r="CY49" s="2336">
        <v>40.840642304968753</v>
      </c>
      <c r="CZ49" s="2336">
        <v>40.980961290005681</v>
      </c>
      <c r="DA49" s="2336">
        <v>41.120312803890577</v>
      </c>
      <c r="DB49" s="2336">
        <v>41.258696763063227</v>
      </c>
      <c r="DC49" s="2336">
        <v>41.396113237923807</v>
      </c>
      <c r="DD49" s="2336">
        <v>41.532562449577952</v>
      </c>
      <c r="DE49" s="2336">
        <v>41.668044766629464</v>
      </c>
      <c r="DF49" s="2336">
        <v>41.802560702018312</v>
      </c>
      <c r="DG49" s="2336">
        <v>41.936110909907356</v>
      </c>
      <c r="DH49" s="2336">
        <v>42.068696182613621</v>
      </c>
      <c r="DI49" s="2336">
        <v>42.200317447586272</v>
      </c>
      <c r="DJ49" s="2336">
        <v>42.330975764429738</v>
      </c>
      <c r="DK49" s="2344">
        <v>42.460672321970726</v>
      </c>
      <c r="DL49" s="2336">
        <v>42.589408435371226</v>
      </c>
      <c r="DM49" s="2336">
        <v>42.717185543282866</v>
      </c>
      <c r="DN49" s="2336">
        <v>42.844005205046955</v>
      </c>
      <c r="DO49" s="2336">
        <v>42.969869097934641</v>
      </c>
      <c r="DP49" s="2336">
        <v>43.094779014430536</v>
      </c>
      <c r="DQ49" s="2336">
        <v>43.218736859556657</v>
      </c>
      <c r="DR49" s="2336">
        <v>43.341744648237032</v>
      </c>
      <c r="DS49" s="2336">
        <v>43.463804502703354</v>
      </c>
      <c r="DT49" s="2336">
        <v>43.584918649937755</v>
      </c>
      <c r="DU49" s="2336">
        <v>43.705089419156153</v>
      </c>
    </row>
    <row r="50" spans="1:125" ht="14.25">
      <c r="A50" s="904">
        <v>48</v>
      </c>
      <c r="B50" s="92"/>
      <c r="C50" s="92"/>
      <c r="D50" s="92"/>
      <c r="E50" s="92"/>
      <c r="F50" s="92"/>
      <c r="G50" s="92"/>
      <c r="H50" s="92"/>
      <c r="I50" s="92"/>
      <c r="J50" s="92"/>
      <c r="K50" s="92"/>
      <c r="L50" s="92"/>
      <c r="M50" s="92"/>
      <c r="N50" s="92"/>
      <c r="O50" s="92"/>
      <c r="P50" s="92"/>
      <c r="Q50" s="92"/>
      <c r="R50" s="92"/>
      <c r="S50" s="92"/>
      <c r="T50" s="92"/>
      <c r="U50" s="92"/>
      <c r="V50" s="739"/>
      <c r="W50" s="2338">
        <v>27.48</v>
      </c>
      <c r="X50" s="2338">
        <v>27.73</v>
      </c>
      <c r="Y50" s="2336">
        <v>27.816309128292119</v>
      </c>
      <c r="Z50" s="2336">
        <v>28.05894858447105</v>
      </c>
      <c r="AA50" s="2336">
        <v>28.269571709577029</v>
      </c>
      <c r="AB50" s="2336">
        <v>28.424822011391299</v>
      </c>
      <c r="AC50" s="2336">
        <v>28.440131333806239</v>
      </c>
      <c r="AD50" s="2336">
        <v>28.398668479995333</v>
      </c>
      <c r="AE50" s="2336">
        <v>28.488766446497866</v>
      </c>
      <c r="AF50" s="2336">
        <v>28.706066190607586</v>
      </c>
      <c r="AG50" s="2336">
        <v>28.979908726591095</v>
      </c>
      <c r="AH50" s="2336">
        <v>29.255306803714888</v>
      </c>
      <c r="AI50" s="2336">
        <v>29.50884278076353</v>
      </c>
      <c r="AJ50" s="2336">
        <v>29.811488635980556</v>
      </c>
      <c r="AK50" s="2336">
        <v>30.094028816919284</v>
      </c>
      <c r="AL50" s="2336">
        <v>30.443313630711824</v>
      </c>
      <c r="AM50" s="2336">
        <v>30.749549827205851</v>
      </c>
      <c r="AN50" s="2336">
        <v>30.944989451762396</v>
      </c>
      <c r="AO50" s="2336">
        <v>31.080500256035133</v>
      </c>
      <c r="AP50" s="2336">
        <v>31.230632053470831</v>
      </c>
      <c r="AQ50" s="2336">
        <v>31.375513248828312</v>
      </c>
      <c r="AR50" s="2336">
        <v>31.584383500199799</v>
      </c>
      <c r="AS50" s="2336">
        <v>31.586282353600001</v>
      </c>
      <c r="AT50" s="2336">
        <v>31.624680904106768</v>
      </c>
      <c r="AU50" s="2336">
        <v>31.701291170704089</v>
      </c>
      <c r="AV50" s="2336">
        <v>31.759442729157588</v>
      </c>
      <c r="AW50" s="2336">
        <v>31.987980195283203</v>
      </c>
      <c r="AX50" s="2336">
        <v>32.087152590365129</v>
      </c>
      <c r="AY50" s="2336">
        <v>32.141956097718307</v>
      </c>
      <c r="AZ50" s="2336">
        <v>32.195565726056898</v>
      </c>
      <c r="BA50" s="2336">
        <v>32.249590746597953</v>
      </c>
      <c r="BB50" s="2336">
        <v>32.345398727492338</v>
      </c>
      <c r="BC50" s="2336">
        <v>32.441810104413221</v>
      </c>
      <c r="BD50" s="2336">
        <v>32.566140872214291</v>
      </c>
      <c r="BE50" s="2336">
        <v>32.717050465274603</v>
      </c>
      <c r="BF50" s="2336">
        <v>32.866075626648694</v>
      </c>
      <c r="BG50" s="2336">
        <v>32.992892439683899</v>
      </c>
      <c r="BH50" s="2336">
        <v>33.185443018836096</v>
      </c>
      <c r="BI50" s="2336">
        <v>33.31258155652597</v>
      </c>
      <c r="BJ50" s="2336">
        <v>33.494082664786063</v>
      </c>
      <c r="BK50" s="2336">
        <v>33.64673714918878</v>
      </c>
      <c r="BL50" s="2336">
        <v>33.841163117201596</v>
      </c>
      <c r="BM50" s="2336">
        <v>34.024232938360733</v>
      </c>
      <c r="BN50" s="2336">
        <v>34.194668814001183</v>
      </c>
      <c r="BO50" s="2336">
        <v>34.344692175144587</v>
      </c>
      <c r="BP50" s="2336">
        <v>34.515542542732923</v>
      </c>
      <c r="BQ50" s="2336">
        <v>34.685986383935784</v>
      </c>
      <c r="BR50" s="2336">
        <v>34.839876468197602</v>
      </c>
      <c r="BS50" s="2336">
        <v>34.98559939043988</v>
      </c>
      <c r="BT50" s="2336">
        <v>35.141473282891205</v>
      </c>
      <c r="BU50" s="2336">
        <v>35.288683424860359</v>
      </c>
      <c r="BV50" s="2336">
        <v>35.447663001597796</v>
      </c>
      <c r="BW50" s="2336">
        <v>35.615124889964605</v>
      </c>
      <c r="BX50" s="2336">
        <v>35.777900457882382</v>
      </c>
      <c r="BY50" s="2336">
        <v>35.943060600257233</v>
      </c>
      <c r="BZ50" s="2336">
        <v>36.107253211534832</v>
      </c>
      <c r="CA50" s="2336">
        <v>36.270473477582406</v>
      </c>
      <c r="CB50" s="2336">
        <v>36.432718393087718</v>
      </c>
      <c r="CC50" s="2336">
        <v>36.593986392552615</v>
      </c>
      <c r="CD50" s="2336">
        <v>36.754277050545404</v>
      </c>
      <c r="CE50" s="2336">
        <v>36.913590937037789</v>
      </c>
      <c r="CF50" s="2336">
        <v>37.071929487060544</v>
      </c>
      <c r="CG50" s="2336">
        <v>37.229294847062285</v>
      </c>
      <c r="CH50" s="2336">
        <v>37.385689704548</v>
      </c>
      <c r="CI50" s="2336">
        <v>37.541117115717206</v>
      </c>
      <c r="CJ50" s="2336">
        <v>37.695580323214948</v>
      </c>
      <c r="CK50" s="2336">
        <v>37.84908253813839</v>
      </c>
      <c r="CL50" s="2336">
        <v>38.001655694387381</v>
      </c>
      <c r="CM50" s="2336">
        <v>38.153296833218633</v>
      </c>
      <c r="CN50" s="2336">
        <v>38.304003203412528</v>
      </c>
      <c r="CO50" s="2336">
        <v>38.453772257401454</v>
      </c>
      <c r="CP50" s="2336">
        <v>38.602601647438462</v>
      </c>
      <c r="CQ50" s="2336">
        <v>38.750489221806028</v>
      </c>
      <c r="CR50" s="2336">
        <v>38.897433021067293</v>
      </c>
      <c r="CS50" s="2336">
        <v>39.043431274359975</v>
      </c>
      <c r="CT50" s="2336">
        <v>39.188482395733267</v>
      </c>
      <c r="CU50" s="2336">
        <v>39.332584980531209</v>
      </c>
      <c r="CV50" s="2336">
        <v>39.475737801819221</v>
      </c>
      <c r="CW50" s="2336">
        <v>39.617939806857052</v>
      </c>
      <c r="CX50" s="2336">
        <v>39.759190113617962</v>
      </c>
      <c r="CY50" s="2336">
        <v>39.899488007353064</v>
      </c>
      <c r="CZ50" s="2336">
        <v>40.038832937202692</v>
      </c>
      <c r="DA50" s="2336">
        <v>40.177224512854735</v>
      </c>
      <c r="DB50" s="2336">
        <v>40.314662501247817</v>
      </c>
      <c r="DC50" s="2336">
        <v>40.451146823321629</v>
      </c>
      <c r="DD50" s="2336">
        <v>40.586677550813405</v>
      </c>
      <c r="DE50" s="2336">
        <v>40.721254903100572</v>
      </c>
      <c r="DF50" s="2336">
        <v>40.854879244087435</v>
      </c>
      <c r="DG50" s="2336">
        <v>40.987551079139045</v>
      </c>
      <c r="DH50" s="2336">
        <v>41.119271052058416</v>
      </c>
      <c r="DI50" s="2336">
        <v>41.250039942108977</v>
      </c>
      <c r="DJ50" s="2336">
        <v>41.379858661080817</v>
      </c>
      <c r="DK50" s="2344">
        <v>41.5087282503995</v>
      </c>
      <c r="DL50" s="2336">
        <v>41.636649878279478</v>
      </c>
      <c r="DM50" s="2336">
        <v>41.763624836917607</v>
      </c>
      <c r="DN50" s="2336">
        <v>41.889654539730913</v>
      </c>
      <c r="DO50" s="2336">
        <v>42.014740518633239</v>
      </c>
      <c r="DP50" s="2336">
        <v>42.138884421354071</v>
      </c>
      <c r="DQ50" s="2336">
        <v>42.26208800879634</v>
      </c>
      <c r="DR50" s="2336">
        <v>42.384353152433668</v>
      </c>
      <c r="DS50" s="2336">
        <v>42.505681831747438</v>
      </c>
      <c r="DT50" s="2336">
        <v>42.626076131699683</v>
      </c>
      <c r="DU50" s="2336">
        <v>42.745538240245381</v>
      </c>
    </row>
    <row r="51" spans="1:125" ht="14.25">
      <c r="A51" s="904">
        <v>49</v>
      </c>
      <c r="B51" s="92"/>
      <c r="C51" s="92"/>
      <c r="D51" s="92"/>
      <c r="E51" s="92"/>
      <c r="F51" s="92"/>
      <c r="G51" s="92"/>
      <c r="H51" s="92"/>
      <c r="I51" s="92"/>
      <c r="J51" s="92"/>
      <c r="K51" s="92"/>
      <c r="L51" s="92"/>
      <c r="M51" s="92"/>
      <c r="N51" s="92"/>
      <c r="O51" s="92"/>
      <c r="P51" s="92"/>
      <c r="Q51" s="92"/>
      <c r="R51" s="92"/>
      <c r="S51" s="92"/>
      <c r="T51" s="92"/>
      <c r="U51" s="92"/>
      <c r="V51" s="739"/>
      <c r="W51" s="2338">
        <v>26.65</v>
      </c>
      <c r="X51" s="2338">
        <v>26.9</v>
      </c>
      <c r="Y51" s="2336">
        <v>26.98349520490703</v>
      </c>
      <c r="Z51" s="2336">
        <v>27.231513430977127</v>
      </c>
      <c r="AA51" s="2336">
        <v>27.438812081413214</v>
      </c>
      <c r="AB51" s="2336">
        <v>27.598367626311738</v>
      </c>
      <c r="AC51" s="2336">
        <v>27.612132815939809</v>
      </c>
      <c r="AD51" s="2336">
        <v>27.571668321639173</v>
      </c>
      <c r="AE51" s="2336">
        <v>27.668866226452099</v>
      </c>
      <c r="AF51" s="2336">
        <v>27.890789275643261</v>
      </c>
      <c r="AG51" s="2336">
        <v>28.157979643970091</v>
      </c>
      <c r="AH51" s="2336">
        <v>28.435121439078415</v>
      </c>
      <c r="AI51" s="2336">
        <v>28.686043827646955</v>
      </c>
      <c r="AJ51" s="2336">
        <v>28.977812434308863</v>
      </c>
      <c r="AK51" s="2336">
        <v>29.260561787763312</v>
      </c>
      <c r="AL51" s="2336">
        <v>29.611339354263443</v>
      </c>
      <c r="AM51" s="2336">
        <v>29.910811359441173</v>
      </c>
      <c r="AN51" s="2336">
        <v>30.105769649775553</v>
      </c>
      <c r="AO51" s="2336">
        <v>30.239255355661363</v>
      </c>
      <c r="AP51" s="2336">
        <v>30.381727424137651</v>
      </c>
      <c r="AQ51" s="2336">
        <v>30.532098348733921</v>
      </c>
      <c r="AR51" s="2336">
        <v>30.738010777869889</v>
      </c>
      <c r="AS51" s="2336">
        <v>30.742283764921417</v>
      </c>
      <c r="AT51" s="2336">
        <v>30.786532278396173</v>
      </c>
      <c r="AU51" s="2336">
        <v>30.855591102851523</v>
      </c>
      <c r="AV51" s="2336">
        <v>30.906520378206643</v>
      </c>
      <c r="AW51" s="2336">
        <v>31.133160729340425</v>
      </c>
      <c r="AX51" s="2336">
        <v>31.227030578738848</v>
      </c>
      <c r="AY51" s="2336">
        <v>31.278875107850336</v>
      </c>
      <c r="AZ51" s="2336">
        <v>31.336328949229983</v>
      </c>
      <c r="BA51" s="2336">
        <v>31.384633952051058</v>
      </c>
      <c r="BB51" s="2336">
        <v>31.484210405132401</v>
      </c>
      <c r="BC51" s="2336">
        <v>31.574738775220204</v>
      </c>
      <c r="BD51" s="2336">
        <v>31.700821007101936</v>
      </c>
      <c r="BE51" s="2336">
        <v>31.848718048681175</v>
      </c>
      <c r="BF51" s="2336">
        <v>31.991157379889685</v>
      </c>
      <c r="BG51" s="2336">
        <v>32.116801506207246</v>
      </c>
      <c r="BH51" s="2336">
        <v>32.304793130077385</v>
      </c>
      <c r="BI51" s="2336">
        <v>32.430420568032829</v>
      </c>
      <c r="BJ51" s="2336">
        <v>32.606674237803631</v>
      </c>
      <c r="BK51" s="2336">
        <v>32.75825492289362</v>
      </c>
      <c r="BL51" s="2336">
        <v>32.949700651404264</v>
      </c>
      <c r="BM51" s="2336">
        <v>33.123507216251859</v>
      </c>
      <c r="BN51" s="2336">
        <v>33.292160393542623</v>
      </c>
      <c r="BO51" s="2336">
        <v>33.442684505001971</v>
      </c>
      <c r="BP51" s="2336">
        <v>33.613634871626395</v>
      </c>
      <c r="BQ51" s="2336">
        <v>33.77834073036373</v>
      </c>
      <c r="BR51" s="2336">
        <v>33.932044665179944</v>
      </c>
      <c r="BS51" s="2336">
        <v>34.077212019154473</v>
      </c>
      <c r="BT51" s="2336">
        <v>34.231377952775986</v>
      </c>
      <c r="BU51" s="2336">
        <v>34.378078229086135</v>
      </c>
      <c r="BV51" s="2336">
        <v>34.542471103591815</v>
      </c>
      <c r="BW51" s="2336">
        <v>34.710535481219537</v>
      </c>
      <c r="BX51" s="2336">
        <v>34.875120273048367</v>
      </c>
      <c r="BY51" s="2336">
        <v>35.038763790079344</v>
      </c>
      <c r="BZ51" s="2336">
        <v>35.201458935313966</v>
      </c>
      <c r="CA51" s="2336">
        <v>35.363200775517882</v>
      </c>
      <c r="CB51" s="2336">
        <v>35.523986187391976</v>
      </c>
      <c r="CC51" s="2336">
        <v>35.683813487378217</v>
      </c>
      <c r="CD51" s="2336">
        <v>35.842682131026109</v>
      </c>
      <c r="CE51" s="2336">
        <v>36.000592567917629</v>
      </c>
      <c r="CF51" s="2336">
        <v>36.157546110995838</v>
      </c>
      <c r="CG51" s="2336">
        <v>36.313544782587016</v>
      </c>
      <c r="CH51" s="2336">
        <v>36.468591143712082</v>
      </c>
      <c r="CI51" s="2336">
        <v>36.622688121441762</v>
      </c>
      <c r="CJ51" s="2336">
        <v>36.775838826388572</v>
      </c>
      <c r="CK51" s="2336">
        <v>36.928080403024836</v>
      </c>
      <c r="CL51" s="2336">
        <v>37.079409547739218</v>
      </c>
      <c r="CM51" s="2336">
        <v>37.229823167051997</v>
      </c>
      <c r="CN51" s="2336">
        <v>37.37931837378288</v>
      </c>
      <c r="CO51" s="2336">
        <v>37.527892483255485</v>
      </c>
      <c r="CP51" s="2336">
        <v>37.675543009541087</v>
      </c>
      <c r="CQ51" s="2336">
        <v>37.8222676617414</v>
      </c>
      <c r="CR51" s="2336">
        <v>37.968064340312743</v>
      </c>
      <c r="CS51" s="2336">
        <v>38.112931133431744</v>
      </c>
      <c r="CT51" s="2336">
        <v>38.256866313402831</v>
      </c>
      <c r="CU51" s="2336">
        <v>38.399868333110909</v>
      </c>
      <c r="CV51" s="2336">
        <v>38.541935822516031</v>
      </c>
      <c r="CW51" s="2336">
        <v>38.683067585193086</v>
      </c>
      <c r="CX51" s="2336">
        <v>38.8232625949165</v>
      </c>
      <c r="CY51" s="2336">
        <v>38.962519992288634</v>
      </c>
      <c r="CZ51" s="2336">
        <v>39.100839081413966</v>
      </c>
      <c r="DA51" s="2336">
        <v>39.238219326618768</v>
      </c>
      <c r="DB51" s="2336">
        <v>39.374660349214295</v>
      </c>
      <c r="DC51" s="2336">
        <v>39.510161924305642</v>
      </c>
      <c r="DD51" s="2336">
        <v>39.644723977645413</v>
      </c>
      <c r="DE51" s="2336">
        <v>39.778346582532073</v>
      </c>
      <c r="DF51" s="2336">
        <v>39.911029956750973</v>
      </c>
      <c r="DG51" s="2336">
        <v>40.042774459561109</v>
      </c>
      <c r="DH51" s="2336">
        <v>40.173580588723709</v>
      </c>
      <c r="DI51" s="2336">
        <v>40.303448977574796</v>
      </c>
      <c r="DJ51" s="2336">
        <v>40.432380392139997</v>
      </c>
      <c r="DK51" s="2344">
        <v>40.560375728290573</v>
      </c>
      <c r="DL51" s="2336">
        <v>40.687436008942576</v>
      </c>
      <c r="DM51" s="2336">
        <v>40.813562381294787</v>
      </c>
      <c r="DN51" s="2336">
        <v>40.938756114109431</v>
      </c>
      <c r="DO51" s="2336">
        <v>41.063018595030485</v>
      </c>
      <c r="DP51" s="2336">
        <v>41.186351327942724</v>
      </c>
      <c r="DQ51" s="2336">
        <v>41.308755930368449</v>
      </c>
      <c r="DR51" s="2336">
        <v>41.430234130902249</v>
      </c>
      <c r="DS51" s="2336">
        <v>41.550787766684387</v>
      </c>
      <c r="DT51" s="2336">
        <v>41.670418780908548</v>
      </c>
      <c r="DU51" s="2336">
        <v>41.78912922036789</v>
      </c>
    </row>
    <row r="52" spans="1:125" ht="14.25">
      <c r="A52" s="904">
        <v>50</v>
      </c>
      <c r="B52" s="92"/>
      <c r="C52" s="92"/>
      <c r="D52" s="92"/>
      <c r="E52" s="92"/>
      <c r="F52" s="92"/>
      <c r="G52" s="92"/>
      <c r="H52" s="92"/>
      <c r="I52" s="92"/>
      <c r="J52" s="92"/>
      <c r="K52" s="92"/>
      <c r="L52" s="92"/>
      <c r="M52" s="92"/>
      <c r="N52" s="92"/>
      <c r="O52" s="92"/>
      <c r="P52" s="92"/>
      <c r="Q52" s="92"/>
      <c r="R52" s="92"/>
      <c r="S52" s="92"/>
      <c r="T52" s="92"/>
      <c r="U52" s="92"/>
      <c r="V52" s="739"/>
      <c r="W52" s="2338">
        <v>25.83</v>
      </c>
      <c r="X52" s="2338">
        <v>26.07</v>
      </c>
      <c r="Y52" s="2336">
        <v>26.164539737231934</v>
      </c>
      <c r="Z52" s="2336">
        <v>26.413498386987264</v>
      </c>
      <c r="AA52" s="2336">
        <v>26.623778211836562</v>
      </c>
      <c r="AB52" s="2336">
        <v>26.783662151627841</v>
      </c>
      <c r="AC52" s="2336">
        <v>26.791379043987327</v>
      </c>
      <c r="AD52" s="2336">
        <v>26.756953380642191</v>
      </c>
      <c r="AE52" s="2336">
        <v>26.862553399484117</v>
      </c>
      <c r="AF52" s="2336">
        <v>27.08447578520596</v>
      </c>
      <c r="AG52" s="2336">
        <v>27.349654217786345</v>
      </c>
      <c r="AH52" s="2336">
        <v>27.624433246362749</v>
      </c>
      <c r="AI52" s="2336">
        <v>27.868929729498028</v>
      </c>
      <c r="AJ52" s="2336">
        <v>28.153754004632866</v>
      </c>
      <c r="AK52" s="2336">
        <v>28.436942794598298</v>
      </c>
      <c r="AL52" s="2336">
        <v>28.784186809350064</v>
      </c>
      <c r="AM52" s="2336">
        <v>29.078611135861667</v>
      </c>
      <c r="AN52" s="2336">
        <v>29.270601029457705</v>
      </c>
      <c r="AO52" s="2336">
        <v>29.403395267042889</v>
      </c>
      <c r="AP52" s="2336">
        <v>29.546638394035366</v>
      </c>
      <c r="AQ52" s="2336">
        <v>29.706987442539891</v>
      </c>
      <c r="AR52" s="2336">
        <v>29.899132270400596</v>
      </c>
      <c r="AS52" s="2336">
        <v>29.908586683014899</v>
      </c>
      <c r="AT52" s="2336">
        <v>29.949703158755643</v>
      </c>
      <c r="AU52" s="2336">
        <v>30.020643362620561</v>
      </c>
      <c r="AV52" s="2336">
        <v>30.068316302168682</v>
      </c>
      <c r="AW52" s="2336">
        <v>30.284022066151671</v>
      </c>
      <c r="AX52" s="2336">
        <v>30.370442529701428</v>
      </c>
      <c r="AY52" s="2336">
        <v>30.419056617105561</v>
      </c>
      <c r="AZ52" s="2336">
        <v>30.481513653688808</v>
      </c>
      <c r="BA52" s="2336">
        <v>30.527471865502587</v>
      </c>
      <c r="BB52" s="2336">
        <v>30.625715997273435</v>
      </c>
      <c r="BC52" s="2336">
        <v>30.717787410333894</v>
      </c>
      <c r="BD52" s="2336">
        <v>30.84157076321047</v>
      </c>
      <c r="BE52" s="2336">
        <v>30.982784088439875</v>
      </c>
      <c r="BF52" s="2336">
        <v>31.122581171542929</v>
      </c>
      <c r="BG52" s="2336">
        <v>31.248915166279172</v>
      </c>
      <c r="BH52" s="2336">
        <v>31.429115633691918</v>
      </c>
      <c r="BI52" s="2336">
        <v>31.552904919994418</v>
      </c>
      <c r="BJ52" s="2336">
        <v>31.726187956598377</v>
      </c>
      <c r="BK52" s="2336">
        <v>31.874695166866672</v>
      </c>
      <c r="BL52" s="2336">
        <v>32.062167988662218</v>
      </c>
      <c r="BM52" s="2336">
        <v>32.235219253943548</v>
      </c>
      <c r="BN52" s="2336">
        <v>32.398775051669922</v>
      </c>
      <c r="BO52" s="2336">
        <v>32.547558929523831</v>
      </c>
      <c r="BP52" s="2336">
        <v>32.716654177671998</v>
      </c>
      <c r="BQ52" s="2336">
        <v>32.878096762855947</v>
      </c>
      <c r="BR52" s="2336">
        <v>33.028403044258383</v>
      </c>
      <c r="BS52" s="2336">
        <v>33.175267362123826</v>
      </c>
      <c r="BT52" s="2336">
        <v>33.325937233965711</v>
      </c>
      <c r="BU52" s="2336">
        <v>33.485632392024712</v>
      </c>
      <c r="BV52" s="2336">
        <v>33.651567403664473</v>
      </c>
      <c r="BW52" s="2336">
        <v>33.815458068098351</v>
      </c>
      <c r="BX52" s="2336">
        <v>33.978436772310495</v>
      </c>
      <c r="BY52" s="2336">
        <v>34.140493806785237</v>
      </c>
      <c r="BZ52" s="2336">
        <v>34.301621965097318</v>
      </c>
      <c r="CA52" s="2336">
        <v>34.461816207001753</v>
      </c>
      <c r="CB52" s="2336">
        <v>34.621073303200774</v>
      </c>
      <c r="CC52" s="2336">
        <v>34.779391463850082</v>
      </c>
      <c r="CD52" s="2336">
        <v>34.936770036954876</v>
      </c>
      <c r="CE52" s="2336">
        <v>35.093209362842629</v>
      </c>
      <c r="CF52" s="2336">
        <v>35.248710643132206</v>
      </c>
      <c r="CG52" s="2336">
        <v>35.403275786385798</v>
      </c>
      <c r="CH52" s="2336">
        <v>35.556907237060422</v>
      </c>
      <c r="CI52" s="2336">
        <v>35.709607802551155</v>
      </c>
      <c r="CJ52" s="2336">
        <v>35.861419966180783</v>
      </c>
      <c r="CK52" s="2336">
        <v>36.012340087307507</v>
      </c>
      <c r="CL52" s="2336">
        <v>36.162364737550568</v>
      </c>
      <c r="CM52" s="2336">
        <v>36.311490697007187</v>
      </c>
      <c r="CN52" s="2336">
        <v>36.459714950503525</v>
      </c>
      <c r="CO52" s="2336">
        <v>36.607034683881558</v>
      </c>
      <c r="CP52" s="2336">
        <v>36.753447280324103</v>
      </c>
      <c r="CQ52" s="2336">
        <v>36.898950316717865</v>
      </c>
      <c r="CR52" s="2336">
        <v>37.043541560056859</v>
      </c>
      <c r="CS52" s="2336">
        <v>37.187218963886089</v>
      </c>
      <c r="CT52" s="2336">
        <v>37.329980664785914</v>
      </c>
      <c r="CU52" s="2336">
        <v>37.471824978900308</v>
      </c>
      <c r="CV52" s="2336">
        <v>37.612750398505824</v>
      </c>
      <c r="CW52" s="2336">
        <v>37.752755588624346</v>
      </c>
      <c r="CX52" s="2336">
        <v>37.891839383679418</v>
      </c>
      <c r="CY52" s="2336">
        <v>38.03000078419489</v>
      </c>
      <c r="CZ52" s="2336">
        <v>38.167238953538089</v>
      </c>
      <c r="DA52" s="2336">
        <v>38.303553214706866</v>
      </c>
      <c r="DB52" s="2336">
        <v>38.438943047158865</v>
      </c>
      <c r="DC52" s="2336">
        <v>38.573408083684974</v>
      </c>
      <c r="DD52" s="2336">
        <v>38.706948107326106</v>
      </c>
      <c r="DE52" s="2336">
        <v>38.839563048333197</v>
      </c>
      <c r="DF52" s="2336">
        <v>38.971252981168405</v>
      </c>
      <c r="DG52" s="2336">
        <v>39.102018121550557</v>
      </c>
      <c r="DH52" s="2336">
        <v>39.231858823540961</v>
      </c>
      <c r="DI52" s="2336">
        <v>39.360775576671642</v>
      </c>
      <c r="DJ52" s="2336">
        <v>39.488769003114427</v>
      </c>
      <c r="DK52" s="2344">
        <v>39.615839854889686</v>
      </c>
      <c r="DL52" s="2336">
        <v>39.741989011116836</v>
      </c>
      <c r="DM52" s="2336">
        <v>39.867217475301992</v>
      </c>
      <c r="DN52" s="2336">
        <v>39.991526372667138</v>
      </c>
      <c r="DO52" s="2336">
        <v>40.114916947515269</v>
      </c>
      <c r="DP52" s="2336">
        <v>40.237390560634935</v>
      </c>
      <c r="DQ52" s="2336">
        <v>40.358948686740995</v>
      </c>
      <c r="DR52" s="2336">
        <v>40.479592911952061</v>
      </c>
      <c r="DS52" s="2336">
        <v>40.599324931305048</v>
      </c>
      <c r="DT52" s="2336">
        <v>40.718146546302847</v>
      </c>
      <c r="DU52" s="2336">
        <v>40.836059662498833</v>
      </c>
    </row>
    <row r="53" spans="1:125" ht="14.25">
      <c r="A53" s="904">
        <v>51</v>
      </c>
      <c r="B53" s="92"/>
      <c r="C53" s="92"/>
      <c r="D53" s="92"/>
      <c r="E53" s="92"/>
      <c r="F53" s="92"/>
      <c r="G53" s="92"/>
      <c r="H53" s="92"/>
      <c r="I53" s="92"/>
      <c r="J53" s="92"/>
      <c r="K53" s="92"/>
      <c r="L53" s="92"/>
      <c r="M53" s="92"/>
      <c r="N53" s="92"/>
      <c r="O53" s="92"/>
      <c r="P53" s="92"/>
      <c r="Q53" s="92"/>
      <c r="R53" s="92"/>
      <c r="S53" s="92"/>
      <c r="T53" s="92"/>
      <c r="U53" s="92"/>
      <c r="V53" s="739"/>
      <c r="W53" s="2338">
        <v>25.02</v>
      </c>
      <c r="X53" s="2338">
        <v>25.26</v>
      </c>
      <c r="Y53" s="2336">
        <v>25.349970369498276</v>
      </c>
      <c r="Z53" s="2336">
        <v>25.606528353466672</v>
      </c>
      <c r="AA53" s="2336">
        <v>25.817083311235983</v>
      </c>
      <c r="AB53" s="2336">
        <v>25.977393065948309</v>
      </c>
      <c r="AC53" s="2336">
        <v>25.991003637259951</v>
      </c>
      <c r="AD53" s="2336">
        <v>25.952641151664562</v>
      </c>
      <c r="AE53" s="2336">
        <v>26.066012852972275</v>
      </c>
      <c r="AF53" s="2336">
        <v>26.288106887116275</v>
      </c>
      <c r="AG53" s="2336">
        <v>26.548569686179352</v>
      </c>
      <c r="AH53" s="2336">
        <v>26.825877123143663</v>
      </c>
      <c r="AI53" s="2336">
        <v>27.06855495416389</v>
      </c>
      <c r="AJ53" s="2336">
        <v>27.345268489251524</v>
      </c>
      <c r="AK53" s="2336">
        <v>27.624634040143636</v>
      </c>
      <c r="AL53" s="2336">
        <v>27.969407494034641</v>
      </c>
      <c r="AM53" s="2336">
        <v>28.257927452007436</v>
      </c>
      <c r="AN53" s="2336">
        <v>28.450995361406203</v>
      </c>
      <c r="AO53" s="2336">
        <v>28.582571596136759</v>
      </c>
      <c r="AP53" s="2336">
        <v>28.732048824927155</v>
      </c>
      <c r="AQ53" s="2336">
        <v>28.892422508225572</v>
      </c>
      <c r="AR53" s="2336">
        <v>29.074472173204843</v>
      </c>
      <c r="AS53" s="2336">
        <v>29.085175765061791</v>
      </c>
      <c r="AT53" s="2336">
        <v>29.120623244666071</v>
      </c>
      <c r="AU53" s="2336">
        <v>29.195576036251381</v>
      </c>
      <c r="AV53" s="2336">
        <v>29.228371355958721</v>
      </c>
      <c r="AW53" s="2336">
        <v>29.443516101762732</v>
      </c>
      <c r="AX53" s="2336">
        <v>29.518376031606625</v>
      </c>
      <c r="AY53" s="2336">
        <v>29.572703945802804</v>
      </c>
      <c r="AZ53" s="2336">
        <v>29.62844317526115</v>
      </c>
      <c r="BA53" s="2336">
        <v>29.679101883626274</v>
      </c>
      <c r="BB53" s="2336">
        <v>29.775383482489541</v>
      </c>
      <c r="BC53" s="2336">
        <v>29.868122370984395</v>
      </c>
      <c r="BD53" s="2336">
        <v>29.985603537261134</v>
      </c>
      <c r="BE53" s="2336">
        <v>30.121881073885554</v>
      </c>
      <c r="BF53" s="2336">
        <v>30.25781242666671</v>
      </c>
      <c r="BG53" s="2336">
        <v>30.383625536305704</v>
      </c>
      <c r="BH53" s="2336">
        <v>30.558257228444642</v>
      </c>
      <c r="BI53" s="2336">
        <v>30.680872201997371</v>
      </c>
      <c r="BJ53" s="2336">
        <v>30.852360167792465</v>
      </c>
      <c r="BK53" s="2336">
        <v>30.998278770582818</v>
      </c>
      <c r="BL53" s="2336">
        <v>31.180619987373021</v>
      </c>
      <c r="BM53" s="2336">
        <v>31.346638162065972</v>
      </c>
      <c r="BN53" s="2336">
        <v>31.51427330422273</v>
      </c>
      <c r="BO53" s="2336">
        <v>31.658854521502743</v>
      </c>
      <c r="BP53" s="2336">
        <v>31.822127947679519</v>
      </c>
      <c r="BQ53" s="2336">
        <v>31.986147565202213</v>
      </c>
      <c r="BR53" s="2336">
        <v>32.132811084994863</v>
      </c>
      <c r="BS53" s="2336">
        <v>32.276935667200313</v>
      </c>
      <c r="BT53" s="2336">
        <v>32.436933405559294</v>
      </c>
      <c r="BU53" s="2336">
        <v>32.601458264257495</v>
      </c>
      <c r="BV53" s="2336">
        <v>32.76453035348456</v>
      </c>
      <c r="BW53" s="2336">
        <v>32.926723110559102</v>
      </c>
      <c r="BX53" s="2336">
        <v>33.08802393776822</v>
      </c>
      <c r="BY53" s="2336">
        <v>33.248423024585321</v>
      </c>
      <c r="BZ53" s="2336">
        <v>33.40791306767602</v>
      </c>
      <c r="CA53" s="2336">
        <v>33.56648893234351</v>
      </c>
      <c r="CB53" s="2336">
        <v>33.724147295761149</v>
      </c>
      <c r="CC53" s="2336">
        <v>33.880886274057609</v>
      </c>
      <c r="CD53" s="2336">
        <v>34.036705119651181</v>
      </c>
      <c r="CE53" s="2336">
        <v>34.191604075226593</v>
      </c>
      <c r="CF53" s="2336">
        <v>34.345584242309386</v>
      </c>
      <c r="CG53" s="2336">
        <v>34.49864742651112</v>
      </c>
      <c r="CH53" s="2336">
        <v>34.65079596608534</v>
      </c>
      <c r="CI53" s="2336">
        <v>34.802077606639649</v>
      </c>
      <c r="CJ53" s="2336">
        <v>34.952488379805772</v>
      </c>
      <c r="CK53" s="2336">
        <v>35.102024531098309</v>
      </c>
      <c r="CL53" s="2336">
        <v>35.250682516189485</v>
      </c>
      <c r="CM53" s="2336">
        <v>35.398458997216565</v>
      </c>
      <c r="CN53" s="2336">
        <v>35.545350839122342</v>
      </c>
      <c r="CO53" s="2336">
        <v>35.69135510603067</v>
      </c>
      <c r="CP53" s="2336">
        <v>35.836469057659272</v>
      </c>
      <c r="CQ53" s="2336">
        <v>35.980690145769415</v>
      </c>
      <c r="CR53" s="2336">
        <v>36.124016010654962</v>
      </c>
      <c r="CS53" s="2336">
        <v>36.266444477670525</v>
      </c>
      <c r="CT53" s="2336">
        <v>36.407973553799003</v>
      </c>
      <c r="CU53" s="2336">
        <v>36.548601424261918</v>
      </c>
      <c r="CV53" s="2336">
        <v>36.688326449169004</v>
      </c>
      <c r="CW53" s="2336">
        <v>36.827147160210373</v>
      </c>
      <c r="CX53" s="2336">
        <v>36.965062257390798</v>
      </c>
      <c r="CY53" s="2336">
        <v>37.102070605804968</v>
      </c>
      <c r="CZ53" s="2336">
        <v>37.238171232455805</v>
      </c>
      <c r="DA53" s="2336">
        <v>37.373363323115186</v>
      </c>
      <c r="DB53" s="2336">
        <v>37.507646219225485</v>
      </c>
      <c r="DC53" s="2336">
        <v>37.64101941484369</v>
      </c>
      <c r="DD53" s="2336">
        <v>37.773482553627424</v>
      </c>
      <c r="DE53" s="2336">
        <v>37.905035425862614</v>
      </c>
      <c r="DF53" s="2336">
        <v>38.035677965530851</v>
      </c>
      <c r="DG53" s="2336">
        <v>38.165410247419445</v>
      </c>
      <c r="DH53" s="2336">
        <v>38.29423248427031</v>
      </c>
      <c r="DI53" s="2336">
        <v>38.422145023969669</v>
      </c>
      <c r="DJ53" s="2336">
        <v>38.549148346777187</v>
      </c>
      <c r="DK53" s="2344">
        <v>38.675243062593047</v>
      </c>
      <c r="DL53" s="2336">
        <v>38.800429908265393</v>
      </c>
      <c r="DM53" s="2336">
        <v>38.924709744933303</v>
      </c>
      <c r="DN53" s="2336">
        <v>39.048083555409733</v>
      </c>
      <c r="DO53" s="2336">
        <v>39.170552441599</v>
      </c>
      <c r="DP53" s="2336">
        <v>39.292117621952073</v>
      </c>
      <c r="DQ53" s="2336">
        <v>39.41278042895663</v>
      </c>
      <c r="DR53" s="2336">
        <v>39.532542306662251</v>
      </c>
      <c r="DS53" s="2336">
        <v>39.651404808241324</v>
      </c>
      <c r="DT53" s="2336">
        <v>39.769369593581558</v>
      </c>
      <c r="DU53" s="2336">
        <v>39.886438426913941</v>
      </c>
    </row>
    <row r="54" spans="1:125" ht="14.25">
      <c r="A54" s="904">
        <v>52</v>
      </c>
      <c r="B54" s="92"/>
      <c r="C54" s="92"/>
      <c r="D54" s="92"/>
      <c r="E54" s="92"/>
      <c r="F54" s="92"/>
      <c r="G54" s="92"/>
      <c r="H54" s="92"/>
      <c r="I54" s="92"/>
      <c r="J54" s="92"/>
      <c r="K54" s="92"/>
      <c r="L54" s="92"/>
      <c r="M54" s="92"/>
      <c r="N54" s="92"/>
      <c r="O54" s="92"/>
      <c r="P54" s="92"/>
      <c r="Q54" s="92"/>
      <c r="R54" s="92"/>
      <c r="S54" s="92"/>
      <c r="T54" s="92"/>
      <c r="U54" s="92"/>
      <c r="V54" s="739"/>
      <c r="W54" s="2338">
        <v>24.22</v>
      </c>
      <c r="X54" s="2338">
        <v>24.46</v>
      </c>
      <c r="Y54" s="2336">
        <v>24.569429920302888</v>
      </c>
      <c r="Z54" s="2336">
        <v>24.814453020226637</v>
      </c>
      <c r="AA54" s="2336">
        <v>25.019528591374641</v>
      </c>
      <c r="AB54" s="2336">
        <v>25.186208996280918</v>
      </c>
      <c r="AC54" s="2336">
        <v>25.196341016875348</v>
      </c>
      <c r="AD54" s="2336">
        <v>25.160462813365719</v>
      </c>
      <c r="AE54" s="2336">
        <v>25.27606576166303</v>
      </c>
      <c r="AF54" s="2336">
        <v>25.499342662339007</v>
      </c>
      <c r="AG54" s="2336">
        <v>25.756647183508857</v>
      </c>
      <c r="AH54" s="2336">
        <v>26.028108935165708</v>
      </c>
      <c r="AI54" s="2336">
        <v>26.269491307086508</v>
      </c>
      <c r="AJ54" s="2336">
        <v>26.546199702429575</v>
      </c>
      <c r="AK54" s="2336">
        <v>26.824278058302831</v>
      </c>
      <c r="AL54" s="2336">
        <v>27.154907540834376</v>
      </c>
      <c r="AM54" s="2336">
        <v>27.444250443910263</v>
      </c>
      <c r="AN54" s="2336">
        <v>27.637419466128698</v>
      </c>
      <c r="AO54" s="2336">
        <v>27.777305064724199</v>
      </c>
      <c r="AP54" s="2336">
        <v>27.920438312534738</v>
      </c>
      <c r="AQ54" s="2336">
        <v>28.074735090236508</v>
      </c>
      <c r="AR54" s="2336">
        <v>28.25050767706519</v>
      </c>
      <c r="AS54" s="2336">
        <v>28.265389443317957</v>
      </c>
      <c r="AT54" s="2336">
        <v>28.302178977212073</v>
      </c>
      <c r="AU54" s="2336">
        <v>28.366802895838941</v>
      </c>
      <c r="AV54" s="2336">
        <v>28.397274442868245</v>
      </c>
      <c r="AW54" s="2336">
        <v>28.604910331241403</v>
      </c>
      <c r="AX54" s="2336">
        <v>28.678519609084162</v>
      </c>
      <c r="AY54" s="2336">
        <v>28.726009352124532</v>
      </c>
      <c r="AZ54" s="2336">
        <v>28.788102653869522</v>
      </c>
      <c r="BA54" s="2336">
        <v>28.832104746625905</v>
      </c>
      <c r="BB54" s="2336">
        <v>28.926862948810736</v>
      </c>
      <c r="BC54" s="2336">
        <v>29.017646857423397</v>
      </c>
      <c r="BD54" s="2336">
        <v>29.139981396438724</v>
      </c>
      <c r="BE54" s="2336">
        <v>29.27120568138449</v>
      </c>
      <c r="BF54" s="2336">
        <v>29.3999473891141</v>
      </c>
      <c r="BG54" s="2336">
        <v>29.529352968975623</v>
      </c>
      <c r="BH54" s="2336">
        <v>29.700906535657701</v>
      </c>
      <c r="BI54" s="2336">
        <v>29.826893732854238</v>
      </c>
      <c r="BJ54" s="2336">
        <v>29.984397857061129</v>
      </c>
      <c r="BK54" s="2336">
        <v>30.128442943890281</v>
      </c>
      <c r="BL54" s="2336">
        <v>30.30695083956784</v>
      </c>
      <c r="BM54" s="2336">
        <v>30.469043310888516</v>
      </c>
      <c r="BN54" s="2336">
        <v>30.629966394136918</v>
      </c>
      <c r="BO54" s="2336">
        <v>30.776266854548844</v>
      </c>
      <c r="BP54" s="2336">
        <v>30.938157307624707</v>
      </c>
      <c r="BQ54" s="2336">
        <v>31.097819079545378</v>
      </c>
      <c r="BR54" s="2336">
        <v>31.243705295058287</v>
      </c>
      <c r="BS54" s="2336">
        <v>31.396436319734011</v>
      </c>
      <c r="BT54" s="2336">
        <v>31.560503567249043</v>
      </c>
      <c r="BU54" s="2336">
        <v>31.722629159214289</v>
      </c>
      <c r="BV54" s="2336">
        <v>31.883911484810532</v>
      </c>
      <c r="BW54" s="2336">
        <v>32.04433489270567</v>
      </c>
      <c r="BX54" s="2336">
        <v>32.203886690888943</v>
      </c>
      <c r="BY54" s="2336">
        <v>32.362556980611458</v>
      </c>
      <c r="BZ54" s="2336">
        <v>32.520338374628899</v>
      </c>
      <c r="CA54" s="2336">
        <v>32.677225656854169</v>
      </c>
      <c r="CB54" s="2336">
        <v>32.833215423916819</v>
      </c>
      <c r="CC54" s="2336">
        <v>32.988305710697908</v>
      </c>
      <c r="CD54" s="2336">
        <v>33.142495686505242</v>
      </c>
      <c r="CE54" s="2336">
        <v>33.295785508507699</v>
      </c>
      <c r="CF54" s="2336">
        <v>33.448176189877039</v>
      </c>
      <c r="CG54" s="2336">
        <v>33.59966944458764</v>
      </c>
      <c r="CH54" s="2336">
        <v>33.750318039932026</v>
      </c>
      <c r="CI54" s="2336">
        <v>33.900117690677135</v>
      </c>
      <c r="CJ54" s="2336">
        <v>34.049064326559595</v>
      </c>
      <c r="CK54" s="2336">
        <v>34.19715408862794</v>
      </c>
      <c r="CL54" s="2336">
        <v>34.344383325614935</v>
      </c>
      <c r="CM54" s="2336">
        <v>34.490748590341745</v>
      </c>
      <c r="CN54" s="2336">
        <v>34.636246636154581</v>
      </c>
      <c r="CO54" s="2336">
        <v>34.780874413395395</v>
      </c>
      <c r="CP54" s="2336">
        <v>34.924629065908881</v>
      </c>
      <c r="CQ54" s="2336">
        <v>35.067507927585453</v>
      </c>
      <c r="CR54" s="2336">
        <v>35.209508518942364</v>
      </c>
      <c r="CS54" s="2336">
        <v>35.350628543742879</v>
      </c>
      <c r="CT54" s="2336">
        <v>35.49086588565352</v>
      </c>
      <c r="CU54" s="2336">
        <v>35.630218604942939</v>
      </c>
      <c r="CV54" s="2336">
        <v>35.768684935218687</v>
      </c>
      <c r="CW54" s="2336">
        <v>35.90626328020516</v>
      </c>
      <c r="CX54" s="2336">
        <v>36.042952210562284</v>
      </c>
      <c r="CY54" s="2336">
        <v>36.178750460743814</v>
      </c>
      <c r="CZ54" s="2336">
        <v>36.313656925897057</v>
      </c>
      <c r="DA54" s="2336">
        <v>36.447670658803681</v>
      </c>
      <c r="DB54" s="2336">
        <v>36.580790866859708</v>
      </c>
      <c r="DC54" s="2336">
        <v>36.71301690909651</v>
      </c>
      <c r="DD54" s="2336">
        <v>36.844348293242277</v>
      </c>
      <c r="DE54" s="2336">
        <v>36.974784672823418</v>
      </c>
      <c r="DF54" s="2336">
        <v>37.104325844304142</v>
      </c>
      <c r="DG54" s="2336">
        <v>37.232971744267097</v>
      </c>
      <c r="DH54" s="2336">
        <v>37.360722446631229</v>
      </c>
      <c r="DI54" s="2336">
        <v>37.487578159908871</v>
      </c>
      <c r="DJ54" s="2336">
        <v>37.613539224500599</v>
      </c>
      <c r="DK54" s="2344">
        <v>37.738606110026502</v>
      </c>
      <c r="DL54" s="2336">
        <v>37.862779412696071</v>
      </c>
      <c r="DM54" s="2336">
        <v>37.98605985271216</v>
      </c>
      <c r="DN54" s="2336">
        <v>38.108448271713172</v>
      </c>
      <c r="DO54" s="2336">
        <v>38.229945630248324</v>
      </c>
      <c r="DP54" s="2336">
        <v>38.350553005288987</v>
      </c>
      <c r="DQ54" s="2336">
        <v>38.470271587773361</v>
      </c>
      <c r="DR54" s="2336">
        <v>38.589102680184595</v>
      </c>
      <c r="DS54" s="2336">
        <v>38.707047694163187</v>
      </c>
      <c r="DT54" s="2336">
        <v>38.82410814814935</v>
      </c>
      <c r="DU54" s="2336">
        <v>38.940285665059342</v>
      </c>
    </row>
    <row r="55" spans="1:125" ht="14.25">
      <c r="A55" s="904">
        <v>53</v>
      </c>
      <c r="B55" s="92"/>
      <c r="C55" s="92"/>
      <c r="D55" s="92"/>
      <c r="E55" s="92"/>
      <c r="F55" s="92"/>
      <c r="G55" s="92"/>
      <c r="H55" s="92"/>
      <c r="I55" s="92"/>
      <c r="J55" s="92"/>
      <c r="K55" s="92"/>
      <c r="L55" s="92"/>
      <c r="M55" s="92"/>
      <c r="N55" s="92"/>
      <c r="O55" s="92"/>
      <c r="P55" s="92"/>
      <c r="Q55" s="92"/>
      <c r="R55" s="92"/>
      <c r="S55" s="92"/>
      <c r="T55" s="92"/>
      <c r="U55" s="92"/>
      <c r="V55" s="739"/>
      <c r="W55" s="2338">
        <v>23.44</v>
      </c>
      <c r="X55" s="2338">
        <v>23.68</v>
      </c>
      <c r="Y55" s="2336">
        <v>23.787968305721421</v>
      </c>
      <c r="Z55" s="2336">
        <v>24.024885837332189</v>
      </c>
      <c r="AA55" s="2336">
        <v>24.233672341971577</v>
      </c>
      <c r="AB55" s="2336">
        <v>24.402167228077563</v>
      </c>
      <c r="AC55" s="2336">
        <v>24.422015180939397</v>
      </c>
      <c r="AD55" s="2336">
        <v>24.385309131859401</v>
      </c>
      <c r="AE55" s="2336">
        <v>24.498668573328136</v>
      </c>
      <c r="AF55" s="2336">
        <v>24.719764120649344</v>
      </c>
      <c r="AG55" s="2336">
        <v>24.971474266831425</v>
      </c>
      <c r="AH55" s="2336">
        <v>25.240538891731752</v>
      </c>
      <c r="AI55" s="2336">
        <v>25.482093385392755</v>
      </c>
      <c r="AJ55" s="2336">
        <v>25.755853441639605</v>
      </c>
      <c r="AK55" s="2336">
        <v>26.032362487557503</v>
      </c>
      <c r="AL55" s="2336">
        <v>26.351145839767476</v>
      </c>
      <c r="AM55" s="2336">
        <v>26.63791075675892</v>
      </c>
      <c r="AN55" s="2336">
        <v>26.83960056266957</v>
      </c>
      <c r="AO55" s="2336">
        <v>26.976860107374659</v>
      </c>
      <c r="AP55" s="2336">
        <v>27.117584718985427</v>
      </c>
      <c r="AQ55" s="2336">
        <v>27.268464490163733</v>
      </c>
      <c r="AR55" s="2336">
        <v>27.444786567105425</v>
      </c>
      <c r="AS55" s="2336">
        <v>27.452932524559213</v>
      </c>
      <c r="AT55" s="2336">
        <v>27.491811582476231</v>
      </c>
      <c r="AU55" s="2336">
        <v>27.545198560404394</v>
      </c>
      <c r="AV55" s="2336">
        <v>27.566703751765466</v>
      </c>
      <c r="AW55" s="2336">
        <v>27.776953893287928</v>
      </c>
      <c r="AX55" s="2336">
        <v>27.838966137991161</v>
      </c>
      <c r="AY55" s="2336">
        <v>27.894097459622117</v>
      </c>
      <c r="AZ55" s="2336">
        <v>27.954802498682024</v>
      </c>
      <c r="BA55" s="2336">
        <v>27.996612716598747</v>
      </c>
      <c r="BB55" s="2336">
        <v>28.090906724090232</v>
      </c>
      <c r="BC55" s="2336">
        <v>28.181456887853027</v>
      </c>
      <c r="BD55" s="2336">
        <v>28.298186876407009</v>
      </c>
      <c r="BE55" s="2336">
        <v>28.424650388518216</v>
      </c>
      <c r="BF55" s="2336">
        <v>28.55124329541529</v>
      </c>
      <c r="BG55" s="2336">
        <v>28.677409810387601</v>
      </c>
      <c r="BH55" s="2336">
        <v>28.847952220220872</v>
      </c>
      <c r="BI55" s="2336">
        <v>28.9723853153872</v>
      </c>
      <c r="BJ55" s="2336">
        <v>29.128761016894511</v>
      </c>
      <c r="BK55" s="2336">
        <v>29.264876137374745</v>
      </c>
      <c r="BL55" s="2336">
        <v>29.441963808057888</v>
      </c>
      <c r="BM55" s="2336">
        <v>29.602402520962016</v>
      </c>
      <c r="BN55" s="2336">
        <v>29.754952888976113</v>
      </c>
      <c r="BO55" s="2336">
        <v>29.900420169580951</v>
      </c>
      <c r="BP55" s="2336">
        <v>30.060815459246438</v>
      </c>
      <c r="BQ55" s="2336">
        <v>30.217871315648459</v>
      </c>
      <c r="BR55" s="2336">
        <v>30.369882369784637</v>
      </c>
      <c r="BS55" s="2336">
        <v>30.529050798972069</v>
      </c>
      <c r="BT55" s="2336">
        <v>30.690097533710432</v>
      </c>
      <c r="BU55" s="2336">
        <v>30.85034043834824</v>
      </c>
      <c r="BV55" s="2336">
        <v>31.009760854399698</v>
      </c>
      <c r="BW55" s="2336">
        <v>31.168343040791058</v>
      </c>
      <c r="BX55" s="2336">
        <v>31.32607422387537</v>
      </c>
      <c r="BY55" s="2336">
        <v>31.482944429744023</v>
      </c>
      <c r="BZ55" s="2336">
        <v>31.638946200550169</v>
      </c>
      <c r="CA55" s="2336">
        <v>31.794074252209636</v>
      </c>
      <c r="CB55" s="2336">
        <v>31.948325114138399</v>
      </c>
      <c r="CC55" s="2336">
        <v>32.101696753098999</v>
      </c>
      <c r="CD55" s="2336">
        <v>32.254188268112635</v>
      </c>
      <c r="CE55" s="2336">
        <v>32.405799743301031</v>
      </c>
      <c r="CF55" s="2336">
        <v>32.556532115555413</v>
      </c>
      <c r="CG55" s="2336">
        <v>32.706442782093603</v>
      </c>
      <c r="CH55" s="2336">
        <v>32.855527153076501</v>
      </c>
      <c r="CI55" s="2336">
        <v>33.003780854155622</v>
      </c>
      <c r="CJ55" s="2336">
        <v>33.151199722893807</v>
      </c>
      <c r="CK55" s="2336">
        <v>33.297779805212315</v>
      </c>
      <c r="CL55" s="2336">
        <v>33.443517351867392</v>
      </c>
      <c r="CM55" s="2336">
        <v>33.588408814958122</v>
      </c>
      <c r="CN55" s="2336">
        <v>33.732450844465852</v>
      </c>
      <c r="CO55" s="2336">
        <v>33.875640284826936</v>
      </c>
      <c r="CP55" s="2336">
        <v>34.017974171540757</v>
      </c>
      <c r="CQ55" s="2336">
        <v>34.159449727812742</v>
      </c>
      <c r="CR55" s="2336">
        <v>34.300064361234398</v>
      </c>
      <c r="CS55" s="2336">
        <v>34.439815660500201</v>
      </c>
      <c r="CT55" s="2336">
        <v>34.578701392161427</v>
      </c>
      <c r="CU55" s="2336">
        <v>34.716719497420193</v>
      </c>
      <c r="CV55" s="2336">
        <v>34.85386808896012</v>
      </c>
      <c r="CW55" s="2336">
        <v>34.990145447816758</v>
      </c>
      <c r="CX55" s="2336">
        <v>35.125550020287328</v>
      </c>
      <c r="CY55" s="2336">
        <v>35.260080414878516</v>
      </c>
      <c r="CZ55" s="2336">
        <v>35.393735399294329</v>
      </c>
      <c r="DA55" s="2336">
        <v>35.52651389746331</v>
      </c>
      <c r="DB55" s="2336">
        <v>35.658414986603468</v>
      </c>
      <c r="DC55" s="2336">
        <v>35.789437894326596</v>
      </c>
      <c r="DD55" s="2336">
        <v>35.919581995781421</v>
      </c>
      <c r="DE55" s="2336">
        <v>36.048846810835016</v>
      </c>
      <c r="DF55" s="2336">
        <v>36.177232001290776</v>
      </c>
      <c r="DG55" s="2336">
        <v>36.304737368145773</v>
      </c>
      <c r="DH55" s="2336">
        <v>36.431362848883644</v>
      </c>
      <c r="DI55" s="2336">
        <v>36.557108514805044</v>
      </c>
      <c r="DJ55" s="2336">
        <v>36.681974568394132</v>
      </c>
      <c r="DK55" s="2344">
        <v>36.805961340719804</v>
      </c>
      <c r="DL55" s="2336">
        <v>36.929069288873912</v>
      </c>
      <c r="DM55" s="2336">
        <v>37.05129899344174</v>
      </c>
      <c r="DN55" s="2336">
        <v>37.172651156009159</v>
      </c>
      <c r="DO55" s="2336">
        <v>37.293126596701079</v>
      </c>
      <c r="DP55" s="2336">
        <v>37.412726251754385</v>
      </c>
      <c r="DQ55" s="2336">
        <v>37.531451171122498</v>
      </c>
      <c r="DR55" s="2336">
        <v>37.649302516111739</v>
      </c>
      <c r="DS55" s="2336">
        <v>37.766281557050391</v>
      </c>
      <c r="DT55" s="2336">
        <v>37.882389670986036</v>
      </c>
      <c r="DU55" s="2336">
        <v>37.9976283394153</v>
      </c>
    </row>
    <row r="56" spans="1:125" ht="14.25">
      <c r="A56" s="904">
        <v>54</v>
      </c>
      <c r="B56" s="92"/>
      <c r="C56" s="92"/>
      <c r="D56" s="92"/>
      <c r="E56" s="92"/>
      <c r="F56" s="92"/>
      <c r="G56" s="92"/>
      <c r="H56" s="92"/>
      <c r="I56" s="92"/>
      <c r="J56" s="92"/>
      <c r="K56" s="92"/>
      <c r="L56" s="92"/>
      <c r="M56" s="92"/>
      <c r="N56" s="92"/>
      <c r="O56" s="92"/>
      <c r="P56" s="92"/>
      <c r="Q56" s="92"/>
      <c r="R56" s="92"/>
      <c r="S56" s="92"/>
      <c r="T56" s="92"/>
      <c r="U56" s="92"/>
      <c r="V56" s="739"/>
      <c r="W56" s="2338">
        <v>22.67</v>
      </c>
      <c r="X56" s="2338">
        <v>22.91</v>
      </c>
      <c r="Y56" s="2336">
        <v>23.016089355147582</v>
      </c>
      <c r="Z56" s="2336">
        <v>23.255936665241375</v>
      </c>
      <c r="AA56" s="2336">
        <v>23.455819870816907</v>
      </c>
      <c r="AB56" s="2336">
        <v>23.627357529310551</v>
      </c>
      <c r="AC56" s="2336">
        <v>23.649193940219458</v>
      </c>
      <c r="AD56" s="2336">
        <v>23.617090377987676</v>
      </c>
      <c r="AE56" s="2336">
        <v>23.728833510797447</v>
      </c>
      <c r="AF56" s="2336">
        <v>23.951986414931266</v>
      </c>
      <c r="AG56" s="2336">
        <v>24.195171028801767</v>
      </c>
      <c r="AH56" s="2336">
        <v>24.463702378953624</v>
      </c>
      <c r="AI56" s="2336">
        <v>24.70558286773085</v>
      </c>
      <c r="AJ56" s="2336">
        <v>24.976041820776963</v>
      </c>
      <c r="AK56" s="2336">
        <v>25.249061079023651</v>
      </c>
      <c r="AL56" s="2336">
        <v>25.568397929782773</v>
      </c>
      <c r="AM56" s="2336">
        <v>25.858717382683928</v>
      </c>
      <c r="AN56" s="2336">
        <v>26.046606525138685</v>
      </c>
      <c r="AO56" s="2336">
        <v>26.185713485577796</v>
      </c>
      <c r="AP56" s="2336">
        <v>26.317426458431136</v>
      </c>
      <c r="AQ56" s="2336">
        <v>26.467304434709963</v>
      </c>
      <c r="AR56" s="2336">
        <v>26.642446692798831</v>
      </c>
      <c r="AS56" s="2336">
        <v>26.646082392700453</v>
      </c>
      <c r="AT56" s="2336">
        <v>26.684508727495306</v>
      </c>
      <c r="AU56" s="2336">
        <v>26.724537506791538</v>
      </c>
      <c r="AV56" s="2336">
        <v>26.751239018244572</v>
      </c>
      <c r="AW56" s="2336">
        <v>26.946695189847865</v>
      </c>
      <c r="AX56" s="2336">
        <v>27.00689597253545</v>
      </c>
      <c r="AY56" s="2336">
        <v>27.071650712183047</v>
      </c>
      <c r="AZ56" s="2336">
        <v>27.127940601475398</v>
      </c>
      <c r="BA56" s="2336">
        <v>27.167862681065149</v>
      </c>
      <c r="BB56" s="2336">
        <v>27.25493139006522</v>
      </c>
      <c r="BC56" s="2336">
        <v>27.345918729033006</v>
      </c>
      <c r="BD56" s="2336">
        <v>27.461247325741557</v>
      </c>
      <c r="BE56" s="2336">
        <v>27.583290668301316</v>
      </c>
      <c r="BF56" s="2336">
        <v>27.708745331561371</v>
      </c>
      <c r="BG56" s="2336">
        <v>27.839353188919777</v>
      </c>
      <c r="BH56" s="2336">
        <v>27.998289294737805</v>
      </c>
      <c r="BI56" s="2336">
        <v>28.121750698463135</v>
      </c>
      <c r="BJ56" s="2336">
        <v>28.2781898518144</v>
      </c>
      <c r="BK56" s="2336">
        <v>28.413278292195159</v>
      </c>
      <c r="BL56" s="2336">
        <v>28.587763701540304</v>
      </c>
      <c r="BM56" s="2336">
        <v>28.738041512931254</v>
      </c>
      <c r="BN56" s="2336">
        <v>28.891195429639442</v>
      </c>
      <c r="BO56" s="2336">
        <v>29.033791656299822</v>
      </c>
      <c r="BP56" s="2336">
        <v>29.192684164246575</v>
      </c>
      <c r="BQ56" s="2336">
        <v>29.349859816356226</v>
      </c>
      <c r="BR56" s="2336">
        <v>29.507593316036655</v>
      </c>
      <c r="BS56" s="2336">
        <v>29.667422299142196</v>
      </c>
      <c r="BT56" s="2336">
        <v>29.826490065954278</v>
      </c>
      <c r="BU56" s="2336">
        <v>29.984775155287043</v>
      </c>
      <c r="BV56" s="2336">
        <v>30.142258821381272</v>
      </c>
      <c r="BW56" s="2336">
        <v>30.298925245526597</v>
      </c>
      <c r="BX56" s="2336">
        <v>30.454761585146365</v>
      </c>
      <c r="BY56" s="2336">
        <v>30.609757804335349</v>
      </c>
      <c r="BZ56" s="2336">
        <v>30.763906388093609</v>
      </c>
      <c r="CA56" s="2336">
        <v>30.917201997902804</v>
      </c>
      <c r="CB56" s="2336">
        <v>31.069641109480219</v>
      </c>
      <c r="CC56" s="2336">
        <v>31.22122163478689</v>
      </c>
      <c r="CD56" s="2336">
        <v>31.371942615563906</v>
      </c>
      <c r="CE56" s="2336">
        <v>31.521804075527584</v>
      </c>
      <c r="CF56" s="2336">
        <v>31.670867502852353</v>
      </c>
      <c r="CG56" s="2336">
        <v>31.819128016585701</v>
      </c>
      <c r="CH56" s="2336">
        <v>31.966580951187289</v>
      </c>
      <c r="CI56" s="2336">
        <v>32.113221853036478</v>
      </c>
      <c r="CJ56" s="2336">
        <v>32.25904647696558</v>
      </c>
      <c r="CK56" s="2336">
        <v>32.404050782819155</v>
      </c>
      <c r="CL56" s="2336">
        <v>32.548230932042124</v>
      </c>
      <c r="CM56" s="2336">
        <v>32.691583284298588</v>
      </c>
      <c r="CN56" s="2336">
        <v>32.834104394121439</v>
      </c>
      <c r="CO56" s="2336">
        <v>32.975791007594381</v>
      </c>
      <c r="CP56" s="2336">
        <v>33.116640059068331</v>
      </c>
      <c r="CQ56" s="2336">
        <v>33.256648667911719</v>
      </c>
      <c r="CR56" s="2336">
        <v>33.395814135296725</v>
      </c>
      <c r="CS56" s="2336">
        <v>33.534133941021153</v>
      </c>
      <c r="CT56" s="2336">
        <v>33.671605740365969</v>
      </c>
      <c r="CU56" s="2336">
        <v>33.808227360991708</v>
      </c>
      <c r="CV56" s="2336">
        <v>33.943996799870142</v>
      </c>
      <c r="CW56" s="2336">
        <v>34.078912220254246</v>
      </c>
      <c r="CX56" s="2336">
        <v>34.212971948685983</v>
      </c>
      <c r="CY56" s="2336">
        <v>34.346174472040609</v>
      </c>
      <c r="CZ56" s="2336">
        <v>34.478518434609477</v>
      </c>
      <c r="DA56" s="2336">
        <v>34.610002635220525</v>
      </c>
      <c r="DB56" s="2336">
        <v>34.740626024394942</v>
      </c>
      <c r="DC56" s="2336">
        <v>34.870387701541425</v>
      </c>
      <c r="DD56" s="2336">
        <v>34.999286912187671</v>
      </c>
      <c r="DE56" s="2336">
        <v>35.12732304524836</v>
      </c>
      <c r="DF56" s="2336">
        <v>35.254495630328009</v>
      </c>
      <c r="DG56" s="2336">
        <v>35.380804335061356</v>
      </c>
      <c r="DH56" s="2336">
        <v>35.506248962487717</v>
      </c>
      <c r="DI56" s="2336">
        <v>35.630829448460872</v>
      </c>
      <c r="DJ56" s="2336">
        <v>35.754545859093462</v>
      </c>
      <c r="DK56" s="2344">
        <v>35.877398388234205</v>
      </c>
      <c r="DL56" s="2336">
        <v>35.999387354980357</v>
      </c>
      <c r="DM56" s="2336">
        <v>36.120513201220724</v>
      </c>
      <c r="DN56" s="2336">
        <v>36.240776489213438</v>
      </c>
      <c r="DO56" s="2336">
        <v>36.360177899193417</v>
      </c>
      <c r="DP56" s="2336">
        <v>36.478718227012429</v>
      </c>
      <c r="DQ56" s="2336">
        <v>36.596398381809159</v>
      </c>
      <c r="DR56" s="2336">
        <v>36.713219383709195</v>
      </c>
      <c r="DS56" s="2336">
        <v>36.829182361556136</v>
      </c>
      <c r="DT56" s="2336">
        <v>36.944288550669114</v>
      </c>
      <c r="DU56" s="2336">
        <v>37.058539290631181</v>
      </c>
    </row>
    <row r="57" spans="1:125" ht="14.25">
      <c r="A57" s="904">
        <v>55</v>
      </c>
      <c r="B57" s="92"/>
      <c r="C57" s="92"/>
      <c r="D57" s="92"/>
      <c r="E57" s="92"/>
      <c r="F57" s="92"/>
      <c r="G57" s="92"/>
      <c r="H57" s="92"/>
      <c r="I57" s="92"/>
      <c r="J57" s="92"/>
      <c r="K57" s="92"/>
      <c r="L57" s="92"/>
      <c r="M57" s="92"/>
      <c r="N57" s="92"/>
      <c r="O57" s="92"/>
      <c r="P57" s="92"/>
      <c r="Q57" s="92"/>
      <c r="R57" s="92"/>
      <c r="S57" s="92"/>
      <c r="T57" s="92"/>
      <c r="U57" s="92"/>
      <c r="V57" s="739"/>
      <c r="W57" s="2338">
        <v>21.91</v>
      </c>
      <c r="X57" s="2338">
        <v>22.15</v>
      </c>
      <c r="Y57" s="2336">
        <v>22.250604054469999</v>
      </c>
      <c r="Z57" s="2336">
        <v>22.495404627202525</v>
      </c>
      <c r="AA57" s="2336">
        <v>22.695124369174117</v>
      </c>
      <c r="AB57" s="2336">
        <v>22.869491996865928</v>
      </c>
      <c r="AC57" s="2336">
        <v>22.886858084401368</v>
      </c>
      <c r="AD57" s="2336">
        <v>22.858638830448214</v>
      </c>
      <c r="AE57" s="2336">
        <v>22.971668545034706</v>
      </c>
      <c r="AF57" s="2336">
        <v>23.197610687323451</v>
      </c>
      <c r="AG57" s="2336">
        <v>23.43777252475795</v>
      </c>
      <c r="AH57" s="2336">
        <v>23.70038549636325</v>
      </c>
      <c r="AI57" s="2336">
        <v>23.946451214892292</v>
      </c>
      <c r="AJ57" s="2336">
        <v>24.200306028882647</v>
      </c>
      <c r="AK57" s="2336">
        <v>24.484326680316407</v>
      </c>
      <c r="AL57" s="2336">
        <v>24.790863395717185</v>
      </c>
      <c r="AM57" s="2336">
        <v>25.083535143509874</v>
      </c>
      <c r="AN57" s="2336">
        <v>25.269304608049154</v>
      </c>
      <c r="AO57" s="2336">
        <v>25.398487467799047</v>
      </c>
      <c r="AP57" s="2336">
        <v>25.533687077601961</v>
      </c>
      <c r="AQ57" s="2336">
        <v>25.678561490769361</v>
      </c>
      <c r="AR57" s="2336">
        <v>25.838923943428828</v>
      </c>
      <c r="AS57" s="2336">
        <v>25.841942610317393</v>
      </c>
      <c r="AT57" s="2336">
        <v>25.879179392354047</v>
      </c>
      <c r="AU57" s="2336">
        <v>25.92213483172258</v>
      </c>
      <c r="AV57" s="2336">
        <v>25.939294296974225</v>
      </c>
      <c r="AW57" s="2336">
        <v>26.12992185955531</v>
      </c>
      <c r="AX57" s="2336">
        <v>26.192110130698005</v>
      </c>
      <c r="AY57" s="2336">
        <v>26.249682312230856</v>
      </c>
      <c r="AZ57" s="2336">
        <v>26.309862441844142</v>
      </c>
      <c r="BA57" s="2336">
        <v>26.347057423855986</v>
      </c>
      <c r="BB57" s="2336">
        <v>26.426041939864348</v>
      </c>
      <c r="BC57" s="2336">
        <v>26.521421560091138</v>
      </c>
      <c r="BD57" s="2336">
        <v>26.634429833542111</v>
      </c>
      <c r="BE57" s="2336">
        <v>26.757309463373751</v>
      </c>
      <c r="BF57" s="2336">
        <v>26.881334989336015</v>
      </c>
      <c r="BG57" s="2336">
        <v>27.004500093838612</v>
      </c>
      <c r="BH57" s="2336">
        <v>27.166709832797551</v>
      </c>
      <c r="BI57" s="2336">
        <v>27.278820361429098</v>
      </c>
      <c r="BJ57" s="2336">
        <v>27.439192826184861</v>
      </c>
      <c r="BK57" s="2336">
        <v>27.569264015283949</v>
      </c>
      <c r="BL57" s="2336">
        <v>27.737921659410979</v>
      </c>
      <c r="BM57" s="2336">
        <v>27.887925310872991</v>
      </c>
      <c r="BN57" s="2336">
        <v>28.034946145651453</v>
      </c>
      <c r="BO57" s="2336">
        <v>28.174032809682856</v>
      </c>
      <c r="BP57" s="2336">
        <v>28.335213221020393</v>
      </c>
      <c r="BQ57" s="2336">
        <v>28.496815110214371</v>
      </c>
      <c r="BR57" s="2336">
        <v>28.655278360227545</v>
      </c>
      <c r="BS57" s="2336">
        <v>28.813025967242659</v>
      </c>
      <c r="BT57" s="2336">
        <v>28.970033931520799</v>
      </c>
      <c r="BU57" s="2336">
        <v>29.126280705098385</v>
      </c>
      <c r="BV57" s="2336">
        <v>29.281747466092192</v>
      </c>
      <c r="BW57" s="2336">
        <v>29.43641833007872</v>
      </c>
      <c r="BX57" s="2336">
        <v>29.590280398162189</v>
      </c>
      <c r="BY57" s="2336">
        <v>29.743323585577272</v>
      </c>
      <c r="BZ57" s="2336">
        <v>29.895540333645187</v>
      </c>
      <c r="CA57" s="2336">
        <v>30.04692526303451</v>
      </c>
      <c r="CB57" s="2336">
        <v>30.197474809353817</v>
      </c>
      <c r="CC57" s="2336">
        <v>30.347186843156553</v>
      </c>
      <c r="CD57" s="2336">
        <v>30.496060361977701</v>
      </c>
      <c r="CE57" s="2336">
        <v>30.644160277050627</v>
      </c>
      <c r="CF57" s="2336">
        <v>30.791481430945481</v>
      </c>
      <c r="CG57" s="2336">
        <v>30.938018880921422</v>
      </c>
      <c r="CH57" s="2336">
        <v>31.083767895533068</v>
      </c>
      <c r="CI57" s="2336">
        <v>31.228723951259067</v>
      </c>
      <c r="CJ57" s="2336">
        <v>31.372882729156046</v>
      </c>
      <c r="CK57" s="2336">
        <v>31.516240111538238</v>
      </c>
      <c r="CL57" s="2336">
        <v>31.658792178685289</v>
      </c>
      <c r="CM57" s="2336">
        <v>31.8005352055802</v>
      </c>
      <c r="CN57" s="2336">
        <v>31.941465658677195</v>
      </c>
      <c r="CO57" s="2336">
        <v>32.081580192701161</v>
      </c>
      <c r="CP57" s="2336">
        <v>32.22087564748044</v>
      </c>
      <c r="CQ57" s="2336">
        <v>32.359349044812426</v>
      </c>
      <c r="CR57" s="2336">
        <v>32.496997585364007</v>
      </c>
      <c r="CS57" s="2336">
        <v>32.633818645606283</v>
      </c>
      <c r="CT57" s="2336">
        <v>32.769809774783724</v>
      </c>
      <c r="CU57" s="2336">
        <v>32.904968691920708</v>
      </c>
      <c r="CV57" s="2336">
        <v>33.039293282861969</v>
      </c>
      <c r="CW57" s="2336">
        <v>33.172781597349733</v>
      </c>
      <c r="CX57" s="2336">
        <v>33.305431846137168</v>
      </c>
      <c r="CY57" s="2336">
        <v>33.437242398136704</v>
      </c>
      <c r="CZ57" s="2336">
        <v>33.568211777605221</v>
      </c>
      <c r="DA57" s="2336">
        <v>33.698338661365234</v>
      </c>
      <c r="DB57" s="2336">
        <v>33.827621876060455</v>
      </c>
      <c r="DC57" s="2336">
        <v>33.956060395447302</v>
      </c>
      <c r="DD57" s="2336">
        <v>34.083653337721749</v>
      </c>
      <c r="DE57" s="2336">
        <v>34.210399962880921</v>
      </c>
      <c r="DF57" s="2336">
        <v>34.336299670117725</v>
      </c>
      <c r="DG57" s="2336">
        <v>34.461351995251142</v>
      </c>
      <c r="DH57" s="2336">
        <v>34.585556608188625</v>
      </c>
      <c r="DI57" s="2336">
        <v>34.708913310422282</v>
      </c>
      <c r="DJ57" s="2336">
        <v>34.831422032557498</v>
      </c>
      <c r="DK57" s="2344">
        <v>34.953082831872685</v>
      </c>
      <c r="DL57" s="2336">
        <v>35.073895889912265</v>
      </c>
      <c r="DM57" s="2336">
        <v>35.193861510108441</v>
      </c>
      <c r="DN57" s="2336">
        <v>35.312980115435778</v>
      </c>
      <c r="DO57" s="2336">
        <v>35.431252246093607</v>
      </c>
      <c r="DP57" s="2336">
        <v>35.548678557219255</v>
      </c>
      <c r="DQ57" s="2336">
        <v>35.66525981662928</v>
      </c>
      <c r="DR57" s="2336">
        <v>35.780996902588981</v>
      </c>
      <c r="DS57" s="2336">
        <v>35.895890801610975</v>
      </c>
      <c r="DT57" s="2336">
        <v>36.009942606278592</v>
      </c>
      <c r="DU57" s="2336">
        <v>36.123153513098174</v>
      </c>
    </row>
    <row r="58" spans="1:125" ht="14.25">
      <c r="A58" s="904">
        <v>56</v>
      </c>
      <c r="B58" s="92"/>
      <c r="C58" s="92"/>
      <c r="D58" s="92"/>
      <c r="E58" s="92"/>
      <c r="F58" s="92"/>
      <c r="G58" s="92"/>
      <c r="H58" s="92"/>
      <c r="I58" s="92"/>
      <c r="J58" s="92"/>
      <c r="K58" s="92"/>
      <c r="L58" s="92"/>
      <c r="M58" s="92"/>
      <c r="N58" s="92"/>
      <c r="O58" s="92"/>
      <c r="P58" s="92"/>
      <c r="Q58" s="92"/>
      <c r="R58" s="92"/>
      <c r="S58" s="92"/>
      <c r="T58" s="92"/>
      <c r="U58" s="92"/>
      <c r="V58" s="739"/>
      <c r="W58" s="2338">
        <v>21.16</v>
      </c>
      <c r="X58" s="2338">
        <v>21.4</v>
      </c>
      <c r="Y58" s="2336">
        <v>21.500774387797456</v>
      </c>
      <c r="Z58" s="2336">
        <v>21.747916008946248</v>
      </c>
      <c r="AA58" s="2336">
        <v>21.943229636510775</v>
      </c>
      <c r="AB58" s="2336">
        <v>22.120916331321855</v>
      </c>
      <c r="AC58" s="2336">
        <v>22.139958451958258</v>
      </c>
      <c r="AD58" s="2336">
        <v>22.113191672875512</v>
      </c>
      <c r="AE58" s="2336">
        <v>22.232006293277266</v>
      </c>
      <c r="AF58" s="2336">
        <v>22.447462154003237</v>
      </c>
      <c r="AG58" s="2336">
        <v>22.690248433513933</v>
      </c>
      <c r="AH58" s="2336">
        <v>22.948849479213717</v>
      </c>
      <c r="AI58" s="2336">
        <v>23.191412142955741</v>
      </c>
      <c r="AJ58" s="2336">
        <v>23.447897568734628</v>
      </c>
      <c r="AK58" s="2336">
        <v>23.727421559344595</v>
      </c>
      <c r="AL58" s="2336">
        <v>24.027379574679951</v>
      </c>
      <c r="AM58" s="2336">
        <v>24.312867891243116</v>
      </c>
      <c r="AN58" s="2336">
        <v>24.494861172675893</v>
      </c>
      <c r="AO58" s="2336">
        <v>24.621562768153545</v>
      </c>
      <c r="AP58" s="2336">
        <v>24.755355610733002</v>
      </c>
      <c r="AQ58" s="2336">
        <v>24.890064181063636</v>
      </c>
      <c r="AR58" s="2336">
        <v>25.042357073277717</v>
      </c>
      <c r="AS58" s="2336">
        <v>25.044600282734667</v>
      </c>
      <c r="AT58" s="2336">
        <v>25.080045635244584</v>
      </c>
      <c r="AU58" s="2336">
        <v>25.123226494273535</v>
      </c>
      <c r="AV58" s="2336">
        <v>25.136967195374837</v>
      </c>
      <c r="AW58" s="2336">
        <v>25.326769622074917</v>
      </c>
      <c r="AX58" s="2336">
        <v>25.375082841981531</v>
      </c>
      <c r="AY58" s="2336">
        <v>25.442101874415076</v>
      </c>
      <c r="AZ58" s="2336">
        <v>25.493650598374625</v>
      </c>
      <c r="BA58" s="2336">
        <v>25.532655401934022</v>
      </c>
      <c r="BB58" s="2336">
        <v>25.603589775779515</v>
      </c>
      <c r="BC58" s="2336">
        <v>25.701271734733179</v>
      </c>
      <c r="BD58" s="2336">
        <v>25.813751359742206</v>
      </c>
      <c r="BE58" s="2336">
        <v>25.938067905967124</v>
      </c>
      <c r="BF58" s="2336">
        <v>26.057555220840477</v>
      </c>
      <c r="BG58" s="2336">
        <v>26.178884592036908</v>
      </c>
      <c r="BH58" s="2336">
        <v>26.32980754460894</v>
      </c>
      <c r="BI58" s="2336">
        <v>26.450634350953145</v>
      </c>
      <c r="BJ58" s="2336">
        <v>26.606595329705943</v>
      </c>
      <c r="BK58" s="2336">
        <v>26.73212516174468</v>
      </c>
      <c r="BL58" s="2336">
        <v>26.896380918231117</v>
      </c>
      <c r="BM58" s="2336">
        <v>27.044582883039599</v>
      </c>
      <c r="BN58" s="2336">
        <v>27.183195357613922</v>
      </c>
      <c r="BO58" s="2336">
        <v>27.338928699967944</v>
      </c>
      <c r="BP58" s="2336">
        <v>27.497642272189495</v>
      </c>
      <c r="BQ58" s="2336">
        <v>27.65457961709237</v>
      </c>
      <c r="BR58" s="2336">
        <v>27.810849612669582</v>
      </c>
      <c r="BS58" s="2336">
        <v>27.966426044495712</v>
      </c>
      <c r="BT58" s="2336">
        <v>28.121284824377241</v>
      </c>
      <c r="BU58" s="2336">
        <v>28.275404327347147</v>
      </c>
      <c r="BV58" s="2336">
        <v>28.428765666098005</v>
      </c>
      <c r="BW58" s="2336">
        <v>28.581352902088437</v>
      </c>
      <c r="BX58" s="2336">
        <v>28.733153092494728</v>
      </c>
      <c r="BY58" s="2336">
        <v>28.884156116696943</v>
      </c>
      <c r="BZ58" s="2336">
        <v>29.034354385745456</v>
      </c>
      <c r="CA58" s="2336">
        <v>29.183742493092183</v>
      </c>
      <c r="CB58" s="2336">
        <v>29.332316847822362</v>
      </c>
      <c r="CC58" s="2336">
        <v>29.480075292471895</v>
      </c>
      <c r="CD58" s="2336">
        <v>29.627085388736734</v>
      </c>
      <c r="CE58" s="2336">
        <v>29.77334171846076</v>
      </c>
      <c r="CF58" s="2336">
        <v>29.918839076755162</v>
      </c>
      <c r="CG58" s="2336">
        <v>30.063572468713915</v>
      </c>
      <c r="CH58" s="2336">
        <v>30.207537106150742</v>
      </c>
      <c r="CI58" s="2336">
        <v>30.350728404358055</v>
      </c>
      <c r="CJ58" s="2336">
        <v>30.493141978890936</v>
      </c>
      <c r="CK58" s="2336">
        <v>30.634773642376388</v>
      </c>
      <c r="CL58" s="2336">
        <v>30.775619401350141</v>
      </c>
      <c r="CM58" s="2336">
        <v>30.915675453122912</v>
      </c>
      <c r="CN58" s="2336">
        <v>31.054938182675759</v>
      </c>
      <c r="CO58" s="2336">
        <v>31.19340415958602</v>
      </c>
      <c r="CP58" s="2336">
        <v>31.331070134985598</v>
      </c>
      <c r="CQ58" s="2336">
        <v>31.467933038550868</v>
      </c>
      <c r="CR58" s="2336">
        <v>31.603989975526222</v>
      </c>
      <c r="CS58" s="2336">
        <v>31.739238223780518</v>
      </c>
      <c r="CT58" s="2336">
        <v>31.873675230896595</v>
      </c>
      <c r="CU58" s="2336">
        <v>32.007298611296676</v>
      </c>
      <c r="CV58" s="2336">
        <v>32.14010614340016</v>
      </c>
      <c r="CW58" s="2336">
        <v>32.272095766816427</v>
      </c>
      <c r="CX58" s="2336">
        <v>32.403265579572398</v>
      </c>
      <c r="CY58" s="2336">
        <v>32.533613835373153</v>
      </c>
      <c r="CZ58" s="2336">
        <v>32.663138940897724</v>
      </c>
      <c r="DA58" s="2336">
        <v>32.791839453129022</v>
      </c>
      <c r="DB58" s="2336">
        <v>32.919714076716367</v>
      </c>
      <c r="DC58" s="2336">
        <v>33.046761661372095</v>
      </c>
      <c r="DD58" s="2336">
        <v>33.17298119930151</v>
      </c>
      <c r="DE58" s="2336">
        <v>33.298371822665793</v>
      </c>
      <c r="DF58" s="2336">
        <v>33.422932801075923</v>
      </c>
      <c r="DG58" s="2336">
        <v>33.54666353912031</v>
      </c>
      <c r="DH58" s="2336">
        <v>33.669563573922602</v>
      </c>
      <c r="DI58" s="2336">
        <v>33.791632572731224</v>
      </c>
      <c r="DJ58" s="2336">
        <v>33.912870330539448</v>
      </c>
      <c r="DK58" s="2344">
        <v>34.033276767734534</v>
      </c>
      <c r="DL58" s="2336">
        <v>34.152851927778109</v>
      </c>
      <c r="DM58" s="2336">
        <v>34.271595974913424</v>
      </c>
      <c r="DN58" s="2336">
        <v>34.389509191903251</v>
      </c>
      <c r="DO58" s="2336">
        <v>34.506591977793875</v>
      </c>
      <c r="DP58" s="2336">
        <v>34.622844845707654</v>
      </c>
      <c r="DQ58" s="2336">
        <v>34.738268420661832</v>
      </c>
      <c r="DR58" s="2336">
        <v>34.852863437413532</v>
      </c>
      <c r="DS58" s="2336">
        <v>34.966630738331936</v>
      </c>
      <c r="DT58" s="2336">
        <v>35.079571271293361</v>
      </c>
      <c r="DU58" s="2336">
        <v>35.191686087603244</v>
      </c>
    </row>
    <row r="59" spans="1:125" ht="14.25">
      <c r="A59" s="904">
        <v>57</v>
      </c>
      <c r="B59" s="92"/>
      <c r="C59" s="92"/>
      <c r="D59" s="92"/>
      <c r="E59" s="92"/>
      <c r="F59" s="92"/>
      <c r="G59" s="92"/>
      <c r="H59" s="92"/>
      <c r="I59" s="92"/>
      <c r="J59" s="92"/>
      <c r="K59" s="92"/>
      <c r="L59" s="92"/>
      <c r="M59" s="92"/>
      <c r="N59" s="92"/>
      <c r="O59" s="92"/>
      <c r="P59" s="92"/>
      <c r="Q59" s="92"/>
      <c r="R59" s="92"/>
      <c r="S59" s="92"/>
      <c r="T59" s="92"/>
      <c r="U59" s="92"/>
      <c r="V59" s="739"/>
      <c r="W59" s="2338">
        <v>20.43</v>
      </c>
      <c r="X59" s="2338">
        <v>20.66</v>
      </c>
      <c r="Y59" s="2336">
        <v>20.769546244648446</v>
      </c>
      <c r="Z59" s="2336">
        <v>21.015103710802155</v>
      </c>
      <c r="AA59" s="2336">
        <v>21.205015488859168</v>
      </c>
      <c r="AB59" s="2336">
        <v>21.38726885644229</v>
      </c>
      <c r="AC59" s="2336">
        <v>21.399733470416876</v>
      </c>
      <c r="AD59" s="2336">
        <v>21.383337007958072</v>
      </c>
      <c r="AE59" s="2336">
        <v>21.505876649422696</v>
      </c>
      <c r="AF59" s="2336">
        <v>21.71328975190491</v>
      </c>
      <c r="AG59" s="2336">
        <v>21.951022094839075</v>
      </c>
      <c r="AH59" s="2336">
        <v>22.206228572400658</v>
      </c>
      <c r="AI59" s="2336">
        <v>22.454342380538968</v>
      </c>
      <c r="AJ59" s="2336">
        <v>22.709417148945697</v>
      </c>
      <c r="AK59" s="2336">
        <v>22.978298327841081</v>
      </c>
      <c r="AL59" s="2336">
        <v>23.275132061579814</v>
      </c>
      <c r="AM59" s="2336">
        <v>23.550739013438086</v>
      </c>
      <c r="AN59" s="2336">
        <v>23.729913201230623</v>
      </c>
      <c r="AO59" s="2336">
        <v>23.861832031664072</v>
      </c>
      <c r="AP59" s="2336">
        <v>23.980714318249834</v>
      </c>
      <c r="AQ59" s="2336">
        <v>24.104996950955172</v>
      </c>
      <c r="AR59" s="2336">
        <v>24.250765344724829</v>
      </c>
      <c r="AS59" s="2336">
        <v>24.257338778668402</v>
      </c>
      <c r="AT59" s="2336">
        <v>24.283512088518577</v>
      </c>
      <c r="AU59" s="2336">
        <v>24.322766801201762</v>
      </c>
      <c r="AV59" s="2336">
        <v>24.340799945346554</v>
      </c>
      <c r="AW59" s="2336">
        <v>24.519906390294651</v>
      </c>
      <c r="AX59" s="2336">
        <v>24.569162383600531</v>
      </c>
      <c r="AY59" s="2336">
        <v>24.636854951536481</v>
      </c>
      <c r="AZ59" s="2336">
        <v>24.685394338501965</v>
      </c>
      <c r="BA59" s="2336">
        <v>24.721832360239276</v>
      </c>
      <c r="BB59" s="2336">
        <v>24.794951174832875</v>
      </c>
      <c r="BC59" s="2336">
        <v>24.890079348910849</v>
      </c>
      <c r="BD59" s="2336">
        <v>25.000994569681371</v>
      </c>
      <c r="BE59" s="2336">
        <v>25.118459990611708</v>
      </c>
      <c r="BF59" s="2336">
        <v>25.241744654643995</v>
      </c>
      <c r="BG59" s="2336">
        <v>25.358108470059157</v>
      </c>
      <c r="BH59" s="2336">
        <v>25.507854644367104</v>
      </c>
      <c r="BI59" s="2336">
        <v>25.631549706376333</v>
      </c>
      <c r="BJ59" s="2336">
        <v>25.782059481392281</v>
      </c>
      <c r="BK59" s="2336">
        <v>25.905074908089798</v>
      </c>
      <c r="BL59" s="2336">
        <v>26.059562751735971</v>
      </c>
      <c r="BM59" s="2336">
        <v>26.210610556874414</v>
      </c>
      <c r="BN59" s="2336">
        <v>26.355918285746142</v>
      </c>
      <c r="BO59" s="2336">
        <v>26.511304619352394</v>
      </c>
      <c r="BP59" s="2336">
        <v>26.666539914508721</v>
      </c>
      <c r="BQ59" s="2336">
        <v>26.821158616095392</v>
      </c>
      <c r="BR59" s="2336">
        <v>26.975132682525789</v>
      </c>
      <c r="BS59" s="2336">
        <v>27.128435806875615</v>
      </c>
      <c r="BT59" s="2336">
        <v>27.281043820371394</v>
      </c>
      <c r="BU59" s="2336">
        <v>27.43293503000622</v>
      </c>
      <c r="BV59" s="2336">
        <v>27.584090493101137</v>
      </c>
      <c r="BW59" s="2336">
        <v>27.734494228101845</v>
      </c>
      <c r="BX59" s="2336">
        <v>27.884133260298359</v>
      </c>
      <c r="BY59" s="2336">
        <v>28.032997445986055</v>
      </c>
      <c r="BZ59" s="2336">
        <v>28.18107917920053</v>
      </c>
      <c r="CA59" s="2336">
        <v>28.328373039674947</v>
      </c>
      <c r="CB59" s="2336">
        <v>28.474875423483905</v>
      </c>
      <c r="CC59" s="2336">
        <v>28.620655650067171</v>
      </c>
      <c r="CD59" s="2336">
        <v>28.765708057439564</v>
      </c>
      <c r="CE59" s="2336">
        <v>28.910027194691448</v>
      </c>
      <c r="CF59" s="2336">
        <v>29.053607818828091</v>
      </c>
      <c r="CG59" s="2336">
        <v>29.196444891626566</v>
      </c>
      <c r="CH59" s="2336">
        <v>29.338533576514198</v>
      </c>
      <c r="CI59" s="2336">
        <v>29.479869235468723</v>
      </c>
      <c r="CJ59" s="2336">
        <v>29.620447425943173</v>
      </c>
      <c r="CK59" s="2336">
        <v>29.760263897815538</v>
      </c>
      <c r="CL59" s="2336">
        <v>29.899314590365275</v>
      </c>
      <c r="CM59" s="2336">
        <v>30.03759562927852</v>
      </c>
      <c r="CN59" s="2336">
        <v>30.175103323681494</v>
      </c>
      <c r="CO59" s="2336">
        <v>30.311834163203418</v>
      </c>
      <c r="CP59" s="2336">
        <v>30.447784815070676</v>
      </c>
      <c r="CQ59" s="2336">
        <v>30.58295212123129</v>
      </c>
      <c r="CR59" s="2336">
        <v>30.717333095511759</v>
      </c>
      <c r="CS59" s="2336">
        <v>30.850924920805312</v>
      </c>
      <c r="CT59" s="2336">
        <v>30.983724946291709</v>
      </c>
      <c r="CU59" s="2336">
        <v>31.115730684691385</v>
      </c>
      <c r="CV59" s="2336">
        <v>31.246939809550238</v>
      </c>
      <c r="CW59" s="2336">
        <v>31.377350152557778</v>
      </c>
      <c r="CX59" s="2336">
        <v>31.506959700898161</v>
      </c>
      <c r="CY59" s="2336">
        <v>31.635766594632507</v>
      </c>
      <c r="CZ59" s="2336">
        <v>31.763769124114479</v>
      </c>
      <c r="DA59" s="2336">
        <v>31.890965727438019</v>
      </c>
      <c r="DB59" s="2336">
        <v>32.01735498791578</v>
      </c>
      <c r="DC59" s="2336">
        <v>32.142935631589545</v>
      </c>
      <c r="DD59" s="2336">
        <v>32.267706524772095</v>
      </c>
      <c r="DE59" s="2336">
        <v>32.391666671619774</v>
      </c>
      <c r="DF59" s="2336">
        <v>32.514815211734174</v>
      </c>
      <c r="DG59" s="2336">
        <v>32.637151417795295</v>
      </c>
      <c r="DH59" s="2336">
        <v>32.758674693222815</v>
      </c>
      <c r="DI59" s="2336">
        <v>32.879384569867021</v>
      </c>
      <c r="DJ59" s="2336">
        <v>32.999280705727998</v>
      </c>
      <c r="DK59" s="2344">
        <v>33.118362882701895</v>
      </c>
      <c r="DL59" s="2336">
        <v>33.236631004356219</v>
      </c>
      <c r="DM59" s="2336">
        <v>33.354085093729857</v>
      </c>
      <c r="DN59" s="2336">
        <v>33.470725291161664</v>
      </c>
      <c r="DO59" s="2336">
        <v>33.586551852142911</v>
      </c>
      <c r="DP59" s="2336">
        <v>33.701565145196334</v>
      </c>
      <c r="DQ59" s="2336">
        <v>33.815765649779152</v>
      </c>
      <c r="DR59" s="2336">
        <v>33.929153954210314</v>
      </c>
      <c r="DS59" s="2336">
        <v>34.041730753622737</v>
      </c>
      <c r="DT59" s="2336">
        <v>34.153496847936488</v>
      </c>
      <c r="DU59" s="2336">
        <v>34.264453139856649</v>
      </c>
    </row>
    <row r="60" spans="1:125" ht="14.25">
      <c r="A60" s="904">
        <v>58</v>
      </c>
      <c r="B60" s="92"/>
      <c r="C60" s="92"/>
      <c r="D60" s="92"/>
      <c r="E60" s="92"/>
      <c r="F60" s="92"/>
      <c r="G60" s="92"/>
      <c r="H60" s="92"/>
      <c r="I60" s="92"/>
      <c r="J60" s="92"/>
      <c r="K60" s="92"/>
      <c r="L60" s="92"/>
      <c r="M60" s="92"/>
      <c r="N60" s="92"/>
      <c r="O60" s="92"/>
      <c r="P60" s="92"/>
      <c r="Q60" s="92"/>
      <c r="R60" s="92"/>
      <c r="S60" s="92"/>
      <c r="T60" s="92"/>
      <c r="U60" s="92"/>
      <c r="V60" s="739"/>
      <c r="W60" s="2338">
        <v>19.71</v>
      </c>
      <c r="X60" s="2338">
        <v>19.940000000000001</v>
      </c>
      <c r="Y60" s="2336">
        <v>20.059881710689023</v>
      </c>
      <c r="Z60" s="2336">
        <v>20.287366135458381</v>
      </c>
      <c r="AA60" s="2336">
        <v>20.483978901892954</v>
      </c>
      <c r="AB60" s="2336">
        <v>20.661283013306736</v>
      </c>
      <c r="AC60" s="2336">
        <v>20.672572355350027</v>
      </c>
      <c r="AD60" s="2336">
        <v>20.65840845335665</v>
      </c>
      <c r="AE60" s="2336">
        <v>20.782901486963112</v>
      </c>
      <c r="AF60" s="2336">
        <v>20.993278271626863</v>
      </c>
      <c r="AG60" s="2336">
        <v>21.221733139269016</v>
      </c>
      <c r="AH60" s="2336">
        <v>21.483319041359781</v>
      </c>
      <c r="AI60" s="2336">
        <v>21.729755760526018</v>
      </c>
      <c r="AJ60" s="2336">
        <v>21.979098607191808</v>
      </c>
      <c r="AK60" s="2336">
        <v>22.240876525075922</v>
      </c>
      <c r="AL60" s="2336">
        <v>22.536220383815483</v>
      </c>
      <c r="AM60" s="2336">
        <v>22.803876431410895</v>
      </c>
      <c r="AN60" s="2336">
        <v>22.979639174006721</v>
      </c>
      <c r="AO60" s="2336">
        <v>23.101980348104153</v>
      </c>
      <c r="AP60" s="2336">
        <v>23.214245269330704</v>
      </c>
      <c r="AQ60" s="2336">
        <v>23.325997864818849</v>
      </c>
      <c r="AR60" s="2336">
        <v>23.470640501484429</v>
      </c>
      <c r="AS60" s="2336">
        <v>23.476489029153459</v>
      </c>
      <c r="AT60" s="2336">
        <v>23.499658608649415</v>
      </c>
      <c r="AU60" s="2336">
        <v>23.537259294561341</v>
      </c>
      <c r="AV60" s="2336">
        <v>23.552479638203426</v>
      </c>
      <c r="AW60" s="2336">
        <v>23.723630559609102</v>
      </c>
      <c r="AX60" s="2336">
        <v>23.769060151928603</v>
      </c>
      <c r="AY60" s="2336">
        <v>23.821598849546454</v>
      </c>
      <c r="AZ60" s="2336">
        <v>23.881485134568599</v>
      </c>
      <c r="BA60" s="2336">
        <v>23.91430058482991</v>
      </c>
      <c r="BB60" s="2336">
        <v>23.994902606235168</v>
      </c>
      <c r="BC60" s="2336">
        <v>24.091882914522216</v>
      </c>
      <c r="BD60" s="2336">
        <v>24.197468408079196</v>
      </c>
      <c r="BE60" s="2336">
        <v>24.319608876892598</v>
      </c>
      <c r="BF60" s="2336">
        <v>24.431174395782005</v>
      </c>
      <c r="BG60" s="2336">
        <v>24.55416673098787</v>
      </c>
      <c r="BH60" s="2336">
        <v>24.694376304711845</v>
      </c>
      <c r="BI60" s="2336">
        <v>24.81785185492987</v>
      </c>
      <c r="BJ60" s="2336">
        <v>24.965263097388821</v>
      </c>
      <c r="BK60" s="2336">
        <v>25.09043765864083</v>
      </c>
      <c r="BL60" s="2336">
        <v>25.236651090005392</v>
      </c>
      <c r="BM60" s="2336">
        <v>25.387332883731418</v>
      </c>
      <c r="BN60" s="2336">
        <v>25.539350077922453</v>
      </c>
      <c r="BO60" s="2336">
        <v>25.692687367917202</v>
      </c>
      <c r="BP60" s="2336">
        <v>25.845461047611881</v>
      </c>
      <c r="BQ60" s="2336">
        <v>25.997641656332977</v>
      </c>
      <c r="BR60" s="2336">
        <v>26.14920105343591</v>
      </c>
      <c r="BS60" s="2336">
        <v>26.300112844816077</v>
      </c>
      <c r="BT60" s="2336">
        <v>26.450352787694527</v>
      </c>
      <c r="BU60" s="2336">
        <v>26.599899128900184</v>
      </c>
      <c r="BV60" s="2336">
        <v>26.748732879556492</v>
      </c>
      <c r="BW60" s="2336">
        <v>26.896838025522605</v>
      </c>
      <c r="BX60" s="2336">
        <v>27.04420157174528</v>
      </c>
      <c r="BY60" s="2336">
        <v>27.19081336385246</v>
      </c>
      <c r="BZ60" s="2336">
        <v>27.336665791876065</v>
      </c>
      <c r="CA60" s="2336">
        <v>27.48175343515307</v>
      </c>
      <c r="CB60" s="2336">
        <v>27.62614619507422</v>
      </c>
      <c r="CC60" s="2336">
        <v>27.769838183941673</v>
      </c>
      <c r="CD60" s="2336">
        <v>27.912823722089072</v>
      </c>
      <c r="CE60" s="2336">
        <v>28.055097334857173</v>
      </c>
      <c r="CF60" s="2336">
        <v>28.196653749587508</v>
      </c>
      <c r="CG60" s="2336">
        <v>28.337487892633579</v>
      </c>
      <c r="CH60" s="2336">
        <v>28.4775948863936</v>
      </c>
      <c r="CI60" s="2336">
        <v>28.616970046364653</v>
      </c>
      <c r="CJ60" s="2336">
        <v>28.755608878221089</v>
      </c>
      <c r="CK60" s="2336">
        <v>28.893507074917146</v>
      </c>
      <c r="CL60" s="2336">
        <v>29.030660513815615</v>
      </c>
      <c r="CM60" s="2336">
        <v>29.167065253844338</v>
      </c>
      <c r="CN60" s="2336">
        <v>29.302717532679853</v>
      </c>
      <c r="CO60" s="2336">
        <v>29.437613763959394</v>
      </c>
      <c r="CP60" s="2336">
        <v>29.571750534522831</v>
      </c>
      <c r="CQ60" s="2336">
        <v>29.7051246016836</v>
      </c>
      <c r="CR60" s="2336">
        <v>29.837732890530408</v>
      </c>
      <c r="CS60" s="2336">
        <v>29.969572491258891</v>
      </c>
      <c r="CT60" s="2336">
        <v>30.10064065653302</v>
      </c>
      <c r="CU60" s="2336">
        <v>30.230934798879201</v>
      </c>
      <c r="CV60" s="2336">
        <v>30.360452488109154</v>
      </c>
      <c r="CW60" s="2336">
        <v>30.489191448774243</v>
      </c>
      <c r="CX60" s="2336">
        <v>30.617149557650755</v>
      </c>
      <c r="CY60" s="2336">
        <v>30.744324841254471</v>
      </c>
      <c r="CZ60" s="2336">
        <v>30.87071547338639</v>
      </c>
      <c r="DA60" s="2336">
        <v>30.996319772708574</v>
      </c>
      <c r="DB60" s="2336">
        <v>31.121136200348467</v>
      </c>
      <c r="DC60" s="2336">
        <v>31.245163357533073</v>
      </c>
      <c r="DD60" s="2336">
        <v>31.368399983252367</v>
      </c>
      <c r="DE60" s="2336">
        <v>31.490844951951146</v>
      </c>
      <c r="DF60" s="2336">
        <v>31.612497271247772</v>
      </c>
      <c r="DG60" s="2336">
        <v>31.733356079682075</v>
      </c>
      <c r="DH60" s="2336">
        <v>31.853420644489159</v>
      </c>
      <c r="DI60" s="2336">
        <v>31.972690359400424</v>
      </c>
      <c r="DJ60" s="2336">
        <v>32.091164742470717</v>
      </c>
      <c r="DK60" s="2344">
        <v>32.208843433930099</v>
      </c>
      <c r="DL60" s="2336">
        <v>32.325726194062419</v>
      </c>
      <c r="DM60" s="2336">
        <v>32.441812901106275</v>
      </c>
      <c r="DN60" s="2336">
        <v>32.557103549182216</v>
      </c>
      <c r="DO60" s="2336">
        <v>32.671598246241565</v>
      </c>
      <c r="DP60" s="2336">
        <v>32.785297212039502</v>
      </c>
      <c r="DQ60" s="2336">
        <v>32.898200776129826</v>
      </c>
      <c r="DR60" s="2336">
        <v>33.010309375881732</v>
      </c>
      <c r="DS60" s="2336">
        <v>33.121623554519353</v>
      </c>
      <c r="DT60" s="2336">
        <v>33.232143959179865</v>
      </c>
      <c r="DU60" s="2336">
        <v>33.34187133899426</v>
      </c>
    </row>
    <row r="61" spans="1:125" ht="14.25">
      <c r="A61" s="904">
        <v>59</v>
      </c>
      <c r="B61" s="92"/>
      <c r="C61" s="92"/>
      <c r="D61" s="92"/>
      <c r="E61" s="92"/>
      <c r="F61" s="92"/>
      <c r="G61" s="92"/>
      <c r="H61" s="92"/>
      <c r="I61" s="92"/>
      <c r="J61" s="92"/>
      <c r="K61" s="92"/>
      <c r="L61" s="92"/>
      <c r="M61" s="92"/>
      <c r="N61" s="92"/>
      <c r="O61" s="92"/>
      <c r="P61" s="92"/>
      <c r="Q61" s="92"/>
      <c r="R61" s="92"/>
      <c r="S61" s="92"/>
      <c r="T61" s="92"/>
      <c r="U61" s="92"/>
      <c r="V61" s="739"/>
      <c r="W61" s="2338">
        <v>19.010000000000002</v>
      </c>
      <c r="X61" s="2338">
        <v>19.239999999999998</v>
      </c>
      <c r="Y61" s="2336">
        <v>19.359879896435789</v>
      </c>
      <c r="Z61" s="2336">
        <v>19.580041442703497</v>
      </c>
      <c r="AA61" s="2336">
        <v>19.770232846985074</v>
      </c>
      <c r="AB61" s="2336">
        <v>19.949563802992241</v>
      </c>
      <c r="AC61" s="2336">
        <v>19.957487715300196</v>
      </c>
      <c r="AD61" s="2336">
        <v>19.95083464688356</v>
      </c>
      <c r="AE61" s="2336">
        <v>20.064328349063693</v>
      </c>
      <c r="AF61" s="2336">
        <v>20.277370706547277</v>
      </c>
      <c r="AG61" s="2336">
        <v>20.508261441854859</v>
      </c>
      <c r="AH61" s="2336">
        <v>20.768398441944331</v>
      </c>
      <c r="AI61" s="2336">
        <v>21.015046090137098</v>
      </c>
      <c r="AJ61" s="2336">
        <v>21.262395292211867</v>
      </c>
      <c r="AK61" s="2336">
        <v>21.516049765326631</v>
      </c>
      <c r="AL61" s="2336">
        <v>21.803436360376548</v>
      </c>
      <c r="AM61" s="2336">
        <v>22.062014235189434</v>
      </c>
      <c r="AN61" s="2336">
        <v>22.22921551990968</v>
      </c>
      <c r="AO61" s="2336">
        <v>22.344071534135189</v>
      </c>
      <c r="AP61" s="2336">
        <v>22.44709856570697</v>
      </c>
      <c r="AQ61" s="2336">
        <v>22.558026029195723</v>
      </c>
      <c r="AR61" s="2336">
        <v>22.696031723124264</v>
      </c>
      <c r="AS61" s="2336">
        <v>22.703396620638816</v>
      </c>
      <c r="AT61" s="2336">
        <v>22.727277938645475</v>
      </c>
      <c r="AU61" s="2336">
        <v>22.759512260870977</v>
      </c>
      <c r="AV61" s="2336">
        <v>22.769778936921597</v>
      </c>
      <c r="AW61" s="2336">
        <v>22.937508105983589</v>
      </c>
      <c r="AX61" s="2336">
        <v>22.981716346079239</v>
      </c>
      <c r="AY61" s="2336">
        <v>23.029092597358968</v>
      </c>
      <c r="AZ61" s="2336">
        <v>23.088829865671901</v>
      </c>
      <c r="BA61" s="2336">
        <v>23.120154872992391</v>
      </c>
      <c r="BB61" s="2336">
        <v>23.209612506363577</v>
      </c>
      <c r="BC61" s="2336">
        <v>23.299319779151713</v>
      </c>
      <c r="BD61" s="2336">
        <v>23.40886048063599</v>
      </c>
      <c r="BE61" s="2336">
        <v>23.523529977340218</v>
      </c>
      <c r="BF61" s="2336">
        <v>23.634603827958298</v>
      </c>
      <c r="BG61" s="2336">
        <v>23.759741997883101</v>
      </c>
      <c r="BH61" s="2336">
        <v>23.896205057310286</v>
      </c>
      <c r="BI61" s="2336">
        <v>24.014386487789061</v>
      </c>
      <c r="BJ61" s="2336">
        <v>24.151689401577748</v>
      </c>
      <c r="BK61" s="2336">
        <v>24.279895082771151</v>
      </c>
      <c r="BL61" s="2336">
        <v>24.43286586990849</v>
      </c>
      <c r="BM61" s="2336">
        <v>24.58333010018762</v>
      </c>
      <c r="BN61" s="2336">
        <v>24.734554100554103</v>
      </c>
      <c r="BO61" s="2336">
        <v>24.885269473162349</v>
      </c>
      <c r="BP61" s="2336">
        <v>25.03544574405942</v>
      </c>
      <c r="BQ61" s="2336">
        <v>25.185053344223171</v>
      </c>
      <c r="BR61" s="2336">
        <v>25.334064036079923</v>
      </c>
      <c r="BS61" s="2336">
        <v>25.482451341857963</v>
      </c>
      <c r="BT61" s="2336">
        <v>25.630190949782872</v>
      </c>
      <c r="BU61" s="2336">
        <v>25.777261053073563</v>
      </c>
      <c r="BV61" s="2336">
        <v>25.923642624746329</v>
      </c>
      <c r="BW61" s="2336">
        <v>26.06931962764428</v>
      </c>
      <c r="BX61" s="2336">
        <v>26.214279057262569</v>
      </c>
      <c r="BY61" s="2336">
        <v>26.358510760494774</v>
      </c>
      <c r="BZ61" s="2336">
        <v>26.50200713602133</v>
      </c>
      <c r="CA61" s="2336">
        <v>26.644837131587366</v>
      </c>
      <c r="CB61" s="2336">
        <v>26.786994653217285</v>
      </c>
      <c r="CC61" s="2336">
        <v>26.928473810979906</v>
      </c>
      <c r="CD61" s="2336">
        <v>27.069268916119682</v>
      </c>
      <c r="CE61" s="2336">
        <v>27.209374478201255</v>
      </c>
      <c r="CF61" s="2336">
        <v>27.348785202272381</v>
      </c>
      <c r="CG61" s="2336">
        <v>27.487495986044252</v>
      </c>
      <c r="CH61" s="2336">
        <v>27.625501917093235</v>
      </c>
      <c r="CI61" s="2336">
        <v>27.76279827008355</v>
      </c>
      <c r="CJ61" s="2336">
        <v>27.899380504013692</v>
      </c>
      <c r="CK61" s="2336">
        <v>28.035244259486252</v>
      </c>
      <c r="CL61" s="2336">
        <v>28.170385356002935</v>
      </c>
      <c r="CM61" s="2336">
        <v>28.304799789286267</v>
      </c>
      <c r="CN61" s="2336">
        <v>28.438483728627368</v>
      </c>
      <c r="CO61" s="2336">
        <v>28.571433514260619</v>
      </c>
      <c r="CP61" s="2336">
        <v>28.703645654766941</v>
      </c>
      <c r="CQ61" s="2336">
        <v>28.835116824504347</v>
      </c>
      <c r="CR61" s="2336">
        <v>28.965843861067782</v>
      </c>
      <c r="CS61" s="2336">
        <v>29.095823762776959</v>
      </c>
      <c r="CT61" s="2336">
        <v>29.225053686192208</v>
      </c>
      <c r="CU61" s="2336">
        <v>29.353530943660999</v>
      </c>
      <c r="CV61" s="2336">
        <v>29.481253000891275</v>
      </c>
      <c r="CW61" s="2336">
        <v>29.608217474554088</v>
      </c>
      <c r="CX61" s="2336">
        <v>29.734422129915096</v>
      </c>
      <c r="CY61" s="2336">
        <v>29.859864878493035</v>
      </c>
      <c r="CZ61" s="2336">
        <v>29.98454377574722</v>
      </c>
      <c r="DA61" s="2336">
        <v>30.108457018792738</v>
      </c>
      <c r="DB61" s="2336">
        <v>30.231602944141798</v>
      </c>
      <c r="DC61" s="2336">
        <v>30.353980025472595</v>
      </c>
      <c r="DD61" s="2336">
        <v>30.475586871424948</v>
      </c>
      <c r="DE61" s="2336">
        <v>30.596422223421925</v>
      </c>
      <c r="DF61" s="2336">
        <v>30.716484953515966</v>
      </c>
      <c r="DG61" s="2336">
        <v>30.835774062261599</v>
      </c>
      <c r="DH61" s="2336">
        <v>30.954288676611622</v>
      </c>
      <c r="DI61" s="2336">
        <v>31.072028047837996</v>
      </c>
      <c r="DJ61" s="2336">
        <v>31.188991549476317</v>
      </c>
      <c r="DK61" s="2344">
        <v>31.305178675292435</v>
      </c>
      <c r="DL61" s="2336">
        <v>31.420589037273349</v>
      </c>
      <c r="DM61" s="2336">
        <v>31.535222363637999</v>
      </c>
      <c r="DN61" s="2336">
        <v>31.649078496871748</v>
      </c>
      <c r="DO61" s="2336">
        <v>31.762157391780072</v>
      </c>
      <c r="DP61" s="2336">
        <v>31.874459113563937</v>
      </c>
      <c r="DQ61" s="2336">
        <v>31.985983835914467</v>
      </c>
      <c r="DR61" s="2336">
        <v>32.096731839127138</v>
      </c>
      <c r="DS61" s="2336">
        <v>32.206703508236238</v>
      </c>
      <c r="DT61" s="2336">
        <v>32.315899331165639</v>
      </c>
      <c r="DU61" s="2336">
        <v>32.424319896899668</v>
      </c>
    </row>
    <row r="62" spans="1:125" ht="14.25">
      <c r="A62" s="904">
        <v>60</v>
      </c>
      <c r="B62" s="92"/>
      <c r="C62" s="92"/>
      <c r="D62" s="92"/>
      <c r="E62" s="92"/>
      <c r="F62" s="92"/>
      <c r="G62" s="92"/>
      <c r="H62" s="92"/>
      <c r="I62" s="92"/>
      <c r="J62" s="92"/>
      <c r="K62" s="92"/>
      <c r="L62" s="92"/>
      <c r="M62" s="92"/>
      <c r="N62" s="92"/>
      <c r="O62" s="92"/>
      <c r="P62" s="92"/>
      <c r="Q62" s="92"/>
      <c r="R62" s="92"/>
      <c r="S62" s="92"/>
      <c r="T62" s="92"/>
      <c r="U62" s="92"/>
      <c r="V62" s="739"/>
      <c r="W62" s="2338">
        <v>18.32</v>
      </c>
      <c r="X62" s="2338">
        <v>18.55</v>
      </c>
      <c r="Y62" s="2336">
        <v>18.671919021161244</v>
      </c>
      <c r="Z62" s="2336">
        <v>18.879386428370797</v>
      </c>
      <c r="AA62" s="2336">
        <v>19.069361522955887</v>
      </c>
      <c r="AB62" s="2336">
        <v>19.247777307299657</v>
      </c>
      <c r="AC62" s="2336">
        <v>19.256617230182012</v>
      </c>
      <c r="AD62" s="2336">
        <v>19.25355410343855</v>
      </c>
      <c r="AE62" s="2336">
        <v>19.365362455962124</v>
      </c>
      <c r="AF62" s="2336">
        <v>19.578989501966376</v>
      </c>
      <c r="AG62" s="2336">
        <v>19.817926967986153</v>
      </c>
      <c r="AH62" s="2336">
        <v>20.071310895242654</v>
      </c>
      <c r="AI62" s="2336">
        <v>20.313317220629639</v>
      </c>
      <c r="AJ62" s="2336">
        <v>20.55066130905789</v>
      </c>
      <c r="AK62" s="2336">
        <v>20.799751140952626</v>
      </c>
      <c r="AL62" s="2336">
        <v>21.087720434512608</v>
      </c>
      <c r="AM62" s="2336">
        <v>21.326235553654207</v>
      </c>
      <c r="AN62" s="2336">
        <v>21.489616206780052</v>
      </c>
      <c r="AO62" s="2336">
        <v>21.596738751527933</v>
      </c>
      <c r="AP62" s="2336">
        <v>21.686782415632802</v>
      </c>
      <c r="AQ62" s="2336">
        <v>21.803332338033986</v>
      </c>
      <c r="AR62" s="2336">
        <v>21.928757152039545</v>
      </c>
      <c r="AS62" s="2336">
        <v>21.942106736284209</v>
      </c>
      <c r="AT62" s="2336">
        <v>21.959205658952243</v>
      </c>
      <c r="AU62" s="2336">
        <v>21.987335104078287</v>
      </c>
      <c r="AV62" s="2336">
        <v>21.994461751330078</v>
      </c>
      <c r="AW62" s="2336">
        <v>22.153399238902622</v>
      </c>
      <c r="AX62" s="2336">
        <v>22.198915012255807</v>
      </c>
      <c r="AY62" s="2336">
        <v>22.250001970736196</v>
      </c>
      <c r="AZ62" s="2336">
        <v>22.303393413991603</v>
      </c>
      <c r="BA62" s="2336">
        <v>22.340667958776496</v>
      </c>
      <c r="BB62" s="2336">
        <v>22.427364808995065</v>
      </c>
      <c r="BC62" s="2336">
        <v>22.522082318009584</v>
      </c>
      <c r="BD62" s="2336">
        <v>22.62350423493757</v>
      </c>
      <c r="BE62" s="2336">
        <v>22.739518027324245</v>
      </c>
      <c r="BF62" s="2336">
        <v>22.850589551784378</v>
      </c>
      <c r="BG62" s="2336">
        <v>22.970507495791374</v>
      </c>
      <c r="BH62" s="2336">
        <v>23.105826109934206</v>
      </c>
      <c r="BI62" s="2336">
        <v>23.222122816124372</v>
      </c>
      <c r="BJ62" s="2336">
        <v>23.35455915335654</v>
      </c>
      <c r="BK62" s="2336">
        <v>23.490725696661656</v>
      </c>
      <c r="BL62" s="2336">
        <v>23.644612913830176</v>
      </c>
      <c r="BM62" s="2336">
        <v>23.793492558297945</v>
      </c>
      <c r="BN62" s="2336">
        <v>23.941919651522731</v>
      </c>
      <c r="BO62" s="2336">
        <v>24.089863775408066</v>
      </c>
      <c r="BP62" s="2336">
        <v>24.237294335327565</v>
      </c>
      <c r="BQ62" s="2336">
        <v>24.384181652151451</v>
      </c>
      <c r="BR62" s="2336">
        <v>24.530497391092531</v>
      </c>
      <c r="BS62" s="2336">
        <v>24.676214992069088</v>
      </c>
      <c r="BT62" s="2336">
        <v>24.821310077430454</v>
      </c>
      <c r="BU62" s="2336">
        <v>24.965760791714356</v>
      </c>
      <c r="BV62" s="2336">
        <v>25.109548076553871</v>
      </c>
      <c r="BW62" s="2336">
        <v>25.252655880226442</v>
      </c>
      <c r="BX62" s="2336">
        <v>25.395071198769042</v>
      </c>
      <c r="BY62" s="2336">
        <v>25.53678389155899</v>
      </c>
      <c r="BZ62" s="2336">
        <v>25.677860065670014</v>
      </c>
      <c r="CA62" s="2336">
        <v>25.818293441573775</v>
      </c>
      <c r="CB62" s="2336">
        <v>25.958077938777926</v>
      </c>
      <c r="CC62" s="2336">
        <v>26.097207673127926</v>
      </c>
      <c r="CD62" s="2336">
        <v>26.235676954123761</v>
      </c>
      <c r="CE62" s="2336">
        <v>26.373480282250359</v>
      </c>
      <c r="CF62" s="2336">
        <v>26.510612346326361</v>
      </c>
      <c r="CG62" s="2336">
        <v>26.647068020870158</v>
      </c>
      <c r="CH62" s="2336">
        <v>26.782842363486932</v>
      </c>
      <c r="CI62" s="2336">
        <v>26.917930612276116</v>
      </c>
      <c r="CJ62" s="2336">
        <v>27.052328183261711</v>
      </c>
      <c r="CK62" s="2336">
        <v>27.18603066784522</v>
      </c>
      <c r="CL62" s="2336">
        <v>27.319033830282503</v>
      </c>
      <c r="CM62" s="2336">
        <v>27.451333605186193</v>
      </c>
      <c r="CN62" s="2336">
        <v>27.582926095052688</v>
      </c>
      <c r="CO62" s="2336">
        <v>27.713807567814481</v>
      </c>
      <c r="CP62" s="2336">
        <v>27.843974454419509</v>
      </c>
      <c r="CQ62" s="2336">
        <v>27.973423346435879</v>
      </c>
      <c r="CR62" s="2336">
        <v>28.102150993684063</v>
      </c>
      <c r="CS62" s="2336">
        <v>28.230154301895034</v>
      </c>
      <c r="CT62" s="2336">
        <v>28.35743033039434</v>
      </c>
      <c r="CU62" s="2336">
        <v>28.483976289814674</v>
      </c>
      <c r="CV62" s="2336">
        <v>28.609789539832974</v>
      </c>
      <c r="CW62" s="2336">
        <v>28.734867586934545</v>
      </c>
      <c r="CX62" s="2336">
        <v>28.859208082203573</v>
      </c>
      <c r="CY62" s="2336">
        <v>28.982808819138214</v>
      </c>
      <c r="CZ62" s="2336">
        <v>29.105667731492222</v>
      </c>
      <c r="DA62" s="2336">
        <v>29.227782891141661</v>
      </c>
      <c r="DB62" s="2336">
        <v>29.349152505975223</v>
      </c>
      <c r="DC62" s="2336">
        <v>29.469774917809463</v>
      </c>
      <c r="DD62" s="2336">
        <v>29.589648600328097</v>
      </c>
      <c r="DE62" s="2336">
        <v>29.708772157044638</v>
      </c>
      <c r="DF62" s="2336">
        <v>29.827144319286827</v>
      </c>
      <c r="DG62" s="2336">
        <v>29.944763944204954</v>
      </c>
      <c r="DH62" s="2336">
        <v>30.061630012800919</v>
      </c>
      <c r="DI62" s="2336">
        <v>30.177741627979252</v>
      </c>
      <c r="DJ62" s="2336">
        <v>30.293098012618973</v>
      </c>
      <c r="DK62" s="2344">
        <v>30.407698507664897</v>
      </c>
      <c r="DL62" s="2336">
        <v>30.521542570240445</v>
      </c>
      <c r="DM62" s="2336">
        <v>30.634629771777636</v>
      </c>
      <c r="DN62" s="2336">
        <v>30.746959796168039</v>
      </c>
      <c r="DO62" s="2336">
        <v>30.858532437930215</v>
      </c>
      <c r="DP62" s="2336">
        <v>30.969347600396201</v>
      </c>
      <c r="DQ62" s="2336">
        <v>31.07940529391453</v>
      </c>
      <c r="DR62" s="2336">
        <v>31.188705634070136</v>
      </c>
      <c r="DS62" s="2336">
        <v>31.29724883992197</v>
      </c>
      <c r="DT62" s="2336">
        <v>31.405035232254139</v>
      </c>
      <c r="DU62" s="2336">
        <v>31.512065231844716</v>
      </c>
    </row>
    <row r="63" spans="1:125" ht="14.25">
      <c r="A63" s="904">
        <v>61</v>
      </c>
      <c r="B63" s="92"/>
      <c r="C63" s="92"/>
      <c r="D63" s="92"/>
      <c r="E63" s="92"/>
      <c r="F63" s="92"/>
      <c r="G63" s="92"/>
      <c r="H63" s="92"/>
      <c r="I63" s="92"/>
      <c r="J63" s="92"/>
      <c r="K63" s="92"/>
      <c r="L63" s="92"/>
      <c r="M63" s="92"/>
      <c r="N63" s="92"/>
      <c r="O63" s="92"/>
      <c r="P63" s="92"/>
      <c r="Q63" s="92"/>
      <c r="R63" s="92"/>
      <c r="S63" s="92"/>
      <c r="T63" s="92"/>
      <c r="U63" s="92"/>
      <c r="V63" s="739"/>
      <c r="W63" s="2338">
        <v>17.64</v>
      </c>
      <c r="X63" s="2338">
        <v>17.87</v>
      </c>
      <c r="Y63" s="2336">
        <v>17.991168128573651</v>
      </c>
      <c r="Z63" s="2336">
        <v>18.192635524906695</v>
      </c>
      <c r="AA63" s="2336">
        <v>18.383958942107203</v>
      </c>
      <c r="AB63" s="2336">
        <v>18.557370342634336</v>
      </c>
      <c r="AC63" s="2336">
        <v>18.565771211754594</v>
      </c>
      <c r="AD63" s="2336">
        <v>18.569096343680279</v>
      </c>
      <c r="AE63" s="2336">
        <v>18.682703176945072</v>
      </c>
      <c r="AF63" s="2336">
        <v>18.908447161177985</v>
      </c>
      <c r="AG63" s="2336">
        <v>19.135092360400311</v>
      </c>
      <c r="AH63" s="2336">
        <v>19.385833093339297</v>
      </c>
      <c r="AI63" s="2336">
        <v>19.621539521803985</v>
      </c>
      <c r="AJ63" s="2336">
        <v>19.852482910795104</v>
      </c>
      <c r="AK63" s="2336">
        <v>20.098476000792807</v>
      </c>
      <c r="AL63" s="2336">
        <v>20.372122620650838</v>
      </c>
      <c r="AM63" s="2336">
        <v>20.597833670259174</v>
      </c>
      <c r="AN63" s="2336">
        <v>20.752409233549297</v>
      </c>
      <c r="AO63" s="2336">
        <v>20.856074092038142</v>
      </c>
      <c r="AP63" s="2336">
        <v>20.93990952768501</v>
      </c>
      <c r="AQ63" s="2336">
        <v>21.053721970786111</v>
      </c>
      <c r="AR63" s="2336">
        <v>21.171553775622677</v>
      </c>
      <c r="AS63" s="2336">
        <v>21.181904801884496</v>
      </c>
      <c r="AT63" s="2336">
        <v>21.194086116593667</v>
      </c>
      <c r="AU63" s="2336">
        <v>21.221811152004335</v>
      </c>
      <c r="AV63" s="2336">
        <v>21.22450431458893</v>
      </c>
      <c r="AW63" s="2336">
        <v>21.384755203034111</v>
      </c>
      <c r="AX63" s="2336">
        <v>21.427630568765935</v>
      </c>
      <c r="AY63" s="2336">
        <v>21.479422026881529</v>
      </c>
      <c r="AZ63" s="2336">
        <v>21.533396177683517</v>
      </c>
      <c r="BA63" s="2336">
        <v>21.571142289066682</v>
      </c>
      <c r="BB63" s="2336">
        <v>21.660074649221102</v>
      </c>
      <c r="BC63" s="2336">
        <v>21.744494084169805</v>
      </c>
      <c r="BD63" s="2336">
        <v>21.853542349033312</v>
      </c>
      <c r="BE63" s="2336">
        <v>21.960999507872611</v>
      </c>
      <c r="BF63" s="2336">
        <v>22.073199945476581</v>
      </c>
      <c r="BG63" s="2336">
        <v>22.19358954034125</v>
      </c>
      <c r="BH63" s="2336">
        <v>22.320472687689239</v>
      </c>
      <c r="BI63" s="2336">
        <v>22.438746200627847</v>
      </c>
      <c r="BJ63" s="2336">
        <v>22.577326062562687</v>
      </c>
      <c r="BK63" s="2336">
        <v>22.724286800586857</v>
      </c>
      <c r="BL63" s="2336">
        <v>22.870581218862913</v>
      </c>
      <c r="BM63" s="2336">
        <v>23.016478065391276</v>
      </c>
      <c r="BN63" s="2336">
        <v>23.1619493067662</v>
      </c>
      <c r="BO63" s="2336">
        <v>23.306964395093946</v>
      </c>
      <c r="BP63" s="2336">
        <v>23.451492608639587</v>
      </c>
      <c r="BQ63" s="2336">
        <v>23.595504153264542</v>
      </c>
      <c r="BR63" s="2336">
        <v>23.738970593813413</v>
      </c>
      <c r="BS63" s="2336">
        <v>23.881865286663579</v>
      </c>
      <c r="BT63" s="2336">
        <v>24.024163789107078</v>
      </c>
      <c r="BU63" s="2336">
        <v>24.165844199914243</v>
      </c>
      <c r="BV63" s="2336">
        <v>24.306887434320313</v>
      </c>
      <c r="BW63" s="2336">
        <v>24.447277433011259</v>
      </c>
      <c r="BX63" s="2336">
        <v>24.587001201319836</v>
      </c>
      <c r="BY63" s="2336">
        <v>24.726119772050026</v>
      </c>
      <c r="BZ63" s="2336">
        <v>24.864626701950545</v>
      </c>
      <c r="CA63" s="2336">
        <v>25.002515740707207</v>
      </c>
      <c r="CB63" s="2336">
        <v>25.139780828437573</v>
      </c>
      <c r="CC63" s="2336">
        <v>25.276416093196332</v>
      </c>
      <c r="CD63" s="2336">
        <v>25.41241584849605</v>
      </c>
      <c r="CE63" s="2336">
        <v>25.547774590841591</v>
      </c>
      <c r="CF63" s="2336">
        <v>25.682486997282826</v>
      </c>
      <c r="CG63" s="2336">
        <v>25.816547922984132</v>
      </c>
      <c r="CH63" s="2336">
        <v>25.949952398814347</v>
      </c>
      <c r="CI63" s="2336">
        <v>26.082695628956277</v>
      </c>
      <c r="CJ63" s="2336">
        <v>26.21477298853813</v>
      </c>
      <c r="CK63" s="2336">
        <v>26.34618002128629</v>
      </c>
      <c r="CL63" s="2336">
        <v>26.476912437200713</v>
      </c>
      <c r="CM63" s="2336">
        <v>26.606966110254312</v>
      </c>
      <c r="CN63" s="2336">
        <v>26.736337076115319</v>
      </c>
      <c r="CO63" s="2336">
        <v>26.865021529893113</v>
      </c>
      <c r="CP63" s="2336">
        <v>26.993015823909143</v>
      </c>
      <c r="CQ63" s="2336">
        <v>27.120316465491189</v>
      </c>
      <c r="CR63" s="2336">
        <v>27.246920114792907</v>
      </c>
      <c r="CS63" s="2336">
        <v>27.372823582637047</v>
      </c>
      <c r="CT63" s="2336">
        <v>27.498023828382227</v>
      </c>
      <c r="CU63" s="2336">
        <v>27.622517957815788</v>
      </c>
      <c r="CV63" s="2336">
        <v>27.746303221068604</v>
      </c>
      <c r="CW63" s="2336">
        <v>27.86937701055437</v>
      </c>
      <c r="CX63" s="2336">
        <v>27.991736858932523</v>
      </c>
      <c r="CY63" s="2336">
        <v>28.113380437093138</v>
      </c>
      <c r="CZ63" s="2336">
        <v>28.234305552165509</v>
      </c>
      <c r="DA63" s="2336">
        <v>28.354510145548989</v>
      </c>
      <c r="DB63" s="2336">
        <v>28.473992290964674</v>
      </c>
      <c r="DC63" s="2336">
        <v>28.592750192528985</v>
      </c>
      <c r="DD63" s="2336">
        <v>28.710782182848515</v>
      </c>
      <c r="DE63" s="2336">
        <v>28.828086721135197</v>
      </c>
      <c r="DF63" s="2336">
        <v>28.944662391340369</v>
      </c>
      <c r="DG63" s="2336">
        <v>29.060507900309705</v>
      </c>
      <c r="DH63" s="2336">
        <v>29.175622075955946</v>
      </c>
      <c r="DI63" s="2336">
        <v>29.290003865450604</v>
      </c>
      <c r="DJ63" s="2336">
        <v>29.403652333433488</v>
      </c>
      <c r="DK63" s="2344">
        <v>29.516566660238766</v>
      </c>
      <c r="DL63" s="2336">
        <v>29.628746140139423</v>
      </c>
      <c r="DM63" s="2336">
        <v>29.740190179606095</v>
      </c>
      <c r="DN63" s="2336">
        <v>29.850898295583786</v>
      </c>
      <c r="DO63" s="2336">
        <v>29.960870113782185</v>
      </c>
      <c r="DP63" s="2336">
        <v>30.070105366982062</v>
      </c>
      <c r="DQ63" s="2336">
        <v>30.178603893355344</v>
      </c>
      <c r="DR63" s="2336">
        <v>30.286365634799168</v>
      </c>
      <c r="DS63" s="2336">
        <v>30.393390635284756</v>
      </c>
      <c r="DT63" s="2336">
        <v>30.499679039217007</v>
      </c>
      <c r="DU63" s="2336">
        <v>30.605231089808957</v>
      </c>
    </row>
    <row r="64" spans="1:125" ht="14.25">
      <c r="A64" s="904">
        <v>62</v>
      </c>
      <c r="B64" s="92"/>
      <c r="C64" s="92"/>
      <c r="D64" s="92"/>
      <c r="E64" s="92"/>
      <c r="F64" s="92"/>
      <c r="G64" s="92"/>
      <c r="H64" s="92"/>
      <c r="I64" s="92"/>
      <c r="J64" s="92"/>
      <c r="K64" s="92"/>
      <c r="L64" s="92"/>
      <c r="M64" s="92"/>
      <c r="N64" s="92"/>
      <c r="O64" s="92"/>
      <c r="P64" s="92"/>
      <c r="Q64" s="92"/>
      <c r="R64" s="92"/>
      <c r="S64" s="92"/>
      <c r="T64" s="92"/>
      <c r="U64" s="92"/>
      <c r="V64" s="739"/>
      <c r="W64" s="2338">
        <v>16.98</v>
      </c>
      <c r="X64" s="2338">
        <v>17.21</v>
      </c>
      <c r="Y64" s="2336">
        <v>17.332336843594952</v>
      </c>
      <c r="Z64" s="2336">
        <v>17.525334032652616</v>
      </c>
      <c r="AA64" s="2336">
        <v>17.708350813869952</v>
      </c>
      <c r="AB64" s="2336">
        <v>17.880105372260562</v>
      </c>
      <c r="AC64" s="2336">
        <v>17.893517725845079</v>
      </c>
      <c r="AD64" s="2336">
        <v>17.903652466408616</v>
      </c>
      <c r="AE64" s="2336">
        <v>18.016885267080649</v>
      </c>
      <c r="AF64" s="2336">
        <v>18.242299733828155</v>
      </c>
      <c r="AG64" s="2336">
        <v>18.458587734389461</v>
      </c>
      <c r="AH64" s="2336">
        <v>18.70526947753201</v>
      </c>
      <c r="AI64" s="2336">
        <v>18.935748195756506</v>
      </c>
      <c r="AJ64" s="2336">
        <v>19.167609692241712</v>
      </c>
      <c r="AK64" s="2336">
        <v>19.408022149463704</v>
      </c>
      <c r="AL64" s="2336">
        <v>19.662033624983984</v>
      </c>
      <c r="AM64" s="2336">
        <v>19.877956207178432</v>
      </c>
      <c r="AN64" s="2336">
        <v>20.02605708416732</v>
      </c>
      <c r="AO64" s="2336">
        <v>20.122240993425702</v>
      </c>
      <c r="AP64" s="2336">
        <v>20.199281693410658</v>
      </c>
      <c r="AQ64" s="2336">
        <v>20.310852077464688</v>
      </c>
      <c r="AR64" s="2336">
        <v>20.419471176448358</v>
      </c>
      <c r="AS64" s="2336">
        <v>20.426842881841086</v>
      </c>
      <c r="AT64" s="2336">
        <v>20.432625887807383</v>
      </c>
      <c r="AU64" s="2336">
        <v>20.461135616538378</v>
      </c>
      <c r="AV64" s="2336">
        <v>20.466939798631159</v>
      </c>
      <c r="AW64" s="2336">
        <v>20.62441314921702</v>
      </c>
      <c r="AX64" s="2336">
        <v>20.661727414592846</v>
      </c>
      <c r="AY64" s="2336">
        <v>20.72273952951161</v>
      </c>
      <c r="AZ64" s="2336">
        <v>20.770956678751975</v>
      </c>
      <c r="BA64" s="2336">
        <v>20.809496510172686</v>
      </c>
      <c r="BB64" s="2336">
        <v>20.894619143411091</v>
      </c>
      <c r="BC64" s="2336">
        <v>20.989342621703251</v>
      </c>
      <c r="BD64" s="2336">
        <v>21.086558903240125</v>
      </c>
      <c r="BE64" s="2336">
        <v>21.195345533347602</v>
      </c>
      <c r="BF64" s="2336">
        <v>21.311925825720817</v>
      </c>
      <c r="BG64" s="2336">
        <v>21.423783038037023</v>
      </c>
      <c r="BH64" s="2336">
        <v>21.551795104560806</v>
      </c>
      <c r="BI64" s="2336">
        <v>21.678339078980333</v>
      </c>
      <c r="BJ64" s="2336">
        <v>21.823046815116214</v>
      </c>
      <c r="BK64" s="2336">
        <v>21.966510138755861</v>
      </c>
      <c r="BL64" s="2336">
        <v>22.109630239754345</v>
      </c>
      <c r="BM64" s="2336">
        <v>22.252381086589093</v>
      </c>
      <c r="BN64" s="2336">
        <v>22.39473452647573</v>
      </c>
      <c r="BO64" s="2336">
        <v>22.536659870515237</v>
      </c>
      <c r="BP64" s="2336">
        <v>22.67812625952967</v>
      </c>
      <c r="BQ64" s="2336">
        <v>22.819103775857442</v>
      </c>
      <c r="BR64" s="2336">
        <v>22.959563877503033</v>
      </c>
      <c r="BS64" s="2336">
        <v>23.099479833056861</v>
      </c>
      <c r="BT64" s="2336">
        <v>23.238827132860948</v>
      </c>
      <c r="BU64" s="2336">
        <v>23.37758383041842</v>
      </c>
      <c r="BV64" s="2336">
        <v>23.515730817425464</v>
      </c>
      <c r="BW64" s="2336">
        <v>23.653252032095423</v>
      </c>
      <c r="BX64" s="2336">
        <v>23.790200894257548</v>
      </c>
      <c r="BY64" s="2336">
        <v>23.926570819518453</v>
      </c>
      <c r="BZ64" s="2336">
        <v>24.062355409192733</v>
      </c>
      <c r="CA64" s="2336">
        <v>24.19754844800935</v>
      </c>
      <c r="CB64" s="2336">
        <v>24.332143901829056</v>
      </c>
      <c r="CC64" s="2336">
        <v>24.466135915372853</v>
      </c>
      <c r="CD64" s="2336">
        <v>24.599518809965936</v>
      </c>
      <c r="CE64" s="2336">
        <v>24.732287081295137</v>
      </c>
      <c r="CF64" s="2336">
        <v>24.86443539718416</v>
      </c>
      <c r="CG64" s="2336">
        <v>24.995958595385023</v>
      </c>
      <c r="CH64" s="2336">
        <v>25.126851681388978</v>
      </c>
      <c r="CI64" s="2336">
        <v>25.257109826255931</v>
      </c>
      <c r="CJ64" s="2336">
        <v>25.386728364464503</v>
      </c>
      <c r="CK64" s="2336">
        <v>25.51570279178188</v>
      </c>
      <c r="CL64" s="2336">
        <v>25.644028763154704</v>
      </c>
      <c r="CM64" s="2336">
        <v>25.771702090622107</v>
      </c>
      <c r="CN64" s="2336">
        <v>25.898718741249702</v>
      </c>
      <c r="CO64" s="2336">
        <v>26.025074835085036</v>
      </c>
      <c r="CP64" s="2336">
        <v>26.150766643135785</v>
      </c>
      <c r="CQ64" s="2336">
        <v>26.275790585369005</v>
      </c>
      <c r="CR64" s="2336">
        <v>26.400143228733182</v>
      </c>
      <c r="CS64" s="2336">
        <v>26.523821285201336</v>
      </c>
      <c r="CT64" s="2336">
        <v>26.646821609835083</v>
      </c>
      <c r="CU64" s="2336">
        <v>26.769141198871971</v>
      </c>
      <c r="CV64" s="2336">
        <v>26.890777187832011</v>
      </c>
      <c r="CW64" s="2336">
        <v>27.011726849645676</v>
      </c>
      <c r="CX64" s="2336">
        <v>27.131987592802727</v>
      </c>
      <c r="CY64" s="2336">
        <v>27.251556959519874</v>
      </c>
      <c r="CZ64" s="2336">
        <v>27.370432623929126</v>
      </c>
      <c r="DA64" s="2336">
        <v>27.488612390285301</v>
      </c>
      <c r="DB64" s="2336">
        <v>27.606094191191172</v>
      </c>
      <c r="DC64" s="2336">
        <v>27.722876085841484</v>
      </c>
      <c r="DD64" s="2336">
        <v>27.838956258284867</v>
      </c>
      <c r="DE64" s="2336">
        <v>27.954333015703018</v>
      </c>
      <c r="DF64" s="2336">
        <v>28.069004786705435</v>
      </c>
      <c r="DG64" s="2336">
        <v>28.182970119641883</v>
      </c>
      <c r="DH64" s="2336">
        <v>28.296227680929306</v>
      </c>
      <c r="DI64" s="2336">
        <v>28.408776253394592</v>
      </c>
      <c r="DJ64" s="2336">
        <v>28.520614734631803</v>
      </c>
      <c r="DK64" s="2344">
        <v>28.6317421353728</v>
      </c>
      <c r="DL64" s="2336">
        <v>28.742157577872977</v>
      </c>
      <c r="DM64" s="2336">
        <v>28.851860294308171</v>
      </c>
      <c r="DN64" s="2336">
        <v>28.960849625186299</v>
      </c>
      <c r="DO64" s="2336">
        <v>29.069125017769348</v>
      </c>
      <c r="DP64" s="2336">
        <v>29.176686024508328</v>
      </c>
      <c r="DQ64" s="2336">
        <v>29.283532301488769</v>
      </c>
      <c r="DR64" s="2336">
        <v>29.389663606887051</v>
      </c>
      <c r="DS64" s="2336">
        <v>29.495079799438543</v>
      </c>
      <c r="DT64" s="2336">
        <v>29.599780836913283</v>
      </c>
      <c r="DU64" s="2336">
        <v>29.703766774603682</v>
      </c>
    </row>
    <row r="65" spans="1:125" ht="14.25">
      <c r="A65" s="904">
        <v>63</v>
      </c>
      <c r="B65" s="92"/>
      <c r="C65" s="92"/>
      <c r="D65" s="92"/>
      <c r="E65" s="92"/>
      <c r="F65" s="92"/>
      <c r="G65" s="92"/>
      <c r="H65" s="92"/>
      <c r="I65" s="92"/>
      <c r="J65" s="92"/>
      <c r="K65" s="92"/>
      <c r="L65" s="92"/>
      <c r="M65" s="92"/>
      <c r="N65" s="92"/>
      <c r="O65" s="92"/>
      <c r="P65" s="92"/>
      <c r="Q65" s="92"/>
      <c r="R65" s="92"/>
      <c r="S65" s="92"/>
      <c r="T65" s="92"/>
      <c r="U65" s="92"/>
      <c r="V65" s="739"/>
      <c r="W65" s="2338">
        <v>16.329999999999998</v>
      </c>
      <c r="X65" s="2338">
        <v>16.55</v>
      </c>
      <c r="Y65" s="2336">
        <v>16.679346910581909</v>
      </c>
      <c r="Z65" s="2336">
        <v>16.872982069127726</v>
      </c>
      <c r="AA65" s="2336">
        <v>17.045622266328714</v>
      </c>
      <c r="AB65" s="2336">
        <v>17.212501354793464</v>
      </c>
      <c r="AC65" s="2336">
        <v>17.235340705790069</v>
      </c>
      <c r="AD65" s="2336">
        <v>17.251782646899819</v>
      </c>
      <c r="AE65" s="2336">
        <v>17.360993185319153</v>
      </c>
      <c r="AF65" s="2336">
        <v>17.59075446354435</v>
      </c>
      <c r="AG65" s="2336">
        <v>17.800359982106009</v>
      </c>
      <c r="AH65" s="2336">
        <v>18.039731401847078</v>
      </c>
      <c r="AI65" s="2336">
        <v>18.272067303629065</v>
      </c>
      <c r="AJ65" s="2336">
        <v>18.48031799639892</v>
      </c>
      <c r="AK65" s="2336">
        <v>18.714748677442138</v>
      </c>
      <c r="AL65" s="2336">
        <v>18.96416150036719</v>
      </c>
      <c r="AM65" s="2336">
        <v>19.162727563139278</v>
      </c>
      <c r="AN65" s="2336">
        <v>19.302628738169407</v>
      </c>
      <c r="AO65" s="2336">
        <v>19.397753603323942</v>
      </c>
      <c r="AP65" s="2336">
        <v>19.473071585463593</v>
      </c>
      <c r="AQ65" s="2336">
        <v>19.574402484586923</v>
      </c>
      <c r="AR65" s="2336">
        <v>19.680500712286026</v>
      </c>
      <c r="AS65" s="2336">
        <v>19.679473944764883</v>
      </c>
      <c r="AT65" s="2336">
        <v>19.682798782242369</v>
      </c>
      <c r="AU65" s="2336">
        <v>19.712911608728966</v>
      </c>
      <c r="AV65" s="2336">
        <v>19.718579648619603</v>
      </c>
      <c r="AW65" s="2336">
        <v>19.866432885938799</v>
      </c>
      <c r="AX65" s="2336">
        <v>19.90502417312311</v>
      </c>
      <c r="AY65" s="2336">
        <v>19.968759626842541</v>
      </c>
      <c r="AZ65" s="2336">
        <v>20.016623466386619</v>
      </c>
      <c r="BA65" s="2336">
        <v>20.051683529327835</v>
      </c>
      <c r="BB65" s="2336">
        <v>20.153039532478406</v>
      </c>
      <c r="BC65" s="2336">
        <v>20.238909212981088</v>
      </c>
      <c r="BD65" s="2336">
        <v>20.330810111328145</v>
      </c>
      <c r="BE65" s="2336">
        <v>20.449112152462902</v>
      </c>
      <c r="BF65" s="2336">
        <v>20.556154178088125</v>
      </c>
      <c r="BG65" s="2336">
        <v>20.670461221396678</v>
      </c>
      <c r="BH65" s="2336">
        <v>20.806010322062676</v>
      </c>
      <c r="BI65" s="2336">
        <v>20.941066792031897</v>
      </c>
      <c r="BJ65" s="2336">
        <v>21.081454368651176</v>
      </c>
      <c r="BK65" s="2336">
        <v>21.221553206254935</v>
      </c>
      <c r="BL65" s="2336">
        <v>21.361338546006735</v>
      </c>
      <c r="BM65" s="2336">
        <v>21.500784243098391</v>
      </c>
      <c r="BN65" s="2336">
        <v>21.639862011057851</v>
      </c>
      <c r="BO65" s="2336">
        <v>21.778541004269808</v>
      </c>
      <c r="BP65" s="2336">
        <v>21.91679021152866</v>
      </c>
      <c r="BQ65" s="2336">
        <v>22.054579579191536</v>
      </c>
      <c r="BR65" s="2336">
        <v>22.191880448316223</v>
      </c>
      <c r="BS65" s="2336">
        <v>22.328665992135338</v>
      </c>
      <c r="BT65" s="2336">
        <v>22.464911629129883</v>
      </c>
      <c r="BU65" s="2336">
        <v>22.600595365315325</v>
      </c>
      <c r="BV65" s="2336">
        <v>22.735698069271223</v>
      </c>
      <c r="BW65" s="2336">
        <v>22.870262801115611</v>
      </c>
      <c r="BX65" s="2336">
        <v>23.004282858158039</v>
      </c>
      <c r="BY65" s="2336">
        <v>23.137751715050786</v>
      </c>
      <c r="BZ65" s="2336">
        <v>23.270663021728264</v>
      </c>
      <c r="CA65" s="2336">
        <v>23.403010601355543</v>
      </c>
      <c r="CB65" s="2336">
        <v>23.534788448288186</v>
      </c>
      <c r="CC65" s="2336">
        <v>23.665990726043212</v>
      </c>
      <c r="CD65" s="2336">
        <v>23.796611765285242</v>
      </c>
      <c r="CE65" s="2336">
        <v>23.926646061825686</v>
      </c>
      <c r="CF65" s="2336">
        <v>24.056088274638899</v>
      </c>
      <c r="CG65" s="2336">
        <v>24.184933223893584</v>
      </c>
      <c r="CH65" s="2336">
        <v>24.313175889002444</v>
      </c>
      <c r="CI65" s="2336">
        <v>24.440811406688869</v>
      </c>
      <c r="CJ65" s="2336">
        <v>24.56783506907265</v>
      </c>
      <c r="CK65" s="2336">
        <v>24.694242321773689</v>
      </c>
      <c r="CL65" s="2336">
        <v>24.82002876203471</v>
      </c>
      <c r="CM65" s="2336">
        <v>24.945190136863985</v>
      </c>
      <c r="CN65" s="2336">
        <v>25.069722341196766</v>
      </c>
      <c r="CO65" s="2336">
        <v>25.193621416075636</v>
      </c>
      <c r="CP65" s="2336">
        <v>25.316883546851138</v>
      </c>
      <c r="CQ65" s="2336">
        <v>25.43950506140072</v>
      </c>
      <c r="CR65" s="2336">
        <v>25.561482428367693</v>
      </c>
      <c r="CS65" s="2336">
        <v>25.682812255418376</v>
      </c>
      <c r="CT65" s="2336">
        <v>25.803491287517197</v>
      </c>
      <c r="CU65" s="2336">
        <v>25.923516405222024</v>
      </c>
      <c r="CV65" s="2336">
        <v>26.042884622995519</v>
      </c>
      <c r="CW65" s="2336">
        <v>26.161593087534808</v>
      </c>
      <c r="CX65" s="2336">
        <v>26.279639076118706</v>
      </c>
      <c r="CY65" s="2336">
        <v>26.397019994970432</v>
      </c>
      <c r="CZ65" s="2336">
        <v>26.513733377637717</v>
      </c>
      <c r="DA65" s="2336">
        <v>26.62977688338864</v>
      </c>
      <c r="DB65" s="2336">
        <v>26.745148295621693</v>
      </c>
      <c r="DC65" s="2336">
        <v>26.859845520291273</v>
      </c>
      <c r="DD65" s="2336">
        <v>26.973866584347583</v>
      </c>
      <c r="DE65" s="2336">
        <v>27.087209634190355</v>
      </c>
      <c r="DF65" s="2336">
        <v>27.199872934134593</v>
      </c>
      <c r="DG65" s="2336">
        <v>27.31185486489057</v>
      </c>
      <c r="DH65" s="2336">
        <v>27.42315392205477</v>
      </c>
      <c r="DI65" s="2336">
        <v>27.533768714613171</v>
      </c>
      <c r="DJ65" s="2336">
        <v>27.64369796345553</v>
      </c>
      <c r="DK65" s="2344">
        <v>27.752940499899559</v>
      </c>
      <c r="DL65" s="2336">
        <v>27.861495264226733</v>
      </c>
      <c r="DM65" s="2336">
        <v>27.969361304225881</v>
      </c>
      <c r="DN65" s="2336">
        <v>28.076537773747987</v>
      </c>
      <c r="DO65" s="2336">
        <v>28.183023931268021</v>
      </c>
      <c r="DP65" s="2336">
        <v>28.288819138456304</v>
      </c>
      <c r="DQ65" s="2336">
        <v>28.393922858757048</v>
      </c>
      <c r="DR65" s="2336">
        <v>28.498334655974457</v>
      </c>
      <c r="DS65" s="2336">
        <v>28.602054192867307</v>
      </c>
      <c r="DT65" s="2336">
        <v>28.705081229747794</v>
      </c>
      <c r="DU65" s="2336">
        <v>28.807415623089227</v>
      </c>
    </row>
    <row r="66" spans="1:125" ht="14.25">
      <c r="A66" s="904">
        <v>64</v>
      </c>
      <c r="B66" s="92"/>
      <c r="C66" s="92"/>
      <c r="D66" s="92"/>
      <c r="E66" s="92"/>
      <c r="F66" s="92"/>
      <c r="G66" s="92"/>
      <c r="H66" s="92"/>
      <c r="I66" s="92"/>
      <c r="J66" s="92"/>
      <c r="K66" s="92"/>
      <c r="L66" s="92"/>
      <c r="M66" s="92"/>
      <c r="N66" s="92"/>
      <c r="O66" s="92"/>
      <c r="P66" s="92"/>
      <c r="Q66" s="92"/>
      <c r="R66" s="92"/>
      <c r="S66" s="92"/>
      <c r="T66" s="92"/>
      <c r="U66" s="92"/>
      <c r="V66" s="739"/>
      <c r="W66" s="2338">
        <v>15.71</v>
      </c>
      <c r="X66" s="2338">
        <v>15.91</v>
      </c>
      <c r="Y66" s="2336">
        <v>16.035319751250352</v>
      </c>
      <c r="Z66" s="2336">
        <v>16.234282250954923</v>
      </c>
      <c r="AA66" s="2336">
        <v>16.394913232323702</v>
      </c>
      <c r="AB66" s="2336">
        <v>16.567990835893941</v>
      </c>
      <c r="AC66" s="2336">
        <v>16.596073006808947</v>
      </c>
      <c r="AD66" s="2336">
        <v>16.611348846083324</v>
      </c>
      <c r="AE66" s="2336">
        <v>16.719018586043905</v>
      </c>
      <c r="AF66" s="2336">
        <v>16.950360019625187</v>
      </c>
      <c r="AG66" s="2336">
        <v>17.153131929960811</v>
      </c>
      <c r="AH66" s="2336">
        <v>17.388238451412398</v>
      </c>
      <c r="AI66" s="2336">
        <v>17.609461252015016</v>
      </c>
      <c r="AJ66" s="2336">
        <v>17.804911584594915</v>
      </c>
      <c r="AK66" s="2336">
        <v>18.029883647256707</v>
      </c>
      <c r="AL66" s="2336">
        <v>18.274237465705195</v>
      </c>
      <c r="AM66" s="2336">
        <v>18.453233342005468</v>
      </c>
      <c r="AN66" s="2336">
        <v>18.590587254546016</v>
      </c>
      <c r="AO66" s="2336">
        <v>18.681946968462071</v>
      </c>
      <c r="AP66" s="2336">
        <v>18.746657866940609</v>
      </c>
      <c r="AQ66" s="2336">
        <v>18.843437414224162</v>
      </c>
      <c r="AR66" s="2336">
        <v>18.938864709160285</v>
      </c>
      <c r="AS66" s="2336">
        <v>18.94064177901226</v>
      </c>
      <c r="AT66" s="2336">
        <v>18.944696312298248</v>
      </c>
      <c r="AU66" s="2336">
        <v>18.972400672297816</v>
      </c>
      <c r="AV66" s="2336">
        <v>18.977292133497311</v>
      </c>
      <c r="AW66" s="2336">
        <v>19.119050582061103</v>
      </c>
      <c r="AX66" s="2336">
        <v>19.154128395053149</v>
      </c>
      <c r="AY66" s="2336">
        <v>19.223180952064528</v>
      </c>
      <c r="AZ66" s="2336">
        <v>19.264467535905105</v>
      </c>
      <c r="BA66" s="2336">
        <v>19.314802946808168</v>
      </c>
      <c r="BB66" s="2336">
        <v>19.415812609943419</v>
      </c>
      <c r="BC66" s="2336">
        <v>19.498793764566919</v>
      </c>
      <c r="BD66" s="2336">
        <v>19.594749732878618</v>
      </c>
      <c r="BE66" s="2336">
        <v>19.708198593528934</v>
      </c>
      <c r="BF66" s="2336">
        <v>19.813015273660099</v>
      </c>
      <c r="BG66" s="2336">
        <v>19.941635175752157</v>
      </c>
      <c r="BH66" s="2336">
        <v>20.077914299666723</v>
      </c>
      <c r="BI66" s="2336">
        <v>20.214990463747519</v>
      </c>
      <c r="BJ66" s="2336">
        <v>20.351832875999023</v>
      </c>
      <c r="BK66" s="2336">
        <v>20.48841766173485</v>
      </c>
      <c r="BL66" s="2336">
        <v>20.624719944158361</v>
      </c>
      <c r="BM66" s="2336">
        <v>20.760713447051426</v>
      </c>
      <c r="BN66" s="2336">
        <v>20.896369731164565</v>
      </c>
      <c r="BO66" s="2336">
        <v>21.031657773848497</v>
      </c>
      <c r="BP66" s="2336">
        <v>21.166546392958971</v>
      </c>
      <c r="BQ66" s="2336">
        <v>21.301005382399506</v>
      </c>
      <c r="BR66" s="2336">
        <v>21.435005952468853</v>
      </c>
      <c r="BS66" s="2336">
        <v>21.568521170067307</v>
      </c>
      <c r="BT66" s="2336">
        <v>21.701526373793698</v>
      </c>
      <c r="BU66" s="2336">
        <v>21.833999517126255</v>
      </c>
      <c r="BV66" s="2336">
        <v>21.965970550176504</v>
      </c>
      <c r="BW66" s="2336">
        <v>22.097432674513147</v>
      </c>
      <c r="BX66" s="2336">
        <v>22.228379259584852</v>
      </c>
      <c r="BY66" s="2336">
        <v>22.358803840912355</v>
      </c>
      <c r="BZ66" s="2336">
        <v>22.488700118288588</v>
      </c>
      <c r="CA66" s="2336">
        <v>22.618061953988136</v>
      </c>
      <c r="CB66" s="2336">
        <v>22.746883370988016</v>
      </c>
      <c r="CC66" s="2336">
        <v>22.875158551199164</v>
      </c>
      <c r="CD66" s="2336">
        <v>23.002881833712539</v>
      </c>
      <c r="CE66" s="2336">
        <v>23.130047713057316</v>
      </c>
      <c r="CF66" s="2336">
        <v>23.256650837474979</v>
      </c>
      <c r="CG66" s="2336">
        <v>23.382686007207226</v>
      </c>
      <c r="CH66" s="2336">
        <v>23.508148172800539</v>
      </c>
      <c r="CI66" s="2336">
        <v>23.633032433426042</v>
      </c>
      <c r="CJ66" s="2336">
        <v>23.757334035216299</v>
      </c>
      <c r="CK66" s="2336">
        <v>23.88104836961805</v>
      </c>
      <c r="CL66" s="2336">
        <v>24.004170971761461</v>
      </c>
      <c r="CM66" s="2336">
        <v>24.12669751884706</v>
      </c>
      <c r="CN66" s="2336">
        <v>24.248623828548574</v>
      </c>
      <c r="CO66" s="2336">
        <v>24.369945857432022</v>
      </c>
      <c r="CP66" s="2336">
        <v>24.490659699392143</v>
      </c>
      <c r="CQ66" s="2336">
        <v>24.610761584104139</v>
      </c>
      <c r="CR66" s="2336">
        <v>24.730247875492303</v>
      </c>
      <c r="CS66" s="2336">
        <v>24.849115070213639</v>
      </c>
      <c r="CT66" s="2336">
        <v>24.967359796156142</v>
      </c>
      <c r="CU66" s="2336">
        <v>25.084978810953949</v>
      </c>
      <c r="CV66" s="2336">
        <v>25.201969000515067</v>
      </c>
      <c r="CW66" s="2336">
        <v>25.318327377563918</v>
      </c>
      <c r="CX66" s="2336">
        <v>25.434051080197907</v>
      </c>
      <c r="CY66" s="2336">
        <v>25.549137370455881</v>
      </c>
      <c r="CZ66" s="2336">
        <v>25.663583632900341</v>
      </c>
      <c r="DA66" s="2336">
        <v>25.777387373211724</v>
      </c>
      <c r="DB66" s="2336">
        <v>25.890546216793229</v>
      </c>
      <c r="DC66" s="2336">
        <v>26.003057907387355</v>
      </c>
      <c r="DD66" s="2336">
        <v>26.114920305703141</v>
      </c>
      <c r="DE66" s="2336">
        <v>26.226131388053439</v>
      </c>
      <c r="DF66" s="2336">
        <v>26.336689245000546</v>
      </c>
      <c r="DG66" s="2336">
        <v>26.446592080012266</v>
      </c>
      <c r="DH66" s="2336">
        <v>26.555838208125266</v>
      </c>
      <c r="DI66" s="2336">
        <v>26.664426054616985</v>
      </c>
      <c r="DJ66" s="2336">
        <v>26.772354153684812</v>
      </c>
      <c r="DK66" s="2344">
        <v>26.879621147131559</v>
      </c>
      <c r="DL66" s="2336">
        <v>26.986225783058742</v>
      </c>
      <c r="DM66" s="2336">
        <v>27.092166914564071</v>
      </c>
      <c r="DN66" s="2336">
        <v>27.197443498446518</v>
      </c>
      <c r="DO66" s="2336">
        <v>27.302054593914747</v>
      </c>
      <c r="DP66" s="2336">
        <v>27.405999361301557</v>
      </c>
      <c r="DQ66" s="2336">
        <v>27.509277060781905</v>
      </c>
      <c r="DR66" s="2336">
        <v>27.61188705109501</v>
      </c>
      <c r="DS66" s="2336">
        <v>27.713828788271439</v>
      </c>
      <c r="DT66" s="2336">
        <v>27.815101824361022</v>
      </c>
      <c r="DU66" s="2336">
        <v>27.915705806166212</v>
      </c>
    </row>
    <row r="67" spans="1:125" ht="14.25">
      <c r="A67" s="904">
        <v>65</v>
      </c>
      <c r="B67" s="92"/>
      <c r="C67" s="92"/>
      <c r="D67" s="92"/>
      <c r="E67" s="92"/>
      <c r="F67" s="92"/>
      <c r="G67" s="92"/>
      <c r="H67" s="92"/>
      <c r="I67" s="92"/>
      <c r="J67" s="92"/>
      <c r="K67" s="92"/>
      <c r="L67" s="92"/>
      <c r="M67" s="92"/>
      <c r="N67" s="92"/>
      <c r="O67" s="92"/>
      <c r="P67" s="92"/>
      <c r="Q67" s="92"/>
      <c r="R67" s="92"/>
      <c r="S67" s="92"/>
      <c r="T67" s="92"/>
      <c r="U67" s="92"/>
      <c r="V67" s="739"/>
      <c r="W67" s="2338">
        <v>15.08</v>
      </c>
      <c r="X67" s="2338">
        <v>15.28</v>
      </c>
      <c r="Y67" s="2336">
        <v>15.399302554775488</v>
      </c>
      <c r="Z67" s="2336">
        <v>15.597654985795707</v>
      </c>
      <c r="AA67" s="2336">
        <v>15.762090371239383</v>
      </c>
      <c r="AB67" s="2336">
        <v>15.936036709044537</v>
      </c>
      <c r="AC67" s="2336">
        <v>15.970393019875434</v>
      </c>
      <c r="AD67" s="2336">
        <v>15.988539387578951</v>
      </c>
      <c r="AE67" s="2336">
        <v>16.09475973091752</v>
      </c>
      <c r="AF67" s="2336">
        <v>16.32165165939767</v>
      </c>
      <c r="AG67" s="2336">
        <v>16.518403778336594</v>
      </c>
      <c r="AH67" s="2336">
        <v>16.740430483291298</v>
      </c>
      <c r="AI67" s="2336">
        <v>16.946288057395922</v>
      </c>
      <c r="AJ67" s="2336">
        <v>17.131047453755894</v>
      </c>
      <c r="AK67" s="2336">
        <v>17.349368606216807</v>
      </c>
      <c r="AL67" s="2336">
        <v>17.5783442978381</v>
      </c>
      <c r="AM67" s="2336">
        <v>17.749497006034883</v>
      </c>
      <c r="AN67" s="2336">
        <v>17.886725471490717</v>
      </c>
      <c r="AO67" s="2336">
        <v>17.9702922126801</v>
      </c>
      <c r="AP67" s="2336">
        <v>18.024100835496867</v>
      </c>
      <c r="AQ67" s="2336">
        <v>18.111481179418213</v>
      </c>
      <c r="AR67" s="2336">
        <v>18.207131841548637</v>
      </c>
      <c r="AS67" s="2336">
        <v>18.210443618626147</v>
      </c>
      <c r="AT67" s="2336">
        <v>18.208567830820236</v>
      </c>
      <c r="AU67" s="2336">
        <v>18.23781317622468</v>
      </c>
      <c r="AV67" s="2336">
        <v>18.248725763986645</v>
      </c>
      <c r="AW67" s="2336">
        <v>18.386382372138417</v>
      </c>
      <c r="AX67" s="2336">
        <v>18.423935781959479</v>
      </c>
      <c r="AY67" s="2336">
        <v>18.485071493095226</v>
      </c>
      <c r="AZ67" s="2336">
        <v>18.538838759882108</v>
      </c>
      <c r="BA67" s="2336">
        <v>18.587312295444413</v>
      </c>
      <c r="BB67" s="2336">
        <v>18.683671705006304</v>
      </c>
      <c r="BC67" s="2336">
        <v>18.775707519001767</v>
      </c>
      <c r="BD67" s="2336">
        <v>18.872027157177804</v>
      </c>
      <c r="BE67" s="2336">
        <v>18.975605422604396</v>
      </c>
      <c r="BF67" s="2336">
        <v>19.097585925356597</v>
      </c>
      <c r="BG67" s="2336">
        <v>19.232894401986577</v>
      </c>
      <c r="BH67" s="2336">
        <v>19.366436196693112</v>
      </c>
      <c r="BI67" s="2336">
        <v>19.49979983680392</v>
      </c>
      <c r="BJ67" s="2336">
        <v>19.632962183547267</v>
      </c>
      <c r="BK67" s="2336">
        <v>19.765899230012383</v>
      </c>
      <c r="BL67" s="2336">
        <v>19.898585958191241</v>
      </c>
      <c r="BM67" s="2336">
        <v>20.030995937217646</v>
      </c>
      <c r="BN67" s="2336">
        <v>20.163100551091294</v>
      </c>
      <c r="BO67" s="2336">
        <v>20.294868575142392</v>
      </c>
      <c r="BP67" s="2336">
        <v>20.426268633014992</v>
      </c>
      <c r="BQ67" s="2336">
        <v>20.557270345655731</v>
      </c>
      <c r="BR67" s="2336">
        <v>20.68784477508483</v>
      </c>
      <c r="BS67" s="2336">
        <v>20.817964867503278</v>
      </c>
      <c r="BT67" s="2336">
        <v>20.947605870517446</v>
      </c>
      <c r="BU67" s="2336">
        <v>21.076782018436006</v>
      </c>
      <c r="BV67" s="2336">
        <v>21.205486438889032</v>
      </c>
      <c r="BW67" s="2336">
        <v>21.333712416899395</v>
      </c>
      <c r="BX67" s="2336">
        <v>21.461453393344819</v>
      </c>
      <c r="BY67" s="2336">
        <v>21.588702963427711</v>
      </c>
      <c r="BZ67" s="2336">
        <v>21.715454875153043</v>
      </c>
      <c r="CA67" s="2336">
        <v>21.841703027815456</v>
      </c>
      <c r="CB67" s="2336">
        <v>21.967441470497171</v>
      </c>
      <c r="CC67" s="2336">
        <v>22.092664400575867</v>
      </c>
      <c r="CD67" s="2336">
        <v>22.217366162246087</v>
      </c>
      <c r="CE67" s="2336">
        <v>22.341541245051491</v>
      </c>
      <c r="CF67" s="2336">
        <v>22.465184282431423</v>
      </c>
      <c r="CG67" s="2336">
        <v>22.588290050279547</v>
      </c>
      <c r="CH67" s="2336">
        <v>22.710853465517161</v>
      </c>
      <c r="CI67" s="2336">
        <v>22.832869584679639</v>
      </c>
      <c r="CJ67" s="2336">
        <v>22.954333602517426</v>
      </c>
      <c r="CK67" s="2336">
        <v>23.075240850610459</v>
      </c>
      <c r="CL67" s="2336">
        <v>23.195586795996391</v>
      </c>
      <c r="CM67" s="2336">
        <v>23.315367039813676</v>
      </c>
      <c r="CN67" s="2336">
        <v>23.434577315957583</v>
      </c>
      <c r="CO67" s="2336">
        <v>23.553213489749314</v>
      </c>
      <c r="CP67" s="2336">
        <v>23.671271556619324</v>
      </c>
      <c r="CQ67" s="2336">
        <v>23.788747640802526</v>
      </c>
      <c r="CR67" s="2336">
        <v>23.905637994047083</v>
      </c>
      <c r="CS67" s="2336">
        <v>24.021938994334565</v>
      </c>
      <c r="CT67" s="2336">
        <v>24.137647144611293</v>
      </c>
      <c r="CU67" s="2336">
        <v>24.252759071532839</v>
      </c>
      <c r="CV67" s="2336">
        <v>24.367271524217404</v>
      </c>
      <c r="CW67" s="2336">
        <v>24.481181373010269</v>
      </c>
      <c r="CX67" s="2336">
        <v>24.594485608258449</v>
      </c>
      <c r="CY67" s="2336">
        <v>24.707181339093385</v>
      </c>
      <c r="CZ67" s="2336">
        <v>24.819265792223526</v>
      </c>
      <c r="DA67" s="2336">
        <v>24.930736310735078</v>
      </c>
      <c r="DB67" s="2336">
        <v>25.041590352899355</v>
      </c>
      <c r="DC67" s="2336">
        <v>25.1518254909879</v>
      </c>
      <c r="DD67" s="2336">
        <v>25.2614394100944</v>
      </c>
      <c r="DE67" s="2336">
        <v>25.370429906962666</v>
      </c>
      <c r="DF67" s="2336">
        <v>25.478794888818985</v>
      </c>
      <c r="DG67" s="2336">
        <v>25.586532372210993</v>
      </c>
      <c r="DH67" s="2336">
        <v>25.69364048184995</v>
      </c>
      <c r="DI67" s="2336">
        <v>25.800117449457524</v>
      </c>
      <c r="DJ67" s="2336">
        <v>25.905961612616085</v>
      </c>
      <c r="DK67" s="2344">
        <v>26.011171413621273</v>
      </c>
      <c r="DL67" s="2336">
        <v>26.115745398338646</v>
      </c>
      <c r="DM67" s="2336">
        <v>26.219682215060551</v>
      </c>
      <c r="DN67" s="2336">
        <v>26.322980613366934</v>
      </c>
      <c r="DO67" s="2336">
        <v>26.425639442985592</v>
      </c>
      <c r="DP67" s="2336">
        <v>26.527657652654781</v>
      </c>
      <c r="DQ67" s="2336">
        <v>26.629034288985686</v>
      </c>
      <c r="DR67" s="2336">
        <v>26.729768495325274</v>
      </c>
      <c r="DS67" s="2336">
        <v>26.829859510620537</v>
      </c>
      <c r="DT67" s="2336">
        <v>26.929306668279981</v>
      </c>
      <c r="DU67" s="2336">
        <v>27.028109395036974</v>
      </c>
    </row>
    <row r="68" spans="1:125" ht="14.25">
      <c r="A68" s="904">
        <v>66</v>
      </c>
      <c r="B68" s="92"/>
      <c r="C68" s="92"/>
      <c r="D68" s="92"/>
      <c r="E68" s="92"/>
      <c r="F68" s="92"/>
      <c r="G68" s="92"/>
      <c r="H68" s="92"/>
      <c r="I68" s="92"/>
      <c r="J68" s="92"/>
      <c r="K68" s="92"/>
      <c r="L68" s="92"/>
      <c r="M68" s="92"/>
      <c r="N68" s="92"/>
      <c r="O68" s="92"/>
      <c r="P68" s="92"/>
      <c r="Q68" s="92"/>
      <c r="R68" s="92"/>
      <c r="S68" s="92"/>
      <c r="T68" s="92"/>
      <c r="U68" s="92"/>
      <c r="V68" s="739"/>
      <c r="W68" s="2338">
        <v>14.48</v>
      </c>
      <c r="X68" s="2338">
        <v>14.66</v>
      </c>
      <c r="Y68" s="2336">
        <v>14.786229013907947</v>
      </c>
      <c r="Z68" s="2336">
        <v>14.993738590666039</v>
      </c>
      <c r="AA68" s="2336">
        <v>15.147150661943082</v>
      </c>
      <c r="AB68" s="2336">
        <v>15.314665291997761</v>
      </c>
      <c r="AC68" s="2336">
        <v>15.350315072975002</v>
      </c>
      <c r="AD68" s="2336">
        <v>15.371851724891576</v>
      </c>
      <c r="AE68" s="2336">
        <v>15.478340683605188</v>
      </c>
      <c r="AF68" s="2336">
        <v>15.709592474263175</v>
      </c>
      <c r="AG68" s="2336">
        <v>15.894436363960256</v>
      </c>
      <c r="AH68" s="2336">
        <v>16.098358027580854</v>
      </c>
      <c r="AI68" s="2336">
        <v>16.29216093463749</v>
      </c>
      <c r="AJ68" s="2336">
        <v>16.471739987633498</v>
      </c>
      <c r="AK68" s="2336">
        <v>16.670891144682336</v>
      </c>
      <c r="AL68" s="2336">
        <v>16.898309586360387</v>
      </c>
      <c r="AM68" s="2336">
        <v>17.064897903955128</v>
      </c>
      <c r="AN68" s="2336">
        <v>17.18763547994358</v>
      </c>
      <c r="AO68" s="2336">
        <v>17.268769047826655</v>
      </c>
      <c r="AP68" s="2336">
        <v>17.313450813156724</v>
      </c>
      <c r="AQ68" s="2336">
        <v>17.392975788159237</v>
      </c>
      <c r="AR68" s="2336">
        <v>17.486560447720105</v>
      </c>
      <c r="AS68" s="2336">
        <v>17.484784398017027</v>
      </c>
      <c r="AT68" s="2336">
        <v>17.480188229469352</v>
      </c>
      <c r="AU68" s="2336">
        <v>17.516415876925628</v>
      </c>
      <c r="AV68" s="2336">
        <v>17.532318451360805</v>
      </c>
      <c r="AW68" s="2336">
        <v>17.664514460975436</v>
      </c>
      <c r="AX68" s="2336">
        <v>17.691623243371378</v>
      </c>
      <c r="AY68" s="2336">
        <v>17.765233385973016</v>
      </c>
      <c r="AZ68" s="2336">
        <v>17.823557507367443</v>
      </c>
      <c r="BA68" s="2336">
        <v>17.871308328470437</v>
      </c>
      <c r="BB68" s="2336">
        <v>17.967870573287485</v>
      </c>
      <c r="BC68" s="2336">
        <v>18.056377027888963</v>
      </c>
      <c r="BD68" s="2336">
        <v>18.153099462722999</v>
      </c>
      <c r="BE68" s="2336">
        <v>18.275775463623933</v>
      </c>
      <c r="BF68" s="2336">
        <v>18.40529224010076</v>
      </c>
      <c r="BG68" s="2336">
        <v>18.535090325388357</v>
      </c>
      <c r="BH68" s="2336">
        <v>18.664766470895877</v>
      </c>
      <c r="BI68" s="2336">
        <v>18.794298222701407</v>
      </c>
      <c r="BJ68" s="2336">
        <v>18.92366228721437</v>
      </c>
      <c r="BK68" s="2336">
        <v>19.052834495834123</v>
      </c>
      <c r="BL68" s="2336">
        <v>19.1817896606109</v>
      </c>
      <c r="BM68" s="2336">
        <v>19.310501167602148</v>
      </c>
      <c r="BN68" s="2336">
        <v>19.438940195141733</v>
      </c>
      <c r="BO68" s="2336">
        <v>19.56707528684159</v>
      </c>
      <c r="BP68" s="2336">
        <v>19.694874844484392</v>
      </c>
      <c r="BQ68" s="2336">
        <v>19.82230829154333</v>
      </c>
      <c r="BR68" s="2336">
        <v>19.949346520582736</v>
      </c>
      <c r="BS68" s="2336">
        <v>20.075962339425399</v>
      </c>
      <c r="BT68" s="2336">
        <v>20.20215184822613</v>
      </c>
      <c r="BU68" s="2336">
        <v>20.327908121375422</v>
      </c>
      <c r="BV68" s="2336">
        <v>20.45322437924213</v>
      </c>
      <c r="BW68" s="2336">
        <v>20.578093986923239</v>
      </c>
      <c r="BX68" s="2336">
        <v>20.702510452998101</v>
      </c>
      <c r="BY68" s="2336">
        <v>20.826467428290467</v>
      </c>
      <c r="BZ68" s="2336">
        <v>20.949958704638199</v>
      </c>
      <c r="CA68" s="2336">
        <v>21.072978213671625</v>
      </c>
      <c r="CB68" s="2336">
        <v>21.195520025601709</v>
      </c>
      <c r="CC68" s="2336">
        <v>21.317578348017008</v>
      </c>
      <c r="CD68" s="2336">
        <v>21.4391475246927</v>
      </c>
      <c r="CE68" s="2336">
        <v>21.560222034408714</v>
      </c>
      <c r="CF68" s="2336">
        <v>21.680796489780288</v>
      </c>
      <c r="CG68" s="2336">
        <v>21.800865636098386</v>
      </c>
      <c r="CH68" s="2336">
        <v>21.9204243501825</v>
      </c>
      <c r="CI68" s="2336">
        <v>22.039467639243988</v>
      </c>
      <c r="CJ68" s="2336">
        <v>22.157990639761302</v>
      </c>
      <c r="CK68" s="2336">
        <v>22.275988616365719</v>
      </c>
      <c r="CL68" s="2336">
        <v>22.393456960737897</v>
      </c>
      <c r="CM68" s="2336">
        <v>22.510391190516128</v>
      </c>
      <c r="CN68" s="2336">
        <v>22.62678694821421</v>
      </c>
      <c r="CO68" s="2336">
        <v>22.742640000149052</v>
      </c>
      <c r="CP68" s="2336">
        <v>22.857946235378968</v>
      </c>
      <c r="CQ68" s="2336">
        <v>22.972701664650238</v>
      </c>
      <c r="CR68" s="2336">
        <v>23.086902419353631</v>
      </c>
      <c r="CS68" s="2336">
        <v>23.200544750488454</v>
      </c>
      <c r="CT68" s="2336">
        <v>23.313625027634007</v>
      </c>
      <c r="CU68" s="2336">
        <v>23.42613973793032</v>
      </c>
      <c r="CV68" s="2336">
        <v>23.538085485063796</v>
      </c>
      <c r="CW68" s="2336">
        <v>23.649458988259926</v>
      </c>
      <c r="CX68" s="2336">
        <v>23.760257081282255</v>
      </c>
      <c r="CY68" s="2336">
        <v>23.87047671143528</v>
      </c>
      <c r="CZ68" s="2336">
        <v>23.980114938573148</v>
      </c>
      <c r="DA68" s="2336">
        <v>24.089168934112475</v>
      </c>
      <c r="DB68" s="2336">
        <v>24.197635980047639</v>
      </c>
      <c r="DC68" s="2336">
        <v>24.305513467969678</v>
      </c>
      <c r="DD68" s="2336">
        <v>24.412798898087978</v>
      </c>
      <c r="DE68" s="2336">
        <v>24.519489878253776</v>
      </c>
      <c r="DF68" s="2336">
        <v>24.625584122984009</v>
      </c>
      <c r="DG68" s="2336">
        <v>24.731079452487599</v>
      </c>
      <c r="DH68" s="2336">
        <v>24.835973791690968</v>
      </c>
      <c r="DI68" s="2336">
        <v>24.940265169264091</v>
      </c>
      <c r="DJ68" s="2336">
        <v>25.043951716645967</v>
      </c>
      <c r="DK68" s="2344">
        <v>25.147031667068351</v>
      </c>
      <c r="DL68" s="2336">
        <v>25.249503354579574</v>
      </c>
      <c r="DM68" s="2336">
        <v>25.351365213064657</v>
      </c>
      <c r="DN68" s="2336">
        <v>25.452615775265375</v>
      </c>
      <c r="DO68" s="2336">
        <v>25.553253671795961</v>
      </c>
      <c r="DP68" s="2336">
        <v>25.653277630157199</v>
      </c>
      <c r="DQ68" s="2336">
        <v>25.752686473746692</v>
      </c>
      <c r="DR68" s="2336">
        <v>25.851479120865626</v>
      </c>
      <c r="DS68" s="2336">
        <v>25.949654583723301</v>
      </c>
      <c r="DT68" s="2336">
        <v>26.047211967435118</v>
      </c>
      <c r="DU68" s="2336">
        <v>26.144150469018872</v>
      </c>
    </row>
    <row r="69" spans="1:125" ht="14.25">
      <c r="A69" s="904">
        <v>67</v>
      </c>
      <c r="B69" s="92"/>
      <c r="C69" s="92"/>
      <c r="D69" s="92"/>
      <c r="E69" s="92"/>
      <c r="F69" s="92"/>
      <c r="G69" s="92"/>
      <c r="H69" s="92"/>
      <c r="I69" s="92"/>
      <c r="J69" s="92"/>
      <c r="K69" s="92"/>
      <c r="L69" s="92"/>
      <c r="M69" s="92"/>
      <c r="N69" s="92"/>
      <c r="O69" s="92"/>
      <c r="P69" s="92"/>
      <c r="Q69" s="92"/>
      <c r="R69" s="92"/>
      <c r="S69" s="92"/>
      <c r="T69" s="92"/>
      <c r="U69" s="92"/>
      <c r="V69" s="739"/>
      <c r="W69" s="2338">
        <v>13.88</v>
      </c>
      <c r="X69" s="2338">
        <v>14.06</v>
      </c>
      <c r="Y69" s="2336">
        <v>14.195414472105544</v>
      </c>
      <c r="Z69" s="2336">
        <v>14.401272166886988</v>
      </c>
      <c r="AA69" s="2336">
        <v>14.541646254206926</v>
      </c>
      <c r="AB69" s="2336">
        <v>14.710306520370819</v>
      </c>
      <c r="AC69" s="2336">
        <v>14.754073318195809</v>
      </c>
      <c r="AD69" s="2336">
        <v>14.764570952299497</v>
      </c>
      <c r="AE69" s="2336">
        <v>14.87801792003901</v>
      </c>
      <c r="AF69" s="2336">
        <v>15.087268003551047</v>
      </c>
      <c r="AG69" s="2336">
        <v>15.265610160948928</v>
      </c>
      <c r="AH69" s="2336">
        <v>15.458019585061338</v>
      </c>
      <c r="AI69" s="2336">
        <v>15.651399617958083</v>
      </c>
      <c r="AJ69" s="2336">
        <v>15.810570158121674</v>
      </c>
      <c r="AK69" s="2336">
        <v>16.004641407712153</v>
      </c>
      <c r="AL69" s="2336">
        <v>16.224657769475119</v>
      </c>
      <c r="AM69" s="2336">
        <v>16.384526798046128</v>
      </c>
      <c r="AN69" s="2336">
        <v>16.494386069506458</v>
      </c>
      <c r="AO69" s="2336">
        <v>16.565178370443032</v>
      </c>
      <c r="AP69" s="2336">
        <v>16.609850513845149</v>
      </c>
      <c r="AQ69" s="2336">
        <v>16.686928314305643</v>
      </c>
      <c r="AR69" s="2336">
        <v>16.771366893146698</v>
      </c>
      <c r="AS69" s="2336">
        <v>16.765128892783999</v>
      </c>
      <c r="AT69" s="2336">
        <v>16.773437713017383</v>
      </c>
      <c r="AU69" s="2336">
        <v>16.799494921876811</v>
      </c>
      <c r="AV69" s="2336">
        <v>16.820132965592002</v>
      </c>
      <c r="AW69" s="2336">
        <v>16.94624760521782</v>
      </c>
      <c r="AX69" s="2336">
        <v>16.984075586384485</v>
      </c>
      <c r="AY69" s="2336">
        <v>17.049347022519509</v>
      </c>
      <c r="AZ69" s="2336">
        <v>17.108308980096716</v>
      </c>
      <c r="BA69" s="2336">
        <v>17.17326703872607</v>
      </c>
      <c r="BB69" s="2336">
        <v>17.263769487607746</v>
      </c>
      <c r="BC69" s="2336">
        <v>17.351985914423562</v>
      </c>
      <c r="BD69" s="2336">
        <v>17.466008762153624</v>
      </c>
      <c r="BE69" s="2336">
        <v>17.594420376421283</v>
      </c>
      <c r="BF69" s="2336">
        <v>17.720279659989146</v>
      </c>
      <c r="BG69" s="2336">
        <v>17.846073778805803</v>
      </c>
      <c r="BH69" s="2336">
        <v>17.971780974621964</v>
      </c>
      <c r="BI69" s="2336">
        <v>18.097378607932143</v>
      </c>
      <c r="BJ69" s="2336">
        <v>18.222843193821408</v>
      </c>
      <c r="BK69" s="2336">
        <v>18.34815036674641</v>
      </c>
      <c r="BL69" s="2336">
        <v>18.47327473463876</v>
      </c>
      <c r="BM69" s="2336">
        <v>18.598189466912348</v>
      </c>
      <c r="BN69" s="2336">
        <v>18.722865502440161</v>
      </c>
      <c r="BO69" s="2336">
        <v>18.847271118774508</v>
      </c>
      <c r="BP69" s="2336">
        <v>18.971374463905846</v>
      </c>
      <c r="BQ69" s="2336">
        <v>19.095144735434502</v>
      </c>
      <c r="BR69" s="2336">
        <v>19.218552631800073</v>
      </c>
      <c r="BS69" s="2336">
        <v>19.34157393254716</v>
      </c>
      <c r="BT69" s="2336">
        <v>19.464201678139858</v>
      </c>
      <c r="BU69" s="2336">
        <v>19.58642904280871</v>
      </c>
      <c r="BV69" s="2336">
        <v>19.708249333597319</v>
      </c>
      <c r="BW69" s="2336">
        <v>19.8296559894155</v>
      </c>
      <c r="BX69" s="2336">
        <v>19.950642580096734</v>
      </c>
      <c r="BY69" s="2336">
        <v>20.071202805462924</v>
      </c>
      <c r="BZ69" s="2336">
        <v>20.191330494396038</v>
      </c>
      <c r="CA69" s="2336">
        <v>20.311019603917256</v>
      </c>
      <c r="CB69" s="2336">
        <v>20.430264218274601</v>
      </c>
      <c r="CC69" s="2336">
        <v>20.549058548037749</v>
      </c>
      <c r="CD69" s="2336">
        <v>20.66739692920298</v>
      </c>
      <c r="CE69" s="2336">
        <v>20.785273822305207</v>
      </c>
      <c r="CF69" s="2336">
        <v>20.902683811540083</v>
      </c>
      <c r="CG69" s="2336">
        <v>21.019621603893484</v>
      </c>
      <c r="CH69" s="2336">
        <v>21.13608202828069</v>
      </c>
      <c r="CI69" s="2336">
        <v>21.252060034693255</v>
      </c>
      <c r="CJ69" s="2336">
        <v>21.367550693354698</v>
      </c>
      <c r="CK69" s="2336">
        <v>21.482549193883628</v>
      </c>
      <c r="CL69" s="2336">
        <v>21.597050844464292</v>
      </c>
      <c r="CM69" s="2336">
        <v>21.711051071025484</v>
      </c>
      <c r="CN69" s="2336">
        <v>21.824545416425483</v>
      </c>
      <c r="CO69" s="2336">
        <v>21.937529539643105</v>
      </c>
      <c r="CP69" s="2336">
        <v>22.049999214975724</v>
      </c>
      <c r="CQ69" s="2336">
        <v>22.161950331241723</v>
      </c>
      <c r="CR69" s="2336">
        <v>22.273378890989044</v>
      </c>
      <c r="CS69" s="2336">
        <v>22.38428100970728</v>
      </c>
      <c r="CT69" s="2336">
        <v>22.494652915043194</v>
      </c>
      <c r="CU69" s="2336">
        <v>22.604490946021418</v>
      </c>
      <c r="CV69" s="2336">
        <v>22.713791552265974</v>
      </c>
      <c r="CW69" s="2336">
        <v>22.822551293224752</v>
      </c>
      <c r="CX69" s="2336">
        <v>22.930766837395993</v>
      </c>
      <c r="CY69" s="2336">
        <v>23.038434961554596</v>
      </c>
      <c r="CZ69" s="2336">
        <v>23.14555254997995</v>
      </c>
      <c r="DA69" s="2336">
        <v>23.252116593683709</v>
      </c>
      <c r="DB69" s="2336">
        <v>23.358124189635781</v>
      </c>
      <c r="DC69" s="2336">
        <v>23.463572539989695</v>
      </c>
      <c r="DD69" s="2336">
        <v>23.568458951306557</v>
      </c>
      <c r="DE69" s="2336">
        <v>23.672780833776603</v>
      </c>
      <c r="DF69" s="2336">
        <v>23.776535700436831</v>
      </c>
      <c r="DG69" s="2336">
        <v>23.879721166386989</v>
      </c>
      <c r="DH69" s="2336">
        <v>23.982334948000503</v>
      </c>
      <c r="DI69" s="2336">
        <v>24.084374862131877</v>
      </c>
      <c r="DJ69" s="2336">
        <v>24.185838825319397</v>
      </c>
      <c r="DK69" s="2344">
        <v>24.28672485298193</v>
      </c>
      <c r="DL69" s="2336">
        <v>24.387031058611818</v>
      </c>
      <c r="DM69" s="2336">
        <v>24.486755652960024</v>
      </c>
      <c r="DN69" s="2336">
        <v>24.585896943217218</v>
      </c>
      <c r="DO69" s="2336">
        <v>24.684453332186617</v>
      </c>
      <c r="DP69" s="2336">
        <v>24.782423317451187</v>
      </c>
      <c r="DQ69" s="2336">
        <v>24.879805490533293</v>
      </c>
      <c r="DR69" s="2336">
        <v>24.976598536046914</v>
      </c>
      <c r="DS69" s="2336">
        <v>25.072801230843918</v>
      </c>
      <c r="DT69" s="2336">
        <v>25.168412443150011</v>
      </c>
      <c r="DU69" s="2336">
        <v>25.263431131695377</v>
      </c>
    </row>
    <row r="70" spans="1:125" ht="14.25">
      <c r="A70" s="904">
        <v>68</v>
      </c>
      <c r="B70" s="92"/>
      <c r="C70" s="92"/>
      <c r="D70" s="92"/>
      <c r="E70" s="92"/>
      <c r="F70" s="92"/>
      <c r="G70" s="92"/>
      <c r="H70" s="92"/>
      <c r="I70" s="92"/>
      <c r="J70" s="92"/>
      <c r="K70" s="92"/>
      <c r="L70" s="92"/>
      <c r="M70" s="92"/>
      <c r="N70" s="92"/>
      <c r="O70" s="92"/>
      <c r="P70" s="92"/>
      <c r="Q70" s="92"/>
      <c r="R70" s="92"/>
      <c r="S70" s="92"/>
      <c r="T70" s="92"/>
      <c r="U70" s="92"/>
      <c r="V70" s="739"/>
      <c r="W70" s="2338">
        <v>13.3</v>
      </c>
      <c r="X70" s="2338">
        <v>13.48</v>
      </c>
      <c r="Y70" s="2336">
        <v>13.608425121953248</v>
      </c>
      <c r="Z70" s="2336">
        <v>13.817731402360597</v>
      </c>
      <c r="AA70" s="2336">
        <v>13.950673950051614</v>
      </c>
      <c r="AB70" s="2336">
        <v>14.114915965269164</v>
      </c>
      <c r="AC70" s="2336">
        <v>14.169753100421481</v>
      </c>
      <c r="AD70" s="2336">
        <v>14.186531551853514</v>
      </c>
      <c r="AE70" s="2336">
        <v>14.277823691208102</v>
      </c>
      <c r="AF70" s="2336">
        <v>14.477345237599776</v>
      </c>
      <c r="AG70" s="2336">
        <v>14.648509710312135</v>
      </c>
      <c r="AH70" s="2336">
        <v>14.837827646938466</v>
      </c>
      <c r="AI70" s="2336">
        <v>15.008225208615212</v>
      </c>
      <c r="AJ70" s="2336">
        <v>15.16701816055815</v>
      </c>
      <c r="AK70" s="2336">
        <v>15.358322607395637</v>
      </c>
      <c r="AL70" s="2336">
        <v>15.553504656165886</v>
      </c>
      <c r="AM70" s="2336">
        <v>15.703312527407444</v>
      </c>
      <c r="AN70" s="2336">
        <v>15.803046503354006</v>
      </c>
      <c r="AO70" s="2336">
        <v>15.864907418399307</v>
      </c>
      <c r="AP70" s="2336">
        <v>15.909146726458827</v>
      </c>
      <c r="AQ70" s="2336">
        <v>15.982734832023784</v>
      </c>
      <c r="AR70" s="2336">
        <v>16.06143702826051</v>
      </c>
      <c r="AS70" s="2336">
        <v>16.062809256689377</v>
      </c>
      <c r="AT70" s="2336">
        <v>16.066046237808855</v>
      </c>
      <c r="AU70" s="2336">
        <v>16.092987095735186</v>
      </c>
      <c r="AV70" s="2336">
        <v>16.11898777293359</v>
      </c>
      <c r="AW70" s="2336">
        <v>16.238244752122284</v>
      </c>
      <c r="AX70" s="2336">
        <v>16.286074827859579</v>
      </c>
      <c r="AY70" s="2336">
        <v>16.350788051189674</v>
      </c>
      <c r="AZ70" s="2336">
        <v>16.414665025826974</v>
      </c>
      <c r="BA70" s="2336">
        <v>16.473752739752154</v>
      </c>
      <c r="BB70" s="2336">
        <v>16.56938352239716</v>
      </c>
      <c r="BC70" s="2336">
        <v>16.677623859568445</v>
      </c>
      <c r="BD70" s="2336">
        <v>16.799661517923688</v>
      </c>
      <c r="BE70" s="2336">
        <v>16.92140146962279</v>
      </c>
      <c r="BF70" s="2336">
        <v>17.043133495470482</v>
      </c>
      <c r="BG70" s="2336">
        <v>17.16483658071105</v>
      </c>
      <c r="BH70" s="2336">
        <v>17.286488742637435</v>
      </c>
      <c r="BI70" s="2336">
        <v>17.408067111858866</v>
      </c>
      <c r="BJ70" s="2336">
        <v>17.529547969537653</v>
      </c>
      <c r="BK70" s="2336">
        <v>17.650906712227563</v>
      </c>
      <c r="BL70" s="2336">
        <v>17.772117704218484</v>
      </c>
      <c r="BM70" s="2336">
        <v>17.893153859688223</v>
      </c>
      <c r="BN70" s="2336">
        <v>18.013985839489955</v>
      </c>
      <c r="BO70" s="2336">
        <v>18.134581616244805</v>
      </c>
      <c r="BP70" s="2336">
        <v>18.254909048080979</v>
      </c>
      <c r="BQ70" s="2336">
        <v>18.374937074626057</v>
      </c>
      <c r="BR70" s="2336">
        <v>18.494619251201396</v>
      </c>
      <c r="BS70" s="2336">
        <v>18.613948602041994</v>
      </c>
      <c r="BT70" s="2336">
        <v>18.732918272292203</v>
      </c>
      <c r="BU70" s="2336">
        <v>18.851521527359647</v>
      </c>
      <c r="BV70" s="2336">
        <v>18.969751752272046</v>
      </c>
      <c r="BW70" s="2336">
        <v>19.08760245104029</v>
      </c>
      <c r="BX70" s="2336">
        <v>19.20506724602517</v>
      </c>
      <c r="BY70" s="2336">
        <v>19.32213987731043</v>
      </c>
      <c r="BZ70" s="2336">
        <v>19.438814202081488</v>
      </c>
      <c r="CA70" s="2336">
        <v>19.555084194010135</v>
      </c>
      <c r="CB70" s="2336">
        <v>19.670943942646026</v>
      </c>
      <c r="CC70" s="2336">
        <v>19.786387652813286</v>
      </c>
      <c r="CD70" s="2336">
        <v>19.901409644015111</v>
      </c>
      <c r="CE70" s="2336">
        <v>20.016004349843005</v>
      </c>
      <c r="CF70" s="2336">
        <v>20.130166317393503</v>
      </c>
      <c r="CG70" s="2336">
        <v>20.243890206689471</v>
      </c>
      <c r="CH70" s="2336">
        <v>20.357170790108182</v>
      </c>
      <c r="CI70" s="2336">
        <v>20.470002951813942</v>
      </c>
      <c r="CJ70" s="2336">
        <v>20.582381687196303</v>
      </c>
      <c r="CK70" s="2336">
        <v>20.694302102312356</v>
      </c>
      <c r="CL70" s="2336">
        <v>20.8057594133329</v>
      </c>
      <c r="CM70" s="2336">
        <v>20.916748945993422</v>
      </c>
      <c r="CN70" s="2336">
        <v>21.027266135047352</v>
      </c>
      <c r="CO70" s="2336">
        <v>21.137306523721676</v>
      </c>
      <c r="CP70" s="2336">
        <v>21.246865763175578</v>
      </c>
      <c r="CQ70" s="2336">
        <v>21.355939611959659</v>
      </c>
      <c r="CR70" s="2336">
        <v>21.464523935477175</v>
      </c>
      <c r="CS70" s="2336">
        <v>21.572614705444739</v>
      </c>
      <c r="CT70" s="2336">
        <v>21.680207999352387</v>
      </c>
      <c r="CU70" s="2336">
        <v>21.787299999924628</v>
      </c>
      <c r="CV70" s="2336">
        <v>21.893886994578171</v>
      </c>
      <c r="CW70" s="2336">
        <v>21.999965374878311</v>
      </c>
      <c r="CX70" s="2336">
        <v>22.105531635993174</v>
      </c>
      <c r="CY70" s="2336">
        <v>22.210582376143481</v>
      </c>
      <c r="CZ70" s="2336">
        <v>22.315114296049551</v>
      </c>
      <c r="DA70" s="2336">
        <v>22.41912419837406</v>
      </c>
      <c r="DB70" s="2336">
        <v>22.522608987158648</v>
      </c>
      <c r="DC70" s="2336">
        <v>22.625565667255721</v>
      </c>
      <c r="DD70" s="2336">
        <v>22.727991343754535</v>
      </c>
      <c r="DE70" s="2336">
        <v>22.829883221400646</v>
      </c>
      <c r="DF70" s="2336">
        <v>22.931238604007227</v>
      </c>
      <c r="DG70" s="2336">
        <v>23.032054893860543</v>
      </c>
      <c r="DH70" s="2336">
        <v>23.132329591116136</v>
      </c>
      <c r="DI70" s="2336">
        <v>23.232060293187384</v>
      </c>
      <c r="DJ70" s="2336">
        <v>23.331244694125218</v>
      </c>
      <c r="DK70" s="2344">
        <v>23.42988058398781</v>
      </c>
      <c r="DL70" s="2336">
        <v>23.52796584820236</v>
      </c>
      <c r="DM70" s="2336">
        <v>23.625498466915023</v>
      </c>
      <c r="DN70" s="2336">
        <v>23.7224765143329</v>
      </c>
      <c r="DO70" s="2336">
        <v>23.818898158053756</v>
      </c>
      <c r="DP70" s="2336">
        <v>23.914761658386233</v>
      </c>
      <c r="DQ70" s="2336">
        <v>24.010065367658651</v>
      </c>
      <c r="DR70" s="2336">
        <v>24.104807729516558</v>
      </c>
      <c r="DS70" s="2336">
        <v>24.198987278210595</v>
      </c>
      <c r="DT70" s="2336">
        <v>24.292602637870282</v>
      </c>
      <c r="DU70" s="2336">
        <v>24.385652521768872</v>
      </c>
    </row>
    <row r="71" spans="1:125" ht="14.25">
      <c r="A71" s="904">
        <v>69</v>
      </c>
      <c r="B71" s="92"/>
      <c r="C71" s="92"/>
      <c r="D71" s="92"/>
      <c r="E71" s="92"/>
      <c r="F71" s="92"/>
      <c r="G71" s="92"/>
      <c r="H71" s="92"/>
      <c r="I71" s="92"/>
      <c r="J71" s="92"/>
      <c r="K71" s="92"/>
      <c r="L71" s="92"/>
      <c r="M71" s="92"/>
      <c r="N71" s="92"/>
      <c r="O71" s="92"/>
      <c r="P71" s="92"/>
      <c r="Q71" s="92"/>
      <c r="R71" s="92"/>
      <c r="S71" s="92"/>
      <c r="T71" s="92"/>
      <c r="U71" s="92"/>
      <c r="V71" s="739"/>
      <c r="W71" s="2338">
        <v>12.74</v>
      </c>
      <c r="X71" s="2338">
        <v>12.91</v>
      </c>
      <c r="Y71" s="2336">
        <v>13.03465643347403</v>
      </c>
      <c r="Z71" s="2336">
        <v>13.249379770274786</v>
      </c>
      <c r="AA71" s="2336">
        <v>13.369246179750956</v>
      </c>
      <c r="AB71" s="2336">
        <v>13.530467361525186</v>
      </c>
      <c r="AC71" s="2336">
        <v>13.594181902334531</v>
      </c>
      <c r="AD71" s="2336">
        <v>13.610540379603453</v>
      </c>
      <c r="AE71" s="2336">
        <v>13.686303426843688</v>
      </c>
      <c r="AF71" s="2336">
        <v>13.882104384420881</v>
      </c>
      <c r="AG71" s="2336">
        <v>14.042369997726791</v>
      </c>
      <c r="AH71" s="2336">
        <v>14.214140885192609</v>
      </c>
      <c r="AI71" s="2336">
        <v>14.374299603538732</v>
      </c>
      <c r="AJ71" s="2336">
        <v>14.536941447716195</v>
      </c>
      <c r="AK71" s="2336">
        <v>14.711247756696721</v>
      </c>
      <c r="AL71" s="2336">
        <v>14.89309806633285</v>
      </c>
      <c r="AM71" s="2336">
        <v>15.031568144841209</v>
      </c>
      <c r="AN71" s="2336">
        <v>15.116778555326357</v>
      </c>
      <c r="AO71" s="2336">
        <v>15.176006812488822</v>
      </c>
      <c r="AP71" s="2336">
        <v>15.216397838560948</v>
      </c>
      <c r="AQ71" s="2336">
        <v>15.288471945938303</v>
      </c>
      <c r="AR71" s="2336">
        <v>15.363425331883082</v>
      </c>
      <c r="AS71" s="2336">
        <v>15.366283690848304</v>
      </c>
      <c r="AT71" s="2336">
        <v>15.379299798659664</v>
      </c>
      <c r="AU71" s="2336">
        <v>15.395993905752043</v>
      </c>
      <c r="AV71" s="2336">
        <v>15.423290383166812</v>
      </c>
      <c r="AW71" s="2336">
        <v>15.543641870896149</v>
      </c>
      <c r="AX71" s="2336">
        <v>15.596305329991974</v>
      </c>
      <c r="AY71" s="2336">
        <v>15.663938624974488</v>
      </c>
      <c r="AZ71" s="2336">
        <v>15.726105639192101</v>
      </c>
      <c r="BA71" s="2336">
        <v>15.793487160286892</v>
      </c>
      <c r="BB71" s="2336">
        <v>15.90167289262798</v>
      </c>
      <c r="BC71" s="2336">
        <v>16.02050789599674</v>
      </c>
      <c r="BD71" s="2336">
        <v>16.137962486023376</v>
      </c>
      <c r="BE71" s="2336">
        <v>16.255466729562144</v>
      </c>
      <c r="BF71" s="2336">
        <v>16.373000432672427</v>
      </c>
      <c r="BG71" s="2336">
        <v>16.490542309035771</v>
      </c>
      <c r="BH71" s="2336">
        <v>16.608070098591188</v>
      </c>
      <c r="BI71" s="2336">
        <v>16.725560651274833</v>
      </c>
      <c r="BJ71" s="2336">
        <v>16.842989965670405</v>
      </c>
      <c r="BK71" s="2336">
        <v>16.960333153819708</v>
      </c>
      <c r="BL71" s="2336">
        <v>17.07756429157844</v>
      </c>
      <c r="BM71" s="2336">
        <v>17.19465599435733</v>
      </c>
      <c r="BN71" s="2336">
        <v>17.311578601749282</v>
      </c>
      <c r="BO71" s="2336">
        <v>17.428299738114021</v>
      </c>
      <c r="BP71" s="2336">
        <v>17.544786931612226</v>
      </c>
      <c r="BQ71" s="2336">
        <v>17.660969897200751</v>
      </c>
      <c r="BR71" s="2336">
        <v>17.776841658738192</v>
      </c>
      <c r="BS71" s="2336">
        <v>17.892395347675613</v>
      </c>
      <c r="BT71" s="2336">
        <v>18.007624202718802</v>
      </c>
      <c r="BU71" s="2336">
        <v>18.12252156949393</v>
      </c>
      <c r="BV71" s="2336">
        <v>18.237080900215524</v>
      </c>
      <c r="BW71" s="2336">
        <v>18.351295753360031</v>
      </c>
      <c r="BX71" s="2336">
        <v>18.46515979334189</v>
      </c>
      <c r="BY71" s="2336">
        <v>18.578666790194688</v>
      </c>
      <c r="BZ71" s="2336">
        <v>18.691810619256355</v>
      </c>
      <c r="CA71" s="2336">
        <v>18.804585260858556</v>
      </c>
      <c r="CB71" s="2336">
        <v>18.916984800020789</v>
      </c>
      <c r="CC71" s="2336">
        <v>19.029003426147412</v>
      </c>
      <c r="CD71" s="2336">
        <v>19.140635432730146</v>
      </c>
      <c r="CE71" s="2336">
        <v>19.251875217052635</v>
      </c>
      <c r="CF71" s="2336">
        <v>19.362717279899663</v>
      </c>
      <c r="CG71" s="2336">
        <v>19.473156225267967</v>
      </c>
      <c r="CH71" s="2336">
        <v>19.583186760080757</v>
      </c>
      <c r="CI71" s="2336">
        <v>19.692803693903503</v>
      </c>
      <c r="CJ71" s="2336">
        <v>19.802001938661959</v>
      </c>
      <c r="CK71" s="2336">
        <v>19.910776508360744</v>
      </c>
      <c r="CL71" s="2336">
        <v>20.019122518802263</v>
      </c>
      <c r="CM71" s="2336">
        <v>20.127035187306692</v>
      </c>
      <c r="CN71" s="2336">
        <v>20.234509832430515</v>
      </c>
      <c r="CO71" s="2336">
        <v>20.341541873683536</v>
      </c>
      <c r="CP71" s="2336">
        <v>20.448126831245023</v>
      </c>
      <c r="CQ71" s="2336">
        <v>20.554260325676438</v>
      </c>
      <c r="CR71" s="2336">
        <v>20.659938077632138</v>
      </c>
      <c r="CS71" s="2336">
        <v>20.765155907565532</v>
      </c>
      <c r="CT71" s="2336">
        <v>20.869909735430387</v>
      </c>
      <c r="CU71" s="2336">
        <v>20.97419558037905</v>
      </c>
      <c r="CV71" s="2336">
        <v>21.078009560453136</v>
      </c>
      <c r="CW71" s="2336">
        <v>21.181347892268683</v>
      </c>
      <c r="CX71" s="2336">
        <v>21.284206890694978</v>
      </c>
      <c r="CY71" s="2336">
        <v>21.386582968524657</v>
      </c>
      <c r="CZ71" s="2336">
        <v>21.488472636136848</v>
      </c>
      <c r="DA71" s="2336">
        <v>21.589872501151827</v>
      </c>
      <c r="DB71" s="2336">
        <v>21.690779268075318</v>
      </c>
      <c r="DC71" s="2336">
        <v>21.791189737933763</v>
      </c>
      <c r="DD71" s="2336">
        <v>21.891100807899733</v>
      </c>
      <c r="DE71" s="2336">
        <v>21.990509470906424</v>
      </c>
      <c r="DF71" s="2336">
        <v>22.089412815249993</v>
      </c>
      <c r="DG71" s="2336">
        <v>22.187808024181777</v>
      </c>
      <c r="DH71" s="2336">
        <v>22.28569237548723</v>
      </c>
      <c r="DI71" s="2336">
        <v>22.383063241053073</v>
      </c>
      <c r="DJ71" s="2336">
        <v>22.479918086421598</v>
      </c>
      <c r="DK71" s="2344">
        <v>22.576254470330895</v>
      </c>
      <c r="DL71" s="2336">
        <v>22.672070044243217</v>
      </c>
      <c r="DM71" s="2336">
        <v>22.76736255185752</v>
      </c>
      <c r="DN71" s="2336">
        <v>22.86212982861019</v>
      </c>
      <c r="DO71" s="2336">
        <v>22.956369801159592</v>
      </c>
      <c r="DP71" s="2336">
        <v>23.050080486857365</v>
      </c>
      <c r="DQ71" s="2336">
        <v>23.143259993204406</v>
      </c>
      <c r="DR71" s="2336">
        <v>23.235906517292022</v>
      </c>
      <c r="DS71" s="2336">
        <v>23.32801834522958</v>
      </c>
      <c r="DT71" s="2336">
        <v>23.419593851554509</v>
      </c>
      <c r="DU71" s="2336">
        <v>23.510631498629778</v>
      </c>
    </row>
    <row r="72" spans="1:125" ht="14.25">
      <c r="A72" s="904">
        <v>70</v>
      </c>
      <c r="B72" s="92"/>
      <c r="C72" s="92"/>
      <c r="D72" s="92"/>
      <c r="E72" s="92"/>
      <c r="F72" s="92"/>
      <c r="G72" s="92"/>
      <c r="H72" s="92"/>
      <c r="I72" s="92"/>
      <c r="J72" s="92"/>
      <c r="K72" s="92"/>
      <c r="L72" s="92"/>
      <c r="M72" s="92"/>
      <c r="N72" s="92"/>
      <c r="O72" s="92"/>
      <c r="P72" s="92"/>
      <c r="Q72" s="92"/>
      <c r="R72" s="92"/>
      <c r="S72" s="92"/>
      <c r="T72" s="92"/>
      <c r="U72" s="92"/>
      <c r="V72" s="739"/>
      <c r="W72" s="2338">
        <v>12.18</v>
      </c>
      <c r="X72" s="2338">
        <v>12.35</v>
      </c>
      <c r="Y72" s="2336">
        <v>12.474860871352501</v>
      </c>
      <c r="Z72" s="2336">
        <v>12.687011794036378</v>
      </c>
      <c r="AA72" s="2336">
        <v>12.801981592493261</v>
      </c>
      <c r="AB72" s="2336">
        <v>12.972636410936</v>
      </c>
      <c r="AC72" s="2336">
        <v>13.01788875178076</v>
      </c>
      <c r="AD72" s="2336">
        <v>13.032912925159227</v>
      </c>
      <c r="AE72" s="2336">
        <v>13.106518535747808</v>
      </c>
      <c r="AF72" s="2336">
        <v>13.281011443543894</v>
      </c>
      <c r="AG72" s="2336">
        <v>13.433823469971941</v>
      </c>
      <c r="AH72" s="2336">
        <v>13.595460869695112</v>
      </c>
      <c r="AI72" s="2336">
        <v>13.755586525252289</v>
      </c>
      <c r="AJ72" s="2336">
        <v>13.903228904722752</v>
      </c>
      <c r="AK72" s="2336">
        <v>14.064074370944734</v>
      </c>
      <c r="AL72" s="2336">
        <v>14.231181610799073</v>
      </c>
      <c r="AM72" s="2336">
        <v>14.358998577184808</v>
      </c>
      <c r="AN72" s="2336">
        <v>14.439299923078828</v>
      </c>
      <c r="AO72" s="2336">
        <v>14.500653511349302</v>
      </c>
      <c r="AP72" s="2336">
        <v>14.531460486997732</v>
      </c>
      <c r="AQ72" s="2336">
        <v>14.606887710900832</v>
      </c>
      <c r="AR72" s="2336">
        <v>14.673080997506469</v>
      </c>
      <c r="AS72" s="2336">
        <v>14.682752842791659</v>
      </c>
      <c r="AT72" s="2336">
        <v>14.68084465207799</v>
      </c>
      <c r="AU72" s="2336">
        <v>14.714314644997829</v>
      </c>
      <c r="AV72" s="2336">
        <v>14.749646822514595</v>
      </c>
      <c r="AW72" s="2336">
        <v>14.864233109156871</v>
      </c>
      <c r="AX72" s="2336">
        <v>14.920296728155902</v>
      </c>
      <c r="AY72" s="2336">
        <v>14.98253979835439</v>
      </c>
      <c r="AZ72" s="2336">
        <v>15.045841311816192</v>
      </c>
      <c r="BA72" s="2336">
        <v>15.143726962441985</v>
      </c>
      <c r="BB72" s="2336">
        <v>15.256591985226374</v>
      </c>
      <c r="BC72" s="2336">
        <v>15.369609371071748</v>
      </c>
      <c r="BD72" s="2336">
        <v>15.4827341770164</v>
      </c>
      <c r="BE72" s="2336">
        <v>15.595947144290211</v>
      </c>
      <c r="BF72" s="2336">
        <v>15.709227751921288</v>
      </c>
      <c r="BG72" s="2336">
        <v>15.822554379611951</v>
      </c>
      <c r="BH72" s="2336">
        <v>15.935904430012512</v>
      </c>
      <c r="BI72" s="2336">
        <v>16.049254415030436</v>
      </c>
      <c r="BJ72" s="2336">
        <v>16.162579995903165</v>
      </c>
      <c r="BK72" s="2336">
        <v>16.275855947872422</v>
      </c>
      <c r="BL72" s="2336">
        <v>16.389056008286985</v>
      </c>
      <c r="BM72" s="2336">
        <v>16.502152445318398</v>
      </c>
      <c r="BN72" s="2336">
        <v>16.615115229365159</v>
      </c>
      <c r="BO72" s="2336">
        <v>16.727911588706991</v>
      </c>
      <c r="BP72" s="2336">
        <v>16.840446048595123</v>
      </c>
      <c r="BQ72" s="2336">
        <v>16.952711646253164</v>
      </c>
      <c r="BR72" s="2336">
        <v>17.064701512936047</v>
      </c>
      <c r="BS72" s="2336">
        <v>17.176408873896346</v>
      </c>
      <c r="BT72" s="2336">
        <v>17.287827048352973</v>
      </c>
      <c r="BU72" s="2336">
        <v>17.398949449462783</v>
      </c>
      <c r="BV72" s="2336">
        <v>17.509769584293654</v>
      </c>
      <c r="BW72" s="2336">
        <v>17.620281053802167</v>
      </c>
      <c r="BX72" s="2336">
        <v>17.730477552812417</v>
      </c>
      <c r="BY72" s="2336">
        <v>17.840352869998394</v>
      </c>
      <c r="BZ72" s="2336">
        <v>17.949900887868605</v>
      </c>
      <c r="CA72" s="2336">
        <v>18.05911558275287</v>
      </c>
      <c r="CB72" s="2336">
        <v>18.167991024791696</v>
      </c>
      <c r="CC72" s="2336">
        <v>18.276521377926123</v>
      </c>
      <c r="CD72" s="2336">
        <v>18.384700899890557</v>
      </c>
      <c r="CE72" s="2336">
        <v>18.492523942204876</v>
      </c>
      <c r="CF72" s="2336">
        <v>18.599984950168388</v>
      </c>
      <c r="CG72" s="2336">
        <v>18.707078462852333</v>
      </c>
      <c r="CH72" s="2336">
        <v>18.813799113092962</v>
      </c>
      <c r="CI72" s="2336">
        <v>18.920141627482629</v>
      </c>
      <c r="CJ72" s="2336">
        <v>19.026100826359777</v>
      </c>
      <c r="CK72" s="2336">
        <v>19.131671623795977</v>
      </c>
      <c r="CL72" s="2336">
        <v>19.236849027579762</v>
      </c>
      <c r="CM72" s="2336">
        <v>19.341628139197915</v>
      </c>
      <c r="CN72" s="2336">
        <v>19.446004153811561</v>
      </c>
      <c r="CO72" s="2336">
        <v>19.549972360226992</v>
      </c>
      <c r="CP72" s="2336">
        <v>19.653528140861777</v>
      </c>
      <c r="CQ72" s="2336">
        <v>19.756666971703517</v>
      </c>
      <c r="CR72" s="2336">
        <v>19.859384422262789</v>
      </c>
      <c r="CS72" s="2336">
        <v>19.961676155517402</v>
      </c>
      <c r="CT72" s="2336">
        <v>20.063537927847925</v>
      </c>
      <c r="CU72" s="2336">
        <v>20.164965588966087</v>
      </c>
      <c r="CV72" s="2336">
        <v>20.265955081831546</v>
      </c>
      <c r="CW72" s="2336">
        <v>20.366502442559153</v>
      </c>
      <c r="CX72" s="2336">
        <v>20.466603800315742</v>
      </c>
      <c r="CY72" s="2336">
        <v>20.566255377204172</v>
      </c>
      <c r="CZ72" s="2336">
        <v>20.665453488136311</v>
      </c>
      <c r="DA72" s="2336">
        <v>20.764194540693509</v>
      </c>
      <c r="DB72" s="2336">
        <v>20.862475034972579</v>
      </c>
      <c r="DC72" s="2336">
        <v>20.960291563418778</v>
      </c>
      <c r="DD72" s="2336">
        <v>21.05764081064482</v>
      </c>
      <c r="DE72" s="2336">
        <v>21.154519553235037</v>
      </c>
      <c r="DF72" s="2336">
        <v>21.250924659533293</v>
      </c>
      <c r="DG72" s="2336">
        <v>21.346853089416886</v>
      </c>
      <c r="DH72" s="2336">
        <v>21.442301894053156</v>
      </c>
      <c r="DI72" s="2336">
        <v>21.537268215640449</v>
      </c>
      <c r="DJ72" s="2336">
        <v>21.63174928713228</v>
      </c>
      <c r="DK72" s="2344">
        <v>21.725742431943626</v>
      </c>
      <c r="DL72" s="2336">
        <v>21.819245063641489</v>
      </c>
      <c r="DM72" s="2336">
        <v>21.912254685615867</v>
      </c>
      <c r="DN72" s="2336">
        <v>22.004768890735164</v>
      </c>
      <c r="DO72" s="2336">
        <v>22.096785360981716</v>
      </c>
      <c r="DP72" s="2336">
        <v>22.188301867070372</v>
      </c>
      <c r="DQ72" s="2336">
        <v>22.279316268048206</v>
      </c>
      <c r="DR72" s="2336">
        <v>22.369826510875715</v>
      </c>
      <c r="DS72" s="2336">
        <v>22.459830629991057</v>
      </c>
      <c r="DT72" s="2336">
        <v>22.549326746853119</v>
      </c>
      <c r="DU72" s="2336">
        <v>22.63831306946858</v>
      </c>
    </row>
    <row r="73" spans="1:125" ht="14.25">
      <c r="A73" s="904">
        <v>71</v>
      </c>
      <c r="B73" s="92"/>
      <c r="C73" s="92"/>
      <c r="D73" s="92"/>
      <c r="E73" s="92"/>
      <c r="F73" s="92"/>
      <c r="G73" s="92"/>
      <c r="H73" s="92"/>
      <c r="I73" s="92"/>
      <c r="J73" s="92"/>
      <c r="K73" s="92"/>
      <c r="L73" s="92"/>
      <c r="M73" s="92"/>
      <c r="N73" s="92"/>
      <c r="O73" s="92"/>
      <c r="P73" s="92"/>
      <c r="Q73" s="92"/>
      <c r="R73" s="92"/>
      <c r="S73" s="92"/>
      <c r="T73" s="92"/>
      <c r="U73" s="92"/>
      <c r="V73" s="739"/>
      <c r="W73" s="2338">
        <v>11.64</v>
      </c>
      <c r="X73" s="2338">
        <v>11.81</v>
      </c>
      <c r="Y73" s="2336">
        <v>11.928986806656811</v>
      </c>
      <c r="Z73" s="2336">
        <v>12.15005103237327</v>
      </c>
      <c r="AA73" s="2336">
        <v>12.250120031920128</v>
      </c>
      <c r="AB73" s="2336">
        <v>12.399857778225849</v>
      </c>
      <c r="AC73" s="2336">
        <v>12.451893460684493</v>
      </c>
      <c r="AD73" s="2336">
        <v>12.462388965547628</v>
      </c>
      <c r="AE73" s="2336">
        <v>12.529764563187049</v>
      </c>
      <c r="AF73" s="2336">
        <v>12.695959980821819</v>
      </c>
      <c r="AG73" s="2336">
        <v>12.833221994862708</v>
      </c>
      <c r="AH73" s="2336">
        <v>12.997310645136649</v>
      </c>
      <c r="AI73" s="2336">
        <v>13.135787413048762</v>
      </c>
      <c r="AJ73" s="2336">
        <v>13.280120807300385</v>
      </c>
      <c r="AK73" s="2336">
        <v>13.416334155035283</v>
      </c>
      <c r="AL73" s="2336">
        <v>13.580322680955129</v>
      </c>
      <c r="AM73" s="2336">
        <v>13.69721863122645</v>
      </c>
      <c r="AN73" s="2336">
        <v>13.771104682693879</v>
      </c>
      <c r="AO73" s="2336">
        <v>13.828411816998015</v>
      </c>
      <c r="AP73" s="2336">
        <v>13.863084683003512</v>
      </c>
      <c r="AQ73" s="2336">
        <v>13.926471730391254</v>
      </c>
      <c r="AR73" s="2336">
        <v>13.996721453743787</v>
      </c>
      <c r="AS73" s="2336">
        <v>13.997003867240034</v>
      </c>
      <c r="AT73" s="2336">
        <v>14.012412632639361</v>
      </c>
      <c r="AU73" s="2336">
        <v>14.050571871196711</v>
      </c>
      <c r="AV73" s="2336">
        <v>14.084931850551841</v>
      </c>
      <c r="AW73" s="2336">
        <v>14.194005373361966</v>
      </c>
      <c r="AX73" s="2336">
        <v>14.244288682524871</v>
      </c>
      <c r="AY73" s="2336">
        <v>14.313265513016777</v>
      </c>
      <c r="AZ73" s="2336">
        <v>14.399298714844583</v>
      </c>
      <c r="BA73" s="2336">
        <v>14.507642895008919</v>
      </c>
      <c r="BB73" s="2336">
        <v>14.616086012959135</v>
      </c>
      <c r="BC73" s="2336">
        <v>14.724694072980968</v>
      </c>
      <c r="BD73" s="2336">
        <v>14.833449149337921</v>
      </c>
      <c r="BE73" s="2336">
        <v>14.942331592636247</v>
      </c>
      <c r="BF73" s="2336">
        <v>15.051320481906224</v>
      </c>
      <c r="BG73" s="2336">
        <v>15.160393792715769</v>
      </c>
      <c r="BH73" s="2336">
        <v>15.269528523264514</v>
      </c>
      <c r="BI73" s="2336">
        <v>15.378700783351224</v>
      </c>
      <c r="BJ73" s="2336">
        <v>15.487885835861498</v>
      </c>
      <c r="BK73" s="2336">
        <v>15.597058061171039</v>
      </c>
      <c r="BL73" s="2336">
        <v>15.706190802691347</v>
      </c>
      <c r="BM73" s="2336">
        <v>15.815255927873924</v>
      </c>
      <c r="BN73" s="2336">
        <v>15.924222985217225</v>
      </c>
      <c r="BO73" s="2336">
        <v>16.032970988314545</v>
      </c>
      <c r="BP73" s="2336">
        <v>16.141492999019857</v>
      </c>
      <c r="BQ73" s="2336">
        <v>16.249782159665692</v>
      </c>
      <c r="BR73" s="2336">
        <v>16.357831693320431</v>
      </c>
      <c r="BS73" s="2336">
        <v>16.465634904047825</v>
      </c>
      <c r="BT73" s="2336">
        <v>16.573185177168462</v>
      </c>
      <c r="BU73" s="2336">
        <v>16.680475979523486</v>
      </c>
      <c r="BV73" s="2336">
        <v>16.78750085973882</v>
      </c>
      <c r="BW73" s="2336">
        <v>16.894253448492879</v>
      </c>
      <c r="BX73" s="2336">
        <v>17.000727458783949</v>
      </c>
      <c r="BY73" s="2336">
        <v>17.106916686199593</v>
      </c>
      <c r="BZ73" s="2336">
        <v>17.212815009186428</v>
      </c>
      <c r="CA73" s="2336">
        <v>17.318416389320152</v>
      </c>
      <c r="CB73" s="2336">
        <v>17.423714871575907</v>
      </c>
      <c r="CC73" s="2336">
        <v>17.528704584596824</v>
      </c>
      <c r="CD73" s="2336">
        <v>17.633379740963051</v>
      </c>
      <c r="CE73" s="2336">
        <v>17.737734637457418</v>
      </c>
      <c r="CF73" s="2336">
        <v>17.841763655330201</v>
      </c>
      <c r="CG73" s="2336">
        <v>17.945461260559547</v>
      </c>
      <c r="CH73" s="2336">
        <v>18.04882200410945</v>
      </c>
      <c r="CI73" s="2336">
        <v>18.151840522182667</v>
      </c>
      <c r="CJ73" s="2336">
        <v>18.254511536469302</v>
      </c>
      <c r="CK73" s="2336">
        <v>18.356829854389208</v>
      </c>
      <c r="CL73" s="2336">
        <v>18.458790369327737</v>
      </c>
      <c r="CM73" s="2336">
        <v>18.560388060865591</v>
      </c>
      <c r="CN73" s="2336">
        <v>18.661617994999947</v>
      </c>
      <c r="CO73" s="2336">
        <v>18.762475324356725</v>
      </c>
      <c r="CP73" s="2336">
        <v>18.862955288394598</v>
      </c>
      <c r="CQ73" s="2336">
        <v>18.96305321359797</v>
      </c>
      <c r="CR73" s="2336">
        <v>19.062764513660433</v>
      </c>
      <c r="CS73" s="2336">
        <v>19.16208468965586</v>
      </c>
      <c r="CT73" s="2336">
        <v>19.261009330196988</v>
      </c>
      <c r="CU73" s="2336">
        <v>19.359534111583137</v>
      </c>
      <c r="CV73" s="2336">
        <v>19.457654797932509</v>
      </c>
      <c r="CW73" s="2336">
        <v>19.555367241301155</v>
      </c>
      <c r="CX73" s="2336">
        <v>19.652667381787719</v>
      </c>
      <c r="CY73" s="2336">
        <v>19.749551247621582</v>
      </c>
      <c r="CZ73" s="2336">
        <v>19.846014955236189</v>
      </c>
      <c r="DA73" s="2336">
        <v>19.942054709326001</v>
      </c>
      <c r="DB73" s="2336">
        <v>20.037666802885234</v>
      </c>
      <c r="DC73" s="2336">
        <v>20.132847617229764</v>
      </c>
      <c r="DD73" s="2336">
        <v>20.227593622001315</v>
      </c>
      <c r="DE73" s="2336">
        <v>20.32190137515304</v>
      </c>
      <c r="DF73" s="2336">
        <v>20.415767522915115</v>
      </c>
      <c r="DG73" s="2336">
        <v>20.509188799742631</v>
      </c>
      <c r="DH73" s="2336">
        <v>20.602162028242478</v>
      </c>
      <c r="DI73" s="2336">
        <v>20.694684119080932</v>
      </c>
      <c r="DJ73" s="2336">
        <v>20.786752070870811</v>
      </c>
      <c r="DK73" s="2344">
        <v>20.878362970037152</v>
      </c>
      <c r="DL73" s="2336">
        <v>20.969513990663589</v>
      </c>
      <c r="DM73" s="2336">
        <v>21.060202394315588</v>
      </c>
      <c r="DN73" s="2336">
        <v>21.150425529844643</v>
      </c>
      <c r="DO73" s="2336">
        <v>21.240180833169052</v>
      </c>
      <c r="DP73" s="2336">
        <v>21.329465827034404</v>
      </c>
      <c r="DQ73" s="2336">
        <v>21.418278120751733</v>
      </c>
      <c r="DR73" s="2336">
        <v>21.506615409913795</v>
      </c>
      <c r="DS73" s="2336">
        <v>21.594475476091144</v>
      </c>
      <c r="DT73" s="2336">
        <v>21.681856186503655</v>
      </c>
      <c r="DU73" s="2336">
        <v>21.768755493672902</v>
      </c>
    </row>
    <row r="74" spans="1:125" ht="14.25">
      <c r="A74" s="904">
        <v>72</v>
      </c>
      <c r="B74" s="92"/>
      <c r="C74" s="92"/>
      <c r="D74" s="92"/>
      <c r="E74" s="92"/>
      <c r="F74" s="92"/>
      <c r="G74" s="92"/>
      <c r="H74" s="92"/>
      <c r="I74" s="92"/>
      <c r="J74" s="92"/>
      <c r="K74" s="92"/>
      <c r="L74" s="92"/>
      <c r="M74" s="92"/>
      <c r="N74" s="92"/>
      <c r="O74" s="92"/>
      <c r="P74" s="92"/>
      <c r="Q74" s="92"/>
      <c r="R74" s="92"/>
      <c r="S74" s="92"/>
      <c r="T74" s="92"/>
      <c r="U74" s="92"/>
      <c r="V74" s="739"/>
      <c r="W74" s="2338">
        <v>11.12</v>
      </c>
      <c r="X74" s="2338">
        <v>11.28</v>
      </c>
      <c r="Y74" s="2336">
        <v>11.398674508067687</v>
      </c>
      <c r="Z74" s="2336">
        <v>11.631874202106879</v>
      </c>
      <c r="AA74" s="2336">
        <v>11.707404046974988</v>
      </c>
      <c r="AB74" s="2336">
        <v>11.845419002347652</v>
      </c>
      <c r="AC74" s="2336">
        <v>11.897354620955912</v>
      </c>
      <c r="AD74" s="2336">
        <v>11.901341197759729</v>
      </c>
      <c r="AE74" s="2336">
        <v>11.959544522774683</v>
      </c>
      <c r="AF74" s="2336">
        <v>12.117233607527673</v>
      </c>
      <c r="AG74" s="2336">
        <v>12.251678021546379</v>
      </c>
      <c r="AH74" s="2336">
        <v>12.392310003681551</v>
      </c>
      <c r="AI74" s="2336">
        <v>12.521630083621636</v>
      </c>
      <c r="AJ74" s="2336">
        <v>12.65671346288603</v>
      </c>
      <c r="AK74" s="2336">
        <v>12.782223616011791</v>
      </c>
      <c r="AL74" s="2336">
        <v>12.935070769384161</v>
      </c>
      <c r="AM74" s="2336">
        <v>13.044074391769726</v>
      </c>
      <c r="AN74" s="2336">
        <v>13.108956961503672</v>
      </c>
      <c r="AO74" s="2336">
        <v>13.168619506874041</v>
      </c>
      <c r="AP74" s="2336">
        <v>13.196080963597451</v>
      </c>
      <c r="AQ74" s="2336">
        <v>13.26250648140017</v>
      </c>
      <c r="AR74" s="2336">
        <v>13.322845526525931</v>
      </c>
      <c r="AS74" s="2336">
        <v>13.338275318086746</v>
      </c>
      <c r="AT74" s="2336">
        <v>13.348025409139192</v>
      </c>
      <c r="AU74" s="2336">
        <v>13.395907497546871</v>
      </c>
      <c r="AV74" s="2336">
        <v>13.436794932272829</v>
      </c>
      <c r="AW74" s="2336">
        <v>13.530355971460747</v>
      </c>
      <c r="AX74" s="2336">
        <v>13.587477808073931</v>
      </c>
      <c r="AY74" s="2336">
        <v>13.675438436950644</v>
      </c>
      <c r="AZ74" s="2336">
        <v>13.773448765113912</v>
      </c>
      <c r="BA74" s="2336">
        <v>13.877260062037809</v>
      </c>
      <c r="BB74" s="2336">
        <v>13.98129110570455</v>
      </c>
      <c r="BC74" s="2336">
        <v>14.08552618314865</v>
      </c>
      <c r="BD74" s="2336">
        <v>14.189946937471165</v>
      </c>
      <c r="BE74" s="2336">
        <v>14.294533267633362</v>
      </c>
      <c r="BF74" s="2336">
        <v>14.399263794202604</v>
      </c>
      <c r="BG74" s="2336">
        <v>14.50411603302125</v>
      </c>
      <c r="BH74" s="2336">
        <v>14.609066525314045</v>
      </c>
      <c r="BI74" s="2336">
        <v>14.714090929406925</v>
      </c>
      <c r="BJ74" s="2336">
        <v>14.819164063617508</v>
      </c>
      <c r="BK74" s="2336">
        <v>14.924259870233758</v>
      </c>
      <c r="BL74" s="2336">
        <v>15.02935125815757</v>
      </c>
      <c r="BM74" s="2336">
        <v>15.13440965541656</v>
      </c>
      <c r="BN74" s="2336">
        <v>15.239290765888283</v>
      </c>
      <c r="BO74" s="2336">
        <v>15.343987705720032</v>
      </c>
      <c r="BP74" s="2336">
        <v>15.448493658212643</v>
      </c>
      <c r="BQ74" s="2336">
        <v>15.552801874340977</v>
      </c>
      <c r="BR74" s="2336">
        <v>15.656905673275732</v>
      </c>
      <c r="BS74" s="2336">
        <v>15.760798442907575</v>
      </c>
      <c r="BT74" s="2336">
        <v>15.864473640372978</v>
      </c>
      <c r="BU74" s="2336">
        <v>15.96792479258184</v>
      </c>
      <c r="BV74" s="2336">
        <v>16.071145496744954</v>
      </c>
      <c r="BW74" s="2336">
        <v>16.174129420904098</v>
      </c>
      <c r="BX74" s="2336">
        <v>16.27687030446068</v>
      </c>
      <c r="BY74" s="2336">
        <v>16.379361958705122</v>
      </c>
      <c r="BZ74" s="2336">
        <v>16.481598267345223</v>
      </c>
      <c r="CA74" s="2336">
        <v>16.583573187033114</v>
      </c>
      <c r="CB74" s="2336">
        <v>16.685280747890765</v>
      </c>
      <c r="CC74" s="2336">
        <v>16.786715054031788</v>
      </c>
      <c r="CD74" s="2336">
        <v>16.887870284081657</v>
      </c>
      <c r="CE74" s="2336">
        <v>16.98874069169236</v>
      </c>
      <c r="CF74" s="2336">
        <v>17.08932060605386</v>
      </c>
      <c r="CG74" s="2336">
        <v>17.189604432398806</v>
      </c>
      <c r="CH74" s="2336">
        <v>17.289586652502273</v>
      </c>
      <c r="CI74" s="2336">
        <v>17.389261825173836</v>
      </c>
      <c r="CJ74" s="2336">
        <v>17.488624586742603</v>
      </c>
      <c r="CK74" s="2336">
        <v>17.587669651533279</v>
      </c>
      <c r="CL74" s="2336">
        <v>17.686391812332776</v>
      </c>
      <c r="CM74" s="2336">
        <v>17.784785940847939</v>
      </c>
      <c r="CN74" s="2336">
        <v>17.882846988151613</v>
      </c>
      <c r="CO74" s="2336">
        <v>17.980569985116819</v>
      </c>
      <c r="CP74" s="2336">
        <v>18.077950042839589</v>
      </c>
      <c r="CQ74" s="2336">
        <v>18.174982353047618</v>
      </c>
      <c r="CR74" s="2336">
        <v>18.271662188496293</v>
      </c>
      <c r="CS74" s="2336">
        <v>18.367984903349143</v>
      </c>
      <c r="CT74" s="2336">
        <v>18.463945933542533</v>
      </c>
      <c r="CU74" s="2336">
        <v>18.559540797136282</v>
      </c>
      <c r="CV74" s="2336">
        <v>18.654765094645615</v>
      </c>
      <c r="CW74" s="2336">
        <v>18.749614509356476</v>
      </c>
      <c r="CX74" s="2336">
        <v>18.844084807623339</v>
      </c>
      <c r="CY74" s="2336">
        <v>18.938171839147156</v>
      </c>
      <c r="CZ74" s="2336">
        <v>19.031871537235133</v>
      </c>
      <c r="DA74" s="2336">
        <v>19.12517991904091</v>
      </c>
      <c r="DB74" s="2336">
        <v>19.218093085783142</v>
      </c>
      <c r="DC74" s="2336">
        <v>19.310607222944036</v>
      </c>
      <c r="DD74" s="2336">
        <v>19.402718600446828</v>
      </c>
      <c r="DE74" s="2336">
        <v>19.494423572811414</v>
      </c>
      <c r="DF74" s="2336">
        <v>19.58571857928672</v>
      </c>
      <c r="DG74" s="2336">
        <v>19.676600143962105</v>
      </c>
      <c r="DH74" s="2336">
        <v>19.767064875854551</v>
      </c>
      <c r="DI74" s="2336">
        <v>19.857109468973334</v>
      </c>
      <c r="DJ74" s="2336">
        <v>19.946730702361059</v>
      </c>
      <c r="DK74" s="2344">
        <v>20.035925440110052</v>
      </c>
      <c r="DL74" s="2336">
        <v>20.124690631356312</v>
      </c>
      <c r="DM74" s="2336">
        <v>20.213023310247166</v>
      </c>
      <c r="DN74" s="2336">
        <v>20.300920595886812</v>
      </c>
      <c r="DO74" s="2336">
        <v>20.388379692255373</v>
      </c>
      <c r="DP74" s="2336">
        <v>20.475397888104606</v>
      </c>
      <c r="DQ74" s="2336">
        <v>20.561972556828216</v>
      </c>
      <c r="DR74" s="2336">
        <v>20.648101156307415</v>
      </c>
      <c r="DS74" s="2336">
        <v>20.733781228733214</v>
      </c>
      <c r="DT74" s="2336">
        <v>20.8190104004013</v>
      </c>
      <c r="DU74" s="2336">
        <v>20.903786381484846</v>
      </c>
    </row>
    <row r="75" spans="1:125" ht="14.25">
      <c r="A75" s="904">
        <v>73</v>
      </c>
      <c r="B75" s="92"/>
      <c r="C75" s="92"/>
      <c r="D75" s="92"/>
      <c r="E75" s="92"/>
      <c r="F75" s="92"/>
      <c r="G75" s="92"/>
      <c r="H75" s="92"/>
      <c r="I75" s="92"/>
      <c r="J75" s="92"/>
      <c r="K75" s="92"/>
      <c r="L75" s="92"/>
      <c r="M75" s="92"/>
      <c r="N75" s="92"/>
      <c r="O75" s="92"/>
      <c r="P75" s="92"/>
      <c r="Q75" s="92"/>
      <c r="R75" s="92"/>
      <c r="S75" s="92"/>
      <c r="T75" s="92"/>
      <c r="U75" s="92"/>
      <c r="V75" s="739"/>
      <c r="W75" s="2338">
        <v>10.62</v>
      </c>
      <c r="X75" s="2338">
        <v>10.77</v>
      </c>
      <c r="Y75" s="2336">
        <v>10.896274420986218</v>
      </c>
      <c r="Z75" s="2336">
        <v>11.102526495330412</v>
      </c>
      <c r="AA75" s="2336">
        <v>11.17198509226869</v>
      </c>
      <c r="AB75" s="2336">
        <v>11.303448340952139</v>
      </c>
      <c r="AC75" s="2336">
        <v>11.34094878896769</v>
      </c>
      <c r="AD75" s="2336">
        <v>11.332154928148974</v>
      </c>
      <c r="AE75" s="2336">
        <v>11.396762846255204</v>
      </c>
      <c r="AF75" s="2336">
        <v>11.55602372831617</v>
      </c>
      <c r="AG75" s="2336">
        <v>11.672097335611925</v>
      </c>
      <c r="AH75" s="2336">
        <v>11.791523782439734</v>
      </c>
      <c r="AI75" s="2336">
        <v>11.912412275296496</v>
      </c>
      <c r="AJ75" s="2336">
        <v>12.040468288976903</v>
      </c>
      <c r="AK75" s="2336">
        <v>12.156909197299415</v>
      </c>
      <c r="AL75" s="2336">
        <v>12.299131894791216</v>
      </c>
      <c r="AM75" s="2336">
        <v>12.393664203706539</v>
      </c>
      <c r="AN75" s="2336">
        <v>12.46004964774991</v>
      </c>
      <c r="AO75" s="2336">
        <v>12.518637266789852</v>
      </c>
      <c r="AP75" s="2336">
        <v>12.543522387927032</v>
      </c>
      <c r="AQ75" s="2336">
        <v>12.601106476189614</v>
      </c>
      <c r="AR75" s="2336">
        <v>12.664550797825836</v>
      </c>
      <c r="AS75" s="2336">
        <v>12.68009601825278</v>
      </c>
      <c r="AT75" s="2336">
        <v>12.69539012620357</v>
      </c>
      <c r="AU75" s="2336">
        <v>12.752027760905422</v>
      </c>
      <c r="AV75" s="2336">
        <v>12.79078059034385</v>
      </c>
      <c r="AW75" s="2336">
        <v>12.878687313939771</v>
      </c>
      <c r="AX75" s="2336">
        <v>12.956506078253065</v>
      </c>
      <c r="AY75" s="2336">
        <v>13.053797538064488</v>
      </c>
      <c r="AZ75" s="2336">
        <v>13.152954331317236</v>
      </c>
      <c r="BA75" s="2336">
        <v>13.25238145758358</v>
      </c>
      <c r="BB75" s="2336">
        <v>13.352066500397536</v>
      </c>
      <c r="BC75" s="2336">
        <v>13.451993298641684</v>
      </c>
      <c r="BD75" s="2336">
        <v>13.552142999591185</v>
      </c>
      <c r="BE75" s="2336">
        <v>13.652494987536199</v>
      </c>
      <c r="BF75" s="2336">
        <v>13.753027364282193</v>
      </c>
      <c r="BG75" s="2336">
        <v>13.853717128726695</v>
      </c>
      <c r="BH75" s="2336">
        <v>13.954540311194121</v>
      </c>
      <c r="BI75" s="2336">
        <v>14.055472068009088</v>
      </c>
      <c r="BJ75" s="2336">
        <v>14.156486725775757</v>
      </c>
      <c r="BK75" s="2336">
        <v>14.257557744759428</v>
      </c>
      <c r="BL75" s="2336">
        <v>14.358657558240466</v>
      </c>
      <c r="BM75" s="2336">
        <v>14.459620123352563</v>
      </c>
      <c r="BN75" s="2336">
        <v>14.560438644260534</v>
      </c>
      <c r="BO75" s="2336">
        <v>14.661106379364178</v>
      </c>
      <c r="BP75" s="2336">
        <v>14.761616642045784</v>
      </c>
      <c r="BQ75" s="2336">
        <v>14.86196280142126</v>
      </c>
      <c r="BR75" s="2336">
        <v>14.962138283093006</v>
      </c>
      <c r="BS75" s="2336">
        <v>15.062136569905467</v>
      </c>
      <c r="BT75" s="2336">
        <v>15.161951202702459</v>
      </c>
      <c r="BU75" s="2336">
        <v>15.261575781086176</v>
      </c>
      <c r="BV75" s="2336">
        <v>15.361003964175648</v>
      </c>
      <c r="BW75" s="2336">
        <v>15.46022947136742</v>
      </c>
      <c r="BX75" s="2336">
        <v>15.559246083094047</v>
      </c>
      <c r="BY75" s="2336">
        <v>15.658047641582487</v>
      </c>
      <c r="BZ75" s="2336">
        <v>15.75662805161048</v>
      </c>
      <c r="CA75" s="2336">
        <v>15.8549812812604</v>
      </c>
      <c r="CB75" s="2336">
        <v>15.953101362670319</v>
      </c>
      <c r="CC75" s="2336">
        <v>16.050982392779986</v>
      </c>
      <c r="CD75" s="2336">
        <v>16.14861853407368</v>
      </c>
      <c r="CE75" s="2336">
        <v>16.24600401531583</v>
      </c>
      <c r="CF75" s="2336">
        <v>16.343133132281714</v>
      </c>
      <c r="CG75" s="2336">
        <v>16.440000248479489</v>
      </c>
      <c r="CH75" s="2336">
        <v>16.536599795865349</v>
      </c>
      <c r="CI75" s="2336">
        <v>16.632926275548979</v>
      </c>
      <c r="CJ75" s="2336">
        <v>16.728974258489782</v>
      </c>
      <c r="CK75" s="2336">
        <v>16.824738386182052</v>
      </c>
      <c r="CL75" s="2336">
        <v>16.920213371328305</v>
      </c>
      <c r="CM75" s="2336">
        <v>17.015393998501523</v>
      </c>
      <c r="CN75" s="2336">
        <v>17.110275124793276</v>
      </c>
      <c r="CO75" s="2336">
        <v>17.204851680447558</v>
      </c>
      <c r="CP75" s="2336">
        <v>17.299118669480791</v>
      </c>
      <c r="CQ75" s="2336">
        <v>17.393071170285122</v>
      </c>
      <c r="CR75" s="2336">
        <v>17.486704336216569</v>
      </c>
      <c r="CS75" s="2336">
        <v>17.58001339616494</v>
      </c>
      <c r="CT75" s="2336">
        <v>17.672993655105415</v>
      </c>
      <c r="CU75" s="2336">
        <v>17.765640494633423</v>
      </c>
      <c r="CV75" s="2336">
        <v>17.857949373478114</v>
      </c>
      <c r="CW75" s="2336">
        <v>17.949915827996566</v>
      </c>
      <c r="CX75" s="2336">
        <v>18.041535472647769</v>
      </c>
      <c r="CY75" s="2336">
        <v>18.132804000444004</v>
      </c>
      <c r="CZ75" s="2336">
        <v>18.223717183381378</v>
      </c>
      <c r="DA75" s="2336">
        <v>18.314270872847967</v>
      </c>
      <c r="DB75" s="2336">
        <v>18.404461000007679</v>
      </c>
      <c r="DC75" s="2336">
        <v>18.494283576161276</v>
      </c>
      <c r="DD75" s="2336">
        <v>18.58373469308366</v>
      </c>
      <c r="DE75" s="2336">
        <v>18.672810523336537</v>
      </c>
      <c r="DF75" s="2336">
        <v>18.761507320555072</v>
      </c>
      <c r="DG75" s="2336">
        <v>18.849821419710914</v>
      </c>
      <c r="DH75" s="2336">
        <v>18.937749237348218</v>
      </c>
      <c r="DI75" s="2336">
        <v>19.025287271794486</v>
      </c>
      <c r="DJ75" s="2336">
        <v>19.112432103345053</v>
      </c>
      <c r="DK75" s="2344">
        <v>19.199180394420274</v>
      </c>
      <c r="DL75" s="2336">
        <v>19.285528889697549</v>
      </c>
      <c r="DM75" s="2336">
        <v>19.371474416214433</v>
      </c>
      <c r="DN75" s="2336">
        <v>19.457013883447004</v>
      </c>
      <c r="DO75" s="2336">
        <v>19.542144283359075</v>
      </c>
      <c r="DP75" s="2336">
        <v>19.626862690425494</v>
      </c>
      <c r="DQ75" s="2336">
        <v>19.711166261627451</v>
      </c>
      <c r="DR75" s="2336">
        <v>19.795052236420471</v>
      </c>
      <c r="DS75" s="2336">
        <v>19.878517936676573</v>
      </c>
      <c r="DT75" s="2336">
        <v>19.961560766596527</v>
      </c>
      <c r="DU75" s="2336">
        <v>20.044178212597508</v>
      </c>
    </row>
    <row r="76" spans="1:125" ht="14.25">
      <c r="A76" s="904">
        <v>74</v>
      </c>
      <c r="B76" s="92"/>
      <c r="C76" s="92"/>
      <c r="D76" s="92"/>
      <c r="E76" s="92"/>
      <c r="F76" s="92"/>
      <c r="G76" s="92"/>
      <c r="H76" s="92"/>
      <c r="I76" s="92"/>
      <c r="J76" s="92"/>
      <c r="K76" s="92"/>
      <c r="L76" s="92"/>
      <c r="M76" s="92"/>
      <c r="N76" s="92"/>
      <c r="O76" s="92"/>
      <c r="P76" s="92"/>
      <c r="Q76" s="92"/>
      <c r="R76" s="92"/>
      <c r="S76" s="92"/>
      <c r="T76" s="92"/>
      <c r="U76" s="92"/>
      <c r="V76" s="739"/>
      <c r="W76" s="2338">
        <v>10.119999999999999</v>
      </c>
      <c r="X76" s="2338">
        <v>10.27</v>
      </c>
      <c r="Y76" s="2336">
        <v>10.38692184510256</v>
      </c>
      <c r="Z76" s="2336">
        <v>10.577695690939331</v>
      </c>
      <c r="AA76" s="2336">
        <v>10.646883792112289</v>
      </c>
      <c r="AB76" s="2336">
        <v>10.75827389668728</v>
      </c>
      <c r="AC76" s="2336">
        <v>10.781002424456275</v>
      </c>
      <c r="AD76" s="2336">
        <v>10.780124960936178</v>
      </c>
      <c r="AE76" s="2336">
        <v>10.851351112307613</v>
      </c>
      <c r="AF76" s="2336">
        <v>10.990455778128915</v>
      </c>
      <c r="AG76" s="2336">
        <v>11.098920646739366</v>
      </c>
      <c r="AH76" s="2336">
        <v>11.187830688367711</v>
      </c>
      <c r="AI76" s="2336">
        <v>11.309497366714641</v>
      </c>
      <c r="AJ76" s="2336">
        <v>11.428227033272671</v>
      </c>
      <c r="AK76" s="2336">
        <v>11.541997836764081</v>
      </c>
      <c r="AL76" s="2336">
        <v>11.670288514216109</v>
      </c>
      <c r="AM76" s="2336">
        <v>11.758074586046886</v>
      </c>
      <c r="AN76" s="2336">
        <v>11.8185758283936</v>
      </c>
      <c r="AO76" s="2336">
        <v>11.881809459396369</v>
      </c>
      <c r="AP76" s="2336">
        <v>11.889934131781359</v>
      </c>
      <c r="AQ76" s="2336">
        <v>11.966359835243811</v>
      </c>
      <c r="AR76" s="2336">
        <v>12.013034250700022</v>
      </c>
      <c r="AS76" s="2336">
        <v>12.037186431729548</v>
      </c>
      <c r="AT76" s="2336">
        <v>12.062269605866934</v>
      </c>
      <c r="AU76" s="2336">
        <v>12.112710314164298</v>
      </c>
      <c r="AV76" s="2336">
        <v>12.154346576698954</v>
      </c>
      <c r="AW76" s="2336">
        <v>12.25791125878102</v>
      </c>
      <c r="AX76" s="2336">
        <v>12.34852992294039</v>
      </c>
      <c r="AY76" s="2336">
        <v>12.443037074174054</v>
      </c>
      <c r="AZ76" s="2336">
        <v>12.537859491432132</v>
      </c>
      <c r="BA76" s="2336">
        <v>12.632989282550488</v>
      </c>
      <c r="BB76" s="2336">
        <v>12.728413600466077</v>
      </c>
      <c r="BC76" s="2336">
        <v>12.824115766175129</v>
      </c>
      <c r="BD76" s="2336">
        <v>12.920076360515411</v>
      </c>
      <c r="BE76" s="2336">
        <v>13.01627418419009</v>
      </c>
      <c r="BF76" s="2336">
        <v>13.112686754254481</v>
      </c>
      <c r="BG76" s="2336">
        <v>13.209290489998834</v>
      </c>
      <c r="BH76" s="2336">
        <v>13.306060851752775</v>
      </c>
      <c r="BI76" s="2336">
        <v>13.402972438430318</v>
      </c>
      <c r="BJ76" s="2336">
        <v>13.499999033183238</v>
      </c>
      <c r="BK76" s="2336">
        <v>13.597113565991842</v>
      </c>
      <c r="BL76" s="2336">
        <v>13.694128717135774</v>
      </c>
      <c r="BM76" s="2336">
        <v>13.791037813381871</v>
      </c>
      <c r="BN76" s="2336">
        <v>13.887834223368529</v>
      </c>
      <c r="BO76" s="2336">
        <v>13.984511358543267</v>
      </c>
      <c r="BP76" s="2336">
        <v>14.081062674104887</v>
      </c>
      <c r="BQ76" s="2336">
        <v>14.177481669950087</v>
      </c>
      <c r="BR76" s="2336">
        <v>14.273761891622659</v>
      </c>
      <c r="BS76" s="2336">
        <v>14.369896931265933</v>
      </c>
      <c r="BT76" s="2336">
        <v>14.465880428577359</v>
      </c>
      <c r="BU76" s="2336">
        <v>14.561706071765014</v>
      </c>
      <c r="BV76" s="2336">
        <v>14.657367598503587</v>
      </c>
      <c r="BW76" s="2336">
        <v>14.752858796892475</v>
      </c>
      <c r="BX76" s="2336">
        <v>14.848173506411438</v>
      </c>
      <c r="BY76" s="2336">
        <v>14.943305618875714</v>
      </c>
      <c r="BZ76" s="2336">
        <v>15.038249079388642</v>
      </c>
      <c r="CA76" s="2336">
        <v>15.132997887290994</v>
      </c>
      <c r="CB76" s="2336">
        <v>15.227546097106805</v>
      </c>
      <c r="CC76" s="2336">
        <v>15.321887819483162</v>
      </c>
      <c r="CD76" s="2336">
        <v>15.416017222125857</v>
      </c>
      <c r="CE76" s="2336">
        <v>15.509928530726715</v>
      </c>
      <c r="CF76" s="2336">
        <v>15.603616029884732</v>
      </c>
      <c r="CG76" s="2336">
        <v>15.697074064017308</v>
      </c>
      <c r="CH76" s="2336">
        <v>15.790297038263191</v>
      </c>
      <c r="CI76" s="2336">
        <v>15.883279419374208</v>
      </c>
      <c r="CJ76" s="2336">
        <v>15.976015736596333</v>
      </c>
      <c r="CK76" s="2336">
        <v>16.068500582537993</v>
      </c>
      <c r="CL76" s="2336">
        <v>16.160728614024933</v>
      </c>
      <c r="CM76" s="2336">
        <v>16.252694552942227</v>
      </c>
      <c r="CN76" s="2336">
        <v>16.34439318706043</v>
      </c>
      <c r="CO76" s="2336">
        <v>16.435819370845572</v>
      </c>
      <c r="CP76" s="2336">
        <v>16.526968026253478</v>
      </c>
      <c r="CQ76" s="2336">
        <v>16.617834143505444</v>
      </c>
      <c r="CR76" s="2336">
        <v>16.708412781846835</v>
      </c>
      <c r="CS76" s="2336">
        <v>16.798699070285451</v>
      </c>
      <c r="CT76" s="2336">
        <v>16.888688208309514</v>
      </c>
      <c r="CU76" s="2336">
        <v>16.978375466586961</v>
      </c>
      <c r="CV76" s="2336">
        <v>17.067756187641237</v>
      </c>
      <c r="CW76" s="2336">
        <v>17.156825786505689</v>
      </c>
      <c r="CX76" s="2336">
        <v>17.245579751355695</v>
      </c>
      <c r="CY76" s="2336">
        <v>17.334013644116009</v>
      </c>
      <c r="CZ76" s="2336">
        <v>17.422123101045123</v>
      </c>
      <c r="DA76" s="2336">
        <v>17.509903833295134</v>
      </c>
      <c r="DB76" s="2336">
        <v>17.597351627445068</v>
      </c>
      <c r="DC76" s="2336">
        <v>17.68446234600929</v>
      </c>
      <c r="DD76" s="2336">
        <v>17.771231927919931</v>
      </c>
      <c r="DE76" s="2336">
        <v>17.857656388982541</v>
      </c>
      <c r="DF76" s="2336">
        <v>17.943731822303523</v>
      </c>
      <c r="DG76" s="2336">
        <v>18.029454398691772</v>
      </c>
      <c r="DH76" s="2336">
        <v>18.114820367031115</v>
      </c>
      <c r="DI76" s="2336">
        <v>18.199826054625362</v>
      </c>
      <c r="DJ76" s="2336">
        <v>18.284467867514863</v>
      </c>
      <c r="DK76" s="2344">
        <v>18.368742290763524</v>
      </c>
      <c r="DL76" s="2336">
        <v>18.45264588871856</v>
      </c>
      <c r="DM76" s="2336">
        <v>18.536175305239098</v>
      </c>
      <c r="DN76" s="2336">
        <v>18.619327263897908</v>
      </c>
      <c r="DO76" s="2336">
        <v>18.702098568151836</v>
      </c>
      <c r="DP76" s="2336">
        <v>18.78448610148417</v>
      </c>
      <c r="DQ76" s="2336">
        <v>18.866486827516848</v>
      </c>
      <c r="DR76" s="2336">
        <v>18.948097790093279</v>
      </c>
      <c r="DS76" s="2336">
        <v>19.029316113333195</v>
      </c>
      <c r="DT76" s="2336">
        <v>19.11013900165549</v>
      </c>
      <c r="DU76" s="2336">
        <v>19.19056373977438</v>
      </c>
    </row>
    <row r="77" spans="1:125" ht="14.25">
      <c r="A77" s="904">
        <v>75</v>
      </c>
      <c r="B77" s="92"/>
      <c r="C77" s="92"/>
      <c r="D77" s="92"/>
      <c r="E77" s="92"/>
      <c r="F77" s="92"/>
      <c r="G77" s="92"/>
      <c r="H77" s="92"/>
      <c r="I77" s="92"/>
      <c r="J77" s="92"/>
      <c r="K77" s="92"/>
      <c r="L77" s="92"/>
      <c r="M77" s="92"/>
      <c r="N77" s="92"/>
      <c r="O77" s="92"/>
      <c r="P77" s="92"/>
      <c r="Q77" s="92"/>
      <c r="R77" s="92"/>
      <c r="S77" s="92"/>
      <c r="T77" s="92"/>
      <c r="U77" s="92"/>
      <c r="V77" s="739"/>
      <c r="W77" s="2338">
        <v>9.65</v>
      </c>
      <c r="X77" s="2338">
        <v>9.7799999999999994</v>
      </c>
      <c r="Y77" s="2336">
        <v>9.8893940272805878</v>
      </c>
      <c r="Z77" s="2336">
        <v>10.071346723730811</v>
      </c>
      <c r="AA77" s="2336">
        <v>10.125659111467185</v>
      </c>
      <c r="AB77" s="2336">
        <v>10.223861611555227</v>
      </c>
      <c r="AC77" s="2336">
        <v>10.236372275027062</v>
      </c>
      <c r="AD77" s="2336">
        <v>10.251965347710659</v>
      </c>
      <c r="AE77" s="2336">
        <v>10.305576621486081</v>
      </c>
      <c r="AF77" s="2336">
        <v>10.429552760708271</v>
      </c>
      <c r="AG77" s="2336">
        <v>10.523036716119506</v>
      </c>
      <c r="AH77" s="2336">
        <v>10.60476658760445</v>
      </c>
      <c r="AI77" s="2336">
        <v>10.720874616648569</v>
      </c>
      <c r="AJ77" s="2336">
        <v>10.840128382573385</v>
      </c>
      <c r="AK77" s="2336">
        <v>10.933777683107904</v>
      </c>
      <c r="AL77" s="2336">
        <v>11.056152066792837</v>
      </c>
      <c r="AM77" s="2336">
        <v>11.130777279496366</v>
      </c>
      <c r="AN77" s="2336">
        <v>11.192652267580288</v>
      </c>
      <c r="AO77" s="2336">
        <v>11.235947838253367</v>
      </c>
      <c r="AP77" s="2336">
        <v>11.265481713093767</v>
      </c>
      <c r="AQ77" s="2336">
        <v>11.325547157226802</v>
      </c>
      <c r="AR77" s="2336">
        <v>11.376737650160162</v>
      </c>
      <c r="AS77" s="2336">
        <v>11.408083637088424</v>
      </c>
      <c r="AT77" s="2336">
        <v>11.431214973801403</v>
      </c>
      <c r="AU77" s="2336">
        <v>11.4879125950028</v>
      </c>
      <c r="AV77" s="2336">
        <v>11.55616687804452</v>
      </c>
      <c r="AW77" s="2336">
        <v>11.657552265638069</v>
      </c>
      <c r="AX77" s="2336">
        <v>11.74743551040617</v>
      </c>
      <c r="AY77" s="2336">
        <v>11.837671959897291</v>
      </c>
      <c r="AZ77" s="2336">
        <v>11.928259543441298</v>
      </c>
      <c r="BA77" s="2336">
        <v>12.019190003945365</v>
      </c>
      <c r="BB77" s="2336">
        <v>12.110449989302772</v>
      </c>
      <c r="BC77" s="2336">
        <v>12.2020222233322</v>
      </c>
      <c r="BD77" s="2336">
        <v>12.293886640000425</v>
      </c>
      <c r="BE77" s="2336">
        <v>12.386021377786985</v>
      </c>
      <c r="BF77" s="2336">
        <v>12.478403293563789</v>
      </c>
      <c r="BG77" s="2336">
        <v>12.571008155237653</v>
      </c>
      <c r="BH77" s="2336">
        <v>12.663810785300184</v>
      </c>
      <c r="BI77" s="2336">
        <v>12.75678516147779</v>
      </c>
      <c r="BJ77" s="2336">
        <v>12.849904463742215</v>
      </c>
      <c r="BK77" s="2336">
        <v>12.942959832675427</v>
      </c>
      <c r="BL77" s="2336">
        <v>13.03594475040541</v>
      </c>
      <c r="BM77" s="2336">
        <v>13.128852729243981</v>
      </c>
      <c r="BN77" s="2336">
        <v>13.221677312777706</v>
      </c>
      <c r="BO77" s="2336">
        <v>13.314412076964379</v>
      </c>
      <c r="BP77" s="2336">
        <v>13.407050631235419</v>
      </c>
      <c r="BQ77" s="2336">
        <v>13.499586619603903</v>
      </c>
      <c r="BR77" s="2336">
        <v>13.592013721776114</v>
      </c>
      <c r="BS77" s="2336">
        <v>13.684325654267196</v>
      </c>
      <c r="BT77" s="2336">
        <v>13.776516171519551</v>
      </c>
      <c r="BU77" s="2336">
        <v>13.868579067023731</v>
      </c>
      <c r="BV77" s="2336">
        <v>13.960508174439122</v>
      </c>
      <c r="BW77" s="2336">
        <v>14.05229736871701</v>
      </c>
      <c r="BX77" s="2336">
        <v>14.143940567221264</v>
      </c>
      <c r="BY77" s="2336">
        <v>14.235431730848516</v>
      </c>
      <c r="BZ77" s="2336">
        <v>14.326764865145657</v>
      </c>
      <c r="CA77" s="2336">
        <v>14.417934021423841</v>
      </c>
      <c r="CB77" s="2336">
        <v>14.508933297868603</v>
      </c>
      <c r="CC77" s="2336">
        <v>14.59975684064349</v>
      </c>
      <c r="CD77" s="2336">
        <v>14.69039884498906</v>
      </c>
      <c r="CE77" s="2336">
        <v>14.780853556312845</v>
      </c>
      <c r="CF77" s="2336">
        <v>14.871115271272483</v>
      </c>
      <c r="CG77" s="2336">
        <v>14.961178338848118</v>
      </c>
      <c r="CH77" s="2336">
        <v>15.051037161405642</v>
      </c>
      <c r="CI77" s="2336">
        <v>15.140686195747811</v>
      </c>
      <c r="CJ77" s="2336">
        <v>15.230119954153684</v>
      </c>
      <c r="CK77" s="2336">
        <v>15.319333005404253</v>
      </c>
      <c r="CL77" s="2336">
        <v>15.40831997579348</v>
      </c>
      <c r="CM77" s="2336">
        <v>15.497075550125375</v>
      </c>
      <c r="CN77" s="2336">
        <v>15.58559447269395</v>
      </c>
      <c r="CO77" s="2336">
        <v>15.673871548245749</v>
      </c>
      <c r="CP77" s="2336">
        <v>15.761901642925414</v>
      </c>
      <c r="CQ77" s="2336">
        <v>15.849679685201272</v>
      </c>
      <c r="CR77" s="2336">
        <v>15.937200666772442</v>
      </c>
      <c r="CS77" s="2336">
        <v>16.024459643454293</v>
      </c>
      <c r="CT77" s="2336">
        <v>16.111451736042074</v>
      </c>
      <c r="CU77" s="2336">
        <v>16.198172131154408</v>
      </c>
      <c r="CV77" s="2336">
        <v>16.284616082051734</v>
      </c>
      <c r="CW77" s="2336">
        <v>16.370778909431866</v>
      </c>
      <c r="CX77" s="2336">
        <v>16.456656002201708</v>
      </c>
      <c r="CY77" s="2336">
        <v>16.542242818222633</v>
      </c>
      <c r="CZ77" s="2336">
        <v>16.627534885031292</v>
      </c>
      <c r="DA77" s="2336">
        <v>16.712527800534335</v>
      </c>
      <c r="DB77" s="2336">
        <v>16.797217233674957</v>
      </c>
      <c r="DC77" s="2336">
        <v>16.881598925072904</v>
      </c>
      <c r="DD77" s="2336">
        <v>16.965668687636846</v>
      </c>
      <c r="DE77" s="2336">
        <v>17.049422407148391</v>
      </c>
      <c r="DF77" s="2336">
        <v>17.132856042816112</v>
      </c>
      <c r="DG77" s="2336">
        <v>17.215965627802198</v>
      </c>
      <c r="DH77" s="2336">
        <v>17.298747269718209</v>
      </c>
      <c r="DI77" s="2336">
        <v>17.381197151091747</v>
      </c>
      <c r="DJ77" s="2336">
        <v>17.46331152980299</v>
      </c>
      <c r="DK77" s="2344">
        <v>17.545086739489946</v>
      </c>
      <c r="DL77" s="2336">
        <v>17.626519189924814</v>
      </c>
      <c r="DM77" s="2336">
        <v>17.707605367357473</v>
      </c>
      <c r="DN77" s="2336">
        <v>17.788341834830426</v>
      </c>
      <c r="DO77" s="2336">
        <v>17.868725232460726</v>
      </c>
      <c r="DP77" s="2336">
        <v>17.948752277692197</v>
      </c>
      <c r="DQ77" s="2336">
        <v>18.028419765515782</v>
      </c>
      <c r="DR77" s="2336">
        <v>18.10772456865881</v>
      </c>
      <c r="DS77" s="2336">
        <v>18.18666363774464</v>
      </c>
      <c r="DT77" s="2336">
        <v>18.265234001418609</v>
      </c>
      <c r="DU77" s="2336">
        <v>18.343432766445591</v>
      </c>
    </row>
    <row r="78" spans="1:125" ht="14.25">
      <c r="A78" s="904">
        <v>76</v>
      </c>
      <c r="B78" s="92"/>
      <c r="C78" s="92"/>
      <c r="D78" s="92"/>
      <c r="E78" s="92"/>
      <c r="F78" s="92"/>
      <c r="G78" s="92"/>
      <c r="H78" s="92"/>
      <c r="I78" s="92"/>
      <c r="J78" s="92"/>
      <c r="K78" s="92"/>
      <c r="L78" s="92"/>
      <c r="M78" s="92"/>
      <c r="N78" s="92"/>
      <c r="O78" s="92"/>
      <c r="P78" s="92"/>
      <c r="Q78" s="92"/>
      <c r="R78" s="92"/>
      <c r="S78" s="92"/>
      <c r="T78" s="92"/>
      <c r="U78" s="92"/>
      <c r="V78" s="739"/>
      <c r="W78" s="2338">
        <v>9.18</v>
      </c>
      <c r="X78" s="2338">
        <v>9.3000000000000007</v>
      </c>
      <c r="Y78" s="2336">
        <v>9.4010697634008125</v>
      </c>
      <c r="Z78" s="2336">
        <v>9.5603759325766369</v>
      </c>
      <c r="AA78" s="2336">
        <v>9.6115905592853785</v>
      </c>
      <c r="AB78" s="2336">
        <v>9.6914743031289667</v>
      </c>
      <c r="AC78" s="2336">
        <v>9.7158941729020167</v>
      </c>
      <c r="AD78" s="2336">
        <v>9.7225841314672792</v>
      </c>
      <c r="AE78" s="2336">
        <v>9.7690578112635489</v>
      </c>
      <c r="AF78" s="2336">
        <v>9.8690569181016947</v>
      </c>
      <c r="AG78" s="2336">
        <v>9.9572445101745366</v>
      </c>
      <c r="AH78" s="2336">
        <v>10.038585465313972</v>
      </c>
      <c r="AI78" s="2336">
        <v>10.141771863232568</v>
      </c>
      <c r="AJ78" s="2336">
        <v>10.245136630009744</v>
      </c>
      <c r="AK78" s="2336">
        <v>10.342090065231773</v>
      </c>
      <c r="AL78" s="2336">
        <v>10.449019388988232</v>
      </c>
      <c r="AM78" s="2336">
        <v>10.525923126530344</v>
      </c>
      <c r="AN78" s="2336">
        <v>10.560660054841758</v>
      </c>
      <c r="AO78" s="2336">
        <v>10.625420510496783</v>
      </c>
      <c r="AP78" s="2336">
        <v>10.64456711295162</v>
      </c>
      <c r="AQ78" s="2336">
        <v>10.704033659650404</v>
      </c>
      <c r="AR78" s="2336">
        <v>10.758111367361135</v>
      </c>
      <c r="AS78" s="2336">
        <v>10.780688522956583</v>
      </c>
      <c r="AT78" s="2336">
        <v>10.816537786417612</v>
      </c>
      <c r="AU78" s="2336">
        <v>10.895741726845046</v>
      </c>
      <c r="AV78" s="2336">
        <v>10.980851770450174</v>
      </c>
      <c r="AW78" s="2336">
        <v>11.066154926057711</v>
      </c>
      <c r="AX78" s="2336">
        <v>11.151840980973798</v>
      </c>
      <c r="AY78" s="2336">
        <v>11.237914935792908</v>
      </c>
      <c r="AZ78" s="2336">
        <v>11.324374485465844</v>
      </c>
      <c r="BA78" s="2336">
        <v>11.411210932456344</v>
      </c>
      <c r="BB78" s="2336">
        <v>11.498410333468069</v>
      </c>
      <c r="BC78" s="2336">
        <v>11.585954723284658</v>
      </c>
      <c r="BD78" s="2336">
        <v>11.673823295708475</v>
      </c>
      <c r="BE78" s="2336">
        <v>11.761993435655384</v>
      </c>
      <c r="BF78" s="2336">
        <v>11.850441252046114</v>
      </c>
      <c r="BG78" s="2336">
        <v>11.939141777728906</v>
      </c>
      <c r="BH78" s="2336">
        <v>12.028069118089878</v>
      </c>
      <c r="BI78" s="2336">
        <v>12.117196554959166</v>
      </c>
      <c r="BJ78" s="2336">
        <v>12.206292938126122</v>
      </c>
      <c r="BK78" s="2336">
        <v>12.295351934906957</v>
      </c>
      <c r="BL78" s="2336">
        <v>12.384367231887859</v>
      </c>
      <c r="BM78" s="2336">
        <v>12.473332536131748</v>
      </c>
      <c r="BN78" s="2336">
        <v>12.562241576394108</v>
      </c>
      <c r="BO78" s="2336">
        <v>12.651088104345956</v>
      </c>
      <c r="BP78" s="2336">
        <v>12.73986589580413</v>
      </c>
      <c r="BQ78" s="2336">
        <v>12.828568751968525</v>
      </c>
      <c r="BR78" s="2336">
        <v>12.917190500663924</v>
      </c>
      <c r="BS78" s="2336">
        <v>13.005724997586952</v>
      </c>
      <c r="BT78" s="2336">
        <v>13.094166127556655</v>
      </c>
      <c r="BU78" s="2336">
        <v>13.182507805768296</v>
      </c>
      <c r="BV78" s="2336">
        <v>13.270743979047548</v>
      </c>
      <c r="BW78" s="2336">
        <v>13.358868627107642</v>
      </c>
      <c r="BX78" s="2336">
        <v>13.446875763804471</v>
      </c>
      <c r="BY78" s="2336">
        <v>13.534759438391532</v>
      </c>
      <c r="BZ78" s="2336">
        <v>13.622513736772387</v>
      </c>
      <c r="CA78" s="2336">
        <v>13.710132782749735</v>
      </c>
      <c r="CB78" s="2336">
        <v>13.797610739270626</v>
      </c>
      <c r="CC78" s="2336">
        <v>13.88494180966515</v>
      </c>
      <c r="CD78" s="2336">
        <v>13.972120238880334</v>
      </c>
      <c r="CE78" s="2336">
        <v>14.059140314704809</v>
      </c>
      <c r="CF78" s="2336">
        <v>14.145996368986372</v>
      </c>
      <c r="CG78" s="2336">
        <v>14.23268277883845</v>
      </c>
      <c r="CH78" s="2336">
        <v>14.319193967837021</v>
      </c>
      <c r="CI78" s="2336">
        <v>14.405524407204927</v>
      </c>
      <c r="CJ78" s="2336">
        <v>14.491668616983983</v>
      </c>
      <c r="CK78" s="2336">
        <v>14.577621167192731</v>
      </c>
      <c r="CL78" s="2336">
        <v>14.663376678968913</v>
      </c>
      <c r="CM78" s="2336">
        <v>14.74892982569739</v>
      </c>
      <c r="CN78" s="2336">
        <v>14.834275334120175</v>
      </c>
      <c r="CO78" s="2336">
        <v>14.919407985428274</v>
      </c>
      <c r="CP78" s="2336">
        <v>15.004322616335806</v>
      </c>
      <c r="CQ78" s="2336">
        <v>15.089014120133287</v>
      </c>
      <c r="CR78" s="2336">
        <v>15.173477447721588</v>
      </c>
      <c r="CS78" s="2336">
        <v>15.257707608623312</v>
      </c>
      <c r="CT78" s="2336">
        <v>15.341699671971444</v>
      </c>
      <c r="CU78" s="2336">
        <v>15.425448767476913</v>
      </c>
      <c r="CV78" s="2336">
        <v>15.508950086370112</v>
      </c>
      <c r="CW78" s="2336">
        <v>15.592198882318508</v>
      </c>
      <c r="CX78" s="2336">
        <v>15.675190472319438</v>
      </c>
      <c r="CY78" s="2336">
        <v>15.757920237565449</v>
      </c>
      <c r="CZ78" s="2336">
        <v>15.840383624284065</v>
      </c>
      <c r="DA78" s="2336">
        <v>15.922576144550325</v>
      </c>
      <c r="DB78" s="2336">
        <v>16.00449337707008</v>
      </c>
      <c r="DC78" s="2336">
        <v>16.086130967935606</v>
      </c>
      <c r="DD78" s="2336">
        <v>16.167484631352472</v>
      </c>
      <c r="DE78" s="2336">
        <v>16.248550150336882</v>
      </c>
      <c r="DF78" s="2336">
        <v>16.329323377381861</v>
      </c>
      <c r="DG78" s="2336">
        <v>16.409800235094927</v>
      </c>
      <c r="DH78" s="2336">
        <v>16.489976716803639</v>
      </c>
      <c r="DI78" s="2336">
        <v>16.56984888713091</v>
      </c>
      <c r="DJ78" s="2336">
        <v>16.649412882538932</v>
      </c>
      <c r="DK78" s="2344">
        <v>16.728664911840667</v>
      </c>
      <c r="DL78" s="2336">
        <v>16.807601256681146</v>
      </c>
      <c r="DM78" s="2336">
        <v>16.886218271984752</v>
      </c>
      <c r="DN78" s="2336">
        <v>16.964512386372657</v>
      </c>
      <c r="DO78" s="2336">
        <v>17.042480102546044</v>
      </c>
      <c r="DP78" s="2336">
        <v>17.120117997638339</v>
      </c>
      <c r="DQ78" s="2336">
        <v>17.197422723534359</v>
      </c>
      <c r="DR78" s="2336">
        <v>17.274391007157082</v>
      </c>
      <c r="DS78" s="2336">
        <v>17.351019650723558</v>
      </c>
      <c r="DT78" s="2336">
        <v>17.42730553196585</v>
      </c>
      <c r="DU78" s="2336">
        <v>17.503245604322316</v>
      </c>
    </row>
    <row r="79" spans="1:125" ht="14.25">
      <c r="A79" s="904">
        <v>77</v>
      </c>
      <c r="B79" s="92"/>
      <c r="C79" s="92"/>
      <c r="D79" s="92"/>
      <c r="E79" s="92"/>
      <c r="F79" s="92"/>
      <c r="G79" s="92"/>
      <c r="H79" s="92"/>
      <c r="I79" s="92"/>
      <c r="J79" s="92"/>
      <c r="K79" s="92"/>
      <c r="L79" s="92"/>
      <c r="M79" s="92"/>
      <c r="N79" s="92"/>
      <c r="O79" s="92"/>
      <c r="P79" s="92"/>
      <c r="Q79" s="92"/>
      <c r="R79" s="92"/>
      <c r="S79" s="92"/>
      <c r="T79" s="92"/>
      <c r="U79" s="92"/>
      <c r="V79" s="739"/>
      <c r="W79" s="2338">
        <v>8.7200000000000006</v>
      </c>
      <c r="X79" s="2338">
        <v>8.83</v>
      </c>
      <c r="Y79" s="2336">
        <v>8.9048110351637071</v>
      </c>
      <c r="Z79" s="2336">
        <v>9.0457476564913701</v>
      </c>
      <c r="AA79" s="2336">
        <v>9.0989244792828412</v>
      </c>
      <c r="AB79" s="2336">
        <v>9.1867037635328046</v>
      </c>
      <c r="AC79" s="2336">
        <v>9.1914671329701338</v>
      </c>
      <c r="AD79" s="2336">
        <v>9.1983462267528768</v>
      </c>
      <c r="AE79" s="2336">
        <v>9.2354841040071793</v>
      </c>
      <c r="AF79" s="2336">
        <v>9.3216081712815999</v>
      </c>
      <c r="AG79" s="2336">
        <v>9.4026762426902426</v>
      </c>
      <c r="AH79" s="2336">
        <v>9.4755893886891389</v>
      </c>
      <c r="AI79" s="2336">
        <v>9.5655549895013419</v>
      </c>
      <c r="AJ79" s="2336">
        <v>9.6692825667546991</v>
      </c>
      <c r="AK79" s="2336">
        <v>9.7543037516825368</v>
      </c>
      <c r="AL79" s="2336">
        <v>9.8633280202131761</v>
      </c>
      <c r="AM79" s="2336">
        <v>9.9194411601497325</v>
      </c>
      <c r="AN79" s="2336">
        <v>9.9629151463818637</v>
      </c>
      <c r="AO79" s="2336">
        <v>10.012727692257513</v>
      </c>
      <c r="AP79" s="2336">
        <v>10.041087916020023</v>
      </c>
      <c r="AQ79" s="2336">
        <v>10.099908650519163</v>
      </c>
      <c r="AR79" s="2336">
        <v>10.139625840850146</v>
      </c>
      <c r="AS79" s="2336">
        <v>10.170149744424711</v>
      </c>
      <c r="AT79" s="2336">
        <v>10.234586452940285</v>
      </c>
      <c r="AU79" s="2336">
        <v>10.318614533475181</v>
      </c>
      <c r="AV79" s="2336">
        <v>10.399397778626469</v>
      </c>
      <c r="AW79" s="2336">
        <v>10.480584373426376</v>
      </c>
      <c r="AX79" s="2336">
        <v>10.562187369283308</v>
      </c>
      <c r="AY79" s="2336">
        <v>10.644211745458271</v>
      </c>
      <c r="AZ79" s="2336">
        <v>10.726654892846227</v>
      </c>
      <c r="BA79" s="2336">
        <v>10.809507585118759</v>
      </c>
      <c r="BB79" s="2336">
        <v>10.892755186905857</v>
      </c>
      <c r="BC79" s="2336">
        <v>10.976378936298383</v>
      </c>
      <c r="BD79" s="2336">
        <v>11.060357177500705</v>
      </c>
      <c r="BE79" s="2336">
        <v>11.144666434609896</v>
      </c>
      <c r="BF79" s="2336">
        <v>11.229281965403329</v>
      </c>
      <c r="BG79" s="2336">
        <v>11.314177969143417</v>
      </c>
      <c r="BH79" s="2336">
        <v>11.399327740610749</v>
      </c>
      <c r="BI79" s="2336">
        <v>11.484476662632687</v>
      </c>
      <c r="BJ79" s="2336">
        <v>11.569618614395633</v>
      </c>
      <c r="BK79" s="2336">
        <v>11.654747484290345</v>
      </c>
      <c r="BL79" s="2336">
        <v>11.739857171200086</v>
      </c>
      <c r="BM79" s="2336">
        <v>11.824941585800621</v>
      </c>
      <c r="BN79" s="2336">
        <v>11.90999465187099</v>
      </c>
      <c r="BO79" s="2336">
        <v>11.99501030761297</v>
      </c>
      <c r="BP79" s="2336">
        <v>12.079982506979327</v>
      </c>
      <c r="BQ79" s="2336">
        <v>12.164905221010375</v>
      </c>
      <c r="BR79" s="2336">
        <v>12.249772439176299</v>
      </c>
      <c r="BS79" s="2336">
        <v>12.334578170725761</v>
      </c>
      <c r="BT79" s="2336">
        <v>12.419316446039124</v>
      </c>
      <c r="BU79" s="2336">
        <v>12.503981317985815</v>
      </c>
      <c r="BV79" s="2336">
        <v>12.588566863282862</v>
      </c>
      <c r="BW79" s="2336">
        <v>12.673067183857183</v>
      </c>
      <c r="BX79" s="2336">
        <v>12.757476408206394</v>
      </c>
      <c r="BY79" s="2336">
        <v>12.841788692760058</v>
      </c>
      <c r="BZ79" s="2336">
        <v>12.925998223238933</v>
      </c>
      <c r="CA79" s="2336">
        <v>13.010099216011197</v>
      </c>
      <c r="CB79" s="2336">
        <v>13.094085919445199</v>
      </c>
      <c r="CC79" s="2336">
        <v>13.17795261525591</v>
      </c>
      <c r="CD79" s="2336">
        <v>13.261693619846815</v>
      </c>
      <c r="CE79" s="2336">
        <v>13.345303285642688</v>
      </c>
      <c r="CF79" s="2336">
        <v>13.42877600241537</v>
      </c>
      <c r="CG79" s="2336">
        <v>13.512106198598483</v>
      </c>
      <c r="CH79" s="2336">
        <v>13.595288342592539</v>
      </c>
      <c r="CI79" s="2336">
        <v>13.678316944057435</v>
      </c>
      <c r="CJ79" s="2336">
        <v>13.761186555192561</v>
      </c>
      <c r="CK79" s="2336">
        <v>13.843891772002451</v>
      </c>
      <c r="CL79" s="2336">
        <v>13.926427235546891</v>
      </c>
      <c r="CM79" s="2336">
        <v>14.008787633176306</v>
      </c>
      <c r="CN79" s="2336">
        <v>14.090967699748909</v>
      </c>
      <c r="CO79" s="2336">
        <v>14.17296221882939</v>
      </c>
      <c r="CP79" s="2336">
        <v>14.254766023869534</v>
      </c>
      <c r="CQ79" s="2336">
        <v>14.336373999367591</v>
      </c>
      <c r="CR79" s="2336">
        <v>14.417781082007963</v>
      </c>
      <c r="CS79" s="2336">
        <v>14.498982261777835</v>
      </c>
      <c r="CT79" s="2336">
        <v>14.579972583060623</v>
      </c>
      <c r="CU79" s="2336">
        <v>14.660747145707857</v>
      </c>
      <c r="CV79" s="2336">
        <v>14.741301106084496</v>
      </c>
      <c r="CW79" s="2336">
        <v>14.821629678089804</v>
      </c>
      <c r="CX79" s="2336">
        <v>14.901728134152854</v>
      </c>
      <c r="CY79" s="2336">
        <v>14.981591806199992</v>
      </c>
      <c r="CZ79" s="2336">
        <v>15.061216086596124</v>
      </c>
      <c r="DA79" s="2336">
        <v>15.140596429058171</v>
      </c>
      <c r="DB79" s="2336">
        <v>15.21972834953865</v>
      </c>
      <c r="DC79" s="2336">
        <v>15.298607427080874</v>
      </c>
      <c r="DD79" s="2336">
        <v>15.3772293046448</v>
      </c>
      <c r="DE79" s="2336">
        <v>15.455589689902608</v>
      </c>
      <c r="DF79" s="2336">
        <v>15.533684356002468</v>
      </c>
      <c r="DG79" s="2336">
        <v>15.611509142303049</v>
      </c>
      <c r="DH79" s="2336">
        <v>15.689059955075164</v>
      </c>
      <c r="DI79" s="2336">
        <v>15.766332768172465</v>
      </c>
      <c r="DJ79" s="2336">
        <v>15.84332362366999</v>
      </c>
      <c r="DK79" s="2344">
        <v>15.920028632469462</v>
      </c>
      <c r="DL79" s="2336">
        <v>15.996443974873667</v>
      </c>
      <c r="DM79" s="2336">
        <v>16.072565901125991</v>
      </c>
      <c r="DN79" s="2336">
        <v>16.148390731919307</v>
      </c>
      <c r="DO79" s="2336">
        <v>16.22391485886984</v>
      </c>
      <c r="DP79" s="2336">
        <v>16.299134744959211</v>
      </c>
      <c r="DQ79" s="2336">
        <v>16.374046924942526</v>
      </c>
      <c r="DR79" s="2336">
        <v>16.4486480057233</v>
      </c>
      <c r="DS79" s="2336">
        <v>16.522934666696585</v>
      </c>
      <c r="DT79" s="2336">
        <v>16.596903660056338</v>
      </c>
      <c r="DU79" s="2336">
        <v>16.67055181107219</v>
      </c>
    </row>
    <row r="80" spans="1:125" ht="14.25">
      <c r="A80" s="904">
        <v>78</v>
      </c>
      <c r="B80" s="92"/>
      <c r="C80" s="92"/>
      <c r="D80" s="92"/>
      <c r="E80" s="92"/>
      <c r="F80" s="92"/>
      <c r="G80" s="92"/>
      <c r="H80" s="92"/>
      <c r="I80" s="92"/>
      <c r="J80" s="92"/>
      <c r="K80" s="92"/>
      <c r="L80" s="92"/>
      <c r="M80" s="92"/>
      <c r="N80" s="92"/>
      <c r="O80" s="92"/>
      <c r="P80" s="92"/>
      <c r="Q80" s="92"/>
      <c r="R80" s="92"/>
      <c r="S80" s="92"/>
      <c r="T80" s="92"/>
      <c r="U80" s="92"/>
      <c r="V80" s="739"/>
      <c r="W80" s="2338">
        <v>8.27</v>
      </c>
      <c r="X80" s="2338">
        <v>8.36</v>
      </c>
      <c r="Y80" s="2336">
        <v>8.4240789506045655</v>
      </c>
      <c r="Z80" s="2336">
        <v>8.5573879738805392</v>
      </c>
      <c r="AA80" s="2336">
        <v>8.6120011963317005</v>
      </c>
      <c r="AB80" s="2336">
        <v>8.6791427338784821</v>
      </c>
      <c r="AC80" s="2336">
        <v>8.6841206218561435</v>
      </c>
      <c r="AD80" s="2336">
        <v>8.6770246836234097</v>
      </c>
      <c r="AE80" s="2336">
        <v>8.7028518560584818</v>
      </c>
      <c r="AF80" s="2336">
        <v>8.7871190870722522</v>
      </c>
      <c r="AG80" s="2336">
        <v>8.8667440389116674</v>
      </c>
      <c r="AH80" s="2336">
        <v>8.9196632136253236</v>
      </c>
      <c r="AI80" s="2336">
        <v>9.0171976602280992</v>
      </c>
      <c r="AJ80" s="2336">
        <v>9.1077443340177524</v>
      </c>
      <c r="AK80" s="2336">
        <v>9.1893135880629071</v>
      </c>
      <c r="AL80" s="2336">
        <v>9.2724418102633468</v>
      </c>
      <c r="AM80" s="2336">
        <v>9.331674043862991</v>
      </c>
      <c r="AN80" s="2336">
        <v>9.3699812320128224</v>
      </c>
      <c r="AO80" s="2336">
        <v>9.4190103243872727</v>
      </c>
      <c r="AP80" s="2336">
        <v>9.4458117386698959</v>
      </c>
      <c r="AQ80" s="2336">
        <v>9.498329058386549</v>
      </c>
      <c r="AR80" s="2336">
        <v>9.5335109961584497</v>
      </c>
      <c r="AS80" s="2336">
        <v>9.6016102747544014</v>
      </c>
      <c r="AT80" s="2336">
        <v>9.6713592128099268</v>
      </c>
      <c r="AU80" s="2336">
        <v>9.7476969693448137</v>
      </c>
      <c r="AV80" s="2336">
        <v>9.8244487357442409</v>
      </c>
      <c r="AW80" s="2336">
        <v>9.9016360929700582</v>
      </c>
      <c r="AX80" s="2336">
        <v>9.9792723794879183</v>
      </c>
      <c r="AY80" s="2336">
        <v>10.057362500051729</v>
      </c>
      <c r="AZ80" s="2336">
        <v>10.135903459002764</v>
      </c>
      <c r="BA80" s="2336">
        <v>10.214885396457255</v>
      </c>
      <c r="BB80" s="2336">
        <v>10.294292865253846</v>
      </c>
      <c r="BC80" s="2336">
        <v>10.374106178966938</v>
      </c>
      <c r="BD80" s="2336">
        <v>10.454302702201435</v>
      </c>
      <c r="BE80" s="2336">
        <v>10.534857970737118</v>
      </c>
      <c r="BF80" s="2336">
        <v>10.615746268436759</v>
      </c>
      <c r="BG80" s="2336">
        <v>10.696940843637531</v>
      </c>
      <c r="BH80" s="2336">
        <v>10.778162014572178</v>
      </c>
      <c r="BI80" s="2336">
        <v>10.859403895975955</v>
      </c>
      <c r="BJ80" s="2336">
        <v>10.940660602622115</v>
      </c>
      <c r="BK80" s="2336">
        <v>11.0219262506624</v>
      </c>
      <c r="BL80" s="2336">
        <v>11.103194958979426</v>
      </c>
      <c r="BM80" s="2336">
        <v>11.184460850552655</v>
      </c>
      <c r="BN80" s="2336">
        <v>11.2657180538368</v>
      </c>
      <c r="BO80" s="2336">
        <v>11.346960704150412</v>
      </c>
      <c r="BP80" s="2336">
        <v>11.428182945074742</v>
      </c>
      <c r="BQ80" s="2336">
        <v>11.509378929862223</v>
      </c>
      <c r="BR80" s="2336">
        <v>11.590542822851994</v>
      </c>
      <c r="BS80" s="2336">
        <v>11.671668800892856</v>
      </c>
      <c r="BT80" s="2336">
        <v>11.752751054771972</v>
      </c>
      <c r="BU80" s="2336">
        <v>11.833783790648699</v>
      </c>
      <c r="BV80" s="2336">
        <v>11.914761231490523</v>
      </c>
      <c r="BW80" s="2336">
        <v>11.995677618513671</v>
      </c>
      <c r="BX80" s="2336">
        <v>12.076527212622979</v>
      </c>
      <c r="BY80" s="2336">
        <v>12.157304295853002</v>
      </c>
      <c r="BZ80" s="2336">
        <v>12.238003172807769</v>
      </c>
      <c r="CA80" s="2336">
        <v>12.318618172098155</v>
      </c>
      <c r="CB80" s="2336">
        <v>12.399143647776349</v>
      </c>
      <c r="CC80" s="2336">
        <v>12.479573980764529</v>
      </c>
      <c r="CD80" s="2336">
        <v>12.559903580279464</v>
      </c>
      <c r="CE80" s="2336">
        <v>12.640126885248401</v>
      </c>
      <c r="CF80" s="2336">
        <v>12.720238365718368</v>
      </c>
      <c r="CG80" s="2336">
        <v>12.800232524254691</v>
      </c>
      <c r="CH80" s="2336">
        <v>12.880103897330271</v>
      </c>
      <c r="CI80" s="2336">
        <v>12.95984705670244</v>
      </c>
      <c r="CJ80" s="2336">
        <v>13.039456610777714</v>
      </c>
      <c r="CK80" s="2336">
        <v>13.118927205962221</v>
      </c>
      <c r="CL80" s="2336">
        <v>13.198253527996769</v>
      </c>
      <c r="CM80" s="2336">
        <v>13.277430303277313</v>
      </c>
      <c r="CN80" s="2336">
        <v>13.356452300157299</v>
      </c>
      <c r="CO80" s="2336">
        <v>13.435314330231552</v>
      </c>
      <c r="CP80" s="2336">
        <v>13.514011249602206</v>
      </c>
      <c r="CQ80" s="2336">
        <v>13.592537960123348</v>
      </c>
      <c r="CR80" s="2336">
        <v>13.670889410625994</v>
      </c>
      <c r="CS80" s="2336">
        <v>13.749060598119964</v>
      </c>
      <c r="CT80" s="2336">
        <v>13.827046568972506</v>
      </c>
      <c r="CU80" s="2336">
        <v>13.904842420065288</v>
      </c>
      <c r="CV80" s="2336">
        <v>13.982443299924727</v>
      </c>
      <c r="CW80" s="2336">
        <v>14.059844409827743</v>
      </c>
      <c r="CX80" s="2336">
        <v>14.137041004881997</v>
      </c>
      <c r="CY80" s="2336">
        <v>14.214028395077946</v>
      </c>
      <c r="CZ80" s="2336">
        <v>14.290801946314513</v>
      </c>
      <c r="DA80" s="2336">
        <v>14.367357081396786</v>
      </c>
      <c r="DB80" s="2336">
        <v>14.443689281003532</v>
      </c>
      <c r="DC80" s="2336">
        <v>14.519794084626193</v>
      </c>
      <c r="DD80" s="2336">
        <v>14.595667091478219</v>
      </c>
      <c r="DE80" s="2336">
        <v>14.671303961373912</v>
      </c>
      <c r="DF80" s="2336">
        <v>14.746700415575116</v>
      </c>
      <c r="DG80" s="2336">
        <v>14.821852237608397</v>
      </c>
      <c r="DH80" s="2336">
        <v>14.896755274049047</v>
      </c>
      <c r="DI80" s="2336">
        <v>14.97140543527377</v>
      </c>
      <c r="DJ80" s="2336">
        <v>15.045798696180912</v>
      </c>
      <c r="DK80" s="2344">
        <v>15.119931096877041</v>
      </c>
      <c r="DL80" s="2336">
        <v>15.193798743332293</v>
      </c>
      <c r="DM80" s="2336">
        <v>15.267397808000384</v>
      </c>
      <c r="DN80" s="2336">
        <v>15.340724530407716</v>
      </c>
      <c r="DO80" s="2336">
        <v>15.413775217706853</v>
      </c>
      <c r="DP80" s="2336">
        <v>15.486546245197911</v>
      </c>
      <c r="DQ80" s="2336">
        <v>15.559034056815429</v>
      </c>
      <c r="DR80" s="2336">
        <v>15.631235165581661</v>
      </c>
      <c r="DS80" s="2336">
        <v>15.703146154027589</v>
      </c>
      <c r="DT80" s="2336">
        <v>15.774763674577651</v>
      </c>
      <c r="DU80" s="2336">
        <v>15.846084449903394</v>
      </c>
    </row>
    <row r="81" spans="1:125" ht="14.25">
      <c r="A81" s="904">
        <v>79</v>
      </c>
      <c r="B81" s="92"/>
      <c r="C81" s="92"/>
      <c r="D81" s="92"/>
      <c r="E81" s="92"/>
      <c r="F81" s="92"/>
      <c r="G81" s="92"/>
      <c r="H81" s="92"/>
      <c r="I81" s="92"/>
      <c r="J81" s="92"/>
      <c r="K81" s="92"/>
      <c r="L81" s="92"/>
      <c r="M81" s="92"/>
      <c r="N81" s="92"/>
      <c r="O81" s="92"/>
      <c r="P81" s="92"/>
      <c r="Q81" s="92"/>
      <c r="R81" s="92"/>
      <c r="S81" s="92"/>
      <c r="T81" s="92"/>
      <c r="U81" s="92"/>
      <c r="V81" s="739"/>
      <c r="W81" s="2338">
        <v>7.83</v>
      </c>
      <c r="X81" s="2338">
        <v>7.89</v>
      </c>
      <c r="Y81" s="2336">
        <v>7.9566918399146509</v>
      </c>
      <c r="Z81" s="2336">
        <v>8.0906123275626793</v>
      </c>
      <c r="AA81" s="2336">
        <v>8.1293981555377641</v>
      </c>
      <c r="AB81" s="2336">
        <v>8.1801144623415603</v>
      </c>
      <c r="AC81" s="2336">
        <v>8.1822193254835245</v>
      </c>
      <c r="AD81" s="2336">
        <v>8.1643503405550728</v>
      </c>
      <c r="AE81" s="2336">
        <v>8.1951900107244668</v>
      </c>
      <c r="AF81" s="2336">
        <v>8.2733329235357633</v>
      </c>
      <c r="AG81" s="2336">
        <v>8.3357863817717561</v>
      </c>
      <c r="AH81" s="2336">
        <v>8.3902731541840385</v>
      </c>
      <c r="AI81" s="2336">
        <v>8.4757618386248783</v>
      </c>
      <c r="AJ81" s="2336">
        <v>8.5607463509312076</v>
      </c>
      <c r="AK81" s="2336">
        <v>8.6169413969189161</v>
      </c>
      <c r="AL81" s="2336">
        <v>8.7102370598019512</v>
      </c>
      <c r="AM81" s="2336">
        <v>8.7563519836244605</v>
      </c>
      <c r="AN81" s="2336">
        <v>8.7978367857324482</v>
      </c>
      <c r="AO81" s="2336">
        <v>8.8376506316560075</v>
      </c>
      <c r="AP81" s="2336">
        <v>8.8589021350318422</v>
      </c>
      <c r="AQ81" s="2336">
        <v>8.9096826659285462</v>
      </c>
      <c r="AR81" s="2336">
        <v>8.9726668521655863</v>
      </c>
      <c r="AS81" s="2336">
        <v>9.0399806060742254</v>
      </c>
      <c r="AT81" s="2336">
        <v>9.1119594645518092</v>
      </c>
      <c r="AU81" s="2336">
        <v>9.184353118798704</v>
      </c>
      <c r="AV81" s="2336">
        <v>9.2571916373029808</v>
      </c>
      <c r="AW81" s="2336">
        <v>9.330497296130611</v>
      </c>
      <c r="AX81" s="2336">
        <v>9.4042836991941527</v>
      </c>
      <c r="AY81" s="2336">
        <v>9.4785556128881101</v>
      </c>
      <c r="AZ81" s="2336">
        <v>9.5533095556976146</v>
      </c>
      <c r="BA81" s="2336">
        <v>9.6285349079959044</v>
      </c>
      <c r="BB81" s="2336">
        <v>9.7042152666005848</v>
      </c>
      <c r="BC81" s="2336">
        <v>9.7803298665612122</v>
      </c>
      <c r="BD81" s="2336">
        <v>9.8568549362332973</v>
      </c>
      <c r="BE81" s="2336">
        <v>9.9337648694102825</v>
      </c>
      <c r="BF81" s="2336">
        <v>10.011032828014187</v>
      </c>
      <c r="BG81" s="2336">
        <v>10.088351995341952</v>
      </c>
      <c r="BH81" s="2336">
        <v>10.165716742558233</v>
      </c>
      <c r="BI81" s="2336">
        <v>10.243121432639436</v>
      </c>
      <c r="BJ81" s="2336">
        <v>10.320560421734102</v>
      </c>
      <c r="BK81" s="2336">
        <v>10.398028060541645</v>
      </c>
      <c r="BL81" s="2336">
        <v>10.47551869570459</v>
      </c>
      <c r="BM81" s="2336">
        <v>10.553026671216044</v>
      </c>
      <c r="BN81" s="2336">
        <v>10.630546329841087</v>
      </c>
      <c r="BO81" s="2336">
        <v>10.708072014549824</v>
      </c>
      <c r="BP81" s="2336">
        <v>10.78559806996202</v>
      </c>
      <c r="BQ81" s="2336">
        <v>10.863118843802726</v>
      </c>
      <c r="BR81" s="2336">
        <v>10.940628688366134</v>
      </c>
      <c r="BS81" s="2336">
        <v>11.01812196198806</v>
      </c>
      <c r="BT81" s="2336">
        <v>11.09559303052527</v>
      </c>
      <c r="BU81" s="2336">
        <v>11.17303626884104</v>
      </c>
      <c r="BV81" s="2336">
        <v>11.250446062293744</v>
      </c>
      <c r="BW81" s="2336">
        <v>11.327816808231164</v>
      </c>
      <c r="BX81" s="2336">
        <v>11.405142917484897</v>
      </c>
      <c r="BY81" s="2336">
        <v>11.4824188158669</v>
      </c>
      <c r="BZ81" s="2336">
        <v>11.559638945665467</v>
      </c>
      <c r="CA81" s="2336">
        <v>11.636797767139651</v>
      </c>
      <c r="CB81" s="2336">
        <v>11.713889760011469</v>
      </c>
      <c r="CC81" s="2336">
        <v>11.790909424953027</v>
      </c>
      <c r="CD81" s="2336">
        <v>11.86785128507027</v>
      </c>
      <c r="CE81" s="2336">
        <v>11.944709887378609</v>
      </c>
      <c r="CF81" s="2336">
        <v>12.021479804272605</v>
      </c>
      <c r="CG81" s="2336">
        <v>12.098155634985405</v>
      </c>
      <c r="CH81" s="2336">
        <v>12.1747320070395</v>
      </c>
      <c r="CI81" s="2336">
        <v>12.251203577685594</v>
      </c>
      <c r="CJ81" s="2336">
        <v>12.327565035329835</v>
      </c>
      <c r="CK81" s="2336">
        <v>12.40381110094722</v>
      </c>
      <c r="CL81" s="2336">
        <v>12.479936529480041</v>
      </c>
      <c r="CM81" s="2336">
        <v>12.555936111222209</v>
      </c>
      <c r="CN81" s="2336">
        <v>12.631804673185819</v>
      </c>
      <c r="CO81" s="2336">
        <v>12.707537080449645</v>
      </c>
      <c r="CP81" s="2336">
        <v>12.783128237490059</v>
      </c>
      <c r="CQ81" s="2336">
        <v>12.85857308949098</v>
      </c>
      <c r="CR81" s="2336">
        <v>12.933866623634506</v>
      </c>
      <c r="CS81" s="2336">
        <v>13.009003870368732</v>
      </c>
      <c r="CT81" s="2336">
        <v>13.083979904652592</v>
      </c>
      <c r="CU81" s="2336">
        <v>13.158789847179408</v>
      </c>
      <c r="CV81" s="2336">
        <v>13.23342886557395</v>
      </c>
      <c r="CW81" s="2336">
        <v>13.307892175565199</v>
      </c>
      <c r="CX81" s="2336">
        <v>13.382175042133824</v>
      </c>
      <c r="CY81" s="2336">
        <v>13.456272780631668</v>
      </c>
      <c r="CZ81" s="2336">
        <v>13.530180757875028</v>
      </c>
      <c r="DA81" s="2336">
        <v>13.603894393210178</v>
      </c>
      <c r="DB81" s="2336">
        <v>13.677409159548821</v>
      </c>
      <c r="DC81" s="2336">
        <v>13.750720584375197</v>
      </c>
      <c r="DD81" s="2336">
        <v>13.823824250723636</v>
      </c>
      <c r="DE81" s="2336">
        <v>13.896715798125749</v>
      </c>
      <c r="DF81" s="2336">
        <v>13.969390923525546</v>
      </c>
      <c r="DG81" s="2336">
        <v>14.041845382165141</v>
      </c>
      <c r="DH81" s="2336">
        <v>14.114074988437309</v>
      </c>
      <c r="DI81" s="2336">
        <v>14.18607561670683</v>
      </c>
      <c r="DJ81" s="2336">
        <v>14.257843202099348</v>
      </c>
      <c r="DK81" s="2344">
        <v>14.329373741256626</v>
      </c>
      <c r="DL81" s="2336">
        <v>14.400663293060562</v>
      </c>
      <c r="DM81" s="2336">
        <v>14.471707979321856</v>
      </c>
      <c r="DN81" s="2336">
        <v>14.542503985437705</v>
      </c>
      <c r="DO81" s="2336">
        <v>14.613047561013857</v>
      </c>
      <c r="DP81" s="2336">
        <v>14.683335020454489</v>
      </c>
      <c r="DQ81" s="2336">
        <v>14.753362743517476</v>
      </c>
      <c r="DR81" s="2336">
        <v>14.823127175835955</v>
      </c>
      <c r="DS81" s="2336">
        <v>14.892624829407575</v>
      </c>
      <c r="DT81" s="2336">
        <v>14.961852283047193</v>
      </c>
      <c r="DU81" s="2336">
        <v>15.030806182808439</v>
      </c>
    </row>
    <row r="82" spans="1:125" ht="14.25">
      <c r="A82" s="904">
        <v>80</v>
      </c>
      <c r="B82" s="92"/>
      <c r="C82" s="92"/>
      <c r="D82" s="92"/>
      <c r="E82" s="92"/>
      <c r="F82" s="92"/>
      <c r="G82" s="92"/>
      <c r="H82" s="92"/>
      <c r="I82" s="92"/>
      <c r="J82" s="92"/>
      <c r="K82" s="92"/>
      <c r="L82" s="92"/>
      <c r="M82" s="92"/>
      <c r="N82" s="92"/>
      <c r="O82" s="92"/>
      <c r="P82" s="92"/>
      <c r="Q82" s="92"/>
      <c r="R82" s="92"/>
      <c r="S82" s="92"/>
      <c r="T82" s="92"/>
      <c r="U82" s="92"/>
      <c r="V82" s="739"/>
      <c r="W82" s="2338">
        <v>7.38</v>
      </c>
      <c r="X82" s="2338">
        <v>7.43</v>
      </c>
      <c r="Y82" s="2336">
        <v>7.514316178434024</v>
      </c>
      <c r="Z82" s="2336">
        <v>7.6199203131155819</v>
      </c>
      <c r="AA82" s="2336">
        <v>7.6532756491976066</v>
      </c>
      <c r="AB82" s="2336">
        <v>7.6863938614267555</v>
      </c>
      <c r="AC82" s="2336">
        <v>7.6698969646941846</v>
      </c>
      <c r="AD82" s="2336">
        <v>7.667811541902342</v>
      </c>
      <c r="AE82" s="2336">
        <v>7.6991396543367614</v>
      </c>
      <c r="AF82" s="2336">
        <v>7.761221806808706</v>
      </c>
      <c r="AG82" s="2336">
        <v>7.8257483639228633</v>
      </c>
      <c r="AH82" s="2336">
        <v>7.8707811051420382</v>
      </c>
      <c r="AI82" s="2336">
        <v>7.9573497048523425</v>
      </c>
      <c r="AJ82" s="2336">
        <v>8.0157106208048639</v>
      </c>
      <c r="AK82" s="2336">
        <v>8.0772671743075684</v>
      </c>
      <c r="AL82" s="2336">
        <v>8.1481286872847072</v>
      </c>
      <c r="AM82" s="2336">
        <v>8.1986564365015493</v>
      </c>
      <c r="AN82" s="2336">
        <v>8.239599251813857</v>
      </c>
      <c r="AO82" s="2336">
        <v>8.2673270526183789</v>
      </c>
      <c r="AP82" s="2336">
        <v>8.2835495505184564</v>
      </c>
      <c r="AQ82" s="2336">
        <v>8.3602666215312489</v>
      </c>
      <c r="AR82" s="2336">
        <v>8.4258005859553524</v>
      </c>
      <c r="AS82" s="2336">
        <v>8.4935169223372391</v>
      </c>
      <c r="AT82" s="2336">
        <v>8.561639422879967</v>
      </c>
      <c r="AU82" s="2336">
        <v>8.6302059967978835</v>
      </c>
      <c r="AV82" s="2336">
        <v>8.6992479168599655</v>
      </c>
      <c r="AW82" s="2336">
        <v>8.7687881839381721</v>
      </c>
      <c r="AX82" s="2336">
        <v>8.8388406408189137</v>
      </c>
      <c r="AY82" s="2336">
        <v>8.9094098371133494</v>
      </c>
      <c r="AZ82" s="2336">
        <v>8.9804916835971245</v>
      </c>
      <c r="BA82" s="2336">
        <v>9.0520746461752744</v>
      </c>
      <c r="BB82" s="2336">
        <v>9.1241411889112065</v>
      </c>
      <c r="BC82" s="2336">
        <v>9.1966692797134577</v>
      </c>
      <c r="BD82" s="2336">
        <v>9.2696338189124194</v>
      </c>
      <c r="BE82" s="2336">
        <v>9.3430078702342492</v>
      </c>
      <c r="BF82" s="2336">
        <v>9.4164548435221853</v>
      </c>
      <c r="BG82" s="2336">
        <v>9.4899693846201174</v>
      </c>
      <c r="BH82" s="2336">
        <v>9.5635461239189929</v>
      </c>
      <c r="BI82" s="2336">
        <v>9.6371796777146379</v>
      </c>
      <c r="BJ82" s="2336">
        <v>9.7108646495834012</v>
      </c>
      <c r="BK82" s="2336">
        <v>9.7845956317777656</v>
      </c>
      <c r="BL82" s="2336">
        <v>9.8583672066368404</v>
      </c>
      <c r="BM82" s="2336">
        <v>9.9321739480135278</v>
      </c>
      <c r="BN82" s="2336">
        <v>10.006010422716976</v>
      </c>
      <c r="BO82" s="2336">
        <v>10.07987119196796</v>
      </c>
      <c r="BP82" s="2336">
        <v>10.153750812867115</v>
      </c>
      <c r="BQ82" s="2336">
        <v>10.227643839875372</v>
      </c>
      <c r="BR82" s="2336">
        <v>10.301544826303747</v>
      </c>
      <c r="BS82" s="2336">
        <v>10.375448325812924</v>
      </c>
      <c r="BT82" s="2336">
        <v>10.449348893920702</v>
      </c>
      <c r="BU82" s="2336">
        <v>10.523241089516775</v>
      </c>
      <c r="BV82" s="2336">
        <v>10.59711947638149</v>
      </c>
      <c r="BW82" s="2336">
        <v>10.670978624711354</v>
      </c>
      <c r="BX82" s="2336">
        <v>10.744813112645542</v>
      </c>
      <c r="BY82" s="2336">
        <v>10.818617527795466</v>
      </c>
      <c r="BZ82" s="2336">
        <v>10.89238646877468</v>
      </c>
      <c r="CA82" s="2336">
        <v>10.966114546728084</v>
      </c>
      <c r="CB82" s="2336">
        <v>11.039796386859747</v>
      </c>
      <c r="CC82" s="2336">
        <v>11.113426629956464</v>
      </c>
      <c r="CD82" s="2336">
        <v>11.186999933908755</v>
      </c>
      <c r="CE82" s="2336">
        <v>11.260510975224491</v>
      </c>
      <c r="CF82" s="2336">
        <v>11.333954450537387</v>
      </c>
      <c r="CG82" s="2336">
        <v>11.407325078105915</v>
      </c>
      <c r="CH82" s="2336">
        <v>11.480617599304338</v>
      </c>
      <c r="CI82" s="2336">
        <v>11.553826780102536</v>
      </c>
      <c r="CJ82" s="2336">
        <v>11.626947412534895</v>
      </c>
      <c r="CK82" s="2336">
        <v>11.699974316156053</v>
      </c>
      <c r="CL82" s="2336">
        <v>11.772902339482355</v>
      </c>
      <c r="CM82" s="2336">
        <v>11.845726361419873</v>
      </c>
      <c r="CN82" s="2336">
        <v>11.918441292675277</v>
      </c>
      <c r="CO82" s="2336">
        <v>11.9910420771493</v>
      </c>
      <c r="CP82" s="2336">
        <v>12.063523693313227</v>
      </c>
      <c r="CQ82" s="2336">
        <v>12.135881155565048</v>
      </c>
      <c r="CR82" s="2336">
        <v>12.208109515566893</v>
      </c>
      <c r="CS82" s="2336">
        <v>12.280203863560244</v>
      </c>
      <c r="CT82" s="2336">
        <v>12.35215932965871</v>
      </c>
      <c r="CU82" s="2336">
        <v>12.423971085120161</v>
      </c>
      <c r="CV82" s="2336">
        <v>12.495634343592856</v>
      </c>
      <c r="CW82" s="2336">
        <v>12.567144362337855</v>
      </c>
      <c r="CX82" s="2336">
        <v>12.638496443426677</v>
      </c>
      <c r="CY82" s="2336">
        <v>12.709685934911475</v>
      </c>
      <c r="CZ82" s="2336">
        <v>12.780708231969538</v>
      </c>
      <c r="DA82" s="2336">
        <v>12.851558778020523</v>
      </c>
      <c r="DB82" s="2336">
        <v>12.92223306581411</v>
      </c>
      <c r="DC82" s="2336">
        <v>12.992726638489755</v>
      </c>
      <c r="DD82" s="2336">
        <v>13.063035090607409</v>
      </c>
      <c r="DE82" s="2336">
        <v>13.133154069148267</v>
      </c>
      <c r="DF82" s="2336">
        <v>13.203079274483898</v>
      </c>
      <c r="DG82" s="2336">
        <v>13.27280646131638</v>
      </c>
      <c r="DH82" s="2336">
        <v>13.342331439585685</v>
      </c>
      <c r="DI82" s="2336">
        <v>13.411650075346255</v>
      </c>
      <c r="DJ82" s="2336">
        <v>13.480758291611439</v>
      </c>
      <c r="DK82" s="2344">
        <v>13.549652069164706</v>
      </c>
      <c r="DL82" s="2336">
        <v>13.618327447339942</v>
      </c>
      <c r="DM82" s="2336">
        <v>13.686780524766728</v>
      </c>
      <c r="DN82" s="2336">
        <v>13.755007460084959</v>
      </c>
      <c r="DO82" s="2336">
        <v>13.823004472624092</v>
      </c>
      <c r="DP82" s="2336">
        <v>13.890767843050496</v>
      </c>
      <c r="DQ82" s="2336">
        <v>13.958293913980464</v>
      </c>
      <c r="DR82" s="2336">
        <v>14.025579090559694</v>
      </c>
      <c r="DS82" s="2336">
        <v>14.092619841010764</v>
      </c>
      <c r="DT82" s="2336">
        <v>14.159412697144129</v>
      </c>
      <c r="DU82" s="2336">
        <v>14.225954254838266</v>
      </c>
    </row>
    <row r="83" spans="1:125" ht="14.25">
      <c r="A83" s="904">
        <v>81</v>
      </c>
      <c r="B83" s="92"/>
      <c r="C83" s="92"/>
      <c r="D83" s="92"/>
      <c r="E83" s="92"/>
      <c r="F83" s="92"/>
      <c r="G83" s="92"/>
      <c r="H83" s="92"/>
      <c r="I83" s="92"/>
      <c r="J83" s="92"/>
      <c r="K83" s="92"/>
      <c r="L83" s="92"/>
      <c r="M83" s="92"/>
      <c r="N83" s="92"/>
      <c r="O83" s="92"/>
      <c r="P83" s="92"/>
      <c r="Q83" s="92"/>
      <c r="R83" s="92"/>
      <c r="S83" s="92"/>
      <c r="T83" s="92"/>
      <c r="U83" s="92"/>
      <c r="V83" s="739"/>
      <c r="W83" s="2338">
        <v>6.95</v>
      </c>
      <c r="X83" s="2338">
        <v>7.01</v>
      </c>
      <c r="Y83" s="2336">
        <v>7.0696052622437406</v>
      </c>
      <c r="Z83" s="2336">
        <v>7.1616398203604543</v>
      </c>
      <c r="AA83" s="2336">
        <v>7.172920395662385</v>
      </c>
      <c r="AB83" s="2336">
        <v>7.2040908432956483</v>
      </c>
      <c r="AC83" s="2336">
        <v>7.1948563219269106</v>
      </c>
      <c r="AD83" s="2336">
        <v>7.1948315680183503</v>
      </c>
      <c r="AE83" s="2336">
        <v>7.206545301536134</v>
      </c>
      <c r="AF83" s="2336">
        <v>7.2648535891877577</v>
      </c>
      <c r="AG83" s="2336">
        <v>7.3205834079585692</v>
      </c>
      <c r="AH83" s="2336">
        <v>7.3694445462723879</v>
      </c>
      <c r="AI83" s="2336">
        <v>7.4313528552504957</v>
      </c>
      <c r="AJ83" s="2336">
        <v>7.5013222312951013</v>
      </c>
      <c r="AK83" s="2336">
        <v>7.5440946991632911</v>
      </c>
      <c r="AL83" s="2336">
        <v>7.6150397969899695</v>
      </c>
      <c r="AM83" s="2336">
        <v>7.6583142831501529</v>
      </c>
      <c r="AN83" s="2336">
        <v>7.6870964226085094</v>
      </c>
      <c r="AO83" s="2336">
        <v>7.710505143892493</v>
      </c>
      <c r="AP83" s="2336">
        <v>7.7593307913664358</v>
      </c>
      <c r="AQ83" s="2336">
        <v>7.8306393813750477</v>
      </c>
      <c r="AR83" s="2336">
        <v>7.8941963527688515</v>
      </c>
      <c r="AS83" s="2336">
        <v>7.9581424739296134</v>
      </c>
      <c r="AT83" s="2336">
        <v>8.0225222123592754</v>
      </c>
      <c r="AU83" s="2336">
        <v>8.0873752848580125</v>
      </c>
      <c r="AV83" s="2336">
        <v>8.1527342749992826</v>
      </c>
      <c r="AW83" s="2336">
        <v>8.218622944446631</v>
      </c>
      <c r="AX83" s="2336">
        <v>8.2850553406028542</v>
      </c>
      <c r="AY83" s="2336">
        <v>8.3520356974803427</v>
      </c>
      <c r="AZ83" s="2336">
        <v>8.4195591653915862</v>
      </c>
      <c r="BA83" s="2336">
        <v>8.4876131023110535</v>
      </c>
      <c r="BB83" s="2336">
        <v>8.5561786189408977</v>
      </c>
      <c r="BC83" s="2336">
        <v>8.6252321809013424</v>
      </c>
      <c r="BD83" s="2336">
        <v>8.6947471216400292</v>
      </c>
      <c r="BE83" s="2336">
        <v>8.7643537361747423</v>
      </c>
      <c r="BF83" s="2336">
        <v>8.8340469606843985</v>
      </c>
      <c r="BG83" s="2336">
        <v>8.9038217096079961</v>
      </c>
      <c r="BH83" s="2336">
        <v>8.9736728769771954</v>
      </c>
      <c r="BI83" s="2336">
        <v>9.0435953377697569</v>
      </c>
      <c r="BJ83" s="2336">
        <v>9.1135839492820683</v>
      </c>
      <c r="BK83" s="2336">
        <v>9.1836335525229611</v>
      </c>
      <c r="BL83" s="2336">
        <v>9.2537389736235358</v>
      </c>
      <c r="BM83" s="2336">
        <v>9.3238950252648802</v>
      </c>
      <c r="BN83" s="2336">
        <v>9.3940965081222103</v>
      </c>
      <c r="BO83" s="2336">
        <v>9.4643382123230211</v>
      </c>
      <c r="BP83" s="2336">
        <v>9.5346149189191802</v>
      </c>
      <c r="BQ83" s="2336">
        <v>9.6049214013722874</v>
      </c>
      <c r="BR83" s="2336">
        <v>9.6752524270493812</v>
      </c>
      <c r="BS83" s="2336">
        <v>9.7456027587294649</v>
      </c>
      <c r="BT83" s="2336">
        <v>9.8159671561188606</v>
      </c>
      <c r="BU83" s="2336">
        <v>9.8863403773748963</v>
      </c>
      <c r="BV83" s="2336">
        <v>9.9567171806344348</v>
      </c>
      <c r="BW83" s="2336">
        <v>10.027092325550191</v>
      </c>
      <c r="BX83" s="2336">
        <v>10.097460574828867</v>
      </c>
      <c r="BY83" s="2336">
        <v>10.167816695773324</v>
      </c>
      <c r="BZ83" s="2336">
        <v>10.238155461825944</v>
      </c>
      <c r="CA83" s="2336">
        <v>10.308471654112184</v>
      </c>
      <c r="CB83" s="2336">
        <v>10.378760062983652</v>
      </c>
      <c r="CC83" s="2336">
        <v>10.449015489557727</v>
      </c>
      <c r="CD83" s="2336">
        <v>10.519232747255554</v>
      </c>
      <c r="CE83" s="2336">
        <v>10.589406663333476</v>
      </c>
      <c r="CF83" s="2336">
        <v>10.659532080410209</v>
      </c>
      <c r="CG83" s="2336">
        <v>10.729603857985264</v>
      </c>
      <c r="CH83" s="2336">
        <v>10.799616873950372</v>
      </c>
      <c r="CI83" s="2336">
        <v>10.869566026090512</v>
      </c>
      <c r="CJ83" s="2336">
        <v>10.939446233574847</v>
      </c>
      <c r="CK83" s="2336">
        <v>11.009252438435386</v>
      </c>
      <c r="CL83" s="2336">
        <v>11.078979607032126</v>
      </c>
      <c r="CM83" s="2336">
        <v>11.148622731505675</v>
      </c>
      <c r="CN83" s="2336">
        <v>11.2181768312135</v>
      </c>
      <c r="CO83" s="2336">
        <v>11.287636954149605</v>
      </c>
      <c r="CP83" s="2336">
        <v>11.356998178348084</v>
      </c>
      <c r="CQ83" s="2336">
        <v>11.426255613267143</v>
      </c>
      <c r="CR83" s="2336">
        <v>11.495404401155231</v>
      </c>
      <c r="CS83" s="2336">
        <v>11.564439718395789</v>
      </c>
      <c r="CT83" s="2336">
        <v>11.633356776830304</v>
      </c>
      <c r="CU83" s="2336">
        <v>11.702150825061651</v>
      </c>
      <c r="CV83" s="2336">
        <v>11.770817149732125</v>
      </c>
      <c r="CW83" s="2336">
        <v>11.839351076778629</v>
      </c>
      <c r="CX83" s="2336">
        <v>11.90774797266387</v>
      </c>
      <c r="CY83" s="2336">
        <v>11.976003245580884</v>
      </c>
      <c r="CZ83" s="2336">
        <v>12.044112346632648</v>
      </c>
      <c r="DA83" s="2336">
        <v>12.112070770985238</v>
      </c>
      <c r="DB83" s="2336">
        <v>12.179874058992134</v>
      </c>
      <c r="DC83" s="2336">
        <v>12.247517797291405</v>
      </c>
      <c r="DD83" s="2336">
        <v>12.314997619874616</v>
      </c>
      <c r="DE83" s="2336">
        <v>12.382309209126507</v>
      </c>
      <c r="DF83" s="2336">
        <v>12.449448296833756</v>
      </c>
      <c r="DG83" s="2336">
        <v>12.516410665165504</v>
      </c>
      <c r="DH83" s="2336">
        <v>12.583192147621798</v>
      </c>
      <c r="DI83" s="2336">
        <v>12.649788629951955</v>
      </c>
      <c r="DJ83" s="2336">
        <v>12.716196051041443</v>
      </c>
      <c r="DK83" s="2344">
        <v>12.782410403766196</v>
      </c>
      <c r="DL83" s="2336">
        <v>12.848427735816703</v>
      </c>
      <c r="DM83" s="2336">
        <v>12.914244150487647</v>
      </c>
      <c r="DN83" s="2336">
        <v>12.979855807437573</v>
      </c>
      <c r="DO83" s="2336">
        <v>13.045258923413739</v>
      </c>
      <c r="DP83" s="2336">
        <v>13.110449772945667</v>
      </c>
      <c r="DQ83" s="2336">
        <v>13.175424689004915</v>
      </c>
      <c r="DR83" s="2336">
        <v>13.240180063631865</v>
      </c>
      <c r="DS83" s="2336">
        <v>13.304712348531046</v>
      </c>
      <c r="DT83" s="2336">
        <v>13.369018055630454</v>
      </c>
      <c r="DU83" s="2336">
        <v>13.433093757610518</v>
      </c>
    </row>
    <row r="84" spans="1:125" ht="14.25">
      <c r="A84" s="904">
        <v>82</v>
      </c>
      <c r="B84" s="92"/>
      <c r="C84" s="92"/>
      <c r="D84" s="92"/>
      <c r="E84" s="92"/>
      <c r="F84" s="92"/>
      <c r="G84" s="92"/>
      <c r="H84" s="92"/>
      <c r="I84" s="92"/>
      <c r="J84" s="92"/>
      <c r="K84" s="92"/>
      <c r="L84" s="92"/>
      <c r="M84" s="92"/>
      <c r="N84" s="92"/>
      <c r="O84" s="92"/>
      <c r="P84" s="92"/>
      <c r="Q84" s="92"/>
      <c r="R84" s="92"/>
      <c r="S84" s="92"/>
      <c r="T84" s="92"/>
      <c r="U84" s="92"/>
      <c r="V84" s="739"/>
      <c r="W84" s="2338">
        <v>6.54</v>
      </c>
      <c r="X84" s="2338">
        <v>6.58</v>
      </c>
      <c r="Y84" s="2336">
        <v>6.6382087235887584</v>
      </c>
      <c r="Z84" s="2336">
        <v>6.7044799051931347</v>
      </c>
      <c r="AA84" s="2336">
        <v>6.7155639644500562</v>
      </c>
      <c r="AB84" s="2336">
        <v>6.745653603047657</v>
      </c>
      <c r="AC84" s="2336">
        <v>6.744742089510801</v>
      </c>
      <c r="AD84" s="2336">
        <v>6.7224347483087037</v>
      </c>
      <c r="AE84" s="2336">
        <v>6.735907239910973</v>
      </c>
      <c r="AF84" s="2336">
        <v>6.7829458957279201</v>
      </c>
      <c r="AG84" s="2336">
        <v>6.8519313415646037</v>
      </c>
      <c r="AH84" s="2336">
        <v>6.8714942153978589</v>
      </c>
      <c r="AI84" s="2336">
        <v>6.9413087899083301</v>
      </c>
      <c r="AJ84" s="2336">
        <v>6.9913800258067322</v>
      </c>
      <c r="AK84" s="2336">
        <v>7.0419189662936441</v>
      </c>
      <c r="AL84" s="2336">
        <v>7.0955678012541057</v>
      </c>
      <c r="AM84" s="2336">
        <v>7.1288394167420615</v>
      </c>
      <c r="AN84" s="2336">
        <v>7.1480096690638204</v>
      </c>
      <c r="AO84" s="2336">
        <v>7.1978926040772997</v>
      </c>
      <c r="AP84" s="2336">
        <v>7.2569100189507285</v>
      </c>
      <c r="AQ84" s="2336">
        <v>7.3164136718011195</v>
      </c>
      <c r="AR84" s="2336">
        <v>7.3762826436658191</v>
      </c>
      <c r="AS84" s="2336">
        <v>7.4365661081841266</v>
      </c>
      <c r="AT84" s="2336">
        <v>7.497311020016233</v>
      </c>
      <c r="AU84" s="2336">
        <v>7.558559118421643</v>
      </c>
      <c r="AV84" s="2336">
        <v>7.6203444301084629</v>
      </c>
      <c r="AW84" s="2336">
        <v>7.6826915201770252</v>
      </c>
      <c r="AX84" s="2336">
        <v>7.7456145942625518</v>
      </c>
      <c r="AY84" s="2336">
        <v>7.8091174428105905</v>
      </c>
      <c r="AZ84" s="2336">
        <v>7.8731942597514868</v>
      </c>
      <c r="BA84" s="2336">
        <v>7.9378310481263847</v>
      </c>
      <c r="BB84" s="2336">
        <v>8.0030072844137834</v>
      </c>
      <c r="BC84" s="2336">
        <v>8.0686976331765958</v>
      </c>
      <c r="BD84" s="2336">
        <v>8.1344953970125236</v>
      </c>
      <c r="BE84" s="2336">
        <v>8.2003958152876173</v>
      </c>
      <c r="BF84" s="2336">
        <v>8.2663941003317358</v>
      </c>
      <c r="BG84" s="2336">
        <v>8.3324854387266605</v>
      </c>
      <c r="BH84" s="2336">
        <v>8.3986649926178885</v>
      </c>
      <c r="BI84" s="2336">
        <v>8.4649279010482736</v>
      </c>
      <c r="BJ84" s="2336">
        <v>8.5312692813116691</v>
      </c>
      <c r="BK84" s="2336">
        <v>8.597684230328861</v>
      </c>
      <c r="BL84" s="2336">
        <v>8.6641678260403285</v>
      </c>
      <c r="BM84" s="2336">
        <v>8.7307151288178328</v>
      </c>
      <c r="BN84" s="2336">
        <v>8.7973211828933202</v>
      </c>
      <c r="BO84" s="2336">
        <v>8.8639810178026472</v>
      </c>
      <c r="BP84" s="2336">
        <v>8.9306896498441262</v>
      </c>
      <c r="BQ84" s="2336">
        <v>8.997442083551185</v>
      </c>
      <c r="BR84" s="2336">
        <v>9.0642333131761745</v>
      </c>
      <c r="BS84" s="2336">
        <v>9.1310583241858616</v>
      </c>
      <c r="BT84" s="2336">
        <v>9.1979120947665454</v>
      </c>
      <c r="BU84" s="2336">
        <v>9.2647895973383729</v>
      </c>
      <c r="BV84" s="2336">
        <v>9.3316858000752436</v>
      </c>
      <c r="BW84" s="2336">
        <v>9.3985956684334226</v>
      </c>
      <c r="BX84" s="2336">
        <v>9.4655141666827323</v>
      </c>
      <c r="BY84" s="2336">
        <v>9.5324362594426333</v>
      </c>
      <c r="BZ84" s="2336">
        <v>9.5993569132203422</v>
      </c>
      <c r="CA84" s="2336">
        <v>9.6662710979499735</v>
      </c>
      <c r="CB84" s="2336">
        <v>9.7331737885320635</v>
      </c>
      <c r="CC84" s="2336">
        <v>9.8000599663704673</v>
      </c>
      <c r="CD84" s="2336">
        <v>9.8669246209085539</v>
      </c>
      <c r="CE84" s="2336">
        <v>9.9337627511596445</v>
      </c>
      <c r="CF84" s="2336">
        <v>10.00056936723413</v>
      </c>
      <c r="CG84" s="2336">
        <v>10.067339491858698</v>
      </c>
      <c r="CH84" s="2336">
        <v>10.134068161889479</v>
      </c>
      <c r="CI84" s="2336">
        <v>10.200750429815699</v>
      </c>
      <c r="CJ84" s="2336">
        <v>10.267381365254174</v>
      </c>
      <c r="CK84" s="2336">
        <v>10.333956056432459</v>
      </c>
      <c r="CL84" s="2336">
        <v>10.400469611659364</v>
      </c>
      <c r="CM84" s="2336">
        <v>10.466917160784011</v>
      </c>
      <c r="CN84" s="2336">
        <v>10.533293856639371</v>
      </c>
      <c r="CO84" s="2336">
        <v>10.599594876470238</v>
      </c>
      <c r="CP84" s="2336">
        <v>10.665815423346059</v>
      </c>
      <c r="CQ84" s="2336">
        <v>10.731950727555175</v>
      </c>
      <c r="CR84" s="2336">
        <v>10.797996047982235</v>
      </c>
      <c r="CS84" s="2336">
        <v>10.863946673465124</v>
      </c>
      <c r="CT84" s="2336">
        <v>10.929797924131256</v>
      </c>
      <c r="CU84" s="2336">
        <v>10.995545152715152</v>
      </c>
      <c r="CV84" s="2336">
        <v>11.061183745851704</v>
      </c>
      <c r="CW84" s="2336">
        <v>11.126709125347583</v>
      </c>
      <c r="CX84" s="2336">
        <v>11.19211674942972</v>
      </c>
      <c r="CY84" s="2336">
        <v>11.257402113968066</v>
      </c>
      <c r="CZ84" s="2336">
        <v>11.322560753674482</v>
      </c>
      <c r="DA84" s="2336">
        <v>11.387588243276198</v>
      </c>
      <c r="DB84" s="2336">
        <v>11.452480198661394</v>
      </c>
      <c r="DC84" s="2336">
        <v>11.517232277998673</v>
      </c>
      <c r="DD84" s="2336">
        <v>11.581840182829277</v>
      </c>
      <c r="DE84" s="2336">
        <v>11.646299659131065</v>
      </c>
      <c r="DF84" s="2336">
        <v>11.710606498352526</v>
      </c>
      <c r="DG84" s="2336">
        <v>11.774756538419599</v>
      </c>
      <c r="DH84" s="2336">
        <v>11.838745664711322</v>
      </c>
      <c r="DI84" s="2336">
        <v>11.902569811006405</v>
      </c>
      <c r="DJ84" s="2336">
        <v>11.966224960399277</v>
      </c>
      <c r="DK84" s="2344">
        <v>12.029707146184466</v>
      </c>
      <c r="DL84" s="2336">
        <v>12.093012452711729</v>
      </c>
      <c r="DM84" s="2336">
        <v>12.156137016207623</v>
      </c>
      <c r="DN84" s="2336">
        <v>12.219077025568026</v>
      </c>
      <c r="DO84" s="2336">
        <v>12.281828723116684</v>
      </c>
      <c r="DP84" s="2336">
        <v>12.344388405333401</v>
      </c>
      <c r="DQ84" s="2336">
        <v>12.406752423549223</v>
      </c>
      <c r="DR84" s="2336">
        <v>12.468917184609536</v>
      </c>
      <c r="DS84" s="2336">
        <v>12.530879151506484</v>
      </c>
      <c r="DT84" s="2336">
        <v>12.592634843976175</v>
      </c>
      <c r="DU84" s="2336">
        <v>12.654180839066337</v>
      </c>
    </row>
    <row r="85" spans="1:125" ht="14.25">
      <c r="A85" s="904">
        <v>83</v>
      </c>
      <c r="B85" s="92"/>
      <c r="C85" s="92"/>
      <c r="D85" s="92"/>
      <c r="E85" s="92"/>
      <c r="F85" s="92"/>
      <c r="G85" s="92"/>
      <c r="H85" s="92"/>
      <c r="I85" s="92"/>
      <c r="J85" s="92"/>
      <c r="K85" s="92"/>
      <c r="L85" s="92"/>
      <c r="M85" s="92"/>
      <c r="N85" s="92"/>
      <c r="O85" s="92"/>
      <c r="P85" s="92"/>
      <c r="Q85" s="92"/>
      <c r="R85" s="92"/>
      <c r="S85" s="92"/>
      <c r="T85" s="92"/>
      <c r="U85" s="92"/>
      <c r="V85" s="739"/>
      <c r="W85" s="2338">
        <v>6.13</v>
      </c>
      <c r="X85" s="2338">
        <v>6.17</v>
      </c>
      <c r="Y85" s="2336">
        <v>6.2086364888920631</v>
      </c>
      <c r="Z85" s="2336">
        <v>6.2640416606475799</v>
      </c>
      <c r="AA85" s="2336">
        <v>6.27931405029807</v>
      </c>
      <c r="AB85" s="2336">
        <v>6.3111581857092878</v>
      </c>
      <c r="AC85" s="2336">
        <v>6.2833900959511926</v>
      </c>
      <c r="AD85" s="2336">
        <v>6.2754637666663653</v>
      </c>
      <c r="AE85" s="2336">
        <v>6.2801692580077848</v>
      </c>
      <c r="AF85" s="2336">
        <v>6.3394141150735424</v>
      </c>
      <c r="AG85" s="2336">
        <v>6.3770059822943628</v>
      </c>
      <c r="AH85" s="2336">
        <v>6.4058299118595317</v>
      </c>
      <c r="AI85" s="2336">
        <v>6.4620902806141842</v>
      </c>
      <c r="AJ85" s="2336">
        <v>6.5114000207719576</v>
      </c>
      <c r="AK85" s="2336">
        <v>6.5493962356158564</v>
      </c>
      <c r="AL85" s="2336">
        <v>6.5855578816288096</v>
      </c>
      <c r="AM85" s="2336">
        <v>6.6083695023008664</v>
      </c>
      <c r="AN85" s="2336">
        <v>6.6529278883593701</v>
      </c>
      <c r="AO85" s="2336">
        <v>6.7076844889382938</v>
      </c>
      <c r="AP85" s="2336">
        <v>6.7628595948538344</v>
      </c>
      <c r="AQ85" s="2336">
        <v>6.8187539383823781</v>
      </c>
      <c r="AR85" s="2336">
        <v>6.8750365133931899</v>
      </c>
      <c r="AS85" s="2336">
        <v>6.9317597049713529</v>
      </c>
      <c r="AT85" s="2336">
        <v>6.9889733129643341</v>
      </c>
      <c r="AU85" s="2336">
        <v>7.0467213694597337</v>
      </c>
      <c r="AV85" s="2336">
        <v>7.1050395081166045</v>
      </c>
      <c r="AW85" s="2336">
        <v>7.1639531460068788</v>
      </c>
      <c r="AX85" s="2336">
        <v>7.2234765815059276</v>
      </c>
      <c r="AY85" s="2336">
        <v>7.2836129918750796</v>
      </c>
      <c r="AZ85" s="2336">
        <v>7.3443553586630204</v>
      </c>
      <c r="BA85" s="2336">
        <v>7.4056880093787161</v>
      </c>
      <c r="BB85" s="2336">
        <v>7.4675884232201328</v>
      </c>
      <c r="BC85" s="2336">
        <v>7.5296089439123595</v>
      </c>
      <c r="BD85" s="2336">
        <v>7.591745123442645</v>
      </c>
      <c r="BE85" s="2336">
        <v>7.6539924824701417</v>
      </c>
      <c r="BF85" s="2336">
        <v>7.7163465115564307</v>
      </c>
      <c r="BG85" s="2336">
        <v>7.778802672419654</v>
      </c>
      <c r="BH85" s="2336">
        <v>7.841356399213006</v>
      </c>
      <c r="BI85" s="2336">
        <v>7.9040030998255997</v>
      </c>
      <c r="BJ85" s="2336">
        <v>7.9667381572038529</v>
      </c>
      <c r="BK85" s="2336">
        <v>8.0295569306958381</v>
      </c>
      <c r="BL85" s="2336">
        <v>8.0924547574129306</v>
      </c>
      <c r="BM85" s="2336">
        <v>8.155426953610835</v>
      </c>
      <c r="BN85" s="2336">
        <v>8.2184688160885671</v>
      </c>
      <c r="BO85" s="2336">
        <v>8.2815756236027323</v>
      </c>
      <c r="BP85" s="2336">
        <v>8.3447426382972356</v>
      </c>
      <c r="BQ85" s="2336">
        <v>8.407965107147696</v>
      </c>
      <c r="BR85" s="2336">
        <v>8.47123826341757</v>
      </c>
      <c r="BS85" s="2336">
        <v>8.5345573281265672</v>
      </c>
      <c r="BT85" s="2336">
        <v>8.5979175115293103</v>
      </c>
      <c r="BU85" s="2336">
        <v>8.661314014603839</v>
      </c>
      <c r="BV85" s="2336">
        <v>8.7247420305462846</v>
      </c>
      <c r="BW85" s="2336">
        <v>8.7881967462750108</v>
      </c>
      <c r="BX85" s="2336">
        <v>8.8516733439379305</v>
      </c>
      <c r="BY85" s="2336">
        <v>8.9151670024254486</v>
      </c>
      <c r="BZ85" s="2336">
        <v>8.9786728988861704</v>
      </c>
      <c r="CA85" s="2336">
        <v>9.0421862102443509</v>
      </c>
      <c r="CB85" s="2336">
        <v>9.1057021147185235</v>
      </c>
      <c r="CC85" s="2336">
        <v>9.1692157933382301</v>
      </c>
      <c r="CD85" s="2336">
        <v>9.2327224314609317</v>
      </c>
      <c r="CE85" s="2336">
        <v>9.2962172202839195</v>
      </c>
      <c r="CF85" s="2336">
        <v>9.359695358353834</v>
      </c>
      <c r="CG85" s="2336">
        <v>9.4231520530690851</v>
      </c>
      <c r="CH85" s="2336">
        <v>9.4865825221771658</v>
      </c>
      <c r="CI85" s="2336">
        <v>9.5499819952633409</v>
      </c>
      <c r="CJ85" s="2336">
        <v>9.6133457152311639</v>
      </c>
      <c r="CK85" s="2336">
        <v>9.6766689397725631</v>
      </c>
      <c r="CL85" s="2336">
        <v>9.7399469428263181</v>
      </c>
      <c r="CM85" s="2336">
        <v>9.8031750160260849</v>
      </c>
      <c r="CN85" s="2336">
        <v>9.8663484701339197</v>
      </c>
      <c r="CO85" s="2336">
        <v>9.9294626364592506</v>
      </c>
      <c r="CP85" s="2336">
        <v>9.992512868263848</v>
      </c>
      <c r="CQ85" s="2336">
        <v>10.055494542149196</v>
      </c>
      <c r="CR85" s="2336">
        <v>10.118403059428235</v>
      </c>
      <c r="CS85" s="2336">
        <v>10.181233847477646</v>
      </c>
      <c r="CT85" s="2336">
        <v>10.24398236107065</v>
      </c>
      <c r="CU85" s="2336">
        <v>10.306644083692296</v>
      </c>
      <c r="CV85" s="2336">
        <v>10.369214528831511</v>
      </c>
      <c r="CW85" s="2336">
        <v>10.431689241252492</v>
      </c>
      <c r="CX85" s="2336">
        <v>10.494063798244378</v>
      </c>
      <c r="CY85" s="2336">
        <v>10.556333810846311</v>
      </c>
      <c r="CZ85" s="2336">
        <v>10.618494925049898</v>
      </c>
      <c r="DA85" s="2336">
        <v>10.680542822977417</v>
      </c>
      <c r="DB85" s="2336">
        <v>10.742473224033306</v>
      </c>
      <c r="DC85" s="2336">
        <v>10.804281886030806</v>
      </c>
      <c r="DD85" s="2336">
        <v>10.865964606292533</v>
      </c>
      <c r="DE85" s="2336">
        <v>10.927517222724035</v>
      </c>
      <c r="DF85" s="2336">
        <v>10.988935614858564</v>
      </c>
      <c r="DG85" s="2336">
        <v>11.050215704875892</v>
      </c>
      <c r="DH85" s="2336">
        <v>11.111353458591159</v>
      </c>
      <c r="DI85" s="2336">
        <v>11.172344886415825</v>
      </c>
      <c r="DJ85" s="2336">
        <v>11.233186044289319</v>
      </c>
      <c r="DK85" s="2344">
        <v>11.293873034580173</v>
      </c>
      <c r="DL85" s="2336">
        <v>11.354402006959122</v>
      </c>
      <c r="DM85" s="2336">
        <v>11.414769159239775</v>
      </c>
      <c r="DN85" s="2336">
        <v>11.474970738191445</v>
      </c>
      <c r="DO85" s="2336">
        <v>11.535003040319092</v>
      </c>
      <c r="DP85" s="2336">
        <v>11.594862412614088</v>
      </c>
      <c r="DQ85" s="2336">
        <v>11.654545253273071</v>
      </c>
      <c r="DR85" s="2336">
        <v>11.714048012385813</v>
      </c>
      <c r="DS85" s="2336">
        <v>11.773367192593518</v>
      </c>
      <c r="DT85" s="2336">
        <v>11.832499349712938</v>
      </c>
      <c r="DU85" s="2336">
        <v>11.891441093332023</v>
      </c>
    </row>
    <row r="86" spans="1:125" ht="14.25">
      <c r="A86" s="904">
        <v>84</v>
      </c>
      <c r="B86" s="92"/>
      <c r="C86" s="92"/>
      <c r="D86" s="92"/>
      <c r="E86" s="92"/>
      <c r="F86" s="92"/>
      <c r="G86" s="92"/>
      <c r="H86" s="92"/>
      <c r="I86" s="92"/>
      <c r="J86" s="92"/>
      <c r="K86" s="92"/>
      <c r="L86" s="92"/>
      <c r="M86" s="92"/>
      <c r="N86" s="92"/>
      <c r="O86" s="92"/>
      <c r="P86" s="92"/>
      <c r="Q86" s="92"/>
      <c r="R86" s="92"/>
      <c r="S86" s="92"/>
      <c r="T86" s="92"/>
      <c r="U86" s="92"/>
      <c r="V86" s="739"/>
      <c r="W86" s="2338">
        <v>5.74</v>
      </c>
      <c r="X86" s="2338">
        <v>5.77</v>
      </c>
      <c r="Y86" s="2336">
        <v>5.7871233300522702</v>
      </c>
      <c r="Z86" s="2336">
        <v>5.8394727203942516</v>
      </c>
      <c r="AA86" s="2336">
        <v>5.8528502825974522</v>
      </c>
      <c r="AB86" s="2336">
        <v>5.8723942993673832</v>
      </c>
      <c r="AC86" s="2336">
        <v>5.8478677034279283</v>
      </c>
      <c r="AD86" s="2336">
        <v>5.8410227321931236</v>
      </c>
      <c r="AE86" s="2336">
        <v>5.8609725535633608</v>
      </c>
      <c r="AF86" s="2336">
        <v>5.8901571137859783</v>
      </c>
      <c r="AG86" s="2336">
        <v>5.9393325582055168</v>
      </c>
      <c r="AH86" s="2336">
        <v>5.9505317144748897</v>
      </c>
      <c r="AI86" s="2336">
        <v>5.9998669403165774</v>
      </c>
      <c r="AJ86" s="2336">
        <v>6.0412247533226768</v>
      </c>
      <c r="AK86" s="2336">
        <v>6.0608098646708024</v>
      </c>
      <c r="AL86" s="2336">
        <v>6.0913487711669534</v>
      </c>
      <c r="AM86" s="2336">
        <v>6.1370690616479679</v>
      </c>
      <c r="AN86" s="2336">
        <v>6.1848579124416867</v>
      </c>
      <c r="AO86" s="2336">
        <v>6.2363440525593399</v>
      </c>
      <c r="AP86" s="2336">
        <v>6.287956793182305</v>
      </c>
      <c r="AQ86" s="2336">
        <v>6.3403414853862285</v>
      </c>
      <c r="AR86" s="2336">
        <v>6.3931384700324969</v>
      </c>
      <c r="AS86" s="2336">
        <v>6.4464038769570831</v>
      </c>
      <c r="AT86" s="2336">
        <v>6.5001908049280024</v>
      </c>
      <c r="AU86" s="2336">
        <v>6.5545459180382304</v>
      </c>
      <c r="AV86" s="2336">
        <v>6.6095066577326458</v>
      </c>
      <c r="AW86" s="2336">
        <v>6.6650993449298666</v>
      </c>
      <c r="AX86" s="2336">
        <v>6.7213382759012781</v>
      </c>
      <c r="AY86" s="2336">
        <v>6.7782257864698581</v>
      </c>
      <c r="AZ86" s="2336">
        <v>6.8357533074220358</v>
      </c>
      <c r="BA86" s="2336">
        <v>6.8939030705610573</v>
      </c>
      <c r="BB86" s="2336">
        <v>6.9521825509408703</v>
      </c>
      <c r="BC86" s="2336">
        <v>7.0105876183149061</v>
      </c>
      <c r="BD86" s="2336">
        <v>7.0691141078397397</v>
      </c>
      <c r="BE86" s="2336">
        <v>7.1277578212351074</v>
      </c>
      <c r="BF86" s="2336">
        <v>7.1865145279706564</v>
      </c>
      <c r="BG86" s="2336">
        <v>7.245379966476416</v>
      </c>
      <c r="BH86" s="2336">
        <v>7.3043498453777573</v>
      </c>
      <c r="BI86" s="2336">
        <v>7.3634198447528796</v>
      </c>
      <c r="BJ86" s="2336">
        <v>7.4225856174108529</v>
      </c>
      <c r="BK86" s="2336">
        <v>7.4818427901929629</v>
      </c>
      <c r="BL86" s="2336">
        <v>7.541186965291339</v>
      </c>
      <c r="BM86" s="2336">
        <v>7.6006137215872247</v>
      </c>
      <c r="BN86" s="2336">
        <v>7.6601186160074084</v>
      </c>
      <c r="BO86" s="2336">
        <v>7.7196971848961446</v>
      </c>
      <c r="BP86" s="2336">
        <v>7.7793449454027312</v>
      </c>
      <c r="BQ86" s="2336">
        <v>7.8390573968841224</v>
      </c>
      <c r="BR86" s="2336">
        <v>7.898830022319471</v>
      </c>
      <c r="BS86" s="2336">
        <v>7.9586582897373095</v>
      </c>
      <c r="BT86" s="2336">
        <v>8.018537653653345</v>
      </c>
      <c r="BU86" s="2336">
        <v>8.0784635565184768</v>
      </c>
      <c r="BV86" s="2336">
        <v>8.1384314301733074</v>
      </c>
      <c r="BW86" s="2336">
        <v>8.1984366973127258</v>
      </c>
      <c r="BX86" s="2336">
        <v>8.2584747729539902</v>
      </c>
      <c r="BY86" s="2336">
        <v>8.3185410659110453</v>
      </c>
      <c r="BZ86" s="2336">
        <v>8.3786309802721046</v>
      </c>
      <c r="CA86" s="2336">
        <v>8.4387399168795802</v>
      </c>
      <c r="CB86" s="2336">
        <v>8.4988632748118249</v>
      </c>
      <c r="CC86" s="2336">
        <v>8.558996452863564</v>
      </c>
      <c r="CD86" s="2336">
        <v>8.6191348510273009</v>
      </c>
      <c r="CE86" s="2336">
        <v>8.6792738719703593</v>
      </c>
      <c r="CF86" s="2336">
        <v>8.7394089225103819</v>
      </c>
      <c r="CG86" s="2336">
        <v>8.7995354150844385</v>
      </c>
      <c r="CH86" s="2336">
        <v>8.8596487692139654</v>
      </c>
      <c r="CI86" s="2336">
        <v>8.919744412961883</v>
      </c>
      <c r="CJ86" s="2336">
        <v>8.9798177843824778</v>
      </c>
      <c r="CK86" s="2336">
        <v>9.0398643329618054</v>
      </c>
      <c r="CL86" s="2336">
        <v>9.0998795210474075</v>
      </c>
      <c r="CM86" s="2336">
        <v>9.1598588252686692</v>
      </c>
      <c r="CN86" s="2336">
        <v>9.2197977379436722</v>
      </c>
      <c r="CO86" s="2336">
        <v>9.2796917684725457</v>
      </c>
      <c r="CP86" s="2336">
        <v>9.3395364447179556</v>
      </c>
      <c r="CQ86" s="2336">
        <v>9.3993273143691098</v>
      </c>
      <c r="CR86" s="2336">
        <v>9.4590599462913172</v>
      </c>
      <c r="CS86" s="2336">
        <v>9.5187299318572318</v>
      </c>
      <c r="CT86" s="2336">
        <v>9.5783328862598278</v>
      </c>
      <c r="CU86" s="2336">
        <v>9.6378644498091486</v>
      </c>
      <c r="CV86" s="2336">
        <v>9.6973202892070098</v>
      </c>
      <c r="CW86" s="2336">
        <v>9.7566960988023546</v>
      </c>
      <c r="CX86" s="2336">
        <v>9.8159876018261745</v>
      </c>
      <c r="CY86" s="2336">
        <v>9.8751905516031329</v>
      </c>
      <c r="CZ86" s="2336">
        <v>9.934300732741896</v>
      </c>
      <c r="DA86" s="2336">
        <v>9.9933139623026328</v>
      </c>
      <c r="DB86" s="2336">
        <v>10.052226090939039</v>
      </c>
      <c r="DC86" s="2336">
        <v>10.111033004016951</v>
      </c>
      <c r="DD86" s="2336">
        <v>10.169730622708254</v>
      </c>
      <c r="DE86" s="2336">
        <v>10.228314905059195</v>
      </c>
      <c r="DF86" s="2336">
        <v>10.286781847031202</v>
      </c>
      <c r="DG86" s="2336">
        <v>10.345127483517263</v>
      </c>
      <c r="DH86" s="2336">
        <v>10.40334788932965</v>
      </c>
      <c r="DI86" s="2336">
        <v>10.461439180161191</v>
      </c>
      <c r="DJ86" s="2336">
        <v>10.519397513518637</v>
      </c>
      <c r="DK86" s="2344">
        <v>10.577219089626871</v>
      </c>
      <c r="DL86" s="2336">
        <v>10.63490015230655</v>
      </c>
      <c r="DM86" s="2336">
        <v>10.69243698982063</v>
      </c>
      <c r="DN86" s="2336">
        <v>10.749825935694512</v>
      </c>
      <c r="DO86" s="2336">
        <v>10.807063369504597</v>
      </c>
      <c r="DP86" s="2336">
        <v>10.864145717639115</v>
      </c>
      <c r="DQ86" s="2336">
        <v>10.92106945402832</v>
      </c>
      <c r="DR86" s="2336">
        <v>10.977831100845078</v>
      </c>
      <c r="DS86" s="2336">
        <v>11.034427229177249</v>
      </c>
      <c r="DT86" s="2336">
        <v>11.090854459667129</v>
      </c>
      <c r="DU86" s="2336">
        <v>11.147109463123778</v>
      </c>
    </row>
    <row r="87" spans="1:125" ht="14.25">
      <c r="A87" s="904">
        <v>85</v>
      </c>
      <c r="B87" s="92"/>
      <c r="C87" s="92"/>
      <c r="D87" s="92"/>
      <c r="E87" s="92"/>
      <c r="F87" s="92"/>
      <c r="G87" s="92"/>
      <c r="H87" s="92"/>
      <c r="I87" s="92"/>
      <c r="J87" s="92"/>
      <c r="K87" s="92"/>
      <c r="L87" s="92"/>
      <c r="M87" s="92"/>
      <c r="N87" s="92"/>
      <c r="O87" s="92"/>
      <c r="P87" s="92"/>
      <c r="Q87" s="92"/>
      <c r="R87" s="92"/>
      <c r="S87" s="92"/>
      <c r="T87" s="92"/>
      <c r="U87" s="92"/>
      <c r="V87" s="739"/>
      <c r="W87" s="2338">
        <v>5.36</v>
      </c>
      <c r="X87" s="2338">
        <v>5.36</v>
      </c>
      <c r="Y87" s="2336">
        <v>5.3855410580410501</v>
      </c>
      <c r="Z87" s="2336">
        <v>5.4387133584124268</v>
      </c>
      <c r="AA87" s="2336">
        <v>5.4460530403831111</v>
      </c>
      <c r="AB87" s="2336">
        <v>5.4606325315984776</v>
      </c>
      <c r="AC87" s="2336">
        <v>5.4361482715392953</v>
      </c>
      <c r="AD87" s="2336">
        <v>5.4395741878629034</v>
      </c>
      <c r="AE87" s="2336">
        <v>5.4287340032656681</v>
      </c>
      <c r="AF87" s="2336">
        <v>5.4811415198063376</v>
      </c>
      <c r="AG87" s="2336">
        <v>5.5006865202237485</v>
      </c>
      <c r="AH87" s="2336">
        <v>5.5193266705155333</v>
      </c>
      <c r="AI87" s="2336">
        <v>5.5626254658096022</v>
      </c>
      <c r="AJ87" s="2336">
        <v>5.5799765100775458</v>
      </c>
      <c r="AK87" s="2336">
        <v>5.5915346374341546</v>
      </c>
      <c r="AL87" s="2336">
        <v>5.648356273200366</v>
      </c>
      <c r="AM87" s="2336">
        <v>5.690462057842617</v>
      </c>
      <c r="AN87" s="2336">
        <v>5.7383490029566318</v>
      </c>
      <c r="AO87" s="2336">
        <v>5.7863659681079591</v>
      </c>
      <c r="AP87" s="2336">
        <v>5.8345103858388141</v>
      </c>
      <c r="AQ87" s="2336">
        <v>5.8834881601463769</v>
      </c>
      <c r="AR87" s="2336">
        <v>5.9329044865321237</v>
      </c>
      <c r="AS87" s="2336">
        <v>5.9828199221112346</v>
      </c>
      <c r="AT87" s="2336">
        <v>6.0332914410027083</v>
      </c>
      <c r="AU87" s="2336">
        <v>6.0843687648415745</v>
      </c>
      <c r="AV87" s="2336">
        <v>6.1360913874629626</v>
      </c>
      <c r="AW87" s="2336">
        <v>6.1884865844664319</v>
      </c>
      <c r="AX87" s="2336">
        <v>6.2415685109230559</v>
      </c>
      <c r="AY87" s="2336">
        <v>6.295338350283231</v>
      </c>
      <c r="AZ87" s="2336">
        <v>6.3497855306428743</v>
      </c>
      <c r="BA87" s="2336">
        <v>6.4043689473800356</v>
      </c>
      <c r="BB87" s="2336">
        <v>6.4590847881301698</v>
      </c>
      <c r="BC87" s="2336">
        <v>6.5139292036939596</v>
      </c>
      <c r="BD87" s="2336">
        <v>6.5688983091228552</v>
      </c>
      <c r="BE87" s="2336">
        <v>6.6239881848286917</v>
      </c>
      <c r="BF87" s="2336">
        <v>6.6791948777197572</v>
      </c>
      <c r="BG87" s="2336">
        <v>6.7345144023601184</v>
      </c>
      <c r="BH87" s="2336">
        <v>6.7899427421531469</v>
      </c>
      <c r="BI87" s="2336">
        <v>6.8454758505472064</v>
      </c>
      <c r="BJ87" s="2336">
        <v>6.9011096522614901</v>
      </c>
      <c r="BK87" s="2336">
        <v>6.9568400445350509</v>
      </c>
      <c r="BL87" s="2336">
        <v>7.0126628983926835</v>
      </c>
      <c r="BM87" s="2336">
        <v>7.0685740599302704</v>
      </c>
      <c r="BN87" s="2336">
        <v>7.1245693516181383</v>
      </c>
      <c r="BO87" s="2336">
        <v>7.1806445736196709</v>
      </c>
      <c r="BP87" s="2336">
        <v>7.2367955051254542</v>
      </c>
      <c r="BQ87" s="2336">
        <v>7.2930179057024436</v>
      </c>
      <c r="BR87" s="2336">
        <v>7.349307516654914</v>
      </c>
      <c r="BS87" s="2336">
        <v>7.405660062398109</v>
      </c>
      <c r="BT87" s="2336">
        <v>7.4620712518425156</v>
      </c>
      <c r="BU87" s="2336">
        <v>7.5185367797884908</v>
      </c>
      <c r="BV87" s="2336">
        <v>7.5750523283274047</v>
      </c>
      <c r="BW87" s="2336">
        <v>7.6316135682531838</v>
      </c>
      <c r="BX87" s="2336">
        <v>7.6882161604774639</v>
      </c>
      <c r="BY87" s="2336">
        <v>7.7448557574512904</v>
      </c>
      <c r="BZ87" s="2336">
        <v>7.8015280045904341</v>
      </c>
      <c r="CA87" s="2336">
        <v>7.8582285417033946</v>
      </c>
      <c r="CB87" s="2336">
        <v>7.9149530044216672</v>
      </c>
      <c r="CC87" s="2336">
        <v>7.9716970256291395</v>
      </c>
      <c r="CD87" s="2336">
        <v>8.028456236893053</v>
      </c>
      <c r="CE87" s="2336">
        <v>8.0852262698910859</v>
      </c>
      <c r="CF87" s="2336">
        <v>8.1420027578376448</v>
      </c>
      <c r="CG87" s="2336">
        <v>8.1987813369042897</v>
      </c>
      <c r="CH87" s="2336">
        <v>8.2555576476368575</v>
      </c>
      <c r="CI87" s="2336">
        <v>8.3123273363654402</v>
      </c>
      <c r="CJ87" s="2336">
        <v>8.3690860566080119</v>
      </c>
      <c r="CK87" s="2336">
        <v>8.4258294704654144</v>
      </c>
      <c r="CL87" s="2336">
        <v>8.4825532500065446</v>
      </c>
      <c r="CM87" s="2336">
        <v>8.5392530786452223</v>
      </c>
      <c r="CN87" s="2336">
        <v>8.5959246525045021</v>
      </c>
      <c r="CO87" s="2336">
        <v>8.6525636817685125</v>
      </c>
      <c r="CP87" s="2336">
        <v>8.709165892022579</v>
      </c>
      <c r="CQ87" s="2336">
        <v>8.765727025577938</v>
      </c>
      <c r="CR87" s="2336">
        <v>8.8222428427832167</v>
      </c>
      <c r="CS87" s="2336">
        <v>8.8787091233187923</v>
      </c>
      <c r="CT87" s="2336">
        <v>8.9351216674740375</v>
      </c>
      <c r="CU87" s="2336">
        <v>8.9914762974097897</v>
      </c>
      <c r="CV87" s="2336">
        <v>9.0477688583999143</v>
      </c>
      <c r="CW87" s="2336">
        <v>9.1039952200549301</v>
      </c>
      <c r="CX87" s="2336">
        <v>9.1601512775265945</v>
      </c>
      <c r="CY87" s="2336">
        <v>9.2162329526904898</v>
      </c>
      <c r="CZ87" s="2336">
        <v>9.2722361953088352</v>
      </c>
      <c r="DA87" s="2336">
        <v>9.3281569841718692</v>
      </c>
      <c r="DB87" s="2336">
        <v>9.3839913282152079</v>
      </c>
      <c r="DC87" s="2336">
        <v>9.4397352676152799</v>
      </c>
      <c r="DD87" s="2336">
        <v>9.4953848748615766</v>
      </c>
      <c r="DE87" s="2336">
        <v>9.5509362558048263</v>
      </c>
      <c r="DF87" s="2336">
        <v>9.6063855506791604</v>
      </c>
      <c r="DG87" s="2336">
        <v>9.6617289351014417</v>
      </c>
      <c r="DH87" s="2336">
        <v>9.7169626210434537</v>
      </c>
      <c r="DI87" s="2336">
        <v>9.7720828577792105</v>
      </c>
      <c r="DJ87" s="2336">
        <v>9.8270859328059412</v>
      </c>
      <c r="DK87" s="2344">
        <v>9.8819681727374604</v>
      </c>
      <c r="DL87" s="2336">
        <v>9.9367259441725864</v>
      </c>
      <c r="DM87" s="2336">
        <v>9.9913556545339866</v>
      </c>
      <c r="DN87" s="2336">
        <v>10.04585375288223</v>
      </c>
      <c r="DO87" s="2336">
        <v>10.100216730699843</v>
      </c>
      <c r="DP87" s="2336">
        <v>10.154441122649176</v>
      </c>
      <c r="DQ87" s="2336">
        <v>10.208523507301205</v>
      </c>
      <c r="DR87" s="2336">
        <v>10.262460507836307</v>
      </c>
      <c r="DS87" s="2336">
        <v>10.31624879271836</v>
      </c>
      <c r="DT87" s="2336">
        <v>10.36988507633742</v>
      </c>
      <c r="DU87" s="2336">
        <v>10.42336611962682</v>
      </c>
    </row>
    <row r="88" spans="1:125" ht="14.25">
      <c r="A88" s="904">
        <v>86</v>
      </c>
      <c r="B88" s="92"/>
      <c r="C88" s="92"/>
      <c r="D88" s="92"/>
      <c r="E88" s="92"/>
      <c r="F88" s="92"/>
      <c r="G88" s="92"/>
      <c r="H88" s="92"/>
      <c r="I88" s="92"/>
      <c r="J88" s="92"/>
      <c r="K88" s="92"/>
      <c r="L88" s="92"/>
      <c r="M88" s="92"/>
      <c r="N88" s="92"/>
      <c r="O88" s="92"/>
      <c r="P88" s="92"/>
      <c r="Q88" s="92"/>
      <c r="R88" s="92"/>
      <c r="S88" s="92"/>
      <c r="T88" s="92"/>
      <c r="U88" s="92"/>
      <c r="V88" s="739"/>
      <c r="W88" s="2338">
        <v>4.9800000000000004</v>
      </c>
      <c r="X88" s="2338">
        <v>4.9800000000000004</v>
      </c>
      <c r="Y88" s="2336">
        <v>5.0163025618384891</v>
      </c>
      <c r="Z88" s="2336">
        <v>5.0390146343890168</v>
      </c>
      <c r="AA88" s="2336">
        <v>5.0581178147936638</v>
      </c>
      <c r="AB88" s="2336">
        <v>5.0668084008302019</v>
      </c>
      <c r="AC88" s="2336">
        <v>5.0593219340307352</v>
      </c>
      <c r="AD88" s="2336">
        <v>5.0338269907962641</v>
      </c>
      <c r="AE88" s="2336">
        <v>5.0414324768358281</v>
      </c>
      <c r="AF88" s="2336">
        <v>5.0690373428412805</v>
      </c>
      <c r="AG88" s="2336">
        <v>5.1013614545228076</v>
      </c>
      <c r="AH88" s="2336">
        <v>5.1113907721912435</v>
      </c>
      <c r="AI88" s="2336">
        <v>5.1245337334267367</v>
      </c>
      <c r="AJ88" s="2336">
        <v>5.1333436315870591</v>
      </c>
      <c r="AK88" s="2336">
        <v>5.1829948050027062</v>
      </c>
      <c r="AL88" s="2336">
        <v>5.2260833997600855</v>
      </c>
      <c r="AM88" s="2336">
        <v>5.2704716597738495</v>
      </c>
      <c r="AN88" s="2336">
        <v>5.314990758213292</v>
      </c>
      <c r="AO88" s="2336">
        <v>5.3596384062412747</v>
      </c>
      <c r="AP88" s="2336">
        <v>5.4044122901424529</v>
      </c>
      <c r="AQ88" s="2336">
        <v>5.4500931352286202</v>
      </c>
      <c r="AR88" s="2336">
        <v>5.4962424103860466</v>
      </c>
      <c r="AS88" s="2336">
        <v>5.5429259787212022</v>
      </c>
      <c r="AT88" s="2336">
        <v>5.5902054254857427</v>
      </c>
      <c r="AU88" s="2336">
        <v>5.6381340649716734</v>
      </c>
      <c r="AV88" s="2336">
        <v>5.686753739768565</v>
      </c>
      <c r="AW88" s="2336">
        <v>5.7360927223650426</v>
      </c>
      <c r="AX88" s="2336">
        <v>5.7861648210936636</v>
      </c>
      <c r="AY88" s="2336">
        <v>5.8369696386468517</v>
      </c>
      <c r="AZ88" s="2336">
        <v>5.8879141465245164</v>
      </c>
      <c r="BA88" s="2336">
        <v>5.9389948448269614</v>
      </c>
      <c r="BB88" s="2336">
        <v>5.9902081956139126</v>
      </c>
      <c r="BC88" s="2336">
        <v>6.0415506239089369</v>
      </c>
      <c r="BD88" s="2336">
        <v>6.0930185187313706</v>
      </c>
      <c r="BE88" s="2336">
        <v>6.1446082341512316</v>
      </c>
      <c r="BF88" s="2336">
        <v>6.1963160903697583</v>
      </c>
      <c r="BG88" s="2336">
        <v>6.2481383748222434</v>
      </c>
      <c r="BH88" s="2336">
        <v>6.3000713433042623</v>
      </c>
      <c r="BI88" s="2336">
        <v>6.3521112211192214</v>
      </c>
      <c r="BJ88" s="2336">
        <v>6.4042542042451513</v>
      </c>
      <c r="BK88" s="2336">
        <v>6.4564964605241597</v>
      </c>
      <c r="BL88" s="2336">
        <v>6.508834130867811</v>
      </c>
      <c r="BM88" s="2336">
        <v>6.5612633304813857</v>
      </c>
      <c r="BN88" s="2336">
        <v>6.6137801501055629</v>
      </c>
      <c r="BO88" s="2336">
        <v>6.6663806572727324</v>
      </c>
      <c r="BP88" s="2336">
        <v>6.7190608975782968</v>
      </c>
      <c r="BQ88" s="2336">
        <v>6.7718168959666274</v>
      </c>
      <c r="BR88" s="2336">
        <v>6.8246446580282676</v>
      </c>
      <c r="BS88" s="2336">
        <v>6.8775401713095468</v>
      </c>
      <c r="BT88" s="2336">
        <v>6.9304994066325056</v>
      </c>
      <c r="BU88" s="2336">
        <v>6.9835183194249613</v>
      </c>
      <c r="BV88" s="2336">
        <v>7.0365928510567892</v>
      </c>
      <c r="BW88" s="2336">
        <v>7.089718930186673</v>
      </c>
      <c r="BX88" s="2336">
        <v>7.1428924741122319</v>
      </c>
      <c r="BY88" s="2336">
        <v>7.1961093901267965</v>
      </c>
      <c r="BZ88" s="2336">
        <v>7.2493655768798426</v>
      </c>
      <c r="CA88" s="2336">
        <v>7.3026569257402203</v>
      </c>
      <c r="CB88" s="2336">
        <v>7.3559793221619039</v>
      </c>
      <c r="CC88" s="2336">
        <v>7.4093286470490112</v>
      </c>
      <c r="CD88" s="2336">
        <v>7.4627007781228585</v>
      </c>
      <c r="CE88" s="2336">
        <v>7.5160915912853818</v>
      </c>
      <c r="CF88" s="2336">
        <v>7.5694969619823231</v>
      </c>
      <c r="CG88" s="2336">
        <v>7.6229127665609697</v>
      </c>
      <c r="CH88" s="2336">
        <v>7.6763348836252208</v>
      </c>
      <c r="CI88" s="2336">
        <v>7.7297591953841183</v>
      </c>
      <c r="CJ88" s="2336">
        <v>7.7831815889947356</v>
      </c>
      <c r="CK88" s="2336">
        <v>7.8365979578971503</v>
      </c>
      <c r="CL88" s="2336">
        <v>7.8900042031404025</v>
      </c>
      <c r="CM88" s="2336">
        <v>7.9433962347010985</v>
      </c>
      <c r="CN88" s="2336">
        <v>7.9967699727902941</v>
      </c>
      <c r="CO88" s="2336">
        <v>8.0501213491488794</v>
      </c>
      <c r="CP88" s="2336">
        <v>8.1034463083323338</v>
      </c>
      <c r="CQ88" s="2336">
        <v>8.1567408089810769</v>
      </c>
      <c r="CR88" s="2336">
        <v>8.210000825078815</v>
      </c>
      <c r="CS88" s="2336">
        <v>8.2632223471948549</v>
      </c>
      <c r="CT88" s="2336">
        <v>8.316401383710522</v>
      </c>
      <c r="CU88" s="2336">
        <v>8.3695339620321807</v>
      </c>
      <c r="CV88" s="2336">
        <v>8.4226161297845437</v>
      </c>
      <c r="CW88" s="2336">
        <v>8.4756439559874384</v>
      </c>
      <c r="CX88" s="2336">
        <v>8.5286135322149548</v>
      </c>
      <c r="CY88" s="2336">
        <v>8.5815209737339586</v>
      </c>
      <c r="CZ88" s="2336">
        <v>8.6343624206243383</v>
      </c>
      <c r="DA88" s="2336">
        <v>8.6871340388793392</v>
      </c>
      <c r="DB88" s="2336">
        <v>8.7398320214833216</v>
      </c>
      <c r="DC88" s="2336">
        <v>8.7924525894692103</v>
      </c>
      <c r="DD88" s="2336">
        <v>8.8449919929543395</v>
      </c>
      <c r="DE88" s="2336">
        <v>8.8974465121538167</v>
      </c>
      <c r="DF88" s="2336">
        <v>8.9498124583694789</v>
      </c>
      <c r="DG88" s="2336">
        <v>9.0020861749577126</v>
      </c>
      <c r="DH88" s="2336">
        <v>9.054264038271759</v>
      </c>
      <c r="DI88" s="2336">
        <v>9.1063424585808352</v>
      </c>
      <c r="DJ88" s="2336">
        <v>9.158317880964649</v>
      </c>
      <c r="DK88" s="2344">
        <v>9.21018678618195</v>
      </c>
      <c r="DL88" s="2336">
        <v>9.2619456915159137</v>
      </c>
      <c r="DM88" s="2336">
        <v>9.3135911515916039</v>
      </c>
      <c r="DN88" s="2336">
        <v>9.3651197591704722</v>
      </c>
      <c r="DO88" s="2336">
        <v>9.4165281459164767</v>
      </c>
      <c r="DP88" s="2336">
        <v>9.4678129831378435</v>
      </c>
      <c r="DQ88" s="2336">
        <v>9.5189709825014379</v>
      </c>
      <c r="DR88" s="2336">
        <v>9.5699988967208629</v>
      </c>
      <c r="DS88" s="2336">
        <v>9.6208935202196475</v>
      </c>
      <c r="DT88" s="2336">
        <v>9.6716516897646283</v>
      </c>
      <c r="DU88" s="2336">
        <v>9.7222702850755933</v>
      </c>
    </row>
    <row r="89" spans="1:125" ht="14.25">
      <c r="A89" s="904">
        <v>87</v>
      </c>
      <c r="B89" s="92"/>
      <c r="C89" s="92"/>
      <c r="D89" s="92"/>
      <c r="E89" s="92"/>
      <c r="F89" s="92"/>
      <c r="G89" s="92"/>
      <c r="H89" s="92"/>
      <c r="I89" s="92"/>
      <c r="J89" s="92"/>
      <c r="K89" s="92"/>
      <c r="L89" s="92"/>
      <c r="M89" s="92"/>
      <c r="N89" s="92"/>
      <c r="O89" s="92"/>
      <c r="P89" s="92"/>
      <c r="Q89" s="92"/>
      <c r="R89" s="92"/>
      <c r="S89" s="92"/>
      <c r="T89" s="92"/>
      <c r="U89" s="92"/>
      <c r="V89" s="739"/>
      <c r="W89" s="2338">
        <v>4.6399999999999997</v>
      </c>
      <c r="X89" s="2338">
        <v>4.62</v>
      </c>
      <c r="Y89" s="2336">
        <v>4.643097224944337</v>
      </c>
      <c r="Z89" s="2336">
        <v>4.6792716462105703</v>
      </c>
      <c r="AA89" s="2336">
        <v>4.7060991439562549</v>
      </c>
      <c r="AB89" s="2336">
        <v>4.7162444704607847</v>
      </c>
      <c r="AC89" s="2336">
        <v>4.6683586083548727</v>
      </c>
      <c r="AD89" s="2336">
        <v>4.6744949180695592</v>
      </c>
      <c r="AE89" s="2336">
        <v>4.6509954956052812</v>
      </c>
      <c r="AF89" s="2336">
        <v>4.6944789944389305</v>
      </c>
      <c r="AG89" s="2336">
        <v>4.7066224463903454</v>
      </c>
      <c r="AH89" s="2336">
        <v>4.7122702743994731</v>
      </c>
      <c r="AI89" s="2336">
        <v>4.7060984285666621</v>
      </c>
      <c r="AJ89" s="2336">
        <v>4.7436834681986859</v>
      </c>
      <c r="AK89" s="2336">
        <v>4.7927940128589617</v>
      </c>
      <c r="AL89" s="2336">
        <v>4.8337968095603303</v>
      </c>
      <c r="AM89" s="2336">
        <v>4.8749288322335245</v>
      </c>
      <c r="AN89" s="2336">
        <v>4.9161880511781684</v>
      </c>
      <c r="AO89" s="2336">
        <v>4.9575724115293873</v>
      </c>
      <c r="AP89" s="2336">
        <v>4.9990798336203621</v>
      </c>
      <c r="AQ89" s="2336">
        <v>5.0415848459065344</v>
      </c>
      <c r="AR89" s="2336">
        <v>5.0845937192167785</v>
      </c>
      <c r="AS89" s="2336">
        <v>5.1281787624715207</v>
      </c>
      <c r="AT89" s="2336">
        <v>5.172407117081975</v>
      </c>
      <c r="AU89" s="2336">
        <v>5.2173363652462026</v>
      </c>
      <c r="AV89" s="2336">
        <v>5.2630110552742062</v>
      </c>
      <c r="AW89" s="2336">
        <v>5.3094604769408322</v>
      </c>
      <c r="AX89" s="2336">
        <v>5.3566977861940419</v>
      </c>
      <c r="AY89" s="2336">
        <v>5.4040752458071823</v>
      </c>
      <c r="AZ89" s="2336">
        <v>5.4515896572494871</v>
      </c>
      <c r="BA89" s="2336">
        <v>5.4992377837555129</v>
      </c>
      <c r="BB89" s="2336">
        <v>5.5470163512500195</v>
      </c>
      <c r="BC89" s="2336">
        <v>5.5949220492980842</v>
      </c>
      <c r="BD89" s="2336">
        <v>5.6429515320814279</v>
      </c>
      <c r="BE89" s="2336">
        <v>5.6911014193959923</v>
      </c>
      <c r="BF89" s="2336">
        <v>5.7393682976738916</v>
      </c>
      <c r="BG89" s="2336">
        <v>5.7877487210261309</v>
      </c>
      <c r="BH89" s="2336">
        <v>5.8362392123074462</v>
      </c>
      <c r="BI89" s="2336">
        <v>5.8848362642011391</v>
      </c>
      <c r="BJ89" s="2336">
        <v>5.933536340321746</v>
      </c>
      <c r="BK89" s="2336">
        <v>5.982335876339425</v>
      </c>
      <c r="BL89" s="2336">
        <v>6.0312312811188651</v>
      </c>
      <c r="BM89" s="2336">
        <v>6.0802189378760376</v>
      </c>
      <c r="BN89" s="2336">
        <v>6.1292952053514327</v>
      </c>
      <c r="BO89" s="2336">
        <v>6.1784564189967863</v>
      </c>
      <c r="BP89" s="2336">
        <v>6.2276988921759378</v>
      </c>
      <c r="BQ89" s="2336">
        <v>6.2770189173795492</v>
      </c>
      <c r="BR89" s="2336">
        <v>6.3264127674501731</v>
      </c>
      <c r="BS89" s="2336">
        <v>6.3758766968190681</v>
      </c>
      <c r="BT89" s="2336">
        <v>6.425406942752673</v>
      </c>
      <c r="BU89" s="2336">
        <v>6.4749997266086856</v>
      </c>
      <c r="BV89" s="2336">
        <v>6.5246512550976714</v>
      </c>
      <c r="BW89" s="2336">
        <v>6.5743577215549891</v>
      </c>
      <c r="BX89" s="2336">
        <v>6.624115307215475</v>
      </c>
      <c r="BY89" s="2336">
        <v>6.6739201824946273</v>
      </c>
      <c r="BZ89" s="2336">
        <v>6.7237685082732099</v>
      </c>
      <c r="CA89" s="2336">
        <v>6.7736564371844912</v>
      </c>
      <c r="CB89" s="2336">
        <v>6.8235801149040087</v>
      </c>
      <c r="CC89" s="2336">
        <v>6.8735356814384803</v>
      </c>
      <c r="CD89" s="2336">
        <v>6.9235192724170309</v>
      </c>
      <c r="CE89" s="2336">
        <v>6.973527020378774</v>
      </c>
      <c r="CF89" s="2336">
        <v>7.0235550560605313</v>
      </c>
      <c r="CG89" s="2336">
        <v>7.0735995096793101</v>
      </c>
      <c r="CH89" s="2336">
        <v>7.1236565122125821</v>
      </c>
      <c r="CI89" s="2336">
        <v>7.1737221966724212</v>
      </c>
      <c r="CJ89" s="2336">
        <v>7.2237926993745756</v>
      </c>
      <c r="CK89" s="2336">
        <v>7.2738641612002093</v>
      </c>
      <c r="CL89" s="2336">
        <v>7.3239327288492273</v>
      </c>
      <c r="CM89" s="2336">
        <v>7.3739945560871298</v>
      </c>
      <c r="CN89" s="2336">
        <v>7.4240458049808442</v>
      </c>
      <c r="CO89" s="2336">
        <v>7.4740826471239137</v>
      </c>
      <c r="CP89" s="2336">
        <v>7.5241012648520709</v>
      </c>
      <c r="CQ89" s="2336">
        <v>7.5740978524453038</v>
      </c>
      <c r="CR89" s="2336">
        <v>7.6240686173190939</v>
      </c>
      <c r="CS89" s="2336">
        <v>7.6740097812006169</v>
      </c>
      <c r="CT89" s="2336">
        <v>7.7239175812902214</v>
      </c>
      <c r="CU89" s="2336">
        <v>7.7737882714108668</v>
      </c>
      <c r="CV89" s="2336">
        <v>7.8236181231389672</v>
      </c>
      <c r="CW89" s="2336">
        <v>7.8734034269200937</v>
      </c>
      <c r="CX89" s="2336">
        <v>7.9231404931684501</v>
      </c>
      <c r="CY89" s="2336">
        <v>7.9728256533470674</v>
      </c>
      <c r="CZ89" s="2336">
        <v>8.0224552610312472</v>
      </c>
      <c r="DA89" s="2336">
        <v>8.0720256929536376</v>
      </c>
      <c r="DB89" s="2336">
        <v>8.1215333500281677</v>
      </c>
      <c r="DC89" s="2336">
        <v>8.1709746583553304</v>
      </c>
      <c r="DD89" s="2336">
        <v>8.2203460702074924</v>
      </c>
      <c r="DE89" s="2336">
        <v>8.2696440649933649</v>
      </c>
      <c r="DF89" s="2336">
        <v>8.3188651501996755</v>
      </c>
      <c r="DG89" s="2336">
        <v>8.368005862313538</v>
      </c>
      <c r="DH89" s="2336">
        <v>8.4170627677209335</v>
      </c>
      <c r="DI89" s="2336">
        <v>8.4660324635838347</v>
      </c>
      <c r="DJ89" s="2336">
        <v>8.5149115786945018</v>
      </c>
      <c r="DK89" s="2344">
        <v>8.5636967743055443</v>
      </c>
      <c r="DL89" s="2336">
        <v>8.6123847449387423</v>
      </c>
      <c r="DM89" s="2336">
        <v>8.6609722191676628</v>
      </c>
      <c r="DN89" s="2336">
        <v>8.7094559603792661</v>
      </c>
      <c r="DO89" s="2336">
        <v>8.7578327675088889</v>
      </c>
      <c r="DP89" s="2336">
        <v>8.806099475752811</v>
      </c>
      <c r="DQ89" s="2336">
        <v>8.8542529572552215</v>
      </c>
      <c r="DR89" s="2336">
        <v>8.9022901217708341</v>
      </c>
      <c r="DS89" s="2336">
        <v>8.9502079173044873</v>
      </c>
      <c r="DT89" s="2336">
        <v>8.9980033307227103</v>
      </c>
      <c r="DU89" s="2336">
        <v>9.0456733883435305</v>
      </c>
    </row>
    <row r="90" spans="1:125" ht="14.25">
      <c r="A90" s="904">
        <v>88</v>
      </c>
      <c r="B90" s="92"/>
      <c r="C90" s="92"/>
      <c r="D90" s="92"/>
      <c r="E90" s="92"/>
      <c r="F90" s="92"/>
      <c r="G90" s="92"/>
      <c r="H90" s="92"/>
      <c r="I90" s="92"/>
      <c r="J90" s="92"/>
      <c r="K90" s="92"/>
      <c r="L90" s="92"/>
      <c r="M90" s="92"/>
      <c r="N90" s="92"/>
      <c r="O90" s="92"/>
      <c r="P90" s="92"/>
      <c r="Q90" s="92"/>
      <c r="R90" s="92"/>
      <c r="S90" s="92"/>
      <c r="T90" s="92"/>
      <c r="U90" s="92"/>
      <c r="V90" s="739"/>
      <c r="W90" s="2338">
        <v>4.3099999999999996</v>
      </c>
      <c r="X90" s="2338">
        <v>4.2699999999999996</v>
      </c>
      <c r="Y90" s="2336">
        <v>4.3100444418483796</v>
      </c>
      <c r="Z90" s="2336">
        <v>4.3393232677254066</v>
      </c>
      <c r="AA90" s="2336">
        <v>4.3855173302557278</v>
      </c>
      <c r="AB90" s="2336">
        <v>4.3491642708625875</v>
      </c>
      <c r="AC90" s="2336">
        <v>4.3282716522990556</v>
      </c>
      <c r="AD90" s="2336">
        <v>4.3016658769101577</v>
      </c>
      <c r="AE90" s="2336">
        <v>4.3024600508699375</v>
      </c>
      <c r="AF90" s="2336">
        <v>4.3210037165624602</v>
      </c>
      <c r="AG90" s="2336">
        <v>4.3167394173109459</v>
      </c>
      <c r="AH90" s="2336">
        <v>4.3184499627091224</v>
      </c>
      <c r="AI90" s="2336">
        <v>4.3535987277989339</v>
      </c>
      <c r="AJ90" s="2336">
        <v>4.3910735456927945</v>
      </c>
      <c r="AK90" s="2336">
        <v>4.4288180251352225</v>
      </c>
      <c r="AL90" s="2336">
        <v>4.4666878961968335</v>
      </c>
      <c r="AM90" s="2336">
        <v>4.5046813647349913</v>
      </c>
      <c r="AN90" s="2336">
        <v>4.542796611820954</v>
      </c>
      <c r="AO90" s="2336">
        <v>4.5810317940570178</v>
      </c>
      <c r="AP90" s="2336">
        <v>4.6193850439044848</v>
      </c>
      <c r="AQ90" s="2336">
        <v>4.6588502492941348</v>
      </c>
      <c r="AR90" s="2336">
        <v>4.6988629550474208</v>
      </c>
      <c r="AS90" s="2336">
        <v>4.7395034072612114</v>
      </c>
      <c r="AT90" s="2336">
        <v>4.7808455260098546</v>
      </c>
      <c r="AU90" s="2336">
        <v>4.8229520168362141</v>
      </c>
      <c r="AV90" s="2336">
        <v>4.8658705600617207</v>
      </c>
      <c r="AW90" s="2336">
        <v>4.9096314385465956</v>
      </c>
      <c r="AX90" s="2336">
        <v>4.9535300513464886</v>
      </c>
      <c r="AY90" s="2336">
        <v>4.9975634848796346</v>
      </c>
      <c r="AZ90" s="2336">
        <v>5.0417287881047192</v>
      </c>
      <c r="BA90" s="2336">
        <v>5.0860229733723283</v>
      </c>
      <c r="BB90" s="2336">
        <v>5.1304430172971323</v>
      </c>
      <c r="BC90" s="2336">
        <v>5.1749858616532984</v>
      </c>
      <c r="BD90" s="2336">
        <v>5.219648414294304</v>
      </c>
      <c r="BE90" s="2336">
        <v>5.2644275500917947</v>
      </c>
      <c r="BF90" s="2336">
        <v>5.3093201118970637</v>
      </c>
      <c r="BG90" s="2336">
        <v>5.3543229115212938</v>
      </c>
      <c r="BH90" s="2336">
        <v>5.399432730736228</v>
      </c>
      <c r="BI90" s="2336">
        <v>5.4446463222930275</v>
      </c>
      <c r="BJ90" s="2336">
        <v>5.4899604109570985</v>
      </c>
      <c r="BK90" s="2336">
        <v>5.5353716945633336</v>
      </c>
      <c r="BL90" s="2336">
        <v>5.5808768450839841</v>
      </c>
      <c r="BM90" s="2336">
        <v>5.6264725097129782</v>
      </c>
      <c r="BN90" s="2336">
        <v>5.6721553119653567</v>
      </c>
      <c r="BO90" s="2336">
        <v>5.7179218527887095</v>
      </c>
      <c r="BP90" s="2336">
        <v>5.7637687116874723</v>
      </c>
      <c r="BQ90" s="2336">
        <v>5.8096924478599696</v>
      </c>
      <c r="BR90" s="2336">
        <v>5.8556896013445083</v>
      </c>
      <c r="BS90" s="2336">
        <v>5.9017566941762514</v>
      </c>
      <c r="BT90" s="2336">
        <v>5.9478902315527327</v>
      </c>
      <c r="BU90" s="2336">
        <v>5.994086703008155</v>
      </c>
      <c r="BV90" s="2336">
        <v>6.0403425835921816</v>
      </c>
      <c r="BW90" s="2336">
        <v>6.0866543350586042</v>
      </c>
      <c r="BX90" s="2336">
        <v>6.1330184070558742</v>
      </c>
      <c r="BY90" s="2336">
        <v>6.1794312383236791</v>
      </c>
      <c r="BZ90" s="2336">
        <v>6.2258892578924367</v>
      </c>
      <c r="CA90" s="2336">
        <v>6.2723888862850119</v>
      </c>
      <c r="CB90" s="2336">
        <v>6.3189265367206895</v>
      </c>
      <c r="CC90" s="2336">
        <v>6.3654986163179501</v>
      </c>
      <c r="CD90" s="2336">
        <v>6.4121015272995932</v>
      </c>
      <c r="CE90" s="2336">
        <v>6.4587316681939804</v>
      </c>
      <c r="CF90" s="2336">
        <v>6.5053854350366036</v>
      </c>
      <c r="CG90" s="2336">
        <v>6.5520592225663545</v>
      </c>
      <c r="CH90" s="2336">
        <v>6.5987494254199373</v>
      </c>
      <c r="CI90" s="2336">
        <v>6.6454524393203052</v>
      </c>
      <c r="CJ90" s="2336">
        <v>6.6921646622604749</v>
      </c>
      <c r="CK90" s="2336">
        <v>6.7388824956803681</v>
      </c>
      <c r="CL90" s="2336">
        <v>6.7856023456357395</v>
      </c>
      <c r="CM90" s="2336">
        <v>6.8323206239613334</v>
      </c>
      <c r="CN90" s="2336">
        <v>6.8790337494236091</v>
      </c>
      <c r="CO90" s="2336">
        <v>6.9257381488634984</v>
      </c>
      <c r="CP90" s="2336">
        <v>6.9724302583304949</v>
      </c>
      <c r="CQ90" s="2336">
        <v>7.0191065242040001</v>
      </c>
      <c r="CR90" s="2336">
        <v>7.0657634043049011</v>
      </c>
      <c r="CS90" s="2336">
        <v>7.1123973689930535</v>
      </c>
      <c r="CT90" s="2336">
        <v>7.1590049022510804</v>
      </c>
      <c r="CU90" s="2336">
        <v>7.2055825027574549</v>
      </c>
      <c r="CV90" s="2336">
        <v>7.2521266849420174</v>
      </c>
      <c r="CW90" s="2336">
        <v>7.2986339800276987</v>
      </c>
      <c r="CX90" s="2336">
        <v>7.3451009370573681</v>
      </c>
      <c r="CY90" s="2336">
        <v>7.3915241239026823</v>
      </c>
      <c r="CZ90" s="2336">
        <v>7.437900128257712</v>
      </c>
      <c r="DA90" s="2336">
        <v>7.4842255586156803</v>
      </c>
      <c r="DB90" s="2336">
        <v>7.5304970452260047</v>
      </c>
      <c r="DC90" s="2336">
        <v>7.5767112410343129</v>
      </c>
      <c r="DD90" s="2336">
        <v>7.6228648226041358</v>
      </c>
      <c r="DE90" s="2336">
        <v>7.6689544910193979</v>
      </c>
      <c r="DF90" s="2336">
        <v>7.714976972765748</v>
      </c>
      <c r="DG90" s="2336">
        <v>7.7609290205944124</v>
      </c>
      <c r="DH90" s="2336">
        <v>7.8068074143638553</v>
      </c>
      <c r="DI90" s="2336">
        <v>7.8526089618619235</v>
      </c>
      <c r="DJ90" s="2336">
        <v>7.8983304996069741</v>
      </c>
      <c r="DK90" s="2344">
        <v>7.9439688936265753</v>
      </c>
      <c r="DL90" s="2336">
        <v>7.9895210402169425</v>
      </c>
      <c r="DM90" s="2336">
        <v>8.0349838666779263</v>
      </c>
      <c r="DN90" s="2336">
        <v>8.0803543320290512</v>
      </c>
      <c r="DO90" s="2336">
        <v>8.1256294277007566</v>
      </c>
      <c r="DP90" s="2336">
        <v>8.1708061782052059</v>
      </c>
      <c r="DQ90" s="2336">
        <v>8.2158816417834561</v>
      </c>
      <c r="DR90" s="2336">
        <v>8.2608529110302005</v>
      </c>
      <c r="DS90" s="2336">
        <v>8.3057171134975718</v>
      </c>
      <c r="DT90" s="2336">
        <v>8.3504714122727357</v>
      </c>
      <c r="DU90" s="2336">
        <v>8.3951130065358388</v>
      </c>
    </row>
    <row r="91" spans="1:125" ht="14.25">
      <c r="A91" s="904">
        <v>89</v>
      </c>
      <c r="B91" s="92"/>
      <c r="C91" s="92"/>
      <c r="D91" s="92"/>
      <c r="E91" s="92"/>
      <c r="F91" s="92"/>
      <c r="G91" s="92"/>
      <c r="H91" s="92"/>
      <c r="I91" s="92"/>
      <c r="J91" s="92"/>
      <c r="K91" s="92"/>
      <c r="L91" s="92"/>
      <c r="M91" s="92"/>
      <c r="N91" s="92"/>
      <c r="O91" s="92"/>
      <c r="P91" s="92"/>
      <c r="Q91" s="92"/>
      <c r="R91" s="92"/>
      <c r="S91" s="92"/>
      <c r="T91" s="92"/>
      <c r="U91" s="92"/>
      <c r="V91" s="739"/>
      <c r="W91" s="2338">
        <v>3.96</v>
      </c>
      <c r="X91" s="2338">
        <v>3.95</v>
      </c>
      <c r="Y91" s="2336">
        <v>3.9886233918560308</v>
      </c>
      <c r="Z91" s="2336">
        <v>4.0428823924056383</v>
      </c>
      <c r="AA91" s="2336">
        <v>4.0435322289500837</v>
      </c>
      <c r="AB91" s="2336">
        <v>4.0344762566331536</v>
      </c>
      <c r="AC91" s="2336">
        <v>3.9827408310267507</v>
      </c>
      <c r="AD91" s="2336">
        <v>3.9787582791058211</v>
      </c>
      <c r="AE91" s="2336">
        <v>3.9690754283801035</v>
      </c>
      <c r="AF91" s="2336">
        <v>3.9690688540895507</v>
      </c>
      <c r="AG91" s="2336">
        <v>3.9547948818100163</v>
      </c>
      <c r="AH91" s="2336">
        <v>3.9809038073633554</v>
      </c>
      <c r="AI91" s="2336">
        <v>4.0208621223811614</v>
      </c>
      <c r="AJ91" s="2336">
        <v>4.0554892615147784</v>
      </c>
      <c r="AK91" s="2336">
        <v>4.0902359706780675</v>
      </c>
      <c r="AL91" s="2336">
        <v>4.1251006644481514</v>
      </c>
      <c r="AM91" s="2336">
        <v>4.1600817335780684</v>
      </c>
      <c r="AN91" s="2336">
        <v>4.1951775452740918</v>
      </c>
      <c r="AO91" s="2336">
        <v>4.2303864434864193</v>
      </c>
      <c r="AP91" s="2336">
        <v>4.265706749209623</v>
      </c>
      <c r="AQ91" s="2336">
        <v>4.3022866020154478</v>
      </c>
      <c r="AR91" s="2336">
        <v>4.339469494960202</v>
      </c>
      <c r="AS91" s="2336">
        <v>4.3773455831840842</v>
      </c>
      <c r="AT91" s="2336">
        <v>4.4159971608428625</v>
      </c>
      <c r="AU91" s="2336">
        <v>4.4554931458561571</v>
      </c>
      <c r="AV91" s="2336">
        <v>4.4958848532603248</v>
      </c>
      <c r="AW91" s="2336">
        <v>4.536409160664876</v>
      </c>
      <c r="AX91" s="2336">
        <v>4.5770634186757313</v>
      </c>
      <c r="AY91" s="2336">
        <v>4.6178449421290741</v>
      </c>
      <c r="AZ91" s="2336">
        <v>4.658751010867153</v>
      </c>
      <c r="BA91" s="2336">
        <v>4.6997788705403014</v>
      </c>
      <c r="BB91" s="2336">
        <v>4.7409257334267556</v>
      </c>
      <c r="BC91" s="2336">
        <v>4.7821887792732634</v>
      </c>
      <c r="BD91" s="2336">
        <v>4.8235651561579402</v>
      </c>
      <c r="BE91" s="2336">
        <v>4.8650519813694473</v>
      </c>
      <c r="BF91" s="2336">
        <v>4.9066463423067024</v>
      </c>
      <c r="BG91" s="2336">
        <v>4.94834529739492</v>
      </c>
      <c r="BH91" s="2336">
        <v>4.9901458770200033</v>
      </c>
      <c r="BI91" s="2336">
        <v>5.0320450844789573</v>
      </c>
      <c r="BJ91" s="2336">
        <v>5.0740398969439813</v>
      </c>
      <c r="BK91" s="2336">
        <v>5.1161272664454067</v>
      </c>
      <c r="BL91" s="2336">
        <v>5.1583041208649263</v>
      </c>
      <c r="BM91" s="2336">
        <v>5.2005673649435717</v>
      </c>
      <c r="BN91" s="2336">
        <v>5.2429138813031377</v>
      </c>
      <c r="BO91" s="2336">
        <v>5.2853405314777255</v>
      </c>
      <c r="BP91" s="2336">
        <v>5.3278441569566066</v>
      </c>
      <c r="BQ91" s="2336">
        <v>5.3704215802383937</v>
      </c>
      <c r="BR91" s="2336">
        <v>5.4130696058926562</v>
      </c>
      <c r="BS91" s="2336">
        <v>5.4557850216310655</v>
      </c>
      <c r="BT91" s="2336">
        <v>5.4985645993858681</v>
      </c>
      <c r="BU91" s="2336">
        <v>5.541405096396061</v>
      </c>
      <c r="BV91" s="2336">
        <v>5.584303256296705</v>
      </c>
      <c r="BW91" s="2336">
        <v>5.6272558102174983</v>
      </c>
      <c r="BX91" s="2336">
        <v>5.6702594778819622</v>
      </c>
      <c r="BY91" s="2336">
        <v>5.7133109687120474</v>
      </c>
      <c r="BZ91" s="2336">
        <v>5.7564069829348758</v>
      </c>
      <c r="CA91" s="2336">
        <v>5.7995442126910737</v>
      </c>
      <c r="CB91" s="2336">
        <v>5.8427193431448696</v>
      </c>
      <c r="CC91" s="2336">
        <v>5.8859290535924007</v>
      </c>
      <c r="CD91" s="2336">
        <v>5.9291700185722496</v>
      </c>
      <c r="CE91" s="2336">
        <v>5.9724389089715952</v>
      </c>
      <c r="CF91" s="2336">
        <v>6.0157323931327271</v>
      </c>
      <c r="CG91" s="2336">
        <v>6.0590471379539874</v>
      </c>
      <c r="CH91" s="2336">
        <v>6.102379809989035</v>
      </c>
      <c r="CI91" s="2336">
        <v>6.1457270765401049</v>
      </c>
      <c r="CJ91" s="2336">
        <v>6.1890856067469331</v>
      </c>
      <c r="CK91" s="2336">
        <v>6.2324520726689032</v>
      </c>
      <c r="CL91" s="2336">
        <v>6.2758231503596109</v>
      </c>
      <c r="CM91" s="2336">
        <v>6.3191955209362547</v>
      </c>
      <c r="CN91" s="2336">
        <v>6.3625658716389841</v>
      </c>
      <c r="CO91" s="2336">
        <v>6.4059308968808697</v>
      </c>
      <c r="CP91" s="2336">
        <v>6.4492872992900114</v>
      </c>
      <c r="CQ91" s="2336">
        <v>6.4926317907395275</v>
      </c>
      <c r="CR91" s="2336">
        <v>6.5359610933687726</v>
      </c>
      <c r="CS91" s="2336">
        <v>6.5792719405912443</v>
      </c>
      <c r="CT91" s="2336">
        <v>6.6225610780897561</v>
      </c>
      <c r="CU91" s="2336">
        <v>6.6658252648021676</v>
      </c>
      <c r="CV91" s="2336">
        <v>6.7090612738904465</v>
      </c>
      <c r="CW91" s="2336">
        <v>6.7522658936972135</v>
      </c>
      <c r="CX91" s="2336">
        <v>6.7954359286887156</v>
      </c>
      <c r="CY91" s="2336">
        <v>6.8385682003809984</v>
      </c>
      <c r="CZ91" s="2336">
        <v>6.8816595482523137</v>
      </c>
      <c r="DA91" s="2336">
        <v>6.9247068306401207</v>
      </c>
      <c r="DB91" s="2336">
        <v>6.9677069256197175</v>
      </c>
      <c r="DC91" s="2336">
        <v>7.0106567318674839</v>
      </c>
      <c r="DD91" s="2336">
        <v>7.053553169507409</v>
      </c>
      <c r="DE91" s="2336">
        <v>7.0963931809400336</v>
      </c>
      <c r="DF91" s="2336">
        <v>7.1391737316518169</v>
      </c>
      <c r="DG91" s="2336">
        <v>7.1818918110088994</v>
      </c>
      <c r="DH91" s="2336">
        <v>7.2245444330303092</v>
      </c>
      <c r="DI91" s="2336">
        <v>7.267128637143518</v>
      </c>
      <c r="DJ91" s="2336">
        <v>7.309641488920807</v>
      </c>
      <c r="DK91" s="2344">
        <v>7.352080080795</v>
      </c>
      <c r="DL91" s="2336">
        <v>7.3944415327579476</v>
      </c>
      <c r="DM91" s="2336">
        <v>7.4367229930363328</v>
      </c>
      <c r="DN91" s="2336">
        <v>7.4789216387506441</v>
      </c>
      <c r="DO91" s="2336">
        <v>7.5210346765511602</v>
      </c>
      <c r="DP91" s="2336">
        <v>7.5630593432355981</v>
      </c>
      <c r="DQ91" s="2336">
        <v>7.6049929063450685</v>
      </c>
      <c r="DR91" s="2336">
        <v>7.6468326647396196</v>
      </c>
      <c r="DS91" s="2336">
        <v>7.6885759491549797</v>
      </c>
      <c r="DT91" s="2336">
        <v>7.7302201227349387</v>
      </c>
      <c r="DU91" s="2336">
        <v>7.7717625815463203</v>
      </c>
    </row>
    <row r="92" spans="1:125" ht="14.25">
      <c r="A92" s="904">
        <v>90</v>
      </c>
      <c r="B92" s="92"/>
      <c r="C92" s="92"/>
      <c r="D92" s="92"/>
      <c r="E92" s="92"/>
      <c r="F92" s="92"/>
      <c r="G92" s="92"/>
      <c r="H92" s="92"/>
      <c r="I92" s="92"/>
      <c r="J92" s="92"/>
      <c r="K92" s="92"/>
      <c r="L92" s="92"/>
      <c r="M92" s="92"/>
      <c r="N92" s="92"/>
      <c r="O92" s="92"/>
      <c r="P92" s="92"/>
      <c r="Q92" s="92"/>
      <c r="R92" s="92"/>
      <c r="S92" s="92"/>
      <c r="T92" s="92"/>
      <c r="U92" s="92"/>
      <c r="V92" s="739"/>
      <c r="W92" s="2338">
        <v>3.67</v>
      </c>
      <c r="X92" s="2338">
        <v>3.65</v>
      </c>
      <c r="Y92" s="2336">
        <v>3.7157499729635828</v>
      </c>
      <c r="Z92" s="2336">
        <v>3.7153610033033933</v>
      </c>
      <c r="AA92" s="2336">
        <v>3.7514848977428401</v>
      </c>
      <c r="AB92" s="2336">
        <v>3.7137200790127705</v>
      </c>
      <c r="AC92" s="2336">
        <v>3.6796227201406899</v>
      </c>
      <c r="AD92" s="2336">
        <v>3.6750402687651493</v>
      </c>
      <c r="AE92" s="2336">
        <v>3.6352531478809458</v>
      </c>
      <c r="AF92" s="2336">
        <v>3.6259704428707109</v>
      </c>
      <c r="AG92" s="2336">
        <v>3.6558994695594498</v>
      </c>
      <c r="AH92" s="2336">
        <v>3.6817892250335902</v>
      </c>
      <c r="AI92" s="2336">
        <v>3.7134517405781162</v>
      </c>
      <c r="AJ92" s="2336">
        <v>3.7452262615445084</v>
      </c>
      <c r="AK92" s="2336">
        <v>3.7771113823152094</v>
      </c>
      <c r="AL92" s="2336">
        <v>3.8091056749116183</v>
      </c>
      <c r="AM92" s="2336">
        <v>3.841207689244289</v>
      </c>
      <c r="AN92" s="2336">
        <v>3.8734159533714423</v>
      </c>
      <c r="AO92" s="2336">
        <v>3.9057289737700631</v>
      </c>
      <c r="AP92" s="2336">
        <v>3.9381452356153179</v>
      </c>
      <c r="AQ92" s="2336">
        <v>3.9720155755733937</v>
      </c>
      <c r="AR92" s="2336">
        <v>4.0065616350527504</v>
      </c>
      <c r="AS92" s="2336">
        <v>4.0418861195514735</v>
      </c>
      <c r="AT92" s="2336">
        <v>4.0780818025816146</v>
      </c>
      <c r="AU92" s="2336">
        <v>4.1152252095522872</v>
      </c>
      <c r="AV92" s="2336">
        <v>4.1524935518243717</v>
      </c>
      <c r="AW92" s="2336">
        <v>4.1898844206955657</v>
      </c>
      <c r="AX92" s="2336">
        <v>4.2273953742092258</v>
      </c>
      <c r="AY92" s="2336">
        <v>4.2650239378678476</v>
      </c>
      <c r="AZ92" s="2336">
        <v>4.3027676053617618</v>
      </c>
      <c r="BA92" s="2336">
        <v>4.3406238393218572</v>
      </c>
      <c r="BB92" s="2336">
        <v>4.378590072086717</v>
      </c>
      <c r="BC92" s="2336">
        <v>4.4166637064878049</v>
      </c>
      <c r="BD92" s="2336">
        <v>4.4548421166545049</v>
      </c>
      <c r="BE92" s="2336">
        <v>4.4931226488323768</v>
      </c>
      <c r="BF92" s="2336">
        <v>4.5315026222196213</v>
      </c>
      <c r="BG92" s="2336">
        <v>4.5699793298171034</v>
      </c>
      <c r="BH92" s="2336">
        <v>4.6085500392944274</v>
      </c>
      <c r="BI92" s="2336">
        <v>4.6472119938695711</v>
      </c>
      <c r="BJ92" s="2336">
        <v>4.6859624131995856</v>
      </c>
      <c r="BK92" s="2336">
        <v>4.7247984942884491</v>
      </c>
      <c r="BL92" s="2336">
        <v>4.7637174124024924</v>
      </c>
      <c r="BM92" s="2336">
        <v>4.8027163219986786</v>
      </c>
      <c r="BN92" s="2336">
        <v>4.8417923576644402</v>
      </c>
      <c r="BO92" s="2336">
        <v>4.8809426350654972</v>
      </c>
      <c r="BP92" s="2336">
        <v>4.9201642519031985</v>
      </c>
      <c r="BQ92" s="2336">
        <v>4.9594542888815862</v>
      </c>
      <c r="BR92" s="2336">
        <v>4.9988098106800019</v>
      </c>
      <c r="BS92" s="2336">
        <v>5.0382278669337914</v>
      </c>
      <c r="BT92" s="2336">
        <v>5.0777054932208303</v>
      </c>
      <c r="BU92" s="2336">
        <v>5.1172397120544639</v>
      </c>
      <c r="BV92" s="2336">
        <v>5.1568275338779799</v>
      </c>
      <c r="BW92" s="2336">
        <v>5.1964659580676171</v>
      </c>
      <c r="BX92" s="2336">
        <v>5.2361519739346862</v>
      </c>
      <c r="BY92" s="2336">
        <v>5.2758825617323044</v>
      </c>
      <c r="BZ92" s="2336">
        <v>5.315654693663336</v>
      </c>
      <c r="CA92" s="2336">
        <v>5.3554653348890779</v>
      </c>
      <c r="CB92" s="2336">
        <v>5.3953114445390895</v>
      </c>
      <c r="CC92" s="2336">
        <v>5.4351899767184078</v>
      </c>
      <c r="CD92" s="2336">
        <v>5.4750978815167821</v>
      </c>
      <c r="CE92" s="2336">
        <v>5.5150321060127956</v>
      </c>
      <c r="CF92" s="2336">
        <v>5.5549895952782844</v>
      </c>
      <c r="CG92" s="2336">
        <v>5.5949672933767189</v>
      </c>
      <c r="CH92" s="2336">
        <v>5.6349621443599514</v>
      </c>
      <c r="CI92" s="2336">
        <v>5.6749710932587982</v>
      </c>
      <c r="CJ92" s="2336">
        <v>5.7149910870694249</v>
      </c>
      <c r="CK92" s="2336">
        <v>5.7550190757330251</v>
      </c>
      <c r="CL92" s="2336">
        <v>5.7950520131080667</v>
      </c>
      <c r="CM92" s="2336">
        <v>5.835086857937914</v>
      </c>
      <c r="CN92" s="2336">
        <v>5.8751205748086219</v>
      </c>
      <c r="CO92" s="2336">
        <v>5.9151501350978286</v>
      </c>
      <c r="CP92" s="2336">
        <v>5.9551725179164778</v>
      </c>
      <c r="CQ92" s="2336">
        <v>5.9951847110389442</v>
      </c>
      <c r="CR92" s="2336">
        <v>6.0351837118252893</v>
      </c>
      <c r="CS92" s="2336">
        <v>6.075166528130854</v>
      </c>
      <c r="CT92" s="2336">
        <v>6.1151301792039829</v>
      </c>
      <c r="CU92" s="2336">
        <v>6.1550716965755168</v>
      </c>
      <c r="CV92" s="2336">
        <v>6.1949881249323813</v>
      </c>
      <c r="CW92" s="2336">
        <v>6.2348765229798744</v>
      </c>
      <c r="CX92" s="2336">
        <v>6.2747339642916113</v>
      </c>
      <c r="CY92" s="2336">
        <v>6.3145575381437622</v>
      </c>
      <c r="CZ92" s="2336">
        <v>6.3543443503369481</v>
      </c>
      <c r="DA92" s="2336">
        <v>6.3940915240041205</v>
      </c>
      <c r="DB92" s="2336">
        <v>6.4337962004013534</v>
      </c>
      <c r="DC92" s="2336">
        <v>6.4734555396848084</v>
      </c>
      <c r="DD92" s="2336">
        <v>6.5130667216725548</v>
      </c>
      <c r="DE92" s="2336">
        <v>6.552626946590375</v>
      </c>
      <c r="DF92" s="2336">
        <v>6.5921334357995276</v>
      </c>
      <c r="DG92" s="2336">
        <v>6.6315834325107392</v>
      </c>
      <c r="DH92" s="2336">
        <v>6.6709742024792575</v>
      </c>
      <c r="DI92" s="2336">
        <v>6.7103030346840757</v>
      </c>
      <c r="DJ92" s="2336">
        <v>6.7495672419897916</v>
      </c>
      <c r="DK92" s="2344">
        <v>6.7887641617895662</v>
      </c>
      <c r="DL92" s="2336">
        <v>6.8278911566328917</v>
      </c>
      <c r="DM92" s="2336">
        <v>6.8669456148323906</v>
      </c>
      <c r="DN92" s="2336">
        <v>6.9059249510559315</v>
      </c>
      <c r="DO92" s="2336">
        <v>6.9448266068975411</v>
      </c>
      <c r="DP92" s="2336">
        <v>6.9836480514320955</v>
      </c>
      <c r="DQ92" s="2336">
        <v>7.0223867817502619</v>
      </c>
      <c r="DR92" s="2336">
        <v>7.0610403234750665</v>
      </c>
      <c r="DS92" s="2336">
        <v>7.0996062312618262</v>
      </c>
      <c r="DT92" s="2336">
        <v>7.1380820892755681</v>
      </c>
      <c r="DU92" s="2336">
        <v>7.1764655116533156</v>
      </c>
    </row>
    <row r="93" spans="1:125" ht="14.25">
      <c r="A93" s="904">
        <v>91</v>
      </c>
      <c r="B93" s="92"/>
      <c r="C93" s="92"/>
      <c r="D93" s="92"/>
      <c r="E93" s="92"/>
      <c r="F93" s="92"/>
      <c r="G93" s="92"/>
      <c r="H93" s="92"/>
      <c r="I93" s="92"/>
      <c r="J93" s="92"/>
      <c r="K93" s="92"/>
      <c r="L93" s="92"/>
      <c r="M93" s="92"/>
      <c r="N93" s="92"/>
      <c r="O93" s="92"/>
      <c r="P93" s="92"/>
      <c r="Q93" s="92"/>
      <c r="R93" s="92"/>
      <c r="S93" s="92"/>
      <c r="T93" s="92"/>
      <c r="U93" s="92"/>
      <c r="V93" s="739"/>
      <c r="W93" s="2338">
        <v>3.39</v>
      </c>
      <c r="X93" s="2338">
        <v>3.39</v>
      </c>
      <c r="Y93" s="2336">
        <v>3.4159292447526073</v>
      </c>
      <c r="Z93" s="2336">
        <v>3.4326110818733317</v>
      </c>
      <c r="AA93" s="2336">
        <v>3.4612011014453725</v>
      </c>
      <c r="AB93" s="2336">
        <v>3.4384199135750686</v>
      </c>
      <c r="AC93" s="2336">
        <v>3.396378794742831</v>
      </c>
      <c r="AD93" s="2336">
        <v>3.3588511115756923</v>
      </c>
      <c r="AE93" s="2336">
        <v>3.3203254930843271</v>
      </c>
      <c r="AF93" s="2336">
        <v>3.3543963383864188</v>
      </c>
      <c r="AG93" s="2336">
        <v>3.3732315915488393</v>
      </c>
      <c r="AH93" s="2336">
        <v>3.4020910297440046</v>
      </c>
      <c r="AI93" s="2336">
        <v>3.4310533990119052</v>
      </c>
      <c r="AJ93" s="2336">
        <v>3.4601174439960722</v>
      </c>
      <c r="AK93" s="2336">
        <v>3.4892818888751491</v>
      </c>
      <c r="AL93" s="2336">
        <v>3.518545437594216</v>
      </c>
      <c r="AM93" s="2336">
        <v>3.5479067741032635</v>
      </c>
      <c r="AN93" s="2336">
        <v>3.5773645626021437</v>
      </c>
      <c r="AO93" s="2336">
        <v>3.6069174477972061</v>
      </c>
      <c r="AP93" s="2336">
        <v>3.6365640551644769</v>
      </c>
      <c r="AQ93" s="2336">
        <v>3.6679264254980324</v>
      </c>
      <c r="AR93" s="2336">
        <v>3.7000619143623097</v>
      </c>
      <c r="AS93" s="2336">
        <v>3.7330893655839028</v>
      </c>
      <c r="AT93" s="2336">
        <v>3.7671148427735761</v>
      </c>
      <c r="AU93" s="2336">
        <v>3.8012552662072294</v>
      </c>
      <c r="AV93" s="2336">
        <v>3.8355084437686973</v>
      </c>
      <c r="AW93" s="2336">
        <v>3.8698721533291338</v>
      </c>
      <c r="AX93" s="2336">
        <v>3.9043441433981574</v>
      </c>
      <c r="AY93" s="2336">
        <v>3.9389221337926816</v>
      </c>
      <c r="AZ93" s="2336">
        <v>3.9736038163170537</v>
      </c>
      <c r="BA93" s="2336">
        <v>4.0083868554650923</v>
      </c>
      <c r="BB93" s="2336">
        <v>4.0432688891328068</v>
      </c>
      <c r="BC93" s="2336">
        <v>4.0782475293462888</v>
      </c>
      <c r="BD93" s="2336">
        <v>4.1133203630070261</v>
      </c>
      <c r="BE93" s="2336">
        <v>4.148484952647026</v>
      </c>
      <c r="BF93" s="2336">
        <v>4.1837388371997823</v>
      </c>
      <c r="BG93" s="2336">
        <v>4.2190795327818345</v>
      </c>
      <c r="BH93" s="2336">
        <v>4.254504533487979</v>
      </c>
      <c r="BI93" s="2336">
        <v>4.2900113121974437</v>
      </c>
      <c r="BJ93" s="2336">
        <v>4.3255973213883152</v>
      </c>
      <c r="BK93" s="2336">
        <v>4.3612599939674537</v>
      </c>
      <c r="BL93" s="2336">
        <v>4.3969967441049835</v>
      </c>
      <c r="BM93" s="2336">
        <v>4.4328049680797168</v>
      </c>
      <c r="BN93" s="2336">
        <v>4.4686820451341278</v>
      </c>
      <c r="BO93" s="2336">
        <v>4.504625338335015</v>
      </c>
      <c r="BP93" s="2336">
        <v>4.5406321954417965</v>
      </c>
      <c r="BQ93" s="2336">
        <v>4.5766999497828822</v>
      </c>
      <c r="BR93" s="2336">
        <v>4.6128259211354932</v>
      </c>
      <c r="BS93" s="2336">
        <v>4.6490074166121165</v>
      </c>
      <c r="BT93" s="2336">
        <v>4.6852417315511241</v>
      </c>
      <c r="BU93" s="2336">
        <v>4.7215261504124699</v>
      </c>
      <c r="BV93" s="2336">
        <v>4.7578579476731155</v>
      </c>
      <c r="BW93" s="2336">
        <v>4.7942343887302936</v>
      </c>
      <c r="BX93" s="2336">
        <v>4.8306527308021661</v>
      </c>
      <c r="BY93" s="2336">
        <v>4.8671102238322739</v>
      </c>
      <c r="BZ93" s="2336">
        <v>4.9036041113941184</v>
      </c>
      <c r="CA93" s="2336">
        <v>4.9401316315955617</v>
      </c>
      <c r="CB93" s="2336">
        <v>4.976690017983656</v>
      </c>
      <c r="CC93" s="2336">
        <v>5.0132765004459099</v>
      </c>
      <c r="CD93" s="2336">
        <v>5.0498883061133171</v>
      </c>
      <c r="CE93" s="2336">
        <v>5.0865226602573932</v>
      </c>
      <c r="CF93" s="2336">
        <v>5.1231767871874121</v>
      </c>
      <c r="CG93" s="2336">
        <v>5.1598479111409574</v>
      </c>
      <c r="CH93" s="2336">
        <v>5.1965332571728862</v>
      </c>
      <c r="CI93" s="2336">
        <v>5.2332300520378094</v>
      </c>
      <c r="CJ93" s="2336">
        <v>5.2699355250684397</v>
      </c>
      <c r="CK93" s="2336">
        <v>5.3066469090472186</v>
      </c>
      <c r="CL93" s="2336">
        <v>5.3433614410705292</v>
      </c>
      <c r="CM93" s="2336">
        <v>5.3800763634088193</v>
      </c>
      <c r="CN93" s="2336">
        <v>5.4167889243569727</v>
      </c>
      <c r="CO93" s="2336">
        <v>5.4534963790761273</v>
      </c>
      <c r="CP93" s="2336">
        <v>5.4901959904290312</v>
      </c>
      <c r="CQ93" s="2336">
        <v>5.5268850298041254</v>
      </c>
      <c r="CR93" s="2336">
        <v>5.5635607779326639</v>
      </c>
      <c r="CS93" s="2336">
        <v>5.6002205256936932</v>
      </c>
      <c r="CT93" s="2336">
        <v>5.6368615749079041</v>
      </c>
      <c r="CU93" s="2336">
        <v>5.6734812391244835</v>
      </c>
      <c r="CV93" s="2336">
        <v>5.7100768443926659</v>
      </c>
      <c r="CW93" s="2336">
        <v>5.7466457300231335</v>
      </c>
      <c r="CX93" s="2336">
        <v>5.7831852493382714</v>
      </c>
      <c r="CY93" s="2336">
        <v>5.8196927704076646</v>
      </c>
      <c r="CZ93" s="2336">
        <v>5.8561656767726689</v>
      </c>
      <c r="DA93" s="2336">
        <v>5.8926013681582701</v>
      </c>
      <c r="DB93" s="2336">
        <v>5.9289972611690276</v>
      </c>
      <c r="DC93" s="2336">
        <v>5.9653507899727396</v>
      </c>
      <c r="DD93" s="2336">
        <v>6.001659406970445</v>
      </c>
      <c r="DE93" s="2336">
        <v>6.0379205834519434</v>
      </c>
      <c r="DF93" s="2336">
        <v>6.0741318102346975</v>
      </c>
      <c r="DG93" s="2336">
        <v>6.1102905982908098</v>
      </c>
      <c r="DH93" s="2336">
        <v>6.1463944793565704</v>
      </c>
      <c r="DI93" s="2336">
        <v>6.1824410065279807</v>
      </c>
      <c r="DJ93" s="2336">
        <v>6.2184277548406754</v>
      </c>
      <c r="DK93" s="2344">
        <v>6.2543523218326333</v>
      </c>
      <c r="DL93" s="2336">
        <v>6.2902123280937259</v>
      </c>
      <c r="DM93" s="2336">
        <v>6.3260054177959484</v>
      </c>
      <c r="DN93" s="2336">
        <v>6.3617292592111099</v>
      </c>
      <c r="DO93" s="2336">
        <v>6.3973815452090532</v>
      </c>
      <c r="DP93" s="2336">
        <v>6.4329599937417452</v>
      </c>
      <c r="DQ93" s="2336">
        <v>6.4684623483095427</v>
      </c>
      <c r="DR93" s="2336">
        <v>6.5038863784110905</v>
      </c>
      <c r="DS93" s="2336">
        <v>6.5392298799787527</v>
      </c>
      <c r="DT93" s="2336">
        <v>6.574490675793327</v>
      </c>
      <c r="DU93" s="2336">
        <v>6.6096666158859367</v>
      </c>
    </row>
    <row r="94" spans="1:125" ht="14.25">
      <c r="A94" s="904">
        <v>92</v>
      </c>
      <c r="B94" s="92"/>
      <c r="C94" s="92"/>
      <c r="D94" s="92"/>
      <c r="E94" s="92"/>
      <c r="F94" s="92"/>
      <c r="G94" s="92"/>
      <c r="H94" s="92"/>
      <c r="I94" s="92"/>
      <c r="J94" s="92"/>
      <c r="K94" s="92"/>
      <c r="L94" s="92"/>
      <c r="M94" s="92"/>
      <c r="N94" s="92"/>
      <c r="O94" s="92"/>
      <c r="P94" s="92"/>
      <c r="Q94" s="92"/>
      <c r="R94" s="92"/>
      <c r="S94" s="92"/>
      <c r="T94" s="92"/>
      <c r="U94" s="92"/>
      <c r="V94" s="739"/>
      <c r="W94" s="2338">
        <v>3.17</v>
      </c>
      <c r="X94" s="2338">
        <v>3.12</v>
      </c>
      <c r="Y94" s="2336">
        <v>3.1882902766806582</v>
      </c>
      <c r="Z94" s="2336">
        <v>3.1623589004672779</v>
      </c>
      <c r="AA94" s="2336">
        <v>3.2138457346399942</v>
      </c>
      <c r="AB94" s="2336">
        <v>3.1606919277606815</v>
      </c>
      <c r="AC94" s="2336">
        <v>3.1032662687215362</v>
      </c>
      <c r="AD94" s="2336">
        <v>3.0580241256535992</v>
      </c>
      <c r="AE94" s="2336">
        <v>3.0512966036854916</v>
      </c>
      <c r="AF94" s="2336">
        <v>3.0943687555992421</v>
      </c>
      <c r="AG94" s="2336">
        <v>3.1205919206137982</v>
      </c>
      <c r="AH94" s="2336">
        <v>3.1469076291634099</v>
      </c>
      <c r="AI94" s="2336">
        <v>3.1733147477944943</v>
      </c>
      <c r="AJ94" s="2336">
        <v>3.1998121248778375</v>
      </c>
      <c r="AK94" s="2336">
        <v>3.2263985908117676</v>
      </c>
      <c r="AL94" s="2336">
        <v>3.2530729582464044</v>
      </c>
      <c r="AM94" s="2336">
        <v>3.2798340223129885</v>
      </c>
      <c r="AN94" s="2336">
        <v>3.3066805608575303</v>
      </c>
      <c r="AO94" s="2336">
        <v>3.3336113346853153</v>
      </c>
      <c r="AP94" s="2336">
        <v>3.3606250878099044</v>
      </c>
      <c r="AQ94" s="2336">
        <v>3.3897138688830233</v>
      </c>
      <c r="AR94" s="2336">
        <v>3.4197090867088451</v>
      </c>
      <c r="AS94" s="2336">
        <v>3.4507506705390059</v>
      </c>
      <c r="AT94" s="2336">
        <v>3.4818951019182323</v>
      </c>
      <c r="AU94" s="2336">
        <v>3.5131403832370065</v>
      </c>
      <c r="AV94" s="2336">
        <v>3.5444844907137871</v>
      </c>
      <c r="AW94" s="2336">
        <v>3.5759253749806406</v>
      </c>
      <c r="AX94" s="2336">
        <v>3.6074609616894295</v>
      </c>
      <c r="AY94" s="2336">
        <v>3.6390891521326809</v>
      </c>
      <c r="AZ94" s="2336">
        <v>3.6708078238716246</v>
      </c>
      <c r="BA94" s="2336">
        <v>3.7026148313843432</v>
      </c>
      <c r="BB94" s="2336">
        <v>3.7345080067206453</v>
      </c>
      <c r="BC94" s="2336">
        <v>3.7664851601692968</v>
      </c>
      <c r="BD94" s="2336">
        <v>3.7985440809404101</v>
      </c>
      <c r="BE94" s="2336">
        <v>3.8306825378540941</v>
      </c>
      <c r="BF94" s="2336">
        <v>3.8628982800427365</v>
      </c>
      <c r="BG94" s="2336">
        <v>3.8951890376608378</v>
      </c>
      <c r="BH94" s="2336">
        <v>3.9275525226062382</v>
      </c>
      <c r="BI94" s="2336">
        <v>3.9599864292496805</v>
      </c>
      <c r="BJ94" s="2336">
        <v>3.9924884351697729</v>
      </c>
      <c r="BK94" s="2336">
        <v>4.025056201902002</v>
      </c>
      <c r="BL94" s="2336">
        <v>4.0576873756891665</v>
      </c>
      <c r="BM94" s="2336">
        <v>4.0903795882409062</v>
      </c>
      <c r="BN94" s="2336">
        <v>4.1231304575008734</v>
      </c>
      <c r="BO94" s="2336">
        <v>4.1559375884172258</v>
      </c>
      <c r="BP94" s="2336">
        <v>4.1887985737189277</v>
      </c>
      <c r="BQ94" s="2336">
        <v>4.2217109946985198</v>
      </c>
      <c r="BR94" s="2336">
        <v>4.2546724219962391</v>
      </c>
      <c r="BS94" s="2336">
        <v>4.2876804163893043</v>
      </c>
      <c r="BT94" s="2336">
        <v>4.3207325295837684</v>
      </c>
      <c r="BU94" s="2336">
        <v>4.3538263050101236</v>
      </c>
      <c r="BV94" s="2336">
        <v>4.3869592786167377</v>
      </c>
      <c r="BW94" s="2336">
        <v>4.4201289796706051</v>
      </c>
      <c r="BX94" s="2336">
        <v>4.4533329315536188</v>
      </c>
      <c r="BY94" s="2336">
        <v>4.4865686525618882</v>
      </c>
      <c r="BZ94" s="2336">
        <v>4.5198336567041002</v>
      </c>
      <c r="CA94" s="2336">
        <v>4.5531254544987432</v>
      </c>
      <c r="CB94" s="2336">
        <v>4.5864415537710714</v>
      </c>
      <c r="CC94" s="2336">
        <v>4.6197794604454661</v>
      </c>
      <c r="CD94" s="2336">
        <v>4.6531366793393829</v>
      </c>
      <c r="CE94" s="2336">
        <v>4.6865107149503142</v>
      </c>
      <c r="CF94" s="2336">
        <v>4.7198990722429111</v>
      </c>
      <c r="CG94" s="2336">
        <v>4.7532992574286599</v>
      </c>
      <c r="CH94" s="2336">
        <v>4.7867087787440532</v>
      </c>
      <c r="CI94" s="2336">
        <v>4.8201251472218827</v>
      </c>
      <c r="CJ94" s="2336">
        <v>4.8535458774584663</v>
      </c>
      <c r="CK94" s="2336">
        <v>4.8869684883740598</v>
      </c>
      <c r="CL94" s="2336">
        <v>4.9203905039658258</v>
      </c>
      <c r="CM94" s="2336">
        <v>4.9538094540572617</v>
      </c>
      <c r="CN94" s="2336">
        <v>4.9872228750378405</v>
      </c>
      <c r="CO94" s="2336">
        <v>5.0206283105944269</v>
      </c>
      <c r="CP94" s="2336">
        <v>5.0540233124368692</v>
      </c>
      <c r="CQ94" s="2336">
        <v>5.0874054410126019</v>
      </c>
      <c r="CR94" s="2336">
        <v>5.1207722662151545</v>
      </c>
      <c r="CS94" s="2336">
        <v>5.1541213680809328</v>
      </c>
      <c r="CT94" s="2336">
        <v>5.1874503374755783</v>
      </c>
      <c r="CU94" s="2336">
        <v>5.2207567767745386</v>
      </c>
      <c r="CV94" s="2336">
        <v>5.2540383005288067</v>
      </c>
      <c r="CW94" s="2336">
        <v>5.2872925361216492</v>
      </c>
      <c r="CX94" s="2336">
        <v>5.3205171244153027</v>
      </c>
      <c r="CY94" s="2336">
        <v>5.353709720383792</v>
      </c>
      <c r="CZ94" s="2336">
        <v>5.3868679937361703</v>
      </c>
      <c r="DA94" s="2336">
        <v>5.4199896295283283</v>
      </c>
      <c r="DB94" s="2336">
        <v>5.453072328759923</v>
      </c>
      <c r="DC94" s="2336">
        <v>5.4861138089605488</v>
      </c>
      <c r="DD94" s="2336">
        <v>5.5191118047636687</v>
      </c>
      <c r="DE94" s="2336">
        <v>5.55206406846753</v>
      </c>
      <c r="DF94" s="2336">
        <v>5.5849683705807713</v>
      </c>
      <c r="DG94" s="2336">
        <v>5.6178225003579572</v>
      </c>
      <c r="DH94" s="2336">
        <v>5.6506242663190687</v>
      </c>
      <c r="DI94" s="2336">
        <v>5.6833714967567497</v>
      </c>
      <c r="DJ94" s="2336">
        <v>5.7160620402296294</v>
      </c>
      <c r="DK94" s="2344">
        <v>5.7486937660400557</v>
      </c>
      <c r="DL94" s="2336">
        <v>5.7812645647006731</v>
      </c>
      <c r="DM94" s="2336">
        <v>5.8137723483832069</v>
      </c>
      <c r="DN94" s="2336">
        <v>5.8462150513568609</v>
      </c>
      <c r="DO94" s="2336">
        <v>5.87859063040887</v>
      </c>
      <c r="DP94" s="2336">
        <v>5.9108970652529917</v>
      </c>
      <c r="DQ94" s="2336">
        <v>5.9431323589220177</v>
      </c>
      <c r="DR94" s="2336">
        <v>5.9752945381458771</v>
      </c>
      <c r="DS94" s="2336">
        <v>6.007381653717438</v>
      </c>
      <c r="DT94" s="2336">
        <v>6.0393917808392521</v>
      </c>
      <c r="DU94" s="2336">
        <v>6.0713230194598138</v>
      </c>
    </row>
    <row r="95" spans="1:125" ht="14.25">
      <c r="A95" s="904">
        <v>93</v>
      </c>
      <c r="B95" s="92"/>
      <c r="C95" s="92"/>
      <c r="D95" s="92"/>
      <c r="E95" s="92"/>
      <c r="F95" s="92"/>
      <c r="G95" s="92"/>
      <c r="H95" s="92"/>
      <c r="I95" s="92"/>
      <c r="J95" s="92"/>
      <c r="K95" s="92"/>
      <c r="L95" s="92"/>
      <c r="M95" s="92"/>
      <c r="N95" s="92"/>
      <c r="O95" s="92"/>
      <c r="P95" s="92"/>
      <c r="Q95" s="92"/>
      <c r="R95" s="92"/>
      <c r="S95" s="92"/>
      <c r="T95" s="92"/>
      <c r="U95" s="92"/>
      <c r="V95" s="739"/>
      <c r="W95" s="2338">
        <v>2.93</v>
      </c>
      <c r="X95" s="2338">
        <v>2.92</v>
      </c>
      <c r="Y95" s="2336">
        <v>2.9420347809365439</v>
      </c>
      <c r="Z95" s="2336">
        <v>2.949097837871252</v>
      </c>
      <c r="AA95" s="2336">
        <v>3.015736140507479</v>
      </c>
      <c r="AB95" s="2336">
        <v>2.9007537513885713</v>
      </c>
      <c r="AC95" s="2336">
        <v>2.8282592784603238</v>
      </c>
      <c r="AD95" s="2336">
        <v>2.8306158505825412</v>
      </c>
      <c r="AE95" s="2336">
        <v>2.8442714641300846</v>
      </c>
      <c r="AF95" s="2336">
        <v>2.868026063062604</v>
      </c>
      <c r="AG95" s="2336">
        <v>2.8918616330810125</v>
      </c>
      <c r="AH95" s="2336">
        <v>2.9157771380261273</v>
      </c>
      <c r="AI95" s="2336">
        <v>2.939771526159026</v>
      </c>
      <c r="AJ95" s="2336">
        <v>2.9638437303725835</v>
      </c>
      <c r="AK95" s="2336">
        <v>2.9879926683843032</v>
      </c>
      <c r="AL95" s="2336">
        <v>3.0122172429525782</v>
      </c>
      <c r="AM95" s="2336">
        <v>3.0365163420957595</v>
      </c>
      <c r="AN95" s="2336">
        <v>3.0608888393131508</v>
      </c>
      <c r="AO95" s="2336">
        <v>3.0853335938163307</v>
      </c>
      <c r="AP95" s="2336">
        <v>3.1098494507627326</v>
      </c>
      <c r="AQ95" s="2336">
        <v>3.1369440011210066</v>
      </c>
      <c r="AR95" s="2336">
        <v>3.1651311508069671</v>
      </c>
      <c r="AS95" s="2336">
        <v>3.1934071663726975</v>
      </c>
      <c r="AT95" s="2336">
        <v>3.221770227698038</v>
      </c>
      <c r="AU95" s="2336">
        <v>3.2502184927293905</v>
      </c>
      <c r="AV95" s="2336">
        <v>3.2787500980220052</v>
      </c>
      <c r="AW95" s="2336">
        <v>3.3073631592769077</v>
      </c>
      <c r="AX95" s="2336">
        <v>3.3360557718970427</v>
      </c>
      <c r="AY95" s="2336">
        <v>3.3648260115553672</v>
      </c>
      <c r="AZ95" s="2336">
        <v>3.3936719347658149</v>
      </c>
      <c r="BA95" s="2336">
        <v>3.4225915794732553</v>
      </c>
      <c r="BB95" s="2336">
        <v>3.4515829656460948</v>
      </c>
      <c r="BC95" s="2336">
        <v>3.480644095878656</v>
      </c>
      <c r="BD95" s="2336">
        <v>3.5097729560068949</v>
      </c>
      <c r="BE95" s="2336">
        <v>3.5389675157267506</v>
      </c>
      <c r="BF95" s="2336">
        <v>3.568225729224308</v>
      </c>
      <c r="BG95" s="2336">
        <v>3.5975455358105384</v>
      </c>
      <c r="BH95" s="2336">
        <v>3.6269248605654547</v>
      </c>
      <c r="BI95" s="2336">
        <v>3.6563616149881604</v>
      </c>
      <c r="BJ95" s="2336">
        <v>3.6858536976494403</v>
      </c>
      <c r="BK95" s="2336">
        <v>3.7153989948574822</v>
      </c>
      <c r="BL95" s="2336">
        <v>3.7449953813217149</v>
      </c>
      <c r="BM95" s="2336">
        <v>3.7746407208241988</v>
      </c>
      <c r="BN95" s="2336">
        <v>3.804332866896956</v>
      </c>
      <c r="BO95" s="2336">
        <v>3.8340696635003173</v>
      </c>
      <c r="BP95" s="2336">
        <v>3.8638489457053882</v>
      </c>
      <c r="BQ95" s="2336">
        <v>3.8936685403816549</v>
      </c>
      <c r="BR95" s="2336">
        <v>3.9235262668837811</v>
      </c>
      <c r="BS95" s="2336">
        <v>3.9534199377423596</v>
      </c>
      <c r="BT95" s="2336">
        <v>3.9833473593556938</v>
      </c>
      <c r="BU95" s="2336">
        <v>4.0133063326842002</v>
      </c>
      <c r="BV95" s="2336">
        <v>4.0432946539406434</v>
      </c>
      <c r="BW95" s="2336">
        <v>4.0733101152875548</v>
      </c>
      <c r="BX95" s="2336">
        <v>4.103350505528125</v>
      </c>
      <c r="BY95" s="2336">
        <v>4.1334136107996304</v>
      </c>
      <c r="BZ95" s="2336">
        <v>4.1634972152648402</v>
      </c>
      <c r="CA95" s="2336">
        <v>4.1935991018013974</v>
      </c>
      <c r="CB95" s="2336">
        <v>4.223717052690362</v>
      </c>
      <c r="CC95" s="2336">
        <v>4.2538488502990424</v>
      </c>
      <c r="CD95" s="2336">
        <v>4.2839922777654733</v>
      </c>
      <c r="CE95" s="2336">
        <v>4.3141451196747678</v>
      </c>
      <c r="CF95" s="2336">
        <v>4.3443051627357807</v>
      </c>
      <c r="CG95" s="2336">
        <v>4.3744701964494679</v>
      </c>
      <c r="CH95" s="2336">
        <v>4.4046380137759487</v>
      </c>
      <c r="CI95" s="2336">
        <v>4.4348064117942378</v>
      </c>
      <c r="CJ95" s="2336">
        <v>4.4649731923580482</v>
      </c>
      <c r="CK95" s="2336">
        <v>4.4951361627446449</v>
      </c>
      <c r="CL95" s="2336">
        <v>4.5252931362962139</v>
      </c>
      <c r="CM95" s="2336">
        <v>4.555441933058308</v>
      </c>
      <c r="CN95" s="2336">
        <v>4.585580380408417</v>
      </c>
      <c r="CO95" s="2336">
        <v>4.6157063136765677</v>
      </c>
      <c r="CP95" s="2336">
        <v>4.6458175767608241</v>
      </c>
      <c r="CQ95" s="2336">
        <v>4.6759120227319588</v>
      </c>
      <c r="CR95" s="2336">
        <v>4.7059875144329562</v>
      </c>
      <c r="CS95" s="2336">
        <v>4.7360419250671146</v>
      </c>
      <c r="CT95" s="2336">
        <v>4.7660731387763393</v>
      </c>
      <c r="CU95" s="2336">
        <v>4.796079051214968</v>
      </c>
      <c r="CV95" s="2336">
        <v>4.826057570109044</v>
      </c>
      <c r="CW95" s="2336">
        <v>4.8560066158077211</v>
      </c>
      <c r="CX95" s="2336">
        <v>4.8859241218257283</v>
      </c>
      <c r="CY95" s="2336">
        <v>4.9158080353727005</v>
      </c>
      <c r="CZ95" s="2336">
        <v>4.9456563178742901</v>
      </c>
      <c r="DA95" s="2336">
        <v>4.9754669454830678</v>
      </c>
      <c r="DB95" s="2336">
        <v>5.0052379095754427</v>
      </c>
      <c r="DC95" s="2336">
        <v>5.034967217239334</v>
      </c>
      <c r="DD95" s="2336">
        <v>5.0646528917509555</v>
      </c>
      <c r="DE95" s="2336">
        <v>5.094292973039976</v>
      </c>
      <c r="DF95" s="2336">
        <v>5.1238855181405727</v>
      </c>
      <c r="DG95" s="2336">
        <v>5.1534286016342428</v>
      </c>
      <c r="DH95" s="2336">
        <v>5.1829203160778379</v>
      </c>
      <c r="DI95" s="2336">
        <v>5.2123587724210765</v>
      </c>
      <c r="DJ95" s="2336">
        <v>5.2417421004117504</v>
      </c>
      <c r="DK95" s="2344">
        <v>5.2710684489868287</v>
      </c>
      <c r="DL95" s="2336">
        <v>5.3003359866543969</v>
      </c>
      <c r="DM95" s="2336">
        <v>5.3295429018591873</v>
      </c>
      <c r="DN95" s="2336">
        <v>5.3586874033398706</v>
      </c>
      <c r="DO95" s="2336">
        <v>5.3877677204699586</v>
      </c>
      <c r="DP95" s="2336">
        <v>5.4167821035887123</v>
      </c>
      <c r="DQ95" s="2336">
        <v>5.4457288243177793</v>
      </c>
      <c r="DR95" s="2336">
        <v>5.4746061758653211</v>
      </c>
      <c r="DS95" s="2336">
        <v>5.5034124733199592</v>
      </c>
      <c r="DT95" s="2336">
        <v>5.5321460539271694</v>
      </c>
      <c r="DU95" s="2336">
        <v>5.5608052773575141</v>
      </c>
    </row>
    <row r="96" spans="1:125" ht="14.25">
      <c r="A96" s="904">
        <v>94</v>
      </c>
      <c r="B96" s="92"/>
      <c r="C96" s="92"/>
      <c r="D96" s="92"/>
      <c r="E96" s="92"/>
      <c r="F96" s="92"/>
      <c r="G96" s="92"/>
      <c r="H96" s="92"/>
      <c r="I96" s="92"/>
      <c r="J96" s="92"/>
      <c r="K96" s="92"/>
      <c r="L96" s="92"/>
      <c r="M96" s="92"/>
      <c r="N96" s="92"/>
      <c r="O96" s="92"/>
      <c r="P96" s="92"/>
      <c r="Q96" s="92"/>
      <c r="R96" s="92"/>
      <c r="S96" s="92"/>
      <c r="T96" s="92"/>
      <c r="U96" s="92"/>
      <c r="V96" s="739"/>
      <c r="W96" s="2338">
        <v>2.77</v>
      </c>
      <c r="X96" s="2338">
        <v>2.67</v>
      </c>
      <c r="Y96" s="2336">
        <v>2.7263078830176393</v>
      </c>
      <c r="Z96" s="2336">
        <v>2.7544741064837233</v>
      </c>
      <c r="AA96" s="2336">
        <v>2.8051004834449045</v>
      </c>
      <c r="AB96" s="2336">
        <v>2.6450321817224274</v>
      </c>
      <c r="AC96" s="2336">
        <v>2.6099158427374061</v>
      </c>
      <c r="AD96" s="2336">
        <v>2.6220390641136917</v>
      </c>
      <c r="AE96" s="2336">
        <v>2.6434880711631012</v>
      </c>
      <c r="AF96" s="2336">
        <v>2.6650053155201889</v>
      </c>
      <c r="AG96" s="2336">
        <v>2.6865898413411196</v>
      </c>
      <c r="AH96" s="2336">
        <v>2.7082406800356238</v>
      </c>
      <c r="AI96" s="2336">
        <v>2.7299568504432541</v>
      </c>
      <c r="AJ96" s="2336">
        <v>2.7517373590385366</v>
      </c>
      <c r="AK96" s="2336">
        <v>2.7735812001078739</v>
      </c>
      <c r="AL96" s="2336">
        <v>2.7954873559542075</v>
      </c>
      <c r="AM96" s="2336">
        <v>2.8174547971020294</v>
      </c>
      <c r="AN96" s="2336">
        <v>2.8394824825017082</v>
      </c>
      <c r="AO96" s="2336">
        <v>2.86156935974424</v>
      </c>
      <c r="AP96" s="2336">
        <v>2.8837143652758455</v>
      </c>
      <c r="AQ96" s="2336">
        <v>2.90915986195089</v>
      </c>
      <c r="AR96" s="2336">
        <v>2.9346786377894039</v>
      </c>
      <c r="AS96" s="2336">
        <v>2.9602690409428987</v>
      </c>
      <c r="AT96" s="2336">
        <v>2.985929402048304</v>
      </c>
      <c r="AU96" s="2336">
        <v>3.0116580346902815</v>
      </c>
      <c r="AV96" s="2336">
        <v>3.0374532358966277</v>
      </c>
      <c r="AW96" s="2336">
        <v>3.0633132866209292</v>
      </c>
      <c r="AX96" s="2336">
        <v>3.0892364522441293</v>
      </c>
      <c r="AY96" s="2336">
        <v>3.1152209830857696</v>
      </c>
      <c r="AZ96" s="2336">
        <v>3.1412651149135913</v>
      </c>
      <c r="BA96" s="2336">
        <v>3.1673670694720464</v>
      </c>
      <c r="BB96" s="2336">
        <v>3.1935250550091925</v>
      </c>
      <c r="BC96" s="2336">
        <v>3.219737266811181</v>
      </c>
      <c r="BD96" s="2336">
        <v>3.2460018877489083</v>
      </c>
      <c r="BE96" s="2336">
        <v>3.2723170888235931</v>
      </c>
      <c r="BF96" s="2336">
        <v>3.298681029722923</v>
      </c>
      <c r="BG96" s="2336">
        <v>3.3250918593789072</v>
      </c>
      <c r="BH96" s="2336">
        <v>3.3515477165336285</v>
      </c>
      <c r="BI96" s="2336">
        <v>3.3780467303086592</v>
      </c>
      <c r="BJ96" s="2336">
        <v>3.4045870207742226</v>
      </c>
      <c r="BK96" s="2336">
        <v>3.4311666995312895</v>
      </c>
      <c r="BL96" s="2336">
        <v>3.4577838702882961</v>
      </c>
      <c r="BM96" s="2336">
        <v>3.4844366294442857</v>
      </c>
      <c r="BN96" s="2336">
        <v>3.5111230666766273</v>
      </c>
      <c r="BO96" s="2336">
        <v>3.5378412655274762</v>
      </c>
      <c r="BP96" s="2336">
        <v>3.5645893039929613</v>
      </c>
      <c r="BQ96" s="2336">
        <v>3.5913652551164743</v>
      </c>
      <c r="BR96" s="2336">
        <v>3.6181671875790298</v>
      </c>
      <c r="BS96" s="2336">
        <v>3.6449931662926494</v>
      </c>
      <c r="BT96" s="2336">
        <v>3.6718412529933975</v>
      </c>
      <c r="BU96" s="2336">
        <v>3.6987095068361326</v>
      </c>
      <c r="BV96" s="2336">
        <v>3.7255959849830429</v>
      </c>
      <c r="BW96" s="2336">
        <v>3.7524987431996912</v>
      </c>
      <c r="BX96" s="2336">
        <v>3.77941583644236</v>
      </c>
      <c r="BY96" s="2336">
        <v>3.8063453194476748</v>
      </c>
      <c r="BZ96" s="2336">
        <v>3.83328524731925</v>
      </c>
      <c r="CA96" s="2336">
        <v>3.8602336761115037</v>
      </c>
      <c r="CB96" s="2336">
        <v>3.8871886634122195</v>
      </c>
      <c r="CC96" s="2336">
        <v>3.9141482689182414</v>
      </c>
      <c r="CD96" s="2336">
        <v>3.9411105550131653</v>
      </c>
      <c r="CE96" s="2336">
        <v>3.9680735873356343</v>
      </c>
      <c r="CF96" s="2336">
        <v>3.9950354353483388</v>
      </c>
      <c r="CG96" s="2336">
        <v>4.0219941728977613</v>
      </c>
      <c r="CH96" s="2336">
        <v>4.048947878772994</v>
      </c>
      <c r="CI96" s="2336">
        <v>4.0758946372567619</v>
      </c>
      <c r="CJ96" s="2336">
        <v>4.1028325386727191</v>
      </c>
      <c r="CK96" s="2336">
        <v>4.1297596799256757</v>
      </c>
      <c r="CL96" s="2336">
        <v>4.1566741650342411</v>
      </c>
      <c r="CM96" s="2336">
        <v>4.183574105661358</v>
      </c>
      <c r="CN96" s="2336">
        <v>4.2104576216347196</v>
      </c>
      <c r="CO96" s="2336">
        <v>4.2373228414594939</v>
      </c>
      <c r="CP96" s="2336">
        <v>4.264167902826733</v>
      </c>
      <c r="CQ96" s="2336">
        <v>4.2909909531110086</v>
      </c>
      <c r="CR96" s="2336">
        <v>4.3177901498638969</v>
      </c>
      <c r="CS96" s="2336">
        <v>4.3445636612962648</v>
      </c>
      <c r="CT96" s="2336">
        <v>4.3713096667513103</v>
      </c>
      <c r="CU96" s="2336">
        <v>4.3980263571745626</v>
      </c>
      <c r="CV96" s="2336">
        <v>4.4247119355694222</v>
      </c>
      <c r="CW96" s="2336">
        <v>4.4513646174459671</v>
      </c>
      <c r="CX96" s="2336">
        <v>4.4779826312619138</v>
      </c>
      <c r="CY96" s="2336">
        <v>4.5045642188510335</v>
      </c>
      <c r="CZ96" s="2336">
        <v>4.5311076358447213</v>
      </c>
      <c r="DA96" s="2336">
        <v>4.5576111520845126</v>
      </c>
      <c r="DB96" s="2336">
        <v>4.5840730520213873</v>
      </c>
      <c r="DC96" s="2336">
        <v>4.6104916351072784</v>
      </c>
      <c r="DD96" s="2336">
        <v>4.6368652161770232</v>
      </c>
      <c r="DE96" s="2336">
        <v>4.6631921258199664</v>
      </c>
      <c r="DF96" s="2336">
        <v>4.6894707107385161</v>
      </c>
      <c r="DG96" s="2336">
        <v>4.7156993341003082</v>
      </c>
      <c r="DH96" s="2336">
        <v>4.7418763758766804</v>
      </c>
      <c r="DI96" s="2336">
        <v>4.7680002331723204</v>
      </c>
      <c r="DJ96" s="2336">
        <v>4.7940693205440876</v>
      </c>
      <c r="DK96" s="2344">
        <v>4.8200820703071203</v>
      </c>
      <c r="DL96" s="2336">
        <v>4.8460369328337194</v>
      </c>
      <c r="DM96" s="2336">
        <v>4.8719323768370328</v>
      </c>
      <c r="DN96" s="2336">
        <v>4.8977668896486275</v>
      </c>
      <c r="DO96" s="2336">
        <v>4.9235389774809564</v>
      </c>
      <c r="DP96" s="2336">
        <v>4.9492471656818449</v>
      </c>
      <c r="DQ96" s="2336">
        <v>4.9748899989762734</v>
      </c>
      <c r="DR96" s="2336">
        <v>5.0004660416974422</v>
      </c>
      <c r="DS96" s="2336">
        <v>5.0259738780097312</v>
      </c>
      <c r="DT96" s="2336">
        <v>5.0514121121153917</v>
      </c>
      <c r="DU96" s="2336">
        <v>5.076779368455405</v>
      </c>
    </row>
    <row r="97" spans="1:125" ht="14.25">
      <c r="A97" s="904">
        <v>95</v>
      </c>
      <c r="B97" s="92"/>
      <c r="C97" s="92"/>
      <c r="D97" s="92"/>
      <c r="E97" s="92"/>
      <c r="F97" s="92"/>
      <c r="G97" s="92"/>
      <c r="H97" s="92"/>
      <c r="I97" s="92"/>
      <c r="J97" s="92"/>
      <c r="K97" s="92"/>
      <c r="L97" s="92"/>
      <c r="M97" s="92"/>
      <c r="N97" s="92"/>
      <c r="O97" s="92"/>
      <c r="P97" s="92"/>
      <c r="Q97" s="92"/>
      <c r="R97" s="92"/>
      <c r="S97" s="92"/>
      <c r="T97" s="92"/>
      <c r="U97" s="92"/>
      <c r="V97" s="739"/>
      <c r="W97" s="2338">
        <v>2.58</v>
      </c>
      <c r="X97" s="2338">
        <v>2.4900000000000002</v>
      </c>
      <c r="Y97" s="2336">
        <v>2.5394412721743973</v>
      </c>
      <c r="Z97" s="2336">
        <v>2.5648014130365429</v>
      </c>
      <c r="AA97" s="2336">
        <v>2.6103496349083795</v>
      </c>
      <c r="AB97" s="2336">
        <v>2.4661846707304989</v>
      </c>
      <c r="AC97" s="2336">
        <v>2.4344967166737357</v>
      </c>
      <c r="AD97" s="2336">
        <v>2.4454388630574937</v>
      </c>
      <c r="AE97" s="2336">
        <v>2.4647917759091453</v>
      </c>
      <c r="AF97" s="2336">
        <v>2.4841979867715787</v>
      </c>
      <c r="AG97" s="2336">
        <v>2.5036566084944054</v>
      </c>
      <c r="AH97" s="2336">
        <v>2.5231667440782597</v>
      </c>
      <c r="AI97" s="2336">
        <v>2.5427274868385661</v>
      </c>
      <c r="AJ97" s="2336">
        <v>2.5623379206057657</v>
      </c>
      <c r="AK97" s="2336">
        <v>2.5819971198838263</v>
      </c>
      <c r="AL97" s="2336">
        <v>2.6017041500437776</v>
      </c>
      <c r="AM97" s="2336">
        <v>2.6214580675147063</v>
      </c>
      <c r="AN97" s="2336">
        <v>2.6412579199709625</v>
      </c>
      <c r="AO97" s="2336">
        <v>2.6611027465306898</v>
      </c>
      <c r="AP97" s="2336">
        <v>2.6809915779514015</v>
      </c>
      <c r="AQ97" s="2336">
        <v>2.7038345414734626</v>
      </c>
      <c r="AR97" s="2336">
        <v>2.7267325177155</v>
      </c>
      <c r="AS97" s="2336">
        <v>2.7496840100050304</v>
      </c>
      <c r="AT97" s="2336">
        <v>2.7726875088009106</v>
      </c>
      <c r="AU97" s="2336">
        <v>2.795741492104229</v>
      </c>
      <c r="AV97" s="2336">
        <v>2.8188444259076242</v>
      </c>
      <c r="AW97" s="2336">
        <v>2.8419947646226804</v>
      </c>
      <c r="AX97" s="2336">
        <v>2.8651909515272993</v>
      </c>
      <c r="AY97" s="2336">
        <v>2.8884314192209115</v>
      </c>
      <c r="AZ97" s="2336">
        <v>2.9117145900729855</v>
      </c>
      <c r="BA97" s="2336">
        <v>2.9350388766917153</v>
      </c>
      <c r="BB97" s="2336">
        <v>2.9584026823863332</v>
      </c>
      <c r="BC97" s="2336">
        <v>2.9818044016352294</v>
      </c>
      <c r="BD97" s="2336">
        <v>3.0052424205658186</v>
      </c>
      <c r="BE97" s="2336">
        <v>3.0287151174293045</v>
      </c>
      <c r="BF97" s="2336">
        <v>3.0522208630854459</v>
      </c>
      <c r="BG97" s="2336">
        <v>3.0757580214861298</v>
      </c>
      <c r="BH97" s="2336">
        <v>3.0993249501658084</v>
      </c>
      <c r="BI97" s="2336">
        <v>3.12292000073354</v>
      </c>
      <c r="BJ97" s="2336">
        <v>3.146541519361902</v>
      </c>
      <c r="BK97" s="2336">
        <v>3.1701878472895264</v>
      </c>
      <c r="BL97" s="2336">
        <v>3.1938573213143431</v>
      </c>
      <c r="BM97" s="2336">
        <v>3.2175482742925836</v>
      </c>
      <c r="BN97" s="2336">
        <v>3.241259035641328</v>
      </c>
      <c r="BO97" s="2336">
        <v>3.2649879318374673</v>
      </c>
      <c r="BP97" s="2336">
        <v>3.2887332869182533</v>
      </c>
      <c r="BQ97" s="2336">
        <v>3.312493422985249</v>
      </c>
      <c r="BR97" s="2336">
        <v>3.3362666607031524</v>
      </c>
      <c r="BS97" s="2336">
        <v>3.36005131980101</v>
      </c>
      <c r="BT97" s="2336">
        <v>3.3838457195718141</v>
      </c>
      <c r="BU97" s="2336">
        <v>3.4076481793731728</v>
      </c>
      <c r="BV97" s="2336">
        <v>3.4314570191194798</v>
      </c>
      <c r="BW97" s="2336">
        <v>3.4552705597825688</v>
      </c>
      <c r="BX97" s="2336">
        <v>3.4790871238811487</v>
      </c>
      <c r="BY97" s="2336">
        <v>3.5029050359726122</v>
      </c>
      <c r="BZ97" s="2336">
        <v>3.5267226231409392</v>
      </c>
      <c r="CA97" s="2336">
        <v>3.5505382154810365</v>
      </c>
      <c r="CB97" s="2336">
        <v>3.5743501465815628</v>
      </c>
      <c r="CC97" s="2336">
        <v>3.5981567539996213</v>
      </c>
      <c r="CD97" s="2336">
        <v>3.621956379738132</v>
      </c>
      <c r="CE97" s="2336">
        <v>3.6457473707123191</v>
      </c>
      <c r="CF97" s="2336">
        <v>3.6695280792176019</v>
      </c>
      <c r="CG97" s="2336">
        <v>3.6932968633870487</v>
      </c>
      <c r="CH97" s="2336">
        <v>3.7170520876485567</v>
      </c>
      <c r="CI97" s="2336">
        <v>3.7407921231736148</v>
      </c>
      <c r="CJ97" s="2336">
        <v>3.7645153483226874</v>
      </c>
      <c r="CK97" s="2336">
        <v>3.7882201490833358</v>
      </c>
      <c r="CL97" s="2336">
        <v>3.8119049195006243</v>
      </c>
      <c r="CM97" s="2336">
        <v>3.8355680621063835</v>
      </c>
      <c r="CN97" s="2336">
        <v>3.8592079883379964</v>
      </c>
      <c r="CO97" s="2336">
        <v>3.8828231189496871</v>
      </c>
      <c r="CP97" s="2336">
        <v>3.9064118844204145</v>
      </c>
      <c r="CQ97" s="2336">
        <v>3.9299727253508587</v>
      </c>
      <c r="CR97" s="2336">
        <v>3.953504092857409</v>
      </c>
      <c r="CS97" s="2336">
        <v>3.9770044489549652</v>
      </c>
      <c r="CT97" s="2336">
        <v>4.0004722669309913</v>
      </c>
      <c r="CU97" s="2336">
        <v>4.023906031718111</v>
      </c>
      <c r="CV97" s="2336">
        <v>4.0473042402520472</v>
      </c>
      <c r="CW97" s="2336">
        <v>4.0706654018239998</v>
      </c>
      <c r="CX97" s="2336">
        <v>4.0939880384262342</v>
      </c>
      <c r="CY97" s="2336">
        <v>4.1172706850855327</v>
      </c>
      <c r="CZ97" s="2336">
        <v>4.1405118901911884</v>
      </c>
      <c r="DA97" s="2336">
        <v>4.1637102158150432</v>
      </c>
      <c r="DB97" s="2336">
        <v>4.1868642380188659</v>
      </c>
      <c r="DC97" s="2336">
        <v>4.2099725471553855</v>
      </c>
      <c r="DD97" s="2336">
        <v>4.2330337481610103</v>
      </c>
      <c r="DE97" s="2336">
        <v>4.2560464608393724</v>
      </c>
      <c r="DF97" s="2336">
        <v>4.2790093201326966</v>
      </c>
      <c r="DG97" s="2336">
        <v>4.3019209763886481</v>
      </c>
      <c r="DH97" s="2336">
        <v>4.3247800956143747</v>
      </c>
      <c r="DI97" s="2336">
        <v>4.3475853597233405</v>
      </c>
      <c r="DJ97" s="2336">
        <v>4.3703354667727332</v>
      </c>
      <c r="DK97" s="2344">
        <v>4.393029131189313</v>
      </c>
      <c r="DL97" s="2336">
        <v>4.4156650839900253</v>
      </c>
      <c r="DM97" s="2336">
        <v>4.4382420729883121</v>
      </c>
      <c r="DN97" s="2336">
        <v>4.4607588629965065</v>
      </c>
      <c r="DO97" s="2336">
        <v>4.4832142360141161</v>
      </c>
      <c r="DP97" s="2336">
        <v>4.505606991410116</v>
      </c>
      <c r="DQ97" s="2336">
        <v>4.5279359460939075</v>
      </c>
      <c r="DR97" s="2336">
        <v>4.5501999346772539</v>
      </c>
      <c r="DS97" s="2336">
        <v>4.5723978096300995</v>
      </c>
      <c r="DT97" s="2336">
        <v>4.5945284414211383</v>
      </c>
      <c r="DU97" s="2336">
        <v>4.6165907186548729</v>
      </c>
    </row>
    <row r="98" spans="1:125" ht="14.25">
      <c r="A98" s="904">
        <v>96</v>
      </c>
      <c r="B98" s="92"/>
      <c r="C98" s="92"/>
      <c r="D98" s="92"/>
      <c r="E98" s="92"/>
      <c r="F98" s="92"/>
      <c r="G98" s="92"/>
      <c r="H98" s="92"/>
      <c r="I98" s="92"/>
      <c r="J98" s="92"/>
      <c r="K98" s="92"/>
      <c r="L98" s="92"/>
      <c r="M98" s="92"/>
      <c r="N98" s="92"/>
      <c r="O98" s="92"/>
      <c r="P98" s="92"/>
      <c r="Q98" s="92"/>
      <c r="R98" s="92"/>
      <c r="S98" s="92"/>
      <c r="T98" s="92"/>
      <c r="U98" s="92"/>
      <c r="V98" s="739"/>
      <c r="W98" s="2338">
        <v>2.41</v>
      </c>
      <c r="X98" s="2338">
        <v>2.33</v>
      </c>
      <c r="Y98" s="2336">
        <v>2.3725635736567257</v>
      </c>
      <c r="Z98" s="2336">
        <v>2.3955211572608706</v>
      </c>
      <c r="AA98" s="2336">
        <v>2.4367255504482519</v>
      </c>
      <c r="AB98" s="2336">
        <v>2.3061819929204606</v>
      </c>
      <c r="AC98" s="2336">
        <v>2.2774375296984761</v>
      </c>
      <c r="AD98" s="2336">
        <v>2.2873653545034589</v>
      </c>
      <c r="AE98" s="2336">
        <v>2.3049188723154392</v>
      </c>
      <c r="AF98" s="2336">
        <v>2.3225138305399264</v>
      </c>
      <c r="AG98" s="2336">
        <v>2.3401494091314761</v>
      </c>
      <c r="AH98" s="2336">
        <v>2.3578247804508035</v>
      </c>
      <c r="AI98" s="2336">
        <v>2.3755391094127076</v>
      </c>
      <c r="AJ98" s="2336">
        <v>2.3932915536829644</v>
      </c>
      <c r="AK98" s="2336">
        <v>2.4110812638138457</v>
      </c>
      <c r="AL98" s="2336">
        <v>2.4289073834267327</v>
      </c>
      <c r="AM98" s="2336">
        <v>2.4467690493886702</v>
      </c>
      <c r="AN98" s="2336">
        <v>2.4646653919813692</v>
      </c>
      <c r="AO98" s="2336">
        <v>2.4825955350837874</v>
      </c>
      <c r="AP98" s="2336">
        <v>2.5005585963484434</v>
      </c>
      <c r="AQ98" s="2336">
        <v>2.5211813515587282</v>
      </c>
      <c r="AR98" s="2336">
        <v>2.5418448165696126</v>
      </c>
      <c r="AS98" s="2336">
        <v>2.5625476355870505</v>
      </c>
      <c r="AT98" s="2336">
        <v>2.5832884434824197</v>
      </c>
      <c r="AU98" s="2336">
        <v>2.6040658661538032</v>
      </c>
      <c r="AV98" s="2336">
        <v>2.6248785209355003</v>
      </c>
      <c r="AW98" s="2336">
        <v>2.64572501697383</v>
      </c>
      <c r="AX98" s="2336">
        <v>2.6666039556262939</v>
      </c>
      <c r="AY98" s="2336">
        <v>2.687513930867627</v>
      </c>
      <c r="AZ98" s="2336">
        <v>2.7084535296834105</v>
      </c>
      <c r="BA98" s="2336">
        <v>2.7294213324874192</v>
      </c>
      <c r="BB98" s="2336">
        <v>2.7504159135272612</v>
      </c>
      <c r="BC98" s="2336">
        <v>2.7714358412948257</v>
      </c>
      <c r="BD98" s="2336">
        <v>2.7924796789494484</v>
      </c>
      <c r="BE98" s="2336">
        <v>2.8135459847316122</v>
      </c>
      <c r="BF98" s="2336">
        <v>2.8346333123873326</v>
      </c>
      <c r="BG98" s="2336">
        <v>2.8557402115885928</v>
      </c>
      <c r="BH98" s="2336">
        <v>2.8768652283605265</v>
      </c>
      <c r="BI98" s="2336">
        <v>2.8980069055086108</v>
      </c>
      <c r="BJ98" s="2336">
        <v>2.919163783039886</v>
      </c>
      <c r="BK98" s="2336">
        <v>2.9403343986000801</v>
      </c>
      <c r="BL98" s="2336">
        <v>2.9615172878970273</v>
      </c>
      <c r="BM98" s="2336">
        <v>2.9827109851300935</v>
      </c>
      <c r="BN98" s="2336">
        <v>3.0039140234227886</v>
      </c>
      <c r="BO98" s="2336">
        <v>3.0251249352495826</v>
      </c>
      <c r="BP98" s="2336">
        <v>3.0463422528637083</v>
      </c>
      <c r="BQ98" s="2336">
        <v>3.06756450872839</v>
      </c>
      <c r="BR98" s="2336">
        <v>3.0887902359407495</v>
      </c>
      <c r="BS98" s="2336">
        <v>3.1100179686581289</v>
      </c>
      <c r="BT98" s="2336">
        <v>3.1312462425218603</v>
      </c>
      <c r="BU98" s="2336">
        <v>3.1524735950819975</v>
      </c>
      <c r="BV98" s="2336">
        <v>3.1736985662111072</v>
      </c>
      <c r="BW98" s="2336">
        <v>3.1949196985286323</v>
      </c>
      <c r="BX98" s="2336">
        <v>3.2161355378111618</v>
      </c>
      <c r="BY98" s="2336">
        <v>3.2373446334058325</v>
      </c>
      <c r="BZ98" s="2336">
        <v>3.2585455386391167</v>
      </c>
      <c r="CA98" s="2336">
        <v>3.2797368112215382</v>
      </c>
      <c r="CB98" s="2336">
        <v>3.3009170136510084</v>
      </c>
      <c r="CC98" s="2336">
        <v>3.3220847136066891</v>
      </c>
      <c r="CD98" s="2336">
        <v>3.3432384843469052</v>
      </c>
      <c r="CE98" s="2336">
        <v>3.3643769050944332</v>
      </c>
      <c r="CF98" s="2336">
        <v>3.3854985614244693</v>
      </c>
      <c r="CG98" s="2336">
        <v>3.4066020456408048</v>
      </c>
      <c r="CH98" s="2336">
        <v>3.4276859571528138</v>
      </c>
      <c r="CI98" s="2336">
        <v>3.4487489028433727</v>
      </c>
      <c r="CJ98" s="2336">
        <v>3.4697894974339891</v>
      </c>
      <c r="CK98" s="2336">
        <v>3.490806363842498</v>
      </c>
      <c r="CL98" s="2336">
        <v>3.5117981335329014</v>
      </c>
      <c r="CM98" s="2336">
        <v>3.5327634468654159</v>
      </c>
      <c r="CN98" s="2336">
        <v>3.5537009534354991</v>
      </c>
      <c r="CO98" s="2336">
        <v>3.5746093124055718</v>
      </c>
      <c r="CP98" s="2336">
        <v>3.5954871928344994</v>
      </c>
      <c r="CQ98" s="2336">
        <v>3.6163332739958238</v>
      </c>
      <c r="CR98" s="2336">
        <v>3.6371462456943906</v>
      </c>
      <c r="CS98" s="2336">
        <v>3.6579248085715719</v>
      </c>
      <c r="CT98" s="2336">
        <v>3.6786676744021456</v>
      </c>
      <c r="CU98" s="2336">
        <v>3.6993735663916092</v>
      </c>
      <c r="CV98" s="2336">
        <v>3.7200412194581998</v>
      </c>
      <c r="CW98" s="2336">
        <v>3.7406693805105919</v>
      </c>
      <c r="CX98" s="2336">
        <v>3.7612568087198563</v>
      </c>
      <c r="CY98" s="2336">
        <v>3.7818022757793788</v>
      </c>
      <c r="CZ98" s="2336">
        <v>3.8023045661607564</v>
      </c>
      <c r="DA98" s="2336">
        <v>3.8227624773627285</v>
      </c>
      <c r="DB98" s="2336">
        <v>3.8431748201476714</v>
      </c>
      <c r="DC98" s="2336">
        <v>3.8635404187731588</v>
      </c>
      <c r="DD98" s="2336">
        <v>3.8838581112163091</v>
      </c>
      <c r="DE98" s="2336">
        <v>3.904126749389949</v>
      </c>
      <c r="DF98" s="2336">
        <v>3.9243451993471203</v>
      </c>
      <c r="DG98" s="2336">
        <v>3.9445123414829699</v>
      </c>
      <c r="DH98" s="2336">
        <v>3.9646270707243083</v>
      </c>
      <c r="DI98" s="2336">
        <v>3.9846882967134696</v>
      </c>
      <c r="DJ98" s="2336">
        <v>4.0046949439838828</v>
      </c>
      <c r="DK98" s="2344">
        <v>4.0246459521249092</v>
      </c>
      <c r="DL98" s="2336">
        <v>4.0445402759433442</v>
      </c>
      <c r="DM98" s="2336">
        <v>4.0643768856110389</v>
      </c>
      <c r="DN98" s="2336">
        <v>4.0841547668107676</v>
      </c>
      <c r="DO98" s="2336">
        <v>4.1038729208684765</v>
      </c>
      <c r="DP98" s="2336">
        <v>4.1235303648813986</v>
      </c>
      <c r="DQ98" s="2336">
        <v>4.143126131835821</v>
      </c>
      <c r="DR98" s="2336">
        <v>4.1626592707172119</v>
      </c>
      <c r="DS98" s="2336">
        <v>4.1821288466160595</v>
      </c>
      <c r="DT98" s="2336">
        <v>4.2015339408189005</v>
      </c>
      <c r="DU98" s="2336">
        <v>4.2208736508980742</v>
      </c>
    </row>
    <row r="99" spans="1:125" ht="14.25">
      <c r="A99" s="904">
        <v>97</v>
      </c>
      <c r="B99" s="92"/>
      <c r="C99" s="92"/>
      <c r="D99" s="92"/>
      <c r="E99" s="92"/>
      <c r="F99" s="92"/>
      <c r="G99" s="92"/>
      <c r="H99" s="92"/>
      <c r="I99" s="92"/>
      <c r="J99" s="92"/>
      <c r="K99" s="92"/>
      <c r="L99" s="92"/>
      <c r="M99" s="92"/>
      <c r="N99" s="92"/>
      <c r="O99" s="92"/>
      <c r="P99" s="92"/>
      <c r="Q99" s="92"/>
      <c r="R99" s="92"/>
      <c r="S99" s="92"/>
      <c r="T99" s="92"/>
      <c r="U99" s="92"/>
      <c r="V99" s="739"/>
      <c r="W99" s="2338">
        <v>2.25</v>
      </c>
      <c r="X99" s="2338">
        <v>2.1800000000000002</v>
      </c>
      <c r="Y99" s="2336">
        <v>2.2238959515413388</v>
      </c>
      <c r="Z99" s="2336">
        <v>2.2447966599729723</v>
      </c>
      <c r="AA99" s="2336">
        <v>2.2822853705157979</v>
      </c>
      <c r="AB99" s="2336">
        <v>2.1634072792737222</v>
      </c>
      <c r="AC99" s="2336">
        <v>2.1371891168622437</v>
      </c>
      <c r="AD99" s="2336">
        <v>2.1462461554314856</v>
      </c>
      <c r="AE99" s="2336">
        <v>2.1622554972949959</v>
      </c>
      <c r="AF99" s="2336">
        <v>2.1782968565494607</v>
      </c>
      <c r="AG99" s="2336">
        <v>2.1943694760646064</v>
      </c>
      <c r="AH99" s="2336">
        <v>2.2104725928624021</v>
      </c>
      <c r="AI99" s="2336">
        <v>2.2266054382467182</v>
      </c>
      <c r="AJ99" s="2336">
        <v>2.242767238002366</v>
      </c>
      <c r="AK99" s="2336">
        <v>2.2589572125025841</v>
      </c>
      <c r="AL99" s="2336">
        <v>2.2751745768833733</v>
      </c>
      <c r="AM99" s="2336">
        <v>2.2914185412069141</v>
      </c>
      <c r="AN99" s="2336">
        <v>2.3076883106123138</v>
      </c>
      <c r="AO99" s="2336">
        <v>2.3239830854841403</v>
      </c>
      <c r="AP99" s="2336">
        <v>2.3403020616102559</v>
      </c>
      <c r="AQ99" s="2336">
        <v>2.359030286014407</v>
      </c>
      <c r="AR99" s="2336">
        <v>2.3777880019864788</v>
      </c>
      <c r="AS99" s="2336">
        <v>2.396573979009248</v>
      </c>
      <c r="AT99" s="2336">
        <v>2.4153869799128151</v>
      </c>
      <c r="AU99" s="2336">
        <v>2.434225761188717</v>
      </c>
      <c r="AV99" s="2336">
        <v>2.4530890733686186</v>
      </c>
      <c r="AW99" s="2336">
        <v>2.4719756613527375</v>
      </c>
      <c r="AX99" s="2336">
        <v>2.4908842647681508</v>
      </c>
      <c r="AY99" s="2336">
        <v>2.5098136183338293</v>
      </c>
      <c r="AZ99" s="2336">
        <v>2.5287624522058918</v>
      </c>
      <c r="BA99" s="2336">
        <v>2.5477294923531821</v>
      </c>
      <c r="BB99" s="2336">
        <v>2.5667134609143374</v>
      </c>
      <c r="BC99" s="2336">
        <v>2.5857130765593896</v>
      </c>
      <c r="BD99" s="2336">
        <v>2.6047270548666432</v>
      </c>
      <c r="BE99" s="2336">
        <v>2.6237541086847358</v>
      </c>
      <c r="BF99" s="2336">
        <v>2.6427929485074451</v>
      </c>
      <c r="BG99" s="2336">
        <v>2.6618422828415143</v>
      </c>
      <c r="BH99" s="2336">
        <v>2.6809008185820637</v>
      </c>
      <c r="BI99" s="2336">
        <v>2.6999672613866177</v>
      </c>
      <c r="BJ99" s="2336">
        <v>2.7190403160399117</v>
      </c>
      <c r="BK99" s="2336">
        <v>2.7381186868388521</v>
      </c>
      <c r="BL99" s="2336">
        <v>2.7572010779581491</v>
      </c>
      <c r="BM99" s="2336">
        <v>2.77628619382316</v>
      </c>
      <c r="BN99" s="2336">
        <v>2.7953727394861696</v>
      </c>
      <c r="BO99" s="2336">
        <v>2.8144594209943961</v>
      </c>
      <c r="BP99" s="2336">
        <v>2.8335449457588489</v>
      </c>
      <c r="BQ99" s="2336">
        <v>2.8526280229272896</v>
      </c>
      <c r="BR99" s="2336">
        <v>2.8717073637473525</v>
      </c>
      <c r="BS99" s="2336">
        <v>2.8907816819327152</v>
      </c>
      <c r="BT99" s="2336">
        <v>2.9098496940259206</v>
      </c>
      <c r="BU99" s="2336">
        <v>2.9289101197625365</v>
      </c>
      <c r="BV99" s="2336">
        <v>2.9479616824213499</v>
      </c>
      <c r="BW99" s="2336">
        <v>2.9670031091885907</v>
      </c>
      <c r="BX99" s="2336">
        <v>2.9860331315043447</v>
      </c>
      <c r="BY99" s="2336">
        <v>3.0050504854135838</v>
      </c>
      <c r="BZ99" s="2336">
        <v>3.0240539119118934</v>
      </c>
      <c r="CA99" s="2336">
        <v>3.0430421572867248</v>
      </c>
      <c r="CB99" s="2336">
        <v>3.062013973457725</v>
      </c>
      <c r="CC99" s="2336">
        <v>3.080968118305921</v>
      </c>
      <c r="CD99" s="2336">
        <v>3.0999033560091127</v>
      </c>
      <c r="CE99" s="2336">
        <v>3.1188184573623223</v>
      </c>
      <c r="CF99" s="2336">
        <v>3.1377122001028814</v>
      </c>
      <c r="CG99" s="2336">
        <v>3.1565833692218837</v>
      </c>
      <c r="CH99" s="2336">
        <v>3.175430757278074</v>
      </c>
      <c r="CI99" s="2336">
        <v>3.1942531647017591</v>
      </c>
      <c r="CJ99" s="2336">
        <v>3.2130494000967631</v>
      </c>
      <c r="CK99" s="2336">
        <v>3.2318182805346707</v>
      </c>
      <c r="CL99" s="2336">
        <v>3.2505586318409492</v>
      </c>
      <c r="CM99" s="2336">
        <v>3.2692692888830841</v>
      </c>
      <c r="CN99" s="2336">
        <v>3.2879490958467827</v>
      </c>
      <c r="CO99" s="2336">
        <v>3.3065969065049998</v>
      </c>
      <c r="CP99" s="2336">
        <v>3.3252115844861327</v>
      </c>
      <c r="CQ99" s="2336">
        <v>3.3437920035302851</v>
      </c>
      <c r="CR99" s="2336">
        <v>3.3623370477456054</v>
      </c>
      <c r="CS99" s="2336">
        <v>3.3808456118526511</v>
      </c>
      <c r="CT99" s="2336">
        <v>3.3993166014206677</v>
      </c>
      <c r="CU99" s="2336">
        <v>3.4177489331065947</v>
      </c>
      <c r="CV99" s="2336">
        <v>3.4361415348775513</v>
      </c>
      <c r="CW99" s="2336">
        <v>3.4544933462303264</v>
      </c>
      <c r="CX99" s="2336">
        <v>3.4728033184061777</v>
      </c>
      <c r="CY99" s="2336">
        <v>3.4910704145933029</v>
      </c>
      <c r="CZ99" s="2336">
        <v>3.5092936101268144</v>
      </c>
      <c r="DA99" s="2336">
        <v>3.5274718926826556</v>
      </c>
      <c r="DB99" s="2336">
        <v>3.5456042624588648</v>
      </c>
      <c r="DC99" s="2336">
        <v>3.5636897323533572</v>
      </c>
      <c r="DD99" s="2336">
        <v>3.5817273281354689</v>
      </c>
      <c r="DE99" s="2336">
        <v>3.5997160886101192</v>
      </c>
      <c r="DF99" s="2336">
        <v>3.617655065770454</v>
      </c>
      <c r="DG99" s="2336">
        <v>3.6355433249498943</v>
      </c>
      <c r="DH99" s="2336">
        <v>3.6533799449619102</v>
      </c>
      <c r="DI99" s="2336">
        <v>3.6711640182355185</v>
      </c>
      <c r="DJ99" s="2336">
        <v>3.6888946509434306</v>
      </c>
      <c r="DK99" s="2344">
        <v>3.7065709631199213</v>
      </c>
      <c r="DL99" s="2336">
        <v>3.7241920887773112</v>
      </c>
      <c r="DM99" s="2336">
        <v>3.7417571760084556</v>
      </c>
      <c r="DN99" s="2336">
        <v>3.7592653870897328</v>
      </c>
      <c r="DO99" s="2336">
        <v>3.7767158985703944</v>
      </c>
      <c r="DP99" s="2336">
        <v>3.7941079013595869</v>
      </c>
      <c r="DQ99" s="2336">
        <v>3.8114406008036537</v>
      </c>
      <c r="DR99" s="2336">
        <v>3.8287132167569422</v>
      </c>
      <c r="DS99" s="2336">
        <v>3.8459249836500762</v>
      </c>
      <c r="DT99" s="2336">
        <v>3.8630751505432492</v>
      </c>
      <c r="DU99" s="2336">
        <v>3.8801629811805474</v>
      </c>
    </row>
    <row r="100" spans="1:125" ht="14.25">
      <c r="A100" s="904">
        <v>98</v>
      </c>
      <c r="B100" s="92"/>
      <c r="C100" s="92"/>
      <c r="D100" s="92"/>
      <c r="E100" s="92"/>
      <c r="F100" s="92"/>
      <c r="G100" s="92"/>
      <c r="H100" s="92"/>
      <c r="I100" s="92"/>
      <c r="J100" s="92"/>
      <c r="K100" s="92"/>
      <c r="L100" s="92"/>
      <c r="M100" s="92"/>
      <c r="N100" s="92"/>
      <c r="O100" s="92"/>
      <c r="P100" s="92"/>
      <c r="Q100" s="92"/>
      <c r="R100" s="92"/>
      <c r="S100" s="92"/>
      <c r="T100" s="92"/>
      <c r="U100" s="92"/>
      <c r="V100" s="739"/>
      <c r="W100" s="2338">
        <v>2.12</v>
      </c>
      <c r="X100" s="2338">
        <v>2.0499999999999998</v>
      </c>
      <c r="Y100" s="2336">
        <v>2.0917521596794133</v>
      </c>
      <c r="Z100" s="2336">
        <v>2.1108915500192511</v>
      </c>
      <c r="AA100" s="2336">
        <v>2.1452009014947229</v>
      </c>
      <c r="AB100" s="2336">
        <v>2.0363150549861246</v>
      </c>
      <c r="AC100" s="2336">
        <v>2.0122650415513093</v>
      </c>
      <c r="AD100" s="2336">
        <v>2.0205745694569761</v>
      </c>
      <c r="AE100" s="2336">
        <v>2.0352587947047192</v>
      </c>
      <c r="AF100" s="2336">
        <v>2.0499675297809445</v>
      </c>
      <c r="AG100" s="2336">
        <v>2.0647000747532016</v>
      </c>
      <c r="AH100" s="2336">
        <v>2.0794557251866088</v>
      </c>
      <c r="AI100" s="2336">
        <v>2.0942337722525917</v>
      </c>
      <c r="AJ100" s="2336">
        <v>2.1090335029404943</v>
      </c>
      <c r="AK100" s="2336">
        <v>2.1238542001294851</v>
      </c>
      <c r="AL100" s="2336">
        <v>2.1386951427597953</v>
      </c>
      <c r="AM100" s="2336">
        <v>2.1535556059857042</v>
      </c>
      <c r="AN100" s="2336">
        <v>2.1684348613082047</v>
      </c>
      <c r="AO100" s="2336">
        <v>2.1833321767327512</v>
      </c>
      <c r="AP100" s="2336">
        <v>2.1982468169097658</v>
      </c>
      <c r="AQ100" s="2336">
        <v>2.2153574834226819</v>
      </c>
      <c r="AR100" s="2336">
        <v>2.2324888119397621</v>
      </c>
      <c r="AS100" s="2336">
        <v>2.2496396814190738</v>
      </c>
      <c r="AT100" s="2336">
        <v>2.2668089662025759</v>
      </c>
      <c r="AU100" s="2336">
        <v>2.2839955362846069</v>
      </c>
      <c r="AV100" s="2336">
        <v>2.3011982576715138</v>
      </c>
      <c r="AW100" s="2336">
        <v>2.3184159926662069</v>
      </c>
      <c r="AX100" s="2336">
        <v>2.3356476001937989</v>
      </c>
      <c r="AY100" s="2336">
        <v>2.3528919361346037</v>
      </c>
      <c r="AZ100" s="2336">
        <v>2.3701478536270022</v>
      </c>
      <c r="BA100" s="2336">
        <v>2.3874142034116619</v>
      </c>
      <c r="BB100" s="2336">
        <v>2.4046898341476735</v>
      </c>
      <c r="BC100" s="2336">
        <v>2.4219735927336701</v>
      </c>
      <c r="BD100" s="2336">
        <v>2.4392643246489532</v>
      </c>
      <c r="BE100" s="2336">
        <v>2.4565608742724101</v>
      </c>
      <c r="BF100" s="2336">
        <v>2.4738620852181161</v>
      </c>
      <c r="BG100" s="2336">
        <v>2.4911668006600625</v>
      </c>
      <c r="BH100" s="2336">
        <v>2.5084738636664676</v>
      </c>
      <c r="BI100" s="2336">
        <v>2.5257821175312523</v>
      </c>
      <c r="BJ100" s="2336">
        <v>2.54309040609209</v>
      </c>
      <c r="BK100" s="2336">
        <v>2.5603975740755911</v>
      </c>
      <c r="BL100" s="2336">
        <v>2.577702467415329</v>
      </c>
      <c r="BM100" s="2336">
        <v>2.5950039335794379</v>
      </c>
      <c r="BN100" s="2336">
        <v>2.6123008219025663</v>
      </c>
      <c r="BO100" s="2336">
        <v>2.6295919839063626</v>
      </c>
      <c r="BP100" s="2336">
        <v>2.6468762736210758</v>
      </c>
      <c r="BQ100" s="2336">
        <v>2.6641525479127433</v>
      </c>
      <c r="BR100" s="2336">
        <v>2.6814196667971912</v>
      </c>
      <c r="BS100" s="2336">
        <v>2.6986764937584353</v>
      </c>
      <c r="BT100" s="2336">
        <v>2.7159218960629166</v>
      </c>
      <c r="BU100" s="2336">
        <v>2.733154745075943</v>
      </c>
      <c r="BV100" s="2336">
        <v>2.7503739165600565</v>
      </c>
      <c r="BW100" s="2336">
        <v>2.7675782909927324</v>
      </c>
      <c r="BX100" s="2336">
        <v>2.7847667538611098</v>
      </c>
      <c r="BY100" s="2336">
        <v>2.8019381959637077</v>
      </c>
      <c r="BZ100" s="2336">
        <v>2.8190915137060295</v>
      </c>
      <c r="CA100" s="2336">
        <v>2.8362256093912652</v>
      </c>
      <c r="CB100" s="2336">
        <v>2.8533393915108691</v>
      </c>
      <c r="CC100" s="2336">
        <v>2.8704317750216757</v>
      </c>
      <c r="CD100" s="2336">
        <v>2.8875016816324286</v>
      </c>
      <c r="CE100" s="2336">
        <v>2.904548040072064</v>
      </c>
      <c r="CF100" s="2336">
        <v>2.9215697863654917</v>
      </c>
      <c r="CG100" s="2336">
        <v>2.9385658640930759</v>
      </c>
      <c r="CH100" s="2336">
        <v>2.9555352246548727</v>
      </c>
      <c r="CI100" s="2336">
        <v>2.9724768275235269</v>
      </c>
      <c r="CJ100" s="2336">
        <v>2.9893896404963374</v>
      </c>
      <c r="CK100" s="2336">
        <v>3.0062726399391031</v>
      </c>
      <c r="CL100" s="2336">
        <v>3.023124811021348</v>
      </c>
      <c r="CM100" s="2336">
        <v>3.0399451479559976</v>
      </c>
      <c r="CN100" s="2336">
        <v>3.0567326542256334</v>
      </c>
      <c r="CO100" s="2336">
        <v>3.0734863428015595</v>
      </c>
      <c r="CP100" s="2336">
        <v>3.0902052363638406</v>
      </c>
      <c r="CQ100" s="2336">
        <v>3.1068883675081778</v>
      </c>
      <c r="CR100" s="2336">
        <v>3.1235347789549959</v>
      </c>
      <c r="CS100" s="2336">
        <v>3.1401435237454547</v>
      </c>
      <c r="CT100" s="2336">
        <v>3.156713665429439</v>
      </c>
      <c r="CU100" s="2336">
        <v>3.1732442782592098</v>
      </c>
      <c r="CV100" s="2336">
        <v>3.1897344473644269</v>
      </c>
      <c r="CW100" s="2336">
        <v>3.2061832689257117</v>
      </c>
      <c r="CX100" s="2336">
        <v>3.2225898503446131</v>
      </c>
      <c r="CY100" s="2336">
        <v>3.2389533104004218</v>
      </c>
      <c r="CZ100" s="2336">
        <v>3.255272779406245</v>
      </c>
      <c r="DA100" s="2336">
        <v>3.2715473993598465</v>
      </c>
      <c r="DB100" s="2336">
        <v>3.2877763240810891</v>
      </c>
      <c r="DC100" s="2336">
        <v>3.3039587193474684</v>
      </c>
      <c r="DD100" s="2336">
        <v>3.3200937630242922</v>
      </c>
      <c r="DE100" s="2336">
        <v>3.3361806451881182</v>
      </c>
      <c r="DF100" s="2336">
        <v>3.3522185682383485</v>
      </c>
      <c r="DG100" s="2336">
        <v>3.3682067470105399</v>
      </c>
      <c r="DH100" s="2336">
        <v>3.3841444088769856</v>
      </c>
      <c r="DI100" s="2336">
        <v>3.4000307938444712</v>
      </c>
      <c r="DJ100" s="2336">
        <v>3.4158651546454242</v>
      </c>
      <c r="DK100" s="2344">
        <v>3.4316467568188571</v>
      </c>
      <c r="DL100" s="2336">
        <v>3.4473748787920639</v>
      </c>
      <c r="DM100" s="2336">
        <v>3.4630488119475831</v>
      </c>
      <c r="DN100" s="2336">
        <v>3.4786678606931991</v>
      </c>
      <c r="DO100" s="2336">
        <v>3.4942313425176796</v>
      </c>
      <c r="DP100" s="2336">
        <v>3.5097385880460847</v>
      </c>
      <c r="DQ100" s="2336">
        <v>3.525188941085609</v>
      </c>
      <c r="DR100" s="2336">
        <v>3.5405817586658945</v>
      </c>
      <c r="DS100" s="2336">
        <v>3.5559164110786283</v>
      </c>
      <c r="DT100" s="2336">
        <v>3.57119228190128</v>
      </c>
      <c r="DU100" s="2336">
        <v>3.5864087680244294</v>
      </c>
    </row>
    <row r="101" spans="1:125" ht="14.25">
      <c r="A101" s="904">
        <v>99</v>
      </c>
      <c r="B101" s="92"/>
      <c r="C101" s="92"/>
      <c r="D101" s="92"/>
      <c r="E101" s="92"/>
      <c r="F101" s="92"/>
      <c r="G101" s="92"/>
      <c r="H101" s="92"/>
      <c r="I101" s="92"/>
      <c r="J101" s="92"/>
      <c r="K101" s="92"/>
      <c r="L101" s="92"/>
      <c r="M101" s="92"/>
      <c r="N101" s="92"/>
      <c r="O101" s="92"/>
      <c r="P101" s="92"/>
      <c r="Q101" s="92"/>
      <c r="R101" s="92"/>
      <c r="S101" s="92"/>
      <c r="T101" s="92"/>
      <c r="U101" s="92"/>
      <c r="V101" s="739"/>
      <c r="W101" s="2338">
        <v>2</v>
      </c>
      <c r="X101" s="2338">
        <v>1.94</v>
      </c>
      <c r="Y101" s="2336">
        <v>1.974543236562972</v>
      </c>
      <c r="Z101" s="2336">
        <v>1.9921735110850343</v>
      </c>
      <c r="AA101" s="2336">
        <v>2.0237605499598841</v>
      </c>
      <c r="AB101" s="2336">
        <v>1.9234384323240625</v>
      </c>
      <c r="AC101" s="2336">
        <v>1.9012497602700298</v>
      </c>
      <c r="AD101" s="2336">
        <v>1.9089174233025616</v>
      </c>
      <c r="AE101" s="2336">
        <v>1.9224641522863255</v>
      </c>
      <c r="AF101" s="2336">
        <v>1.9360293818387748</v>
      </c>
      <c r="AG101" s="2336">
        <v>1.9496124626586708</v>
      </c>
      <c r="AH101" s="2336">
        <v>1.9632127419751932</v>
      </c>
      <c r="AI101" s="2336">
        <v>1.9768295636313642</v>
      </c>
      <c r="AJ101" s="2336">
        <v>1.9904622683263442</v>
      </c>
      <c r="AK101" s="2336">
        <v>2.0041101936384669</v>
      </c>
      <c r="AL101" s="2336">
        <v>2.017772674202019</v>
      </c>
      <c r="AM101" s="2336">
        <v>2.0314490418538838</v>
      </c>
      <c r="AN101" s="2336">
        <v>2.0451386257477293</v>
      </c>
      <c r="AO101" s="2336">
        <v>2.0588407525056382</v>
      </c>
      <c r="AP101" s="2336">
        <v>2.0725547463422096</v>
      </c>
      <c r="AQ101" s="2336">
        <v>2.0882829898766007</v>
      </c>
      <c r="AR101" s="2336">
        <v>2.1040249013289056</v>
      </c>
      <c r="AS101" s="2336">
        <v>2.1197794537540529</v>
      </c>
      <c r="AT101" s="2336">
        <v>2.1355456171494374</v>
      </c>
      <c r="AU101" s="2336">
        <v>2.1513223586765973</v>
      </c>
      <c r="AV101" s="2336">
        <v>2.1671086430173601</v>
      </c>
      <c r="AW101" s="2336">
        <v>2.1829034326159391</v>
      </c>
      <c r="AX101" s="2336">
        <v>2.1987056879807665</v>
      </c>
      <c r="AY101" s="2336">
        <v>2.2145143679953074</v>
      </c>
      <c r="AZ101" s="2336">
        <v>2.2303284301830315</v>
      </c>
      <c r="BA101" s="2336">
        <v>2.2461468310317971</v>
      </c>
      <c r="BB101" s="2336">
        <v>2.2619685262756644</v>
      </c>
      <c r="BC101" s="2336">
        <v>2.2777924711830564</v>
      </c>
      <c r="BD101" s="2336">
        <v>2.2936176208728654</v>
      </c>
      <c r="BE101" s="2336">
        <v>2.3094429305973847</v>
      </c>
      <c r="BF101" s="2336">
        <v>2.3252673560485717</v>
      </c>
      <c r="BG101" s="2336">
        <v>2.3410898536479201</v>
      </c>
      <c r="BH101" s="2336">
        <v>2.3569093808494963</v>
      </c>
      <c r="BI101" s="2336">
        <v>2.3727248964383394</v>
      </c>
      <c r="BJ101" s="2336">
        <v>2.3885353608094477</v>
      </c>
      <c r="BK101" s="2336">
        <v>2.4043397362850247</v>
      </c>
      <c r="BL101" s="2336">
        <v>2.4201369873929481</v>
      </c>
      <c r="BM101" s="2336">
        <v>2.4359260811588443</v>
      </c>
      <c r="BN101" s="2336">
        <v>2.4517059874042415</v>
      </c>
      <c r="BO101" s="2336">
        <v>2.4674756790287318</v>
      </c>
      <c r="BP101" s="2336">
        <v>2.4832341322939979</v>
      </c>
      <c r="BQ101" s="2336">
        <v>2.4989803271159197</v>
      </c>
      <c r="BR101" s="2336">
        <v>2.514713247338733</v>
      </c>
      <c r="BS101" s="2336">
        <v>2.5304318810158719</v>
      </c>
      <c r="BT101" s="2336">
        <v>2.5461352206856334</v>
      </c>
      <c r="BU101" s="2336">
        <v>2.5618222636505656</v>
      </c>
      <c r="BV101" s="2336">
        <v>2.5774920122327916</v>
      </c>
      <c r="BW101" s="2336">
        <v>2.5931434740567902</v>
      </c>
      <c r="BX101" s="2336">
        <v>2.608775662301611</v>
      </c>
      <c r="BY101" s="2336">
        <v>2.6243875959637428</v>
      </c>
      <c r="BZ101" s="2336">
        <v>2.6399783001127592</v>
      </c>
      <c r="CA101" s="2336">
        <v>2.6555468061415115</v>
      </c>
      <c r="CB101" s="2336">
        <v>2.6710921520174185</v>
      </c>
      <c r="CC101" s="2336">
        <v>2.6866133825169229</v>
      </c>
      <c r="CD101" s="2336">
        <v>2.7021095494740885</v>
      </c>
      <c r="CE101" s="2336">
        <v>2.7175797120060956</v>
      </c>
      <c r="CF101" s="2336">
        <v>2.733022936750392</v>
      </c>
      <c r="CG101" s="2336">
        <v>2.7484382980816013</v>
      </c>
      <c r="CH101" s="2336">
        <v>2.7638248783365187</v>
      </c>
      <c r="CI101" s="2336">
        <v>2.7791817680256776</v>
      </c>
      <c r="CJ101" s="2336">
        <v>2.7945080660456294</v>
      </c>
      <c r="CK101" s="2336">
        <v>2.8098028798821346</v>
      </c>
      <c r="CL101" s="2336">
        <v>2.8250653258038683</v>
      </c>
      <c r="CM101" s="2336">
        <v>2.8402945290639545</v>
      </c>
      <c r="CN101" s="2336">
        <v>2.855489624085735</v>
      </c>
      <c r="CO101" s="2336">
        <v>2.8706497546411476</v>
      </c>
      <c r="CP101" s="2336">
        <v>2.8857740740324576</v>
      </c>
      <c r="CQ101" s="2336">
        <v>2.9008617452588306</v>
      </c>
      <c r="CR101" s="2336">
        <v>2.9159119411879408</v>
      </c>
      <c r="CS101" s="2336">
        <v>2.9309238447126567</v>
      </c>
      <c r="CT101" s="2336">
        <v>2.945896648899522</v>
      </c>
      <c r="CU101" s="2336">
        <v>2.9608295571468153</v>
      </c>
      <c r="CV101" s="2336">
        <v>2.9757217833206497</v>
      </c>
      <c r="CW101" s="2336">
        <v>2.9905725518914883</v>
      </c>
      <c r="CX101" s="2336">
        <v>3.0053810980682871</v>
      </c>
      <c r="CY101" s="2336">
        <v>3.0201466679179712</v>
      </c>
      <c r="CZ101" s="2336">
        <v>3.0348685184863062</v>
      </c>
      <c r="DA101" s="2336">
        <v>3.0495459179143336</v>
      </c>
      <c r="DB101" s="2336">
        <v>3.0641781455399615</v>
      </c>
      <c r="DC101" s="2336">
        <v>3.0787644919994888</v>
      </c>
      <c r="DD101" s="2336">
        <v>3.0933042593246189</v>
      </c>
      <c r="DE101" s="2336">
        <v>3.1077967610332151</v>
      </c>
      <c r="DF101" s="2336">
        <v>3.1222413222073206</v>
      </c>
      <c r="DG101" s="2336">
        <v>3.1366372795757465</v>
      </c>
      <c r="DH101" s="2336">
        <v>3.1509839815828147</v>
      </c>
      <c r="DI101" s="2336">
        <v>3.1652807884558811</v>
      </c>
      <c r="DJ101" s="2336">
        <v>3.1795270722668327</v>
      </c>
      <c r="DK101" s="2344">
        <v>3.1937222169830153</v>
      </c>
      <c r="DL101" s="2336">
        <v>3.2078656185214403</v>
      </c>
      <c r="DM101" s="2336">
        <v>3.2219566847867362</v>
      </c>
      <c r="DN101" s="2336">
        <v>3.2359948357152186</v>
      </c>
      <c r="DO101" s="2336">
        <v>3.2499795033033183</v>
      </c>
      <c r="DP101" s="2336">
        <v>3.2639101316377417</v>
      </c>
      <c r="DQ101" s="2336">
        <v>3.2777861769160181</v>
      </c>
      <c r="DR101" s="2336">
        <v>3.2916071074623701</v>
      </c>
      <c r="DS101" s="2336">
        <v>3.3053724037448786</v>
      </c>
      <c r="DT101" s="2336">
        <v>3.3190815583750606</v>
      </c>
      <c r="DU101" s="2336">
        <v>3.3327340761140922</v>
      </c>
    </row>
    <row r="102" spans="1:125" ht="14.25">
      <c r="A102" s="904">
        <v>100</v>
      </c>
      <c r="B102" s="92"/>
      <c r="C102" s="92"/>
      <c r="D102" s="92"/>
      <c r="E102" s="92"/>
      <c r="F102" s="92"/>
      <c r="G102" s="92"/>
      <c r="H102" s="92"/>
      <c r="I102" s="92"/>
      <c r="J102" s="92"/>
      <c r="K102" s="92"/>
      <c r="L102" s="92"/>
      <c r="M102" s="92"/>
      <c r="N102" s="92"/>
      <c r="O102" s="92"/>
      <c r="P102" s="92"/>
      <c r="Q102" s="92"/>
      <c r="R102" s="92"/>
      <c r="S102" s="92"/>
      <c r="T102" s="92"/>
      <c r="U102" s="92"/>
      <c r="V102" s="739"/>
      <c r="W102" s="2338">
        <v>1.89</v>
      </c>
      <c r="X102" s="2338">
        <v>1.83</v>
      </c>
      <c r="Y102" s="2336">
        <v>1.8707796534430203</v>
      </c>
      <c r="Z102" s="2336">
        <v>1.8871154938201291</v>
      </c>
      <c r="AA102" s="2336">
        <v>1.9163687592390877</v>
      </c>
      <c r="AB102" s="2336">
        <v>1.82339375426864</v>
      </c>
      <c r="AC102" s="2336">
        <v>1.802804251274132</v>
      </c>
      <c r="AD102" s="2336">
        <v>1.809920361683955</v>
      </c>
      <c r="AE102" s="2336">
        <v>1.8224898897959987</v>
      </c>
      <c r="AF102" s="2336">
        <v>1.8350730693950406</v>
      </c>
      <c r="AG102" s="2336">
        <v>1.8476692947834648</v>
      </c>
      <c r="AH102" s="2336">
        <v>1.8602779575883444</v>
      </c>
      <c r="AI102" s="2336">
        <v>1.8728984468110625</v>
      </c>
      <c r="AJ102" s="2336">
        <v>1.8855301491316923</v>
      </c>
      <c r="AK102" s="2336">
        <v>1.8981724488584426</v>
      </c>
      <c r="AL102" s="2336">
        <v>1.9108247281242128</v>
      </c>
      <c r="AM102" s="2336">
        <v>1.9234863670327651</v>
      </c>
      <c r="AN102" s="2336">
        <v>1.9361567437522695</v>
      </c>
      <c r="AO102" s="2336">
        <v>1.9488352346674385</v>
      </c>
      <c r="AP102" s="2336">
        <v>1.9615212144871168</v>
      </c>
      <c r="AQ102" s="2336">
        <v>1.976066165389843</v>
      </c>
      <c r="AR102" s="2336">
        <v>1.9906191810537628</v>
      </c>
      <c r="AS102" s="2336">
        <v>2.0051793139814524</v>
      </c>
      <c r="AT102" s="2336">
        <v>2.0197456148395214</v>
      </c>
      <c r="AU102" s="2336">
        <v>2.0343171326268044</v>
      </c>
      <c r="AV102" s="2336">
        <v>2.0488929150487967</v>
      </c>
      <c r="AW102" s="2336">
        <v>2.0634720087145308</v>
      </c>
      <c r="AX102" s="2336">
        <v>2.0780534594243449</v>
      </c>
      <c r="AY102" s="2336">
        <v>2.0926363124696064</v>
      </c>
      <c r="AZ102" s="2336">
        <v>2.1072196128615879</v>
      </c>
      <c r="BA102" s="2336">
        <v>2.1218024056494427</v>
      </c>
      <c r="BB102" s="2336">
        <v>2.1363837361725664</v>
      </c>
      <c r="BC102" s="2336">
        <v>2.1509626503220431</v>
      </c>
      <c r="BD102" s="2336">
        <v>2.1655381948431027</v>
      </c>
      <c r="BE102" s="2336">
        <v>2.1801094175872389</v>
      </c>
      <c r="BF102" s="2336">
        <v>2.1946753677986424</v>
      </c>
      <c r="BG102" s="2336">
        <v>2.2092350963758278</v>
      </c>
      <c r="BH102" s="2336">
        <v>2.2237876561524343</v>
      </c>
      <c r="BI102" s="2336">
        <v>2.2383321021708431</v>
      </c>
      <c r="BJ102" s="2336">
        <v>2.2528674919272969</v>
      </c>
      <c r="BK102" s="2336">
        <v>2.2673928856730359</v>
      </c>
      <c r="BL102" s="2336">
        <v>2.2819073466586968</v>
      </c>
      <c r="BM102" s="2336">
        <v>2.2964099413989305</v>
      </c>
      <c r="BN102" s="2336">
        <v>2.3108997399460036</v>
      </c>
      <c r="BO102" s="2336">
        <v>2.3253758161405944</v>
      </c>
      <c r="BP102" s="2336">
        <v>2.3398372478658622</v>
      </c>
      <c r="BQ102" s="2336">
        <v>2.3542831173136358</v>
      </c>
      <c r="BR102" s="2336">
        <v>2.3687125112254783</v>
      </c>
      <c r="BS102" s="2336">
        <v>2.3831245211441359</v>
      </c>
      <c r="BT102" s="2336">
        <v>2.3975182436584155</v>
      </c>
      <c r="BU102" s="2336">
        <v>2.4118927806542052</v>
      </c>
      <c r="BV102" s="2336">
        <v>2.4262472395324335</v>
      </c>
      <c r="BW102" s="2336">
        <v>2.4405807334669709</v>
      </c>
      <c r="BX102" s="2336">
        <v>2.4548923816204695</v>
      </c>
      <c r="BY102" s="2336">
        <v>2.469181309376534</v>
      </c>
      <c r="BZ102" s="2336">
        <v>2.4834466485630129</v>
      </c>
      <c r="CA102" s="2336">
        <v>2.4976875376690493</v>
      </c>
      <c r="CB102" s="2336">
        <v>2.5119031220651062</v>
      </c>
      <c r="CC102" s="2336">
        <v>2.5260925542010719</v>
      </c>
      <c r="CD102" s="2336">
        <v>2.5402549938256231</v>
      </c>
      <c r="CE102" s="2336">
        <v>2.5543896081751578</v>
      </c>
      <c r="CF102" s="2336">
        <v>2.5684955721805842</v>
      </c>
      <c r="CG102" s="2336">
        <v>2.5825720686479139</v>
      </c>
      <c r="CH102" s="2336">
        <v>2.5966182884518374</v>
      </c>
      <c r="CI102" s="2336">
        <v>2.6106334307126855</v>
      </c>
      <c r="CJ102" s="2336">
        <v>2.6246167029762901</v>
      </c>
      <c r="CK102" s="2336">
        <v>2.6385673213833463</v>
      </c>
      <c r="CL102" s="2336">
        <v>2.652484510827898</v>
      </c>
      <c r="CM102" s="2336">
        <v>2.6663675051284863</v>
      </c>
      <c r="CN102" s="2336">
        <v>2.6802155471799165</v>
      </c>
      <c r="CO102" s="2336">
        <v>2.6940278890971618</v>
      </c>
      <c r="CP102" s="2336">
        <v>2.7078037923659499</v>
      </c>
      <c r="CQ102" s="2336">
        <v>2.7215425279750449</v>
      </c>
      <c r="CR102" s="2336">
        <v>2.7352433765575079</v>
      </c>
      <c r="CS102" s="2336">
        <v>2.7489056285140898</v>
      </c>
      <c r="CT102" s="2336">
        <v>2.7625285841279252</v>
      </c>
      <c r="CU102" s="2336">
        <v>2.7761115536942826</v>
      </c>
      <c r="CV102" s="2336">
        <v>2.7896538576232137</v>
      </c>
      <c r="CW102" s="2336">
        <v>2.803154826545097</v>
      </c>
      <c r="CX102" s="2336">
        <v>2.8166138014153015</v>
      </c>
      <c r="CY102" s="2336">
        <v>2.8300301336016744</v>
      </c>
      <c r="CZ102" s="2336">
        <v>2.8434031849762422</v>
      </c>
      <c r="DA102" s="2336">
        <v>2.8567323280032935</v>
      </c>
      <c r="DB102" s="2336">
        <v>2.8700169458102152</v>
      </c>
      <c r="DC102" s="2336">
        <v>2.8832564322605756</v>
      </c>
      <c r="DD102" s="2336">
        <v>2.8964501920235959</v>
      </c>
      <c r="DE102" s="2336">
        <v>2.9095976406376862</v>
      </c>
      <c r="DF102" s="2336">
        <v>2.9226982045596217</v>
      </c>
      <c r="DG102" s="2336">
        <v>2.9357513212220057</v>
      </c>
      <c r="DH102" s="2336">
        <v>2.9487564390749279</v>
      </c>
      <c r="DI102" s="2336">
        <v>2.9617130176283206</v>
      </c>
      <c r="DJ102" s="2336">
        <v>2.9746205274887312</v>
      </c>
      <c r="DK102" s="2344">
        <v>2.9874784503846166</v>
      </c>
      <c r="DL102" s="2336">
        <v>3.0002862791981446</v>
      </c>
      <c r="DM102" s="2336">
        <v>3.013043517978141</v>
      </c>
      <c r="DN102" s="2336">
        <v>3.025749681963164</v>
      </c>
      <c r="DO102" s="2336">
        <v>3.0384042975865531</v>
      </c>
      <c r="DP102" s="2336">
        <v>3.0510069024858804</v>
      </c>
      <c r="DQ102" s="2336">
        <v>3.0635570455021517</v>
      </c>
      <c r="DR102" s="2336">
        <v>3.0760542866751321</v>
      </c>
      <c r="DS102" s="2336">
        <v>3.0884981972424042</v>
      </c>
      <c r="DT102" s="2336">
        <v>3.1008883596179366</v>
      </c>
      <c r="DU102" s="2336">
        <v>3.1132243673812385</v>
      </c>
    </row>
    <row r="104" spans="1:125">
      <c r="B104" s="5" t="s">
        <v>373</v>
      </c>
    </row>
  </sheetData>
  <sheetProtection formatColumns="0" autoFilter="0"/>
  <phoneticPr fontId="61" type="noConversion"/>
  <hyperlinks>
    <hyperlink ref="B104" r:id="rId1" display="https://www.destatis.de/SiteGlobals/Forms/Suche/Expertensuche_Formular.html?resourceId=2402&amp;input_=2408&amp;pageLocale=de&amp;templateQueryString=generationensterbetafeln&amp;submit.x=0&amp;submit.y=0" xr:uid="{CD2B78BA-C676-4A21-AECE-1ECD86A19282}"/>
    <hyperlink ref="A1" r:id="rId2" display="https://view.officeapps.live.com/op/view.aspx?src=https%3A%2F%2Fwww.destatis.de%2FDE%2FThemen%2FGesellschaft-Umwelt%2FBevoelkerung%2FSterbefaelle-Lebenserwartung%2FPublikationen%2FDownloads-Sterbefaelle%2Fkohortensterbetafeln-5126101209005.xlsx%3F__blob%3DpublicationFile&amp;wdOrigin=BROWSELINK" xr:uid="{0E97B035-E712-429C-ADBC-308ABADFF1B1}"/>
  </hyperlinks>
  <pageMargins left="0.70866141732283472" right="0.70866141732283472" top="0.78740157480314965" bottom="0.78740157480314965" header="0.31496062992125984" footer="0.31496062992125984"/>
  <pageSetup paperSize="9" orientation="landscape"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4"/>
  <dimension ref="A1:AB84"/>
  <sheetViews>
    <sheetView topLeftCell="B1" zoomScale="85" zoomScaleNormal="85" workbookViewId="0">
      <pane ySplit="2055"/>
      <selection activeCell="B1" sqref="A1:XFD1048576"/>
      <selection pane="bottomLeft" activeCell="Z9" sqref="Z9"/>
    </sheetView>
  </sheetViews>
  <sheetFormatPr baseColWidth="10" defaultColWidth="11.125" defaultRowHeight="14.25"/>
  <cols>
    <col min="1" max="1" width="21" hidden="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1" spans="1:28" ht="15" thickBot="1">
      <c r="B1" s="4"/>
      <c r="C1" s="4"/>
      <c r="D1" s="4"/>
      <c r="E1" s="4"/>
      <c r="F1" s="4"/>
      <c r="G1" s="4"/>
      <c r="H1" s="4"/>
      <c r="I1" s="4"/>
      <c r="J1" s="4"/>
      <c r="K1" s="4"/>
      <c r="L1" s="4"/>
      <c r="M1" s="4"/>
      <c r="N1" s="4"/>
      <c r="O1" s="4"/>
      <c r="P1" s="4"/>
      <c r="Q1" s="4"/>
      <c r="R1" s="4"/>
      <c r="S1" s="4"/>
      <c r="T1" s="4"/>
      <c r="U1" s="4"/>
      <c r="V1" s="4"/>
      <c r="W1" s="4"/>
      <c r="X1" s="4"/>
      <c r="Y1" s="4"/>
      <c r="Z1" s="4"/>
      <c r="AA1" s="4"/>
      <c r="AB1" s="4"/>
    </row>
    <row r="2" spans="1:28" s="127" customFormat="1" ht="78.75" customHeight="1">
      <c r="A2" s="127" t="s">
        <v>169</v>
      </c>
      <c r="B2" s="2073" t="s">
        <v>7</v>
      </c>
      <c r="C2" s="2074" t="s">
        <v>0</v>
      </c>
      <c r="D2" s="2074" t="s">
        <v>1</v>
      </c>
      <c r="E2" s="2074" t="s">
        <v>2</v>
      </c>
      <c r="F2" s="2074" t="s">
        <v>1688</v>
      </c>
      <c r="G2" s="2074" t="s">
        <v>1940</v>
      </c>
      <c r="H2" s="4054" t="s">
        <v>162</v>
      </c>
      <c r="I2" s="4055"/>
      <c r="J2" s="4056"/>
      <c r="K2" s="2084"/>
      <c r="L2" s="2085" t="s">
        <v>0</v>
      </c>
      <c r="M2" s="2085" t="s">
        <v>1</v>
      </c>
      <c r="N2" s="2085" t="s">
        <v>2</v>
      </c>
      <c r="O2" s="2085" t="s">
        <v>1688</v>
      </c>
      <c r="P2" s="2085" t="str">
        <f>+G2</f>
        <v>Anwartschafts-barwert
Altersrente</v>
      </c>
      <c r="Q2" s="4057" t="s">
        <v>163</v>
      </c>
      <c r="R2" s="4058"/>
      <c r="S2" s="4059"/>
      <c r="T2" s="2089"/>
      <c r="U2" s="2090" t="s">
        <v>0</v>
      </c>
      <c r="V2" s="2090" t="s">
        <v>1</v>
      </c>
      <c r="W2" s="2090" t="s">
        <v>2</v>
      </c>
      <c r="X2" s="2090" t="s">
        <v>1688</v>
      </c>
      <c r="Y2" s="2090" t="str">
        <f>+P2</f>
        <v>Anwartschafts-barwert
Altersrente</v>
      </c>
      <c r="Z2" s="4060" t="s">
        <v>1561</v>
      </c>
      <c r="AA2" s="4061"/>
      <c r="AB2" s="4062"/>
    </row>
    <row r="3" spans="1:28" s="2" customFormat="1" ht="13.5">
      <c r="A3" s="60">
        <v>43111</v>
      </c>
      <c r="B3" s="2075"/>
      <c r="C3" s="2068" t="s">
        <v>17</v>
      </c>
      <c r="D3" s="2068" t="s">
        <v>18</v>
      </c>
      <c r="E3" s="2068" t="s">
        <v>24</v>
      </c>
      <c r="F3" s="2068" t="s">
        <v>24</v>
      </c>
      <c r="G3" s="2068"/>
      <c r="H3" s="1105" t="s">
        <v>8</v>
      </c>
      <c r="I3" s="1105" t="s">
        <v>9</v>
      </c>
      <c r="J3" s="2076" t="s">
        <v>10</v>
      </c>
      <c r="K3" s="2086" t="s">
        <v>7</v>
      </c>
      <c r="L3" s="1106" t="s">
        <v>19</v>
      </c>
      <c r="M3" s="1106" t="s">
        <v>20</v>
      </c>
      <c r="N3" s="1106" t="s">
        <v>26</v>
      </c>
      <c r="O3" s="1106"/>
      <c r="P3" s="1106"/>
      <c r="Q3" s="1106" t="s">
        <v>8</v>
      </c>
      <c r="R3" s="1106" t="s">
        <v>9</v>
      </c>
      <c r="S3" s="2087" t="s">
        <v>10</v>
      </c>
      <c r="T3" s="2106" t="s">
        <v>7</v>
      </c>
      <c r="U3" s="2107" t="s">
        <v>182</v>
      </c>
      <c r="V3" s="2107" t="s">
        <v>183</v>
      </c>
      <c r="W3" s="2107" t="s">
        <v>26</v>
      </c>
      <c r="X3" s="2107"/>
      <c r="Y3" s="2107"/>
      <c r="Z3" s="2107" t="s">
        <v>8</v>
      </c>
      <c r="AA3" s="2107" t="s">
        <v>9</v>
      </c>
      <c r="AB3" s="2108" t="s">
        <v>10</v>
      </c>
    </row>
    <row r="4" spans="1:28">
      <c r="B4" s="2077">
        <v>20</v>
      </c>
      <c r="C4" s="2069">
        <v>0.28299999999999997</v>
      </c>
      <c r="D4" s="2069">
        <v>4.6829999999999998</v>
      </c>
      <c r="E4" s="2069">
        <v>0.53400000000000003</v>
      </c>
      <c r="F4" s="2069">
        <v>0.53400000000000003</v>
      </c>
      <c r="G4" s="2069">
        <v>4.3999999999999995</v>
      </c>
      <c r="H4" s="2070">
        <v>6.4318181818181816E-2</v>
      </c>
      <c r="I4" s="2070">
        <v>0.12136363636363638</v>
      </c>
      <c r="J4" s="2078">
        <v>0.1856818181818182</v>
      </c>
      <c r="K4" s="2077">
        <v>20</v>
      </c>
      <c r="L4" s="2069">
        <v>0.29499999999999998</v>
      </c>
      <c r="M4" s="2069">
        <v>5.4459999999999997</v>
      </c>
      <c r="N4" s="2071">
        <v>0.13300000000000001</v>
      </c>
      <c r="O4" s="2069">
        <v>0.13300000000000001</v>
      </c>
      <c r="P4" s="2069">
        <v>5.1509999999999998</v>
      </c>
      <c r="Q4" s="2070">
        <v>5.7270432925645508E-2</v>
      </c>
      <c r="R4" s="2070">
        <v>2.5820229081731705E-2</v>
      </c>
      <c r="S4" s="2078">
        <v>8.309066200737722E-2</v>
      </c>
      <c r="T4" s="2077">
        <v>20</v>
      </c>
      <c r="U4" s="1686">
        <v>0.28899999999999998</v>
      </c>
      <c r="V4" s="1686">
        <v>5.0644999999999998</v>
      </c>
      <c r="W4" s="1686">
        <v>0.33350000000000002</v>
      </c>
      <c r="X4" s="1686">
        <v>0.33350000000000002</v>
      </c>
      <c r="Y4" s="1686">
        <v>4.7754999999999992</v>
      </c>
      <c r="Z4" s="2072">
        <v>6.0794307371913658E-2</v>
      </c>
      <c r="AA4" s="2072">
        <v>7.359193272268405E-2</v>
      </c>
      <c r="AB4" s="2093">
        <v>0.13438624009459771</v>
      </c>
    </row>
    <row r="5" spans="1:28">
      <c r="B5" s="89">
        <v>21</v>
      </c>
      <c r="C5" s="1">
        <v>0.32600000000000001</v>
      </c>
      <c r="D5" s="1">
        <v>4.8250000000000002</v>
      </c>
      <c r="E5" s="1">
        <v>0.621</v>
      </c>
      <c r="F5" s="1">
        <v>0.621</v>
      </c>
      <c r="G5" s="1">
        <v>4.4990000000000006</v>
      </c>
      <c r="H5" s="741">
        <v>7.2460546788175137E-2</v>
      </c>
      <c r="I5" s="741">
        <v>0.13803067348299619</v>
      </c>
      <c r="J5" s="2079">
        <v>0.21049122027117134</v>
      </c>
      <c r="K5" s="89">
        <v>21</v>
      </c>
      <c r="L5" s="1">
        <v>0.35399999999999998</v>
      </c>
      <c r="M5" s="1">
        <v>5.609</v>
      </c>
      <c r="N5" s="1419">
        <v>0.16</v>
      </c>
      <c r="O5" s="1">
        <v>0.16</v>
      </c>
      <c r="P5" s="1">
        <v>5.2549999999999999</v>
      </c>
      <c r="Q5" s="741">
        <v>6.7364414843006662E-2</v>
      </c>
      <c r="R5" s="741">
        <v>3.0447193149381543E-2</v>
      </c>
      <c r="S5" s="2079">
        <v>9.7811607992388208E-2</v>
      </c>
      <c r="T5" s="89">
        <v>21</v>
      </c>
      <c r="U5" s="740">
        <v>0.33999999999999997</v>
      </c>
      <c r="V5" s="740">
        <v>5.2170000000000005</v>
      </c>
      <c r="W5" s="740">
        <v>0.39050000000000001</v>
      </c>
      <c r="X5" s="740">
        <v>0.39050000000000001</v>
      </c>
      <c r="Y5" s="740">
        <v>4.8770000000000007</v>
      </c>
      <c r="Z5" s="2067">
        <v>6.9912480815590899E-2</v>
      </c>
      <c r="AA5" s="2067">
        <v>8.4238933316188869E-2</v>
      </c>
      <c r="AB5" s="2094">
        <v>0.15415141413177977</v>
      </c>
    </row>
    <row r="6" spans="1:28">
      <c r="B6" s="2077">
        <v>22</v>
      </c>
      <c r="C6" s="2069">
        <v>0.371</v>
      </c>
      <c r="D6" s="2069">
        <v>4.97</v>
      </c>
      <c r="E6" s="2069">
        <v>0.71299999999999997</v>
      </c>
      <c r="F6" s="2069">
        <v>0.71299999999999997</v>
      </c>
      <c r="G6" s="2069">
        <v>4.5990000000000002</v>
      </c>
      <c r="H6" s="2070">
        <v>8.0669710806697104E-2</v>
      </c>
      <c r="I6" s="2070">
        <v>0.15503370297890845</v>
      </c>
      <c r="J6" s="2078">
        <v>0.23570341378560555</v>
      </c>
      <c r="K6" s="2077">
        <v>22</v>
      </c>
      <c r="L6" s="2069">
        <v>0.40899999999999997</v>
      </c>
      <c r="M6" s="2069">
        <v>5.7750000000000004</v>
      </c>
      <c r="N6" s="2071">
        <v>0.186</v>
      </c>
      <c r="O6" s="2069">
        <v>0.186</v>
      </c>
      <c r="P6" s="2069">
        <v>5.3660000000000005</v>
      </c>
      <c r="Q6" s="2070">
        <v>7.6220648527767415E-2</v>
      </c>
      <c r="R6" s="2070">
        <v>3.4662691017517698E-2</v>
      </c>
      <c r="S6" s="2078">
        <v>0.11088333954528512</v>
      </c>
      <c r="T6" s="2077">
        <v>22</v>
      </c>
      <c r="U6" s="1686">
        <v>0.39</v>
      </c>
      <c r="V6" s="1686">
        <v>5.3725000000000005</v>
      </c>
      <c r="W6" s="1686">
        <v>0.44950000000000001</v>
      </c>
      <c r="X6" s="1686">
        <v>0.44950000000000001</v>
      </c>
      <c r="Y6" s="1686">
        <v>4.9824999999999999</v>
      </c>
      <c r="Z6" s="2072">
        <v>7.8445179667232259E-2</v>
      </c>
      <c r="AA6" s="2072">
        <v>9.4848196998213077E-2</v>
      </c>
      <c r="AB6" s="2093">
        <v>0.17329337666544534</v>
      </c>
    </row>
    <row r="7" spans="1:28">
      <c r="B7" s="89">
        <v>23</v>
      </c>
      <c r="C7" s="1">
        <v>0.41699999999999998</v>
      </c>
      <c r="D7" s="1">
        <v>5.1189999999999998</v>
      </c>
      <c r="E7" s="1">
        <v>0.81</v>
      </c>
      <c r="F7" s="1">
        <v>0.81</v>
      </c>
      <c r="G7" s="1">
        <v>4.702</v>
      </c>
      <c r="H7" s="741">
        <v>8.8685665674181194E-2</v>
      </c>
      <c r="I7" s="741">
        <v>0.17226712037430883</v>
      </c>
      <c r="J7" s="2079">
        <v>0.26095278604849004</v>
      </c>
      <c r="K7" s="89">
        <v>23</v>
      </c>
      <c r="L7" s="1">
        <v>0.45500000000000002</v>
      </c>
      <c r="M7" s="1">
        <v>5.9470000000000001</v>
      </c>
      <c r="N7" s="1419">
        <v>0.20799999999999999</v>
      </c>
      <c r="O7" s="1">
        <v>0.20799999999999999</v>
      </c>
      <c r="P7" s="1">
        <v>5.492</v>
      </c>
      <c r="Q7" s="741">
        <v>8.2847778587035695E-2</v>
      </c>
      <c r="R7" s="741">
        <v>3.7873270211216316E-2</v>
      </c>
      <c r="S7" s="2079">
        <v>0.12072104879825202</v>
      </c>
      <c r="T7" s="89">
        <v>23</v>
      </c>
      <c r="U7" s="740">
        <v>0.436</v>
      </c>
      <c r="V7" s="740">
        <v>5.5329999999999995</v>
      </c>
      <c r="W7" s="740">
        <v>0.50900000000000001</v>
      </c>
      <c r="X7" s="740">
        <v>0.50900000000000001</v>
      </c>
      <c r="Y7" s="740">
        <v>5.0969999999999995</v>
      </c>
      <c r="Z7" s="2067">
        <v>8.5766722130608444E-2</v>
      </c>
      <c r="AA7" s="2067">
        <v>0.10507019529276257</v>
      </c>
      <c r="AB7" s="2094">
        <v>0.19083691742337103</v>
      </c>
    </row>
    <row r="8" spans="1:28">
      <c r="B8" s="2077">
        <v>24</v>
      </c>
      <c r="C8" s="2069">
        <v>0.45700000000000002</v>
      </c>
      <c r="D8" s="2069">
        <v>5.2720000000000002</v>
      </c>
      <c r="E8" s="2069">
        <v>0.89900000000000002</v>
      </c>
      <c r="F8" s="2069">
        <v>0.89900000000000002</v>
      </c>
      <c r="G8" s="2069">
        <v>4.8150000000000004</v>
      </c>
      <c r="H8" s="2070">
        <v>9.4911734164070602E-2</v>
      </c>
      <c r="I8" s="2070">
        <v>0.18670820353063342</v>
      </c>
      <c r="J8" s="2078">
        <v>0.281619937694704</v>
      </c>
      <c r="K8" s="2077">
        <v>24</v>
      </c>
      <c r="L8" s="2069">
        <v>0.496</v>
      </c>
      <c r="M8" s="2069">
        <v>6.1219999999999999</v>
      </c>
      <c r="N8" s="2071">
        <v>0.22800000000000001</v>
      </c>
      <c r="O8" s="2069">
        <v>0.22800000000000001</v>
      </c>
      <c r="P8" s="2069">
        <v>5.6259999999999994</v>
      </c>
      <c r="Q8" s="2070">
        <v>8.816210451475294E-2</v>
      </c>
      <c r="R8" s="2070">
        <v>4.0526128688233208E-2</v>
      </c>
      <c r="S8" s="2078">
        <v>0.12868823320298614</v>
      </c>
      <c r="T8" s="2077">
        <v>24</v>
      </c>
      <c r="U8" s="1686">
        <v>0.47650000000000003</v>
      </c>
      <c r="V8" s="1686">
        <v>5.6970000000000001</v>
      </c>
      <c r="W8" s="1686">
        <v>0.5635</v>
      </c>
      <c r="X8" s="1686">
        <v>0.5635</v>
      </c>
      <c r="Y8" s="1686">
        <v>5.2204999999999995</v>
      </c>
      <c r="Z8" s="2072">
        <v>9.1536919339411771E-2</v>
      </c>
      <c r="AA8" s="2072">
        <v>0.11361716610943332</v>
      </c>
      <c r="AB8" s="2093">
        <v>0.20515408544884506</v>
      </c>
    </row>
    <row r="9" spans="1:28">
      <c r="B9" s="89">
        <v>25</v>
      </c>
      <c r="C9" s="1">
        <v>0.49399999999999999</v>
      </c>
      <c r="D9" s="1">
        <v>5.4279999999999999</v>
      </c>
      <c r="E9" s="1">
        <v>0.98099999999999998</v>
      </c>
      <c r="F9" s="1">
        <v>0.98099999999999998</v>
      </c>
      <c r="G9" s="1">
        <v>4.9340000000000002</v>
      </c>
      <c r="H9" s="741">
        <v>0.10012160518848803</v>
      </c>
      <c r="I9" s="741">
        <v>0.19882448317794893</v>
      </c>
      <c r="J9" s="2079">
        <v>0.29894608836643699</v>
      </c>
      <c r="K9" s="89">
        <v>25</v>
      </c>
      <c r="L9" s="1">
        <v>0.53700000000000003</v>
      </c>
      <c r="M9" s="1">
        <v>6.3010000000000002</v>
      </c>
      <c r="N9" s="1419">
        <v>0.248</v>
      </c>
      <c r="O9" s="1">
        <v>0.248</v>
      </c>
      <c r="P9" s="1">
        <v>5.7640000000000002</v>
      </c>
      <c r="Q9" s="741">
        <v>9.3164469118667589E-2</v>
      </c>
      <c r="R9" s="741">
        <v>4.302567661346287E-2</v>
      </c>
      <c r="S9" s="2079">
        <v>0.13619014573213045</v>
      </c>
      <c r="T9" s="89">
        <v>25</v>
      </c>
      <c r="U9" s="740">
        <v>0.51550000000000007</v>
      </c>
      <c r="V9" s="740">
        <v>5.8644999999999996</v>
      </c>
      <c r="W9" s="740">
        <v>0.61450000000000005</v>
      </c>
      <c r="X9" s="740">
        <v>0.61450000000000005</v>
      </c>
      <c r="Y9" s="740">
        <v>5.3490000000000002</v>
      </c>
      <c r="Z9" s="2067">
        <v>9.6643037153577804E-2</v>
      </c>
      <c r="AA9" s="2067">
        <v>0.1209250798957059</v>
      </c>
      <c r="AB9" s="2094">
        <v>0.21756811704928372</v>
      </c>
    </row>
    <row r="10" spans="1:28">
      <c r="B10" s="2077">
        <v>26</v>
      </c>
      <c r="C10" s="2069">
        <v>0.52600000000000002</v>
      </c>
      <c r="D10" s="2069">
        <v>5.5869999999999997</v>
      </c>
      <c r="E10" s="2069">
        <v>1.06</v>
      </c>
      <c r="F10" s="2069">
        <v>1.06</v>
      </c>
      <c r="G10" s="2069">
        <v>5.0609999999999999</v>
      </c>
      <c r="H10" s="2070">
        <v>0.10393202924323257</v>
      </c>
      <c r="I10" s="2070">
        <v>0.20944477376012646</v>
      </c>
      <c r="J10" s="2078">
        <v>0.31337680300335902</v>
      </c>
      <c r="K10" s="2077">
        <v>26</v>
      </c>
      <c r="L10" s="2069">
        <v>0.57799999999999996</v>
      </c>
      <c r="M10" s="2069">
        <v>6.4829999999999997</v>
      </c>
      <c r="N10" s="2071">
        <v>0.26900000000000002</v>
      </c>
      <c r="O10" s="2069">
        <v>0.26900000000000002</v>
      </c>
      <c r="P10" s="2069">
        <v>5.9049999999999994</v>
      </c>
      <c r="Q10" s="2070">
        <v>9.7883149872988989E-2</v>
      </c>
      <c r="R10" s="2070">
        <v>4.5554614733276891E-2</v>
      </c>
      <c r="S10" s="2078">
        <v>0.14343776460626589</v>
      </c>
      <c r="T10" s="2077">
        <v>26</v>
      </c>
      <c r="U10" s="1686">
        <v>0.55200000000000005</v>
      </c>
      <c r="V10" s="1686">
        <v>6.0350000000000001</v>
      </c>
      <c r="W10" s="1686">
        <v>0.66450000000000009</v>
      </c>
      <c r="X10" s="1686">
        <v>0.66450000000000009</v>
      </c>
      <c r="Y10" s="1686">
        <v>5.4829999999999997</v>
      </c>
      <c r="Z10" s="2072">
        <v>0.10090758955811077</v>
      </c>
      <c r="AA10" s="2072">
        <v>0.12749969424670168</v>
      </c>
      <c r="AB10" s="2093">
        <v>0.22840728380481246</v>
      </c>
    </row>
    <row r="11" spans="1:28">
      <c r="B11" s="89">
        <v>27</v>
      </c>
      <c r="C11" s="1">
        <v>0.55600000000000005</v>
      </c>
      <c r="D11" s="1">
        <v>5.75</v>
      </c>
      <c r="E11" s="1">
        <v>1.1359999999999999</v>
      </c>
      <c r="F11" s="1">
        <v>1.1359999999999999</v>
      </c>
      <c r="G11" s="1">
        <v>5.194</v>
      </c>
      <c r="H11" s="741">
        <v>0.10704659222179438</v>
      </c>
      <c r="I11" s="741">
        <v>0.21871390065460145</v>
      </c>
      <c r="J11" s="2079">
        <v>0.32576049287639586</v>
      </c>
      <c r="K11" s="89">
        <v>27</v>
      </c>
      <c r="L11" s="1">
        <v>0.61699999999999999</v>
      </c>
      <c r="M11" s="1">
        <v>6.67</v>
      </c>
      <c r="N11" s="1419">
        <v>0.28899999999999998</v>
      </c>
      <c r="O11" s="1">
        <v>0.28899999999999998</v>
      </c>
      <c r="P11" s="1">
        <v>6.0529999999999999</v>
      </c>
      <c r="Q11" s="741">
        <v>0.10193292582190649</v>
      </c>
      <c r="R11" s="741">
        <v>4.7744919874442425E-2</v>
      </c>
      <c r="S11" s="2079">
        <v>0.14967784569634893</v>
      </c>
      <c r="T11" s="89">
        <v>27</v>
      </c>
      <c r="U11" s="740">
        <v>0.58650000000000002</v>
      </c>
      <c r="V11" s="740">
        <v>6.21</v>
      </c>
      <c r="W11" s="740">
        <v>0.71249999999999991</v>
      </c>
      <c r="X11" s="740">
        <v>0.71249999999999991</v>
      </c>
      <c r="Y11" s="740">
        <v>5.6234999999999999</v>
      </c>
      <c r="Z11" s="2067">
        <v>0.10448975902185044</v>
      </c>
      <c r="AA11" s="2067">
        <v>0.13322941026452192</v>
      </c>
      <c r="AB11" s="2094">
        <v>0.23771916928637238</v>
      </c>
    </row>
    <row r="12" spans="1:28">
      <c r="B12" s="2077">
        <v>28</v>
      </c>
      <c r="C12" s="2069">
        <v>0.58399999999999996</v>
      </c>
      <c r="D12" s="2069">
        <v>5.9169999999999998</v>
      </c>
      <c r="E12" s="2069">
        <v>1.21</v>
      </c>
      <c r="F12" s="2069">
        <v>1.21</v>
      </c>
      <c r="G12" s="2069">
        <v>5.3330000000000002</v>
      </c>
      <c r="H12" s="2070">
        <v>0.1095068441777611</v>
      </c>
      <c r="I12" s="2070">
        <v>0.22688918057378585</v>
      </c>
      <c r="J12" s="2078">
        <v>0.33639602475154695</v>
      </c>
      <c r="K12" s="2077">
        <v>28</v>
      </c>
      <c r="L12" s="2069">
        <v>0.65400000000000003</v>
      </c>
      <c r="M12" s="2069">
        <v>6.86</v>
      </c>
      <c r="N12" s="2071">
        <v>0.309</v>
      </c>
      <c r="O12" s="2069">
        <v>0.309</v>
      </c>
      <c r="P12" s="2069">
        <v>6.2060000000000004</v>
      </c>
      <c r="Q12" s="2070">
        <v>0.10538188849500484</v>
      </c>
      <c r="R12" s="2070">
        <v>4.979052529809861E-2</v>
      </c>
      <c r="S12" s="2078">
        <v>0.15517241379310345</v>
      </c>
      <c r="T12" s="2077">
        <v>28</v>
      </c>
      <c r="U12" s="1686">
        <v>0.61899999999999999</v>
      </c>
      <c r="V12" s="1686">
        <v>6.3885000000000005</v>
      </c>
      <c r="W12" s="1686">
        <v>0.75949999999999995</v>
      </c>
      <c r="X12" s="1686">
        <v>0.75949999999999995</v>
      </c>
      <c r="Y12" s="1686">
        <v>5.7695000000000007</v>
      </c>
      <c r="Z12" s="2072">
        <v>0.10744436633638296</v>
      </c>
      <c r="AA12" s="2072">
        <v>0.13833985293594223</v>
      </c>
      <c r="AB12" s="2093">
        <v>0.24578421927232519</v>
      </c>
    </row>
    <row r="13" spans="1:28">
      <c r="B13" s="89">
        <v>29</v>
      </c>
      <c r="C13" s="1">
        <v>0.60899999999999999</v>
      </c>
      <c r="D13" s="1">
        <v>6.0869999999999997</v>
      </c>
      <c r="E13" s="1">
        <v>1.2829999999999999</v>
      </c>
      <c r="F13" s="1">
        <v>1.2829999999999999</v>
      </c>
      <c r="G13" s="1">
        <v>5.4779999999999998</v>
      </c>
      <c r="H13" s="741">
        <v>0.11117196056955093</v>
      </c>
      <c r="I13" s="741">
        <v>0.23420956553486674</v>
      </c>
      <c r="J13" s="2079">
        <v>0.34538152610441769</v>
      </c>
      <c r="K13" s="89">
        <v>29</v>
      </c>
      <c r="L13" s="1">
        <v>0.68899999999999995</v>
      </c>
      <c r="M13" s="1">
        <v>7.0540000000000003</v>
      </c>
      <c r="N13" s="1419">
        <v>0.32900000000000001</v>
      </c>
      <c r="O13" s="1">
        <v>0.32900000000000001</v>
      </c>
      <c r="P13" s="1">
        <v>6.3650000000000002</v>
      </c>
      <c r="Q13" s="741">
        <v>0.1082482325216025</v>
      </c>
      <c r="R13" s="741">
        <v>5.1688923802042423E-2</v>
      </c>
      <c r="S13" s="2079">
        <v>0.15993715632364491</v>
      </c>
      <c r="T13" s="89">
        <v>29</v>
      </c>
      <c r="U13" s="740">
        <v>0.64900000000000002</v>
      </c>
      <c r="V13" s="740">
        <v>6.5705</v>
      </c>
      <c r="W13" s="740">
        <v>0.80599999999999994</v>
      </c>
      <c r="X13" s="740">
        <v>0.80599999999999994</v>
      </c>
      <c r="Y13" s="740">
        <v>5.9215</v>
      </c>
      <c r="Z13" s="2067">
        <v>0.10971009654557672</v>
      </c>
      <c r="AA13" s="2067">
        <v>0.14294924466845457</v>
      </c>
      <c r="AB13" s="2094">
        <v>0.25265934121403133</v>
      </c>
    </row>
    <row r="14" spans="1:28">
      <c r="B14" s="2077">
        <v>30</v>
      </c>
      <c r="C14" s="2069">
        <v>0.63300000000000001</v>
      </c>
      <c r="D14" s="2069">
        <v>6.2619999999999996</v>
      </c>
      <c r="E14" s="2069">
        <v>1.355</v>
      </c>
      <c r="F14" s="2069">
        <v>1.355</v>
      </c>
      <c r="G14" s="2069">
        <v>5.6289999999999996</v>
      </c>
      <c r="H14" s="2070">
        <v>0.11245336649493694</v>
      </c>
      <c r="I14" s="2070">
        <v>0.24071771184935159</v>
      </c>
      <c r="J14" s="2078">
        <v>0.35317107834428851</v>
      </c>
      <c r="K14" s="2077">
        <v>30</v>
      </c>
      <c r="L14" s="2069">
        <v>0.72299999999999998</v>
      </c>
      <c r="M14" s="2069">
        <v>7.2510000000000003</v>
      </c>
      <c r="N14" s="2071">
        <v>0.34799999999999998</v>
      </c>
      <c r="O14" s="2069">
        <v>0.34799999999999998</v>
      </c>
      <c r="P14" s="2069">
        <v>6.5280000000000005</v>
      </c>
      <c r="Q14" s="2070">
        <v>0.11075367647058823</v>
      </c>
      <c r="R14" s="2070">
        <v>5.3308823529411756E-2</v>
      </c>
      <c r="S14" s="2078">
        <v>0.1640625</v>
      </c>
      <c r="T14" s="2077">
        <v>30</v>
      </c>
      <c r="U14" s="1686">
        <v>0.67799999999999994</v>
      </c>
      <c r="V14" s="1686">
        <v>6.7565</v>
      </c>
      <c r="W14" s="1686">
        <v>0.85149999999999992</v>
      </c>
      <c r="X14" s="1686">
        <v>0.85149999999999992</v>
      </c>
      <c r="Y14" s="1686">
        <v>6.0785</v>
      </c>
      <c r="Z14" s="2072">
        <v>0.11160352148276259</v>
      </c>
      <c r="AA14" s="2072">
        <v>0.14701326768938167</v>
      </c>
      <c r="AB14" s="2093">
        <v>0.25861678917214426</v>
      </c>
    </row>
    <row r="15" spans="1:28">
      <c r="B15" s="89">
        <v>31</v>
      </c>
      <c r="C15" s="1">
        <v>0.65500000000000003</v>
      </c>
      <c r="D15" s="1">
        <v>6.4420000000000002</v>
      </c>
      <c r="E15" s="1">
        <v>1.427</v>
      </c>
      <c r="F15" s="1">
        <v>1.427</v>
      </c>
      <c r="G15" s="1">
        <v>5.7869999999999999</v>
      </c>
      <c r="H15" s="741">
        <v>0.11318472438223605</v>
      </c>
      <c r="I15" s="741">
        <v>0.24658717815794023</v>
      </c>
      <c r="J15" s="2079">
        <v>0.35977190254017627</v>
      </c>
      <c r="K15" s="89">
        <v>31</v>
      </c>
      <c r="L15" s="1">
        <v>0.753</v>
      </c>
      <c r="M15" s="1">
        <v>7.4530000000000003</v>
      </c>
      <c r="N15" s="1419">
        <v>0.36699999999999999</v>
      </c>
      <c r="O15" s="1">
        <v>0.36699999999999999</v>
      </c>
      <c r="P15" s="1">
        <v>6.7</v>
      </c>
      <c r="Q15" s="741">
        <v>0.11238805970149253</v>
      </c>
      <c r="R15" s="741">
        <v>5.4776119402985074E-2</v>
      </c>
      <c r="S15" s="2079">
        <v>0.16716417910447762</v>
      </c>
      <c r="T15" s="89">
        <v>31</v>
      </c>
      <c r="U15" s="740">
        <v>0.70399999999999996</v>
      </c>
      <c r="V15" s="740">
        <v>6.9474999999999998</v>
      </c>
      <c r="W15" s="740">
        <v>0.89700000000000002</v>
      </c>
      <c r="X15" s="740">
        <v>0.89700000000000002</v>
      </c>
      <c r="Y15" s="740">
        <v>6.2435</v>
      </c>
      <c r="Z15" s="2067">
        <v>0.11278639204186429</v>
      </c>
      <c r="AA15" s="2067">
        <v>0.15068164878046264</v>
      </c>
      <c r="AB15" s="2094">
        <v>0.26346804082232694</v>
      </c>
    </row>
    <row r="16" spans="1:28">
      <c r="B16" s="2077">
        <v>32</v>
      </c>
      <c r="C16" s="2069">
        <v>0.67600000000000005</v>
      </c>
      <c r="D16" s="2069">
        <v>6.625</v>
      </c>
      <c r="E16" s="2069">
        <v>1.498</v>
      </c>
      <c r="F16" s="2069">
        <v>1.498</v>
      </c>
      <c r="G16" s="2069">
        <v>5.9489999999999998</v>
      </c>
      <c r="H16" s="2070">
        <v>0.11363254328458565</v>
      </c>
      <c r="I16" s="2070">
        <v>0.25180702639099006</v>
      </c>
      <c r="J16" s="2078">
        <v>0.36543956967557573</v>
      </c>
      <c r="K16" s="2077">
        <v>32</v>
      </c>
      <c r="L16" s="2069">
        <v>0.78200000000000003</v>
      </c>
      <c r="M16" s="2069">
        <v>7.6589999999999998</v>
      </c>
      <c r="N16" s="2071">
        <v>0.38600000000000001</v>
      </c>
      <c r="O16" s="2069">
        <v>0.38600000000000001</v>
      </c>
      <c r="P16" s="2069">
        <v>6.8769999999999998</v>
      </c>
      <c r="Q16" s="2070">
        <v>0.11371237458193981</v>
      </c>
      <c r="R16" s="2070">
        <v>5.6129126072415297E-2</v>
      </c>
      <c r="S16" s="2078">
        <v>0.1698415006543551</v>
      </c>
      <c r="T16" s="2077">
        <v>32</v>
      </c>
      <c r="U16" s="1686">
        <v>0.72900000000000009</v>
      </c>
      <c r="V16" s="1686">
        <v>7.1419999999999995</v>
      </c>
      <c r="W16" s="1686">
        <v>0.94199999999999995</v>
      </c>
      <c r="X16" s="1686">
        <v>0.94199999999999995</v>
      </c>
      <c r="Y16" s="1686">
        <v>6.4130000000000003</v>
      </c>
      <c r="Z16" s="2072">
        <v>0.11367245893326272</v>
      </c>
      <c r="AA16" s="2072">
        <v>0.15396807623170267</v>
      </c>
      <c r="AB16" s="2093">
        <v>0.26764053516496544</v>
      </c>
    </row>
    <row r="17" spans="2:28">
      <c r="B17" s="89">
        <v>33</v>
      </c>
      <c r="C17" s="1">
        <v>0.69599999999999995</v>
      </c>
      <c r="D17" s="1">
        <v>6.8140000000000001</v>
      </c>
      <c r="E17" s="1">
        <v>1.57</v>
      </c>
      <c r="F17" s="1">
        <v>1.57</v>
      </c>
      <c r="G17" s="1">
        <v>6.1180000000000003</v>
      </c>
      <c r="H17" s="741">
        <v>0.11376266753841123</v>
      </c>
      <c r="I17" s="741">
        <v>0.25661981039555409</v>
      </c>
      <c r="J17" s="2079">
        <v>0.37038247793396534</v>
      </c>
      <c r="K17" s="89">
        <v>33</v>
      </c>
      <c r="L17" s="1">
        <v>0.80700000000000005</v>
      </c>
      <c r="M17" s="1">
        <v>7.8689999999999998</v>
      </c>
      <c r="N17" s="1419">
        <v>0.40300000000000002</v>
      </c>
      <c r="O17" s="1">
        <v>0.40300000000000002</v>
      </c>
      <c r="P17" s="1">
        <v>7.0619999999999994</v>
      </c>
      <c r="Q17" s="741">
        <v>0.11427357689039934</v>
      </c>
      <c r="R17" s="741">
        <v>5.7065986972529036E-2</v>
      </c>
      <c r="S17" s="2079">
        <v>0.17133956386292837</v>
      </c>
      <c r="T17" s="89">
        <v>33</v>
      </c>
      <c r="U17" s="740">
        <v>0.75150000000000006</v>
      </c>
      <c r="V17" s="740">
        <v>7.3414999999999999</v>
      </c>
      <c r="W17" s="740">
        <v>0.98650000000000004</v>
      </c>
      <c r="X17" s="740">
        <v>0.98650000000000004</v>
      </c>
      <c r="Y17" s="740">
        <v>6.59</v>
      </c>
      <c r="Z17" s="2067">
        <v>0.11401812221440528</v>
      </c>
      <c r="AA17" s="2067">
        <v>0.15684289868404155</v>
      </c>
      <c r="AB17" s="2094">
        <v>0.27086102089844688</v>
      </c>
    </row>
    <row r="18" spans="2:28">
      <c r="B18" s="2077">
        <v>34</v>
      </c>
      <c r="C18" s="2069">
        <v>0.71399999999999997</v>
      </c>
      <c r="D18" s="2069">
        <v>7.0069999999999997</v>
      </c>
      <c r="E18" s="2069">
        <v>1.641</v>
      </c>
      <c r="F18" s="2069">
        <v>1.641</v>
      </c>
      <c r="G18" s="2069">
        <v>6.2929999999999993</v>
      </c>
      <c r="H18" s="2070">
        <v>0.11345939933259178</v>
      </c>
      <c r="I18" s="2070">
        <v>0.26076593039885593</v>
      </c>
      <c r="J18" s="2078">
        <v>0.37422532973144773</v>
      </c>
      <c r="K18" s="2077">
        <v>34</v>
      </c>
      <c r="L18" s="2069">
        <v>0.83</v>
      </c>
      <c r="M18" s="2069">
        <v>8.0830000000000002</v>
      </c>
      <c r="N18" s="2071">
        <v>0.42099999999999999</v>
      </c>
      <c r="O18" s="2069">
        <v>0.42099999999999999</v>
      </c>
      <c r="P18" s="2069">
        <v>7.2530000000000001</v>
      </c>
      <c r="Q18" s="2070">
        <v>0.11443540603888046</v>
      </c>
      <c r="R18" s="2070">
        <v>5.8044946918516471E-2</v>
      </c>
      <c r="S18" s="2078">
        <v>0.17248035295739694</v>
      </c>
      <c r="T18" s="2077">
        <v>34</v>
      </c>
      <c r="U18" s="1686">
        <v>0.77200000000000002</v>
      </c>
      <c r="V18" s="1686">
        <v>7.5449999999999999</v>
      </c>
      <c r="W18" s="1686">
        <v>1.0309999999999999</v>
      </c>
      <c r="X18" s="1686">
        <v>1.0309999999999999</v>
      </c>
      <c r="Y18" s="1686">
        <v>6.7729999999999997</v>
      </c>
      <c r="Z18" s="2072">
        <v>0.11394740268573611</v>
      </c>
      <c r="AA18" s="2072">
        <v>0.1594054386586862</v>
      </c>
      <c r="AB18" s="2093">
        <v>0.27335284134442234</v>
      </c>
    </row>
    <row r="19" spans="2:28">
      <c r="B19" s="89">
        <v>35</v>
      </c>
      <c r="C19" s="1">
        <v>0.73</v>
      </c>
      <c r="D19" s="1">
        <v>7.2050000000000001</v>
      </c>
      <c r="E19" s="1">
        <v>1.7130000000000001</v>
      </c>
      <c r="F19" s="1">
        <v>1.7130000000000001</v>
      </c>
      <c r="G19" s="1">
        <v>6.4749999999999996</v>
      </c>
      <c r="H19" s="741">
        <v>0.11274131274131274</v>
      </c>
      <c r="I19" s="741">
        <v>0.26455598455598456</v>
      </c>
      <c r="J19" s="2079">
        <v>0.37729729729729733</v>
      </c>
      <c r="K19" s="89">
        <v>35</v>
      </c>
      <c r="L19" s="1">
        <v>0.84899999999999998</v>
      </c>
      <c r="M19" s="1">
        <v>8.3010000000000002</v>
      </c>
      <c r="N19" s="1419">
        <v>0.438</v>
      </c>
      <c r="O19" s="1">
        <v>0.438</v>
      </c>
      <c r="P19" s="1">
        <v>7.452</v>
      </c>
      <c r="Q19" s="741">
        <v>0.11392914653784218</v>
      </c>
      <c r="R19" s="741">
        <v>5.8776167471819643E-2</v>
      </c>
      <c r="S19" s="2079">
        <v>0.17270531400966183</v>
      </c>
      <c r="T19" s="89">
        <v>35</v>
      </c>
      <c r="U19" s="740">
        <v>0.78949999999999998</v>
      </c>
      <c r="V19" s="740">
        <v>7.7530000000000001</v>
      </c>
      <c r="W19" s="740">
        <v>1.0755000000000001</v>
      </c>
      <c r="X19" s="740">
        <v>1.0755000000000001</v>
      </c>
      <c r="Y19" s="740">
        <v>6.9634999999999998</v>
      </c>
      <c r="Z19" s="2067">
        <v>0.11333522963957746</v>
      </c>
      <c r="AA19" s="2067">
        <v>0.16166607601390209</v>
      </c>
      <c r="AB19" s="2094">
        <v>0.27500130565347958</v>
      </c>
    </row>
    <row r="20" spans="2:28">
      <c r="B20" s="2077">
        <v>36</v>
      </c>
      <c r="C20" s="2069">
        <v>0.74299999999999999</v>
      </c>
      <c r="D20" s="2069">
        <v>7.4059999999999997</v>
      </c>
      <c r="E20" s="2069">
        <v>1.7849999999999999</v>
      </c>
      <c r="F20" s="2069">
        <v>1.7849999999999999</v>
      </c>
      <c r="G20" s="2069">
        <v>6.6629999999999994</v>
      </c>
      <c r="H20" s="2070">
        <v>0.11151133123217771</v>
      </c>
      <c r="I20" s="2070">
        <v>0.26789734353894645</v>
      </c>
      <c r="J20" s="2078">
        <v>0.37940867477112417</v>
      </c>
      <c r="K20" s="2077">
        <v>36</v>
      </c>
      <c r="L20" s="2069">
        <v>0.86299999999999999</v>
      </c>
      <c r="M20" s="2069">
        <v>8.5220000000000002</v>
      </c>
      <c r="N20" s="2071">
        <v>0.45400000000000001</v>
      </c>
      <c r="O20" s="2069">
        <v>0.45400000000000001</v>
      </c>
      <c r="P20" s="2069">
        <v>7.6590000000000007</v>
      </c>
      <c r="Q20" s="2070">
        <v>0.11267789528659093</v>
      </c>
      <c r="R20" s="2070">
        <v>5.9276667972320146E-2</v>
      </c>
      <c r="S20" s="2078">
        <v>0.17195456325891106</v>
      </c>
      <c r="T20" s="2077">
        <v>36</v>
      </c>
      <c r="U20" s="1686">
        <v>0.80299999999999994</v>
      </c>
      <c r="V20" s="1686">
        <v>7.9640000000000004</v>
      </c>
      <c r="W20" s="1686">
        <v>1.1194999999999999</v>
      </c>
      <c r="X20" s="1686">
        <v>1.1194999999999999</v>
      </c>
      <c r="Y20" s="1686">
        <v>7.1609999999999996</v>
      </c>
      <c r="Z20" s="2072">
        <v>0.11209461325938433</v>
      </c>
      <c r="AA20" s="2072">
        <v>0.16358700575563329</v>
      </c>
      <c r="AB20" s="2093">
        <v>0.27568161901501764</v>
      </c>
    </row>
    <row r="21" spans="2:28">
      <c r="B21" s="89">
        <v>37</v>
      </c>
      <c r="C21" s="1">
        <v>0.751</v>
      </c>
      <c r="D21" s="1">
        <v>7.61</v>
      </c>
      <c r="E21" s="1">
        <v>1.8580000000000001</v>
      </c>
      <c r="F21" s="1">
        <v>1.8580000000000001</v>
      </c>
      <c r="G21" s="1">
        <v>6.859</v>
      </c>
      <c r="H21" s="741">
        <v>0.10949117947222627</v>
      </c>
      <c r="I21" s="741">
        <v>0.27088496865432282</v>
      </c>
      <c r="J21" s="2079">
        <v>0.38037614812654907</v>
      </c>
      <c r="K21" s="89">
        <v>37</v>
      </c>
      <c r="L21" s="1">
        <v>0.871</v>
      </c>
      <c r="M21" s="1">
        <v>8.7460000000000004</v>
      </c>
      <c r="N21" s="1419">
        <v>0.47</v>
      </c>
      <c r="O21" s="1">
        <v>0.47</v>
      </c>
      <c r="P21" s="1">
        <v>7.875</v>
      </c>
      <c r="Q21" s="741">
        <v>0.11060317460317461</v>
      </c>
      <c r="R21" s="741">
        <v>5.9682539682539677E-2</v>
      </c>
      <c r="S21" s="2079">
        <v>0.17028571428571429</v>
      </c>
      <c r="T21" s="89">
        <v>37</v>
      </c>
      <c r="U21" s="740">
        <v>0.81099999999999994</v>
      </c>
      <c r="V21" s="740">
        <v>8.1780000000000008</v>
      </c>
      <c r="W21" s="740">
        <v>1.1640000000000001</v>
      </c>
      <c r="X21" s="740">
        <v>1.1640000000000001</v>
      </c>
      <c r="Y21" s="740">
        <v>7.367</v>
      </c>
      <c r="Z21" s="2067">
        <v>0.11004717703770044</v>
      </c>
      <c r="AA21" s="2067">
        <v>0.16528375416843125</v>
      </c>
      <c r="AB21" s="2094">
        <v>0.27533093120613167</v>
      </c>
    </row>
    <row r="22" spans="2:28">
      <c r="B22" s="2077">
        <v>38</v>
      </c>
      <c r="C22" s="2069">
        <v>0.753</v>
      </c>
      <c r="D22" s="2069">
        <v>7.8159999999999998</v>
      </c>
      <c r="E22" s="2069">
        <v>1.929</v>
      </c>
      <c r="F22" s="2069">
        <v>1.929</v>
      </c>
      <c r="G22" s="2069">
        <v>7.0629999999999997</v>
      </c>
      <c r="H22" s="2070">
        <v>0.10661192127990939</v>
      </c>
      <c r="I22" s="2070">
        <v>0.27311340790032568</v>
      </c>
      <c r="J22" s="2078">
        <v>0.37972532918023505</v>
      </c>
      <c r="K22" s="2077">
        <v>38</v>
      </c>
      <c r="L22" s="2069">
        <v>0.873</v>
      </c>
      <c r="M22" s="2069">
        <v>8.9730000000000008</v>
      </c>
      <c r="N22" s="2071">
        <v>0.48399999999999999</v>
      </c>
      <c r="O22" s="2069">
        <v>0.48399999999999999</v>
      </c>
      <c r="P22" s="2069">
        <v>8.1000000000000014</v>
      </c>
      <c r="Q22" s="2070">
        <v>0.10777777777777776</v>
      </c>
      <c r="R22" s="2070">
        <v>5.9753086419753076E-2</v>
      </c>
      <c r="S22" s="2078">
        <v>0.16753086419753083</v>
      </c>
      <c r="T22" s="2077">
        <v>38</v>
      </c>
      <c r="U22" s="1686">
        <v>0.81299999999999994</v>
      </c>
      <c r="V22" s="1686">
        <v>8.3945000000000007</v>
      </c>
      <c r="W22" s="1686">
        <v>1.2065000000000001</v>
      </c>
      <c r="X22" s="1686">
        <v>1.2065000000000001</v>
      </c>
      <c r="Y22" s="1686">
        <v>7.5815000000000001</v>
      </c>
      <c r="Z22" s="2072">
        <v>0.10719484952884357</v>
      </c>
      <c r="AA22" s="2072">
        <v>0.16643324716003938</v>
      </c>
      <c r="AB22" s="2093">
        <v>0.27362809668888294</v>
      </c>
    </row>
    <row r="23" spans="2:28">
      <c r="B23" s="89">
        <v>39</v>
      </c>
      <c r="C23" s="1">
        <v>0.751</v>
      </c>
      <c r="D23" s="1">
        <v>8.0250000000000004</v>
      </c>
      <c r="E23" s="1">
        <v>2.0019999999999998</v>
      </c>
      <c r="F23" s="1">
        <v>2.0019999999999998</v>
      </c>
      <c r="G23" s="1">
        <v>7.274</v>
      </c>
      <c r="H23" s="741">
        <v>0.10324443222436074</v>
      </c>
      <c r="I23" s="741">
        <v>0.2752268353038218</v>
      </c>
      <c r="J23" s="2079">
        <v>0.37847126752818255</v>
      </c>
      <c r="K23" s="89">
        <v>39</v>
      </c>
      <c r="L23" s="1">
        <v>0.86899999999999999</v>
      </c>
      <c r="M23" s="1">
        <v>9.202</v>
      </c>
      <c r="N23" s="1419">
        <v>0.498</v>
      </c>
      <c r="O23" s="1">
        <v>0.498</v>
      </c>
      <c r="P23" s="1">
        <v>8.3330000000000002</v>
      </c>
      <c r="Q23" s="741">
        <v>0.10428417136685467</v>
      </c>
      <c r="R23" s="741">
        <v>5.9762390495619822E-2</v>
      </c>
      <c r="S23" s="2079">
        <v>0.16404656186247449</v>
      </c>
      <c r="T23" s="89">
        <v>39</v>
      </c>
      <c r="U23" s="740">
        <v>0.81</v>
      </c>
      <c r="V23" s="740">
        <v>8.6135000000000002</v>
      </c>
      <c r="W23" s="740">
        <v>1.25</v>
      </c>
      <c r="X23" s="740">
        <v>1.25</v>
      </c>
      <c r="Y23" s="740">
        <v>7.8034999999999997</v>
      </c>
      <c r="Z23" s="2067">
        <v>0.10376430179560769</v>
      </c>
      <c r="AA23" s="2067">
        <v>0.16749461289972081</v>
      </c>
      <c r="AB23" s="2094">
        <v>0.27125891469532853</v>
      </c>
    </row>
    <row r="24" spans="2:28">
      <c r="B24" s="2077">
        <v>40</v>
      </c>
      <c r="C24" s="2069">
        <v>0.74399999999999999</v>
      </c>
      <c r="D24" s="2069">
        <v>8.2390000000000008</v>
      </c>
      <c r="E24" s="2069">
        <v>2.0739999999999998</v>
      </c>
      <c r="F24" s="2069">
        <v>2.0739999999999998</v>
      </c>
      <c r="G24" s="2069">
        <v>7.495000000000001</v>
      </c>
      <c r="H24" s="2070">
        <v>9.9266177451634408E-2</v>
      </c>
      <c r="I24" s="2070">
        <v>0.276717811874583</v>
      </c>
      <c r="J24" s="2078">
        <v>0.3759839893262174</v>
      </c>
      <c r="K24" s="2077">
        <v>40</v>
      </c>
      <c r="L24" s="2069">
        <v>0.86</v>
      </c>
      <c r="M24" s="2069">
        <v>9.4350000000000005</v>
      </c>
      <c r="N24" s="2071">
        <v>0.51200000000000001</v>
      </c>
      <c r="O24" s="2069">
        <v>0.51200000000000001</v>
      </c>
      <c r="P24" s="2069">
        <v>8.5750000000000011</v>
      </c>
      <c r="Q24" s="2070">
        <v>0.10029154518950435</v>
      </c>
      <c r="R24" s="2070">
        <v>5.9708454810495623E-2</v>
      </c>
      <c r="S24" s="2078">
        <v>0.15999999999999998</v>
      </c>
      <c r="T24" s="2077">
        <v>40</v>
      </c>
      <c r="U24" s="1686">
        <v>0.80200000000000005</v>
      </c>
      <c r="V24" s="1686">
        <v>8.8369999999999997</v>
      </c>
      <c r="W24" s="1686">
        <v>1.2929999999999999</v>
      </c>
      <c r="X24" s="1686">
        <v>1.2929999999999999</v>
      </c>
      <c r="Y24" s="1686">
        <v>8.0350000000000001</v>
      </c>
      <c r="Z24" s="2072">
        <v>9.9778861320569373E-2</v>
      </c>
      <c r="AA24" s="2072">
        <v>0.16821313334253932</v>
      </c>
      <c r="AB24" s="2093">
        <v>0.26799199466310869</v>
      </c>
    </row>
    <row r="25" spans="2:28">
      <c r="B25" s="89">
        <v>41</v>
      </c>
      <c r="C25" s="1">
        <v>0.73499999999999999</v>
      </c>
      <c r="D25" s="1">
        <v>8.4589999999999996</v>
      </c>
      <c r="E25" s="1">
        <v>2.1480000000000001</v>
      </c>
      <c r="F25" s="1">
        <v>2.1480000000000001</v>
      </c>
      <c r="G25" s="1">
        <v>7.7239999999999993</v>
      </c>
      <c r="H25" s="741">
        <v>9.5157949249093737E-2</v>
      </c>
      <c r="I25" s="741">
        <v>0.27809425168306579</v>
      </c>
      <c r="J25" s="2079">
        <v>0.37325220093215949</v>
      </c>
      <c r="K25" s="89">
        <v>41</v>
      </c>
      <c r="L25" s="1">
        <v>0.84599999999999997</v>
      </c>
      <c r="M25" s="1">
        <v>9.6739999999999995</v>
      </c>
      <c r="N25" s="1419">
        <v>0.52500000000000002</v>
      </c>
      <c r="O25" s="1">
        <v>0.52500000000000002</v>
      </c>
      <c r="P25" s="1">
        <v>8.8279999999999994</v>
      </c>
      <c r="Q25" s="741">
        <v>9.5831445400996834E-2</v>
      </c>
      <c r="R25" s="741">
        <v>5.9469868599909388E-2</v>
      </c>
      <c r="S25" s="2079">
        <v>0.15530131400090622</v>
      </c>
      <c r="T25" s="89">
        <v>41</v>
      </c>
      <c r="U25" s="740">
        <v>0.79049999999999998</v>
      </c>
      <c r="V25" s="740">
        <v>9.0664999999999996</v>
      </c>
      <c r="W25" s="740">
        <v>1.3365</v>
      </c>
      <c r="X25" s="740">
        <v>1.3365</v>
      </c>
      <c r="Y25" s="740">
        <v>8.2759999999999998</v>
      </c>
      <c r="Z25" s="2067">
        <v>9.5494697325045286E-2</v>
      </c>
      <c r="AA25" s="2067">
        <v>0.16878206014148758</v>
      </c>
      <c r="AB25" s="2094">
        <v>0.26427675746653284</v>
      </c>
    </row>
    <row r="26" spans="2:28">
      <c r="B26" s="2077">
        <v>42</v>
      </c>
      <c r="C26" s="2069">
        <v>0.72499999999999998</v>
      </c>
      <c r="D26" s="2069">
        <v>8.6859999999999999</v>
      </c>
      <c r="E26" s="2069">
        <v>2.222</v>
      </c>
      <c r="F26" s="2069">
        <v>2.222</v>
      </c>
      <c r="G26" s="2069">
        <v>7.9610000000000003</v>
      </c>
      <c r="H26" s="2070">
        <v>9.1068961185780672E-2</v>
      </c>
      <c r="I26" s="2070">
        <v>0.27911066448938576</v>
      </c>
      <c r="J26" s="2078">
        <v>0.37017962567516643</v>
      </c>
      <c r="K26" s="2077">
        <v>42</v>
      </c>
      <c r="L26" s="2069">
        <v>0.83</v>
      </c>
      <c r="M26" s="2069">
        <v>9.9190000000000005</v>
      </c>
      <c r="N26" s="2071">
        <v>0.53700000000000003</v>
      </c>
      <c r="O26" s="2069">
        <v>0.53700000000000003</v>
      </c>
      <c r="P26" s="2069">
        <v>9.0890000000000004</v>
      </c>
      <c r="Q26" s="2070">
        <v>9.1319177027175694E-2</v>
      </c>
      <c r="R26" s="2070">
        <v>5.9082407305534164E-2</v>
      </c>
      <c r="S26" s="2078">
        <v>0.15040158433270986</v>
      </c>
      <c r="T26" s="2077">
        <v>42</v>
      </c>
      <c r="U26" s="1686">
        <v>0.77749999999999997</v>
      </c>
      <c r="V26" s="1686">
        <v>9.3025000000000002</v>
      </c>
      <c r="W26" s="1686">
        <v>1.3794999999999999</v>
      </c>
      <c r="X26" s="1686">
        <v>1.3794999999999999</v>
      </c>
      <c r="Y26" s="1686">
        <v>8.5250000000000004</v>
      </c>
      <c r="Z26" s="2072">
        <v>9.1194069106478176E-2</v>
      </c>
      <c r="AA26" s="2072">
        <v>0.16909653589745996</v>
      </c>
      <c r="AB26" s="2093">
        <v>0.26029060500393814</v>
      </c>
    </row>
    <row r="27" spans="2:28">
      <c r="B27" s="89">
        <v>43</v>
      </c>
      <c r="C27" s="1">
        <v>0.71499999999999997</v>
      </c>
      <c r="D27" s="1">
        <v>8.9209999999999994</v>
      </c>
      <c r="E27" s="1">
        <v>2.298</v>
      </c>
      <c r="F27" s="1">
        <v>2.298</v>
      </c>
      <c r="G27" s="1">
        <v>8.2059999999999995</v>
      </c>
      <c r="H27" s="741">
        <v>8.7131367292225204E-2</v>
      </c>
      <c r="I27" s="741">
        <v>0.28003899585669023</v>
      </c>
      <c r="J27" s="2079">
        <v>0.36717036314891544</v>
      </c>
      <c r="K27" s="89">
        <v>43</v>
      </c>
      <c r="L27" s="1">
        <v>0.81100000000000005</v>
      </c>
      <c r="M27" s="1">
        <v>10.172000000000001</v>
      </c>
      <c r="N27" s="1419">
        <v>0.55000000000000004</v>
      </c>
      <c r="O27" s="1">
        <v>0.55000000000000004</v>
      </c>
      <c r="P27" s="1">
        <v>9.3610000000000007</v>
      </c>
      <c r="Q27" s="741">
        <v>8.6636043157782283E-2</v>
      </c>
      <c r="R27" s="741">
        <v>5.8754406580493537E-2</v>
      </c>
      <c r="S27" s="2079">
        <v>0.14539044973827581</v>
      </c>
      <c r="T27" s="89">
        <v>43</v>
      </c>
      <c r="U27" s="740">
        <v>0.76300000000000001</v>
      </c>
      <c r="V27" s="740">
        <v>9.5465</v>
      </c>
      <c r="W27" s="740">
        <v>1.4239999999999999</v>
      </c>
      <c r="X27" s="740">
        <v>1.4239999999999999</v>
      </c>
      <c r="Y27" s="740">
        <v>8.7835000000000001</v>
      </c>
      <c r="Z27" s="2067">
        <v>8.6883705225003743E-2</v>
      </c>
      <c r="AA27" s="2067">
        <v>0.16939670121859188</v>
      </c>
      <c r="AB27" s="2094">
        <v>0.25628040644359562</v>
      </c>
    </row>
    <row r="28" spans="2:28">
      <c r="B28" s="2077">
        <v>44</v>
      </c>
      <c r="C28" s="2069">
        <v>0.70399999999999996</v>
      </c>
      <c r="D28" s="2069">
        <v>9.1649999999999991</v>
      </c>
      <c r="E28" s="2069">
        <v>2.375</v>
      </c>
      <c r="F28" s="2069">
        <v>2.375</v>
      </c>
      <c r="G28" s="2069">
        <v>8.4609999999999985</v>
      </c>
      <c r="H28" s="2070">
        <v>8.3205294882401623E-2</v>
      </c>
      <c r="I28" s="2070">
        <v>0.28069968088878389</v>
      </c>
      <c r="J28" s="2078">
        <v>0.36390497577118552</v>
      </c>
      <c r="K28" s="2077">
        <v>44</v>
      </c>
      <c r="L28" s="2069">
        <v>0.79100000000000004</v>
      </c>
      <c r="M28" s="2069">
        <v>10.433</v>
      </c>
      <c r="N28" s="2071">
        <v>0.56200000000000006</v>
      </c>
      <c r="O28" s="2069">
        <v>0.56200000000000006</v>
      </c>
      <c r="P28" s="2069">
        <v>9.6419999999999995</v>
      </c>
      <c r="Q28" s="2070">
        <v>8.2036921800456339E-2</v>
      </c>
      <c r="R28" s="2070">
        <v>5.8286662518149769E-2</v>
      </c>
      <c r="S28" s="2078">
        <v>0.14032358431860611</v>
      </c>
      <c r="T28" s="2077">
        <v>44</v>
      </c>
      <c r="U28" s="1686">
        <v>0.74750000000000005</v>
      </c>
      <c r="V28" s="1686">
        <v>9.7989999999999995</v>
      </c>
      <c r="W28" s="1686">
        <v>1.4685000000000001</v>
      </c>
      <c r="X28" s="1686">
        <v>1.4685000000000001</v>
      </c>
      <c r="Y28" s="1686">
        <v>9.051499999999999</v>
      </c>
      <c r="Z28" s="2072">
        <v>8.2621108341428981E-2</v>
      </c>
      <c r="AA28" s="2072">
        <v>0.16949317170346684</v>
      </c>
      <c r="AB28" s="2093">
        <v>0.25211428004489583</v>
      </c>
    </row>
    <row r="29" spans="2:28">
      <c r="B29" s="89">
        <v>45</v>
      </c>
      <c r="C29" s="1">
        <v>0.69199999999999995</v>
      </c>
      <c r="D29" s="1">
        <v>9.4179999999999993</v>
      </c>
      <c r="E29" s="1">
        <v>2.452</v>
      </c>
      <c r="F29" s="1">
        <v>2.452</v>
      </c>
      <c r="G29" s="1">
        <v>8.7259999999999991</v>
      </c>
      <c r="H29" s="741">
        <v>7.9303231721292694E-2</v>
      </c>
      <c r="I29" s="741">
        <v>0.28099931239972498</v>
      </c>
      <c r="J29" s="2079">
        <v>0.3603025441210177</v>
      </c>
      <c r="K29" s="89">
        <v>45</v>
      </c>
      <c r="L29" s="1">
        <v>0.76900000000000002</v>
      </c>
      <c r="M29" s="1">
        <v>10.702</v>
      </c>
      <c r="N29" s="1419">
        <v>0.57399999999999995</v>
      </c>
      <c r="O29" s="1">
        <v>0.57399999999999995</v>
      </c>
      <c r="P29" s="1">
        <v>9.9329999999999998</v>
      </c>
      <c r="Q29" s="741">
        <v>7.7418705325682069E-2</v>
      </c>
      <c r="R29" s="741">
        <v>5.7787174066243834E-2</v>
      </c>
      <c r="S29" s="2079">
        <v>0.13520587939192591</v>
      </c>
      <c r="T29" s="89">
        <v>45</v>
      </c>
      <c r="U29" s="740">
        <v>0.73049999999999993</v>
      </c>
      <c r="V29" s="740">
        <v>10.059999999999999</v>
      </c>
      <c r="W29" s="740">
        <v>1.5129999999999999</v>
      </c>
      <c r="X29" s="740">
        <v>1.5129999999999999</v>
      </c>
      <c r="Y29" s="740">
        <v>9.3294999999999995</v>
      </c>
      <c r="Z29" s="2067">
        <v>7.8360968523487382E-2</v>
      </c>
      <c r="AA29" s="2067">
        <v>0.16939324323298441</v>
      </c>
      <c r="AB29" s="2094">
        <v>0.2477542117564718</v>
      </c>
    </row>
    <row r="30" spans="2:28">
      <c r="B30" s="2077">
        <v>46</v>
      </c>
      <c r="C30" s="2069">
        <v>0.67900000000000005</v>
      </c>
      <c r="D30" s="2069">
        <v>9.6790000000000003</v>
      </c>
      <c r="E30" s="2069">
        <v>2.528</v>
      </c>
      <c r="F30" s="2069">
        <v>2.528</v>
      </c>
      <c r="G30" s="2069">
        <v>9</v>
      </c>
      <c r="H30" s="2070">
        <v>7.5444444444444453E-2</v>
      </c>
      <c r="I30" s="2070">
        <v>0.28088888888888891</v>
      </c>
      <c r="J30" s="2078">
        <v>0.35633333333333339</v>
      </c>
      <c r="K30" s="2077">
        <v>46</v>
      </c>
      <c r="L30" s="2069">
        <v>0.745</v>
      </c>
      <c r="M30" s="2069">
        <v>10.98</v>
      </c>
      <c r="N30" s="2071">
        <v>0.58499999999999996</v>
      </c>
      <c r="O30" s="2069">
        <v>0.58499999999999996</v>
      </c>
      <c r="P30" s="2069">
        <v>10.235000000000001</v>
      </c>
      <c r="Q30" s="2070">
        <v>7.2789447972642876E-2</v>
      </c>
      <c r="R30" s="2070">
        <v>5.7156814851001457E-2</v>
      </c>
      <c r="S30" s="2078">
        <v>0.12994626282364433</v>
      </c>
      <c r="T30" s="2077">
        <v>46</v>
      </c>
      <c r="U30" s="1686">
        <v>0.71199999999999997</v>
      </c>
      <c r="V30" s="1686">
        <v>10.329499999999999</v>
      </c>
      <c r="W30" s="1686">
        <v>1.5565</v>
      </c>
      <c r="X30" s="1686">
        <v>1.5565</v>
      </c>
      <c r="Y30" s="1686">
        <v>9.6174999999999997</v>
      </c>
      <c r="Z30" s="2072">
        <v>7.4116946208543671E-2</v>
      </c>
      <c r="AA30" s="2072">
        <v>0.16902285186994517</v>
      </c>
      <c r="AB30" s="2093">
        <v>0.24313979807848884</v>
      </c>
    </row>
    <row r="31" spans="2:28">
      <c r="B31" s="89">
        <v>47</v>
      </c>
      <c r="C31" s="1">
        <v>0.66200000000000003</v>
      </c>
      <c r="D31" s="1">
        <v>9.9489999999999998</v>
      </c>
      <c r="E31" s="1">
        <v>2.6040000000000001</v>
      </c>
      <c r="F31" s="1">
        <v>2.6040000000000001</v>
      </c>
      <c r="G31" s="1">
        <v>9.286999999999999</v>
      </c>
      <c r="H31" s="741">
        <v>7.1282437816302363E-2</v>
      </c>
      <c r="I31" s="741">
        <v>0.28039194573059117</v>
      </c>
      <c r="J31" s="2079">
        <v>0.35167438354689351</v>
      </c>
      <c r="K31" s="89">
        <v>47</v>
      </c>
      <c r="L31" s="1">
        <v>0.71799999999999997</v>
      </c>
      <c r="M31" s="1">
        <v>11.266</v>
      </c>
      <c r="N31" s="1419">
        <v>0.59599999999999997</v>
      </c>
      <c r="O31" s="1">
        <v>0.59599999999999997</v>
      </c>
      <c r="P31" s="1">
        <v>10.548</v>
      </c>
      <c r="Q31" s="741">
        <v>6.8069776260902534E-2</v>
      </c>
      <c r="R31" s="741">
        <v>5.6503602578687903E-2</v>
      </c>
      <c r="S31" s="2079">
        <v>0.12457337883959044</v>
      </c>
      <c r="T31" s="89">
        <v>47</v>
      </c>
      <c r="U31" s="740">
        <v>0.69</v>
      </c>
      <c r="V31" s="740">
        <v>10.6075</v>
      </c>
      <c r="W31" s="740">
        <v>1.6</v>
      </c>
      <c r="X31" s="740">
        <v>1.6</v>
      </c>
      <c r="Y31" s="740">
        <v>9.9175000000000004</v>
      </c>
      <c r="Z31" s="2067">
        <v>6.9676107038602442E-2</v>
      </c>
      <c r="AA31" s="2067">
        <v>0.16844777415463955</v>
      </c>
      <c r="AB31" s="2094">
        <v>0.23812388119324196</v>
      </c>
    </row>
    <row r="32" spans="2:28">
      <c r="B32" s="2077">
        <v>48</v>
      </c>
      <c r="C32" s="2069">
        <v>0.64300000000000002</v>
      </c>
      <c r="D32" s="2069">
        <v>10.227</v>
      </c>
      <c r="E32" s="2069">
        <v>2.6789999999999998</v>
      </c>
      <c r="F32" s="2069">
        <v>2.6789999999999998</v>
      </c>
      <c r="G32" s="2069">
        <v>9.5839999999999996</v>
      </c>
      <c r="H32" s="2070">
        <v>6.7090984974958273E-2</v>
      </c>
      <c r="I32" s="2070">
        <v>0.27952838063439062</v>
      </c>
      <c r="J32" s="2078">
        <v>0.34661936560934892</v>
      </c>
      <c r="K32" s="2077">
        <v>48</v>
      </c>
      <c r="L32" s="2069">
        <v>0.68799999999999994</v>
      </c>
      <c r="M32" s="2069">
        <v>11.561</v>
      </c>
      <c r="N32" s="2071">
        <v>0.60699999999999998</v>
      </c>
      <c r="O32" s="2069">
        <v>0.60699999999999998</v>
      </c>
      <c r="P32" s="2069">
        <v>10.872999999999999</v>
      </c>
      <c r="Q32" s="2070">
        <v>6.3276004782488737E-2</v>
      </c>
      <c r="R32" s="2070">
        <v>5.5826358870596893E-2</v>
      </c>
      <c r="S32" s="2078">
        <v>0.11910236365308563</v>
      </c>
      <c r="T32" s="2077">
        <v>48</v>
      </c>
      <c r="U32" s="1686">
        <v>0.66549999999999998</v>
      </c>
      <c r="V32" s="1686">
        <v>10.894</v>
      </c>
      <c r="W32" s="1686">
        <v>1.6429999999999998</v>
      </c>
      <c r="X32" s="1686">
        <v>1.6429999999999998</v>
      </c>
      <c r="Y32" s="1686">
        <v>10.2285</v>
      </c>
      <c r="Z32" s="2072">
        <v>6.5183494878723505E-2</v>
      </c>
      <c r="AA32" s="2072">
        <v>0.16767736975249375</v>
      </c>
      <c r="AB32" s="2093">
        <v>0.23286086463121727</v>
      </c>
    </row>
    <row r="33" spans="2:28">
      <c r="B33" s="89">
        <v>49</v>
      </c>
      <c r="C33" s="1">
        <v>0.61899999999999999</v>
      </c>
      <c r="D33" s="1">
        <v>10.513999999999999</v>
      </c>
      <c r="E33" s="1">
        <v>2.7519999999999998</v>
      </c>
      <c r="F33" s="1">
        <v>2.7519999999999998</v>
      </c>
      <c r="G33" s="1">
        <v>9.8949999999999996</v>
      </c>
      <c r="H33" s="741">
        <v>6.2556846892369886E-2</v>
      </c>
      <c r="I33" s="741">
        <v>0.27812026275896917</v>
      </c>
      <c r="J33" s="2079">
        <v>0.34067710965133907</v>
      </c>
      <c r="K33" s="89">
        <v>49</v>
      </c>
      <c r="L33" s="1">
        <v>0.65500000000000003</v>
      </c>
      <c r="M33" s="1">
        <v>11.865</v>
      </c>
      <c r="N33" s="1419">
        <v>0.61599999999999999</v>
      </c>
      <c r="O33" s="1">
        <v>0.61599999999999999</v>
      </c>
      <c r="P33" s="1">
        <v>11.21</v>
      </c>
      <c r="Q33" s="741">
        <v>5.8429973238180194E-2</v>
      </c>
      <c r="R33" s="741">
        <v>5.4950936663693127E-2</v>
      </c>
      <c r="S33" s="2079">
        <v>0.11338090990187333</v>
      </c>
      <c r="T33" s="89">
        <v>49</v>
      </c>
      <c r="U33" s="740">
        <v>0.63700000000000001</v>
      </c>
      <c r="V33" s="740">
        <v>11.189499999999999</v>
      </c>
      <c r="W33" s="740">
        <v>1.6839999999999999</v>
      </c>
      <c r="X33" s="740">
        <v>1.6839999999999999</v>
      </c>
      <c r="Y33" s="740">
        <v>10.5525</v>
      </c>
      <c r="Z33" s="2067">
        <v>6.049341006527504E-2</v>
      </c>
      <c r="AA33" s="2067">
        <v>0.16653559971133114</v>
      </c>
      <c r="AB33" s="2094">
        <v>0.2270290097766062</v>
      </c>
    </row>
    <row r="34" spans="2:28">
      <c r="B34" s="2077">
        <v>50</v>
      </c>
      <c r="C34" s="2069">
        <v>0.59099999999999997</v>
      </c>
      <c r="D34" s="2069">
        <v>10.808999999999999</v>
      </c>
      <c r="E34" s="2069">
        <v>2.8239999999999998</v>
      </c>
      <c r="F34" s="2069">
        <v>2.8239999999999998</v>
      </c>
      <c r="G34" s="2069">
        <v>10.218</v>
      </c>
      <c r="H34" s="2070">
        <v>5.7839107457428068E-2</v>
      </c>
      <c r="I34" s="2070">
        <v>0.27637502446662748</v>
      </c>
      <c r="J34" s="2078">
        <v>0.33421413192405558</v>
      </c>
      <c r="K34" s="2077">
        <v>50</v>
      </c>
      <c r="L34" s="2069">
        <v>0.61899999999999999</v>
      </c>
      <c r="M34" s="2069">
        <v>12.178000000000001</v>
      </c>
      <c r="N34" s="2071">
        <v>0.625</v>
      </c>
      <c r="O34" s="2069">
        <v>0.625</v>
      </c>
      <c r="P34" s="2069">
        <v>11.559000000000001</v>
      </c>
      <c r="Q34" s="2070">
        <v>5.3551345272082357E-2</v>
      </c>
      <c r="R34" s="2070">
        <v>5.4070421316722898E-2</v>
      </c>
      <c r="S34" s="2078">
        <v>0.10762176658880526</v>
      </c>
      <c r="T34" s="2077">
        <v>50</v>
      </c>
      <c r="U34" s="1686">
        <v>0.60499999999999998</v>
      </c>
      <c r="V34" s="1686">
        <v>11.493500000000001</v>
      </c>
      <c r="W34" s="1686">
        <v>1.7244999999999999</v>
      </c>
      <c r="X34" s="1686">
        <v>1.7244999999999999</v>
      </c>
      <c r="Y34" s="1686">
        <v>10.888500000000001</v>
      </c>
      <c r="Z34" s="2072">
        <v>5.5695226364755213E-2</v>
      </c>
      <c r="AA34" s="2072">
        <v>0.16522272289167519</v>
      </c>
      <c r="AB34" s="2093">
        <v>0.22091794925643043</v>
      </c>
    </row>
    <row r="35" spans="2:28">
      <c r="B35" s="89">
        <v>51</v>
      </c>
      <c r="C35" s="1">
        <v>0.55700000000000005</v>
      </c>
      <c r="D35" s="1">
        <v>11.115</v>
      </c>
      <c r="E35" s="1">
        <v>2.8929999999999998</v>
      </c>
      <c r="F35" s="1">
        <v>2.8929999999999998</v>
      </c>
      <c r="G35" s="1">
        <v>10.558</v>
      </c>
      <c r="H35" s="741">
        <v>5.2756203826482294E-2</v>
      </c>
      <c r="I35" s="741">
        <v>0.27401022921007767</v>
      </c>
      <c r="J35" s="2079">
        <v>0.32676643303655994</v>
      </c>
      <c r="K35" s="89">
        <v>51</v>
      </c>
      <c r="L35" s="1">
        <v>0.57699999999999996</v>
      </c>
      <c r="M35" s="1">
        <v>12.499000000000001</v>
      </c>
      <c r="N35" s="1419">
        <v>0.63200000000000001</v>
      </c>
      <c r="O35" s="1">
        <v>0.63200000000000001</v>
      </c>
      <c r="P35" s="1">
        <v>11.922000000000001</v>
      </c>
      <c r="Q35" s="741">
        <v>4.8397919812112056E-2</v>
      </c>
      <c r="R35" s="741">
        <v>5.3011239724878374E-2</v>
      </c>
      <c r="S35" s="2079">
        <v>0.10140915953699042</v>
      </c>
      <c r="T35" s="89">
        <v>51</v>
      </c>
      <c r="U35" s="740">
        <v>0.56699999999999995</v>
      </c>
      <c r="V35" s="740">
        <v>11.807</v>
      </c>
      <c r="W35" s="740">
        <v>1.7625</v>
      </c>
      <c r="X35" s="740">
        <v>1.7625</v>
      </c>
      <c r="Y35" s="740">
        <v>11.24</v>
      </c>
      <c r="Z35" s="2067">
        <v>5.0577061819297178E-2</v>
      </c>
      <c r="AA35" s="2067">
        <v>0.16351073446747802</v>
      </c>
      <c r="AB35" s="2094">
        <v>0.21408779628677518</v>
      </c>
    </row>
    <row r="36" spans="2:28">
      <c r="B36" s="2077">
        <v>52</v>
      </c>
      <c r="C36" s="2069">
        <v>0.51900000000000002</v>
      </c>
      <c r="D36" s="2069">
        <v>11.43</v>
      </c>
      <c r="E36" s="2069">
        <v>2.96</v>
      </c>
      <c r="F36" s="2069">
        <v>2.96</v>
      </c>
      <c r="G36" s="2069">
        <v>10.911</v>
      </c>
      <c r="H36" s="2070">
        <v>4.7566675831729452E-2</v>
      </c>
      <c r="I36" s="2070">
        <v>0.2712858583081294</v>
      </c>
      <c r="J36" s="2078">
        <v>0.31885253413985887</v>
      </c>
      <c r="K36" s="2077">
        <v>52</v>
      </c>
      <c r="L36" s="2069">
        <v>0.53200000000000003</v>
      </c>
      <c r="M36" s="2069">
        <v>12.829000000000001</v>
      </c>
      <c r="N36" s="2071">
        <v>0.63800000000000001</v>
      </c>
      <c r="O36" s="2069">
        <v>0.63800000000000001</v>
      </c>
      <c r="P36" s="2069">
        <v>12.297000000000001</v>
      </c>
      <c r="Q36" s="2070">
        <v>4.3262584370171588E-2</v>
      </c>
      <c r="R36" s="2070">
        <v>5.1882572985280963E-2</v>
      </c>
      <c r="S36" s="2078">
        <v>9.514515735545255E-2</v>
      </c>
      <c r="T36" s="2077">
        <v>52</v>
      </c>
      <c r="U36" s="1686">
        <v>0.52550000000000008</v>
      </c>
      <c r="V36" s="1686">
        <v>12.1295</v>
      </c>
      <c r="W36" s="1686">
        <v>1.7989999999999999</v>
      </c>
      <c r="X36" s="1686">
        <v>1.7989999999999999</v>
      </c>
      <c r="Y36" s="1686">
        <v>11.603999999999999</v>
      </c>
      <c r="Z36" s="2072">
        <v>4.5414630100950523E-2</v>
      </c>
      <c r="AA36" s="2072">
        <v>0.16158421564670519</v>
      </c>
      <c r="AB36" s="2093">
        <v>0.2069988457476557</v>
      </c>
    </row>
    <row r="37" spans="2:28">
      <c r="B37" s="89">
        <v>53</v>
      </c>
      <c r="C37" s="1">
        <v>0.47599999999999998</v>
      </c>
      <c r="D37" s="1">
        <v>11.757</v>
      </c>
      <c r="E37" s="1">
        <v>3.024</v>
      </c>
      <c r="F37" s="1">
        <v>3.024</v>
      </c>
      <c r="G37" s="1">
        <v>11.280999999999999</v>
      </c>
      <c r="H37" s="741">
        <v>4.2194840882900451E-2</v>
      </c>
      <c r="I37" s="741">
        <v>0.26806134207960292</v>
      </c>
      <c r="J37" s="2079">
        <v>0.31025618296250335</v>
      </c>
      <c r="K37" s="89">
        <v>53</v>
      </c>
      <c r="L37" s="1">
        <v>0.48199999999999998</v>
      </c>
      <c r="M37" s="1">
        <v>13.169</v>
      </c>
      <c r="N37" s="1419">
        <v>0.64300000000000002</v>
      </c>
      <c r="O37" s="1">
        <v>0.64300000000000002</v>
      </c>
      <c r="P37" s="1">
        <v>12.687000000000001</v>
      </c>
      <c r="Q37" s="741">
        <v>3.7991644990935595E-2</v>
      </c>
      <c r="R37" s="741">
        <v>5.0681800267990851E-2</v>
      </c>
      <c r="S37" s="2079">
        <v>8.8673445258926453E-2</v>
      </c>
      <c r="T37" s="89">
        <v>53</v>
      </c>
      <c r="U37" s="740">
        <v>0.47899999999999998</v>
      </c>
      <c r="V37" s="740">
        <v>12.463000000000001</v>
      </c>
      <c r="W37" s="740">
        <v>1.8334999999999999</v>
      </c>
      <c r="X37" s="740">
        <v>1.8334999999999999</v>
      </c>
      <c r="Y37" s="740">
        <v>11.984</v>
      </c>
      <c r="Z37" s="2067">
        <v>4.0093242936918023E-2</v>
      </c>
      <c r="AA37" s="2067">
        <v>0.15937157117379688</v>
      </c>
      <c r="AB37" s="2094">
        <v>0.1994648141107149</v>
      </c>
    </row>
    <row r="38" spans="2:28">
      <c r="B38" s="2077">
        <v>54</v>
      </c>
      <c r="C38" s="2069">
        <v>0.42799999999999999</v>
      </c>
      <c r="D38" s="2069">
        <v>12.093999999999999</v>
      </c>
      <c r="E38" s="2069">
        <v>3.0859999999999999</v>
      </c>
      <c r="F38" s="2069">
        <v>3.0859999999999999</v>
      </c>
      <c r="G38" s="2069">
        <v>11.665999999999999</v>
      </c>
      <c r="H38" s="2070">
        <v>3.6687810732041838E-2</v>
      </c>
      <c r="I38" s="2070">
        <v>0.26452940168009603</v>
      </c>
      <c r="J38" s="2078">
        <v>0.30121721241213789</v>
      </c>
      <c r="K38" s="2077">
        <v>54</v>
      </c>
      <c r="L38" s="2069">
        <v>0.42699999999999999</v>
      </c>
      <c r="M38" s="2069">
        <v>13.519</v>
      </c>
      <c r="N38" s="2071">
        <v>0.64700000000000002</v>
      </c>
      <c r="O38" s="2069">
        <v>0.64700000000000002</v>
      </c>
      <c r="P38" s="2069">
        <v>13.092000000000001</v>
      </c>
      <c r="Q38" s="2070">
        <v>3.2615337610754656E-2</v>
      </c>
      <c r="R38" s="2070">
        <v>4.9419492820042772E-2</v>
      </c>
      <c r="S38" s="2078">
        <v>8.2034830430797429E-2</v>
      </c>
      <c r="T38" s="2077">
        <v>54</v>
      </c>
      <c r="U38" s="1686">
        <v>0.42749999999999999</v>
      </c>
      <c r="V38" s="1686">
        <v>12.8065</v>
      </c>
      <c r="W38" s="1686">
        <v>1.8664999999999998</v>
      </c>
      <c r="X38" s="1686">
        <v>1.8664999999999998</v>
      </c>
      <c r="Y38" s="1686">
        <v>12.379</v>
      </c>
      <c r="Z38" s="2072">
        <v>3.4651574171398247E-2</v>
      </c>
      <c r="AA38" s="2072">
        <v>0.1569744472500694</v>
      </c>
      <c r="AB38" s="2093">
        <v>0.19162602142146767</v>
      </c>
    </row>
    <row r="39" spans="2:28">
      <c r="B39" s="89">
        <v>55</v>
      </c>
      <c r="C39" s="1">
        <v>0.375</v>
      </c>
      <c r="D39" s="1">
        <v>12.444000000000001</v>
      </c>
      <c r="E39" s="1">
        <v>3.1459999999999999</v>
      </c>
      <c r="F39" s="1">
        <v>3.1459999999999999</v>
      </c>
      <c r="G39" s="1">
        <v>12.069000000000001</v>
      </c>
      <c r="H39" s="741">
        <v>3.107133979617201E-2</v>
      </c>
      <c r="I39" s="741">
        <v>0.26066782666335236</v>
      </c>
      <c r="J39" s="2079">
        <v>0.29173916645952436</v>
      </c>
      <c r="K39" s="89">
        <v>55</v>
      </c>
      <c r="L39" s="1">
        <v>0.36799999999999999</v>
      </c>
      <c r="M39" s="1">
        <v>13.88</v>
      </c>
      <c r="N39" s="1419">
        <v>0.64900000000000002</v>
      </c>
      <c r="O39" s="1">
        <v>0.64900000000000002</v>
      </c>
      <c r="P39" s="1">
        <v>13.512</v>
      </c>
      <c r="Q39" s="741">
        <v>2.7235050325636469E-2</v>
      </c>
      <c r="R39" s="741">
        <v>4.8031379514505625E-2</v>
      </c>
      <c r="S39" s="2079">
        <v>7.5266429840142091E-2</v>
      </c>
      <c r="T39" s="89">
        <v>55</v>
      </c>
      <c r="U39" s="740">
        <v>0.3715</v>
      </c>
      <c r="V39" s="740">
        <v>13.162000000000001</v>
      </c>
      <c r="W39" s="740">
        <v>1.8975</v>
      </c>
      <c r="X39" s="740">
        <v>1.8975</v>
      </c>
      <c r="Y39" s="740">
        <v>12.790500000000002</v>
      </c>
      <c r="Z39" s="2067">
        <v>2.915319506090424E-2</v>
      </c>
      <c r="AA39" s="2067">
        <v>0.154349603088929</v>
      </c>
      <c r="AB39" s="2094">
        <v>0.18350279814983322</v>
      </c>
    </row>
    <row r="40" spans="2:28">
      <c r="B40" s="2077">
        <v>56</v>
      </c>
      <c r="C40" s="2069">
        <v>0.317</v>
      </c>
      <c r="D40" s="2069">
        <v>12.805999999999999</v>
      </c>
      <c r="E40" s="2069">
        <v>3.2050000000000001</v>
      </c>
      <c r="F40" s="2069">
        <v>3.2050000000000001</v>
      </c>
      <c r="G40" s="2069">
        <v>12.488999999999999</v>
      </c>
      <c r="H40" s="2070">
        <v>2.5382336456081355E-2</v>
      </c>
      <c r="I40" s="2070">
        <v>0.25662583073104334</v>
      </c>
      <c r="J40" s="2078">
        <v>0.28200816718712468</v>
      </c>
      <c r="K40" s="2077">
        <v>56</v>
      </c>
      <c r="L40" s="2069">
        <v>0.30499999999999999</v>
      </c>
      <c r="M40" s="2069">
        <v>14.252000000000001</v>
      </c>
      <c r="N40" s="2071">
        <v>0.65100000000000002</v>
      </c>
      <c r="O40" s="2069">
        <v>0.65100000000000002</v>
      </c>
      <c r="P40" s="2069">
        <v>13.947000000000001</v>
      </c>
      <c r="Q40" s="2070">
        <v>2.1868502186850217E-2</v>
      </c>
      <c r="R40" s="2070">
        <v>4.6676704667670467E-2</v>
      </c>
      <c r="S40" s="2078">
        <v>6.8545206854520688E-2</v>
      </c>
      <c r="T40" s="2077">
        <v>56</v>
      </c>
      <c r="U40" s="1686">
        <v>0.311</v>
      </c>
      <c r="V40" s="1686">
        <v>13.529</v>
      </c>
      <c r="W40" s="1686">
        <v>1.9279999999999999</v>
      </c>
      <c r="X40" s="1686">
        <v>1.9279999999999999</v>
      </c>
      <c r="Y40" s="1686">
        <v>13.218</v>
      </c>
      <c r="Z40" s="2072">
        <v>2.3625419321465786E-2</v>
      </c>
      <c r="AA40" s="2072">
        <v>0.15165126769935691</v>
      </c>
      <c r="AB40" s="2093">
        <v>0.17527668702082269</v>
      </c>
    </row>
    <row r="41" spans="2:28">
      <c r="B41" s="89">
        <v>57</v>
      </c>
      <c r="C41" s="1">
        <v>0.25600000000000001</v>
      </c>
      <c r="D41" s="1">
        <v>13.180999999999999</v>
      </c>
      <c r="E41" s="1">
        <v>3.262</v>
      </c>
      <c r="F41" s="1">
        <v>3.262</v>
      </c>
      <c r="G41" s="1">
        <v>12.924999999999999</v>
      </c>
      <c r="H41" s="741">
        <v>1.9806576402321086E-2</v>
      </c>
      <c r="I41" s="741">
        <v>0.25237911025145071</v>
      </c>
      <c r="J41" s="2079">
        <v>0.2721856866537718</v>
      </c>
      <c r="K41" s="89">
        <v>57</v>
      </c>
      <c r="L41" s="1">
        <v>0.24</v>
      </c>
      <c r="M41" s="1">
        <v>14.638</v>
      </c>
      <c r="N41" s="1419">
        <v>0.65100000000000002</v>
      </c>
      <c r="O41" s="1">
        <v>0.65100000000000002</v>
      </c>
      <c r="P41" s="1">
        <v>14.398</v>
      </c>
      <c r="Q41" s="741">
        <v>1.6668981803028199E-2</v>
      </c>
      <c r="R41" s="741">
        <v>4.521461314071399E-2</v>
      </c>
      <c r="S41" s="2079">
        <v>6.1883594943742189E-2</v>
      </c>
      <c r="T41" s="89">
        <v>57</v>
      </c>
      <c r="U41" s="740">
        <v>0.248</v>
      </c>
      <c r="V41" s="740">
        <v>13.9095</v>
      </c>
      <c r="W41" s="740">
        <v>1.9565000000000001</v>
      </c>
      <c r="X41" s="740">
        <v>1.9565000000000001</v>
      </c>
      <c r="Y41" s="740">
        <v>13.6615</v>
      </c>
      <c r="Z41" s="2067">
        <v>1.8237779102674642E-2</v>
      </c>
      <c r="AA41" s="2067">
        <v>0.14879686169608236</v>
      </c>
      <c r="AB41" s="2094">
        <v>0.16703464079875699</v>
      </c>
    </row>
    <row r="42" spans="2:28">
      <c r="B42" s="2077">
        <v>58</v>
      </c>
      <c r="C42" s="2069">
        <v>0.19500000000000001</v>
      </c>
      <c r="D42" s="2069">
        <v>13.573</v>
      </c>
      <c r="E42" s="2069">
        <v>3.3210000000000002</v>
      </c>
      <c r="F42" s="2069">
        <v>3.3210000000000002</v>
      </c>
      <c r="G42" s="2069">
        <v>13.378</v>
      </c>
      <c r="H42" s="2070">
        <v>1.457616983106593E-2</v>
      </c>
      <c r="I42" s="2070">
        <v>0.24824338466138438</v>
      </c>
      <c r="J42" s="2078">
        <v>0.26281955449245031</v>
      </c>
      <c r="K42" s="2077">
        <v>58</v>
      </c>
      <c r="L42" s="2069">
        <v>0.17699999999999999</v>
      </c>
      <c r="M42" s="2069">
        <v>15.04</v>
      </c>
      <c r="N42" s="2071">
        <v>0.65200000000000002</v>
      </c>
      <c r="O42" s="2069">
        <v>0.65200000000000002</v>
      </c>
      <c r="P42" s="2069">
        <v>14.863</v>
      </c>
      <c r="Q42" s="2070">
        <v>1.190876673619054E-2</v>
      </c>
      <c r="R42" s="2070">
        <v>4.3867321536701878E-2</v>
      </c>
      <c r="S42" s="2078">
        <v>5.5776088272892418E-2</v>
      </c>
      <c r="T42" s="2077">
        <v>58</v>
      </c>
      <c r="U42" s="1686">
        <v>0.186</v>
      </c>
      <c r="V42" s="1686">
        <v>14.3065</v>
      </c>
      <c r="W42" s="1686">
        <v>1.9865000000000002</v>
      </c>
      <c r="X42" s="1686">
        <v>1.9865000000000002</v>
      </c>
      <c r="Y42" s="1686">
        <v>14.1205</v>
      </c>
      <c r="Z42" s="2072">
        <v>1.3242468283628236E-2</v>
      </c>
      <c r="AA42" s="2072">
        <v>0.14605535309904313</v>
      </c>
      <c r="AB42" s="2093">
        <v>0.15929782138267137</v>
      </c>
    </row>
    <row r="43" spans="2:28">
      <c r="B43" s="89">
        <v>59</v>
      </c>
      <c r="C43" s="1">
        <v>0.13600000000000001</v>
      </c>
      <c r="D43" s="1">
        <v>13.983000000000001</v>
      </c>
      <c r="E43" s="1">
        <v>3.38</v>
      </c>
      <c r="F43" s="1">
        <v>3.38</v>
      </c>
      <c r="G43" s="1">
        <v>13.847000000000001</v>
      </c>
      <c r="H43" s="741">
        <v>9.8216220119881556E-3</v>
      </c>
      <c r="I43" s="741">
        <v>0.24409619412147032</v>
      </c>
      <c r="J43" s="2079">
        <v>0.25391781613345848</v>
      </c>
      <c r="K43" s="89">
        <v>59</v>
      </c>
      <c r="L43" s="1">
        <v>0.12</v>
      </c>
      <c r="M43" s="1">
        <v>15.464</v>
      </c>
      <c r="N43" s="1419">
        <v>0.65200000000000002</v>
      </c>
      <c r="O43" s="1">
        <v>0.65200000000000002</v>
      </c>
      <c r="P43" s="1">
        <v>15.344000000000001</v>
      </c>
      <c r="Q43" s="741">
        <v>7.8206465067778928E-3</v>
      </c>
      <c r="R43" s="741">
        <v>4.2492179353493219E-2</v>
      </c>
      <c r="S43" s="2079">
        <v>5.031282586027111E-2</v>
      </c>
      <c r="T43" s="89">
        <v>59</v>
      </c>
      <c r="U43" s="740">
        <v>0.128</v>
      </c>
      <c r="V43" s="740">
        <v>14.723500000000001</v>
      </c>
      <c r="W43" s="740">
        <v>2.016</v>
      </c>
      <c r="X43" s="740">
        <v>2.016</v>
      </c>
      <c r="Y43" s="740">
        <v>14.595500000000001</v>
      </c>
      <c r="Z43" s="2067">
        <v>8.8211342593830233E-3</v>
      </c>
      <c r="AA43" s="2067">
        <v>0.14329418673748176</v>
      </c>
      <c r="AB43" s="2094">
        <v>0.15211532099686481</v>
      </c>
    </row>
    <row r="44" spans="2:28">
      <c r="B44" s="2077">
        <v>60</v>
      </c>
      <c r="C44" s="2069">
        <v>8.5000000000000006E-2</v>
      </c>
      <c r="D44" s="2069">
        <v>14.414999999999999</v>
      </c>
      <c r="E44" s="2069">
        <v>3.4420000000000002</v>
      </c>
      <c r="F44" s="2069">
        <v>3.4420000000000002</v>
      </c>
      <c r="G44" s="2069">
        <v>14.329999999999998</v>
      </c>
      <c r="H44" s="2070">
        <v>5.9316120027913481E-3</v>
      </c>
      <c r="I44" s="2070">
        <v>0.24019539427773906</v>
      </c>
      <c r="J44" s="2078">
        <v>0.24612700628053041</v>
      </c>
      <c r="K44" s="2077">
        <v>60</v>
      </c>
      <c r="L44" s="2069">
        <v>7.1999999999999995E-2</v>
      </c>
      <c r="M44" s="2069">
        <v>15.912000000000001</v>
      </c>
      <c r="N44" s="2071">
        <v>0.65200000000000002</v>
      </c>
      <c r="O44" s="2069">
        <v>0.65200000000000002</v>
      </c>
      <c r="P44" s="2069">
        <v>15.840000000000002</v>
      </c>
      <c r="Q44" s="2070">
        <v>4.5454545454545444E-3</v>
      </c>
      <c r="R44" s="2070">
        <v>4.1161616161616156E-2</v>
      </c>
      <c r="S44" s="2078">
        <v>4.5707070707070703E-2</v>
      </c>
      <c r="T44" s="2077">
        <v>60</v>
      </c>
      <c r="U44" s="1686">
        <v>7.85E-2</v>
      </c>
      <c r="V44" s="1686">
        <v>15.163499999999999</v>
      </c>
      <c r="W44" s="1686">
        <v>2.0470000000000002</v>
      </c>
      <c r="X44" s="1686">
        <v>2.0470000000000002</v>
      </c>
      <c r="Y44" s="1686">
        <v>15.085000000000001</v>
      </c>
      <c r="Z44" s="2072">
        <v>5.2385332741229466E-3</v>
      </c>
      <c r="AA44" s="2072">
        <v>0.14067850521967762</v>
      </c>
      <c r="AB44" s="2093">
        <v>0.14591703849380055</v>
      </c>
    </row>
    <row r="45" spans="2:28">
      <c r="B45" s="89">
        <v>61</v>
      </c>
      <c r="C45" s="1">
        <v>4.4999999999999998E-2</v>
      </c>
      <c r="D45" s="1">
        <v>14.874000000000001</v>
      </c>
      <c r="E45" s="1">
        <v>3.5070000000000001</v>
      </c>
      <c r="F45" s="1">
        <v>3.5070000000000001</v>
      </c>
      <c r="G45" s="1">
        <v>14.829000000000001</v>
      </c>
      <c r="H45" s="741">
        <v>3.0345943758850898E-3</v>
      </c>
      <c r="I45" s="741">
        <v>0.23649605502731136</v>
      </c>
      <c r="J45" s="2079">
        <v>0.23953064940319646</v>
      </c>
      <c r="K45" s="89">
        <v>61</v>
      </c>
      <c r="L45" s="1">
        <v>3.5999999999999997E-2</v>
      </c>
      <c r="M45" s="1">
        <v>16.39</v>
      </c>
      <c r="N45" s="1419">
        <v>0.65200000000000002</v>
      </c>
      <c r="O45" s="1">
        <v>0.65200000000000002</v>
      </c>
      <c r="P45" s="1">
        <v>16.353999999999999</v>
      </c>
      <c r="Q45" s="741">
        <v>2.2012963189433775E-3</v>
      </c>
      <c r="R45" s="741">
        <v>3.9867922220863404E-2</v>
      </c>
      <c r="S45" s="2079">
        <v>4.2069218539806781E-2</v>
      </c>
      <c r="T45" s="89">
        <v>61</v>
      </c>
      <c r="U45" s="740">
        <v>4.0499999999999994E-2</v>
      </c>
      <c r="V45" s="740">
        <v>15.632000000000001</v>
      </c>
      <c r="W45" s="740">
        <v>2.0794999999999999</v>
      </c>
      <c r="X45" s="740">
        <v>2.0794999999999999</v>
      </c>
      <c r="Y45" s="740">
        <v>15.5915</v>
      </c>
      <c r="Z45" s="2067">
        <v>2.6179453474142337E-3</v>
      </c>
      <c r="AA45" s="2067">
        <v>0.13818198862408737</v>
      </c>
      <c r="AB45" s="2094">
        <v>0.14079993397150162</v>
      </c>
    </row>
    <row r="46" spans="2:28">
      <c r="B46" s="2077">
        <v>62</v>
      </c>
      <c r="C46" s="2069">
        <v>1.7999999999999999E-2</v>
      </c>
      <c r="D46" s="2069">
        <v>15.363</v>
      </c>
      <c r="E46" s="2069">
        <v>3.5579999999999998</v>
      </c>
      <c r="F46" s="2069">
        <v>3.5579999999999998</v>
      </c>
      <c r="G46" s="2069">
        <v>15.344999999999999</v>
      </c>
      <c r="H46" s="2070">
        <v>1.1730205278592375E-3</v>
      </c>
      <c r="I46" s="2070">
        <v>0.23186705767350929</v>
      </c>
      <c r="J46" s="2078">
        <v>0.23304007820136852</v>
      </c>
      <c r="K46" s="2077">
        <v>62</v>
      </c>
      <c r="L46" s="2069">
        <v>1.4E-2</v>
      </c>
      <c r="M46" s="2069">
        <v>16.899000000000001</v>
      </c>
      <c r="N46" s="2071">
        <v>0.64900000000000002</v>
      </c>
      <c r="O46" s="2069">
        <v>0.64900000000000002</v>
      </c>
      <c r="P46" s="2069">
        <v>16.885000000000002</v>
      </c>
      <c r="Q46" s="2070">
        <v>8.2913828842167596E-4</v>
      </c>
      <c r="R46" s="2070">
        <v>3.8436482084690554E-2</v>
      </c>
      <c r="S46" s="2078">
        <v>3.926562037311223E-2</v>
      </c>
      <c r="T46" s="2077">
        <v>62</v>
      </c>
      <c r="U46" s="1686">
        <v>1.6E-2</v>
      </c>
      <c r="V46" s="1686">
        <v>16.131</v>
      </c>
      <c r="W46" s="1686">
        <v>2.1034999999999999</v>
      </c>
      <c r="X46" s="1686">
        <v>2.1034999999999999</v>
      </c>
      <c r="Y46" s="1686">
        <v>16.115000000000002</v>
      </c>
      <c r="Z46" s="2072">
        <v>1.0010794081404567E-3</v>
      </c>
      <c r="AA46" s="2072">
        <v>0.13515176987909994</v>
      </c>
      <c r="AB46" s="2093">
        <v>0.13615284928724036</v>
      </c>
    </row>
    <row r="47" spans="2:28">
      <c r="B47" s="89">
        <v>63</v>
      </c>
      <c r="C47" s="1">
        <v>4.0000000000000001E-3</v>
      </c>
      <c r="D47" s="1">
        <v>15.882999999999999</v>
      </c>
      <c r="E47" s="1">
        <v>3.609</v>
      </c>
      <c r="F47" s="1">
        <v>3.609</v>
      </c>
      <c r="G47" s="1">
        <v>15.879</v>
      </c>
      <c r="H47" s="741">
        <v>2.5190503180301028E-4</v>
      </c>
      <c r="I47" s="741">
        <v>0.22728131494426601</v>
      </c>
      <c r="J47" s="2079">
        <v>0.22753321997606901</v>
      </c>
      <c r="K47" s="89">
        <v>63</v>
      </c>
      <c r="L47" s="1">
        <v>3.0000000000000001E-3</v>
      </c>
      <c r="M47" s="1">
        <v>17.439</v>
      </c>
      <c r="N47" s="1419">
        <v>0.64600000000000002</v>
      </c>
      <c r="O47" s="1">
        <v>0.64600000000000002</v>
      </c>
      <c r="P47" s="1">
        <v>17.436</v>
      </c>
      <c r="Q47" s="741">
        <v>1.7205781142463867E-4</v>
      </c>
      <c r="R47" s="741">
        <v>3.7049782060105528E-2</v>
      </c>
      <c r="S47" s="2079">
        <v>3.7221839871530167E-2</v>
      </c>
      <c r="T47" s="89">
        <v>63</v>
      </c>
      <c r="U47" s="740">
        <v>3.5000000000000001E-3</v>
      </c>
      <c r="V47" s="740">
        <v>16.661000000000001</v>
      </c>
      <c r="W47" s="740">
        <v>2.1274999999999999</v>
      </c>
      <c r="X47" s="740">
        <v>2.1274999999999999</v>
      </c>
      <c r="Y47" s="740">
        <v>16.657499999999999</v>
      </c>
      <c r="Z47" s="2067">
        <v>2.1198142161382448E-4</v>
      </c>
      <c r="AA47" s="2067">
        <v>0.13216554850218576</v>
      </c>
      <c r="AB47" s="2094">
        <v>0.13237752992379959</v>
      </c>
    </row>
    <row r="48" spans="2:28" s="34" customFormat="1">
      <c r="B48" s="2098">
        <v>64</v>
      </c>
      <c r="C48" s="2099">
        <v>0</v>
      </c>
      <c r="D48" s="2099">
        <v>16.437999999999999</v>
      </c>
      <c r="E48" s="2099">
        <v>3.6579999999999999</v>
      </c>
      <c r="F48" s="2099">
        <v>3.6579999999999999</v>
      </c>
      <c r="G48" s="2099">
        <v>16.437999999999999</v>
      </c>
      <c r="H48" s="2100">
        <v>0</v>
      </c>
      <c r="I48" s="2100">
        <v>0.22253315488502251</v>
      </c>
      <c r="J48" s="2101">
        <v>0.22253315488502251</v>
      </c>
      <c r="K48" s="2098">
        <v>64</v>
      </c>
      <c r="L48" s="2099">
        <v>0</v>
      </c>
      <c r="M48" s="2099">
        <v>18.010999999999999</v>
      </c>
      <c r="N48" s="2102">
        <v>0.64100000000000001</v>
      </c>
      <c r="O48" s="2099">
        <v>0.64100000000000001</v>
      </c>
      <c r="P48" s="2099">
        <v>18.010999999999999</v>
      </c>
      <c r="Q48" s="2100">
        <v>0</v>
      </c>
      <c r="R48" s="2100">
        <v>3.5589362056521016E-2</v>
      </c>
      <c r="S48" s="2101">
        <v>3.5589362056521016E-2</v>
      </c>
      <c r="T48" s="2098">
        <v>64</v>
      </c>
      <c r="U48" s="2103">
        <v>0</v>
      </c>
      <c r="V48" s="2103">
        <v>17.224499999999999</v>
      </c>
      <c r="W48" s="2103">
        <v>2.1494999999999997</v>
      </c>
      <c r="X48" s="2103">
        <v>2.1494999999999997</v>
      </c>
      <c r="Y48" s="2103">
        <v>17.224499999999999</v>
      </c>
      <c r="Z48" s="2104">
        <v>0</v>
      </c>
      <c r="AA48" s="2104">
        <v>0.12906125847077177</v>
      </c>
      <c r="AB48" s="2105">
        <v>0.12906125847077177</v>
      </c>
    </row>
    <row r="49" spans="2:28">
      <c r="B49" s="89">
        <v>65</v>
      </c>
      <c r="C49" s="1">
        <v>0</v>
      </c>
      <c r="D49" s="1">
        <v>16.053000000000001</v>
      </c>
      <c r="E49" s="1">
        <v>3.6680000000000001</v>
      </c>
      <c r="F49" s="1">
        <v>3.6680000000000001</v>
      </c>
      <c r="G49" s="1">
        <v>16.053000000000001</v>
      </c>
      <c r="H49" s="741">
        <v>0</v>
      </c>
      <c r="I49" s="741">
        <v>0.2284931165514234</v>
      </c>
      <c r="J49" s="2079">
        <v>0.2284931165514234</v>
      </c>
      <c r="K49" s="89">
        <v>65</v>
      </c>
      <c r="L49" s="1">
        <v>0</v>
      </c>
      <c r="M49" s="1">
        <v>17.669</v>
      </c>
      <c r="N49" s="1419">
        <v>0.64900000000000002</v>
      </c>
      <c r="O49" s="1">
        <v>0.64900000000000002</v>
      </c>
      <c r="P49" s="1">
        <v>17.669</v>
      </c>
      <c r="Q49" s="741">
        <v>0</v>
      </c>
      <c r="R49" s="741">
        <v>3.6730997792744358E-2</v>
      </c>
      <c r="S49" s="2079">
        <v>3.6730997792744358E-2</v>
      </c>
      <c r="T49" s="89">
        <v>65</v>
      </c>
      <c r="U49" s="740">
        <v>0</v>
      </c>
      <c r="V49" s="740">
        <v>16.861000000000001</v>
      </c>
      <c r="W49" s="740">
        <v>2.1585000000000001</v>
      </c>
      <c r="X49" s="740">
        <v>2.1585000000000001</v>
      </c>
      <c r="Y49" s="740">
        <v>16.861000000000001</v>
      </c>
      <c r="Z49" s="957">
        <v>0</v>
      </c>
      <c r="AA49" s="957">
        <v>0.13261205717208388</v>
      </c>
      <c r="AB49" s="958">
        <v>0.13261205717208388</v>
      </c>
    </row>
    <row r="50" spans="2:28">
      <c r="B50" s="2077">
        <v>66</v>
      </c>
      <c r="C50" s="2069"/>
      <c r="D50" s="2069">
        <v>15.661</v>
      </c>
      <c r="E50" s="2069">
        <v>3.6739999999999999</v>
      </c>
      <c r="F50" s="2069">
        <v>3.6739999999999999</v>
      </c>
      <c r="G50" s="2069">
        <v>15.661</v>
      </c>
      <c r="H50" s="2070">
        <v>0</v>
      </c>
      <c r="I50" s="2070">
        <v>0.23459549198646318</v>
      </c>
      <c r="J50" s="2078">
        <v>0.23459549198646318</v>
      </c>
      <c r="K50" s="2077">
        <v>66</v>
      </c>
      <c r="L50" s="2069">
        <v>0</v>
      </c>
      <c r="M50" s="2069">
        <v>17.274000000000001</v>
      </c>
      <c r="N50" s="2071">
        <v>0.63</v>
      </c>
      <c r="O50" s="2069">
        <v>0.63</v>
      </c>
      <c r="P50" s="2069">
        <v>17.274000000000001</v>
      </c>
      <c r="Q50" s="2070">
        <v>0</v>
      </c>
      <c r="R50" s="2070">
        <v>3.647099687391455E-2</v>
      </c>
      <c r="S50" s="2078">
        <v>3.647099687391455E-2</v>
      </c>
      <c r="T50" s="2077">
        <v>66</v>
      </c>
      <c r="U50" s="1686">
        <v>0</v>
      </c>
      <c r="V50" s="1686">
        <v>16.467500000000001</v>
      </c>
      <c r="W50" s="1686">
        <v>2.1520000000000001</v>
      </c>
      <c r="X50" s="1686">
        <v>2.1520000000000001</v>
      </c>
      <c r="Y50" s="1686">
        <v>16.467500000000001</v>
      </c>
      <c r="Z50" s="2072">
        <v>0</v>
      </c>
      <c r="AA50" s="2072">
        <v>0.13553324443018885</v>
      </c>
      <c r="AB50" s="2093">
        <v>0.13553324443018885</v>
      </c>
    </row>
    <row r="51" spans="2:28">
      <c r="B51" s="89">
        <v>67</v>
      </c>
      <c r="C51" s="1"/>
      <c r="D51" s="1">
        <v>15.260999999999999</v>
      </c>
      <c r="E51" s="1">
        <v>3.6779999999999999</v>
      </c>
      <c r="F51" s="1">
        <v>3.6779999999999999</v>
      </c>
      <c r="G51" s="1">
        <v>15.260999999999999</v>
      </c>
      <c r="H51" s="741">
        <v>0</v>
      </c>
      <c r="I51" s="741">
        <v>0.24100648712404169</v>
      </c>
      <c r="J51" s="2079">
        <v>0.24100648712404169</v>
      </c>
      <c r="K51" s="89">
        <v>67</v>
      </c>
      <c r="L51" s="1">
        <v>0</v>
      </c>
      <c r="M51" s="1">
        <v>16.867000000000001</v>
      </c>
      <c r="N51" s="1419">
        <v>0.61</v>
      </c>
      <c r="O51" s="1">
        <v>0.61</v>
      </c>
      <c r="P51" s="1">
        <v>16.867000000000001</v>
      </c>
      <c r="Q51" s="741">
        <v>0</v>
      </c>
      <c r="R51" s="741">
        <v>3.6165293176024189E-2</v>
      </c>
      <c r="S51" s="2079">
        <v>3.6165293176024189E-2</v>
      </c>
      <c r="T51" s="89">
        <v>67</v>
      </c>
      <c r="U51" s="740">
        <v>0</v>
      </c>
      <c r="V51" s="740">
        <v>16.064</v>
      </c>
      <c r="W51" s="740">
        <v>2.1440000000000001</v>
      </c>
      <c r="X51" s="740">
        <v>2.1440000000000001</v>
      </c>
      <c r="Y51" s="740">
        <v>16.064</v>
      </c>
      <c r="Z51" s="2067">
        <v>0</v>
      </c>
      <c r="AA51" s="2067">
        <v>0.13858589015003295</v>
      </c>
      <c r="AB51" s="2094">
        <v>0.13858589015003295</v>
      </c>
    </row>
    <row r="52" spans="2:28">
      <c r="B52" s="2077">
        <v>68</v>
      </c>
      <c r="C52" s="2069"/>
      <c r="D52" s="2069">
        <v>14.851000000000001</v>
      </c>
      <c r="E52" s="2069">
        <v>3.68</v>
      </c>
      <c r="F52" s="2069">
        <v>3.68</v>
      </c>
      <c r="G52" s="2069">
        <v>14.851000000000001</v>
      </c>
      <c r="H52" s="2070">
        <v>0</v>
      </c>
      <c r="I52" s="2070">
        <v>0.24779476129553565</v>
      </c>
      <c r="J52" s="2078">
        <v>0.24779476129553565</v>
      </c>
      <c r="K52" s="2077">
        <v>68</v>
      </c>
      <c r="L52" s="2069">
        <v>0</v>
      </c>
      <c r="M52" s="2069">
        <v>16.448</v>
      </c>
      <c r="N52" s="2071">
        <v>0.59099999999999997</v>
      </c>
      <c r="O52" s="2069">
        <v>0.59099999999999997</v>
      </c>
      <c r="P52" s="2069">
        <v>16.448</v>
      </c>
      <c r="Q52" s="2070">
        <v>0</v>
      </c>
      <c r="R52" s="2070">
        <v>3.5931420233463032E-2</v>
      </c>
      <c r="S52" s="2078">
        <v>3.5931420233463032E-2</v>
      </c>
      <c r="T52" s="2077">
        <v>68</v>
      </c>
      <c r="U52" s="1686">
        <v>0</v>
      </c>
      <c r="V52" s="1686">
        <v>15.6495</v>
      </c>
      <c r="W52" s="1686">
        <v>2.1355</v>
      </c>
      <c r="X52" s="1686">
        <v>2.1355</v>
      </c>
      <c r="Y52" s="1686">
        <v>15.6495</v>
      </c>
      <c r="Z52" s="2072">
        <v>0</v>
      </c>
      <c r="AA52" s="2072">
        <v>0.14186309076449935</v>
      </c>
      <c r="AB52" s="2093">
        <v>0.14186309076449935</v>
      </c>
    </row>
    <row r="53" spans="2:28">
      <c r="B53" s="89">
        <v>69</v>
      </c>
      <c r="C53" s="1"/>
      <c r="D53" s="1">
        <v>14.432</v>
      </c>
      <c r="E53" s="1">
        <v>3.681</v>
      </c>
      <c r="F53" s="1">
        <v>3.681</v>
      </c>
      <c r="G53" s="1">
        <v>14.432</v>
      </c>
      <c r="H53" s="741">
        <v>0</v>
      </c>
      <c r="I53" s="741">
        <v>0.25505820399113083</v>
      </c>
      <c r="J53" s="2079">
        <v>0.25505820399113083</v>
      </c>
      <c r="K53" s="89">
        <v>69</v>
      </c>
      <c r="L53" s="1">
        <v>0</v>
      </c>
      <c r="M53" s="1">
        <v>16.016999999999999</v>
      </c>
      <c r="N53" s="1419">
        <v>0.57199999999999995</v>
      </c>
      <c r="O53" s="1">
        <v>0.57199999999999995</v>
      </c>
      <c r="P53" s="1">
        <v>16.016999999999999</v>
      </c>
      <c r="Q53" s="741">
        <v>0</v>
      </c>
      <c r="R53" s="741">
        <v>3.5712055940563148E-2</v>
      </c>
      <c r="S53" s="2079">
        <v>3.5712055940563148E-2</v>
      </c>
      <c r="T53" s="89">
        <v>69</v>
      </c>
      <c r="U53" s="740">
        <v>0</v>
      </c>
      <c r="V53" s="740">
        <v>15.224499999999999</v>
      </c>
      <c r="W53" s="740">
        <v>2.1265000000000001</v>
      </c>
      <c r="X53" s="740">
        <v>2.1265000000000001</v>
      </c>
      <c r="Y53" s="740">
        <v>15.224499999999999</v>
      </c>
      <c r="Z53" s="2067">
        <v>0</v>
      </c>
      <c r="AA53" s="2067">
        <v>0.14538512996584699</v>
      </c>
      <c r="AB53" s="2094">
        <v>0.14538512996584699</v>
      </c>
    </row>
    <row r="54" spans="2:28">
      <c r="B54" s="2077">
        <v>70</v>
      </c>
      <c r="C54" s="2069"/>
      <c r="D54" s="2069">
        <v>14.002000000000001</v>
      </c>
      <c r="E54" s="2069">
        <v>3.6789999999999998</v>
      </c>
      <c r="F54" s="2069">
        <v>3.6789999999999998</v>
      </c>
      <c r="G54" s="2069">
        <v>14.002000000000001</v>
      </c>
      <c r="H54" s="2070">
        <v>0</v>
      </c>
      <c r="I54" s="2070">
        <v>0.26274817883159546</v>
      </c>
      <c r="J54" s="2078">
        <v>0.26274817883159546</v>
      </c>
      <c r="K54" s="2077">
        <v>70</v>
      </c>
      <c r="L54" s="2069">
        <v>0</v>
      </c>
      <c r="M54" s="2069">
        <v>15.574</v>
      </c>
      <c r="N54" s="2071">
        <v>0.55100000000000005</v>
      </c>
      <c r="O54" s="2069">
        <v>0.55100000000000005</v>
      </c>
      <c r="P54" s="2069">
        <v>15.574</v>
      </c>
      <c r="Q54" s="2070">
        <v>0</v>
      </c>
      <c r="R54" s="2070">
        <v>3.5379478618209843E-2</v>
      </c>
      <c r="S54" s="2078">
        <v>3.5379478618209843E-2</v>
      </c>
      <c r="T54" s="2077">
        <v>70</v>
      </c>
      <c r="U54" s="1686">
        <v>0</v>
      </c>
      <c r="V54" s="1686">
        <v>14.788</v>
      </c>
      <c r="W54" s="1686">
        <v>2.1149999999999998</v>
      </c>
      <c r="X54" s="1686">
        <v>2.1149999999999998</v>
      </c>
      <c r="Y54" s="1686">
        <v>14.788</v>
      </c>
      <c r="Z54" s="2072">
        <v>0</v>
      </c>
      <c r="AA54" s="2072">
        <v>0.14906382872490265</v>
      </c>
      <c r="AB54" s="2093">
        <v>0.14906382872490265</v>
      </c>
    </row>
    <row r="55" spans="2:28">
      <c r="B55" s="89">
        <v>71</v>
      </c>
      <c r="C55" s="1"/>
      <c r="D55" s="1">
        <v>13.561999999999999</v>
      </c>
      <c r="E55" s="1">
        <v>3.6749999999999998</v>
      </c>
      <c r="F55" s="1">
        <v>3.6749999999999998</v>
      </c>
      <c r="G55" s="1">
        <v>13.561999999999999</v>
      </c>
      <c r="H55" s="741">
        <v>0</v>
      </c>
      <c r="I55" s="741">
        <v>0.27097773189795016</v>
      </c>
      <c r="J55" s="2079">
        <v>0.27097773189795016</v>
      </c>
      <c r="K55" s="89">
        <v>71</v>
      </c>
      <c r="L55" s="1">
        <v>0</v>
      </c>
      <c r="M55" s="1">
        <v>15.118</v>
      </c>
      <c r="N55" s="1419">
        <v>0.53100000000000003</v>
      </c>
      <c r="O55" s="1">
        <v>0.53100000000000003</v>
      </c>
      <c r="P55" s="1">
        <v>15.118</v>
      </c>
      <c r="Q55" s="741">
        <v>0</v>
      </c>
      <c r="R55" s="741">
        <v>3.5123693610265912E-2</v>
      </c>
      <c r="S55" s="2079">
        <v>3.5123693610265912E-2</v>
      </c>
      <c r="T55" s="89">
        <v>71</v>
      </c>
      <c r="U55" s="740">
        <v>0</v>
      </c>
      <c r="V55" s="740">
        <v>14.34</v>
      </c>
      <c r="W55" s="740">
        <v>2.1029999999999998</v>
      </c>
      <c r="X55" s="740">
        <v>2.1029999999999998</v>
      </c>
      <c r="Y55" s="740">
        <v>14.34</v>
      </c>
      <c r="Z55" s="2067">
        <v>0</v>
      </c>
      <c r="AA55" s="2067">
        <v>0.15305071275410803</v>
      </c>
      <c r="AB55" s="2094">
        <v>0.15305071275410803</v>
      </c>
    </row>
    <row r="56" spans="2:28">
      <c r="B56" s="2077">
        <v>72</v>
      </c>
      <c r="C56" s="2069"/>
      <c r="D56" s="2069">
        <v>13.111000000000001</v>
      </c>
      <c r="E56" s="2069">
        <v>3.669</v>
      </c>
      <c r="F56" s="2069">
        <v>3.669</v>
      </c>
      <c r="G56" s="2069">
        <v>13.111000000000001</v>
      </c>
      <c r="H56" s="2070">
        <v>0</v>
      </c>
      <c r="I56" s="2070">
        <v>0.27984135458775072</v>
      </c>
      <c r="J56" s="2078">
        <v>0.27984135458775072</v>
      </c>
      <c r="K56" s="2077">
        <v>72</v>
      </c>
      <c r="L56" s="2069">
        <v>0</v>
      </c>
      <c r="M56" s="2069">
        <v>14.648999999999999</v>
      </c>
      <c r="N56" s="2071">
        <v>0.51</v>
      </c>
      <c r="O56" s="2069">
        <v>0.51</v>
      </c>
      <c r="P56" s="2069">
        <v>14.648999999999999</v>
      </c>
      <c r="Q56" s="2070">
        <v>0</v>
      </c>
      <c r="R56" s="2070">
        <v>3.481466311693631E-2</v>
      </c>
      <c r="S56" s="2078">
        <v>3.481466311693631E-2</v>
      </c>
      <c r="T56" s="2077">
        <v>72</v>
      </c>
      <c r="U56" s="1686">
        <v>0</v>
      </c>
      <c r="V56" s="1686">
        <v>13.879999999999999</v>
      </c>
      <c r="W56" s="1686">
        <v>2.0895000000000001</v>
      </c>
      <c r="X56" s="1686">
        <v>2.0895000000000001</v>
      </c>
      <c r="Y56" s="1686">
        <v>13.879999999999999</v>
      </c>
      <c r="Z56" s="2072">
        <v>0</v>
      </c>
      <c r="AA56" s="2072">
        <v>0.15732800885234352</v>
      </c>
      <c r="AB56" s="2093">
        <v>0.15732800885234352</v>
      </c>
    </row>
    <row r="57" spans="2:28">
      <c r="B57" s="89">
        <v>73</v>
      </c>
      <c r="C57" s="1"/>
      <c r="D57" s="1">
        <v>12.65</v>
      </c>
      <c r="E57" s="1">
        <v>3.6669999999999998</v>
      </c>
      <c r="F57" s="1">
        <v>3.6669999999999998</v>
      </c>
      <c r="G57" s="1">
        <v>12.65</v>
      </c>
      <c r="H57" s="741">
        <v>0</v>
      </c>
      <c r="I57" s="741">
        <v>0.28988142292490116</v>
      </c>
      <c r="J57" s="2079">
        <v>0.28988142292490116</v>
      </c>
      <c r="K57" s="89">
        <v>73</v>
      </c>
      <c r="L57" s="1">
        <v>0</v>
      </c>
      <c r="M57" s="1">
        <v>14.167999999999999</v>
      </c>
      <c r="N57" s="1419">
        <v>0.48899999999999999</v>
      </c>
      <c r="O57" s="1">
        <v>0.48899999999999999</v>
      </c>
      <c r="P57" s="1">
        <v>14.167999999999999</v>
      </c>
      <c r="Q57" s="741">
        <v>0</v>
      </c>
      <c r="R57" s="741">
        <v>3.4514398644833431E-2</v>
      </c>
      <c r="S57" s="2079">
        <v>3.4514398644833431E-2</v>
      </c>
      <c r="T57" s="89">
        <v>73</v>
      </c>
      <c r="U57" s="740">
        <v>0</v>
      </c>
      <c r="V57" s="740">
        <v>13.408999999999999</v>
      </c>
      <c r="W57" s="740">
        <v>2.0779999999999998</v>
      </c>
      <c r="X57" s="740">
        <v>2.0779999999999998</v>
      </c>
      <c r="Y57" s="740">
        <v>13.408999999999999</v>
      </c>
      <c r="Z57" s="2067">
        <v>0</v>
      </c>
      <c r="AA57" s="2067">
        <v>0.16219791078486728</v>
      </c>
      <c r="AB57" s="2094">
        <v>0.16219791078486728</v>
      </c>
    </row>
    <row r="58" spans="2:28">
      <c r="B58" s="2077">
        <v>74</v>
      </c>
      <c r="C58" s="2069"/>
      <c r="D58" s="2069">
        <v>12.18</v>
      </c>
      <c r="E58" s="2069">
        <v>3.6619999999999999</v>
      </c>
      <c r="F58" s="2069">
        <v>3.6619999999999999</v>
      </c>
      <c r="G58" s="2069">
        <v>12.18</v>
      </c>
      <c r="H58" s="2070">
        <v>0</v>
      </c>
      <c r="I58" s="2070">
        <v>0.30065681444991788</v>
      </c>
      <c r="J58" s="2078">
        <v>0.30065681444991788</v>
      </c>
      <c r="K58" s="2077">
        <v>74</v>
      </c>
      <c r="L58" s="2069">
        <v>0</v>
      </c>
      <c r="M58" s="2069">
        <v>13.676</v>
      </c>
      <c r="N58" s="2071">
        <v>0.46899999999999997</v>
      </c>
      <c r="O58" s="2069">
        <v>0.46899999999999997</v>
      </c>
      <c r="P58" s="2069">
        <v>13.676</v>
      </c>
      <c r="Q58" s="2070">
        <v>0</v>
      </c>
      <c r="R58" s="2070">
        <v>3.4293653114945886E-2</v>
      </c>
      <c r="S58" s="2078">
        <v>3.4293653114945886E-2</v>
      </c>
      <c r="T58" s="2077">
        <v>74</v>
      </c>
      <c r="U58" s="1686">
        <v>0</v>
      </c>
      <c r="V58" s="1686">
        <v>12.928000000000001</v>
      </c>
      <c r="W58" s="1686">
        <v>2.0655000000000001</v>
      </c>
      <c r="X58" s="1686">
        <v>2.0655000000000001</v>
      </c>
      <c r="Y58" s="1686">
        <v>12.928000000000001</v>
      </c>
      <c r="Z58" s="2072">
        <v>0</v>
      </c>
      <c r="AA58" s="2072">
        <v>0.16747523378243187</v>
      </c>
      <c r="AB58" s="2093">
        <v>0.16747523378243187</v>
      </c>
    </row>
    <row r="59" spans="2:28">
      <c r="B59" s="89">
        <v>75</v>
      </c>
      <c r="C59" s="1"/>
      <c r="D59" s="1">
        <v>11.701000000000001</v>
      </c>
      <c r="E59" s="1">
        <v>3.6549999999999998</v>
      </c>
      <c r="F59" s="1">
        <v>3.6549999999999998</v>
      </c>
      <c r="G59" s="1">
        <v>11.701000000000001</v>
      </c>
      <c r="H59" s="741">
        <v>0</v>
      </c>
      <c r="I59" s="741">
        <v>0.31236646440475169</v>
      </c>
      <c r="J59" s="2079">
        <v>0.31236646440475169</v>
      </c>
      <c r="K59" s="89">
        <v>75</v>
      </c>
      <c r="L59" s="1">
        <v>0</v>
      </c>
      <c r="M59" s="1">
        <v>13.173999999999999</v>
      </c>
      <c r="N59" s="1419">
        <v>0.44800000000000001</v>
      </c>
      <c r="O59" s="1">
        <v>0.44800000000000001</v>
      </c>
      <c r="P59" s="1">
        <v>13.173999999999999</v>
      </c>
      <c r="Q59" s="741">
        <v>0</v>
      </c>
      <c r="R59" s="741">
        <v>3.4006376195536668E-2</v>
      </c>
      <c r="S59" s="2079">
        <v>3.4006376195536668E-2</v>
      </c>
      <c r="T59" s="89">
        <v>75</v>
      </c>
      <c r="U59" s="740">
        <v>0</v>
      </c>
      <c r="V59" s="740">
        <v>12.4375</v>
      </c>
      <c r="W59" s="740">
        <v>2.0514999999999999</v>
      </c>
      <c r="X59" s="740">
        <v>2.0514999999999999</v>
      </c>
      <c r="Y59" s="740">
        <v>12.4375</v>
      </c>
      <c r="Z59" s="2067">
        <v>0</v>
      </c>
      <c r="AA59" s="2067">
        <v>0.17318642030014417</v>
      </c>
      <c r="AB59" s="2094">
        <v>0.17318642030014417</v>
      </c>
    </row>
    <row r="60" spans="2:28">
      <c r="B60" s="2077">
        <v>76</v>
      </c>
      <c r="C60" s="2069"/>
      <c r="D60" s="2069">
        <v>11.215</v>
      </c>
      <c r="E60" s="2069">
        <v>3.6429999999999998</v>
      </c>
      <c r="F60" s="2069">
        <v>3.6429999999999998</v>
      </c>
      <c r="G60" s="2069">
        <v>11.215</v>
      </c>
      <c r="H60" s="2070">
        <v>0</v>
      </c>
      <c r="I60" s="2070">
        <v>0.32483281319661167</v>
      </c>
      <c r="J60" s="2078">
        <v>0.32483281319661167</v>
      </c>
      <c r="K60" s="2077">
        <v>76</v>
      </c>
      <c r="L60" s="2069">
        <v>0</v>
      </c>
      <c r="M60" s="2069">
        <v>12.663</v>
      </c>
      <c r="N60" s="2071">
        <v>0.42699999999999999</v>
      </c>
      <c r="O60" s="2069">
        <v>0.42699999999999999</v>
      </c>
      <c r="P60" s="2069">
        <v>12.663</v>
      </c>
      <c r="Q60" s="2070">
        <v>0</v>
      </c>
      <c r="R60" s="2070">
        <v>3.3720287451630734E-2</v>
      </c>
      <c r="S60" s="2078">
        <v>3.3720287451630734E-2</v>
      </c>
      <c r="T60" s="2077">
        <v>76</v>
      </c>
      <c r="U60" s="1686">
        <v>0</v>
      </c>
      <c r="V60" s="1686">
        <v>11.939</v>
      </c>
      <c r="W60" s="1686">
        <v>2.0349999999999997</v>
      </c>
      <c r="X60" s="1686">
        <v>2.0349999999999997</v>
      </c>
      <c r="Y60" s="1686">
        <v>11.939</v>
      </c>
      <c r="Z60" s="2072">
        <v>0</v>
      </c>
      <c r="AA60" s="2072">
        <v>0.17927655032412121</v>
      </c>
      <c r="AB60" s="2093">
        <v>0.17927655032412121</v>
      </c>
    </row>
    <row r="61" spans="2:28">
      <c r="B61" s="89">
        <v>77</v>
      </c>
      <c r="C61" s="1"/>
      <c r="D61" s="1">
        <v>10.724</v>
      </c>
      <c r="E61" s="1">
        <v>3.625</v>
      </c>
      <c r="F61" s="1">
        <v>3.625</v>
      </c>
      <c r="G61" s="1">
        <v>10.724</v>
      </c>
      <c r="H61" s="741">
        <v>0</v>
      </c>
      <c r="I61" s="741">
        <v>0.33802685565087653</v>
      </c>
      <c r="J61" s="2079">
        <v>0.33802685565087653</v>
      </c>
      <c r="K61" s="89">
        <v>77</v>
      </c>
      <c r="L61" s="1">
        <v>0</v>
      </c>
      <c r="M61" s="1">
        <v>12.143000000000001</v>
      </c>
      <c r="N61" s="1419">
        <v>0.40400000000000003</v>
      </c>
      <c r="O61" s="1">
        <v>0.40400000000000003</v>
      </c>
      <c r="P61" s="1">
        <v>12.143000000000001</v>
      </c>
      <c r="Q61" s="741">
        <v>0</v>
      </c>
      <c r="R61" s="741">
        <v>3.327019682121387E-2</v>
      </c>
      <c r="S61" s="2079">
        <v>3.327019682121387E-2</v>
      </c>
      <c r="T61" s="89">
        <v>77</v>
      </c>
      <c r="U61" s="740">
        <v>0</v>
      </c>
      <c r="V61" s="740">
        <v>11.4335</v>
      </c>
      <c r="W61" s="740">
        <v>2.0145</v>
      </c>
      <c r="X61" s="740">
        <v>2.0145</v>
      </c>
      <c r="Y61" s="740">
        <v>11.4335</v>
      </c>
      <c r="Z61" s="2067">
        <v>0</v>
      </c>
      <c r="AA61" s="2067">
        <v>0.18564852623604519</v>
      </c>
      <c r="AB61" s="2094">
        <v>0.18564852623604519</v>
      </c>
    </row>
    <row r="62" spans="2:28">
      <c r="B62" s="2077">
        <v>78</v>
      </c>
      <c r="C62" s="2069"/>
      <c r="D62" s="2069">
        <v>10.228999999999999</v>
      </c>
      <c r="E62" s="2069">
        <v>3.601</v>
      </c>
      <c r="F62" s="2069">
        <v>3.601</v>
      </c>
      <c r="G62" s="2069">
        <v>10.228999999999999</v>
      </c>
      <c r="H62" s="2070">
        <v>0</v>
      </c>
      <c r="I62" s="2070">
        <v>0.35203832241665856</v>
      </c>
      <c r="J62" s="2078">
        <v>0.35203832241665856</v>
      </c>
      <c r="K62" s="2077">
        <v>78</v>
      </c>
      <c r="L62" s="2069">
        <v>0</v>
      </c>
      <c r="M62" s="2069">
        <v>11.618</v>
      </c>
      <c r="N62" s="2071">
        <v>0.38100000000000001</v>
      </c>
      <c r="O62" s="2069">
        <v>0.38100000000000001</v>
      </c>
      <c r="P62" s="2069">
        <v>11.618</v>
      </c>
      <c r="Q62" s="2070">
        <v>0</v>
      </c>
      <c r="R62" s="2070">
        <v>3.279394043725254E-2</v>
      </c>
      <c r="S62" s="2078">
        <v>3.279394043725254E-2</v>
      </c>
      <c r="T62" s="2077">
        <v>78</v>
      </c>
      <c r="U62" s="1686">
        <v>0</v>
      </c>
      <c r="V62" s="1686">
        <v>10.923500000000001</v>
      </c>
      <c r="W62" s="1686">
        <v>1.9910000000000001</v>
      </c>
      <c r="X62" s="1686">
        <v>1.9910000000000001</v>
      </c>
      <c r="Y62" s="1686">
        <v>10.923500000000001</v>
      </c>
      <c r="Z62" s="2072">
        <v>0</v>
      </c>
      <c r="AA62" s="2072">
        <v>0.19241613142695554</v>
      </c>
      <c r="AB62" s="2093">
        <v>0.19241613142695554</v>
      </c>
    </row>
    <row r="63" spans="2:28">
      <c r="B63" s="89">
        <v>79</v>
      </c>
      <c r="C63" s="1"/>
      <c r="D63" s="1">
        <v>9.7330000000000005</v>
      </c>
      <c r="E63" s="1">
        <v>3.57</v>
      </c>
      <c r="F63" s="1">
        <v>3.57</v>
      </c>
      <c r="G63" s="1">
        <v>9.7330000000000005</v>
      </c>
      <c r="H63" s="741">
        <v>0</v>
      </c>
      <c r="I63" s="741">
        <v>0.36679338333504569</v>
      </c>
      <c r="J63" s="2079">
        <v>0.36679338333504569</v>
      </c>
      <c r="K63" s="89">
        <v>79</v>
      </c>
      <c r="L63" s="1">
        <v>0</v>
      </c>
      <c r="M63" s="1">
        <v>11.087999999999999</v>
      </c>
      <c r="N63" s="1419">
        <v>0.35699999999999998</v>
      </c>
      <c r="O63" s="1">
        <v>0.35699999999999998</v>
      </c>
      <c r="P63" s="1">
        <v>11.087999999999999</v>
      </c>
      <c r="Q63" s="741">
        <v>0</v>
      </c>
      <c r="R63" s="741">
        <v>3.2196969696969696E-2</v>
      </c>
      <c r="S63" s="2079">
        <v>3.2196969696969696E-2</v>
      </c>
      <c r="T63" s="89">
        <v>79</v>
      </c>
      <c r="U63" s="740">
        <v>0</v>
      </c>
      <c r="V63" s="740">
        <v>10.410499999999999</v>
      </c>
      <c r="W63" s="740">
        <v>1.9634999999999998</v>
      </c>
      <c r="X63" s="740">
        <v>1.9634999999999998</v>
      </c>
      <c r="Y63" s="740">
        <v>10.410499999999999</v>
      </c>
      <c r="Z63" s="2067">
        <v>0</v>
      </c>
      <c r="AA63" s="2067">
        <v>0.19949517651600768</v>
      </c>
      <c r="AB63" s="2094">
        <v>0.19949517651600768</v>
      </c>
    </row>
    <row r="64" spans="2:28">
      <c r="B64" s="2077">
        <v>80</v>
      </c>
      <c r="C64" s="2069"/>
      <c r="D64" s="2069">
        <v>9.2379999999999995</v>
      </c>
      <c r="E64" s="2069">
        <v>3.5310000000000001</v>
      </c>
      <c r="F64" s="2069">
        <v>3.5310000000000001</v>
      </c>
      <c r="G64" s="2069">
        <v>9.2379999999999995</v>
      </c>
      <c r="H64" s="2070">
        <v>0</v>
      </c>
      <c r="I64" s="2070">
        <v>0.38222558995453565</v>
      </c>
      <c r="J64" s="2078">
        <v>0.38222558995453565</v>
      </c>
      <c r="K64" s="2077">
        <v>80</v>
      </c>
      <c r="L64" s="2069">
        <v>0</v>
      </c>
      <c r="M64" s="2069">
        <v>10.555</v>
      </c>
      <c r="N64" s="2071">
        <v>0.33300000000000002</v>
      </c>
      <c r="O64" s="2069">
        <v>0.33300000000000002</v>
      </c>
      <c r="P64" s="2069">
        <v>10.555</v>
      </c>
      <c r="Q64" s="2070">
        <v>0</v>
      </c>
      <c r="R64" s="2070">
        <v>3.15490288962577E-2</v>
      </c>
      <c r="S64" s="2078">
        <v>3.15490288962577E-2</v>
      </c>
      <c r="T64" s="2077">
        <v>80</v>
      </c>
      <c r="U64" s="1686">
        <v>0</v>
      </c>
      <c r="V64" s="1686">
        <v>9.8964999999999996</v>
      </c>
      <c r="W64" s="1686">
        <v>1.9320000000000002</v>
      </c>
      <c r="X64" s="1686">
        <v>1.9320000000000002</v>
      </c>
      <c r="Y64" s="1686">
        <v>9.8964999999999996</v>
      </c>
      <c r="Z64" s="2072">
        <v>0</v>
      </c>
      <c r="AA64" s="2072">
        <v>0.20688730942539668</v>
      </c>
      <c r="AB64" s="2093">
        <v>0.20688730942539668</v>
      </c>
    </row>
    <row r="65" spans="2:28">
      <c r="B65" s="89">
        <v>81</v>
      </c>
      <c r="C65" s="1"/>
      <c r="D65" s="1">
        <v>8.7469999999999999</v>
      </c>
      <c r="E65" s="1">
        <v>3.4820000000000002</v>
      </c>
      <c r="F65" s="1">
        <v>3.4820000000000002</v>
      </c>
      <c r="G65" s="1">
        <v>8.7469999999999999</v>
      </c>
      <c r="H65" s="741">
        <v>0</v>
      </c>
      <c r="I65" s="741">
        <v>0.39807934148851037</v>
      </c>
      <c r="J65" s="2079">
        <v>0.39807934148851037</v>
      </c>
      <c r="K65" s="89">
        <v>81</v>
      </c>
      <c r="L65" s="1">
        <v>0</v>
      </c>
      <c r="M65" s="1">
        <v>10.023</v>
      </c>
      <c r="N65" s="1419">
        <v>0.309</v>
      </c>
      <c r="O65" s="1">
        <v>0.309</v>
      </c>
      <c r="P65" s="1">
        <v>10.023</v>
      </c>
      <c r="Q65" s="741">
        <v>0</v>
      </c>
      <c r="R65" s="741">
        <v>3.0829093085902426E-2</v>
      </c>
      <c r="S65" s="2079">
        <v>3.0829093085902426E-2</v>
      </c>
      <c r="T65" s="89">
        <v>81</v>
      </c>
      <c r="U65" s="740">
        <v>0</v>
      </c>
      <c r="V65" s="740">
        <v>9.3849999999999998</v>
      </c>
      <c r="W65" s="740">
        <v>1.8955000000000002</v>
      </c>
      <c r="X65" s="740">
        <v>1.8955000000000002</v>
      </c>
      <c r="Y65" s="740">
        <v>9.3849999999999998</v>
      </c>
      <c r="Z65" s="2067">
        <v>0</v>
      </c>
      <c r="AA65" s="2067">
        <v>0.2144542172872064</v>
      </c>
      <c r="AB65" s="2094">
        <v>0.2144542172872064</v>
      </c>
    </row>
    <row r="66" spans="2:28">
      <c r="B66" s="2077">
        <v>82</v>
      </c>
      <c r="C66" s="2069"/>
      <c r="D66" s="2069">
        <v>8.2629999999999999</v>
      </c>
      <c r="E66" s="2069">
        <v>3.4089999999999998</v>
      </c>
      <c r="F66" s="2069">
        <v>3.4089999999999998</v>
      </c>
      <c r="G66" s="2069">
        <v>8.2629999999999999</v>
      </c>
      <c r="H66" s="2070">
        <v>0</v>
      </c>
      <c r="I66" s="2070">
        <v>0.41256202347815563</v>
      </c>
      <c r="J66" s="2078">
        <v>0.41256202347815563</v>
      </c>
      <c r="K66" s="2077">
        <v>82</v>
      </c>
      <c r="L66" s="2069">
        <v>0</v>
      </c>
      <c r="M66" s="2069">
        <v>9.4920000000000009</v>
      </c>
      <c r="N66" s="2071">
        <v>0.28499999999999998</v>
      </c>
      <c r="O66" s="2069">
        <v>0.28499999999999998</v>
      </c>
      <c r="P66" s="2069">
        <v>9.4920000000000009</v>
      </c>
      <c r="Q66" s="2070">
        <v>0</v>
      </c>
      <c r="R66" s="2070">
        <v>3.0025284450063205E-2</v>
      </c>
      <c r="S66" s="2078">
        <v>3.0025284450063205E-2</v>
      </c>
      <c r="T66" s="2077">
        <v>82</v>
      </c>
      <c r="U66" s="1686">
        <v>0</v>
      </c>
      <c r="V66" s="1686">
        <v>8.8775000000000013</v>
      </c>
      <c r="W66" s="1686">
        <v>1.847</v>
      </c>
      <c r="X66" s="1686">
        <v>1.847</v>
      </c>
      <c r="Y66" s="1686">
        <v>8.8775000000000013</v>
      </c>
      <c r="Z66" s="2072">
        <v>0</v>
      </c>
      <c r="AA66" s="2072">
        <v>0.22129365396410941</v>
      </c>
      <c r="AB66" s="2093">
        <v>0.22129365396410941</v>
      </c>
    </row>
    <row r="67" spans="2:28">
      <c r="B67" s="89">
        <v>83</v>
      </c>
      <c r="C67" s="1"/>
      <c r="D67" s="1">
        <v>7.7880000000000003</v>
      </c>
      <c r="E67" s="1">
        <v>3.3220000000000001</v>
      </c>
      <c r="F67" s="1">
        <v>3.3220000000000001</v>
      </c>
      <c r="G67" s="1">
        <v>7.7880000000000003</v>
      </c>
      <c r="H67" s="741">
        <v>0</v>
      </c>
      <c r="I67" s="741">
        <v>0.42655367231638419</v>
      </c>
      <c r="J67" s="2079">
        <v>0.42655367231638419</v>
      </c>
      <c r="K67" s="89">
        <v>83</v>
      </c>
      <c r="L67" s="1">
        <v>0</v>
      </c>
      <c r="M67" s="1">
        <v>8.9670000000000005</v>
      </c>
      <c r="N67" s="1419">
        <v>0.26100000000000001</v>
      </c>
      <c r="O67" s="1">
        <v>0.26100000000000001</v>
      </c>
      <c r="P67" s="1">
        <v>8.9670000000000005</v>
      </c>
      <c r="Q67" s="741">
        <v>0</v>
      </c>
      <c r="R67" s="741">
        <v>2.9106724657075946E-2</v>
      </c>
      <c r="S67" s="2079">
        <v>2.9106724657075946E-2</v>
      </c>
      <c r="T67" s="89">
        <v>83</v>
      </c>
      <c r="U67" s="740">
        <v>0</v>
      </c>
      <c r="V67" s="740">
        <v>8.3775000000000013</v>
      </c>
      <c r="W67" s="740">
        <v>1.7915000000000001</v>
      </c>
      <c r="X67" s="740">
        <v>1.7915000000000001</v>
      </c>
      <c r="Y67" s="740">
        <v>8.3775000000000013</v>
      </c>
      <c r="Z67" s="2067">
        <v>0</v>
      </c>
      <c r="AA67" s="2067">
        <v>0.22783019848673006</v>
      </c>
      <c r="AB67" s="2094">
        <v>0.22783019848673006</v>
      </c>
    </row>
    <row r="68" spans="2:28">
      <c r="B68" s="2077">
        <v>84</v>
      </c>
      <c r="C68" s="2069"/>
      <c r="D68" s="2069">
        <v>7.327</v>
      </c>
      <c r="E68" s="2069">
        <v>3.2229999999999999</v>
      </c>
      <c r="F68" s="2069">
        <v>3.2229999999999999</v>
      </c>
      <c r="G68" s="2069">
        <v>7.327</v>
      </c>
      <c r="H68" s="2070">
        <v>0</v>
      </c>
      <c r="I68" s="2070">
        <v>0.43987989627405483</v>
      </c>
      <c r="J68" s="2078">
        <v>0.43987989627405483</v>
      </c>
      <c r="K68" s="2077">
        <v>84</v>
      </c>
      <c r="L68" s="2069">
        <v>0</v>
      </c>
      <c r="M68" s="2069">
        <v>8.4499999999999993</v>
      </c>
      <c r="N68" s="2071">
        <v>0.23799999999999999</v>
      </c>
      <c r="O68" s="2069">
        <v>0.23799999999999999</v>
      </c>
      <c r="P68" s="2069">
        <v>8.4499999999999993</v>
      </c>
      <c r="Q68" s="2070">
        <v>0</v>
      </c>
      <c r="R68" s="2070">
        <v>2.816568047337278E-2</v>
      </c>
      <c r="S68" s="2078">
        <v>2.816568047337278E-2</v>
      </c>
      <c r="T68" s="2077">
        <v>84</v>
      </c>
      <c r="U68" s="1686">
        <v>0</v>
      </c>
      <c r="V68" s="1686">
        <v>7.8884999999999996</v>
      </c>
      <c r="W68" s="1686">
        <v>1.7304999999999999</v>
      </c>
      <c r="X68" s="1686">
        <v>1.7304999999999999</v>
      </c>
      <c r="Y68" s="1686">
        <v>7.8884999999999996</v>
      </c>
      <c r="Z68" s="2072">
        <v>0</v>
      </c>
      <c r="AA68" s="2072">
        <v>0.23402278837371379</v>
      </c>
      <c r="AB68" s="2093">
        <v>0.23402278837371379</v>
      </c>
    </row>
    <row r="69" spans="2:28">
      <c r="B69" s="89">
        <v>85</v>
      </c>
      <c r="C69" s="1"/>
      <c r="D69" s="1">
        <v>6.883</v>
      </c>
      <c r="E69" s="1">
        <v>3.1139999999999999</v>
      </c>
      <c r="F69" s="1">
        <v>3.1139999999999999</v>
      </c>
      <c r="G69" s="1">
        <v>6.883</v>
      </c>
      <c r="H69" s="741">
        <v>0</v>
      </c>
      <c r="I69" s="741">
        <v>0.45241900334156615</v>
      </c>
      <c r="J69" s="2079">
        <v>0.45241900334156615</v>
      </c>
      <c r="K69" s="89">
        <v>85</v>
      </c>
      <c r="L69" s="1">
        <v>0</v>
      </c>
      <c r="M69" s="1">
        <v>7.944</v>
      </c>
      <c r="N69" s="1419">
        <v>0.21199999999999999</v>
      </c>
      <c r="O69" s="1">
        <v>0.21199999999999999</v>
      </c>
      <c r="P69" s="1">
        <v>7.944</v>
      </c>
      <c r="Q69" s="741">
        <v>0</v>
      </c>
      <c r="R69" s="741">
        <v>2.6686807653575024E-2</v>
      </c>
      <c r="S69" s="2079">
        <v>2.6686807653575024E-2</v>
      </c>
      <c r="T69" s="89">
        <v>85</v>
      </c>
      <c r="U69" s="740">
        <v>0</v>
      </c>
      <c r="V69" s="740">
        <v>7.4135</v>
      </c>
      <c r="W69" s="740">
        <v>1.663</v>
      </c>
      <c r="X69" s="740">
        <v>1.663</v>
      </c>
      <c r="Y69" s="740">
        <v>7.4135</v>
      </c>
      <c r="Z69" s="2067">
        <v>0</v>
      </c>
      <c r="AA69" s="2067">
        <v>0.23955290549757058</v>
      </c>
      <c r="AB69" s="2094">
        <v>0.23955290549757058</v>
      </c>
    </row>
    <row r="70" spans="2:28">
      <c r="B70" s="2077">
        <v>86</v>
      </c>
      <c r="C70" s="2069"/>
      <c r="D70" s="2069">
        <v>6.4619999999999997</v>
      </c>
      <c r="E70" s="2069">
        <v>2.9969999999999999</v>
      </c>
      <c r="F70" s="2069">
        <v>2.9969999999999999</v>
      </c>
      <c r="G70" s="2069">
        <v>6.4619999999999997</v>
      </c>
      <c r="H70" s="2070">
        <v>0</v>
      </c>
      <c r="I70" s="2070">
        <v>0.46378830083565459</v>
      </c>
      <c r="J70" s="2078">
        <v>0.46378830083565459</v>
      </c>
      <c r="K70" s="2077">
        <v>86</v>
      </c>
      <c r="L70" s="2069">
        <v>0</v>
      </c>
      <c r="M70" s="2069">
        <v>7.452</v>
      </c>
      <c r="N70" s="2071">
        <v>0.186</v>
      </c>
      <c r="O70" s="2069">
        <v>0.186</v>
      </c>
      <c r="P70" s="2069">
        <v>7.452</v>
      </c>
      <c r="Q70" s="2070">
        <v>0</v>
      </c>
      <c r="R70" s="2070">
        <v>2.4959742351046699E-2</v>
      </c>
      <c r="S70" s="2078">
        <v>2.4959742351046699E-2</v>
      </c>
      <c r="T70" s="2077">
        <v>86</v>
      </c>
      <c r="U70" s="1686">
        <v>0</v>
      </c>
      <c r="V70" s="1686">
        <v>6.9569999999999999</v>
      </c>
      <c r="W70" s="1686">
        <v>1.5914999999999999</v>
      </c>
      <c r="X70" s="1686">
        <v>1.5914999999999999</v>
      </c>
      <c r="Y70" s="1686">
        <v>6.9569999999999999</v>
      </c>
      <c r="Z70" s="2072">
        <v>0</v>
      </c>
      <c r="AA70" s="2072">
        <v>0.24437402159335064</v>
      </c>
      <c r="AB70" s="2093">
        <v>0.24437402159335064</v>
      </c>
    </row>
    <row r="71" spans="2:28">
      <c r="B71" s="89">
        <v>87</v>
      </c>
      <c r="C71" s="1"/>
      <c r="D71" s="1">
        <v>6.069</v>
      </c>
      <c r="E71" s="1">
        <v>2.8730000000000002</v>
      </c>
      <c r="F71" s="1">
        <v>2.8730000000000002</v>
      </c>
      <c r="G71" s="1">
        <v>6.069</v>
      </c>
      <c r="H71" s="741">
        <v>0</v>
      </c>
      <c r="I71" s="741">
        <v>0.47338935574229696</v>
      </c>
      <c r="J71" s="2079">
        <v>0.47338935574229696</v>
      </c>
      <c r="K71" s="89">
        <v>87</v>
      </c>
      <c r="L71" s="1">
        <v>0</v>
      </c>
      <c r="M71" s="1">
        <v>6.9770000000000003</v>
      </c>
      <c r="N71" s="1419">
        <v>0.16200000000000001</v>
      </c>
      <c r="O71" s="1">
        <v>0.16200000000000001</v>
      </c>
      <c r="P71" s="1">
        <v>6.9770000000000003</v>
      </c>
      <c r="Q71" s="741">
        <v>0</v>
      </c>
      <c r="R71" s="741">
        <v>2.3219148631216855E-2</v>
      </c>
      <c r="S71" s="2079">
        <v>2.3219148631216855E-2</v>
      </c>
      <c r="T71" s="89">
        <v>87</v>
      </c>
      <c r="U71" s="740">
        <v>0</v>
      </c>
      <c r="V71" s="740">
        <v>6.5229999999999997</v>
      </c>
      <c r="W71" s="740">
        <v>1.5175000000000001</v>
      </c>
      <c r="X71" s="740">
        <v>1.5175000000000001</v>
      </c>
      <c r="Y71" s="740">
        <v>6.5229999999999997</v>
      </c>
      <c r="Z71" s="2067">
        <v>0</v>
      </c>
      <c r="AA71" s="2067">
        <v>0.24830425218675692</v>
      </c>
      <c r="AB71" s="2094">
        <v>0.24830425218675692</v>
      </c>
    </row>
    <row r="72" spans="2:28">
      <c r="B72" s="2077">
        <v>88</v>
      </c>
      <c r="C72" s="2069"/>
      <c r="D72" s="2069">
        <v>5.7119999999999997</v>
      </c>
      <c r="E72" s="2069">
        <v>2.7149999999999999</v>
      </c>
      <c r="F72" s="2069">
        <v>2.7149999999999999</v>
      </c>
      <c r="G72" s="2069">
        <v>5.7119999999999997</v>
      </c>
      <c r="H72" s="2070">
        <v>0</v>
      </c>
      <c r="I72" s="2070">
        <v>0.47531512605042014</v>
      </c>
      <c r="J72" s="2078">
        <v>0.47531512605042014</v>
      </c>
      <c r="K72" s="2077">
        <v>88</v>
      </c>
      <c r="L72" s="2069">
        <v>0</v>
      </c>
      <c r="M72" s="2069">
        <v>6.5209999999999999</v>
      </c>
      <c r="N72" s="2071">
        <v>0.14000000000000001</v>
      </c>
      <c r="O72" s="2069">
        <v>0.14000000000000001</v>
      </c>
      <c r="P72" s="2069">
        <v>6.5209999999999999</v>
      </c>
      <c r="Q72" s="2070">
        <v>0</v>
      </c>
      <c r="R72" s="2070">
        <v>2.1469099831314217E-2</v>
      </c>
      <c r="S72" s="2078">
        <v>2.1469099831314217E-2</v>
      </c>
      <c r="T72" s="2077">
        <v>88</v>
      </c>
      <c r="U72" s="1686">
        <v>0</v>
      </c>
      <c r="V72" s="1686">
        <v>6.1165000000000003</v>
      </c>
      <c r="W72" s="1686">
        <v>1.4275</v>
      </c>
      <c r="X72" s="1686">
        <v>1.4275</v>
      </c>
      <c r="Y72" s="1686">
        <v>6.1165000000000003</v>
      </c>
      <c r="Z72" s="2072">
        <v>0</v>
      </c>
      <c r="AA72" s="2072">
        <v>0.24839211294086719</v>
      </c>
      <c r="AB72" s="2093">
        <v>0.24839211294086719</v>
      </c>
    </row>
    <row r="73" spans="2:28">
      <c r="B73" s="89">
        <v>89</v>
      </c>
      <c r="C73" s="1"/>
      <c r="D73" s="1">
        <v>5.3979999999999997</v>
      </c>
      <c r="E73" s="1">
        <v>2.5489999999999999</v>
      </c>
      <c r="F73" s="1">
        <v>2.5489999999999999</v>
      </c>
      <c r="G73" s="1">
        <v>5.3979999999999997</v>
      </c>
      <c r="H73" s="741">
        <v>0</v>
      </c>
      <c r="I73" s="741">
        <v>0.4722119303445721</v>
      </c>
      <c r="J73" s="2079">
        <v>0.4722119303445721</v>
      </c>
      <c r="K73" s="89">
        <v>89</v>
      </c>
      <c r="L73" s="1">
        <v>0</v>
      </c>
      <c r="M73" s="1">
        <v>6.093</v>
      </c>
      <c r="N73" s="1419">
        <v>0.11700000000000001</v>
      </c>
      <c r="O73" s="1">
        <v>0.11700000000000001</v>
      </c>
      <c r="P73" s="1">
        <v>6.093</v>
      </c>
      <c r="Q73" s="741">
        <v>0</v>
      </c>
      <c r="R73" s="741">
        <v>1.9202363367799114E-2</v>
      </c>
      <c r="S73" s="2079">
        <v>1.9202363367799114E-2</v>
      </c>
      <c r="T73" s="89">
        <v>89</v>
      </c>
      <c r="U73" s="740">
        <v>0</v>
      </c>
      <c r="V73" s="740">
        <v>5.7454999999999998</v>
      </c>
      <c r="W73" s="740">
        <v>1.333</v>
      </c>
      <c r="X73" s="740">
        <v>1.333</v>
      </c>
      <c r="Y73" s="740">
        <v>5.7454999999999998</v>
      </c>
      <c r="Z73" s="2067">
        <v>0</v>
      </c>
      <c r="AA73" s="2067">
        <v>0.24570714685618561</v>
      </c>
      <c r="AB73" s="2094">
        <v>0.24570714685618561</v>
      </c>
    </row>
    <row r="74" spans="2:28">
      <c r="B74" s="2077">
        <v>90</v>
      </c>
      <c r="C74" s="2069"/>
      <c r="D74" s="2069">
        <v>5.1150000000000002</v>
      </c>
      <c r="E74" s="2069">
        <v>2.387</v>
      </c>
      <c r="F74" s="2069">
        <v>2.387</v>
      </c>
      <c r="G74" s="2069">
        <v>5.1150000000000002</v>
      </c>
      <c r="H74" s="2070">
        <v>0</v>
      </c>
      <c r="I74" s="2070">
        <v>0.46666666666666667</v>
      </c>
      <c r="J74" s="2078">
        <v>0.46666666666666667</v>
      </c>
      <c r="K74" s="2077">
        <v>90</v>
      </c>
      <c r="L74" s="2069">
        <v>0</v>
      </c>
      <c r="M74" s="2069">
        <v>5.694</v>
      </c>
      <c r="N74" s="2071">
        <v>9.7000000000000003E-2</v>
      </c>
      <c r="O74" s="2069">
        <v>9.7000000000000003E-2</v>
      </c>
      <c r="P74" s="2069">
        <v>5.694</v>
      </c>
      <c r="Q74" s="2070">
        <v>0</v>
      </c>
      <c r="R74" s="2070">
        <v>1.7035475939585529E-2</v>
      </c>
      <c r="S74" s="2078">
        <v>1.7035475939585529E-2</v>
      </c>
      <c r="T74" s="2077">
        <v>90</v>
      </c>
      <c r="U74" s="1686">
        <v>0</v>
      </c>
      <c r="V74" s="1686">
        <v>5.4045000000000005</v>
      </c>
      <c r="W74" s="1686">
        <v>1.242</v>
      </c>
      <c r="X74" s="1686">
        <v>1.242</v>
      </c>
      <c r="Y74" s="1686">
        <v>5.4045000000000005</v>
      </c>
      <c r="Z74" s="2072">
        <v>0</v>
      </c>
      <c r="AA74" s="2072">
        <v>0.24185107130312611</v>
      </c>
      <c r="AB74" s="2093">
        <v>0.24185107130312611</v>
      </c>
    </row>
    <row r="75" spans="2:28">
      <c r="B75" s="89">
        <v>91</v>
      </c>
      <c r="C75" s="1"/>
      <c r="D75" s="1">
        <v>4.8499999999999996</v>
      </c>
      <c r="E75" s="1">
        <v>2.2040000000000002</v>
      </c>
      <c r="F75" s="1">
        <v>2.2040000000000002</v>
      </c>
      <c r="G75" s="1">
        <v>4.8499999999999996</v>
      </c>
      <c r="H75" s="741">
        <v>0</v>
      </c>
      <c r="I75" s="741">
        <v>0.45443298969072171</v>
      </c>
      <c r="J75" s="2079">
        <v>0.45443298969072171</v>
      </c>
      <c r="K75" s="89">
        <v>91</v>
      </c>
      <c r="L75" s="1">
        <v>0</v>
      </c>
      <c r="M75" s="1">
        <v>5.3259999999999996</v>
      </c>
      <c r="N75" s="1419">
        <v>0.08</v>
      </c>
      <c r="O75" s="1">
        <v>0.08</v>
      </c>
      <c r="P75" s="1">
        <v>5.3259999999999996</v>
      </c>
      <c r="Q75" s="741">
        <v>0</v>
      </c>
      <c r="R75" s="741">
        <v>1.5020653398422833E-2</v>
      </c>
      <c r="S75" s="2079">
        <v>1.5020653398422833E-2</v>
      </c>
      <c r="T75" s="89">
        <v>91</v>
      </c>
      <c r="U75" s="740">
        <v>0</v>
      </c>
      <c r="V75" s="740">
        <v>5.0879999999999992</v>
      </c>
      <c r="W75" s="740">
        <v>1.1420000000000001</v>
      </c>
      <c r="X75" s="740">
        <v>1.1420000000000001</v>
      </c>
      <c r="Y75" s="740">
        <v>5.0879999999999992</v>
      </c>
      <c r="Z75" s="2067">
        <v>0</v>
      </c>
      <c r="AA75" s="2067">
        <v>0.23472682154457228</v>
      </c>
      <c r="AB75" s="2094">
        <v>0.23472682154457228</v>
      </c>
    </row>
    <row r="76" spans="2:28">
      <c r="B76" s="2077">
        <v>92</v>
      </c>
      <c r="C76" s="2069"/>
      <c r="D76" s="2069">
        <v>4.6040000000000001</v>
      </c>
      <c r="E76" s="2069">
        <v>2.0350000000000001</v>
      </c>
      <c r="F76" s="2069">
        <v>2.0350000000000001</v>
      </c>
      <c r="G76" s="2069">
        <v>4.6040000000000001</v>
      </c>
      <c r="H76" s="2070">
        <v>0</v>
      </c>
      <c r="I76" s="2070">
        <v>0.44200695047784538</v>
      </c>
      <c r="J76" s="2078">
        <v>0.44200695047784538</v>
      </c>
      <c r="K76" s="2077">
        <v>92</v>
      </c>
      <c r="L76" s="2069">
        <v>0</v>
      </c>
      <c r="M76" s="2069">
        <v>4.99</v>
      </c>
      <c r="N76" s="2071">
        <v>6.4000000000000001E-2</v>
      </c>
      <c r="O76" s="2069">
        <v>6.4000000000000001E-2</v>
      </c>
      <c r="P76" s="2069">
        <v>4.99</v>
      </c>
      <c r="Q76" s="2070">
        <v>0</v>
      </c>
      <c r="R76" s="2070">
        <v>1.282565130260521E-2</v>
      </c>
      <c r="S76" s="2078">
        <v>1.282565130260521E-2</v>
      </c>
      <c r="T76" s="2077">
        <v>92</v>
      </c>
      <c r="U76" s="1686">
        <v>0</v>
      </c>
      <c r="V76" s="1686">
        <v>4.7970000000000006</v>
      </c>
      <c r="W76" s="1686">
        <v>1.0495000000000001</v>
      </c>
      <c r="X76" s="1686">
        <v>1.0495000000000001</v>
      </c>
      <c r="Y76" s="1686">
        <v>4.7970000000000006</v>
      </c>
      <c r="Z76" s="2072">
        <v>0</v>
      </c>
      <c r="AA76" s="2072">
        <v>0.2274163008902253</v>
      </c>
      <c r="AB76" s="2093">
        <v>0.2274163008902253</v>
      </c>
    </row>
    <row r="77" spans="2:28">
      <c r="B77" s="89">
        <v>93</v>
      </c>
      <c r="C77" s="1"/>
      <c r="D77" s="1">
        <v>4.3760000000000003</v>
      </c>
      <c r="E77" s="1">
        <v>1.85</v>
      </c>
      <c r="F77" s="1">
        <v>1.85</v>
      </c>
      <c r="G77" s="1">
        <v>4.3760000000000003</v>
      </c>
      <c r="H77" s="741">
        <v>0</v>
      </c>
      <c r="I77" s="741">
        <v>0.42276051188299818</v>
      </c>
      <c r="J77" s="2079">
        <v>0.42276051188299818</v>
      </c>
      <c r="K77" s="89">
        <v>93</v>
      </c>
      <c r="L77" s="1">
        <v>0</v>
      </c>
      <c r="M77" s="1">
        <v>4.6840000000000002</v>
      </c>
      <c r="N77" s="1419">
        <v>5.1999999999999998E-2</v>
      </c>
      <c r="O77" s="1">
        <v>5.1999999999999998E-2</v>
      </c>
      <c r="P77" s="1">
        <v>4.6840000000000002</v>
      </c>
      <c r="Q77" s="741">
        <v>0</v>
      </c>
      <c r="R77" s="741">
        <v>1.1101622544833475E-2</v>
      </c>
      <c r="S77" s="2079">
        <v>1.1101622544833475E-2</v>
      </c>
      <c r="T77" s="89">
        <v>93</v>
      </c>
      <c r="U77" s="740">
        <v>0</v>
      </c>
      <c r="V77" s="740">
        <v>4.53</v>
      </c>
      <c r="W77" s="740">
        <v>0.95100000000000007</v>
      </c>
      <c r="X77" s="740">
        <v>0.95100000000000007</v>
      </c>
      <c r="Y77" s="740">
        <v>4.53</v>
      </c>
      <c r="Z77" s="2067">
        <v>0</v>
      </c>
      <c r="AA77" s="2067">
        <v>0.21693106721391583</v>
      </c>
      <c r="AB77" s="2094">
        <v>0.21693106721391583</v>
      </c>
    </row>
    <row r="78" spans="2:28">
      <c r="B78" s="2077">
        <v>94</v>
      </c>
      <c r="C78" s="2069"/>
      <c r="D78" s="2069">
        <v>4.1660000000000004</v>
      </c>
      <c r="E78" s="2069">
        <v>1.6830000000000001</v>
      </c>
      <c r="F78" s="2069">
        <v>1.6830000000000001</v>
      </c>
      <c r="G78" s="2069">
        <v>4.1660000000000004</v>
      </c>
      <c r="H78" s="2070">
        <v>0</v>
      </c>
      <c r="I78" s="2070">
        <v>0.4039846375420067</v>
      </c>
      <c r="J78" s="2078">
        <v>0.4039846375420067</v>
      </c>
      <c r="K78" s="2077">
        <v>94</v>
      </c>
      <c r="L78" s="2069">
        <v>0</v>
      </c>
      <c r="M78" s="2069">
        <v>4.4039999999999999</v>
      </c>
      <c r="N78" s="2071">
        <v>4.2000000000000003E-2</v>
      </c>
      <c r="O78" s="2069">
        <v>4.2000000000000003E-2</v>
      </c>
      <c r="P78" s="2069">
        <v>4.4039999999999999</v>
      </c>
      <c r="Q78" s="2070">
        <v>0</v>
      </c>
      <c r="R78" s="2070">
        <v>9.5367847411444145E-3</v>
      </c>
      <c r="S78" s="2078">
        <v>9.5367847411444145E-3</v>
      </c>
      <c r="T78" s="2077">
        <v>94</v>
      </c>
      <c r="U78" s="1686">
        <v>0</v>
      </c>
      <c r="V78" s="1686">
        <v>4.2850000000000001</v>
      </c>
      <c r="W78" s="1686">
        <v>0.86250000000000004</v>
      </c>
      <c r="X78" s="1686">
        <v>0.86250000000000004</v>
      </c>
      <c r="Y78" s="1686">
        <v>4.2850000000000001</v>
      </c>
      <c r="Z78" s="2072">
        <v>0</v>
      </c>
      <c r="AA78" s="2072">
        <v>0.20676071114157554</v>
      </c>
      <c r="AB78" s="2093">
        <v>0.20676071114157554</v>
      </c>
    </row>
    <row r="79" spans="2:28">
      <c r="B79" s="89">
        <v>95</v>
      </c>
      <c r="C79" s="1"/>
      <c r="D79" s="1">
        <v>3.9740000000000002</v>
      </c>
      <c r="E79" s="1">
        <v>1.5349999999999999</v>
      </c>
      <c r="F79" s="1">
        <v>1.5349999999999999</v>
      </c>
      <c r="G79" s="1">
        <v>3.9740000000000002</v>
      </c>
      <c r="H79" s="741">
        <v>0</v>
      </c>
      <c r="I79" s="741">
        <v>0.38626069451434319</v>
      </c>
      <c r="J79" s="2079">
        <v>0.38626069451434319</v>
      </c>
      <c r="K79" s="89">
        <v>95</v>
      </c>
      <c r="L79" s="1">
        <v>0</v>
      </c>
      <c r="M79" s="1">
        <v>4.149</v>
      </c>
      <c r="N79" s="1419">
        <v>3.4000000000000002E-2</v>
      </c>
      <c r="O79" s="1">
        <v>3.4000000000000002E-2</v>
      </c>
      <c r="P79" s="1">
        <v>4.149</v>
      </c>
      <c r="Q79" s="741">
        <v>0</v>
      </c>
      <c r="R79" s="741">
        <v>8.1947457218606891E-3</v>
      </c>
      <c r="S79" s="2079">
        <v>8.1947457218606891E-3</v>
      </c>
      <c r="T79" s="89">
        <v>95</v>
      </c>
      <c r="U79" s="740">
        <v>0</v>
      </c>
      <c r="V79" s="740">
        <v>4.0615000000000006</v>
      </c>
      <c r="W79" s="740">
        <v>0.78449999999999998</v>
      </c>
      <c r="X79" s="740">
        <v>0.78449999999999998</v>
      </c>
      <c r="Y79" s="740">
        <v>4.0615000000000006</v>
      </c>
      <c r="Z79" s="2067">
        <v>0</v>
      </c>
      <c r="AA79" s="2067">
        <v>0.19722772011810194</v>
      </c>
      <c r="AB79" s="2094">
        <v>0.19722772011810194</v>
      </c>
    </row>
    <row r="80" spans="2:28">
      <c r="B80" s="2077">
        <v>96</v>
      </c>
      <c r="C80" s="2069"/>
      <c r="D80" s="2069">
        <v>3.798</v>
      </c>
      <c r="E80" s="2069">
        <v>1.371</v>
      </c>
      <c r="F80" s="2069">
        <v>1.371</v>
      </c>
      <c r="G80" s="2069">
        <v>3.798</v>
      </c>
      <c r="H80" s="2070">
        <v>0</v>
      </c>
      <c r="I80" s="2070">
        <v>0.36097946287519744</v>
      </c>
      <c r="J80" s="2078">
        <v>0.36097946287519744</v>
      </c>
      <c r="K80" s="2077">
        <v>96</v>
      </c>
      <c r="L80" s="2069">
        <v>0</v>
      </c>
      <c r="M80" s="2069">
        <v>3.919</v>
      </c>
      <c r="N80" s="2071">
        <v>2.7E-2</v>
      </c>
      <c r="O80" s="2069">
        <v>2.7E-2</v>
      </c>
      <c r="P80" s="2069">
        <v>3.919</v>
      </c>
      <c r="Q80" s="2070">
        <v>0</v>
      </c>
      <c r="R80" s="2070">
        <v>6.8895126307731563E-3</v>
      </c>
      <c r="S80" s="2078">
        <v>6.8895126307731563E-3</v>
      </c>
      <c r="T80" s="2077">
        <v>96</v>
      </c>
      <c r="U80" s="1686">
        <v>0</v>
      </c>
      <c r="V80" s="1686">
        <v>3.8585000000000003</v>
      </c>
      <c r="W80" s="1686">
        <v>0.69899999999999995</v>
      </c>
      <c r="X80" s="1686">
        <v>0.69899999999999995</v>
      </c>
      <c r="Y80" s="1686">
        <v>3.8585000000000003</v>
      </c>
      <c r="Z80" s="2072">
        <v>0</v>
      </c>
      <c r="AA80" s="2072">
        <v>0.18393448775298529</v>
      </c>
      <c r="AB80" s="2093">
        <v>0.18393448775298529</v>
      </c>
    </row>
    <row r="81" spans="2:28">
      <c r="B81" s="89">
        <v>97</v>
      </c>
      <c r="C81" s="1"/>
      <c r="D81" s="1">
        <v>3.6389999999999998</v>
      </c>
      <c r="E81" s="1">
        <v>1.216</v>
      </c>
      <c r="F81" s="1">
        <v>1.216</v>
      </c>
      <c r="G81" s="1">
        <v>3.6389999999999998</v>
      </c>
      <c r="H81" s="741">
        <v>0</v>
      </c>
      <c r="I81" s="741">
        <v>0.33415773564165979</v>
      </c>
      <c r="J81" s="2079">
        <v>0.33415773564165979</v>
      </c>
      <c r="K81" s="89">
        <v>97</v>
      </c>
      <c r="L81" s="1">
        <v>0</v>
      </c>
      <c r="M81" s="1">
        <v>3.7130000000000001</v>
      </c>
      <c r="N81" s="1419">
        <v>2.1000000000000001E-2</v>
      </c>
      <c r="O81" s="1">
        <v>2.1000000000000001E-2</v>
      </c>
      <c r="P81" s="1">
        <v>3.7130000000000001</v>
      </c>
      <c r="Q81" s="741">
        <v>0</v>
      </c>
      <c r="R81" s="741">
        <v>5.655803932130353E-3</v>
      </c>
      <c r="S81" s="2079">
        <v>5.655803932130353E-3</v>
      </c>
      <c r="T81" s="89">
        <v>97</v>
      </c>
      <c r="U81" s="740">
        <v>0</v>
      </c>
      <c r="V81" s="740">
        <v>3.6760000000000002</v>
      </c>
      <c r="W81" s="740">
        <v>0.61849999999999994</v>
      </c>
      <c r="X81" s="740">
        <v>0.61849999999999994</v>
      </c>
      <c r="Y81" s="740">
        <v>3.6760000000000002</v>
      </c>
      <c r="Z81" s="2067">
        <v>0</v>
      </c>
      <c r="AA81" s="2067">
        <v>0.16990676978689506</v>
      </c>
      <c r="AB81" s="2094">
        <v>0.16990676978689506</v>
      </c>
    </row>
    <row r="82" spans="2:28">
      <c r="B82" s="2077">
        <v>98</v>
      </c>
      <c r="C82" s="2069"/>
      <c r="D82" s="2069">
        <v>3.4950000000000001</v>
      </c>
      <c r="E82" s="2069">
        <v>1.0409999999999999</v>
      </c>
      <c r="F82" s="2069">
        <v>1.0409999999999999</v>
      </c>
      <c r="G82" s="2069">
        <v>3.4950000000000001</v>
      </c>
      <c r="H82" s="2070">
        <v>0</v>
      </c>
      <c r="I82" s="2070">
        <v>0.29785407725321883</v>
      </c>
      <c r="J82" s="2078">
        <v>0.29785407725321883</v>
      </c>
      <c r="K82" s="2077">
        <v>98</v>
      </c>
      <c r="L82" s="2069">
        <v>0</v>
      </c>
      <c r="M82" s="2069">
        <v>3.53</v>
      </c>
      <c r="N82" s="2071">
        <v>1.6E-2</v>
      </c>
      <c r="O82" s="2069">
        <v>1.6E-2</v>
      </c>
      <c r="P82" s="2069">
        <v>3.53</v>
      </c>
      <c r="Q82" s="2070">
        <v>0</v>
      </c>
      <c r="R82" s="2070">
        <v>4.5325779036827201E-3</v>
      </c>
      <c r="S82" s="2078">
        <v>4.5325779036827201E-3</v>
      </c>
      <c r="T82" s="2077">
        <v>98</v>
      </c>
      <c r="U82" s="1686">
        <v>0</v>
      </c>
      <c r="V82" s="1686">
        <v>3.5125000000000002</v>
      </c>
      <c r="W82" s="1686">
        <v>0.52849999999999997</v>
      </c>
      <c r="X82" s="1686">
        <v>0.52849999999999997</v>
      </c>
      <c r="Y82" s="1686">
        <v>3.5125000000000002</v>
      </c>
      <c r="Z82" s="2072">
        <v>0</v>
      </c>
      <c r="AA82" s="2072">
        <v>0.15119332757845078</v>
      </c>
      <c r="AB82" s="2093">
        <v>0.15119332757845078</v>
      </c>
    </row>
    <row r="83" spans="2:28">
      <c r="B83" s="89">
        <v>99</v>
      </c>
      <c r="C83" s="1"/>
      <c r="D83" s="1">
        <v>3.3639999999999999</v>
      </c>
      <c r="E83" s="1">
        <v>0.84799999999999998</v>
      </c>
      <c r="F83" s="1">
        <v>0.84799999999999998</v>
      </c>
      <c r="G83" s="1">
        <v>3.3639999999999999</v>
      </c>
      <c r="H83" s="741">
        <v>0</v>
      </c>
      <c r="I83" s="741">
        <v>0.25208085612366232</v>
      </c>
      <c r="J83" s="2079">
        <v>0.25208085612366232</v>
      </c>
      <c r="K83" s="89">
        <v>99</v>
      </c>
      <c r="L83" s="1">
        <v>0</v>
      </c>
      <c r="M83" s="1">
        <v>3.3690000000000002</v>
      </c>
      <c r="N83" s="1419">
        <v>1.2999999999999999E-2</v>
      </c>
      <c r="O83" s="1">
        <v>1.2999999999999999E-2</v>
      </c>
      <c r="P83" s="1">
        <v>3.3690000000000002</v>
      </c>
      <c r="Q83" s="741">
        <v>0</v>
      </c>
      <c r="R83" s="741">
        <v>3.8587117839121395E-3</v>
      </c>
      <c r="S83" s="2079">
        <v>3.8587117839121395E-3</v>
      </c>
      <c r="T83" s="89">
        <v>99</v>
      </c>
      <c r="U83" s="740">
        <v>0</v>
      </c>
      <c r="V83" s="740">
        <v>3.3665000000000003</v>
      </c>
      <c r="W83" s="740">
        <v>0.43049999999999999</v>
      </c>
      <c r="X83" s="740">
        <v>0.43049999999999999</v>
      </c>
      <c r="Y83" s="740">
        <v>3.3665000000000003</v>
      </c>
      <c r="Z83" s="2067">
        <v>0</v>
      </c>
      <c r="AA83" s="2067">
        <v>0.12796978395378722</v>
      </c>
      <c r="AB83" s="2094">
        <v>0.12796978395378722</v>
      </c>
    </row>
    <row r="84" spans="2:28" ht="15" thickBot="1">
      <c r="B84" s="2080">
        <v>100</v>
      </c>
      <c r="C84" s="2081"/>
      <c r="D84" s="2081">
        <v>3.2450000000000001</v>
      </c>
      <c r="E84" s="2081">
        <v>0.67200000000000004</v>
      </c>
      <c r="F84" s="2081">
        <v>0.67200000000000004</v>
      </c>
      <c r="G84" s="2081">
        <v>3.2450000000000001</v>
      </c>
      <c r="H84" s="2082">
        <v>0</v>
      </c>
      <c r="I84" s="2082">
        <v>0.20708782742681048</v>
      </c>
      <c r="J84" s="2083">
        <v>0.20708782742681048</v>
      </c>
      <c r="K84" s="2080">
        <v>100</v>
      </c>
      <c r="L84" s="2081">
        <v>0</v>
      </c>
      <c r="M84" s="2081">
        <v>3.2309999999999999</v>
      </c>
      <c r="N84" s="2088">
        <v>0.01</v>
      </c>
      <c r="O84" s="2081">
        <v>0.01</v>
      </c>
      <c r="P84" s="2081">
        <v>3.2309999999999999</v>
      </c>
      <c r="Q84" s="2082">
        <v>0</v>
      </c>
      <c r="R84" s="2082">
        <v>3.0950170225936243E-3</v>
      </c>
      <c r="S84" s="2083">
        <v>3.0950170225936243E-3</v>
      </c>
      <c r="T84" s="2080">
        <v>100</v>
      </c>
      <c r="U84" s="2095">
        <v>0</v>
      </c>
      <c r="V84" s="2095">
        <v>3.238</v>
      </c>
      <c r="W84" s="2095">
        <v>0.34100000000000003</v>
      </c>
      <c r="X84" s="2095">
        <v>0.34100000000000003</v>
      </c>
      <c r="Y84" s="2095">
        <v>3.238</v>
      </c>
      <c r="Z84" s="2096">
        <v>0</v>
      </c>
      <c r="AA84" s="2096">
        <v>0.10509142222470205</v>
      </c>
      <c r="AB84" s="2097">
        <v>0.10509142222470205</v>
      </c>
    </row>
  </sheetData>
  <sheetProtection algorithmName="SHA-512" hashValue="VcM3L9QEh0V+w2CfUrbQELP8etjNWnfJ8qr/fa8oSmHxVlc/jpE75y4UEnjk0GxcRjw9wbUCUWizfMzFL7am7Q==" saltValue="LR50Hu32AUNNRFBYXrcc2Q==" spinCount="100000" sheet="1" objects="1" scenarios="1" formatColumns="0" autoFilter="0"/>
  <mergeCells count="3">
    <mergeCell ref="H2:J2"/>
    <mergeCell ref="Q2:S2"/>
    <mergeCell ref="Z2:AB2"/>
  </mergeCell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5"/>
  <dimension ref="A1:AB84"/>
  <sheetViews>
    <sheetView topLeftCell="B1" zoomScale="85" zoomScaleNormal="85" workbookViewId="0">
      <pane ySplit="1935" topLeftCell="A5" activePane="bottomLeft"/>
      <selection activeCell="B1" sqref="A1:XFD1048576"/>
      <selection pane="bottomLeft" activeCell="B47" sqref="B47:AB47"/>
    </sheetView>
  </sheetViews>
  <sheetFormatPr baseColWidth="10" defaultColWidth="11.125" defaultRowHeight="14.25"/>
  <cols>
    <col min="1" max="1" width="21" hidden="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1" spans="1:28" ht="15" thickBot="1">
      <c r="B1" s="4"/>
      <c r="C1" s="4"/>
      <c r="D1" s="4"/>
      <c r="E1" s="4"/>
      <c r="F1" s="4"/>
      <c r="G1" s="4"/>
      <c r="H1" s="4"/>
      <c r="I1" s="4"/>
      <c r="J1" s="4"/>
      <c r="K1" s="4"/>
      <c r="L1" s="4"/>
      <c r="M1" s="4"/>
      <c r="N1" s="4"/>
      <c r="O1" s="4"/>
      <c r="P1" s="4"/>
      <c r="Q1" s="4"/>
      <c r="R1" s="4"/>
      <c r="S1" s="4"/>
      <c r="T1" s="4"/>
      <c r="U1" s="4"/>
      <c r="V1" s="4"/>
      <c r="W1" s="4"/>
      <c r="X1" s="4"/>
      <c r="Y1" s="4"/>
      <c r="Z1" s="4"/>
      <c r="AA1" s="4"/>
      <c r="AB1" s="4"/>
    </row>
    <row r="2" spans="1:28" s="127" customFormat="1" ht="78.75" customHeight="1">
      <c r="A2" s="127" t="s">
        <v>1941</v>
      </c>
      <c r="B2" s="2073" t="s">
        <v>7</v>
      </c>
      <c r="C2" s="2074" t="s">
        <v>0</v>
      </c>
      <c r="D2" s="2074" t="s">
        <v>1</v>
      </c>
      <c r="E2" s="2074" t="s">
        <v>2</v>
      </c>
      <c r="F2" s="2074" t="s">
        <v>1688</v>
      </c>
      <c r="G2" s="2074" t="s">
        <v>1940</v>
      </c>
      <c r="H2" s="4054" t="s">
        <v>5</v>
      </c>
      <c r="I2" s="4055"/>
      <c r="J2" s="4056"/>
      <c r="K2" s="2084" t="s">
        <v>7</v>
      </c>
      <c r="L2" s="2085" t="s">
        <v>0</v>
      </c>
      <c r="M2" s="2085" t="s">
        <v>1</v>
      </c>
      <c r="N2" s="2085" t="s">
        <v>2</v>
      </c>
      <c r="O2" s="2085" t="s">
        <v>1688</v>
      </c>
      <c r="P2" s="2085" t="str">
        <f>+G2</f>
        <v>Anwartschafts-barwert
Altersrente</v>
      </c>
      <c r="Q2" s="4057" t="s">
        <v>6</v>
      </c>
      <c r="R2" s="4058"/>
      <c r="S2" s="4059"/>
      <c r="T2" s="2089" t="s">
        <v>7</v>
      </c>
      <c r="U2" s="2090" t="s">
        <v>0</v>
      </c>
      <c r="V2" s="2090" t="s">
        <v>1</v>
      </c>
      <c r="W2" s="2090" t="s">
        <v>2</v>
      </c>
      <c r="X2" s="2090" t="s">
        <v>1688</v>
      </c>
      <c r="Y2" s="2090" t="str">
        <f>+P2</f>
        <v>Anwartschafts-barwert
Altersrente</v>
      </c>
      <c r="Z2" s="4060" t="s">
        <v>310</v>
      </c>
      <c r="AA2" s="4061"/>
      <c r="AB2" s="4062"/>
    </row>
    <row r="3" spans="1:28" s="2" customFormat="1" ht="13.5">
      <c r="A3" s="60">
        <v>43111</v>
      </c>
      <c r="B3" s="2075"/>
      <c r="C3" s="2068" t="s">
        <v>17</v>
      </c>
      <c r="D3" s="2068" t="s">
        <v>18</v>
      </c>
      <c r="E3" s="2068" t="s">
        <v>24</v>
      </c>
      <c r="F3" s="2068"/>
      <c r="G3" s="2068"/>
      <c r="H3" s="1105" t="s">
        <v>8</v>
      </c>
      <c r="I3" s="1105" t="s">
        <v>9</v>
      </c>
      <c r="J3" s="2076" t="s">
        <v>10</v>
      </c>
      <c r="K3" s="2086"/>
      <c r="L3" s="1106" t="s">
        <v>19</v>
      </c>
      <c r="M3" s="1106" t="s">
        <v>20</v>
      </c>
      <c r="N3" s="1106" t="s">
        <v>26</v>
      </c>
      <c r="O3" s="1106"/>
      <c r="P3" s="1106"/>
      <c r="Q3" s="1106" t="s">
        <v>8</v>
      </c>
      <c r="R3" s="1106" t="s">
        <v>9</v>
      </c>
      <c r="S3" s="2087" t="s">
        <v>10</v>
      </c>
      <c r="T3" s="2106"/>
      <c r="U3" s="2107" t="s">
        <v>19</v>
      </c>
      <c r="V3" s="2107" t="s">
        <v>20</v>
      </c>
      <c r="W3" s="2107" t="s">
        <v>26</v>
      </c>
      <c r="X3" s="2107" t="s">
        <v>27</v>
      </c>
      <c r="Y3" s="2107"/>
      <c r="Z3" s="2107" t="s">
        <v>8</v>
      </c>
      <c r="AA3" s="2107" t="s">
        <v>9</v>
      </c>
      <c r="AB3" s="2108" t="s">
        <v>10</v>
      </c>
    </row>
    <row r="4" spans="1:28">
      <c r="B4" s="2077">
        <v>20</v>
      </c>
      <c r="C4" s="2069">
        <v>0.26900000000000002</v>
      </c>
      <c r="D4" s="2069">
        <v>4.8979999999999997</v>
      </c>
      <c r="E4" s="2069">
        <v>0.53200000000000003</v>
      </c>
      <c r="F4" s="2069">
        <v>0.53200000000000003</v>
      </c>
      <c r="G4" s="2069">
        <v>4.6289999999999996</v>
      </c>
      <c r="H4" s="2070">
        <v>5.8111903218837774E-2</v>
      </c>
      <c r="I4" s="2070">
        <v>0.11492763015770147</v>
      </c>
      <c r="J4" s="2078">
        <v>0.17303953337653924</v>
      </c>
      <c r="K4" s="2077">
        <v>20</v>
      </c>
      <c r="L4" s="2069">
        <v>0.28100000000000003</v>
      </c>
      <c r="M4" s="2069">
        <v>5.665</v>
      </c>
      <c r="N4" s="2071">
        <v>0.13200000000000001</v>
      </c>
      <c r="O4" s="2069">
        <v>0.13200000000000001</v>
      </c>
      <c r="P4" s="2069">
        <v>5.3840000000000003</v>
      </c>
      <c r="Q4" s="2070">
        <v>5.2191679049034177E-2</v>
      </c>
      <c r="R4" s="2070">
        <v>2.4517087667161961E-2</v>
      </c>
      <c r="S4" s="2078">
        <v>7.6708766716196142E-2</v>
      </c>
      <c r="T4" s="2077">
        <v>20</v>
      </c>
      <c r="U4" s="1686">
        <v>0.27500000000000002</v>
      </c>
      <c r="V4" s="1686">
        <v>5.2814999999999994</v>
      </c>
      <c r="W4" s="1686">
        <v>0.33200000000000002</v>
      </c>
      <c r="X4" s="1686">
        <v>0.33200000000000002</v>
      </c>
      <c r="Y4" s="1686">
        <v>5.0065</v>
      </c>
      <c r="Z4" s="2072">
        <v>5.5151791133935979E-2</v>
      </c>
      <c r="AA4" s="2072">
        <v>6.9722358912431712E-2</v>
      </c>
      <c r="AB4" s="2093">
        <v>0.12487415004636769</v>
      </c>
    </row>
    <row r="5" spans="1:28">
      <c r="B5" s="89">
        <v>21</v>
      </c>
      <c r="C5" s="1">
        <v>0.31</v>
      </c>
      <c r="D5" s="1">
        <v>5.0469999999999997</v>
      </c>
      <c r="E5" s="1">
        <v>0.61899999999999999</v>
      </c>
      <c r="F5" s="1">
        <v>0.61899999999999999</v>
      </c>
      <c r="G5" s="1">
        <v>4.7370000000000001</v>
      </c>
      <c r="H5" s="741">
        <v>6.5442263035676587E-2</v>
      </c>
      <c r="I5" s="741">
        <v>0.13067342199704454</v>
      </c>
      <c r="J5" s="2079">
        <v>0.19611568503272114</v>
      </c>
      <c r="K5" s="89">
        <v>21</v>
      </c>
      <c r="L5" s="1">
        <v>0.33800000000000002</v>
      </c>
      <c r="M5" s="1">
        <v>5.8339999999999996</v>
      </c>
      <c r="N5" s="1419">
        <v>0.16</v>
      </c>
      <c r="O5" s="1">
        <v>0.16</v>
      </c>
      <c r="P5" s="1">
        <v>5.4959999999999996</v>
      </c>
      <c r="Q5" s="741">
        <v>6.1499272197962161E-2</v>
      </c>
      <c r="R5" s="741">
        <v>2.9112081513828242E-2</v>
      </c>
      <c r="S5" s="2079">
        <v>9.061135371179041E-2</v>
      </c>
      <c r="T5" s="89">
        <v>21</v>
      </c>
      <c r="U5" s="740">
        <v>0.32400000000000001</v>
      </c>
      <c r="V5" s="740">
        <v>5.4405000000000001</v>
      </c>
      <c r="W5" s="740">
        <v>0.38950000000000001</v>
      </c>
      <c r="X5" s="740">
        <v>0.38950000000000001</v>
      </c>
      <c r="Y5" s="740">
        <v>5.1165000000000003</v>
      </c>
      <c r="Z5" s="2067">
        <v>6.3470767616819371E-2</v>
      </c>
      <c r="AA5" s="2067">
        <v>7.9892751755436392E-2</v>
      </c>
      <c r="AB5" s="2094">
        <v>0.14336351937225578</v>
      </c>
    </row>
    <row r="6" spans="1:28">
      <c r="B6" s="2077">
        <v>22</v>
      </c>
      <c r="C6" s="2069">
        <v>0.35199999999999998</v>
      </c>
      <c r="D6" s="2069">
        <v>5.1989999999999998</v>
      </c>
      <c r="E6" s="2069">
        <v>0.71099999999999997</v>
      </c>
      <c r="F6" s="2069">
        <v>0.71099999999999997</v>
      </c>
      <c r="G6" s="2069">
        <v>4.8469999999999995</v>
      </c>
      <c r="H6" s="2070">
        <v>7.2622240561171864E-2</v>
      </c>
      <c r="I6" s="2070">
        <v>0.14668867340623065</v>
      </c>
      <c r="J6" s="2078">
        <v>0.21931091396740252</v>
      </c>
      <c r="K6" s="2077">
        <v>22</v>
      </c>
      <c r="L6" s="2069">
        <v>0.39</v>
      </c>
      <c r="M6" s="2069">
        <v>6.008</v>
      </c>
      <c r="N6" s="2071">
        <v>0.185</v>
      </c>
      <c r="O6" s="2069">
        <v>0.185</v>
      </c>
      <c r="P6" s="2069">
        <v>5.6180000000000003</v>
      </c>
      <c r="Q6" s="2070">
        <v>6.9419722321110711E-2</v>
      </c>
      <c r="R6" s="2070">
        <v>3.2929868280526874E-2</v>
      </c>
      <c r="S6" s="2078">
        <v>0.10234959060163759</v>
      </c>
      <c r="T6" s="2077">
        <v>22</v>
      </c>
      <c r="U6" s="1686">
        <v>0.371</v>
      </c>
      <c r="V6" s="1686">
        <v>5.6035000000000004</v>
      </c>
      <c r="W6" s="1686">
        <v>0.44799999999999995</v>
      </c>
      <c r="X6" s="1686">
        <v>0.44799999999999995</v>
      </c>
      <c r="Y6" s="1686">
        <v>5.2324999999999999</v>
      </c>
      <c r="Z6" s="2072">
        <v>7.1020981441141287E-2</v>
      </c>
      <c r="AA6" s="2072">
        <v>8.9809270843378766E-2</v>
      </c>
      <c r="AB6" s="2093">
        <v>0.16083025228452005</v>
      </c>
    </row>
    <row r="7" spans="1:28">
      <c r="B7" s="89">
        <v>23</v>
      </c>
      <c r="C7" s="1">
        <v>0.39500000000000002</v>
      </c>
      <c r="D7" s="1">
        <v>5.3550000000000004</v>
      </c>
      <c r="E7" s="1">
        <v>0.80800000000000005</v>
      </c>
      <c r="F7" s="1">
        <v>0.80800000000000005</v>
      </c>
      <c r="G7" s="1">
        <v>4.9600000000000009</v>
      </c>
      <c r="H7" s="741">
        <v>7.9637096774193533E-2</v>
      </c>
      <c r="I7" s="741">
        <v>0.16290322580645158</v>
      </c>
      <c r="J7" s="2079">
        <v>0.24254032258064512</v>
      </c>
      <c r="K7" s="89">
        <v>23</v>
      </c>
      <c r="L7" s="1">
        <v>0.434</v>
      </c>
      <c r="M7" s="1">
        <v>6.1859999999999999</v>
      </c>
      <c r="N7" s="1419">
        <v>0.20699999999999999</v>
      </c>
      <c r="O7" s="1">
        <v>0.20699999999999999</v>
      </c>
      <c r="P7" s="1">
        <v>5.7519999999999998</v>
      </c>
      <c r="Q7" s="741">
        <v>7.545201668984701E-2</v>
      </c>
      <c r="R7" s="741">
        <v>3.5987482614742695E-2</v>
      </c>
      <c r="S7" s="2079">
        <v>0.11143949930458971</v>
      </c>
      <c r="T7" s="89">
        <v>23</v>
      </c>
      <c r="U7" s="740">
        <v>0.41449999999999998</v>
      </c>
      <c r="V7" s="740">
        <v>5.7705000000000002</v>
      </c>
      <c r="W7" s="740">
        <v>0.50750000000000006</v>
      </c>
      <c r="X7" s="740">
        <v>0.50750000000000006</v>
      </c>
      <c r="Y7" s="740">
        <v>5.3559999999999999</v>
      </c>
      <c r="Z7" s="2067">
        <v>7.7544556732020264E-2</v>
      </c>
      <c r="AA7" s="2067">
        <v>9.9445354210597137E-2</v>
      </c>
      <c r="AB7" s="2094">
        <v>0.1769899109426174</v>
      </c>
    </row>
    <row r="8" spans="1:28">
      <c r="B8" s="2077">
        <v>24</v>
      </c>
      <c r="C8" s="2069">
        <v>0.434</v>
      </c>
      <c r="D8" s="2069">
        <v>5.5149999999999997</v>
      </c>
      <c r="E8" s="2069">
        <v>0.89600000000000002</v>
      </c>
      <c r="F8" s="2069">
        <v>0.89600000000000002</v>
      </c>
      <c r="G8" s="2069">
        <v>5.0809999999999995</v>
      </c>
      <c r="H8" s="2070">
        <v>8.5416256642393232E-2</v>
      </c>
      <c r="I8" s="2070">
        <v>0.17634323951977959</v>
      </c>
      <c r="J8" s="2078">
        <v>0.26175949616217281</v>
      </c>
      <c r="K8" s="2077">
        <v>24</v>
      </c>
      <c r="L8" s="2069">
        <v>0.47299999999999998</v>
      </c>
      <c r="M8" s="2069">
        <v>6.3680000000000003</v>
      </c>
      <c r="N8" s="2071">
        <v>0.22700000000000001</v>
      </c>
      <c r="O8" s="2069">
        <v>0.22700000000000001</v>
      </c>
      <c r="P8" s="2069">
        <v>5.8950000000000005</v>
      </c>
      <c r="Q8" s="2070">
        <v>8.0237489397794737E-2</v>
      </c>
      <c r="R8" s="2070">
        <v>3.8507209499575909E-2</v>
      </c>
      <c r="S8" s="2078">
        <v>0.11874469889737065</v>
      </c>
      <c r="T8" s="2077">
        <v>24</v>
      </c>
      <c r="U8" s="1686">
        <v>0.45350000000000001</v>
      </c>
      <c r="V8" s="1686">
        <v>5.9414999999999996</v>
      </c>
      <c r="W8" s="1686">
        <v>0.5615</v>
      </c>
      <c r="X8" s="1686">
        <v>0.5615</v>
      </c>
      <c r="Y8" s="1686">
        <v>5.4879999999999995</v>
      </c>
      <c r="Z8" s="2072">
        <v>8.2826873020093977E-2</v>
      </c>
      <c r="AA8" s="2072">
        <v>0.10742522450967776</v>
      </c>
      <c r="AB8" s="2093">
        <v>0.19025209752977174</v>
      </c>
    </row>
    <row r="9" spans="1:28">
      <c r="B9" s="89">
        <v>25</v>
      </c>
      <c r="C9" s="1">
        <v>0.46800000000000003</v>
      </c>
      <c r="D9" s="1">
        <v>5.6779999999999999</v>
      </c>
      <c r="E9" s="1">
        <v>0.97899999999999998</v>
      </c>
      <c r="F9" s="1">
        <v>0.97899999999999998</v>
      </c>
      <c r="G9" s="1">
        <v>5.21</v>
      </c>
      <c r="H9" s="741">
        <v>8.9827255278310952E-2</v>
      </c>
      <c r="I9" s="741">
        <v>0.18790786948176583</v>
      </c>
      <c r="J9" s="2079">
        <v>0.27773512476007678</v>
      </c>
      <c r="K9" s="89">
        <v>25</v>
      </c>
      <c r="L9" s="1">
        <v>0.51200000000000001</v>
      </c>
      <c r="M9" s="1">
        <v>6.5549999999999997</v>
      </c>
      <c r="N9" s="1419">
        <v>0.248</v>
      </c>
      <c r="O9" s="1">
        <v>0.248</v>
      </c>
      <c r="P9" s="1">
        <v>6.0429999999999993</v>
      </c>
      <c r="Q9" s="741">
        <v>8.4726129405924222E-2</v>
      </c>
      <c r="R9" s="741">
        <v>4.1039218930994541E-2</v>
      </c>
      <c r="S9" s="2079">
        <v>0.12576534833691877</v>
      </c>
      <c r="T9" s="89">
        <v>25</v>
      </c>
      <c r="U9" s="740">
        <v>0.49</v>
      </c>
      <c r="V9" s="740">
        <v>6.1165000000000003</v>
      </c>
      <c r="W9" s="740">
        <v>0.61349999999999993</v>
      </c>
      <c r="X9" s="740">
        <v>0.61349999999999993</v>
      </c>
      <c r="Y9" s="740">
        <v>5.6265000000000001</v>
      </c>
      <c r="Z9" s="2067">
        <v>8.7276692342117587E-2</v>
      </c>
      <c r="AA9" s="2067">
        <v>0.11447354420638019</v>
      </c>
      <c r="AB9" s="2094">
        <v>0.20175023654849777</v>
      </c>
    </row>
    <row r="10" spans="1:28">
      <c r="B10" s="2077">
        <v>26</v>
      </c>
      <c r="C10" s="2069">
        <v>0.499</v>
      </c>
      <c r="D10" s="2069">
        <v>5.8460000000000001</v>
      </c>
      <c r="E10" s="2069">
        <v>1.0569999999999999</v>
      </c>
      <c r="F10" s="2069">
        <v>1.0569999999999999</v>
      </c>
      <c r="G10" s="2069">
        <v>5.3470000000000004</v>
      </c>
      <c r="H10" s="2070">
        <v>9.3323358892837091E-2</v>
      </c>
      <c r="I10" s="2070">
        <v>0.19768094258462687</v>
      </c>
      <c r="J10" s="2078">
        <v>0.29100430147746398</v>
      </c>
      <c r="K10" s="2077">
        <v>26</v>
      </c>
      <c r="L10" s="2069">
        <v>0.55000000000000004</v>
      </c>
      <c r="M10" s="2069">
        <v>6.7450000000000001</v>
      </c>
      <c r="N10" s="2071">
        <v>0.26800000000000002</v>
      </c>
      <c r="O10" s="2069">
        <v>0.26800000000000002</v>
      </c>
      <c r="P10" s="2069">
        <v>6.1950000000000003</v>
      </c>
      <c r="Q10" s="2070">
        <v>8.8781275221953185E-2</v>
      </c>
      <c r="R10" s="2070">
        <v>4.3260694108151733E-2</v>
      </c>
      <c r="S10" s="2078">
        <v>0.13204196933010492</v>
      </c>
      <c r="T10" s="2077">
        <v>26</v>
      </c>
      <c r="U10" s="1686">
        <v>0.52449999999999997</v>
      </c>
      <c r="V10" s="1686">
        <v>6.2955000000000005</v>
      </c>
      <c r="W10" s="1686">
        <v>0.66249999999999998</v>
      </c>
      <c r="X10" s="1686">
        <v>0.66249999999999998</v>
      </c>
      <c r="Y10" s="1686">
        <v>5.7710000000000008</v>
      </c>
      <c r="Z10" s="2072">
        <v>9.1052317057395138E-2</v>
      </c>
      <c r="AA10" s="2072">
        <v>0.1204708183463893</v>
      </c>
      <c r="AB10" s="2093">
        <v>0.21152313540378445</v>
      </c>
    </row>
    <row r="11" spans="1:28">
      <c r="B11" s="89">
        <v>27</v>
      </c>
      <c r="C11" s="1">
        <v>0.52600000000000002</v>
      </c>
      <c r="D11" s="1">
        <v>6.0170000000000003</v>
      </c>
      <c r="E11" s="1">
        <v>1.133</v>
      </c>
      <c r="F11" s="1">
        <v>1.133</v>
      </c>
      <c r="G11" s="1">
        <v>5.4910000000000005</v>
      </c>
      <c r="H11" s="741">
        <v>9.5793116008013102E-2</v>
      </c>
      <c r="I11" s="741">
        <v>0.20633764341649971</v>
      </c>
      <c r="J11" s="2079">
        <v>0.30213075942451284</v>
      </c>
      <c r="K11" s="89">
        <v>27</v>
      </c>
      <c r="L11" s="1">
        <v>0.58599999999999997</v>
      </c>
      <c r="M11" s="1">
        <v>6.94</v>
      </c>
      <c r="N11" s="1419">
        <v>0.28799999999999998</v>
      </c>
      <c r="O11" s="1">
        <v>0.28799999999999998</v>
      </c>
      <c r="P11" s="1">
        <v>6.3540000000000001</v>
      </c>
      <c r="Q11" s="741">
        <v>9.2225369845766444E-2</v>
      </c>
      <c r="R11" s="741">
        <v>4.5325779036827191E-2</v>
      </c>
      <c r="S11" s="2079">
        <v>0.13755114888259362</v>
      </c>
      <c r="T11" s="89">
        <v>27</v>
      </c>
      <c r="U11" s="740">
        <v>0.55600000000000005</v>
      </c>
      <c r="V11" s="740">
        <v>6.4785000000000004</v>
      </c>
      <c r="W11" s="740">
        <v>0.71050000000000002</v>
      </c>
      <c r="X11" s="740">
        <v>0.71050000000000002</v>
      </c>
      <c r="Y11" s="740">
        <v>5.9225000000000003</v>
      </c>
      <c r="Z11" s="2067">
        <v>9.400924292688978E-2</v>
      </c>
      <c r="AA11" s="2067">
        <v>0.12583171122666345</v>
      </c>
      <c r="AB11" s="2094">
        <v>0.21984095415355323</v>
      </c>
    </row>
    <row r="12" spans="1:28">
      <c r="B12" s="2077">
        <v>28</v>
      </c>
      <c r="C12" s="2069">
        <v>0.55200000000000005</v>
      </c>
      <c r="D12" s="2069">
        <v>6.1920000000000002</v>
      </c>
      <c r="E12" s="2069">
        <v>1.2070000000000001</v>
      </c>
      <c r="F12" s="2069">
        <v>1.2070000000000001</v>
      </c>
      <c r="G12" s="2069">
        <v>5.6400000000000006</v>
      </c>
      <c r="H12" s="2070">
        <v>9.7872340425531917E-2</v>
      </c>
      <c r="I12" s="2070">
        <v>0.21400709219858155</v>
      </c>
      <c r="J12" s="2078">
        <v>0.31187943262411344</v>
      </c>
      <c r="K12" s="2077">
        <v>28</v>
      </c>
      <c r="L12" s="2069">
        <v>0.621</v>
      </c>
      <c r="M12" s="2069">
        <v>7.1379999999999999</v>
      </c>
      <c r="N12" s="2071">
        <v>0.308</v>
      </c>
      <c r="O12" s="2069">
        <v>0.308</v>
      </c>
      <c r="P12" s="2069">
        <v>6.5169999999999995</v>
      </c>
      <c r="Q12" s="2070">
        <v>9.5289243516955668E-2</v>
      </c>
      <c r="R12" s="2070">
        <v>4.7261009667024706E-2</v>
      </c>
      <c r="S12" s="2078">
        <v>0.14255025318398037</v>
      </c>
      <c r="T12" s="2077">
        <v>28</v>
      </c>
      <c r="U12" s="1686">
        <v>0.58650000000000002</v>
      </c>
      <c r="V12" s="1686">
        <v>6.665</v>
      </c>
      <c r="W12" s="1686">
        <v>0.75750000000000006</v>
      </c>
      <c r="X12" s="1686">
        <v>0.75750000000000006</v>
      </c>
      <c r="Y12" s="1686">
        <v>6.0785</v>
      </c>
      <c r="Z12" s="2072">
        <v>9.6580791971243793E-2</v>
      </c>
      <c r="AA12" s="2072">
        <v>0.13063405093280311</v>
      </c>
      <c r="AB12" s="2093">
        <v>0.22721484290404692</v>
      </c>
    </row>
    <row r="13" spans="1:28">
      <c r="B13" s="89">
        <v>29</v>
      </c>
      <c r="C13" s="1">
        <v>0.57499999999999996</v>
      </c>
      <c r="D13" s="1">
        <v>6.3710000000000004</v>
      </c>
      <c r="E13" s="1">
        <v>1.28</v>
      </c>
      <c r="F13" s="1">
        <v>1.28</v>
      </c>
      <c r="G13" s="1">
        <v>5.7960000000000003</v>
      </c>
      <c r="H13" s="741">
        <v>9.9206349206349201E-2</v>
      </c>
      <c r="I13" s="741">
        <v>0.22084195997239475</v>
      </c>
      <c r="J13" s="2079">
        <v>0.32004830917874394</v>
      </c>
      <c r="K13" s="89">
        <v>29</v>
      </c>
      <c r="L13" s="1">
        <v>0.65400000000000003</v>
      </c>
      <c r="M13" s="1">
        <v>7.3410000000000002</v>
      </c>
      <c r="N13" s="1419">
        <v>0.32800000000000001</v>
      </c>
      <c r="O13" s="1">
        <v>0.32800000000000001</v>
      </c>
      <c r="P13" s="1">
        <v>6.6870000000000003</v>
      </c>
      <c r="Q13" s="741">
        <v>9.7801704800358907E-2</v>
      </c>
      <c r="R13" s="741">
        <v>4.9050396291311499E-2</v>
      </c>
      <c r="S13" s="2079">
        <v>0.14685210109167041</v>
      </c>
      <c r="T13" s="89">
        <v>29</v>
      </c>
      <c r="U13" s="740">
        <v>0.61450000000000005</v>
      </c>
      <c r="V13" s="740">
        <v>6.8559999999999999</v>
      </c>
      <c r="W13" s="740">
        <v>0.80400000000000005</v>
      </c>
      <c r="X13" s="740">
        <v>0.80400000000000005</v>
      </c>
      <c r="Y13" s="740">
        <v>6.2415000000000003</v>
      </c>
      <c r="Z13" s="2067">
        <v>9.8504027003354061E-2</v>
      </c>
      <c r="AA13" s="2067">
        <v>0.13494617813185311</v>
      </c>
      <c r="AB13" s="2094">
        <v>0.23345020513520717</v>
      </c>
    </row>
    <row r="14" spans="1:28">
      <c r="B14" s="2077">
        <v>30</v>
      </c>
      <c r="C14" s="2069">
        <v>0.59699999999999998</v>
      </c>
      <c r="D14" s="2069">
        <v>6.5549999999999997</v>
      </c>
      <c r="E14" s="2069">
        <v>1.3520000000000001</v>
      </c>
      <c r="F14" s="2069">
        <v>1.3520000000000001</v>
      </c>
      <c r="G14" s="2069">
        <v>5.9580000000000002</v>
      </c>
      <c r="H14" s="2070">
        <v>0.10020140986908357</v>
      </c>
      <c r="I14" s="2070">
        <v>0.22692178583417255</v>
      </c>
      <c r="J14" s="2078">
        <v>0.3271231957032561</v>
      </c>
      <c r="K14" s="2077">
        <v>30</v>
      </c>
      <c r="L14" s="2069">
        <v>0.68500000000000005</v>
      </c>
      <c r="M14" s="2069">
        <v>7.5469999999999997</v>
      </c>
      <c r="N14" s="2071">
        <v>0.34699999999999998</v>
      </c>
      <c r="O14" s="2069">
        <v>0.34699999999999998</v>
      </c>
      <c r="P14" s="2069">
        <v>6.8620000000000001</v>
      </c>
      <c r="Q14" s="2070">
        <v>9.982512387059167E-2</v>
      </c>
      <c r="R14" s="2070">
        <v>5.0568347420577087E-2</v>
      </c>
      <c r="S14" s="2078">
        <v>0.15039347129116876</v>
      </c>
      <c r="T14" s="2077">
        <v>30</v>
      </c>
      <c r="U14" s="1686">
        <v>0.64100000000000001</v>
      </c>
      <c r="V14" s="1686">
        <v>7.0510000000000002</v>
      </c>
      <c r="W14" s="1686">
        <v>0.84950000000000003</v>
      </c>
      <c r="X14" s="1686">
        <v>0.84950000000000003</v>
      </c>
      <c r="Y14" s="1686">
        <v>6.41</v>
      </c>
      <c r="Z14" s="2072">
        <v>0.10001326686983762</v>
      </c>
      <c r="AA14" s="2072">
        <v>0.13874506662737482</v>
      </c>
      <c r="AB14" s="2093">
        <v>0.23875833349721243</v>
      </c>
    </row>
    <row r="15" spans="1:28">
      <c r="B15" s="89">
        <v>31</v>
      </c>
      <c r="C15" s="1">
        <v>0.61699999999999999</v>
      </c>
      <c r="D15" s="1">
        <v>6.7430000000000003</v>
      </c>
      <c r="E15" s="1">
        <v>1.423</v>
      </c>
      <c r="F15" s="1">
        <v>1.423</v>
      </c>
      <c r="G15" s="1">
        <v>6.1260000000000003</v>
      </c>
      <c r="H15" s="741">
        <v>0.10071825008161932</v>
      </c>
      <c r="I15" s="741">
        <v>0.23228860594188702</v>
      </c>
      <c r="J15" s="2079">
        <v>0.33300685602350633</v>
      </c>
      <c r="K15" s="89">
        <v>31</v>
      </c>
      <c r="L15" s="1">
        <v>0.71299999999999997</v>
      </c>
      <c r="M15" s="1">
        <v>7.758</v>
      </c>
      <c r="N15" s="1419">
        <v>0.36599999999999999</v>
      </c>
      <c r="O15" s="1">
        <v>0.36599999999999999</v>
      </c>
      <c r="P15" s="1">
        <v>7.0449999999999999</v>
      </c>
      <c r="Q15" s="741">
        <v>0.10120652945351312</v>
      </c>
      <c r="R15" s="741">
        <v>5.1951738821859474E-2</v>
      </c>
      <c r="S15" s="2079">
        <v>0.1531582682753726</v>
      </c>
      <c r="T15" s="89">
        <v>31</v>
      </c>
      <c r="U15" s="740">
        <v>0.66500000000000004</v>
      </c>
      <c r="V15" s="740">
        <v>7.2505000000000006</v>
      </c>
      <c r="W15" s="740">
        <v>0.89450000000000007</v>
      </c>
      <c r="X15" s="740">
        <v>0.89450000000000007</v>
      </c>
      <c r="Y15" s="740">
        <v>6.5854999999999997</v>
      </c>
      <c r="Z15" s="2067">
        <v>0.10096238976756622</v>
      </c>
      <c r="AA15" s="2067">
        <v>0.14212017238187324</v>
      </c>
      <c r="AB15" s="2094">
        <v>0.24308256214943946</v>
      </c>
    </row>
    <row r="16" spans="1:28">
      <c r="B16" s="2077">
        <v>32</v>
      </c>
      <c r="C16" s="2069">
        <v>0.63700000000000001</v>
      </c>
      <c r="D16" s="2069">
        <v>6.9370000000000003</v>
      </c>
      <c r="E16" s="2069">
        <v>1.494</v>
      </c>
      <c r="F16" s="2069">
        <v>1.494</v>
      </c>
      <c r="G16" s="2069">
        <v>6.3000000000000007</v>
      </c>
      <c r="H16" s="2070">
        <v>0.1011111111111111</v>
      </c>
      <c r="I16" s="2070">
        <v>0.23714285714285713</v>
      </c>
      <c r="J16" s="2078">
        <v>0.33825396825396825</v>
      </c>
      <c r="K16" s="2077">
        <v>32</v>
      </c>
      <c r="L16" s="2069">
        <v>0.73899999999999999</v>
      </c>
      <c r="M16" s="2069">
        <v>7.9740000000000002</v>
      </c>
      <c r="N16" s="2071">
        <v>0.38500000000000001</v>
      </c>
      <c r="O16" s="2069">
        <v>0.38500000000000001</v>
      </c>
      <c r="P16" s="2069">
        <v>7.2350000000000003</v>
      </c>
      <c r="Q16" s="2070">
        <v>0.10214236351071181</v>
      </c>
      <c r="R16" s="2070">
        <v>5.3213545266067724E-2</v>
      </c>
      <c r="S16" s="2078">
        <v>0.15535590877677952</v>
      </c>
      <c r="T16" s="2077">
        <v>32</v>
      </c>
      <c r="U16" s="1686">
        <v>0.68799999999999994</v>
      </c>
      <c r="V16" s="1686">
        <v>7.4555000000000007</v>
      </c>
      <c r="W16" s="1686">
        <v>0.9395</v>
      </c>
      <c r="X16" s="1686">
        <v>0.9395</v>
      </c>
      <c r="Y16" s="1686">
        <v>6.7675000000000001</v>
      </c>
      <c r="Z16" s="2072">
        <v>0.10162673731091146</v>
      </c>
      <c r="AA16" s="2072">
        <v>0.14517820120446243</v>
      </c>
      <c r="AB16" s="2093">
        <v>0.24680493851537388</v>
      </c>
    </row>
    <row r="17" spans="2:28">
      <c r="B17" s="89">
        <v>33</v>
      </c>
      <c r="C17" s="1">
        <v>0.65400000000000003</v>
      </c>
      <c r="D17" s="1">
        <v>7.1349999999999998</v>
      </c>
      <c r="E17" s="1">
        <v>1.5660000000000001</v>
      </c>
      <c r="F17" s="1">
        <v>1.5660000000000001</v>
      </c>
      <c r="G17" s="1">
        <v>6.4809999999999999</v>
      </c>
      <c r="H17" s="741">
        <v>0.10091035334053387</v>
      </c>
      <c r="I17" s="741">
        <v>0.24162937818237928</v>
      </c>
      <c r="J17" s="2079">
        <v>0.34253973152291317</v>
      </c>
      <c r="K17" s="89">
        <v>33</v>
      </c>
      <c r="L17" s="1">
        <v>0.76200000000000001</v>
      </c>
      <c r="M17" s="1">
        <v>8.1940000000000008</v>
      </c>
      <c r="N17" s="1419">
        <v>0.40200000000000002</v>
      </c>
      <c r="O17" s="1">
        <v>0.40200000000000002</v>
      </c>
      <c r="P17" s="1">
        <v>7.4320000000000004</v>
      </c>
      <c r="Q17" s="741">
        <v>0.10252960172228202</v>
      </c>
      <c r="R17" s="741">
        <v>5.4090419806243274E-2</v>
      </c>
      <c r="S17" s="2079">
        <v>0.15662002152852531</v>
      </c>
      <c r="T17" s="89">
        <v>33</v>
      </c>
      <c r="U17" s="740">
        <v>0.70799999999999996</v>
      </c>
      <c r="V17" s="740">
        <v>7.6645000000000003</v>
      </c>
      <c r="W17" s="740">
        <v>0.98399999999999999</v>
      </c>
      <c r="X17" s="740">
        <v>0.98399999999999999</v>
      </c>
      <c r="Y17" s="740">
        <v>6.9565000000000001</v>
      </c>
      <c r="Z17" s="2067">
        <v>0.10171997753140795</v>
      </c>
      <c r="AA17" s="2067">
        <v>0.14785989899431129</v>
      </c>
      <c r="AB17" s="2094">
        <v>0.24957987652571922</v>
      </c>
    </row>
    <row r="18" spans="2:28">
      <c r="B18" s="2077">
        <v>34</v>
      </c>
      <c r="C18" s="2069">
        <v>0.67</v>
      </c>
      <c r="D18" s="2069">
        <v>7.3390000000000004</v>
      </c>
      <c r="E18" s="2069">
        <v>1.637</v>
      </c>
      <c r="F18" s="2069">
        <v>1.637</v>
      </c>
      <c r="G18" s="2069">
        <v>6.6690000000000005</v>
      </c>
      <c r="H18" s="2070">
        <v>0.10046483730694257</v>
      </c>
      <c r="I18" s="2070">
        <v>0.2454640875693507</v>
      </c>
      <c r="J18" s="2078">
        <v>0.34592892487629329</v>
      </c>
      <c r="K18" s="2077">
        <v>34</v>
      </c>
      <c r="L18" s="2069">
        <v>0.78200000000000003</v>
      </c>
      <c r="M18" s="2069">
        <v>8.4190000000000005</v>
      </c>
      <c r="N18" s="2071">
        <v>0.42</v>
      </c>
      <c r="O18" s="2069">
        <v>0.42</v>
      </c>
      <c r="P18" s="2069">
        <v>7.6370000000000005</v>
      </c>
      <c r="Q18" s="2070">
        <v>0.1023962288856881</v>
      </c>
      <c r="R18" s="2070">
        <v>5.4995417048579277E-2</v>
      </c>
      <c r="S18" s="2078">
        <v>0.15739164593426738</v>
      </c>
      <c r="T18" s="2077">
        <v>34</v>
      </c>
      <c r="U18" s="1686">
        <v>0.72599999999999998</v>
      </c>
      <c r="V18" s="1686">
        <v>7.8790000000000004</v>
      </c>
      <c r="W18" s="1686">
        <v>1.0285</v>
      </c>
      <c r="X18" s="1686">
        <v>1.0285</v>
      </c>
      <c r="Y18" s="1686">
        <v>7.1530000000000005</v>
      </c>
      <c r="Z18" s="2072">
        <v>0.10143053309631533</v>
      </c>
      <c r="AA18" s="2072">
        <v>0.15022975230896499</v>
      </c>
      <c r="AB18" s="2093">
        <v>0.25166028540528035</v>
      </c>
    </row>
    <row r="19" spans="2:28">
      <c r="B19" s="89">
        <v>35</v>
      </c>
      <c r="C19" s="1">
        <v>0.68400000000000005</v>
      </c>
      <c r="D19" s="1">
        <v>7.5469999999999997</v>
      </c>
      <c r="E19" s="1">
        <v>1.7090000000000001</v>
      </c>
      <c r="F19" s="1">
        <v>1.7090000000000001</v>
      </c>
      <c r="G19" s="1">
        <v>6.8629999999999995</v>
      </c>
      <c r="H19" s="741">
        <v>9.9664869590558078E-2</v>
      </c>
      <c r="I19" s="741">
        <v>0.24901646510272479</v>
      </c>
      <c r="J19" s="2079">
        <v>0.34868133469328288</v>
      </c>
      <c r="K19" s="89">
        <v>35</v>
      </c>
      <c r="L19" s="1">
        <v>0.79800000000000004</v>
      </c>
      <c r="M19" s="1">
        <v>8.6470000000000002</v>
      </c>
      <c r="N19" s="1419">
        <v>0.437</v>
      </c>
      <c r="O19" s="1">
        <v>0.437</v>
      </c>
      <c r="P19" s="1">
        <v>7.8490000000000002</v>
      </c>
      <c r="Q19" s="741">
        <v>0.10166900242069053</v>
      </c>
      <c r="R19" s="741">
        <v>5.5675882277997198E-2</v>
      </c>
      <c r="S19" s="2079">
        <v>0.15734488469868774</v>
      </c>
      <c r="T19" s="89">
        <v>35</v>
      </c>
      <c r="U19" s="740">
        <v>0.7410000000000001</v>
      </c>
      <c r="V19" s="740">
        <v>8.0969999999999995</v>
      </c>
      <c r="W19" s="740">
        <v>1.073</v>
      </c>
      <c r="X19" s="740">
        <v>1.073</v>
      </c>
      <c r="Y19" s="740">
        <v>7.3559999999999999</v>
      </c>
      <c r="Z19" s="2067">
        <v>0.10066693600562431</v>
      </c>
      <c r="AA19" s="2067">
        <v>0.15234617369036099</v>
      </c>
      <c r="AB19" s="2094">
        <v>0.25301310969598534</v>
      </c>
    </row>
    <row r="20" spans="2:28">
      <c r="B20" s="2077">
        <v>36</v>
      </c>
      <c r="C20" s="2069">
        <v>0.69499999999999995</v>
      </c>
      <c r="D20" s="2069">
        <v>7.7590000000000003</v>
      </c>
      <c r="E20" s="2069">
        <v>1.7809999999999999</v>
      </c>
      <c r="F20" s="2069">
        <v>1.7809999999999999</v>
      </c>
      <c r="G20" s="2069">
        <v>7.0640000000000001</v>
      </c>
      <c r="H20" s="2070">
        <v>9.838618346545866E-2</v>
      </c>
      <c r="I20" s="2070">
        <v>0.25212344280860699</v>
      </c>
      <c r="J20" s="2078">
        <v>0.35050962627406568</v>
      </c>
      <c r="K20" s="2077">
        <v>36</v>
      </c>
      <c r="L20" s="2069">
        <v>0.81</v>
      </c>
      <c r="M20" s="2069">
        <v>8.8800000000000008</v>
      </c>
      <c r="N20" s="2071">
        <v>0.45300000000000001</v>
      </c>
      <c r="O20" s="2069">
        <v>0.45300000000000001</v>
      </c>
      <c r="P20" s="2069">
        <v>8.07</v>
      </c>
      <c r="Q20" s="2070">
        <v>0.10037174721189591</v>
      </c>
      <c r="R20" s="2070">
        <v>5.6133828996282525E-2</v>
      </c>
      <c r="S20" s="2078">
        <v>0.15650557620817845</v>
      </c>
      <c r="T20" s="2077">
        <v>36</v>
      </c>
      <c r="U20" s="1686">
        <v>0.75249999999999995</v>
      </c>
      <c r="V20" s="1686">
        <v>8.3195000000000014</v>
      </c>
      <c r="W20" s="1686">
        <v>1.117</v>
      </c>
      <c r="X20" s="1686">
        <v>1.117</v>
      </c>
      <c r="Y20" s="1686">
        <v>7.5670000000000002</v>
      </c>
      <c r="Z20" s="2072">
        <v>9.9378965338677294E-2</v>
      </c>
      <c r="AA20" s="2072">
        <v>0.15412863590244474</v>
      </c>
      <c r="AB20" s="2093">
        <v>0.25350760124112204</v>
      </c>
    </row>
    <row r="21" spans="2:28">
      <c r="B21" s="89">
        <v>37</v>
      </c>
      <c r="C21" s="1">
        <v>0.70099999999999996</v>
      </c>
      <c r="D21" s="1">
        <v>7.9740000000000002</v>
      </c>
      <c r="E21" s="1">
        <v>1.853</v>
      </c>
      <c r="F21" s="1">
        <v>1.853</v>
      </c>
      <c r="G21" s="1">
        <v>7.2730000000000006</v>
      </c>
      <c r="H21" s="741">
        <v>9.6383885604289829E-2</v>
      </c>
      <c r="I21" s="741">
        <v>0.25477794582703145</v>
      </c>
      <c r="J21" s="2079">
        <v>0.35116183143132129</v>
      </c>
      <c r="K21" s="89">
        <v>37</v>
      </c>
      <c r="L21" s="1">
        <v>0.81599999999999995</v>
      </c>
      <c r="M21" s="1">
        <v>9.1150000000000002</v>
      </c>
      <c r="N21" s="1419">
        <v>0.46899999999999997</v>
      </c>
      <c r="O21" s="1">
        <v>0.46899999999999997</v>
      </c>
      <c r="P21" s="1">
        <v>8.2989999999999995</v>
      </c>
      <c r="Q21" s="741">
        <v>9.8325099409567421E-2</v>
      </c>
      <c r="R21" s="741">
        <v>5.6512832871430295E-2</v>
      </c>
      <c r="S21" s="2079">
        <v>0.15483793228099771</v>
      </c>
      <c r="T21" s="89">
        <v>37</v>
      </c>
      <c r="U21" s="740">
        <v>0.75849999999999995</v>
      </c>
      <c r="V21" s="740">
        <v>8.5444999999999993</v>
      </c>
      <c r="W21" s="740">
        <v>1.161</v>
      </c>
      <c r="X21" s="740">
        <v>1.161</v>
      </c>
      <c r="Y21" s="740">
        <v>7.7859999999999996</v>
      </c>
      <c r="Z21" s="2067">
        <v>9.7354492506928625E-2</v>
      </c>
      <c r="AA21" s="2067">
        <v>0.15564538934923086</v>
      </c>
      <c r="AB21" s="2094">
        <v>0.25299988185615951</v>
      </c>
    </row>
    <row r="22" spans="2:28">
      <c r="B22" s="2077">
        <v>38</v>
      </c>
      <c r="C22" s="2069">
        <v>0.70099999999999996</v>
      </c>
      <c r="D22" s="2069">
        <v>8.1920000000000002</v>
      </c>
      <c r="E22" s="2069">
        <v>1.925</v>
      </c>
      <c r="F22" s="2069">
        <v>1.925</v>
      </c>
      <c r="G22" s="2069">
        <v>7.4910000000000005</v>
      </c>
      <c r="H22" s="2070">
        <v>9.3578961420371101E-2</v>
      </c>
      <c r="I22" s="2070">
        <v>0.25697503671071953</v>
      </c>
      <c r="J22" s="2078">
        <v>0.35055399813109062</v>
      </c>
      <c r="K22" s="2077">
        <v>38</v>
      </c>
      <c r="L22" s="2069">
        <v>0.81599999999999995</v>
      </c>
      <c r="M22" s="2069">
        <v>9.3539999999999992</v>
      </c>
      <c r="N22" s="2071">
        <v>0.48299999999999998</v>
      </c>
      <c r="O22" s="2069">
        <v>0.48299999999999998</v>
      </c>
      <c r="P22" s="2069">
        <v>8.5379999999999985</v>
      </c>
      <c r="Q22" s="2070">
        <v>9.5572733661278997E-2</v>
      </c>
      <c r="R22" s="2070">
        <v>5.6570625439212936E-2</v>
      </c>
      <c r="S22" s="2078">
        <v>0.15214335910049193</v>
      </c>
      <c r="T22" s="2077">
        <v>38</v>
      </c>
      <c r="U22" s="1686">
        <v>0.75849999999999995</v>
      </c>
      <c r="V22" s="1686">
        <v>8.7729999999999997</v>
      </c>
      <c r="W22" s="1686">
        <v>1.204</v>
      </c>
      <c r="X22" s="1686">
        <v>1.204</v>
      </c>
      <c r="Y22" s="1686">
        <v>8.0145</v>
      </c>
      <c r="Z22" s="2072">
        <v>9.4575847540825042E-2</v>
      </c>
      <c r="AA22" s="2072">
        <v>0.15677283107496623</v>
      </c>
      <c r="AB22" s="2093">
        <v>0.25134867861579124</v>
      </c>
    </row>
    <row r="23" spans="2:28">
      <c r="B23" s="89">
        <v>39</v>
      </c>
      <c r="C23" s="1">
        <v>0.69599999999999995</v>
      </c>
      <c r="D23" s="1">
        <v>8.4139999999999997</v>
      </c>
      <c r="E23" s="1">
        <v>1.9970000000000001</v>
      </c>
      <c r="F23" s="1">
        <v>1.9970000000000001</v>
      </c>
      <c r="G23" s="1">
        <v>7.718</v>
      </c>
      <c r="H23" s="741">
        <v>9.0178802798652494E-2</v>
      </c>
      <c r="I23" s="741">
        <v>0.2587457890645245</v>
      </c>
      <c r="J23" s="2079">
        <v>0.34892459186317698</v>
      </c>
      <c r="K23" s="89">
        <v>39</v>
      </c>
      <c r="L23" s="1">
        <v>0.81</v>
      </c>
      <c r="M23" s="1">
        <v>9.5960000000000001</v>
      </c>
      <c r="N23" s="1419">
        <v>0.497</v>
      </c>
      <c r="O23" s="1">
        <v>0.497</v>
      </c>
      <c r="P23" s="1">
        <v>8.7859999999999996</v>
      </c>
      <c r="Q23" s="741">
        <v>9.2192123833371289E-2</v>
      </c>
      <c r="R23" s="741">
        <v>5.6567266105167317E-2</v>
      </c>
      <c r="S23" s="2079">
        <v>0.1487593899385386</v>
      </c>
      <c r="T23" s="89">
        <v>39</v>
      </c>
      <c r="U23" s="740">
        <v>0.753</v>
      </c>
      <c r="V23" s="740">
        <v>9.004999999999999</v>
      </c>
      <c r="W23" s="740">
        <v>1.2470000000000001</v>
      </c>
      <c r="X23" s="740">
        <v>1.2470000000000001</v>
      </c>
      <c r="Y23" s="740">
        <v>8.2519999999999989</v>
      </c>
      <c r="Z23" s="2067">
        <v>9.1185463316011892E-2</v>
      </c>
      <c r="AA23" s="2067">
        <v>0.15765652758484591</v>
      </c>
      <c r="AB23" s="2094">
        <v>0.24884199090085779</v>
      </c>
    </row>
    <row r="24" spans="2:28">
      <c r="B24" s="2077">
        <v>40</v>
      </c>
      <c r="C24" s="2069">
        <v>0.68799999999999994</v>
      </c>
      <c r="D24" s="2069">
        <v>8.64</v>
      </c>
      <c r="E24" s="2069">
        <v>2.069</v>
      </c>
      <c r="F24" s="2069">
        <v>2.069</v>
      </c>
      <c r="G24" s="2069">
        <v>7.9520000000000008</v>
      </c>
      <c r="H24" s="2070">
        <v>8.6519114688128756E-2</v>
      </c>
      <c r="I24" s="2070">
        <v>0.2601861167002012</v>
      </c>
      <c r="J24" s="2078">
        <v>0.34670523138832998</v>
      </c>
      <c r="K24" s="2077">
        <v>40</v>
      </c>
      <c r="L24" s="2069">
        <v>0.79800000000000004</v>
      </c>
      <c r="M24" s="2069">
        <v>9.8420000000000005</v>
      </c>
      <c r="N24" s="2071">
        <v>0.51100000000000001</v>
      </c>
      <c r="O24" s="2069">
        <v>0.51100000000000001</v>
      </c>
      <c r="P24" s="2069">
        <v>9.0440000000000005</v>
      </c>
      <c r="Q24" s="2070">
        <v>8.8235294117647065E-2</v>
      </c>
      <c r="R24" s="2070">
        <v>5.6501547987616099E-2</v>
      </c>
      <c r="S24" s="2078">
        <v>0.14473684210526316</v>
      </c>
      <c r="T24" s="2077">
        <v>40</v>
      </c>
      <c r="U24" s="1686">
        <v>0.74299999999999999</v>
      </c>
      <c r="V24" s="1686">
        <v>9.2409999999999997</v>
      </c>
      <c r="W24" s="1686">
        <v>1.29</v>
      </c>
      <c r="X24" s="1686">
        <v>1.29</v>
      </c>
      <c r="Y24" s="1686">
        <v>8.4980000000000011</v>
      </c>
      <c r="Z24" s="2072">
        <v>8.7377204402887904E-2</v>
      </c>
      <c r="AA24" s="2072">
        <v>0.15834383234390864</v>
      </c>
      <c r="AB24" s="2093">
        <v>0.24572103674679657</v>
      </c>
    </row>
    <row r="25" spans="2:28">
      <c r="B25" s="89">
        <v>41</v>
      </c>
      <c r="C25" s="1">
        <v>0.67700000000000005</v>
      </c>
      <c r="D25" s="1">
        <v>8.8729999999999993</v>
      </c>
      <c r="E25" s="1">
        <v>2.1429999999999998</v>
      </c>
      <c r="F25" s="1">
        <v>2.1429999999999998</v>
      </c>
      <c r="G25" s="1">
        <v>8.1959999999999997</v>
      </c>
      <c r="H25" s="741">
        <v>8.2601268911664236E-2</v>
      </c>
      <c r="I25" s="741">
        <v>0.26146900927281597</v>
      </c>
      <c r="J25" s="2079">
        <v>0.34407027818448022</v>
      </c>
      <c r="K25" s="89">
        <v>41</v>
      </c>
      <c r="L25" s="1">
        <v>0.78300000000000003</v>
      </c>
      <c r="M25" s="1">
        <v>10.095000000000001</v>
      </c>
      <c r="N25" s="1419">
        <v>0.52400000000000002</v>
      </c>
      <c r="O25" s="1">
        <v>0.52400000000000002</v>
      </c>
      <c r="P25" s="1">
        <v>9.3120000000000012</v>
      </c>
      <c r="Q25" s="741">
        <v>8.4085051546391745E-2</v>
      </c>
      <c r="R25" s="741">
        <v>5.6271477663230235E-2</v>
      </c>
      <c r="S25" s="2079">
        <v>0.14035652920962199</v>
      </c>
      <c r="T25" s="89">
        <v>41</v>
      </c>
      <c r="U25" s="740">
        <v>0.73</v>
      </c>
      <c r="V25" s="740">
        <v>9.484</v>
      </c>
      <c r="W25" s="740">
        <v>1.3334999999999999</v>
      </c>
      <c r="X25" s="740">
        <v>1.3334999999999999</v>
      </c>
      <c r="Y25" s="740">
        <v>8.7540000000000013</v>
      </c>
      <c r="Z25" s="2067">
        <v>8.334316022902799E-2</v>
      </c>
      <c r="AA25" s="2067">
        <v>0.15887024346802309</v>
      </c>
      <c r="AB25" s="2094">
        <v>0.24221340369705111</v>
      </c>
    </row>
    <row r="26" spans="2:28">
      <c r="B26" s="2077">
        <v>42</v>
      </c>
      <c r="C26" s="2069">
        <v>0.66500000000000004</v>
      </c>
      <c r="D26" s="2069">
        <v>9.1140000000000008</v>
      </c>
      <c r="E26" s="2069">
        <v>2.218</v>
      </c>
      <c r="F26" s="2069">
        <v>2.218</v>
      </c>
      <c r="G26" s="2069">
        <v>8.4490000000000016</v>
      </c>
      <c r="H26" s="2070">
        <v>7.8707539353769659E-2</v>
      </c>
      <c r="I26" s="2070">
        <v>0.26251627411527984</v>
      </c>
      <c r="J26" s="2078">
        <v>0.34122381346904951</v>
      </c>
      <c r="K26" s="2077">
        <v>42</v>
      </c>
      <c r="L26" s="2069">
        <v>0.76500000000000001</v>
      </c>
      <c r="M26" s="2069">
        <v>10.353999999999999</v>
      </c>
      <c r="N26" s="2071">
        <v>0.53700000000000003</v>
      </c>
      <c r="O26" s="2069">
        <v>0.53700000000000003</v>
      </c>
      <c r="P26" s="2069">
        <v>9.5889999999999986</v>
      </c>
      <c r="Q26" s="2070">
        <v>7.977891333820003E-2</v>
      </c>
      <c r="R26" s="2070">
        <v>5.6001668578579633E-2</v>
      </c>
      <c r="S26" s="2078">
        <v>0.13578058191677966</v>
      </c>
      <c r="T26" s="2077">
        <v>42</v>
      </c>
      <c r="U26" s="1686">
        <v>0.71500000000000008</v>
      </c>
      <c r="V26" s="1686">
        <v>9.734</v>
      </c>
      <c r="W26" s="1686">
        <v>1.3774999999999999</v>
      </c>
      <c r="X26" s="1686">
        <v>1.3774999999999999</v>
      </c>
      <c r="Y26" s="1686">
        <v>9.0190000000000001</v>
      </c>
      <c r="Z26" s="2072">
        <v>7.9243226345984852E-2</v>
      </c>
      <c r="AA26" s="2072">
        <v>0.15925897134692973</v>
      </c>
      <c r="AB26" s="2093">
        <v>0.23850219769291459</v>
      </c>
    </row>
    <row r="27" spans="2:28">
      <c r="B27" s="89">
        <v>43</v>
      </c>
      <c r="C27" s="1">
        <v>0.65300000000000002</v>
      </c>
      <c r="D27" s="1">
        <v>9.3640000000000008</v>
      </c>
      <c r="E27" s="1">
        <v>2.294</v>
      </c>
      <c r="F27" s="1">
        <v>2.294</v>
      </c>
      <c r="G27" s="1">
        <v>8.7110000000000003</v>
      </c>
      <c r="H27" s="741">
        <v>7.4962690850648606E-2</v>
      </c>
      <c r="I27" s="741">
        <v>0.26334519572953735</v>
      </c>
      <c r="J27" s="2079">
        <v>0.33830788658018596</v>
      </c>
      <c r="K27" s="89">
        <v>43</v>
      </c>
      <c r="L27" s="1">
        <v>0.745</v>
      </c>
      <c r="M27" s="1">
        <v>10.622</v>
      </c>
      <c r="N27" s="1419">
        <v>0.54900000000000004</v>
      </c>
      <c r="O27" s="1">
        <v>0.54900000000000004</v>
      </c>
      <c r="P27" s="1">
        <v>9.8770000000000007</v>
      </c>
      <c r="Q27" s="741">
        <v>7.5427761466032195E-2</v>
      </c>
      <c r="R27" s="741">
        <v>5.5583679254834463E-2</v>
      </c>
      <c r="S27" s="2079">
        <v>0.13101144072086665</v>
      </c>
      <c r="T27" s="89">
        <v>43</v>
      </c>
      <c r="U27" s="740">
        <v>0.69900000000000007</v>
      </c>
      <c r="V27" s="740">
        <v>9.9930000000000003</v>
      </c>
      <c r="W27" s="740">
        <v>1.4215</v>
      </c>
      <c r="X27" s="740">
        <v>1.4215</v>
      </c>
      <c r="Y27" s="740">
        <v>9.2940000000000005</v>
      </c>
      <c r="Z27" s="2067">
        <v>7.51952261583404E-2</v>
      </c>
      <c r="AA27" s="2067">
        <v>0.15946443749218592</v>
      </c>
      <c r="AB27" s="2094">
        <v>0.23465966365052632</v>
      </c>
    </row>
    <row r="28" spans="2:28">
      <c r="B28" s="2077">
        <v>44</v>
      </c>
      <c r="C28" s="2069">
        <v>0.64100000000000001</v>
      </c>
      <c r="D28" s="2069">
        <v>9.6219999999999999</v>
      </c>
      <c r="E28" s="2069">
        <v>2.37</v>
      </c>
      <c r="F28" s="2069">
        <v>2.37</v>
      </c>
      <c r="G28" s="2069">
        <v>8.9809999999999999</v>
      </c>
      <c r="H28" s="2070">
        <v>7.1372898340941987E-2</v>
      </c>
      <c r="I28" s="2070">
        <v>0.26389043536354528</v>
      </c>
      <c r="J28" s="2078">
        <v>0.33526333370448724</v>
      </c>
      <c r="K28" s="2077">
        <v>44</v>
      </c>
      <c r="L28" s="2069">
        <v>0.72299999999999998</v>
      </c>
      <c r="M28" s="2069">
        <v>10.898</v>
      </c>
      <c r="N28" s="2071">
        <v>0.56200000000000006</v>
      </c>
      <c r="O28" s="2069">
        <v>0.56200000000000006</v>
      </c>
      <c r="P28" s="2069">
        <v>10.174999999999999</v>
      </c>
      <c r="Q28" s="2070">
        <v>7.1056511056511062E-2</v>
      </c>
      <c r="R28" s="2070">
        <v>5.5233415233415246E-2</v>
      </c>
      <c r="S28" s="2078">
        <v>0.1262899262899263</v>
      </c>
      <c r="T28" s="2077">
        <v>44</v>
      </c>
      <c r="U28" s="1686">
        <v>0.68199999999999994</v>
      </c>
      <c r="V28" s="1686">
        <v>10.26</v>
      </c>
      <c r="W28" s="1686">
        <v>1.4660000000000002</v>
      </c>
      <c r="X28" s="1686">
        <v>1.4660000000000002</v>
      </c>
      <c r="Y28" s="1686">
        <v>9.5779999999999994</v>
      </c>
      <c r="Z28" s="2072">
        <v>7.1214704698726525E-2</v>
      </c>
      <c r="AA28" s="2072">
        <v>0.15956192529848026</v>
      </c>
      <c r="AB28" s="2093">
        <v>0.23077662999720677</v>
      </c>
    </row>
    <row r="29" spans="2:28">
      <c r="B29" s="89">
        <v>45</v>
      </c>
      <c r="C29" s="1">
        <v>0.627</v>
      </c>
      <c r="D29" s="1">
        <v>9.89</v>
      </c>
      <c r="E29" s="1">
        <v>2.4470000000000001</v>
      </c>
      <c r="F29" s="1">
        <v>2.4470000000000001</v>
      </c>
      <c r="G29" s="1">
        <v>9.2629999999999999</v>
      </c>
      <c r="H29" s="741">
        <v>6.7688653783871316E-2</v>
      </c>
      <c r="I29" s="741">
        <v>0.26416927561265252</v>
      </c>
      <c r="J29" s="2079">
        <v>0.33185792939652381</v>
      </c>
      <c r="K29" s="89">
        <v>45</v>
      </c>
      <c r="L29" s="1">
        <v>0.69899999999999995</v>
      </c>
      <c r="M29" s="1">
        <v>11.183</v>
      </c>
      <c r="N29" s="1419">
        <v>0.57399999999999995</v>
      </c>
      <c r="O29" s="1">
        <v>0.57399999999999995</v>
      </c>
      <c r="P29" s="1">
        <v>10.484</v>
      </c>
      <c r="Q29" s="741">
        <v>6.6673025562762306E-2</v>
      </c>
      <c r="R29" s="741">
        <v>5.475009538344143E-2</v>
      </c>
      <c r="S29" s="2079">
        <v>0.12142312094620374</v>
      </c>
      <c r="T29" s="89">
        <v>45</v>
      </c>
      <c r="U29" s="740">
        <v>0.66300000000000003</v>
      </c>
      <c r="V29" s="740">
        <v>10.5365</v>
      </c>
      <c r="W29" s="740">
        <v>1.5105</v>
      </c>
      <c r="X29" s="740">
        <v>1.5105</v>
      </c>
      <c r="Y29" s="740">
        <v>9.8734999999999999</v>
      </c>
      <c r="Z29" s="2067">
        <v>6.7180839673316811E-2</v>
      </c>
      <c r="AA29" s="2067">
        <v>0.15945968549804698</v>
      </c>
      <c r="AB29" s="2094">
        <v>0.22664052517136377</v>
      </c>
    </row>
    <row r="30" spans="2:28">
      <c r="B30" s="2077">
        <v>46</v>
      </c>
      <c r="C30" s="2069">
        <v>0.61199999999999999</v>
      </c>
      <c r="D30" s="2069">
        <v>10.167999999999999</v>
      </c>
      <c r="E30" s="2069">
        <v>2.524</v>
      </c>
      <c r="F30" s="2069">
        <v>2.524</v>
      </c>
      <c r="G30" s="2069">
        <v>9.5559999999999992</v>
      </c>
      <c r="H30" s="2070">
        <v>6.4043532858936797E-2</v>
      </c>
      <c r="I30" s="2070">
        <v>0.26412724989535374</v>
      </c>
      <c r="J30" s="2078">
        <v>0.32817078275429057</v>
      </c>
      <c r="K30" s="2077">
        <v>46</v>
      </c>
      <c r="L30" s="2069">
        <v>0.67300000000000004</v>
      </c>
      <c r="M30" s="2069">
        <v>11.478</v>
      </c>
      <c r="N30" s="2071">
        <v>0.58499999999999996</v>
      </c>
      <c r="O30" s="2069">
        <v>0.58499999999999996</v>
      </c>
      <c r="P30" s="2069">
        <v>10.805</v>
      </c>
      <c r="Q30" s="2070">
        <v>6.2285978713558544E-2</v>
      </c>
      <c r="R30" s="2070">
        <v>5.4141601110596946E-2</v>
      </c>
      <c r="S30" s="2078">
        <v>0.1164275798241555</v>
      </c>
      <c r="T30" s="2077">
        <v>46</v>
      </c>
      <c r="U30" s="1686">
        <v>0.64250000000000007</v>
      </c>
      <c r="V30" s="1686">
        <v>10.823</v>
      </c>
      <c r="W30" s="1686">
        <v>1.5545</v>
      </c>
      <c r="X30" s="1686">
        <v>1.5545</v>
      </c>
      <c r="Y30" s="1686">
        <v>10.180499999999999</v>
      </c>
      <c r="Z30" s="2072">
        <v>6.3164755786247667E-2</v>
      </c>
      <c r="AA30" s="2072">
        <v>0.15913442550297535</v>
      </c>
      <c r="AB30" s="2093">
        <v>0.22229918128922305</v>
      </c>
    </row>
    <row r="31" spans="2:28">
      <c r="B31" s="89">
        <v>47</v>
      </c>
      <c r="C31" s="1">
        <v>0.59399999999999997</v>
      </c>
      <c r="D31" s="1">
        <v>10.454000000000001</v>
      </c>
      <c r="E31" s="1">
        <v>2.6</v>
      </c>
      <c r="F31" s="1">
        <v>2.6</v>
      </c>
      <c r="G31" s="1">
        <v>9.8600000000000012</v>
      </c>
      <c r="H31" s="741">
        <v>6.0243407707910743E-2</v>
      </c>
      <c r="I31" s="741">
        <v>0.26369168356997968</v>
      </c>
      <c r="J31" s="2079">
        <v>0.32393509127789044</v>
      </c>
      <c r="K31" s="89">
        <v>47</v>
      </c>
      <c r="L31" s="1">
        <v>0.64600000000000002</v>
      </c>
      <c r="M31" s="1">
        <v>11.781000000000001</v>
      </c>
      <c r="N31" s="1419">
        <v>0.59699999999999998</v>
      </c>
      <c r="O31" s="1">
        <v>0.59699999999999998</v>
      </c>
      <c r="P31" s="1">
        <v>11.135</v>
      </c>
      <c r="Q31" s="741">
        <v>5.8015267175572524E-2</v>
      </c>
      <c r="R31" s="741">
        <v>5.3614728334081721E-2</v>
      </c>
      <c r="S31" s="2079">
        <v>0.11162999550965425</v>
      </c>
      <c r="T31" s="89">
        <v>47</v>
      </c>
      <c r="U31" s="740">
        <v>0.62</v>
      </c>
      <c r="V31" s="740">
        <v>11.1175</v>
      </c>
      <c r="W31" s="740">
        <v>1.5985</v>
      </c>
      <c r="X31" s="740">
        <v>1.5985</v>
      </c>
      <c r="Y31" s="740">
        <v>10.4975</v>
      </c>
      <c r="Z31" s="2067">
        <v>5.9129337441741633E-2</v>
      </c>
      <c r="AA31" s="2067">
        <v>0.1586532059520307</v>
      </c>
      <c r="AB31" s="2094">
        <v>0.21778254339377234</v>
      </c>
    </row>
    <row r="32" spans="2:28">
      <c r="B32" s="2077">
        <v>48</v>
      </c>
      <c r="C32" s="2069">
        <v>0.57299999999999995</v>
      </c>
      <c r="D32" s="2069">
        <v>10.75</v>
      </c>
      <c r="E32" s="2069">
        <v>2.6760000000000002</v>
      </c>
      <c r="F32" s="2069">
        <v>2.6760000000000002</v>
      </c>
      <c r="G32" s="2069">
        <v>10.177</v>
      </c>
      <c r="H32" s="2070">
        <v>5.6303429301365823E-2</v>
      </c>
      <c r="I32" s="2070">
        <v>0.26294585830794931</v>
      </c>
      <c r="J32" s="2078">
        <v>0.31924928760931515</v>
      </c>
      <c r="K32" s="2077">
        <v>48</v>
      </c>
      <c r="L32" s="2069">
        <v>0.61499999999999999</v>
      </c>
      <c r="M32" s="2069">
        <v>12.095000000000001</v>
      </c>
      <c r="N32" s="2071">
        <v>0.60699999999999998</v>
      </c>
      <c r="O32" s="2069">
        <v>0.60699999999999998</v>
      </c>
      <c r="P32" s="2069">
        <v>11.48</v>
      </c>
      <c r="Q32" s="2070">
        <v>5.3571428571428568E-2</v>
      </c>
      <c r="R32" s="2070">
        <v>5.2874564459930308E-2</v>
      </c>
      <c r="S32" s="2078">
        <v>0.10644599303135888</v>
      </c>
      <c r="T32" s="2077">
        <v>48</v>
      </c>
      <c r="U32" s="1686">
        <v>0.59399999999999997</v>
      </c>
      <c r="V32" s="1686">
        <v>11.422499999999999</v>
      </c>
      <c r="W32" s="1686">
        <v>1.6415000000000002</v>
      </c>
      <c r="X32" s="1686">
        <v>1.6415000000000002</v>
      </c>
      <c r="Y32" s="1686">
        <v>10.8285</v>
      </c>
      <c r="Z32" s="2072">
        <v>5.4937428936397192E-2</v>
      </c>
      <c r="AA32" s="2072">
        <v>0.15791021138393982</v>
      </c>
      <c r="AB32" s="2093">
        <v>0.21284764032033701</v>
      </c>
    </row>
    <row r="33" spans="2:28">
      <c r="B33" s="89">
        <v>49</v>
      </c>
      <c r="C33" s="1">
        <v>0.54800000000000004</v>
      </c>
      <c r="D33" s="1">
        <v>11.055</v>
      </c>
      <c r="E33" s="1">
        <v>2.75</v>
      </c>
      <c r="F33" s="1">
        <v>2.75</v>
      </c>
      <c r="G33" s="1">
        <v>10.507</v>
      </c>
      <c r="H33" s="741">
        <v>5.2155705719996198E-2</v>
      </c>
      <c r="I33" s="741">
        <v>0.2617302750547254</v>
      </c>
      <c r="J33" s="2079">
        <v>0.31388598077472163</v>
      </c>
      <c r="K33" s="89">
        <v>49</v>
      </c>
      <c r="L33" s="1">
        <v>0.58199999999999996</v>
      </c>
      <c r="M33" s="1">
        <v>12.417</v>
      </c>
      <c r="N33" s="1419">
        <v>0.61699999999999999</v>
      </c>
      <c r="O33" s="1">
        <v>0.61699999999999999</v>
      </c>
      <c r="P33" s="1">
        <v>11.834999999999999</v>
      </c>
      <c r="Q33" s="741">
        <v>4.9176172370088721E-2</v>
      </c>
      <c r="R33" s="741">
        <v>5.2133502323616396E-2</v>
      </c>
      <c r="S33" s="2079">
        <v>0.10130967469370511</v>
      </c>
      <c r="T33" s="89">
        <v>49</v>
      </c>
      <c r="U33" s="740">
        <v>0.56499999999999995</v>
      </c>
      <c r="V33" s="740">
        <v>11.736000000000001</v>
      </c>
      <c r="W33" s="740">
        <v>1.6835</v>
      </c>
      <c r="X33" s="740">
        <v>1.6835</v>
      </c>
      <c r="Y33" s="740">
        <v>11.170999999999999</v>
      </c>
      <c r="Z33" s="2067">
        <v>5.0665939045042463E-2</v>
      </c>
      <c r="AA33" s="2067">
        <v>0.15693188868917091</v>
      </c>
      <c r="AB33" s="2094">
        <v>0.20759782773421337</v>
      </c>
    </row>
    <row r="34" spans="2:28">
      <c r="B34" s="2077">
        <v>50</v>
      </c>
      <c r="C34" s="2069">
        <v>0.51900000000000002</v>
      </c>
      <c r="D34" s="2069">
        <v>11.37</v>
      </c>
      <c r="E34" s="2069">
        <v>2.8210000000000002</v>
      </c>
      <c r="F34" s="2069">
        <v>2.8210000000000002</v>
      </c>
      <c r="G34" s="2069">
        <v>10.850999999999999</v>
      </c>
      <c r="H34" s="2070">
        <v>4.7829693115841863E-2</v>
      </c>
      <c r="I34" s="2070">
        <v>0.25997603907473971</v>
      </c>
      <c r="J34" s="2078">
        <v>0.30780573219058155</v>
      </c>
      <c r="K34" s="2077">
        <v>50</v>
      </c>
      <c r="L34" s="2069">
        <v>0.54500000000000004</v>
      </c>
      <c r="M34" s="2069">
        <v>12.75</v>
      </c>
      <c r="N34" s="2071">
        <v>0.626</v>
      </c>
      <c r="O34" s="2069">
        <v>0.626</v>
      </c>
      <c r="P34" s="2069">
        <v>12.205</v>
      </c>
      <c r="Q34" s="2070">
        <v>4.4653830397378129E-2</v>
      </c>
      <c r="R34" s="2070">
        <v>5.1290454731667351E-2</v>
      </c>
      <c r="S34" s="2078">
        <v>9.5944285129045487E-2</v>
      </c>
      <c r="T34" s="2077">
        <v>50</v>
      </c>
      <c r="U34" s="1686">
        <v>0.53200000000000003</v>
      </c>
      <c r="V34" s="1686">
        <v>12.059999999999999</v>
      </c>
      <c r="W34" s="1686">
        <v>1.7235</v>
      </c>
      <c r="X34" s="1686">
        <v>1.7235</v>
      </c>
      <c r="Y34" s="1686">
        <v>11.527999999999999</v>
      </c>
      <c r="Z34" s="2072">
        <v>4.6241761756609996E-2</v>
      </c>
      <c r="AA34" s="2072">
        <v>0.15563324690320351</v>
      </c>
      <c r="AB34" s="2093">
        <v>0.2018750086598135</v>
      </c>
    </row>
    <row r="35" spans="2:28">
      <c r="B35" s="89">
        <v>51</v>
      </c>
      <c r="C35" s="1">
        <v>0.48499999999999999</v>
      </c>
      <c r="D35" s="1">
        <v>11.695</v>
      </c>
      <c r="E35" s="1">
        <v>2.891</v>
      </c>
      <c r="F35" s="1">
        <v>2.891</v>
      </c>
      <c r="G35" s="1">
        <v>11.21</v>
      </c>
      <c r="H35" s="741">
        <v>4.3264942016057087E-2</v>
      </c>
      <c r="I35" s="741">
        <v>0.25789473684210523</v>
      </c>
      <c r="J35" s="2079">
        <v>0.30115967885816231</v>
      </c>
      <c r="K35" s="89">
        <v>51</v>
      </c>
      <c r="L35" s="1">
        <v>0.504</v>
      </c>
      <c r="M35" s="1">
        <v>13.092000000000001</v>
      </c>
      <c r="N35" s="1419">
        <v>0.63300000000000001</v>
      </c>
      <c r="O35" s="1">
        <v>0.63300000000000001</v>
      </c>
      <c r="P35" s="1">
        <v>12.588000000000001</v>
      </c>
      <c r="Q35" s="741">
        <v>4.0038131553860816E-2</v>
      </c>
      <c r="R35" s="741">
        <v>5.0285986653956144E-2</v>
      </c>
      <c r="S35" s="2079">
        <v>9.0324118207816967E-2</v>
      </c>
      <c r="T35" s="89">
        <v>51</v>
      </c>
      <c r="U35" s="740">
        <v>0.4945</v>
      </c>
      <c r="V35" s="740">
        <v>12.3935</v>
      </c>
      <c r="W35" s="740">
        <v>1.762</v>
      </c>
      <c r="X35" s="740">
        <v>1.762</v>
      </c>
      <c r="Y35" s="740">
        <v>11.899000000000001</v>
      </c>
      <c r="Z35" s="2067">
        <v>4.1651536784958948E-2</v>
      </c>
      <c r="AA35" s="2067">
        <v>0.1540903617480307</v>
      </c>
      <c r="AB35" s="2094">
        <v>0.19574189853298962</v>
      </c>
    </row>
    <row r="36" spans="2:28">
      <c r="B36" s="2077">
        <v>52</v>
      </c>
      <c r="C36" s="2069">
        <v>0.44700000000000001</v>
      </c>
      <c r="D36" s="2069">
        <v>12.032</v>
      </c>
      <c r="E36" s="2069">
        <v>2.9590000000000001</v>
      </c>
      <c r="F36" s="2069">
        <v>2.9590000000000001</v>
      </c>
      <c r="G36" s="2069">
        <v>11.585000000000001</v>
      </c>
      <c r="H36" s="2070">
        <v>3.8584376348726801E-2</v>
      </c>
      <c r="I36" s="2070">
        <v>0.25541648683642643</v>
      </c>
      <c r="J36" s="2078">
        <v>0.29400086318515323</v>
      </c>
      <c r="K36" s="2077">
        <v>52</v>
      </c>
      <c r="L36" s="2069">
        <v>0.45900000000000002</v>
      </c>
      <c r="M36" s="2069">
        <v>13.445</v>
      </c>
      <c r="N36" s="2071">
        <v>0.64</v>
      </c>
      <c r="O36" s="2069">
        <v>0.64</v>
      </c>
      <c r="P36" s="2069">
        <v>12.986000000000001</v>
      </c>
      <c r="Q36" s="2070">
        <v>3.5345756969043587E-2</v>
      </c>
      <c r="R36" s="2070">
        <v>4.9283844139842908E-2</v>
      </c>
      <c r="S36" s="2078">
        <v>8.4629601108886496E-2</v>
      </c>
      <c r="T36" s="2077">
        <v>52</v>
      </c>
      <c r="U36" s="1686">
        <v>0.45300000000000001</v>
      </c>
      <c r="V36" s="1686">
        <v>12.7385</v>
      </c>
      <c r="W36" s="1686">
        <v>1.7995000000000001</v>
      </c>
      <c r="X36" s="1686">
        <v>1.7995000000000001</v>
      </c>
      <c r="Y36" s="1686">
        <v>12.285500000000001</v>
      </c>
      <c r="Z36" s="2072">
        <v>3.6965066658885194E-2</v>
      </c>
      <c r="AA36" s="2072">
        <v>0.15235016548813468</v>
      </c>
      <c r="AB36" s="2093">
        <v>0.18931523214701987</v>
      </c>
    </row>
    <row r="37" spans="2:28">
      <c r="B37" s="89">
        <v>53</v>
      </c>
      <c r="C37" s="1">
        <v>0.40500000000000003</v>
      </c>
      <c r="D37" s="1">
        <v>12.381</v>
      </c>
      <c r="E37" s="1">
        <v>3.0249999999999999</v>
      </c>
      <c r="F37" s="1">
        <v>3.0249999999999999</v>
      </c>
      <c r="G37" s="1">
        <v>11.976000000000001</v>
      </c>
      <c r="H37" s="741">
        <v>3.3817635270541081E-2</v>
      </c>
      <c r="I37" s="741">
        <v>0.2525885103540414</v>
      </c>
      <c r="J37" s="2079">
        <v>0.2864061456245825</v>
      </c>
      <c r="K37" s="89">
        <v>53</v>
      </c>
      <c r="L37" s="1">
        <v>0.41099999999999998</v>
      </c>
      <c r="M37" s="1">
        <v>13.808</v>
      </c>
      <c r="N37" s="1419">
        <v>0.64500000000000002</v>
      </c>
      <c r="O37" s="1">
        <v>0.64500000000000002</v>
      </c>
      <c r="P37" s="1">
        <v>13.397</v>
      </c>
      <c r="Q37" s="741">
        <v>3.0678510114204669E-2</v>
      </c>
      <c r="R37" s="741">
        <v>4.8145107113532884E-2</v>
      </c>
      <c r="S37" s="2079">
        <v>7.882361722773755E-2</v>
      </c>
      <c r="T37" s="89">
        <v>53</v>
      </c>
      <c r="U37" s="740">
        <v>0.40800000000000003</v>
      </c>
      <c r="V37" s="740">
        <v>13.0945</v>
      </c>
      <c r="W37" s="740">
        <v>1.835</v>
      </c>
      <c r="X37" s="740">
        <v>1.835</v>
      </c>
      <c r="Y37" s="740">
        <v>12.686500000000001</v>
      </c>
      <c r="Z37" s="2067">
        <v>3.2248072692372877E-2</v>
      </c>
      <c r="AA37" s="2067">
        <v>0.15036680873378713</v>
      </c>
      <c r="AB37" s="2094">
        <v>0.18261488142616003</v>
      </c>
    </row>
    <row r="38" spans="2:28">
      <c r="B38" s="2077">
        <v>54</v>
      </c>
      <c r="C38" s="2069">
        <v>0.35899999999999999</v>
      </c>
      <c r="D38" s="2069">
        <v>12.743</v>
      </c>
      <c r="E38" s="2069">
        <v>3.0880000000000001</v>
      </c>
      <c r="F38" s="2069">
        <v>3.0880000000000001</v>
      </c>
      <c r="G38" s="2069">
        <v>12.384</v>
      </c>
      <c r="H38" s="2070">
        <v>2.8989018087855294E-2</v>
      </c>
      <c r="I38" s="2070">
        <v>0.24935400516795866</v>
      </c>
      <c r="J38" s="2078">
        <v>0.27834302325581395</v>
      </c>
      <c r="K38" s="2077">
        <v>54</v>
      </c>
      <c r="L38" s="2069">
        <v>0.35799999999999998</v>
      </c>
      <c r="M38" s="2069">
        <v>14.182</v>
      </c>
      <c r="N38" s="2071">
        <v>0.65</v>
      </c>
      <c r="O38" s="2069">
        <v>0.65</v>
      </c>
      <c r="P38" s="2069">
        <v>13.824</v>
      </c>
      <c r="Q38" s="2070">
        <v>2.5896990740740741E-2</v>
      </c>
      <c r="R38" s="2070">
        <v>4.701967592592593E-2</v>
      </c>
      <c r="S38" s="2078">
        <v>7.2916666666666671E-2</v>
      </c>
      <c r="T38" s="2077">
        <v>54</v>
      </c>
      <c r="U38" s="1686">
        <v>0.35849999999999999</v>
      </c>
      <c r="V38" s="1686">
        <v>13.4625</v>
      </c>
      <c r="W38" s="1686">
        <v>1.869</v>
      </c>
      <c r="X38" s="1686">
        <v>1.869</v>
      </c>
      <c r="Y38" s="1686">
        <v>13.103999999999999</v>
      </c>
      <c r="Z38" s="2072">
        <v>2.744300441429802E-2</v>
      </c>
      <c r="AA38" s="2072">
        <v>0.14818684054694231</v>
      </c>
      <c r="AB38" s="2093">
        <v>0.17562984496124032</v>
      </c>
    </row>
    <row r="39" spans="2:28">
      <c r="B39" s="89">
        <v>55</v>
      </c>
      <c r="C39" s="1">
        <v>0.308</v>
      </c>
      <c r="D39" s="1">
        <v>13.118</v>
      </c>
      <c r="E39" s="1">
        <v>3.15</v>
      </c>
      <c r="F39" s="1">
        <v>3.15</v>
      </c>
      <c r="G39" s="1">
        <v>12.81</v>
      </c>
      <c r="H39" s="741">
        <v>2.4043715846994534E-2</v>
      </c>
      <c r="I39" s="741">
        <v>0.24590163934426229</v>
      </c>
      <c r="J39" s="2079">
        <v>0.26994535519125684</v>
      </c>
      <c r="K39" s="89">
        <v>55</v>
      </c>
      <c r="L39" s="1">
        <v>0.30299999999999999</v>
      </c>
      <c r="M39" s="1">
        <v>14.569000000000001</v>
      </c>
      <c r="N39" s="1419">
        <v>0.65300000000000002</v>
      </c>
      <c r="O39" s="1">
        <v>0.65300000000000002</v>
      </c>
      <c r="P39" s="1">
        <v>14.266</v>
      </c>
      <c r="Q39" s="741">
        <v>2.1239310248142435E-2</v>
      </c>
      <c r="R39" s="741">
        <v>4.577316697041918E-2</v>
      </c>
      <c r="S39" s="2079">
        <v>6.7012477218561614E-2</v>
      </c>
      <c r="T39" s="89">
        <v>55</v>
      </c>
      <c r="U39" s="740">
        <v>0.30549999999999999</v>
      </c>
      <c r="V39" s="740">
        <v>13.843500000000001</v>
      </c>
      <c r="W39" s="740">
        <v>1.9015</v>
      </c>
      <c r="X39" s="740">
        <v>1.9015</v>
      </c>
      <c r="Y39" s="740">
        <v>13.538</v>
      </c>
      <c r="Z39" s="2067">
        <v>2.2641513047568486E-2</v>
      </c>
      <c r="AA39" s="2067">
        <v>0.14583740315734073</v>
      </c>
      <c r="AB39" s="2094">
        <v>0.16847891620490923</v>
      </c>
    </row>
    <row r="40" spans="2:28">
      <c r="B40" s="2077">
        <v>56</v>
      </c>
      <c r="C40" s="2069">
        <v>0.254</v>
      </c>
      <c r="D40" s="2069">
        <v>13.506</v>
      </c>
      <c r="E40" s="2069">
        <v>3.2109999999999999</v>
      </c>
      <c r="F40" s="2069">
        <v>3.2109999999999999</v>
      </c>
      <c r="G40" s="2069">
        <v>13.252000000000001</v>
      </c>
      <c r="H40" s="2070">
        <v>1.916691820102626E-2</v>
      </c>
      <c r="I40" s="2070">
        <v>0.24230304859643825</v>
      </c>
      <c r="J40" s="2078">
        <v>0.26146996679746454</v>
      </c>
      <c r="K40" s="2077">
        <v>56</v>
      </c>
      <c r="L40" s="2069">
        <v>0.245</v>
      </c>
      <c r="M40" s="2069">
        <v>14.968999999999999</v>
      </c>
      <c r="N40" s="2071">
        <v>0.65500000000000003</v>
      </c>
      <c r="O40" s="2069">
        <v>0.65500000000000003</v>
      </c>
      <c r="P40" s="2069">
        <v>14.724</v>
      </c>
      <c r="Q40" s="2070">
        <v>1.6639500135832652E-2</v>
      </c>
      <c r="R40" s="2070">
        <v>4.4485194240695462E-2</v>
      </c>
      <c r="S40" s="2078">
        <v>6.1124694376528114E-2</v>
      </c>
      <c r="T40" s="2077">
        <v>56</v>
      </c>
      <c r="U40" s="1686">
        <v>0.2495</v>
      </c>
      <c r="V40" s="1686">
        <v>14.237500000000001</v>
      </c>
      <c r="W40" s="1686">
        <v>1.9329999999999998</v>
      </c>
      <c r="X40" s="1686">
        <v>1.9329999999999998</v>
      </c>
      <c r="Y40" s="1686">
        <v>13.988</v>
      </c>
      <c r="Z40" s="2072">
        <v>1.7903209168429454E-2</v>
      </c>
      <c r="AA40" s="2072">
        <v>0.14339412141856686</v>
      </c>
      <c r="AB40" s="2093">
        <v>0.16129733058699633</v>
      </c>
    </row>
    <row r="41" spans="2:28">
      <c r="B41" s="89">
        <v>57</v>
      </c>
      <c r="C41" s="1">
        <v>0.19800000000000001</v>
      </c>
      <c r="D41" s="1">
        <v>13.911</v>
      </c>
      <c r="E41" s="1">
        <v>3.2709999999999999</v>
      </c>
      <c r="F41" s="1">
        <v>3.2709999999999999</v>
      </c>
      <c r="G41" s="1">
        <v>13.712999999999999</v>
      </c>
      <c r="H41" s="741">
        <v>1.4438853642528988E-2</v>
      </c>
      <c r="I41" s="741">
        <v>0.23853277911470869</v>
      </c>
      <c r="J41" s="2079">
        <v>0.25297163275723766</v>
      </c>
      <c r="K41" s="89">
        <v>57</v>
      </c>
      <c r="L41" s="1">
        <v>0.187</v>
      </c>
      <c r="M41" s="1">
        <v>15.385</v>
      </c>
      <c r="N41" s="1419">
        <v>0.65700000000000003</v>
      </c>
      <c r="O41" s="1">
        <v>0.65700000000000003</v>
      </c>
      <c r="P41" s="1">
        <v>15.198</v>
      </c>
      <c r="Q41" s="741">
        <v>1.2304250559284116E-2</v>
      </c>
      <c r="R41" s="741">
        <v>4.3229372285827086E-2</v>
      </c>
      <c r="S41" s="2079">
        <v>5.5533622845111201E-2</v>
      </c>
      <c r="T41" s="89">
        <v>57</v>
      </c>
      <c r="U41" s="740">
        <v>0.1925</v>
      </c>
      <c r="V41" s="740">
        <v>14.648</v>
      </c>
      <c r="W41" s="740">
        <v>1.964</v>
      </c>
      <c r="X41" s="740">
        <v>1.964</v>
      </c>
      <c r="Y41" s="740">
        <v>14.455500000000001</v>
      </c>
      <c r="Z41" s="2067">
        <v>1.3371552100906552E-2</v>
      </c>
      <c r="AA41" s="2067">
        <v>0.14088107570026789</v>
      </c>
      <c r="AB41" s="2094">
        <v>0.15425262780117444</v>
      </c>
    </row>
    <row r="42" spans="2:28">
      <c r="B42" s="2077">
        <v>58</v>
      </c>
      <c r="C42" s="2069">
        <v>0.14299999999999999</v>
      </c>
      <c r="D42" s="2069">
        <v>14.332000000000001</v>
      </c>
      <c r="E42" s="2069">
        <v>3.3330000000000002</v>
      </c>
      <c r="F42" s="2069">
        <v>3.3330000000000002</v>
      </c>
      <c r="G42" s="2069">
        <v>14.189</v>
      </c>
      <c r="H42" s="2070">
        <v>1.0078229614490097E-2</v>
      </c>
      <c r="I42" s="2070">
        <v>0.23490027486080767</v>
      </c>
      <c r="J42" s="2078">
        <v>0.24497850447529776</v>
      </c>
      <c r="K42" s="2077">
        <v>58</v>
      </c>
      <c r="L42" s="2069">
        <v>0.13100000000000001</v>
      </c>
      <c r="M42" s="2069">
        <v>15.819000000000001</v>
      </c>
      <c r="N42" s="2071">
        <v>0.65800000000000003</v>
      </c>
      <c r="O42" s="2069">
        <v>0.65800000000000003</v>
      </c>
      <c r="P42" s="2069">
        <v>15.688000000000001</v>
      </c>
      <c r="Q42" s="2070">
        <v>8.35033146353901E-3</v>
      </c>
      <c r="R42" s="2070">
        <v>4.1942886282508925E-2</v>
      </c>
      <c r="S42" s="2078">
        <v>5.0293217746047933E-2</v>
      </c>
      <c r="T42" s="2077">
        <v>58</v>
      </c>
      <c r="U42" s="1686">
        <v>0.13700000000000001</v>
      </c>
      <c r="V42" s="1686">
        <v>15.075500000000002</v>
      </c>
      <c r="W42" s="1686">
        <v>1.9955000000000001</v>
      </c>
      <c r="X42" s="1686">
        <v>1.9955000000000001</v>
      </c>
      <c r="Y42" s="1686">
        <v>14.938500000000001</v>
      </c>
      <c r="Z42" s="2072">
        <v>9.2142805390145535E-3</v>
      </c>
      <c r="AA42" s="2072">
        <v>0.13842158057165829</v>
      </c>
      <c r="AB42" s="2093">
        <v>0.14763586111067284</v>
      </c>
    </row>
    <row r="43" spans="2:28">
      <c r="B43" s="89">
        <v>59</v>
      </c>
      <c r="C43" s="1">
        <v>9.2999999999999999E-2</v>
      </c>
      <c r="D43" s="1">
        <v>14.775</v>
      </c>
      <c r="E43" s="1">
        <v>3.3959999999999999</v>
      </c>
      <c r="F43" s="1">
        <v>3.3959999999999999</v>
      </c>
      <c r="G43" s="1">
        <v>14.682</v>
      </c>
      <c r="H43" s="741">
        <v>6.334286881896199E-3</v>
      </c>
      <c r="I43" s="741">
        <v>0.23130363710666121</v>
      </c>
      <c r="J43" s="2079">
        <v>0.2376379239885574</v>
      </c>
      <c r="K43" s="89">
        <v>59</v>
      </c>
      <c r="L43" s="1">
        <v>8.2000000000000003E-2</v>
      </c>
      <c r="M43" s="1">
        <v>16.276</v>
      </c>
      <c r="N43" s="1419">
        <v>0.66</v>
      </c>
      <c r="O43" s="1">
        <v>0.66</v>
      </c>
      <c r="P43" s="1">
        <v>16.193999999999999</v>
      </c>
      <c r="Q43" s="741">
        <v>5.0636038038779797E-3</v>
      </c>
      <c r="R43" s="741">
        <v>4.0755835494627642E-2</v>
      </c>
      <c r="S43" s="2079">
        <v>4.581943929850562E-2</v>
      </c>
      <c r="T43" s="89">
        <v>59</v>
      </c>
      <c r="U43" s="740">
        <v>8.7499999999999994E-2</v>
      </c>
      <c r="V43" s="740">
        <v>15.525500000000001</v>
      </c>
      <c r="W43" s="740">
        <v>2.028</v>
      </c>
      <c r="X43" s="740">
        <v>2.028</v>
      </c>
      <c r="Y43" s="740">
        <v>15.437999999999999</v>
      </c>
      <c r="Z43" s="2067">
        <v>5.6989453428870889E-3</v>
      </c>
      <c r="AA43" s="2067">
        <v>0.13602973630064444</v>
      </c>
      <c r="AB43" s="2094">
        <v>0.1417286816435315</v>
      </c>
    </row>
    <row r="44" spans="2:28">
      <c r="B44" s="2077">
        <v>60</v>
      </c>
      <c r="C44" s="2069">
        <v>5.1999999999999998E-2</v>
      </c>
      <c r="D44" s="2069">
        <v>15.241</v>
      </c>
      <c r="E44" s="2069">
        <v>3.4630000000000001</v>
      </c>
      <c r="F44" s="2069">
        <v>3.4630000000000001</v>
      </c>
      <c r="G44" s="2069">
        <v>15.189</v>
      </c>
      <c r="H44" s="2070">
        <v>3.4235301863190467E-3</v>
      </c>
      <c r="I44" s="2070">
        <v>0.22799394298505499</v>
      </c>
      <c r="J44" s="2078">
        <v>0.23141747317137404</v>
      </c>
      <c r="K44" s="2077">
        <v>60</v>
      </c>
      <c r="L44" s="2069">
        <v>4.3999999999999997E-2</v>
      </c>
      <c r="M44" s="2069">
        <v>16.759</v>
      </c>
      <c r="N44" s="2071">
        <v>0.66100000000000003</v>
      </c>
      <c r="O44" s="2069">
        <v>0.66100000000000003</v>
      </c>
      <c r="P44" s="2069">
        <v>16.715</v>
      </c>
      <c r="Q44" s="2070">
        <v>2.6323661381992222E-3</v>
      </c>
      <c r="R44" s="2070">
        <v>3.9545318576129231E-2</v>
      </c>
      <c r="S44" s="2078">
        <v>4.2177684714328451E-2</v>
      </c>
      <c r="T44" s="2077">
        <v>60</v>
      </c>
      <c r="U44" s="1686">
        <v>4.8000000000000001E-2</v>
      </c>
      <c r="V44" s="1686">
        <v>16</v>
      </c>
      <c r="W44" s="1686">
        <v>2.0620000000000003</v>
      </c>
      <c r="X44" s="1686">
        <v>2.0620000000000003</v>
      </c>
      <c r="Y44" s="1686">
        <v>15.952</v>
      </c>
      <c r="Z44" s="2072">
        <v>3.0279481622591344E-3</v>
      </c>
      <c r="AA44" s="2072">
        <v>0.13376963078059212</v>
      </c>
      <c r="AB44" s="2093">
        <v>0.13679757894285124</v>
      </c>
    </row>
    <row r="45" spans="2:28">
      <c r="B45" s="89">
        <v>61</v>
      </c>
      <c r="C45" s="1">
        <v>2.1999999999999999E-2</v>
      </c>
      <c r="D45" s="1">
        <v>15.734</v>
      </c>
      <c r="E45" s="1">
        <v>3.532</v>
      </c>
      <c r="F45" s="1">
        <v>3.532</v>
      </c>
      <c r="G45" s="1">
        <v>15.712</v>
      </c>
      <c r="H45" s="741">
        <v>1.4002036659877799E-3</v>
      </c>
      <c r="I45" s="741">
        <v>0.22479633401221996</v>
      </c>
      <c r="J45" s="2079">
        <v>0.22619653767820774</v>
      </c>
      <c r="K45" s="89">
        <v>61</v>
      </c>
      <c r="L45" s="1">
        <v>1.7000000000000001E-2</v>
      </c>
      <c r="M45" s="1">
        <v>17.271999999999998</v>
      </c>
      <c r="N45" s="1419">
        <v>0.66200000000000003</v>
      </c>
      <c r="O45" s="1">
        <v>0.66200000000000003</v>
      </c>
      <c r="P45" s="1">
        <v>17.254999999999999</v>
      </c>
      <c r="Q45" s="741">
        <v>9.8522167487684743E-4</v>
      </c>
      <c r="R45" s="741">
        <v>3.8365691104027821E-2</v>
      </c>
      <c r="S45" s="2079">
        <v>3.9350912778904672E-2</v>
      </c>
      <c r="T45" s="89">
        <v>61</v>
      </c>
      <c r="U45" s="740">
        <v>1.95E-2</v>
      </c>
      <c r="V45" s="740">
        <v>16.503</v>
      </c>
      <c r="W45" s="740">
        <v>2.097</v>
      </c>
      <c r="X45" s="740">
        <v>2.097</v>
      </c>
      <c r="Y45" s="740">
        <v>16.483499999999999</v>
      </c>
      <c r="Z45" s="2067">
        <v>1.1927126704323137E-3</v>
      </c>
      <c r="AA45" s="2067">
        <v>0.13158101255812388</v>
      </c>
      <c r="AB45" s="2094">
        <v>0.13277372522855621</v>
      </c>
    </row>
    <row r="46" spans="2:28">
      <c r="B46" s="2077">
        <v>62</v>
      </c>
      <c r="C46" s="2069">
        <v>5.0000000000000001E-3</v>
      </c>
      <c r="D46" s="2069">
        <v>16.257999999999999</v>
      </c>
      <c r="E46" s="2069">
        <v>3.5870000000000002</v>
      </c>
      <c r="F46" s="2069">
        <v>3.5870000000000002</v>
      </c>
      <c r="G46" s="2069">
        <v>16.253</v>
      </c>
      <c r="H46" s="2070">
        <v>3.0763551344367192E-4</v>
      </c>
      <c r="I46" s="2070">
        <v>0.22069771734449026</v>
      </c>
      <c r="J46" s="2078">
        <v>0.22100535285793393</v>
      </c>
      <c r="K46" s="2077">
        <v>62</v>
      </c>
      <c r="L46" s="2069">
        <v>4.0000000000000001E-3</v>
      </c>
      <c r="M46" s="2069">
        <v>17.815999999999999</v>
      </c>
      <c r="N46" s="2071">
        <v>0.66100000000000003</v>
      </c>
      <c r="O46" s="2069">
        <v>0.66100000000000003</v>
      </c>
      <c r="P46" s="2069">
        <v>17.811999999999998</v>
      </c>
      <c r="Q46" s="2070">
        <v>2.2456770716370989E-4</v>
      </c>
      <c r="R46" s="2070">
        <v>3.7109813608803062E-2</v>
      </c>
      <c r="S46" s="2078">
        <v>3.7334381315966773E-2</v>
      </c>
      <c r="T46" s="2077">
        <v>62</v>
      </c>
      <c r="U46" s="1686">
        <v>4.5000000000000005E-3</v>
      </c>
      <c r="V46" s="1686">
        <v>17.036999999999999</v>
      </c>
      <c r="W46" s="1686">
        <v>2.1240000000000001</v>
      </c>
      <c r="X46" s="1686">
        <v>2.1240000000000001</v>
      </c>
      <c r="Y46" s="1686">
        <v>17.032499999999999</v>
      </c>
      <c r="Z46" s="2072">
        <v>2.6610161030369092E-4</v>
      </c>
      <c r="AA46" s="2072">
        <v>0.12890376547664667</v>
      </c>
      <c r="AB46" s="2093">
        <v>0.12916986708695036</v>
      </c>
    </row>
    <row r="47" spans="2:28">
      <c r="B47" s="2098">
        <v>63</v>
      </c>
      <c r="C47" s="2099">
        <v>0</v>
      </c>
      <c r="D47" s="2099">
        <v>16.815000000000001</v>
      </c>
      <c r="E47" s="2099">
        <v>3.6419999999999999</v>
      </c>
      <c r="F47" s="2099">
        <v>3.6419999999999999</v>
      </c>
      <c r="G47" s="2099">
        <v>16.815000000000001</v>
      </c>
      <c r="H47" s="2100">
        <v>0</v>
      </c>
      <c r="I47" s="2100">
        <v>0.21659232827832289</v>
      </c>
      <c r="J47" s="2101">
        <v>0.21659232827832289</v>
      </c>
      <c r="K47" s="2098">
        <v>63</v>
      </c>
      <c r="L47" s="2099">
        <v>0</v>
      </c>
      <c r="M47" s="2099">
        <v>18.393000000000001</v>
      </c>
      <c r="N47" s="2102">
        <v>0.65900000000000003</v>
      </c>
      <c r="O47" s="2099">
        <v>0.65900000000000003</v>
      </c>
      <c r="P47" s="2099">
        <v>18.393000000000001</v>
      </c>
      <c r="Q47" s="2100">
        <v>0</v>
      </c>
      <c r="R47" s="2100">
        <v>3.5828847931278204E-2</v>
      </c>
      <c r="S47" s="2101">
        <v>3.5828847931278204E-2</v>
      </c>
      <c r="T47" s="2098">
        <v>63</v>
      </c>
      <c r="U47" s="2103">
        <v>0</v>
      </c>
      <c r="V47" s="2103">
        <v>17.603999999999999</v>
      </c>
      <c r="W47" s="2103">
        <v>2.1505000000000001</v>
      </c>
      <c r="X47" s="2103">
        <v>2.1505000000000001</v>
      </c>
      <c r="Y47" s="2103">
        <v>17.603999999999999</v>
      </c>
      <c r="Z47" s="2104">
        <v>0</v>
      </c>
      <c r="AA47" s="2104">
        <v>0.12621058810480054</v>
      </c>
      <c r="AB47" s="2105">
        <v>0.12621058810480054</v>
      </c>
    </row>
    <row r="48" spans="2:28">
      <c r="B48" s="2077">
        <v>64</v>
      </c>
      <c r="C48" s="2069">
        <v>0</v>
      </c>
      <c r="D48" s="2069">
        <v>16.154</v>
      </c>
      <c r="E48" s="2069">
        <v>3.7669999999999999</v>
      </c>
      <c r="F48" s="2069">
        <v>3.7669999999999999</v>
      </c>
      <c r="G48" s="2069">
        <v>16.154</v>
      </c>
      <c r="H48" s="2070">
        <v>0</v>
      </c>
      <c r="I48" s="2070">
        <v>0.23319301720935989</v>
      </c>
      <c r="J48" s="2078">
        <v>0.23319301720935989</v>
      </c>
      <c r="K48" s="2077">
        <v>64</v>
      </c>
      <c r="L48" s="2069">
        <v>0</v>
      </c>
      <c r="M48" s="2069">
        <v>18.010999999999999</v>
      </c>
      <c r="N48" s="2071">
        <v>0.64100000000000001</v>
      </c>
      <c r="O48" s="2069">
        <v>0.64100000000000001</v>
      </c>
      <c r="P48" s="2069">
        <v>18.010999999999999</v>
      </c>
      <c r="Q48" s="2070">
        <v>0</v>
      </c>
      <c r="R48" s="2070">
        <v>3.5589362056521016E-2</v>
      </c>
      <c r="S48" s="2078">
        <v>3.5589362056521016E-2</v>
      </c>
      <c r="T48" s="2077">
        <v>64</v>
      </c>
      <c r="U48" s="1686">
        <v>0</v>
      </c>
      <c r="V48" s="1686">
        <v>17.0825</v>
      </c>
      <c r="W48" s="1686">
        <v>2.2039999999999997</v>
      </c>
      <c r="X48" s="1686">
        <v>2.2039999999999997</v>
      </c>
      <c r="Y48" s="1686">
        <v>17.0825</v>
      </c>
      <c r="Z48" s="2072">
        <v>0</v>
      </c>
      <c r="AA48" s="2072">
        <v>0.13439118963294044</v>
      </c>
      <c r="AB48" s="2093">
        <v>0.13439118963294044</v>
      </c>
    </row>
    <row r="49" spans="2:28">
      <c r="B49" s="89">
        <v>65</v>
      </c>
      <c r="C49" s="1">
        <v>0</v>
      </c>
      <c r="D49" s="1">
        <v>15.77</v>
      </c>
      <c r="E49" s="1">
        <v>3.7749999999999999</v>
      </c>
      <c r="F49" s="1">
        <v>3.7749999999999999</v>
      </c>
      <c r="G49" s="1">
        <v>15.77</v>
      </c>
      <c r="H49" s="741">
        <v>0</v>
      </c>
      <c r="I49" s="741">
        <v>0.23937856689917564</v>
      </c>
      <c r="J49" s="2079">
        <v>0.23937856689917564</v>
      </c>
      <c r="K49" s="89">
        <v>65</v>
      </c>
      <c r="L49" s="1">
        <v>0</v>
      </c>
      <c r="M49" s="1">
        <v>17.619</v>
      </c>
      <c r="N49" s="1419">
        <v>0.623</v>
      </c>
      <c r="O49" s="1">
        <v>0.623</v>
      </c>
      <c r="P49" s="1">
        <v>17.619</v>
      </c>
      <c r="Q49" s="741">
        <v>0</v>
      </c>
      <c r="R49" s="741">
        <v>3.5359555025824392E-2</v>
      </c>
      <c r="S49" s="2079">
        <v>3.5359555025824392E-2</v>
      </c>
      <c r="T49" s="89">
        <v>65</v>
      </c>
      <c r="U49" s="740">
        <v>0</v>
      </c>
      <c r="V49" s="740">
        <v>16.694499999999998</v>
      </c>
      <c r="W49" s="740">
        <v>2.1989999999999998</v>
      </c>
      <c r="X49" s="740">
        <v>2.1989999999999998</v>
      </c>
      <c r="Y49" s="740">
        <v>16.694499999999998</v>
      </c>
      <c r="Z49" s="957">
        <v>0</v>
      </c>
      <c r="AA49" s="957">
        <v>0.13736906096250001</v>
      </c>
      <c r="AB49" s="958">
        <v>0.13736906096250001</v>
      </c>
    </row>
    <row r="50" spans="2:28">
      <c r="B50" s="2077">
        <v>66</v>
      </c>
      <c r="C50" s="2069"/>
      <c r="D50" s="2069">
        <v>15.379</v>
      </c>
      <c r="E50" s="2069">
        <v>3.778</v>
      </c>
      <c r="F50" s="2069">
        <v>3.778</v>
      </c>
      <c r="G50" s="2069">
        <v>15.379</v>
      </c>
      <c r="H50" s="2070">
        <v>0</v>
      </c>
      <c r="I50" s="2070">
        <v>0.24565966577800899</v>
      </c>
      <c r="J50" s="2078">
        <v>0.24565966577800899</v>
      </c>
      <c r="K50" s="2077">
        <v>66</v>
      </c>
      <c r="L50" s="2069">
        <v>0</v>
      </c>
      <c r="M50" s="2069">
        <v>17.216999999999999</v>
      </c>
      <c r="N50" s="2071">
        <v>0.60399999999999998</v>
      </c>
      <c r="O50" s="2069">
        <v>0.60399999999999998</v>
      </c>
      <c r="P50" s="2069">
        <v>17.216999999999999</v>
      </c>
      <c r="Q50" s="2070">
        <v>0</v>
      </c>
      <c r="R50" s="2070">
        <v>3.5081605390021489E-2</v>
      </c>
      <c r="S50" s="2078">
        <v>3.5081605390021489E-2</v>
      </c>
      <c r="T50" s="2077">
        <v>66</v>
      </c>
      <c r="U50" s="1686">
        <v>0</v>
      </c>
      <c r="V50" s="1686">
        <v>16.297999999999998</v>
      </c>
      <c r="W50" s="1686">
        <v>2.1909999999999998</v>
      </c>
      <c r="X50" s="1686">
        <v>2.1909999999999998</v>
      </c>
      <c r="Y50" s="1686">
        <v>16.297999999999998</v>
      </c>
      <c r="Z50" s="2072">
        <v>0</v>
      </c>
      <c r="AA50" s="2072">
        <v>0.14037063558401525</v>
      </c>
      <c r="AB50" s="2093">
        <v>0.14037063558401525</v>
      </c>
    </row>
    <row r="51" spans="2:28">
      <c r="B51" s="89">
        <v>67</v>
      </c>
      <c r="C51" s="1"/>
      <c r="D51" s="1">
        <v>14.98</v>
      </c>
      <c r="E51" s="1">
        <v>3.778</v>
      </c>
      <c r="F51" s="1">
        <v>3.778</v>
      </c>
      <c r="G51" s="1">
        <v>14.98</v>
      </c>
      <c r="H51" s="741">
        <v>0</v>
      </c>
      <c r="I51" s="741">
        <v>0.25220293724966619</v>
      </c>
      <c r="J51" s="2079">
        <v>0.25220293724966619</v>
      </c>
      <c r="K51" s="89">
        <v>67</v>
      </c>
      <c r="L51" s="1">
        <v>0</v>
      </c>
      <c r="M51" s="1">
        <v>16.803000000000001</v>
      </c>
      <c r="N51" s="1419">
        <v>0.58599999999999997</v>
      </c>
      <c r="O51" s="1">
        <v>0.58599999999999997</v>
      </c>
      <c r="P51" s="1">
        <v>16.803000000000001</v>
      </c>
      <c r="Q51" s="741">
        <v>0</v>
      </c>
      <c r="R51" s="741">
        <v>3.4874724751532464E-2</v>
      </c>
      <c r="S51" s="2079">
        <v>3.4874724751532464E-2</v>
      </c>
      <c r="T51" s="89">
        <v>67</v>
      </c>
      <c r="U51" s="740">
        <v>0</v>
      </c>
      <c r="V51" s="740">
        <v>15.891500000000001</v>
      </c>
      <c r="W51" s="740">
        <v>2.1819999999999999</v>
      </c>
      <c r="X51" s="740">
        <v>2.1819999999999999</v>
      </c>
      <c r="Y51" s="740">
        <v>15.891500000000001</v>
      </c>
      <c r="Z51" s="2067">
        <v>0</v>
      </c>
      <c r="AA51" s="2067">
        <v>0.14353883100059933</v>
      </c>
      <c r="AB51" s="2094">
        <v>0.14353883100059933</v>
      </c>
    </row>
    <row r="52" spans="2:28">
      <c r="B52" s="2077">
        <v>68</v>
      </c>
      <c r="C52" s="2069"/>
      <c r="D52" s="2069">
        <v>14.573</v>
      </c>
      <c r="E52" s="2069">
        <v>3.7770000000000001</v>
      </c>
      <c r="F52" s="2069">
        <v>3.7770000000000001</v>
      </c>
      <c r="G52" s="2069">
        <v>14.573</v>
      </c>
      <c r="H52" s="2070">
        <v>0</v>
      </c>
      <c r="I52" s="2070">
        <v>0.25917793179166954</v>
      </c>
      <c r="J52" s="2078">
        <v>0.25917793179166954</v>
      </c>
      <c r="K52" s="2077">
        <v>68</v>
      </c>
      <c r="L52" s="2069">
        <v>0</v>
      </c>
      <c r="M52" s="2069">
        <v>16.378</v>
      </c>
      <c r="N52" s="2071">
        <v>0.56699999999999995</v>
      </c>
      <c r="O52" s="2069">
        <v>0.56699999999999995</v>
      </c>
      <c r="P52" s="2069">
        <v>16.378</v>
      </c>
      <c r="Q52" s="2070">
        <v>0</v>
      </c>
      <c r="R52" s="2070">
        <v>3.4619611674197089E-2</v>
      </c>
      <c r="S52" s="2078">
        <v>3.4619611674197089E-2</v>
      </c>
      <c r="T52" s="2077">
        <v>68</v>
      </c>
      <c r="U52" s="1686">
        <v>0</v>
      </c>
      <c r="V52" s="1686">
        <v>15.4755</v>
      </c>
      <c r="W52" s="1686">
        <v>2.1720000000000002</v>
      </c>
      <c r="X52" s="1686">
        <v>2.1720000000000002</v>
      </c>
      <c r="Y52" s="1686">
        <v>15.4755</v>
      </c>
      <c r="Z52" s="2072">
        <v>0</v>
      </c>
      <c r="AA52" s="2072">
        <v>0.14689877173293331</v>
      </c>
      <c r="AB52" s="2093">
        <v>0.14689877173293331</v>
      </c>
    </row>
    <row r="53" spans="2:28">
      <c r="B53" s="89">
        <v>69</v>
      </c>
      <c r="C53" s="1"/>
      <c r="D53" s="1">
        <v>14.156000000000001</v>
      </c>
      <c r="E53" s="1">
        <v>3.7730000000000001</v>
      </c>
      <c r="F53" s="1">
        <v>3.7730000000000001</v>
      </c>
      <c r="G53" s="1">
        <v>14.156000000000001</v>
      </c>
      <c r="H53" s="741">
        <v>0</v>
      </c>
      <c r="I53" s="741">
        <v>0.26653009324667987</v>
      </c>
      <c r="J53" s="2079">
        <v>0.26653009324667987</v>
      </c>
      <c r="K53" s="89">
        <v>69</v>
      </c>
      <c r="L53" s="1">
        <v>0</v>
      </c>
      <c r="M53" s="1">
        <v>15.94</v>
      </c>
      <c r="N53" s="1419">
        <v>0.54900000000000004</v>
      </c>
      <c r="O53" s="1">
        <v>0.54900000000000004</v>
      </c>
      <c r="P53" s="1">
        <v>15.94</v>
      </c>
      <c r="Q53" s="741">
        <v>0</v>
      </c>
      <c r="R53" s="741">
        <v>3.4441656210790469E-2</v>
      </c>
      <c r="S53" s="2079">
        <v>3.4441656210790469E-2</v>
      </c>
      <c r="T53" s="89">
        <v>69</v>
      </c>
      <c r="U53" s="740">
        <v>0</v>
      </c>
      <c r="V53" s="740">
        <v>15.048</v>
      </c>
      <c r="W53" s="740">
        <v>2.161</v>
      </c>
      <c r="X53" s="740">
        <v>2.161</v>
      </c>
      <c r="Y53" s="740">
        <v>15.048</v>
      </c>
      <c r="Z53" s="2067">
        <v>0</v>
      </c>
      <c r="AA53" s="2067">
        <v>0.15048587472873518</v>
      </c>
      <c r="AB53" s="2094">
        <v>0.15048587472873518</v>
      </c>
    </row>
    <row r="54" spans="2:28">
      <c r="B54" s="2077">
        <v>70</v>
      </c>
      <c r="C54" s="2069"/>
      <c r="D54" s="2069">
        <v>13.728999999999999</v>
      </c>
      <c r="E54" s="2069">
        <v>3.7669999999999999</v>
      </c>
      <c r="F54" s="2069">
        <v>3.7669999999999999</v>
      </c>
      <c r="G54" s="2069">
        <v>13.728999999999999</v>
      </c>
      <c r="H54" s="2070">
        <v>0</v>
      </c>
      <c r="I54" s="2070">
        <v>0.27438269356835898</v>
      </c>
      <c r="J54" s="2078">
        <v>0.27438269356835898</v>
      </c>
      <c r="K54" s="2077">
        <v>70</v>
      </c>
      <c r="L54" s="2069">
        <v>0</v>
      </c>
      <c r="M54" s="2069">
        <v>15.49</v>
      </c>
      <c r="N54" s="2071">
        <v>0.53</v>
      </c>
      <c r="O54" s="2069">
        <v>0.53</v>
      </c>
      <c r="P54" s="2069">
        <v>15.49</v>
      </c>
      <c r="Q54" s="2070">
        <v>0</v>
      </c>
      <c r="R54" s="2070">
        <v>3.4215622982569402E-2</v>
      </c>
      <c r="S54" s="2078">
        <v>3.4215622982569402E-2</v>
      </c>
      <c r="T54" s="2077">
        <v>70</v>
      </c>
      <c r="U54" s="1686">
        <v>0</v>
      </c>
      <c r="V54" s="1686">
        <v>14.609500000000001</v>
      </c>
      <c r="W54" s="1686">
        <v>2.1484999999999999</v>
      </c>
      <c r="X54" s="1686">
        <v>2.1484999999999999</v>
      </c>
      <c r="Y54" s="1686">
        <v>14.609500000000001</v>
      </c>
      <c r="Z54" s="2072">
        <v>0</v>
      </c>
      <c r="AA54" s="2072">
        <v>0.1542991582754642</v>
      </c>
      <c r="AB54" s="2093">
        <v>0.1542991582754642</v>
      </c>
    </row>
    <row r="55" spans="2:28">
      <c r="B55" s="89">
        <v>71</v>
      </c>
      <c r="C55" s="1"/>
      <c r="D55" s="1">
        <v>13.292999999999999</v>
      </c>
      <c r="E55" s="1">
        <v>3.758</v>
      </c>
      <c r="F55" s="1">
        <v>3.758</v>
      </c>
      <c r="G55" s="1">
        <v>13.292999999999999</v>
      </c>
      <c r="H55" s="741">
        <v>0</v>
      </c>
      <c r="I55" s="741">
        <v>0.28270518317911686</v>
      </c>
      <c r="J55" s="2079">
        <v>0.28270518317911686</v>
      </c>
      <c r="K55" s="89">
        <v>71</v>
      </c>
      <c r="L55" s="1">
        <v>0</v>
      </c>
      <c r="M55" s="1">
        <v>15.026</v>
      </c>
      <c r="N55" s="1419">
        <v>0.51</v>
      </c>
      <c r="O55" s="1">
        <v>0.51</v>
      </c>
      <c r="P55" s="1">
        <v>15.026</v>
      </c>
      <c r="Q55" s="741">
        <v>0</v>
      </c>
      <c r="R55" s="741">
        <v>3.3941168641022229E-2</v>
      </c>
      <c r="S55" s="2079">
        <v>3.3941168641022229E-2</v>
      </c>
      <c r="T55" s="89">
        <v>71</v>
      </c>
      <c r="U55" s="740">
        <v>0</v>
      </c>
      <c r="V55" s="740">
        <v>14.1595</v>
      </c>
      <c r="W55" s="740">
        <v>2.1339999999999999</v>
      </c>
      <c r="X55" s="740">
        <v>2.1339999999999999</v>
      </c>
      <c r="Y55" s="740">
        <v>14.1595</v>
      </c>
      <c r="Z55" s="2067">
        <v>0</v>
      </c>
      <c r="AA55" s="2067">
        <v>0.15832317591006956</v>
      </c>
      <c r="AB55" s="2094">
        <v>0.15832317591006956</v>
      </c>
    </row>
    <row r="56" spans="2:28">
      <c r="B56" s="2077">
        <v>72</v>
      </c>
      <c r="C56" s="2069"/>
      <c r="D56" s="2069">
        <v>12.846</v>
      </c>
      <c r="E56" s="2069">
        <v>3.7469999999999999</v>
      </c>
      <c r="F56" s="2069">
        <v>3.7469999999999999</v>
      </c>
      <c r="G56" s="2069">
        <v>12.846</v>
      </c>
      <c r="H56" s="2070">
        <v>0</v>
      </c>
      <c r="I56" s="2070">
        <v>0.29168612797758053</v>
      </c>
      <c r="J56" s="2078">
        <v>0.29168612797758053</v>
      </c>
      <c r="K56" s="2077">
        <v>72</v>
      </c>
      <c r="L56" s="2069">
        <v>0</v>
      </c>
      <c r="M56" s="2069">
        <v>14.55</v>
      </c>
      <c r="N56" s="2071">
        <v>0.49099999999999999</v>
      </c>
      <c r="O56" s="2069">
        <v>0.49099999999999999</v>
      </c>
      <c r="P56" s="2069">
        <v>14.55</v>
      </c>
      <c r="Q56" s="2070">
        <v>0</v>
      </c>
      <c r="R56" s="2070">
        <v>3.3745704467353949E-2</v>
      </c>
      <c r="S56" s="2078">
        <v>3.3745704467353949E-2</v>
      </c>
      <c r="T56" s="2077">
        <v>72</v>
      </c>
      <c r="U56" s="1686">
        <v>0</v>
      </c>
      <c r="V56" s="1686">
        <v>13.698</v>
      </c>
      <c r="W56" s="1686">
        <v>2.1189999999999998</v>
      </c>
      <c r="X56" s="1686">
        <v>2.1189999999999998</v>
      </c>
      <c r="Y56" s="1686">
        <v>13.698</v>
      </c>
      <c r="Z56" s="2072">
        <v>0</v>
      </c>
      <c r="AA56" s="2072">
        <v>0.16271591622246723</v>
      </c>
      <c r="AB56" s="2093">
        <v>0.16271591622246723</v>
      </c>
    </row>
    <row r="57" spans="2:28">
      <c r="B57" s="89">
        <v>73</v>
      </c>
      <c r="C57" s="1"/>
      <c r="D57" s="1">
        <v>12.388999999999999</v>
      </c>
      <c r="E57" s="1">
        <v>3.7389999999999999</v>
      </c>
      <c r="F57" s="1">
        <v>3.7389999999999999</v>
      </c>
      <c r="G57" s="1">
        <v>12.388999999999999</v>
      </c>
      <c r="H57" s="741">
        <v>0</v>
      </c>
      <c r="I57" s="741">
        <v>0.30179998385664702</v>
      </c>
      <c r="J57" s="2079">
        <v>0.30179998385664702</v>
      </c>
      <c r="K57" s="89">
        <v>73</v>
      </c>
      <c r="L57" s="1">
        <v>0</v>
      </c>
      <c r="M57" s="1">
        <v>14.061999999999999</v>
      </c>
      <c r="N57" s="1419">
        <v>0.47199999999999998</v>
      </c>
      <c r="O57" s="1">
        <v>0.47199999999999998</v>
      </c>
      <c r="P57" s="1">
        <v>14.061999999999999</v>
      </c>
      <c r="Q57" s="741">
        <v>0</v>
      </c>
      <c r="R57" s="741">
        <v>3.3565637889347175E-2</v>
      </c>
      <c r="S57" s="2079">
        <v>3.3565637889347175E-2</v>
      </c>
      <c r="T57" s="89">
        <v>73</v>
      </c>
      <c r="U57" s="740">
        <v>0</v>
      </c>
      <c r="V57" s="740">
        <v>13.2255</v>
      </c>
      <c r="W57" s="740">
        <v>2.1055000000000001</v>
      </c>
      <c r="X57" s="740">
        <v>2.1055000000000001</v>
      </c>
      <c r="Y57" s="740">
        <v>13.2255</v>
      </c>
      <c r="Z57" s="2067">
        <v>0</v>
      </c>
      <c r="AA57" s="2067">
        <v>0.16768281087299711</v>
      </c>
      <c r="AB57" s="2094">
        <v>0.16768281087299711</v>
      </c>
    </row>
    <row r="58" spans="2:28">
      <c r="B58" s="2077">
        <v>74</v>
      </c>
      <c r="C58" s="2069"/>
      <c r="D58" s="2069">
        <v>11.923999999999999</v>
      </c>
      <c r="E58" s="2069">
        <v>3.7290000000000001</v>
      </c>
      <c r="F58" s="2069">
        <v>3.7290000000000001</v>
      </c>
      <c r="G58" s="2069">
        <v>11.923999999999999</v>
      </c>
      <c r="H58" s="2070">
        <v>0</v>
      </c>
      <c r="I58" s="2070">
        <v>0.3127306273062731</v>
      </c>
      <c r="J58" s="2078">
        <v>0.3127306273062731</v>
      </c>
      <c r="K58" s="2077">
        <v>74</v>
      </c>
      <c r="L58" s="2069">
        <v>0</v>
      </c>
      <c r="M58" s="2069">
        <v>13.561999999999999</v>
      </c>
      <c r="N58" s="2071">
        <v>0.45300000000000001</v>
      </c>
      <c r="O58" s="2069">
        <v>0.45300000000000001</v>
      </c>
      <c r="P58" s="2069">
        <v>13.561999999999999</v>
      </c>
      <c r="Q58" s="2070">
        <v>0</v>
      </c>
      <c r="R58" s="2070">
        <v>3.3402153074767738E-2</v>
      </c>
      <c r="S58" s="2078">
        <v>3.3402153074767738E-2</v>
      </c>
      <c r="T58" s="2077">
        <v>74</v>
      </c>
      <c r="U58" s="1686">
        <v>0</v>
      </c>
      <c r="V58" s="1686">
        <v>12.742999999999999</v>
      </c>
      <c r="W58" s="1686">
        <v>2.0910000000000002</v>
      </c>
      <c r="X58" s="1686">
        <v>2.0910000000000002</v>
      </c>
      <c r="Y58" s="1686">
        <v>12.742999999999999</v>
      </c>
      <c r="Z58" s="2072">
        <v>0</v>
      </c>
      <c r="AA58" s="2072">
        <v>0.17306639019052042</v>
      </c>
      <c r="AB58" s="2093">
        <v>0.17306639019052042</v>
      </c>
    </row>
    <row r="59" spans="2:28">
      <c r="B59" s="89">
        <v>75</v>
      </c>
      <c r="C59" s="1"/>
      <c r="D59" s="1">
        <v>11.45</v>
      </c>
      <c r="E59" s="1">
        <v>3.7160000000000002</v>
      </c>
      <c r="F59" s="1">
        <v>3.7160000000000002</v>
      </c>
      <c r="G59" s="1">
        <v>11.45</v>
      </c>
      <c r="H59" s="741">
        <v>0</v>
      </c>
      <c r="I59" s="741">
        <v>0.32454148471615724</v>
      </c>
      <c r="J59" s="2079">
        <v>0.32454148471615724</v>
      </c>
      <c r="K59" s="89">
        <v>75</v>
      </c>
      <c r="L59" s="1">
        <v>0</v>
      </c>
      <c r="M59" s="1">
        <v>13.051</v>
      </c>
      <c r="N59" s="1419">
        <v>0.434</v>
      </c>
      <c r="O59" s="1">
        <v>0.434</v>
      </c>
      <c r="P59" s="1">
        <v>13.051</v>
      </c>
      <c r="Q59" s="741">
        <v>0</v>
      </c>
      <c r="R59" s="741">
        <v>3.3254156769596199E-2</v>
      </c>
      <c r="S59" s="2079">
        <v>3.3254156769596199E-2</v>
      </c>
      <c r="T59" s="89">
        <v>75</v>
      </c>
      <c r="U59" s="740">
        <v>0</v>
      </c>
      <c r="V59" s="740">
        <v>12.250499999999999</v>
      </c>
      <c r="W59" s="740">
        <v>2.0750000000000002</v>
      </c>
      <c r="X59" s="740">
        <v>2.0750000000000002</v>
      </c>
      <c r="Y59" s="740">
        <v>12.250499999999999</v>
      </c>
      <c r="Z59" s="2067">
        <v>0</v>
      </c>
      <c r="AA59" s="2067">
        <v>0.17889782074287672</v>
      </c>
      <c r="AB59" s="2094">
        <v>0.17889782074287672</v>
      </c>
    </row>
    <row r="60" spans="2:28">
      <c r="B60" s="2077">
        <v>76</v>
      </c>
      <c r="C60" s="2069"/>
      <c r="D60" s="2069">
        <v>10.97</v>
      </c>
      <c r="E60" s="2069">
        <v>3.698</v>
      </c>
      <c r="F60" s="2069">
        <v>3.698</v>
      </c>
      <c r="G60" s="2069">
        <v>10.97</v>
      </c>
      <c r="H60" s="2070">
        <v>0</v>
      </c>
      <c r="I60" s="2070">
        <v>0.3371011850501367</v>
      </c>
      <c r="J60" s="2078">
        <v>0.3371011850501367</v>
      </c>
      <c r="K60" s="2077">
        <v>76</v>
      </c>
      <c r="L60" s="2069">
        <v>0</v>
      </c>
      <c r="M60" s="2069">
        <v>12.531000000000001</v>
      </c>
      <c r="N60" s="2071">
        <v>0.41399999999999998</v>
      </c>
      <c r="O60" s="2069">
        <v>0.41399999999999998</v>
      </c>
      <c r="P60" s="2069">
        <v>12.531000000000001</v>
      </c>
      <c r="Q60" s="2070">
        <v>0</v>
      </c>
      <c r="R60" s="2070">
        <v>3.3038065597318644E-2</v>
      </c>
      <c r="S60" s="2078">
        <v>3.3038065597318644E-2</v>
      </c>
      <c r="T60" s="2077">
        <v>76</v>
      </c>
      <c r="U60" s="1686">
        <v>0</v>
      </c>
      <c r="V60" s="1686">
        <v>11.750500000000001</v>
      </c>
      <c r="W60" s="1686">
        <v>2.056</v>
      </c>
      <c r="X60" s="1686">
        <v>2.056</v>
      </c>
      <c r="Y60" s="1686">
        <v>11.750500000000001</v>
      </c>
      <c r="Z60" s="2072">
        <v>0</v>
      </c>
      <c r="AA60" s="2072">
        <v>0.18506962532372767</v>
      </c>
      <c r="AB60" s="2093">
        <v>0.18506962532372767</v>
      </c>
    </row>
    <row r="61" spans="2:28">
      <c r="B61" s="89">
        <v>77</v>
      </c>
      <c r="C61" s="1"/>
      <c r="D61" s="1">
        <v>10.484999999999999</v>
      </c>
      <c r="E61" s="1">
        <v>3.6749999999999998</v>
      </c>
      <c r="F61" s="1">
        <v>3.6749999999999998</v>
      </c>
      <c r="G61" s="1">
        <v>10.484999999999999</v>
      </c>
      <c r="H61" s="741">
        <v>0</v>
      </c>
      <c r="I61" s="741">
        <v>0.35050071530758226</v>
      </c>
      <c r="J61" s="2079">
        <v>0.35050071530758226</v>
      </c>
      <c r="K61" s="89">
        <v>77</v>
      </c>
      <c r="L61" s="1">
        <v>0</v>
      </c>
      <c r="M61" s="1">
        <v>12.003</v>
      </c>
      <c r="N61" s="1419">
        <v>0.39300000000000002</v>
      </c>
      <c r="O61" s="1">
        <v>0.39300000000000002</v>
      </c>
      <c r="P61" s="1">
        <v>12.003</v>
      </c>
      <c r="Q61" s="741">
        <v>0</v>
      </c>
      <c r="R61" s="741">
        <v>3.2741814546363407E-2</v>
      </c>
      <c r="S61" s="2079">
        <v>3.2741814546363407E-2</v>
      </c>
      <c r="T61" s="89">
        <v>77</v>
      </c>
      <c r="U61" s="740">
        <v>0</v>
      </c>
      <c r="V61" s="740">
        <v>11.244</v>
      </c>
      <c r="W61" s="740">
        <v>2.0339999999999998</v>
      </c>
      <c r="X61" s="740">
        <v>2.0339999999999998</v>
      </c>
      <c r="Y61" s="740">
        <v>11.244</v>
      </c>
      <c r="Z61" s="2067">
        <v>0</v>
      </c>
      <c r="AA61" s="2067">
        <v>0.19162126492697285</v>
      </c>
      <c r="AB61" s="2094">
        <v>0.19162126492697285</v>
      </c>
    </row>
    <row r="62" spans="2:28">
      <c r="B62" s="2077">
        <v>78</v>
      </c>
      <c r="C62" s="2069"/>
      <c r="D62" s="2069">
        <v>9.9969999999999999</v>
      </c>
      <c r="E62" s="2069">
        <v>3.645</v>
      </c>
      <c r="F62" s="2069">
        <v>3.645</v>
      </c>
      <c r="G62" s="2069">
        <v>9.9969999999999999</v>
      </c>
      <c r="H62" s="2070">
        <v>0</v>
      </c>
      <c r="I62" s="2070">
        <v>0.36460938281484445</v>
      </c>
      <c r="J62" s="2078">
        <v>0.36460938281484445</v>
      </c>
      <c r="K62" s="2077">
        <v>78</v>
      </c>
      <c r="L62" s="2069">
        <v>0</v>
      </c>
      <c r="M62" s="2069">
        <v>11.47</v>
      </c>
      <c r="N62" s="2071">
        <v>0.371</v>
      </c>
      <c r="O62" s="2069">
        <v>0.371</v>
      </c>
      <c r="P62" s="2069">
        <v>11.47</v>
      </c>
      <c r="Q62" s="2070">
        <v>0</v>
      </c>
      <c r="R62" s="2070">
        <v>3.2345248474280733E-2</v>
      </c>
      <c r="S62" s="2078">
        <v>3.2345248474280733E-2</v>
      </c>
      <c r="T62" s="2077">
        <v>78</v>
      </c>
      <c r="U62" s="1686">
        <v>0</v>
      </c>
      <c r="V62" s="1686">
        <v>10.733499999999999</v>
      </c>
      <c r="W62" s="1686">
        <v>2.008</v>
      </c>
      <c r="X62" s="1686">
        <v>2.008</v>
      </c>
      <c r="Y62" s="1686">
        <v>10.733499999999999</v>
      </c>
      <c r="Z62" s="2072">
        <v>0</v>
      </c>
      <c r="AA62" s="2072">
        <v>0.19847731564456259</v>
      </c>
      <c r="AB62" s="2093">
        <v>0.19847731564456259</v>
      </c>
    </row>
    <row r="63" spans="2:28">
      <c r="B63" s="89">
        <v>79</v>
      </c>
      <c r="C63" s="1"/>
      <c r="D63" s="1">
        <v>9.5079999999999991</v>
      </c>
      <c r="E63" s="1">
        <v>3.6070000000000002</v>
      </c>
      <c r="F63" s="1">
        <v>3.6070000000000002</v>
      </c>
      <c r="G63" s="1">
        <v>9.5079999999999991</v>
      </c>
      <c r="H63" s="741">
        <v>0</v>
      </c>
      <c r="I63" s="741">
        <v>0.37936474547749272</v>
      </c>
      <c r="J63" s="2079">
        <v>0.37936474547749272</v>
      </c>
      <c r="K63" s="89">
        <v>79</v>
      </c>
      <c r="L63" s="1">
        <v>0</v>
      </c>
      <c r="M63" s="1">
        <v>10.932</v>
      </c>
      <c r="N63" s="1419">
        <v>0.34899999999999998</v>
      </c>
      <c r="O63" s="1">
        <v>0.34899999999999998</v>
      </c>
      <c r="P63" s="1">
        <v>10.932</v>
      </c>
      <c r="Q63" s="741">
        <v>0</v>
      </c>
      <c r="R63" s="741">
        <v>3.1924624954262709E-2</v>
      </c>
      <c r="S63" s="2079">
        <v>3.1924624954262709E-2</v>
      </c>
      <c r="T63" s="89">
        <v>79</v>
      </c>
      <c r="U63" s="740">
        <v>0</v>
      </c>
      <c r="V63" s="740">
        <v>10.219999999999999</v>
      </c>
      <c r="W63" s="740">
        <v>1.9780000000000002</v>
      </c>
      <c r="X63" s="740">
        <v>1.9780000000000002</v>
      </c>
      <c r="Y63" s="740">
        <v>10.219999999999999</v>
      </c>
      <c r="Z63" s="2067">
        <v>0</v>
      </c>
      <c r="AA63" s="2067">
        <v>0.2056446852158777</v>
      </c>
      <c r="AB63" s="2094">
        <v>0.2056446852158777</v>
      </c>
    </row>
    <row r="64" spans="2:28">
      <c r="B64" s="2077">
        <v>80</v>
      </c>
      <c r="C64" s="2069"/>
      <c r="D64" s="2069">
        <v>9.0210000000000008</v>
      </c>
      <c r="E64" s="2069">
        <v>3.5619999999999998</v>
      </c>
      <c r="F64" s="2069">
        <v>3.5619999999999998</v>
      </c>
      <c r="G64" s="2069">
        <v>9.0210000000000008</v>
      </c>
      <c r="H64" s="2070">
        <v>0</v>
      </c>
      <c r="I64" s="2070">
        <v>0.39485644607028042</v>
      </c>
      <c r="J64" s="2078">
        <v>0.39485644607028042</v>
      </c>
      <c r="K64" s="2077">
        <v>80</v>
      </c>
      <c r="L64" s="2069">
        <v>0</v>
      </c>
      <c r="M64" s="2069">
        <v>10.391999999999999</v>
      </c>
      <c r="N64" s="2071">
        <v>0.32700000000000001</v>
      </c>
      <c r="O64" s="2069">
        <v>0.32700000000000001</v>
      </c>
      <c r="P64" s="2069">
        <v>10.391999999999999</v>
      </c>
      <c r="Q64" s="2070">
        <v>0</v>
      </c>
      <c r="R64" s="2070">
        <v>3.1466512702078522E-2</v>
      </c>
      <c r="S64" s="2078">
        <v>3.1466512702078522E-2</v>
      </c>
      <c r="T64" s="2077">
        <v>80</v>
      </c>
      <c r="U64" s="1686">
        <v>0</v>
      </c>
      <c r="V64" s="1686">
        <v>9.7065000000000001</v>
      </c>
      <c r="W64" s="1686">
        <v>1.9444999999999999</v>
      </c>
      <c r="X64" s="1686">
        <v>1.9444999999999999</v>
      </c>
      <c r="Y64" s="1686">
        <v>9.7065000000000001</v>
      </c>
      <c r="Z64" s="2072">
        <v>0</v>
      </c>
      <c r="AA64" s="2072">
        <v>0.21316147938617946</v>
      </c>
      <c r="AB64" s="2093">
        <v>0.21316147938617946</v>
      </c>
    </row>
    <row r="65" spans="2:28">
      <c r="B65" s="89">
        <v>81</v>
      </c>
      <c r="C65" s="1"/>
      <c r="D65" s="1">
        <v>8.5380000000000003</v>
      </c>
      <c r="E65" s="1">
        <v>3.5070000000000001</v>
      </c>
      <c r="F65" s="1">
        <v>3.5070000000000001</v>
      </c>
      <c r="G65" s="1">
        <v>8.5380000000000003</v>
      </c>
      <c r="H65" s="741">
        <v>0</v>
      </c>
      <c r="I65" s="741">
        <v>0.4107519325368939</v>
      </c>
      <c r="J65" s="2079">
        <v>0.4107519325368939</v>
      </c>
      <c r="K65" s="89">
        <v>81</v>
      </c>
      <c r="L65" s="1">
        <v>0</v>
      </c>
      <c r="M65" s="1">
        <v>9.8529999999999998</v>
      </c>
      <c r="N65" s="1419">
        <v>0.30399999999999999</v>
      </c>
      <c r="O65" s="1">
        <v>0.30399999999999999</v>
      </c>
      <c r="P65" s="1">
        <v>9.8529999999999998</v>
      </c>
      <c r="Q65" s="741">
        <v>0</v>
      </c>
      <c r="R65" s="741">
        <v>3.0853547143002133E-2</v>
      </c>
      <c r="S65" s="2079">
        <v>3.0853547143002133E-2</v>
      </c>
      <c r="T65" s="89">
        <v>81</v>
      </c>
      <c r="U65" s="740">
        <v>0</v>
      </c>
      <c r="V65" s="740">
        <v>9.1954999999999991</v>
      </c>
      <c r="W65" s="740">
        <v>1.9055</v>
      </c>
      <c r="X65" s="740">
        <v>1.9055</v>
      </c>
      <c r="Y65" s="740">
        <v>9.1954999999999991</v>
      </c>
      <c r="Z65" s="2067">
        <v>0</v>
      </c>
      <c r="AA65" s="2067">
        <v>0.22080273983994803</v>
      </c>
      <c r="AB65" s="2094">
        <v>0.22080273983994803</v>
      </c>
    </row>
    <row r="66" spans="2:28">
      <c r="B66" s="2077">
        <v>82</v>
      </c>
      <c r="C66" s="2069"/>
      <c r="D66" s="2069">
        <v>8.0619999999999994</v>
      </c>
      <c r="E66" s="2069">
        <v>3.4260000000000002</v>
      </c>
      <c r="F66" s="2069">
        <v>3.4260000000000002</v>
      </c>
      <c r="G66" s="2069">
        <v>8.0619999999999994</v>
      </c>
      <c r="H66" s="2070">
        <v>0</v>
      </c>
      <c r="I66" s="2070">
        <v>0.42495658645497403</v>
      </c>
      <c r="J66" s="2078">
        <v>0.42495658645497403</v>
      </c>
      <c r="K66" s="2077">
        <v>82</v>
      </c>
      <c r="L66" s="2069">
        <v>0</v>
      </c>
      <c r="M66" s="2069">
        <v>9.3179999999999996</v>
      </c>
      <c r="N66" s="2071">
        <v>0.28100000000000003</v>
      </c>
      <c r="O66" s="2069">
        <v>0.28100000000000003</v>
      </c>
      <c r="P66" s="2069">
        <v>9.3179999999999996</v>
      </c>
      <c r="Q66" s="2070">
        <v>0</v>
      </c>
      <c r="R66" s="2070">
        <v>3.0156685984116766E-2</v>
      </c>
      <c r="S66" s="2078">
        <v>3.0156685984116766E-2</v>
      </c>
      <c r="T66" s="2077">
        <v>82</v>
      </c>
      <c r="U66" s="1686">
        <v>0</v>
      </c>
      <c r="V66" s="1686">
        <v>8.69</v>
      </c>
      <c r="W66" s="1686">
        <v>1.8535000000000001</v>
      </c>
      <c r="X66" s="1686">
        <v>1.8535000000000001</v>
      </c>
      <c r="Y66" s="1686">
        <v>8.69</v>
      </c>
      <c r="Z66" s="2072">
        <v>0</v>
      </c>
      <c r="AA66" s="2072">
        <v>0.22755663621954539</v>
      </c>
      <c r="AB66" s="2093">
        <v>0.22755663621954539</v>
      </c>
    </row>
    <row r="67" spans="2:28">
      <c r="B67" s="89">
        <v>83</v>
      </c>
      <c r="C67" s="1"/>
      <c r="D67" s="1">
        <v>7.5960000000000001</v>
      </c>
      <c r="E67" s="1">
        <v>3.3330000000000002</v>
      </c>
      <c r="F67" s="1">
        <v>3.3330000000000002</v>
      </c>
      <c r="G67" s="1">
        <v>7.5960000000000001</v>
      </c>
      <c r="H67" s="741">
        <v>0</v>
      </c>
      <c r="I67" s="741">
        <v>0.43878357030015802</v>
      </c>
      <c r="J67" s="2079">
        <v>0.43878357030015802</v>
      </c>
      <c r="K67" s="89">
        <v>83</v>
      </c>
      <c r="L67" s="1">
        <v>0</v>
      </c>
      <c r="M67" s="1">
        <v>8.7889999999999997</v>
      </c>
      <c r="N67" s="1419">
        <v>0.25800000000000001</v>
      </c>
      <c r="O67" s="1">
        <v>0.25800000000000001</v>
      </c>
      <c r="P67" s="1">
        <v>8.7889999999999997</v>
      </c>
      <c r="Q67" s="741">
        <v>0</v>
      </c>
      <c r="R67" s="741">
        <v>2.9354875412447381E-2</v>
      </c>
      <c r="S67" s="2079">
        <v>2.9354875412447381E-2</v>
      </c>
      <c r="T67" s="89">
        <v>83</v>
      </c>
      <c r="U67" s="740">
        <v>0</v>
      </c>
      <c r="V67" s="740">
        <v>8.192499999999999</v>
      </c>
      <c r="W67" s="740">
        <v>1.7955000000000001</v>
      </c>
      <c r="X67" s="740">
        <v>1.7955000000000001</v>
      </c>
      <c r="Y67" s="740">
        <v>8.192499999999999</v>
      </c>
      <c r="Z67" s="2067">
        <v>0</v>
      </c>
      <c r="AA67" s="2067">
        <v>0.23406922285630269</v>
      </c>
      <c r="AB67" s="2094">
        <v>0.23406922285630269</v>
      </c>
    </row>
    <row r="68" spans="2:28">
      <c r="B68" s="2077">
        <v>84</v>
      </c>
      <c r="C68" s="2069"/>
      <c r="D68" s="2069">
        <v>7.1429999999999998</v>
      </c>
      <c r="E68" s="2069">
        <v>3.2280000000000002</v>
      </c>
      <c r="F68" s="2069">
        <v>3.2280000000000002</v>
      </c>
      <c r="G68" s="2069">
        <v>7.1429999999999998</v>
      </c>
      <c r="H68" s="2070">
        <v>0</v>
      </c>
      <c r="I68" s="2070">
        <v>0.45191096178076445</v>
      </c>
      <c r="J68" s="2078">
        <v>0.45191096178076445</v>
      </c>
      <c r="K68" s="2077">
        <v>84</v>
      </c>
      <c r="L68" s="2069">
        <v>0</v>
      </c>
      <c r="M68" s="2069">
        <v>8.2710000000000008</v>
      </c>
      <c r="N68" s="2071">
        <v>0.23499999999999999</v>
      </c>
      <c r="O68" s="2069">
        <v>0.23499999999999999</v>
      </c>
      <c r="P68" s="2069">
        <v>8.2710000000000008</v>
      </c>
      <c r="Q68" s="2070">
        <v>0</v>
      </c>
      <c r="R68" s="2070">
        <v>2.8412525692177483E-2</v>
      </c>
      <c r="S68" s="2078">
        <v>2.8412525692177483E-2</v>
      </c>
      <c r="T68" s="2077">
        <v>84</v>
      </c>
      <c r="U68" s="1686">
        <v>0</v>
      </c>
      <c r="V68" s="1686">
        <v>7.7070000000000007</v>
      </c>
      <c r="W68" s="1686">
        <v>1.7315</v>
      </c>
      <c r="X68" s="1686">
        <v>1.7315</v>
      </c>
      <c r="Y68" s="1686">
        <v>7.7070000000000007</v>
      </c>
      <c r="Z68" s="2072">
        <v>0</v>
      </c>
      <c r="AA68" s="2072">
        <v>0.24016174373647098</v>
      </c>
      <c r="AB68" s="2093">
        <v>0.24016174373647098</v>
      </c>
    </row>
    <row r="69" spans="2:28">
      <c r="B69" s="89">
        <v>85</v>
      </c>
      <c r="C69" s="1"/>
      <c r="D69" s="1">
        <v>6.7080000000000002</v>
      </c>
      <c r="E69" s="1">
        <v>3.1139999999999999</v>
      </c>
      <c r="F69" s="1">
        <v>3.1139999999999999</v>
      </c>
      <c r="G69" s="1">
        <v>6.7080000000000002</v>
      </c>
      <c r="H69" s="741">
        <v>0</v>
      </c>
      <c r="I69" s="741">
        <v>0.46422182468694095</v>
      </c>
      <c r="J69" s="2079">
        <v>0.46422182468694095</v>
      </c>
      <c r="K69" s="89">
        <v>85</v>
      </c>
      <c r="L69" s="1">
        <v>0</v>
      </c>
      <c r="M69" s="1">
        <v>7.7679999999999998</v>
      </c>
      <c r="N69" s="1419">
        <v>0.21</v>
      </c>
      <c r="O69" s="1">
        <v>0.21</v>
      </c>
      <c r="P69" s="1">
        <v>7.7679999999999998</v>
      </c>
      <c r="Q69" s="741">
        <v>0</v>
      </c>
      <c r="R69" s="741">
        <v>2.7033985581874358E-2</v>
      </c>
      <c r="S69" s="2079">
        <v>2.7033985581874358E-2</v>
      </c>
      <c r="T69" s="89">
        <v>85</v>
      </c>
      <c r="U69" s="740">
        <v>0</v>
      </c>
      <c r="V69" s="740">
        <v>7.2379999999999995</v>
      </c>
      <c r="W69" s="740">
        <v>1.6619999999999999</v>
      </c>
      <c r="X69" s="740">
        <v>1.6619999999999999</v>
      </c>
      <c r="Y69" s="740">
        <v>7.2379999999999995</v>
      </c>
      <c r="Z69" s="2067">
        <v>0</v>
      </c>
      <c r="AA69" s="2067">
        <v>0.24562790513440766</v>
      </c>
      <c r="AB69" s="2094">
        <v>0.24562790513440766</v>
      </c>
    </row>
    <row r="70" spans="2:28">
      <c r="B70" s="2077">
        <v>86</v>
      </c>
      <c r="C70" s="2069"/>
      <c r="D70" s="2069">
        <v>6.2949999999999999</v>
      </c>
      <c r="E70" s="2069">
        <v>2.992</v>
      </c>
      <c r="F70" s="2069">
        <v>2.992</v>
      </c>
      <c r="G70" s="2069">
        <v>6.2949999999999999</v>
      </c>
      <c r="H70" s="2070">
        <v>0</v>
      </c>
      <c r="I70" s="2070">
        <v>0.47529785544082603</v>
      </c>
      <c r="J70" s="2078">
        <v>0.47529785544082603</v>
      </c>
      <c r="K70" s="2077">
        <v>86</v>
      </c>
      <c r="L70" s="2069">
        <v>0</v>
      </c>
      <c r="M70" s="2069">
        <v>7.2850000000000001</v>
      </c>
      <c r="N70" s="2071">
        <v>0.186</v>
      </c>
      <c r="O70" s="2069">
        <v>0.186</v>
      </c>
      <c r="P70" s="2069">
        <v>7.2850000000000001</v>
      </c>
      <c r="Q70" s="2070">
        <v>0</v>
      </c>
      <c r="R70" s="2070">
        <v>2.553191489361702E-2</v>
      </c>
      <c r="S70" s="2078">
        <v>2.553191489361702E-2</v>
      </c>
      <c r="T70" s="2077">
        <v>86</v>
      </c>
      <c r="U70" s="1686">
        <v>0</v>
      </c>
      <c r="V70" s="1686">
        <v>6.79</v>
      </c>
      <c r="W70" s="1686">
        <v>1.589</v>
      </c>
      <c r="X70" s="1686">
        <v>1.589</v>
      </c>
      <c r="Y70" s="1686">
        <v>6.79</v>
      </c>
      <c r="Z70" s="2072">
        <v>0</v>
      </c>
      <c r="AA70" s="2072">
        <v>0.25041488516722155</v>
      </c>
      <c r="AB70" s="2093">
        <v>0.25041488516722155</v>
      </c>
    </row>
    <row r="71" spans="2:28">
      <c r="B71" s="89">
        <v>87</v>
      </c>
      <c r="C71" s="1"/>
      <c r="D71" s="1">
        <v>5.9089999999999998</v>
      </c>
      <c r="E71" s="1">
        <v>2.8650000000000002</v>
      </c>
      <c r="F71" s="1">
        <v>2.8650000000000002</v>
      </c>
      <c r="G71" s="1">
        <v>5.9089999999999998</v>
      </c>
      <c r="H71" s="741">
        <v>0</v>
      </c>
      <c r="I71" s="741">
        <v>0.4848536131325098</v>
      </c>
      <c r="J71" s="2079">
        <v>0.4848536131325098</v>
      </c>
      <c r="K71" s="89">
        <v>87</v>
      </c>
      <c r="L71" s="1">
        <v>0</v>
      </c>
      <c r="M71" s="1">
        <v>6.8259999999999996</v>
      </c>
      <c r="N71" s="1419">
        <v>0.16200000000000001</v>
      </c>
      <c r="O71" s="1">
        <v>0.16200000000000001</v>
      </c>
      <c r="P71" s="1">
        <v>6.8259999999999996</v>
      </c>
      <c r="Q71" s="741">
        <v>0</v>
      </c>
      <c r="R71" s="741">
        <v>2.3732786404922358E-2</v>
      </c>
      <c r="S71" s="2079">
        <v>2.3732786404922358E-2</v>
      </c>
      <c r="T71" s="89">
        <v>87</v>
      </c>
      <c r="U71" s="740">
        <v>0</v>
      </c>
      <c r="V71" s="740">
        <v>6.3674999999999997</v>
      </c>
      <c r="W71" s="740">
        <v>1.5135000000000001</v>
      </c>
      <c r="X71" s="740">
        <v>1.5135000000000001</v>
      </c>
      <c r="Y71" s="740">
        <v>6.3674999999999997</v>
      </c>
      <c r="Z71" s="2067">
        <v>0</v>
      </c>
      <c r="AA71" s="2067">
        <v>0.25429319976871606</v>
      </c>
      <c r="AB71" s="2094">
        <v>0.25429319976871606</v>
      </c>
    </row>
    <row r="72" spans="2:28">
      <c r="B72" s="2077">
        <v>88</v>
      </c>
      <c r="C72" s="2069"/>
      <c r="D72" s="2069">
        <v>5.5570000000000004</v>
      </c>
      <c r="E72" s="2069">
        <v>2.7050000000000001</v>
      </c>
      <c r="F72" s="2069">
        <v>2.7050000000000001</v>
      </c>
      <c r="G72" s="2069">
        <v>5.5570000000000004</v>
      </c>
      <c r="H72" s="2070">
        <v>0</v>
      </c>
      <c r="I72" s="2070">
        <v>0.48677343890588443</v>
      </c>
      <c r="J72" s="2078">
        <v>0.48677343890588443</v>
      </c>
      <c r="K72" s="2077">
        <v>88</v>
      </c>
      <c r="L72" s="2069">
        <v>0</v>
      </c>
      <c r="M72" s="2069">
        <v>6.3979999999999997</v>
      </c>
      <c r="N72" s="2071">
        <v>0.14000000000000001</v>
      </c>
      <c r="O72" s="2069">
        <v>0.14000000000000001</v>
      </c>
      <c r="P72" s="2069">
        <v>6.3979999999999997</v>
      </c>
      <c r="Q72" s="2070">
        <v>0</v>
      </c>
      <c r="R72" s="2070">
        <v>2.1881838074398252E-2</v>
      </c>
      <c r="S72" s="2078">
        <v>2.1881838074398252E-2</v>
      </c>
      <c r="T72" s="2077">
        <v>88</v>
      </c>
      <c r="U72" s="1686">
        <v>0</v>
      </c>
      <c r="V72" s="1686">
        <v>5.9775</v>
      </c>
      <c r="W72" s="1686">
        <v>1.4225000000000001</v>
      </c>
      <c r="X72" s="1686">
        <v>1.4225000000000001</v>
      </c>
      <c r="Y72" s="1686">
        <v>5.9775</v>
      </c>
      <c r="Z72" s="2072">
        <v>0</v>
      </c>
      <c r="AA72" s="2072">
        <v>0.25432763849014134</v>
      </c>
      <c r="AB72" s="2093">
        <v>0.25432763849014134</v>
      </c>
    </row>
    <row r="73" spans="2:28">
      <c r="B73" s="89">
        <v>89</v>
      </c>
      <c r="C73" s="1"/>
      <c r="D73" s="1">
        <v>5.2469999999999999</v>
      </c>
      <c r="E73" s="1">
        <v>2.5379999999999998</v>
      </c>
      <c r="F73" s="1">
        <v>2.5379999999999998</v>
      </c>
      <c r="G73" s="1">
        <v>5.2469999999999999</v>
      </c>
      <c r="H73" s="741">
        <v>0</v>
      </c>
      <c r="I73" s="741">
        <v>0.483704974271012</v>
      </c>
      <c r="J73" s="2079">
        <v>0.483704974271012</v>
      </c>
      <c r="K73" s="89">
        <v>89</v>
      </c>
      <c r="L73" s="1">
        <v>0</v>
      </c>
      <c r="M73" s="1">
        <v>6.0069999999999997</v>
      </c>
      <c r="N73" s="1419">
        <v>0.11700000000000001</v>
      </c>
      <c r="O73" s="1">
        <v>0.11700000000000001</v>
      </c>
      <c r="P73" s="1">
        <v>6.0069999999999997</v>
      </c>
      <c r="Q73" s="741">
        <v>0</v>
      </c>
      <c r="R73" s="741">
        <v>1.9477276510737475E-2</v>
      </c>
      <c r="S73" s="2079">
        <v>1.9477276510737475E-2</v>
      </c>
      <c r="T73" s="89">
        <v>89</v>
      </c>
      <c r="U73" s="740">
        <v>0</v>
      </c>
      <c r="V73" s="740">
        <v>5.6269999999999998</v>
      </c>
      <c r="W73" s="740">
        <v>1.3274999999999999</v>
      </c>
      <c r="X73" s="740">
        <v>1.3274999999999999</v>
      </c>
      <c r="Y73" s="740">
        <v>5.6269999999999998</v>
      </c>
      <c r="Z73" s="2067">
        <v>0</v>
      </c>
      <c r="AA73" s="2067">
        <v>0.25159112539087475</v>
      </c>
      <c r="AB73" s="2094">
        <v>0.25159112539087475</v>
      </c>
    </row>
    <row r="74" spans="2:28">
      <c r="B74" s="2077">
        <v>90</v>
      </c>
      <c r="C74" s="2069"/>
      <c r="D74" s="2069">
        <v>4.9669999999999996</v>
      </c>
      <c r="E74" s="2069">
        <v>2.3759999999999999</v>
      </c>
      <c r="F74" s="2069">
        <v>2.3759999999999999</v>
      </c>
      <c r="G74" s="2069">
        <v>4.9669999999999996</v>
      </c>
      <c r="H74" s="2070">
        <v>0</v>
      </c>
      <c r="I74" s="2070">
        <v>0.47835715723776928</v>
      </c>
      <c r="J74" s="2078">
        <v>0.47835715723776928</v>
      </c>
      <c r="K74" s="2077">
        <v>90</v>
      </c>
      <c r="L74" s="2069">
        <v>0</v>
      </c>
      <c r="M74" s="2069">
        <v>5.6550000000000002</v>
      </c>
      <c r="N74" s="2071">
        <v>9.7000000000000003E-2</v>
      </c>
      <c r="O74" s="2069">
        <v>9.7000000000000003E-2</v>
      </c>
      <c r="P74" s="2069">
        <v>5.6550000000000002</v>
      </c>
      <c r="Q74" s="2070">
        <v>0</v>
      </c>
      <c r="R74" s="2070">
        <v>1.7152961980548186E-2</v>
      </c>
      <c r="S74" s="2078">
        <v>1.7152961980548186E-2</v>
      </c>
      <c r="T74" s="2077">
        <v>90</v>
      </c>
      <c r="U74" s="1686">
        <v>0</v>
      </c>
      <c r="V74" s="1686">
        <v>5.3109999999999999</v>
      </c>
      <c r="W74" s="1686">
        <v>1.2364999999999999</v>
      </c>
      <c r="X74" s="1686">
        <v>1.2364999999999999</v>
      </c>
      <c r="Y74" s="1686">
        <v>5.3109999999999999</v>
      </c>
      <c r="Z74" s="2072">
        <v>0</v>
      </c>
      <c r="AA74" s="2072">
        <v>0.24775505960915872</v>
      </c>
      <c r="AB74" s="2093">
        <v>0.24775505960915872</v>
      </c>
    </row>
    <row r="75" spans="2:28">
      <c r="B75" s="89">
        <v>91</v>
      </c>
      <c r="C75" s="1"/>
      <c r="D75" s="1">
        <v>4.7060000000000004</v>
      </c>
      <c r="E75" s="1">
        <v>2.1920000000000002</v>
      </c>
      <c r="F75" s="1">
        <v>2.1920000000000002</v>
      </c>
      <c r="G75" s="1">
        <v>4.7060000000000004</v>
      </c>
      <c r="H75" s="741">
        <v>0</v>
      </c>
      <c r="I75" s="741">
        <v>0.46578835529111773</v>
      </c>
      <c r="J75" s="2079">
        <v>0.46578835529111773</v>
      </c>
      <c r="K75" s="89">
        <v>91</v>
      </c>
      <c r="L75" s="1">
        <v>0</v>
      </c>
      <c r="M75" s="1">
        <v>5.3319999999999999</v>
      </c>
      <c r="N75" s="1419">
        <v>0.08</v>
      </c>
      <c r="O75" s="1">
        <v>0.08</v>
      </c>
      <c r="P75" s="1">
        <v>5.3319999999999999</v>
      </c>
      <c r="Q75" s="741">
        <v>0</v>
      </c>
      <c r="R75" s="741">
        <v>1.5003750937734435E-2</v>
      </c>
      <c r="S75" s="2079">
        <v>1.5003750937734435E-2</v>
      </c>
      <c r="T75" s="89">
        <v>91</v>
      </c>
      <c r="U75" s="740">
        <v>0</v>
      </c>
      <c r="V75" s="740">
        <v>5.0190000000000001</v>
      </c>
      <c r="W75" s="740">
        <v>1.1360000000000001</v>
      </c>
      <c r="X75" s="740">
        <v>1.1360000000000001</v>
      </c>
      <c r="Y75" s="740">
        <v>5.0190000000000001</v>
      </c>
      <c r="Z75" s="2067">
        <v>0</v>
      </c>
      <c r="AA75" s="2067">
        <v>0.24039605311442608</v>
      </c>
      <c r="AB75" s="2094">
        <v>0.24039605311442608</v>
      </c>
    </row>
    <row r="76" spans="2:28">
      <c r="B76" s="2077">
        <v>92</v>
      </c>
      <c r="C76" s="2069"/>
      <c r="D76" s="2069">
        <v>4.4630000000000001</v>
      </c>
      <c r="E76" s="2069">
        <v>2.024</v>
      </c>
      <c r="F76" s="2069">
        <v>2.024</v>
      </c>
      <c r="G76" s="2069">
        <v>4.4630000000000001</v>
      </c>
      <c r="H76" s="2070">
        <v>0</v>
      </c>
      <c r="I76" s="2070">
        <v>0.45350660990365227</v>
      </c>
      <c r="J76" s="2078">
        <v>0.45350660990365227</v>
      </c>
      <c r="K76" s="2077">
        <v>92</v>
      </c>
      <c r="L76" s="2069">
        <v>0</v>
      </c>
      <c r="M76" s="2069">
        <v>5.0289999999999999</v>
      </c>
      <c r="N76" s="2071">
        <v>6.5000000000000002E-2</v>
      </c>
      <c r="O76" s="2069">
        <v>6.5000000000000002E-2</v>
      </c>
      <c r="P76" s="2069">
        <v>5.0289999999999999</v>
      </c>
      <c r="Q76" s="2070">
        <v>0</v>
      </c>
      <c r="R76" s="2070">
        <v>1.2925034798170611E-2</v>
      </c>
      <c r="S76" s="2078">
        <v>1.2925034798170611E-2</v>
      </c>
      <c r="T76" s="2077">
        <v>92</v>
      </c>
      <c r="U76" s="1686">
        <v>0</v>
      </c>
      <c r="V76" s="1686">
        <v>4.7460000000000004</v>
      </c>
      <c r="W76" s="1686">
        <v>1.0445</v>
      </c>
      <c r="X76" s="1686">
        <v>1.0445</v>
      </c>
      <c r="Y76" s="1686">
        <v>4.7460000000000004</v>
      </c>
      <c r="Z76" s="2072">
        <v>0</v>
      </c>
      <c r="AA76" s="2072">
        <v>0.23321582235091143</v>
      </c>
      <c r="AB76" s="2093">
        <v>0.23321582235091143</v>
      </c>
    </row>
    <row r="77" spans="2:28">
      <c r="B77" s="89">
        <v>93</v>
      </c>
      <c r="C77" s="1"/>
      <c r="D77" s="1">
        <v>4.2380000000000004</v>
      </c>
      <c r="E77" s="1">
        <v>1.839</v>
      </c>
      <c r="F77" s="1">
        <v>1.839</v>
      </c>
      <c r="G77" s="1">
        <v>4.2380000000000004</v>
      </c>
      <c r="H77" s="741">
        <v>0</v>
      </c>
      <c r="I77" s="741">
        <v>0.43393109957527132</v>
      </c>
      <c r="J77" s="2079">
        <v>0.43393109957527132</v>
      </c>
      <c r="K77" s="89">
        <v>93</v>
      </c>
      <c r="L77" s="1">
        <v>0</v>
      </c>
      <c r="M77" s="1">
        <v>4.7469999999999999</v>
      </c>
      <c r="N77" s="1419">
        <v>5.2999999999999999E-2</v>
      </c>
      <c r="O77" s="1">
        <v>5.2999999999999999E-2</v>
      </c>
      <c r="P77" s="1">
        <v>4.7469999999999999</v>
      </c>
      <c r="Q77" s="741">
        <v>0</v>
      </c>
      <c r="R77" s="741">
        <v>1.1164946281862228E-2</v>
      </c>
      <c r="S77" s="2079">
        <v>1.1164946281862228E-2</v>
      </c>
      <c r="T77" s="89">
        <v>93</v>
      </c>
      <c r="U77" s="740">
        <v>0</v>
      </c>
      <c r="V77" s="740">
        <v>4.4924999999999997</v>
      </c>
      <c r="W77" s="740">
        <v>0.94599999999999995</v>
      </c>
      <c r="X77" s="740">
        <v>0.94599999999999995</v>
      </c>
      <c r="Y77" s="740">
        <v>4.4924999999999997</v>
      </c>
      <c r="Z77" s="2067">
        <v>0</v>
      </c>
      <c r="AA77" s="2067">
        <v>0.22254802292856676</v>
      </c>
      <c r="AB77" s="2094">
        <v>0.22254802292856676</v>
      </c>
    </row>
    <row r="78" spans="2:28">
      <c r="B78" s="2077">
        <v>94</v>
      </c>
      <c r="C78" s="2069"/>
      <c r="D78" s="2069">
        <v>4.0309999999999997</v>
      </c>
      <c r="E78" s="2069">
        <v>1.6739999999999999</v>
      </c>
      <c r="F78" s="2069">
        <v>1.6739999999999999</v>
      </c>
      <c r="G78" s="2069">
        <v>4.0309999999999997</v>
      </c>
      <c r="H78" s="2070">
        <v>0</v>
      </c>
      <c r="I78" s="2070">
        <v>0.41528156784916898</v>
      </c>
      <c r="J78" s="2078">
        <v>0.41528156784916898</v>
      </c>
      <c r="K78" s="2077">
        <v>94</v>
      </c>
      <c r="L78" s="2069">
        <v>0</v>
      </c>
      <c r="M78" s="2069">
        <v>4.4850000000000003</v>
      </c>
      <c r="N78" s="2071">
        <v>4.2000000000000003E-2</v>
      </c>
      <c r="O78" s="2069">
        <v>4.2000000000000003E-2</v>
      </c>
      <c r="P78" s="2069">
        <v>4.4850000000000003</v>
      </c>
      <c r="Q78" s="2070">
        <v>0</v>
      </c>
      <c r="R78" s="2070">
        <v>9.3645484949832769E-3</v>
      </c>
      <c r="S78" s="2078">
        <v>9.3645484949832769E-3</v>
      </c>
      <c r="T78" s="2077">
        <v>94</v>
      </c>
      <c r="U78" s="1686">
        <v>0</v>
      </c>
      <c r="V78" s="1686">
        <v>4.258</v>
      </c>
      <c r="W78" s="1686">
        <v>0.85799999999999998</v>
      </c>
      <c r="X78" s="1686">
        <v>0.85799999999999998</v>
      </c>
      <c r="Y78" s="1686">
        <v>4.258</v>
      </c>
      <c r="Z78" s="2072">
        <v>0</v>
      </c>
      <c r="AA78" s="2072">
        <v>0.21232305817207614</v>
      </c>
      <c r="AB78" s="2093">
        <v>0.21232305817207614</v>
      </c>
    </row>
    <row r="79" spans="2:28">
      <c r="B79" s="89">
        <v>95</v>
      </c>
      <c r="C79" s="1"/>
      <c r="D79" s="1">
        <v>3.8420000000000001</v>
      </c>
      <c r="E79" s="1">
        <v>1.528</v>
      </c>
      <c r="F79" s="1">
        <v>1.528</v>
      </c>
      <c r="G79" s="1">
        <v>3.8420000000000001</v>
      </c>
      <c r="H79" s="741">
        <v>0</v>
      </c>
      <c r="I79" s="741">
        <v>0.39770952628839146</v>
      </c>
      <c r="J79" s="2079">
        <v>0.39770952628839146</v>
      </c>
      <c r="K79" s="89">
        <v>95</v>
      </c>
      <c r="L79" s="1">
        <v>0</v>
      </c>
      <c r="M79" s="1">
        <v>4.2450000000000001</v>
      </c>
      <c r="N79" s="1419">
        <v>3.4000000000000002E-2</v>
      </c>
      <c r="O79" s="1">
        <v>3.4000000000000002E-2</v>
      </c>
      <c r="P79" s="1">
        <v>4.2450000000000001</v>
      </c>
      <c r="Q79" s="741">
        <v>0</v>
      </c>
      <c r="R79" s="741">
        <v>8.0094228504122497E-3</v>
      </c>
      <c r="S79" s="2079">
        <v>8.0094228504122497E-3</v>
      </c>
      <c r="T79" s="89">
        <v>95</v>
      </c>
      <c r="U79" s="740">
        <v>0</v>
      </c>
      <c r="V79" s="740">
        <v>4.0434999999999999</v>
      </c>
      <c r="W79" s="740">
        <v>0.78100000000000003</v>
      </c>
      <c r="X79" s="740">
        <v>0.78100000000000003</v>
      </c>
      <c r="Y79" s="740">
        <v>4.0434999999999999</v>
      </c>
      <c r="Z79" s="2067">
        <v>0</v>
      </c>
      <c r="AA79" s="2067">
        <v>0.20285947456940184</v>
      </c>
      <c r="AB79" s="2094">
        <v>0.20285947456940184</v>
      </c>
    </row>
    <row r="80" spans="2:28">
      <c r="B80" s="2077">
        <v>96</v>
      </c>
      <c r="C80" s="2069"/>
      <c r="D80" s="2069">
        <v>3.67</v>
      </c>
      <c r="E80" s="2069">
        <v>1.3640000000000001</v>
      </c>
      <c r="F80" s="2069">
        <v>1.3640000000000001</v>
      </c>
      <c r="G80" s="2069">
        <v>3.67</v>
      </c>
      <c r="H80" s="2070">
        <v>0</v>
      </c>
      <c r="I80" s="2070">
        <v>0.3716621253405995</v>
      </c>
      <c r="J80" s="2078">
        <v>0.3716621253405995</v>
      </c>
      <c r="K80" s="2077">
        <v>96</v>
      </c>
      <c r="L80" s="2069">
        <v>0</v>
      </c>
      <c r="M80" s="2069">
        <v>4.024</v>
      </c>
      <c r="N80" s="2071">
        <v>2.7E-2</v>
      </c>
      <c r="O80" s="2069">
        <v>2.7E-2</v>
      </c>
      <c r="P80" s="2069">
        <v>4.024</v>
      </c>
      <c r="Q80" s="2070">
        <v>0</v>
      </c>
      <c r="R80" s="2070">
        <v>6.7097415506958248E-3</v>
      </c>
      <c r="S80" s="2078">
        <v>6.7097415506958248E-3</v>
      </c>
      <c r="T80" s="2077">
        <v>96</v>
      </c>
      <c r="U80" s="1686">
        <v>0</v>
      </c>
      <c r="V80" s="1686">
        <v>3.847</v>
      </c>
      <c r="W80" s="1686">
        <v>0.69550000000000001</v>
      </c>
      <c r="X80" s="1686">
        <v>0.69550000000000001</v>
      </c>
      <c r="Y80" s="1686">
        <v>3.847</v>
      </c>
      <c r="Z80" s="2072">
        <v>0</v>
      </c>
      <c r="AA80" s="2072">
        <v>0.18918593344564766</v>
      </c>
      <c r="AB80" s="2093">
        <v>0.18918593344564766</v>
      </c>
    </row>
    <row r="81" spans="2:28">
      <c r="B81" s="89">
        <v>97</v>
      </c>
      <c r="C81" s="1"/>
      <c r="D81" s="1">
        <v>3.5129999999999999</v>
      </c>
      <c r="E81" s="1">
        <v>1.2110000000000001</v>
      </c>
      <c r="F81" s="1">
        <v>1.2110000000000001</v>
      </c>
      <c r="G81" s="1">
        <v>3.5129999999999999</v>
      </c>
      <c r="H81" s="741">
        <v>0</v>
      </c>
      <c r="I81" s="741">
        <v>0.34471961286649588</v>
      </c>
      <c r="J81" s="2079">
        <v>0.34471961286649588</v>
      </c>
      <c r="K81" s="89">
        <v>97</v>
      </c>
      <c r="L81" s="1">
        <v>0</v>
      </c>
      <c r="M81" s="1">
        <v>3.8239999999999998</v>
      </c>
      <c r="N81" s="1419">
        <v>2.1000000000000001E-2</v>
      </c>
      <c r="O81" s="1">
        <v>2.1000000000000001E-2</v>
      </c>
      <c r="P81" s="1">
        <v>3.8239999999999998</v>
      </c>
      <c r="Q81" s="741">
        <v>0</v>
      </c>
      <c r="R81" s="741">
        <v>5.4916317991631804E-3</v>
      </c>
      <c r="S81" s="2079">
        <v>5.4916317991631804E-3</v>
      </c>
      <c r="T81" s="89">
        <v>97</v>
      </c>
      <c r="U81" s="740">
        <v>0</v>
      </c>
      <c r="V81" s="740">
        <v>3.6684999999999999</v>
      </c>
      <c r="W81" s="740">
        <v>0.61599999999999999</v>
      </c>
      <c r="X81" s="740">
        <v>0.61599999999999999</v>
      </c>
      <c r="Y81" s="740">
        <v>3.6684999999999999</v>
      </c>
      <c r="Z81" s="2067">
        <v>0</v>
      </c>
      <c r="AA81" s="2067">
        <v>0.17510562233282953</v>
      </c>
      <c r="AB81" s="2094">
        <v>0.17510562233282953</v>
      </c>
    </row>
    <row r="82" spans="2:28">
      <c r="B82" s="2077">
        <v>98</v>
      </c>
      <c r="C82" s="2069"/>
      <c r="D82" s="2069">
        <v>3.371</v>
      </c>
      <c r="E82" s="2069">
        <v>1.038</v>
      </c>
      <c r="F82" s="2069">
        <v>1.038</v>
      </c>
      <c r="G82" s="2069">
        <v>3.371</v>
      </c>
      <c r="H82" s="2070">
        <v>0</v>
      </c>
      <c r="I82" s="2070">
        <v>0.30792049836843666</v>
      </c>
      <c r="J82" s="2078">
        <v>0.30792049836843666</v>
      </c>
      <c r="K82" s="2077">
        <v>98</v>
      </c>
      <c r="L82" s="2069">
        <v>0</v>
      </c>
      <c r="M82" s="2069">
        <v>3.6429999999999998</v>
      </c>
      <c r="N82" s="2071">
        <v>1.7000000000000001E-2</v>
      </c>
      <c r="O82" s="2069">
        <v>1.7000000000000001E-2</v>
      </c>
      <c r="P82" s="2069">
        <v>3.6429999999999998</v>
      </c>
      <c r="Q82" s="2070">
        <v>0</v>
      </c>
      <c r="R82" s="2070">
        <v>4.6664836673071652E-3</v>
      </c>
      <c r="S82" s="2078">
        <v>4.6664836673071652E-3</v>
      </c>
      <c r="T82" s="2077">
        <v>98</v>
      </c>
      <c r="U82" s="1686">
        <v>0</v>
      </c>
      <c r="V82" s="1686">
        <v>3.5069999999999997</v>
      </c>
      <c r="W82" s="1686">
        <v>0.52749999999999997</v>
      </c>
      <c r="X82" s="1686">
        <v>0.52749999999999997</v>
      </c>
      <c r="Y82" s="1686">
        <v>3.5069999999999997</v>
      </c>
      <c r="Z82" s="2072">
        <v>0</v>
      </c>
      <c r="AA82" s="2072">
        <v>0.15629349101787191</v>
      </c>
      <c r="AB82" s="2093">
        <v>0.15629349101787191</v>
      </c>
    </row>
    <row r="83" spans="2:28">
      <c r="B83" s="89">
        <v>99</v>
      </c>
      <c r="C83" s="1"/>
      <c r="D83" s="1">
        <v>3.2429999999999999</v>
      </c>
      <c r="E83" s="1">
        <v>0.84499999999999997</v>
      </c>
      <c r="F83" s="1">
        <v>0.84499999999999997</v>
      </c>
      <c r="G83" s="1">
        <v>3.2429999999999999</v>
      </c>
      <c r="H83" s="741">
        <v>0</v>
      </c>
      <c r="I83" s="741">
        <v>0.26056120875732347</v>
      </c>
      <c r="J83" s="2079">
        <v>0.26056120875732347</v>
      </c>
      <c r="K83" s="89">
        <v>99</v>
      </c>
      <c r="L83" s="1">
        <v>0</v>
      </c>
      <c r="M83" s="1">
        <v>3.48</v>
      </c>
      <c r="N83" s="1419">
        <v>1.2999999999999999E-2</v>
      </c>
      <c r="O83" s="1">
        <v>1.2999999999999999E-2</v>
      </c>
      <c r="P83" s="1">
        <v>3.48</v>
      </c>
      <c r="Q83" s="741">
        <v>0</v>
      </c>
      <c r="R83" s="741">
        <v>3.7356321839080459E-3</v>
      </c>
      <c r="S83" s="2079">
        <v>3.7356321839080459E-3</v>
      </c>
      <c r="T83" s="89">
        <v>99</v>
      </c>
      <c r="U83" s="740">
        <v>0</v>
      </c>
      <c r="V83" s="740">
        <v>3.3614999999999999</v>
      </c>
      <c r="W83" s="740">
        <v>0.42899999999999999</v>
      </c>
      <c r="X83" s="740">
        <v>0.42899999999999999</v>
      </c>
      <c r="Y83" s="740">
        <v>3.3614999999999999</v>
      </c>
      <c r="Z83" s="2067">
        <v>0</v>
      </c>
      <c r="AA83" s="2067">
        <v>0.13214842047061576</v>
      </c>
      <c r="AB83" s="2094">
        <v>0.13214842047061576</v>
      </c>
    </row>
    <row r="84" spans="2:28" ht="15" thickBot="1">
      <c r="B84" s="2080">
        <v>100</v>
      </c>
      <c r="C84" s="2081"/>
      <c r="D84" s="2081">
        <v>3.1269999999999998</v>
      </c>
      <c r="E84" s="2081">
        <v>0.67</v>
      </c>
      <c r="F84" s="2081">
        <v>0.67</v>
      </c>
      <c r="G84" s="2081">
        <v>3.1269999999999998</v>
      </c>
      <c r="H84" s="2082">
        <v>0</v>
      </c>
      <c r="I84" s="2082">
        <v>0.21426287176207229</v>
      </c>
      <c r="J84" s="2083">
        <v>0.21426287176207229</v>
      </c>
      <c r="K84" s="2080">
        <v>100</v>
      </c>
      <c r="L84" s="2081">
        <v>0</v>
      </c>
      <c r="M84" s="2081">
        <v>3.335</v>
      </c>
      <c r="N84" s="2088">
        <v>0.01</v>
      </c>
      <c r="O84" s="2081">
        <v>0.01</v>
      </c>
      <c r="P84" s="2081">
        <v>3.335</v>
      </c>
      <c r="Q84" s="2082">
        <v>0</v>
      </c>
      <c r="R84" s="2082">
        <v>2.9985007496251873E-3</v>
      </c>
      <c r="S84" s="2083">
        <v>2.9985007496251873E-3</v>
      </c>
      <c r="T84" s="2080">
        <v>100</v>
      </c>
      <c r="U84" s="2095">
        <v>0</v>
      </c>
      <c r="V84" s="2095">
        <v>3.2309999999999999</v>
      </c>
      <c r="W84" s="2095">
        <v>0.34</v>
      </c>
      <c r="X84" s="2095">
        <v>0.34</v>
      </c>
      <c r="Y84" s="2095">
        <v>3.2309999999999999</v>
      </c>
      <c r="Z84" s="2096">
        <v>0</v>
      </c>
      <c r="AA84" s="2096">
        <v>0.10863068625584874</v>
      </c>
      <c r="AB84" s="2097">
        <v>0.10863068625584874</v>
      </c>
    </row>
  </sheetData>
  <sheetProtection algorithmName="SHA-512" hashValue="GEA6yB70rZEXhgqqw3kO+hcVDaJG0lRPvYldO0LiQxY93hyOKoEWX1iHUPEfw4bsvzNk+3Qqr1hBSy+b8YrUew==" saltValue="NQhY2jAo1ICWG5DhVAO4Ow==" spinCount="100000" sheet="1" objects="1" scenarios="1" formatColumns="0" autoFilter="0"/>
  <mergeCells count="3">
    <mergeCell ref="H2:J2"/>
    <mergeCell ref="Q2:S2"/>
    <mergeCell ref="Z2:AB2"/>
  </mergeCell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6"/>
  <dimension ref="A1:AB84"/>
  <sheetViews>
    <sheetView topLeftCell="B1" zoomScale="85" zoomScaleNormal="85" workbookViewId="0">
      <pane ySplit="1935" topLeftCell="A8" activePane="bottomLeft"/>
      <selection sqref="A1:XFD1048576"/>
      <selection pane="bottomLeft" activeCell="N9" sqref="N9"/>
    </sheetView>
  </sheetViews>
  <sheetFormatPr baseColWidth="10" defaultColWidth="11.125" defaultRowHeight="14.25"/>
  <cols>
    <col min="1" max="1" width="21" hidden="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1" spans="1:28" ht="15" thickBot="1">
      <c r="B1" s="4"/>
      <c r="C1" s="4"/>
      <c r="D1" s="4"/>
      <c r="E1" s="4"/>
      <c r="F1" s="4"/>
      <c r="G1" s="4"/>
      <c r="H1" s="4"/>
      <c r="I1" s="4"/>
      <c r="J1" s="4"/>
      <c r="K1" s="4"/>
      <c r="L1" s="4"/>
      <c r="M1" s="4"/>
      <c r="N1" s="4"/>
      <c r="O1" s="4"/>
      <c r="P1" s="4"/>
      <c r="Q1" s="4"/>
      <c r="R1" s="4"/>
      <c r="S1" s="4"/>
      <c r="T1" s="4"/>
      <c r="U1" s="4"/>
      <c r="V1" s="4"/>
      <c r="W1" s="4"/>
      <c r="X1" s="4"/>
      <c r="Y1" s="4"/>
      <c r="Z1" s="4"/>
      <c r="AA1" s="4"/>
      <c r="AB1" s="4"/>
    </row>
    <row r="2" spans="1:28" s="127" customFormat="1" ht="72" customHeight="1">
      <c r="A2" s="127" t="s">
        <v>1942</v>
      </c>
      <c r="B2" s="4050" t="s">
        <v>7</v>
      </c>
      <c r="C2" s="2074" t="s">
        <v>0</v>
      </c>
      <c r="D2" s="2074" t="s">
        <v>1</v>
      </c>
      <c r="E2" s="2074" t="s">
        <v>2</v>
      </c>
      <c r="F2" s="2074" t="s">
        <v>1688</v>
      </c>
      <c r="G2" s="2074" t="s">
        <v>1940</v>
      </c>
      <c r="H2" s="4046" t="s">
        <v>5</v>
      </c>
      <c r="I2" s="4046"/>
      <c r="J2" s="4047"/>
      <c r="K2" s="2084"/>
      <c r="L2" s="2085" t="s">
        <v>0</v>
      </c>
      <c r="M2" s="2085" t="s">
        <v>1</v>
      </c>
      <c r="N2" s="2085" t="s">
        <v>2</v>
      </c>
      <c r="O2" s="2085" t="s">
        <v>1688</v>
      </c>
      <c r="P2" s="2085" t="str">
        <f>+G2</f>
        <v>Anwartschafts-barwert
Altersrente</v>
      </c>
      <c r="Q2" s="4048" t="s">
        <v>6</v>
      </c>
      <c r="R2" s="4048"/>
      <c r="S2" s="4049"/>
      <c r="T2" s="2089"/>
      <c r="U2" s="2090" t="s">
        <v>0</v>
      </c>
      <c r="V2" s="2090" t="s">
        <v>1</v>
      </c>
      <c r="W2" s="2090" t="s">
        <v>2</v>
      </c>
      <c r="X2" s="2090" t="s">
        <v>1688</v>
      </c>
      <c r="Y2" s="2090" t="str">
        <f>+G2</f>
        <v>Anwartschafts-barwert
Altersrente</v>
      </c>
      <c r="Z2" s="4052" t="s">
        <v>6</v>
      </c>
      <c r="AA2" s="4052"/>
      <c r="AB2" s="4053"/>
    </row>
    <row r="3" spans="1:28" s="2" customFormat="1" ht="13.5">
      <c r="A3" s="60">
        <v>43111</v>
      </c>
      <c r="B3" s="4051"/>
      <c r="C3" s="2068" t="s">
        <v>17</v>
      </c>
      <c r="D3" s="2068" t="s">
        <v>18</v>
      </c>
      <c r="E3" s="2068" t="s">
        <v>24</v>
      </c>
      <c r="F3" s="2068"/>
      <c r="G3" s="2068"/>
      <c r="H3" s="1105" t="s">
        <v>8</v>
      </c>
      <c r="I3" s="1105" t="s">
        <v>9</v>
      </c>
      <c r="J3" s="2076" t="s">
        <v>10</v>
      </c>
      <c r="K3" s="2086" t="s">
        <v>7</v>
      </c>
      <c r="L3" s="1106" t="s">
        <v>19</v>
      </c>
      <c r="M3" s="1106" t="s">
        <v>20</v>
      </c>
      <c r="N3" s="1106" t="s">
        <v>26</v>
      </c>
      <c r="O3" s="1106"/>
      <c r="P3" s="1106"/>
      <c r="Q3" s="1106" t="s">
        <v>8</v>
      </c>
      <c r="R3" s="1106" t="s">
        <v>9</v>
      </c>
      <c r="S3" s="2087" t="s">
        <v>10</v>
      </c>
      <c r="T3" s="2106" t="s">
        <v>7</v>
      </c>
      <c r="U3" s="2107" t="s">
        <v>19</v>
      </c>
      <c r="V3" s="2107" t="s">
        <v>20</v>
      </c>
      <c r="W3" s="2107" t="s">
        <v>26</v>
      </c>
      <c r="X3" s="2107" t="s">
        <v>27</v>
      </c>
      <c r="Y3" s="2107"/>
      <c r="Z3" s="2107" t="s">
        <v>8</v>
      </c>
      <c r="AA3" s="2107" t="s">
        <v>9</v>
      </c>
      <c r="AB3" s="2108" t="s">
        <v>10</v>
      </c>
    </row>
    <row r="4" spans="1:28">
      <c r="B4" s="2077">
        <v>20</v>
      </c>
      <c r="C4" s="2069">
        <v>0.26800000000000002</v>
      </c>
      <c r="D4" s="2069">
        <v>5.1230000000000002</v>
      </c>
      <c r="E4" s="2069">
        <v>0.53100000000000003</v>
      </c>
      <c r="F4" s="2069">
        <v>0.53100000000000003</v>
      </c>
      <c r="G4" s="2069">
        <v>4.8550000000000004</v>
      </c>
      <c r="H4" s="2070">
        <v>5.5200823892893922E-2</v>
      </c>
      <c r="I4" s="2070">
        <v>0.1093717816683831</v>
      </c>
      <c r="J4" s="2078">
        <v>0.16457260556127701</v>
      </c>
      <c r="K4" s="2077">
        <v>20</v>
      </c>
      <c r="L4" s="2069">
        <v>0.26800000000000002</v>
      </c>
      <c r="M4" s="2069">
        <v>5.8920000000000003</v>
      </c>
      <c r="N4" s="2071">
        <v>0.13200000000000001</v>
      </c>
      <c r="O4" s="2069">
        <v>0.13200000000000001</v>
      </c>
      <c r="P4" s="2069">
        <v>5.6240000000000006</v>
      </c>
      <c r="Q4" s="2070">
        <v>4.7652916073968703E-2</v>
      </c>
      <c r="R4" s="2070">
        <v>2.3470839260312942E-2</v>
      </c>
      <c r="S4" s="2078">
        <v>7.1123755334281641E-2</v>
      </c>
      <c r="T4" s="2077">
        <v>20</v>
      </c>
      <c r="U4" s="1686">
        <v>0.26800000000000002</v>
      </c>
      <c r="V4" s="1686">
        <v>5.5075000000000003</v>
      </c>
      <c r="W4" s="1686">
        <v>0.33150000000000002</v>
      </c>
      <c r="X4" s="1686">
        <v>0.49299999999999999</v>
      </c>
      <c r="Y4" s="1686">
        <v>5.8960000000000008</v>
      </c>
      <c r="Z4" s="2072">
        <v>4.9533799533799529E-2</v>
      </c>
      <c r="AA4" s="2072">
        <v>9.5765345765345747E-2</v>
      </c>
      <c r="AB4" s="2093">
        <v>0.14529914529914528</v>
      </c>
    </row>
    <row r="5" spans="1:28">
      <c r="B5" s="89">
        <v>21</v>
      </c>
      <c r="C5" s="1">
        <v>0.32100000000000001</v>
      </c>
      <c r="D5" s="1">
        <v>5.2789999999999999</v>
      </c>
      <c r="E5" s="1">
        <v>0.61699999999999999</v>
      </c>
      <c r="F5" s="1">
        <v>0.61699999999999999</v>
      </c>
      <c r="G5" s="1">
        <v>4.9580000000000002</v>
      </c>
      <c r="H5" s="741">
        <v>6.4743848325937881E-2</v>
      </c>
      <c r="I5" s="741">
        <v>0.12444534086325131</v>
      </c>
      <c r="J5" s="2079">
        <v>0.1891891891891892</v>
      </c>
      <c r="K5" s="89">
        <v>21</v>
      </c>
      <c r="L5" s="1">
        <v>0.32100000000000001</v>
      </c>
      <c r="M5" s="1">
        <v>6.0679999999999996</v>
      </c>
      <c r="N5" s="1419">
        <v>0.159</v>
      </c>
      <c r="O5" s="1">
        <v>0.159</v>
      </c>
      <c r="P5" s="1">
        <v>5.7469999999999999</v>
      </c>
      <c r="Q5" s="741">
        <v>5.5855228815033936E-2</v>
      </c>
      <c r="R5" s="741">
        <v>2.7666608665390641E-2</v>
      </c>
      <c r="S5" s="2079">
        <v>8.3521837480424577E-2</v>
      </c>
      <c r="T5" s="89">
        <v>21</v>
      </c>
      <c r="U5" s="740">
        <v>0.32100000000000001</v>
      </c>
      <c r="V5" s="740">
        <v>5.6734999999999998</v>
      </c>
      <c r="W5" s="740">
        <v>0.38800000000000001</v>
      </c>
      <c r="X5" s="740">
        <v>0.49299999999999999</v>
      </c>
      <c r="Y5" s="740">
        <v>5.8960000000000008</v>
      </c>
      <c r="Z5" s="2067">
        <v>4.9533799533799529E-2</v>
      </c>
      <c r="AA5" s="2067">
        <v>9.5765345765345747E-2</v>
      </c>
      <c r="AB5" s="2094">
        <v>0.14529914529914528</v>
      </c>
    </row>
    <row r="6" spans="1:28">
      <c r="B6" s="2077">
        <v>22</v>
      </c>
      <c r="C6" s="2069">
        <v>0.371</v>
      </c>
      <c r="D6" s="2069">
        <v>5.4379999999999997</v>
      </c>
      <c r="E6" s="2069">
        <v>0.70899999999999996</v>
      </c>
      <c r="F6" s="2069">
        <v>0.70899999999999996</v>
      </c>
      <c r="G6" s="2069">
        <v>5.0670000000000002</v>
      </c>
      <c r="H6" s="2070">
        <v>7.32188671797908E-2</v>
      </c>
      <c r="I6" s="2070">
        <v>0.1399250049338859</v>
      </c>
      <c r="J6" s="2078">
        <v>0.21314387211367669</v>
      </c>
      <c r="K6" s="2077">
        <v>22</v>
      </c>
      <c r="L6" s="2069">
        <v>0.371</v>
      </c>
      <c r="M6" s="2069">
        <v>6.2489999999999997</v>
      </c>
      <c r="N6" s="2071">
        <v>0.185</v>
      </c>
      <c r="O6" s="2069">
        <v>0.185</v>
      </c>
      <c r="P6" s="2069">
        <v>5.8780000000000001</v>
      </c>
      <c r="Q6" s="2070">
        <v>6.31167063627084E-2</v>
      </c>
      <c r="R6" s="2070">
        <v>3.1473290234773729E-2</v>
      </c>
      <c r="S6" s="2078">
        <v>9.4589996597482129E-2</v>
      </c>
      <c r="T6" s="2077">
        <v>22</v>
      </c>
      <c r="U6" s="1686">
        <v>0.371</v>
      </c>
      <c r="V6" s="1686">
        <v>5.8434999999999997</v>
      </c>
      <c r="W6" s="1686">
        <v>0.44699999999999995</v>
      </c>
      <c r="X6" s="1686">
        <v>0.49299999999999999</v>
      </c>
      <c r="Y6" s="1686">
        <v>5.8960000000000008</v>
      </c>
      <c r="Z6" s="2072">
        <v>4.9533799533799529E-2</v>
      </c>
      <c r="AA6" s="2072">
        <v>9.5765345765345747E-2</v>
      </c>
      <c r="AB6" s="2093">
        <v>0.14529914529914528</v>
      </c>
    </row>
    <row r="7" spans="1:28">
      <c r="B7" s="89">
        <v>23</v>
      </c>
      <c r="C7" s="1">
        <v>0.41199999999999998</v>
      </c>
      <c r="D7" s="1">
        <v>5.601</v>
      </c>
      <c r="E7" s="1">
        <v>0.80500000000000005</v>
      </c>
      <c r="F7" s="1">
        <v>0.80500000000000005</v>
      </c>
      <c r="G7" s="1">
        <v>5.1890000000000001</v>
      </c>
      <c r="H7" s="741">
        <v>7.9398728078627856E-2</v>
      </c>
      <c r="I7" s="741">
        <v>0.15513586432838697</v>
      </c>
      <c r="J7" s="2079">
        <v>0.23453459240701482</v>
      </c>
      <c r="K7" s="89">
        <v>23</v>
      </c>
      <c r="L7" s="1">
        <v>0.41199999999999998</v>
      </c>
      <c r="M7" s="1">
        <v>6.4349999999999996</v>
      </c>
      <c r="N7" s="1419">
        <v>0.20599999999999999</v>
      </c>
      <c r="O7" s="1">
        <v>0.20599999999999999</v>
      </c>
      <c r="P7" s="1">
        <v>6.0229999999999997</v>
      </c>
      <c r="Q7" s="741">
        <v>6.8404449609828985E-2</v>
      </c>
      <c r="R7" s="741">
        <v>3.4202224804914493E-2</v>
      </c>
      <c r="S7" s="2079">
        <v>0.10260667441474347</v>
      </c>
      <c r="T7" s="89">
        <v>23</v>
      </c>
      <c r="U7" s="740">
        <v>0.41199999999999998</v>
      </c>
      <c r="V7" s="740">
        <v>6.0179999999999998</v>
      </c>
      <c r="W7" s="740">
        <v>0.50550000000000006</v>
      </c>
      <c r="X7" s="740">
        <v>0.49299999999999999</v>
      </c>
      <c r="Y7" s="740">
        <v>5.8960000000000008</v>
      </c>
      <c r="Z7" s="2067">
        <v>4.9533799533799529E-2</v>
      </c>
      <c r="AA7" s="2067">
        <v>9.5765345765345747E-2</v>
      </c>
      <c r="AB7" s="2094">
        <v>0.14529914529914528</v>
      </c>
    </row>
    <row r="8" spans="1:28">
      <c r="B8" s="2077">
        <v>24</v>
      </c>
      <c r="C8" s="2069">
        <v>0.44900000000000001</v>
      </c>
      <c r="D8" s="2069">
        <v>5.7690000000000001</v>
      </c>
      <c r="E8" s="2069">
        <v>0.89400000000000002</v>
      </c>
      <c r="F8" s="2069">
        <v>0.89400000000000002</v>
      </c>
      <c r="G8" s="2069">
        <v>5.32</v>
      </c>
      <c r="H8" s="2070">
        <v>8.43984962406015E-2</v>
      </c>
      <c r="I8" s="2070">
        <v>0.16804511278195489</v>
      </c>
      <c r="J8" s="2078">
        <v>0.25244360902255636</v>
      </c>
      <c r="K8" s="2077">
        <v>24</v>
      </c>
      <c r="L8" s="2069">
        <v>0.44900000000000001</v>
      </c>
      <c r="M8" s="2069">
        <v>6.625</v>
      </c>
      <c r="N8" s="2071">
        <v>0.22700000000000001</v>
      </c>
      <c r="O8" s="2069">
        <v>0.22700000000000001</v>
      </c>
      <c r="P8" s="2069">
        <v>6.1760000000000002</v>
      </c>
      <c r="Q8" s="2070">
        <v>7.2700777202072533E-2</v>
      </c>
      <c r="R8" s="2070">
        <v>3.6755181347150258E-2</v>
      </c>
      <c r="S8" s="2078">
        <v>0.1094559585492228</v>
      </c>
      <c r="T8" s="2077">
        <v>24</v>
      </c>
      <c r="U8" s="1686">
        <v>0.44900000000000001</v>
      </c>
      <c r="V8" s="1686">
        <v>6.1970000000000001</v>
      </c>
      <c r="W8" s="1686">
        <v>0.5605</v>
      </c>
      <c r="X8" s="1686">
        <v>0.49299999999999999</v>
      </c>
      <c r="Y8" s="1686">
        <v>5.8960000000000008</v>
      </c>
      <c r="Z8" s="2072">
        <v>4.9533799533799529E-2</v>
      </c>
      <c r="AA8" s="2072">
        <v>9.5765345765345747E-2</v>
      </c>
      <c r="AB8" s="2093">
        <v>0.14529914529914528</v>
      </c>
    </row>
    <row r="9" spans="1:28">
      <c r="B9" s="89">
        <v>25</v>
      </c>
      <c r="C9" s="1">
        <v>0.48599999999999999</v>
      </c>
      <c r="D9" s="1">
        <v>5.94</v>
      </c>
      <c r="E9" s="1">
        <v>0.97599999999999998</v>
      </c>
      <c r="F9" s="1">
        <v>0.97599999999999998</v>
      </c>
      <c r="G9" s="1">
        <v>5.4540000000000006</v>
      </c>
      <c r="H9" s="741">
        <v>8.9108910891089091E-2</v>
      </c>
      <c r="I9" s="741">
        <v>0.17895122845617892</v>
      </c>
      <c r="J9" s="2079">
        <v>0.26806013934726802</v>
      </c>
      <c r="K9" s="89">
        <v>25</v>
      </c>
      <c r="L9" s="1">
        <v>0.48599999999999999</v>
      </c>
      <c r="M9" s="1">
        <v>6.819</v>
      </c>
      <c r="N9" s="1419">
        <v>0.247</v>
      </c>
      <c r="O9" s="1">
        <v>0.247</v>
      </c>
      <c r="P9" s="1">
        <v>6.3330000000000002</v>
      </c>
      <c r="Q9" s="741">
        <v>7.6740881099005204E-2</v>
      </c>
      <c r="R9" s="741">
        <v>3.9002052739617876E-2</v>
      </c>
      <c r="S9" s="2079">
        <v>0.11574293383862308</v>
      </c>
      <c r="T9" s="89">
        <v>25</v>
      </c>
      <c r="U9" s="740">
        <v>0.48599999999999999</v>
      </c>
      <c r="V9" s="740">
        <v>6.3795000000000002</v>
      </c>
      <c r="W9" s="740">
        <v>0.61149999999999993</v>
      </c>
      <c r="X9" s="740">
        <v>0.49299999999999999</v>
      </c>
      <c r="Y9" s="740">
        <v>5.8960000000000008</v>
      </c>
      <c r="Z9" s="2067">
        <v>4.9533799533799529E-2</v>
      </c>
      <c r="AA9" s="2067">
        <v>9.5765345765345747E-2</v>
      </c>
      <c r="AB9" s="2094">
        <v>0.14529914529914528</v>
      </c>
    </row>
    <row r="10" spans="1:28">
      <c r="B10" s="2077">
        <v>26</v>
      </c>
      <c r="C10" s="2069">
        <v>0.52100000000000002</v>
      </c>
      <c r="D10" s="2069">
        <v>6.1150000000000002</v>
      </c>
      <c r="E10" s="2069">
        <v>1.054</v>
      </c>
      <c r="F10" s="2069">
        <v>1.054</v>
      </c>
      <c r="G10" s="2069">
        <v>5.5940000000000003</v>
      </c>
      <c r="H10" s="2070">
        <v>9.3135502323918484E-2</v>
      </c>
      <c r="I10" s="2070">
        <v>0.18841616017161245</v>
      </c>
      <c r="J10" s="2078">
        <v>0.28155166249553093</v>
      </c>
      <c r="K10" s="2077">
        <v>26</v>
      </c>
      <c r="L10" s="2069">
        <v>0.52100000000000002</v>
      </c>
      <c r="M10" s="2069">
        <v>7.0179999999999998</v>
      </c>
      <c r="N10" s="2071">
        <v>0.26700000000000002</v>
      </c>
      <c r="O10" s="2069">
        <v>0.26700000000000002</v>
      </c>
      <c r="P10" s="2069">
        <v>6.4969999999999999</v>
      </c>
      <c r="Q10" s="2070">
        <v>8.0190857318762507E-2</v>
      </c>
      <c r="R10" s="2070">
        <v>4.1095890410958909E-2</v>
      </c>
      <c r="S10" s="2078">
        <v>0.12128674772972142</v>
      </c>
      <c r="T10" s="2077">
        <v>26</v>
      </c>
      <c r="U10" s="1686">
        <v>0.52100000000000002</v>
      </c>
      <c r="V10" s="1686">
        <v>6.5664999999999996</v>
      </c>
      <c r="W10" s="1686">
        <v>0.66050000000000009</v>
      </c>
      <c r="X10" s="1686">
        <v>0.49299999999999999</v>
      </c>
      <c r="Y10" s="1686">
        <v>5.8960000000000008</v>
      </c>
      <c r="Z10" s="2072">
        <v>4.9533799533799529E-2</v>
      </c>
      <c r="AA10" s="2072">
        <v>9.5765345765345747E-2</v>
      </c>
      <c r="AB10" s="2093">
        <v>0.14529914529914528</v>
      </c>
    </row>
    <row r="11" spans="1:28">
      <c r="B11" s="89">
        <v>27</v>
      </c>
      <c r="C11" s="1">
        <v>0.55500000000000005</v>
      </c>
      <c r="D11" s="1">
        <v>6.2949999999999999</v>
      </c>
      <c r="E11" s="1">
        <v>1.1299999999999999</v>
      </c>
      <c r="F11" s="1">
        <v>1.1299999999999999</v>
      </c>
      <c r="G11" s="1">
        <v>5.74</v>
      </c>
      <c r="H11" s="741">
        <v>9.6689895470383286E-2</v>
      </c>
      <c r="I11" s="741">
        <v>0.1968641114982578</v>
      </c>
      <c r="J11" s="2079">
        <v>0.29355400696864109</v>
      </c>
      <c r="K11" s="89">
        <v>27</v>
      </c>
      <c r="L11" s="1">
        <v>0.55500000000000005</v>
      </c>
      <c r="M11" s="1">
        <v>7.22</v>
      </c>
      <c r="N11" s="1419">
        <v>0.28799999999999998</v>
      </c>
      <c r="O11" s="1">
        <v>0.28799999999999998</v>
      </c>
      <c r="P11" s="1">
        <v>6.665</v>
      </c>
      <c r="Q11" s="741">
        <v>8.3270817704426112E-2</v>
      </c>
      <c r="R11" s="741">
        <v>4.3210802700675163E-2</v>
      </c>
      <c r="S11" s="2079">
        <v>0.12648162040510127</v>
      </c>
      <c r="T11" s="89">
        <v>27</v>
      </c>
      <c r="U11" s="740">
        <v>0.55500000000000005</v>
      </c>
      <c r="V11" s="740">
        <v>6.7575000000000003</v>
      </c>
      <c r="W11" s="740">
        <v>0.70899999999999996</v>
      </c>
      <c r="X11" s="740">
        <v>0.49299999999999999</v>
      </c>
      <c r="Y11" s="740">
        <v>5.8960000000000008</v>
      </c>
      <c r="Z11" s="2067">
        <v>4.9533799533799529E-2</v>
      </c>
      <c r="AA11" s="2067">
        <v>9.5765345765345747E-2</v>
      </c>
      <c r="AB11" s="2094">
        <v>0.14529914529914528</v>
      </c>
    </row>
    <row r="12" spans="1:28">
      <c r="B12" s="2077">
        <v>28</v>
      </c>
      <c r="C12" s="2069">
        <v>0.58799999999999997</v>
      </c>
      <c r="D12" s="2069">
        <v>6.4790000000000001</v>
      </c>
      <c r="E12" s="2069">
        <v>1.204</v>
      </c>
      <c r="F12" s="2069">
        <v>1.204</v>
      </c>
      <c r="G12" s="2069">
        <v>5.891</v>
      </c>
      <c r="H12" s="2070">
        <v>9.981327448650483E-2</v>
      </c>
      <c r="I12" s="2070">
        <v>0.20437956204379562</v>
      </c>
      <c r="J12" s="2078">
        <v>0.30419283653030044</v>
      </c>
      <c r="K12" s="2077">
        <v>28</v>
      </c>
      <c r="L12" s="2069">
        <v>0.58799999999999997</v>
      </c>
      <c r="M12" s="2069">
        <v>7.4279999999999999</v>
      </c>
      <c r="N12" s="2071">
        <v>0.308</v>
      </c>
      <c r="O12" s="2069">
        <v>0.308</v>
      </c>
      <c r="P12" s="2069">
        <v>6.84</v>
      </c>
      <c r="Q12" s="2070">
        <v>8.5964912280701758E-2</v>
      </c>
      <c r="R12" s="2070">
        <v>4.502923976608187E-2</v>
      </c>
      <c r="S12" s="2078">
        <v>0.13099415204678364</v>
      </c>
      <c r="T12" s="2077">
        <v>28</v>
      </c>
      <c r="U12" s="1686">
        <v>0.58799999999999997</v>
      </c>
      <c r="V12" s="1686">
        <v>6.9535</v>
      </c>
      <c r="W12" s="1686">
        <v>0.75600000000000001</v>
      </c>
      <c r="X12" s="1686">
        <v>0.49299999999999999</v>
      </c>
      <c r="Y12" s="1686">
        <v>5.8960000000000008</v>
      </c>
      <c r="Z12" s="2072">
        <v>4.9533799533799529E-2</v>
      </c>
      <c r="AA12" s="2072">
        <v>9.5765345765345747E-2</v>
      </c>
      <c r="AB12" s="2093">
        <v>0.14529914529914528</v>
      </c>
    </row>
    <row r="13" spans="1:28">
      <c r="B13" s="89">
        <v>29</v>
      </c>
      <c r="C13" s="1">
        <v>0.61799999999999999</v>
      </c>
      <c r="D13" s="1">
        <v>6.6669999999999998</v>
      </c>
      <c r="E13" s="1">
        <v>1.276</v>
      </c>
      <c r="F13" s="1">
        <v>1.276</v>
      </c>
      <c r="G13" s="1">
        <v>6.0489999999999995</v>
      </c>
      <c r="H13" s="741">
        <v>0.10216564721441561</v>
      </c>
      <c r="I13" s="741">
        <v>0.21094395767895521</v>
      </c>
      <c r="J13" s="2079">
        <v>0.31310960489337081</v>
      </c>
      <c r="K13" s="89">
        <v>29</v>
      </c>
      <c r="L13" s="1">
        <v>0.61799999999999999</v>
      </c>
      <c r="M13" s="1">
        <v>7.6390000000000002</v>
      </c>
      <c r="N13" s="1419">
        <v>0.32700000000000001</v>
      </c>
      <c r="O13" s="1">
        <v>0.32700000000000001</v>
      </c>
      <c r="P13" s="1">
        <v>7.0209999999999999</v>
      </c>
      <c r="Q13" s="741">
        <v>8.802164933770118E-2</v>
      </c>
      <c r="R13" s="741">
        <v>4.6574562028201115E-2</v>
      </c>
      <c r="S13" s="2079">
        <v>0.1345962113659023</v>
      </c>
      <c r="T13" s="89">
        <v>29</v>
      </c>
      <c r="U13" s="740">
        <v>0.61799999999999999</v>
      </c>
      <c r="V13" s="740">
        <v>7.1530000000000005</v>
      </c>
      <c r="W13" s="740">
        <v>0.80149999999999999</v>
      </c>
      <c r="X13" s="740">
        <v>0.49299999999999999</v>
      </c>
      <c r="Y13" s="740">
        <v>5.8960000000000008</v>
      </c>
      <c r="Z13" s="2067">
        <v>4.9533799533799529E-2</v>
      </c>
      <c r="AA13" s="2067">
        <v>9.5765345765345747E-2</v>
      </c>
      <c r="AB13" s="2094">
        <v>0.14529914529914528</v>
      </c>
    </row>
    <row r="14" spans="1:28">
      <c r="B14" s="2077">
        <v>30</v>
      </c>
      <c r="C14" s="2069">
        <v>0.64700000000000002</v>
      </c>
      <c r="D14" s="2069">
        <v>6.86</v>
      </c>
      <c r="E14" s="2069">
        <v>1.3480000000000001</v>
      </c>
      <c r="F14" s="2069">
        <v>1.3480000000000001</v>
      </c>
      <c r="G14" s="2069">
        <v>6.2130000000000001</v>
      </c>
      <c r="H14" s="2070">
        <v>0.10413648800901336</v>
      </c>
      <c r="I14" s="2070">
        <v>0.21696442942217931</v>
      </c>
      <c r="J14" s="2078">
        <v>0.32110091743119268</v>
      </c>
      <c r="K14" s="2077">
        <v>30</v>
      </c>
      <c r="L14" s="2069">
        <v>0.64700000000000002</v>
      </c>
      <c r="M14" s="2069">
        <v>7.8550000000000004</v>
      </c>
      <c r="N14" s="2071">
        <v>0.34699999999999998</v>
      </c>
      <c r="O14" s="2069">
        <v>0.34699999999999998</v>
      </c>
      <c r="P14" s="2069">
        <v>7.2080000000000002</v>
      </c>
      <c r="Q14" s="2070">
        <v>8.9761376248612648E-2</v>
      </c>
      <c r="R14" s="2070">
        <v>4.8140954495005543E-2</v>
      </c>
      <c r="S14" s="2078">
        <v>0.13790233074361818</v>
      </c>
      <c r="T14" s="2077">
        <v>30</v>
      </c>
      <c r="U14" s="1686">
        <v>0.64700000000000002</v>
      </c>
      <c r="V14" s="1686">
        <v>7.3574999999999999</v>
      </c>
      <c r="W14" s="1686">
        <v>0.84750000000000003</v>
      </c>
      <c r="X14" s="1686">
        <v>0.49299999999999999</v>
      </c>
      <c r="Y14" s="1686">
        <v>5.8960000000000008</v>
      </c>
      <c r="Z14" s="2072">
        <v>4.9533799533799529E-2</v>
      </c>
      <c r="AA14" s="2072">
        <v>9.5765345765345747E-2</v>
      </c>
      <c r="AB14" s="2093">
        <v>0.14529914529914528</v>
      </c>
    </row>
    <row r="15" spans="1:28">
      <c r="B15" s="89">
        <v>31</v>
      </c>
      <c r="C15" s="1">
        <v>0.67200000000000004</v>
      </c>
      <c r="D15" s="1">
        <v>7.0579999999999998</v>
      </c>
      <c r="E15" s="1">
        <v>1.419</v>
      </c>
      <c r="F15" s="1">
        <v>1.419</v>
      </c>
      <c r="G15" s="1">
        <v>6.3860000000000001</v>
      </c>
      <c r="H15" s="741">
        <v>0.10523019104290636</v>
      </c>
      <c r="I15" s="741">
        <v>0.2222048230504228</v>
      </c>
      <c r="J15" s="2079">
        <v>0.32743501409332915</v>
      </c>
      <c r="K15" s="89">
        <v>31</v>
      </c>
      <c r="L15" s="1">
        <v>0.67200000000000004</v>
      </c>
      <c r="M15" s="1">
        <v>8.0760000000000005</v>
      </c>
      <c r="N15" s="1419">
        <v>0.36499999999999999</v>
      </c>
      <c r="O15" s="1">
        <v>0.36499999999999999</v>
      </c>
      <c r="P15" s="1">
        <v>7.4040000000000008</v>
      </c>
      <c r="Q15" s="741">
        <v>9.0761750405186387E-2</v>
      </c>
      <c r="R15" s="741">
        <v>4.929767693138843E-2</v>
      </c>
      <c r="S15" s="2079">
        <v>0.14005942733657481</v>
      </c>
      <c r="T15" s="89">
        <v>31</v>
      </c>
      <c r="U15" s="740">
        <v>0.67200000000000004</v>
      </c>
      <c r="V15" s="740">
        <v>7.5670000000000002</v>
      </c>
      <c r="W15" s="740">
        <v>0.89200000000000002</v>
      </c>
      <c r="X15" s="740">
        <v>0.49299999999999999</v>
      </c>
      <c r="Y15" s="740">
        <v>5.8960000000000008</v>
      </c>
      <c r="Z15" s="2067">
        <v>4.9533799533799529E-2</v>
      </c>
      <c r="AA15" s="2067">
        <v>9.5765345765345747E-2</v>
      </c>
      <c r="AB15" s="2094">
        <v>0.14529914529914528</v>
      </c>
    </row>
    <row r="16" spans="1:28">
      <c r="B16" s="2077">
        <v>32</v>
      </c>
      <c r="C16" s="2069">
        <v>0.69599999999999995</v>
      </c>
      <c r="D16" s="2069">
        <v>7.2610000000000001</v>
      </c>
      <c r="E16" s="2069">
        <v>1.49</v>
      </c>
      <c r="F16" s="2069">
        <v>1.49</v>
      </c>
      <c r="G16" s="2069">
        <v>6.5650000000000004</v>
      </c>
      <c r="H16" s="2070">
        <v>0.106016755521706</v>
      </c>
      <c r="I16" s="2070">
        <v>0.22696115765422695</v>
      </c>
      <c r="J16" s="2078">
        <v>0.33297791317593295</v>
      </c>
      <c r="K16" s="2077">
        <v>32</v>
      </c>
      <c r="L16" s="2069">
        <v>0.69599999999999995</v>
      </c>
      <c r="M16" s="2069">
        <v>8.3010000000000002</v>
      </c>
      <c r="N16" s="2071">
        <v>0.38400000000000001</v>
      </c>
      <c r="O16" s="2069">
        <v>0.38400000000000001</v>
      </c>
      <c r="P16" s="2069">
        <v>7.6050000000000004</v>
      </c>
      <c r="Q16" s="2070">
        <v>9.1518737672583811E-2</v>
      </c>
      <c r="R16" s="2070">
        <v>5.0493096646942799E-2</v>
      </c>
      <c r="S16" s="2078">
        <v>0.1420118343195266</v>
      </c>
      <c r="T16" s="2077">
        <v>32</v>
      </c>
      <c r="U16" s="1686">
        <v>0.69599999999999995</v>
      </c>
      <c r="V16" s="1686">
        <v>7.7810000000000006</v>
      </c>
      <c r="W16" s="1686">
        <v>0.93700000000000006</v>
      </c>
      <c r="X16" s="1686">
        <v>0.49299999999999999</v>
      </c>
      <c r="Y16" s="1686">
        <v>5.8960000000000008</v>
      </c>
      <c r="Z16" s="2072">
        <v>4.9533799533799529E-2</v>
      </c>
      <c r="AA16" s="2072">
        <v>9.5765345765345747E-2</v>
      </c>
      <c r="AB16" s="2093">
        <v>0.14529914529914528</v>
      </c>
    </row>
    <row r="17" spans="2:28">
      <c r="B17" s="89">
        <v>33</v>
      </c>
      <c r="C17" s="1">
        <v>0.71599999999999997</v>
      </c>
      <c r="D17" s="1">
        <v>7.47</v>
      </c>
      <c r="E17" s="1">
        <v>1.5620000000000001</v>
      </c>
      <c r="F17" s="1">
        <v>1.5620000000000001</v>
      </c>
      <c r="G17" s="1">
        <v>6.7539999999999996</v>
      </c>
      <c r="H17" s="741">
        <v>0.10601125259105715</v>
      </c>
      <c r="I17" s="741">
        <v>0.23127035830618894</v>
      </c>
      <c r="J17" s="2079">
        <v>0.33728161089724606</v>
      </c>
      <c r="K17" s="89">
        <v>33</v>
      </c>
      <c r="L17" s="1">
        <v>0.71599999999999997</v>
      </c>
      <c r="M17" s="1">
        <v>8.532</v>
      </c>
      <c r="N17" s="1419">
        <v>0.40200000000000002</v>
      </c>
      <c r="O17" s="1">
        <v>0.40200000000000002</v>
      </c>
      <c r="P17" s="1">
        <v>7.8159999999999998</v>
      </c>
      <c r="Q17" s="741">
        <v>9.1606960081883321E-2</v>
      </c>
      <c r="R17" s="741">
        <v>5.1432958034800413E-2</v>
      </c>
      <c r="S17" s="2079">
        <v>0.14303991811668373</v>
      </c>
      <c r="T17" s="89">
        <v>33</v>
      </c>
      <c r="U17" s="740">
        <v>0.71599999999999997</v>
      </c>
      <c r="V17" s="740">
        <v>8.0009999999999994</v>
      </c>
      <c r="W17" s="740">
        <v>0.98199999999999998</v>
      </c>
      <c r="X17" s="740">
        <v>0.49299999999999999</v>
      </c>
      <c r="Y17" s="740">
        <v>5.8960000000000008</v>
      </c>
      <c r="Z17" s="2067">
        <v>4.9533799533799529E-2</v>
      </c>
      <c r="AA17" s="2067">
        <v>9.5765345765345747E-2</v>
      </c>
      <c r="AB17" s="2094">
        <v>0.14529914529914528</v>
      </c>
    </row>
    <row r="18" spans="2:28">
      <c r="B18" s="2077">
        <v>34</v>
      </c>
      <c r="C18" s="2069">
        <v>0.73399999999999999</v>
      </c>
      <c r="D18" s="2069">
        <v>7.6840000000000002</v>
      </c>
      <c r="E18" s="2069">
        <v>1.633</v>
      </c>
      <c r="F18" s="2069">
        <v>1.633</v>
      </c>
      <c r="G18" s="2069">
        <v>6.95</v>
      </c>
      <c r="H18" s="2070">
        <v>0.10561151079136691</v>
      </c>
      <c r="I18" s="2070">
        <v>0.23496402877697842</v>
      </c>
      <c r="J18" s="2078">
        <v>0.3405755395683453</v>
      </c>
      <c r="K18" s="2077">
        <v>34</v>
      </c>
      <c r="L18" s="2069">
        <v>0.73399999999999999</v>
      </c>
      <c r="M18" s="2069">
        <v>8.7669999999999995</v>
      </c>
      <c r="N18" s="2071">
        <v>0.41899999999999998</v>
      </c>
      <c r="O18" s="2069">
        <v>0.41899999999999998</v>
      </c>
      <c r="P18" s="2069">
        <v>8.0329999999999995</v>
      </c>
      <c r="Q18" s="2070">
        <v>9.1373086020166819E-2</v>
      </c>
      <c r="R18" s="2070">
        <v>5.2159840657288688E-2</v>
      </c>
      <c r="S18" s="2078">
        <v>0.14353292667745551</v>
      </c>
      <c r="T18" s="2077">
        <v>34</v>
      </c>
      <c r="U18" s="1686">
        <v>0.73399999999999999</v>
      </c>
      <c r="V18" s="1686">
        <v>8.2255000000000003</v>
      </c>
      <c r="W18" s="1686">
        <v>1.026</v>
      </c>
      <c r="X18" s="1686">
        <v>0.49299999999999999</v>
      </c>
      <c r="Y18" s="1686">
        <v>5.8960000000000008</v>
      </c>
      <c r="Z18" s="2072">
        <v>4.9533799533799529E-2</v>
      </c>
      <c r="AA18" s="2072">
        <v>9.5765345765345747E-2</v>
      </c>
      <c r="AB18" s="2093">
        <v>0.14529914529914528</v>
      </c>
    </row>
    <row r="19" spans="2:28">
      <c r="B19" s="89">
        <v>35</v>
      </c>
      <c r="C19" s="1">
        <v>0.748</v>
      </c>
      <c r="D19" s="1">
        <v>7.9029999999999996</v>
      </c>
      <c r="E19" s="1">
        <v>1.7050000000000001</v>
      </c>
      <c r="F19" s="1">
        <v>1.7050000000000001</v>
      </c>
      <c r="G19" s="1">
        <v>7.1549999999999994</v>
      </c>
      <c r="H19" s="741">
        <v>0.10454227812718379</v>
      </c>
      <c r="I19" s="741">
        <v>0.2382948986722572</v>
      </c>
      <c r="J19" s="2079">
        <v>0.34283717679944098</v>
      </c>
      <c r="K19" s="89">
        <v>35</v>
      </c>
      <c r="L19" s="1">
        <v>0.748</v>
      </c>
      <c r="M19" s="1">
        <v>9.0069999999999997</v>
      </c>
      <c r="N19" s="1419">
        <v>0.436</v>
      </c>
      <c r="O19" s="1">
        <v>0.436</v>
      </c>
      <c r="P19" s="1">
        <v>8.2590000000000003</v>
      </c>
      <c r="Q19" s="741">
        <v>9.0567865359002298E-2</v>
      </c>
      <c r="R19" s="741">
        <v>5.2790894781450534E-2</v>
      </c>
      <c r="S19" s="2079">
        <v>0.14335876014045285</v>
      </c>
      <c r="T19" s="89">
        <v>35</v>
      </c>
      <c r="U19" s="740">
        <v>0.748</v>
      </c>
      <c r="V19" s="740">
        <v>8.4550000000000001</v>
      </c>
      <c r="W19" s="740">
        <v>1.0705</v>
      </c>
      <c r="X19" s="740">
        <v>0.49299999999999999</v>
      </c>
      <c r="Y19" s="740">
        <v>5.8960000000000008</v>
      </c>
      <c r="Z19" s="2067">
        <v>4.9533799533799529E-2</v>
      </c>
      <c r="AA19" s="2067">
        <v>9.5765345765345747E-2</v>
      </c>
      <c r="AB19" s="2094">
        <v>0.14529914529914528</v>
      </c>
    </row>
    <row r="20" spans="2:28">
      <c r="B20" s="2077">
        <v>36</v>
      </c>
      <c r="C20" s="2069">
        <v>0.75700000000000001</v>
      </c>
      <c r="D20" s="2069">
        <v>8.1259999999999994</v>
      </c>
      <c r="E20" s="2069">
        <v>1.7769999999999999</v>
      </c>
      <c r="F20" s="2069">
        <v>1.7769999999999999</v>
      </c>
      <c r="G20" s="2069">
        <v>7.3689999999999998</v>
      </c>
      <c r="H20" s="2070">
        <v>0.10272764282806351</v>
      </c>
      <c r="I20" s="2070">
        <v>0.2411453385805401</v>
      </c>
      <c r="J20" s="2078">
        <v>0.34387298140860362</v>
      </c>
      <c r="K20" s="2077">
        <v>36</v>
      </c>
      <c r="L20" s="2069">
        <v>0.75700000000000001</v>
      </c>
      <c r="M20" s="2069">
        <v>9.2509999999999994</v>
      </c>
      <c r="N20" s="2071">
        <v>0.45200000000000001</v>
      </c>
      <c r="O20" s="2069">
        <v>0.45200000000000001</v>
      </c>
      <c r="P20" s="2069">
        <v>8.4939999999999998</v>
      </c>
      <c r="Q20" s="2070">
        <v>8.9121732987991531E-2</v>
      </c>
      <c r="R20" s="2070">
        <v>5.3214033435366147E-2</v>
      </c>
      <c r="S20" s="2078">
        <v>0.14233576642335768</v>
      </c>
      <c r="T20" s="2077">
        <v>36</v>
      </c>
      <c r="U20" s="1686">
        <v>0.75700000000000001</v>
      </c>
      <c r="V20" s="1686">
        <v>8.6884999999999994</v>
      </c>
      <c r="W20" s="1686">
        <v>1.1145</v>
      </c>
      <c r="X20" s="1686">
        <v>0.49299999999999999</v>
      </c>
      <c r="Y20" s="1686">
        <v>5.8960000000000008</v>
      </c>
      <c r="Z20" s="2072">
        <v>4.9533799533799529E-2</v>
      </c>
      <c r="AA20" s="2072">
        <v>9.5765345765345747E-2</v>
      </c>
      <c r="AB20" s="2093">
        <v>0.14529914529914528</v>
      </c>
    </row>
    <row r="21" spans="2:28">
      <c r="B21" s="89">
        <v>37</v>
      </c>
      <c r="C21" s="1">
        <v>0.76</v>
      </c>
      <c r="D21" s="1">
        <v>8.3529999999999998</v>
      </c>
      <c r="E21" s="1">
        <v>1.8480000000000001</v>
      </c>
      <c r="F21" s="1">
        <v>1.8480000000000001</v>
      </c>
      <c r="G21" s="1">
        <v>7.593</v>
      </c>
      <c r="H21" s="741">
        <v>0.10009219017516133</v>
      </c>
      <c r="I21" s="741">
        <v>0.24338206242591862</v>
      </c>
      <c r="J21" s="2079">
        <v>0.34347425260107994</v>
      </c>
      <c r="K21" s="89">
        <v>37</v>
      </c>
      <c r="L21" s="1">
        <v>0.76</v>
      </c>
      <c r="M21" s="1">
        <v>9.4979999999999993</v>
      </c>
      <c r="N21" s="1419">
        <v>0.46800000000000003</v>
      </c>
      <c r="O21" s="1">
        <v>0.46800000000000003</v>
      </c>
      <c r="P21" s="1">
        <v>8.7379999999999995</v>
      </c>
      <c r="Q21" s="741">
        <v>8.6976424811169614E-2</v>
      </c>
      <c r="R21" s="741">
        <v>5.3559166857404444E-2</v>
      </c>
      <c r="S21" s="2079">
        <v>0.14053559166857404</v>
      </c>
      <c r="T21" s="89">
        <v>37</v>
      </c>
      <c r="U21" s="740">
        <v>0.76</v>
      </c>
      <c r="V21" s="740">
        <v>8.9254999999999995</v>
      </c>
      <c r="W21" s="740">
        <v>1.1580000000000001</v>
      </c>
      <c r="X21" s="740">
        <v>0.49299999999999999</v>
      </c>
      <c r="Y21" s="740">
        <v>5.8960000000000008</v>
      </c>
      <c r="Z21" s="2067">
        <v>4.9533799533799529E-2</v>
      </c>
      <c r="AA21" s="2067">
        <v>9.5765345765345747E-2</v>
      </c>
      <c r="AB21" s="2094">
        <v>0.14529914529914528</v>
      </c>
    </row>
    <row r="22" spans="2:28">
      <c r="B22" s="2077">
        <v>38</v>
      </c>
      <c r="C22" s="2069">
        <v>0.75800000000000001</v>
      </c>
      <c r="D22" s="2069">
        <v>8.5839999999999996</v>
      </c>
      <c r="E22" s="2069">
        <v>1.92</v>
      </c>
      <c r="F22" s="2069">
        <v>1.92</v>
      </c>
      <c r="G22" s="2069">
        <v>7.8259999999999996</v>
      </c>
      <c r="H22" s="2070">
        <v>9.6856631740352681E-2</v>
      </c>
      <c r="I22" s="2070">
        <v>0.24533605928954766</v>
      </c>
      <c r="J22" s="2078">
        <v>0.34219269102990035</v>
      </c>
      <c r="K22" s="2077">
        <v>38</v>
      </c>
      <c r="L22" s="2069">
        <v>0.75800000000000001</v>
      </c>
      <c r="M22" s="2069">
        <v>9.7490000000000006</v>
      </c>
      <c r="N22" s="2071">
        <v>0.48199999999999998</v>
      </c>
      <c r="O22" s="2069">
        <v>0.48199999999999998</v>
      </c>
      <c r="P22" s="2069">
        <v>8.9909999999999997</v>
      </c>
      <c r="Q22" s="2070">
        <v>8.4306528750973206E-2</v>
      </c>
      <c r="R22" s="2070">
        <v>5.3609164720275833E-2</v>
      </c>
      <c r="S22" s="2078">
        <v>0.13791569347124905</v>
      </c>
      <c r="T22" s="2077">
        <v>38</v>
      </c>
      <c r="U22" s="1686">
        <v>0.75800000000000001</v>
      </c>
      <c r="V22" s="1686">
        <v>9.1664999999999992</v>
      </c>
      <c r="W22" s="1686">
        <v>1.2010000000000001</v>
      </c>
      <c r="X22" s="1686">
        <v>0.49299999999999999</v>
      </c>
      <c r="Y22" s="1686">
        <v>5.8960000000000008</v>
      </c>
      <c r="Z22" s="2072">
        <v>4.9533799533799529E-2</v>
      </c>
      <c r="AA22" s="2072">
        <v>9.5765345765345747E-2</v>
      </c>
      <c r="AB22" s="2093">
        <v>0.14529914529914528</v>
      </c>
    </row>
    <row r="23" spans="2:28">
      <c r="B23" s="89">
        <v>39</v>
      </c>
      <c r="C23" s="1">
        <v>0.75</v>
      </c>
      <c r="D23" s="1">
        <v>8.8179999999999996</v>
      </c>
      <c r="E23" s="1">
        <v>1.992</v>
      </c>
      <c r="F23" s="1">
        <v>1.992</v>
      </c>
      <c r="G23" s="1">
        <v>8.0679999999999996</v>
      </c>
      <c r="H23" s="741">
        <v>9.2959841348537436E-2</v>
      </c>
      <c r="I23" s="741">
        <v>0.24690133862171543</v>
      </c>
      <c r="J23" s="2079">
        <v>0.33986117997025289</v>
      </c>
      <c r="K23" s="89">
        <v>39</v>
      </c>
      <c r="L23" s="1">
        <v>0.75</v>
      </c>
      <c r="M23" s="1">
        <v>10.005000000000001</v>
      </c>
      <c r="N23" s="1419">
        <v>0.496</v>
      </c>
      <c r="O23" s="1">
        <v>0.496</v>
      </c>
      <c r="P23" s="1">
        <v>9.2550000000000008</v>
      </c>
      <c r="Q23" s="741">
        <v>8.1037277147487832E-2</v>
      </c>
      <c r="R23" s="741">
        <v>5.3592652620205287E-2</v>
      </c>
      <c r="S23" s="2079">
        <v>0.13462992976769311</v>
      </c>
      <c r="T23" s="89">
        <v>39</v>
      </c>
      <c r="U23" s="740">
        <v>0.75</v>
      </c>
      <c r="V23" s="740">
        <v>9.4115000000000002</v>
      </c>
      <c r="W23" s="740">
        <v>1.244</v>
      </c>
      <c r="X23" s="740">
        <v>0.49299999999999999</v>
      </c>
      <c r="Y23" s="740">
        <v>5.8960000000000008</v>
      </c>
      <c r="Z23" s="2067">
        <v>4.9533799533799529E-2</v>
      </c>
      <c r="AA23" s="2067">
        <v>9.5765345765345747E-2</v>
      </c>
      <c r="AB23" s="2094">
        <v>0.14529914529914528</v>
      </c>
    </row>
    <row r="24" spans="2:28">
      <c r="B24" s="2077">
        <v>40</v>
      </c>
      <c r="C24" s="2069">
        <v>0.73699999999999999</v>
      </c>
      <c r="D24" s="2069">
        <v>9.0579999999999998</v>
      </c>
      <c r="E24" s="2069">
        <v>2.0649999999999999</v>
      </c>
      <c r="F24" s="2069">
        <v>2.0649999999999999</v>
      </c>
      <c r="G24" s="2069">
        <v>8.3209999999999997</v>
      </c>
      <c r="H24" s="2070">
        <v>8.8571085206105044E-2</v>
      </c>
      <c r="I24" s="2070">
        <v>0.24816728758562673</v>
      </c>
      <c r="J24" s="2078">
        <v>0.3367383727917318</v>
      </c>
      <c r="K24" s="2077">
        <v>40</v>
      </c>
      <c r="L24" s="2069">
        <v>0.73699999999999999</v>
      </c>
      <c r="M24" s="2069">
        <v>10.265000000000001</v>
      </c>
      <c r="N24" s="2071">
        <v>0.51</v>
      </c>
      <c r="O24" s="2069">
        <v>0.51</v>
      </c>
      <c r="P24" s="2069">
        <v>9.5280000000000005</v>
      </c>
      <c r="Q24" s="2070">
        <v>7.7350965575146924E-2</v>
      </c>
      <c r="R24" s="2070">
        <v>5.35264483627204E-2</v>
      </c>
      <c r="S24" s="2078">
        <v>0.13087741393786734</v>
      </c>
      <c r="T24" s="2077">
        <v>40</v>
      </c>
      <c r="U24" s="1686">
        <v>0.73699999999999999</v>
      </c>
      <c r="V24" s="1686">
        <v>9.6615000000000002</v>
      </c>
      <c r="W24" s="1686">
        <v>1.2875000000000001</v>
      </c>
      <c r="X24" s="1686">
        <v>0.49299999999999999</v>
      </c>
      <c r="Y24" s="1686">
        <v>5.8960000000000008</v>
      </c>
      <c r="Z24" s="2072">
        <v>4.9533799533799529E-2</v>
      </c>
      <c r="AA24" s="2072">
        <v>9.5765345765345747E-2</v>
      </c>
      <c r="AB24" s="2093">
        <v>0.14529914529914528</v>
      </c>
    </row>
    <row r="25" spans="2:28">
      <c r="B25" s="89">
        <v>41</v>
      </c>
      <c r="C25" s="1">
        <v>0.72</v>
      </c>
      <c r="D25" s="1">
        <v>9.3049999999999997</v>
      </c>
      <c r="E25" s="1">
        <v>2.1389999999999998</v>
      </c>
      <c r="F25" s="1">
        <v>2.1389999999999998</v>
      </c>
      <c r="G25" s="1">
        <v>8.5849999999999991</v>
      </c>
      <c r="H25" s="741">
        <v>8.3867210250436808E-2</v>
      </c>
      <c r="I25" s="741">
        <v>0.24915550378567269</v>
      </c>
      <c r="J25" s="2079">
        <v>0.3330227140361095</v>
      </c>
      <c r="K25" s="89">
        <v>41</v>
      </c>
      <c r="L25" s="1">
        <v>0.72</v>
      </c>
      <c r="M25" s="1">
        <v>10.532</v>
      </c>
      <c r="N25" s="1419">
        <v>0.52300000000000002</v>
      </c>
      <c r="O25" s="1">
        <v>0.52300000000000002</v>
      </c>
      <c r="P25" s="1">
        <v>9.8119999999999994</v>
      </c>
      <c r="Q25" s="741">
        <v>7.3379535262943343E-2</v>
      </c>
      <c r="R25" s="741">
        <v>5.3302079086832453E-2</v>
      </c>
      <c r="S25" s="2079">
        <v>0.12668161434977579</v>
      </c>
      <c r="T25" s="89">
        <v>41</v>
      </c>
      <c r="U25" s="740">
        <v>0.72</v>
      </c>
      <c r="V25" s="740">
        <v>9.9184999999999999</v>
      </c>
      <c r="W25" s="740">
        <v>1.331</v>
      </c>
      <c r="X25" s="740">
        <v>0.49299999999999999</v>
      </c>
      <c r="Y25" s="740">
        <v>5.8960000000000008</v>
      </c>
      <c r="Z25" s="2067">
        <v>4.9533799533799529E-2</v>
      </c>
      <c r="AA25" s="2067">
        <v>9.5765345765345747E-2</v>
      </c>
      <c r="AB25" s="2094">
        <v>0.14529914529914528</v>
      </c>
    </row>
    <row r="26" spans="2:28">
      <c r="B26" s="2077">
        <v>42</v>
      </c>
      <c r="C26" s="2069">
        <v>0.7</v>
      </c>
      <c r="D26" s="2069">
        <v>9.56</v>
      </c>
      <c r="E26" s="2069">
        <v>2.214</v>
      </c>
      <c r="F26" s="2069">
        <v>2.214</v>
      </c>
      <c r="G26" s="2069">
        <v>8.8600000000000012</v>
      </c>
      <c r="H26" s="2070">
        <v>7.9006772009029336E-2</v>
      </c>
      <c r="I26" s="2070">
        <v>0.2498871331828442</v>
      </c>
      <c r="J26" s="2078">
        <v>0.32889390519187356</v>
      </c>
      <c r="K26" s="2077">
        <v>42</v>
      </c>
      <c r="L26" s="2069">
        <v>0.7</v>
      </c>
      <c r="M26" s="2069">
        <v>10.805999999999999</v>
      </c>
      <c r="N26" s="2071">
        <v>0.53600000000000003</v>
      </c>
      <c r="O26" s="2069">
        <v>0.53600000000000003</v>
      </c>
      <c r="P26" s="2069">
        <v>10.106</v>
      </c>
      <c r="Q26" s="2070">
        <v>6.9265782703344547E-2</v>
      </c>
      <c r="R26" s="2070">
        <v>5.3037799327132401E-2</v>
      </c>
      <c r="S26" s="2078">
        <v>0.12230358203047695</v>
      </c>
      <c r="T26" s="2077">
        <v>42</v>
      </c>
      <c r="U26" s="1686">
        <v>0.7</v>
      </c>
      <c r="V26" s="1686">
        <v>10.183</v>
      </c>
      <c r="W26" s="1686">
        <v>1.375</v>
      </c>
      <c r="X26" s="1686">
        <v>0.49299999999999999</v>
      </c>
      <c r="Y26" s="1686">
        <v>5.8960000000000008</v>
      </c>
      <c r="Z26" s="2072">
        <v>4.9533799533799529E-2</v>
      </c>
      <c r="AA26" s="2072">
        <v>9.5765345765345747E-2</v>
      </c>
      <c r="AB26" s="2093">
        <v>0.14529914529914528</v>
      </c>
    </row>
    <row r="27" spans="2:28">
      <c r="B27" s="89">
        <v>43</v>
      </c>
      <c r="C27" s="1">
        <v>0.67800000000000005</v>
      </c>
      <c r="D27" s="1">
        <v>9.8249999999999993</v>
      </c>
      <c r="E27" s="1">
        <v>2.29</v>
      </c>
      <c r="F27" s="1">
        <v>2.29</v>
      </c>
      <c r="G27" s="1">
        <v>9.1469999999999985</v>
      </c>
      <c r="H27" s="741">
        <v>7.4122663168251904E-2</v>
      </c>
      <c r="I27" s="741">
        <v>0.25035530775117532</v>
      </c>
      <c r="J27" s="2079">
        <v>0.32447797091942721</v>
      </c>
      <c r="K27" s="89">
        <v>43</v>
      </c>
      <c r="L27" s="1">
        <v>0.67800000000000005</v>
      </c>
      <c r="M27" s="1">
        <v>11.089</v>
      </c>
      <c r="N27" s="1419">
        <v>0.54900000000000004</v>
      </c>
      <c r="O27" s="1">
        <v>0.54900000000000004</v>
      </c>
      <c r="P27" s="1">
        <v>10.411</v>
      </c>
      <c r="Q27" s="741">
        <v>6.5123427144366544E-2</v>
      </c>
      <c r="R27" s="741">
        <v>5.2732686581500342E-2</v>
      </c>
      <c r="S27" s="2079">
        <v>0.11785611372586688</v>
      </c>
      <c r="T27" s="89">
        <v>43</v>
      </c>
      <c r="U27" s="740">
        <v>0.67800000000000005</v>
      </c>
      <c r="V27" s="740">
        <v>10.457000000000001</v>
      </c>
      <c r="W27" s="740">
        <v>1.4195</v>
      </c>
      <c r="X27" s="740">
        <v>0.49299999999999999</v>
      </c>
      <c r="Y27" s="740">
        <v>5.8960000000000008</v>
      </c>
      <c r="Z27" s="2067">
        <v>4.9533799533799529E-2</v>
      </c>
      <c r="AA27" s="2067">
        <v>9.5765345765345747E-2</v>
      </c>
      <c r="AB27" s="2094">
        <v>0.14529914529914528</v>
      </c>
    </row>
    <row r="28" spans="2:28">
      <c r="B28" s="2077">
        <v>44</v>
      </c>
      <c r="C28" s="2069">
        <v>0.65400000000000003</v>
      </c>
      <c r="D28" s="2069">
        <v>10.099</v>
      </c>
      <c r="E28" s="2069">
        <v>2.367</v>
      </c>
      <c r="F28" s="2069">
        <v>2.367</v>
      </c>
      <c r="G28" s="2069">
        <v>9.4450000000000003</v>
      </c>
      <c r="H28" s="2070">
        <v>6.9242985706723131E-2</v>
      </c>
      <c r="I28" s="2070">
        <v>0.25060878771836947</v>
      </c>
      <c r="J28" s="2078">
        <v>0.31985177342509263</v>
      </c>
      <c r="K28" s="2077">
        <v>44</v>
      </c>
      <c r="L28" s="2069">
        <v>0.65400000000000003</v>
      </c>
      <c r="M28" s="2069">
        <v>11.381</v>
      </c>
      <c r="N28" s="2071">
        <v>0.56100000000000005</v>
      </c>
      <c r="O28" s="2069">
        <v>0.56100000000000005</v>
      </c>
      <c r="P28" s="2069">
        <v>10.727</v>
      </c>
      <c r="Q28" s="2070">
        <v>6.0967651719958986E-2</v>
      </c>
      <c r="R28" s="2070">
        <v>5.2297939778129958E-2</v>
      </c>
      <c r="S28" s="2078">
        <v>0.11326559149808894</v>
      </c>
      <c r="T28" s="2077">
        <v>44</v>
      </c>
      <c r="U28" s="1686">
        <v>0.65400000000000003</v>
      </c>
      <c r="V28" s="1686">
        <v>10.74</v>
      </c>
      <c r="W28" s="1686">
        <v>1.464</v>
      </c>
      <c r="X28" s="1686">
        <v>0.49299999999999999</v>
      </c>
      <c r="Y28" s="1686">
        <v>5.8960000000000008</v>
      </c>
      <c r="Z28" s="2072">
        <v>4.9533799533799529E-2</v>
      </c>
      <c r="AA28" s="2072">
        <v>9.5765345765345747E-2</v>
      </c>
      <c r="AB28" s="2093">
        <v>0.14529914529914528</v>
      </c>
    </row>
    <row r="29" spans="2:28">
      <c r="B29" s="89">
        <v>45</v>
      </c>
      <c r="C29" s="1">
        <v>0.629</v>
      </c>
      <c r="D29" s="1">
        <v>10.382999999999999</v>
      </c>
      <c r="E29" s="1">
        <v>2.444</v>
      </c>
      <c r="F29" s="1">
        <v>2.444</v>
      </c>
      <c r="G29" s="1">
        <v>9.7539999999999996</v>
      </c>
      <c r="H29" s="741">
        <v>6.4486364568382207E-2</v>
      </c>
      <c r="I29" s="741">
        <v>0.25056387123231494</v>
      </c>
      <c r="J29" s="2079">
        <v>0.31505023580069713</v>
      </c>
      <c r="K29" s="89">
        <v>45</v>
      </c>
      <c r="L29" s="1">
        <v>0.629</v>
      </c>
      <c r="M29" s="1">
        <v>11.683</v>
      </c>
      <c r="N29" s="1419">
        <v>0.57399999999999995</v>
      </c>
      <c r="O29" s="1">
        <v>0.57399999999999995</v>
      </c>
      <c r="P29" s="1">
        <v>11.054</v>
      </c>
      <c r="Q29" s="741">
        <v>5.690247874072734E-2</v>
      </c>
      <c r="R29" s="741">
        <v>5.1926904288040525E-2</v>
      </c>
      <c r="S29" s="2079">
        <v>0.10882938302876786</v>
      </c>
      <c r="T29" s="89">
        <v>45</v>
      </c>
      <c r="U29" s="740">
        <v>0.629</v>
      </c>
      <c r="V29" s="740">
        <v>11.032999999999999</v>
      </c>
      <c r="W29" s="740">
        <v>1.5089999999999999</v>
      </c>
      <c r="X29" s="740">
        <v>0.49299999999999999</v>
      </c>
      <c r="Y29" s="740">
        <v>5.8960000000000008</v>
      </c>
      <c r="Z29" s="2067">
        <v>4.9533799533799529E-2</v>
      </c>
      <c r="AA29" s="2067">
        <v>9.5765345765345747E-2</v>
      </c>
      <c r="AB29" s="2094">
        <v>0.14529914529914528</v>
      </c>
    </row>
    <row r="30" spans="2:28">
      <c r="B30" s="2077">
        <v>46</v>
      </c>
      <c r="C30" s="2069">
        <v>0.60199999999999998</v>
      </c>
      <c r="D30" s="2069">
        <v>10.677</v>
      </c>
      <c r="E30" s="2069">
        <v>2.5209999999999999</v>
      </c>
      <c r="F30" s="2069">
        <v>2.5209999999999999</v>
      </c>
      <c r="G30" s="2069">
        <v>10.074999999999999</v>
      </c>
      <c r="H30" s="2070">
        <v>5.9751861042183628E-2</v>
      </c>
      <c r="I30" s="2070">
        <v>0.25022332506203476</v>
      </c>
      <c r="J30" s="2078">
        <v>0.30997518610421837</v>
      </c>
      <c r="K30" s="2077">
        <v>46</v>
      </c>
      <c r="L30" s="2069">
        <v>0.60199999999999998</v>
      </c>
      <c r="M30" s="2069">
        <v>11.994999999999999</v>
      </c>
      <c r="N30" s="2071">
        <v>0.58599999999999997</v>
      </c>
      <c r="O30" s="2069">
        <v>0.58599999999999997</v>
      </c>
      <c r="P30" s="2069">
        <v>11.392999999999999</v>
      </c>
      <c r="Q30" s="2070">
        <v>5.2839462828052318E-2</v>
      </c>
      <c r="R30" s="2070">
        <v>5.1435091722987804E-2</v>
      </c>
      <c r="S30" s="2078">
        <v>0.10427455455104012</v>
      </c>
      <c r="T30" s="2077">
        <v>46</v>
      </c>
      <c r="U30" s="1686">
        <v>0.60199999999999998</v>
      </c>
      <c r="V30" s="1686">
        <v>11.335999999999999</v>
      </c>
      <c r="W30" s="1686">
        <v>1.5534999999999999</v>
      </c>
      <c r="X30" s="1686">
        <v>0.49299999999999999</v>
      </c>
      <c r="Y30" s="1686">
        <v>5.8960000000000008</v>
      </c>
      <c r="Z30" s="2072">
        <v>4.9533799533799529E-2</v>
      </c>
      <c r="AA30" s="2072">
        <v>9.5765345765345747E-2</v>
      </c>
      <c r="AB30" s="2093">
        <v>0.14529914529914528</v>
      </c>
    </row>
    <row r="31" spans="2:28">
      <c r="B31" s="89">
        <v>47</v>
      </c>
      <c r="C31" s="1">
        <v>0.57399999999999995</v>
      </c>
      <c r="D31" s="1">
        <v>10.981</v>
      </c>
      <c r="E31" s="1">
        <v>2.5979999999999999</v>
      </c>
      <c r="F31" s="1">
        <v>2.5979999999999999</v>
      </c>
      <c r="G31" s="1">
        <v>10.407</v>
      </c>
      <c r="H31" s="741">
        <v>5.5155184010761985E-2</v>
      </c>
      <c r="I31" s="741">
        <v>0.24963966560968578</v>
      </c>
      <c r="J31" s="2079">
        <v>0.30479484962044778</v>
      </c>
      <c r="K31" s="89">
        <v>47</v>
      </c>
      <c r="L31" s="1">
        <v>0.57399999999999995</v>
      </c>
      <c r="M31" s="1">
        <v>12.316000000000001</v>
      </c>
      <c r="N31" s="1419">
        <v>0.59699999999999998</v>
      </c>
      <c r="O31" s="1">
        <v>0.59699999999999998</v>
      </c>
      <c r="P31" s="1">
        <v>11.742000000000001</v>
      </c>
      <c r="Q31" s="741">
        <v>4.8884346789303347E-2</v>
      </c>
      <c r="R31" s="741">
        <v>5.0843127235564632E-2</v>
      </c>
      <c r="S31" s="2079">
        <v>9.9727474024867979E-2</v>
      </c>
      <c r="T31" s="89">
        <v>47</v>
      </c>
      <c r="U31" s="740">
        <v>0.57399999999999995</v>
      </c>
      <c r="V31" s="740">
        <v>11.6485</v>
      </c>
      <c r="W31" s="740">
        <v>1.5974999999999999</v>
      </c>
      <c r="X31" s="740">
        <v>0.49299999999999999</v>
      </c>
      <c r="Y31" s="740">
        <v>5.8960000000000008</v>
      </c>
      <c r="Z31" s="2067">
        <v>4.9533799533799529E-2</v>
      </c>
      <c r="AA31" s="2067">
        <v>9.5765345765345747E-2</v>
      </c>
      <c r="AB31" s="2094">
        <v>0.14529914529914528</v>
      </c>
    </row>
    <row r="32" spans="2:28">
      <c r="B32" s="2077">
        <v>48</v>
      </c>
      <c r="C32" s="2069">
        <v>0.54300000000000004</v>
      </c>
      <c r="D32" s="2069">
        <v>11.295</v>
      </c>
      <c r="E32" s="2069">
        <v>2.673</v>
      </c>
      <c r="F32" s="2069">
        <v>2.673</v>
      </c>
      <c r="G32" s="2069">
        <v>10.752000000000001</v>
      </c>
      <c r="H32" s="2070">
        <v>5.0502232142857144E-2</v>
      </c>
      <c r="I32" s="2070">
        <v>0.2486049107142857</v>
      </c>
      <c r="J32" s="2078">
        <v>0.29910714285714285</v>
      </c>
      <c r="K32" s="2077">
        <v>48</v>
      </c>
      <c r="L32" s="2069">
        <v>0.54300000000000004</v>
      </c>
      <c r="M32" s="2069">
        <v>12.648</v>
      </c>
      <c r="N32" s="2071">
        <v>0.60799999999999998</v>
      </c>
      <c r="O32" s="2069">
        <v>0.60799999999999998</v>
      </c>
      <c r="P32" s="2069">
        <v>12.105</v>
      </c>
      <c r="Q32" s="2070">
        <v>4.4857496902106567E-2</v>
      </c>
      <c r="R32" s="2070">
        <v>5.0227178851714162E-2</v>
      </c>
      <c r="S32" s="2078">
        <v>9.5084675753820735E-2</v>
      </c>
      <c r="T32" s="2077">
        <v>48</v>
      </c>
      <c r="U32" s="1686">
        <v>0.54300000000000004</v>
      </c>
      <c r="V32" s="1686">
        <v>11.971499999999999</v>
      </c>
      <c r="W32" s="1686">
        <v>1.6405000000000001</v>
      </c>
      <c r="X32" s="1686">
        <v>0.49299999999999999</v>
      </c>
      <c r="Y32" s="1686">
        <v>5.8960000000000008</v>
      </c>
      <c r="Z32" s="2072">
        <v>4.9533799533799529E-2</v>
      </c>
      <c r="AA32" s="2072">
        <v>9.5765345765345747E-2</v>
      </c>
      <c r="AB32" s="2093">
        <v>0.14529914529914528</v>
      </c>
    </row>
    <row r="33" spans="1:28">
      <c r="B33" s="89">
        <v>49</v>
      </c>
      <c r="C33" s="1">
        <v>0.50900000000000001</v>
      </c>
      <c r="D33" s="1">
        <v>11.619</v>
      </c>
      <c r="E33" s="1">
        <v>2.7480000000000002</v>
      </c>
      <c r="F33" s="1">
        <v>2.7480000000000002</v>
      </c>
      <c r="G33" s="1">
        <v>11.11</v>
      </c>
      <c r="H33" s="741">
        <v>4.581458145814582E-2</v>
      </c>
      <c r="I33" s="741">
        <v>0.24734473447344738</v>
      </c>
      <c r="J33" s="2079">
        <v>0.29315931593159317</v>
      </c>
      <c r="K33" s="89">
        <v>49</v>
      </c>
      <c r="L33" s="1">
        <v>0.50900000000000001</v>
      </c>
      <c r="M33" s="1">
        <v>12.991</v>
      </c>
      <c r="N33" s="1419">
        <v>0.61799999999999999</v>
      </c>
      <c r="O33" s="1">
        <v>0.61799999999999999</v>
      </c>
      <c r="P33" s="1">
        <v>12.481999999999999</v>
      </c>
      <c r="Q33" s="741">
        <v>4.0778721358756612E-2</v>
      </c>
      <c r="R33" s="741">
        <v>4.9511296266623941E-2</v>
      </c>
      <c r="S33" s="2079">
        <v>9.0290017625380553E-2</v>
      </c>
      <c r="T33" s="89">
        <v>49</v>
      </c>
      <c r="U33" s="740">
        <v>0.50900000000000001</v>
      </c>
      <c r="V33" s="740">
        <v>12.305</v>
      </c>
      <c r="W33" s="740">
        <v>1.6830000000000001</v>
      </c>
      <c r="X33" s="740">
        <v>0.49299999999999999</v>
      </c>
      <c r="Y33" s="740">
        <v>5.8960000000000008</v>
      </c>
      <c r="Z33" s="2067">
        <v>4.9533799533799529E-2</v>
      </c>
      <c r="AA33" s="2067">
        <v>9.5765345765345747E-2</v>
      </c>
      <c r="AB33" s="2094">
        <v>0.14529914529914528</v>
      </c>
    </row>
    <row r="34" spans="1:28">
      <c r="B34" s="2077">
        <v>50</v>
      </c>
      <c r="C34" s="2069">
        <v>0.47199999999999998</v>
      </c>
      <c r="D34" s="2069">
        <v>11.954000000000001</v>
      </c>
      <c r="E34" s="2069">
        <v>2.82</v>
      </c>
      <c r="F34" s="2069">
        <v>2.82</v>
      </c>
      <c r="G34" s="2069">
        <v>11.482000000000001</v>
      </c>
      <c r="H34" s="2070">
        <v>4.1107820937118962E-2</v>
      </c>
      <c r="I34" s="2070">
        <v>0.24560181153109212</v>
      </c>
      <c r="J34" s="2078">
        <v>0.28670963246821107</v>
      </c>
      <c r="K34" s="2077">
        <v>50</v>
      </c>
      <c r="L34" s="2069">
        <v>0.47199999999999998</v>
      </c>
      <c r="M34" s="2069">
        <v>13.343999999999999</v>
      </c>
      <c r="N34" s="2071">
        <v>0.627</v>
      </c>
      <c r="O34" s="2069">
        <v>0.627</v>
      </c>
      <c r="P34" s="2069">
        <v>12.872</v>
      </c>
      <c r="Q34" s="2070">
        <v>3.6668738346799255E-2</v>
      </c>
      <c r="R34" s="2070">
        <v>4.8710379117464266E-2</v>
      </c>
      <c r="S34" s="2078">
        <v>8.5379117464263521E-2</v>
      </c>
      <c r="T34" s="2077">
        <v>50</v>
      </c>
      <c r="U34" s="1686">
        <v>0.47199999999999998</v>
      </c>
      <c r="V34" s="1686">
        <v>12.649000000000001</v>
      </c>
      <c r="W34" s="1686">
        <v>1.7235</v>
      </c>
      <c r="X34" s="1686">
        <v>0.49299999999999999</v>
      </c>
      <c r="Y34" s="1686">
        <v>5.8960000000000008</v>
      </c>
      <c r="Z34" s="2072">
        <v>4.9533799533799529E-2</v>
      </c>
      <c r="AA34" s="2072">
        <v>9.5765345765345747E-2</v>
      </c>
      <c r="AB34" s="2093">
        <v>0.14529914529914528</v>
      </c>
    </row>
    <row r="35" spans="1:28">
      <c r="B35" s="89">
        <v>51</v>
      </c>
      <c r="C35" s="1">
        <v>0.43099999999999999</v>
      </c>
      <c r="D35" s="1">
        <v>12.3</v>
      </c>
      <c r="E35" s="1">
        <v>2.891</v>
      </c>
      <c r="F35" s="1">
        <v>2.891</v>
      </c>
      <c r="G35" s="1">
        <v>11.869000000000002</v>
      </c>
      <c r="H35" s="741">
        <v>3.6313084505855582E-2</v>
      </c>
      <c r="I35" s="741">
        <v>0.24357570140702667</v>
      </c>
      <c r="J35" s="2079">
        <v>0.27988878591288224</v>
      </c>
      <c r="K35" s="89">
        <v>51</v>
      </c>
      <c r="L35" s="1">
        <v>0.43099999999999999</v>
      </c>
      <c r="M35" s="1">
        <v>13.707000000000001</v>
      </c>
      <c r="N35" s="1419">
        <v>0.63500000000000001</v>
      </c>
      <c r="O35" s="1">
        <v>0.63500000000000001</v>
      </c>
      <c r="P35" s="1">
        <v>13.276000000000002</v>
      </c>
      <c r="Q35" s="741">
        <v>3.2464597770412773E-2</v>
      </c>
      <c r="R35" s="741">
        <v>4.7830671889123225E-2</v>
      </c>
      <c r="S35" s="2079">
        <v>8.0295269659535998E-2</v>
      </c>
      <c r="T35" s="89">
        <v>51</v>
      </c>
      <c r="U35" s="740">
        <v>0.43099999999999999</v>
      </c>
      <c r="V35" s="740">
        <v>13.003500000000001</v>
      </c>
      <c r="W35" s="740">
        <v>1.7629999999999999</v>
      </c>
      <c r="X35" s="740">
        <v>0.49299999999999999</v>
      </c>
      <c r="Y35" s="740">
        <v>5.8960000000000008</v>
      </c>
      <c r="Z35" s="2067">
        <v>4.9533799533799529E-2</v>
      </c>
      <c r="AA35" s="2067">
        <v>9.5765345765345747E-2</v>
      </c>
      <c r="AB35" s="2094">
        <v>0.14529914529914528</v>
      </c>
    </row>
    <row r="36" spans="1:28">
      <c r="B36" s="2077">
        <v>52</v>
      </c>
      <c r="C36" s="2069">
        <v>0.38800000000000001</v>
      </c>
      <c r="D36" s="2069">
        <v>12.659000000000001</v>
      </c>
      <c r="E36" s="2069">
        <v>2.96</v>
      </c>
      <c r="F36" s="2069">
        <v>2.96</v>
      </c>
      <c r="G36" s="2069">
        <v>12.271000000000001</v>
      </c>
      <c r="H36" s="2070">
        <v>3.1619264933583247E-2</v>
      </c>
      <c r="I36" s="2070">
        <v>0.24121913454486185</v>
      </c>
      <c r="J36" s="2078">
        <v>0.27283839947844513</v>
      </c>
      <c r="K36" s="2077">
        <v>52</v>
      </c>
      <c r="L36" s="2069">
        <v>0.38800000000000001</v>
      </c>
      <c r="M36" s="2069">
        <v>14.083</v>
      </c>
      <c r="N36" s="2071">
        <v>0.64300000000000002</v>
      </c>
      <c r="O36" s="2069">
        <v>0.64300000000000002</v>
      </c>
      <c r="P36" s="2069">
        <v>13.695</v>
      </c>
      <c r="Q36" s="2070">
        <v>2.8331507849580138E-2</v>
      </c>
      <c r="R36" s="2070">
        <v>4.6951442132165025E-2</v>
      </c>
      <c r="S36" s="2078">
        <v>7.5282949981745159E-2</v>
      </c>
      <c r="T36" s="2077">
        <v>52</v>
      </c>
      <c r="U36" s="1686">
        <v>0.38800000000000001</v>
      </c>
      <c r="V36" s="1686">
        <v>13.371</v>
      </c>
      <c r="W36" s="1686">
        <v>1.8014999999999999</v>
      </c>
      <c r="X36" s="1686">
        <v>0.49299999999999999</v>
      </c>
      <c r="Y36" s="1686">
        <v>5.8960000000000008</v>
      </c>
      <c r="Z36" s="2072">
        <v>4.9533799533799529E-2</v>
      </c>
      <c r="AA36" s="2072">
        <v>9.5765345765345747E-2</v>
      </c>
      <c r="AB36" s="2093">
        <v>0.14529914529914528</v>
      </c>
    </row>
    <row r="37" spans="1:28">
      <c r="B37" s="89">
        <v>53</v>
      </c>
      <c r="C37" s="1">
        <v>0.34100000000000003</v>
      </c>
      <c r="D37" s="1">
        <v>13.031000000000001</v>
      </c>
      <c r="E37" s="1">
        <v>3.0270000000000001</v>
      </c>
      <c r="F37" s="1">
        <v>3.0270000000000001</v>
      </c>
      <c r="G37" s="1">
        <v>12.690000000000001</v>
      </c>
      <c r="H37" s="741">
        <v>2.6871552403467298E-2</v>
      </c>
      <c r="I37" s="741">
        <v>0.23853427895981086</v>
      </c>
      <c r="J37" s="2079">
        <v>0.26540583136327817</v>
      </c>
      <c r="K37" s="89">
        <v>53</v>
      </c>
      <c r="L37" s="1">
        <v>0.34100000000000003</v>
      </c>
      <c r="M37" s="1">
        <v>14.47</v>
      </c>
      <c r="N37" s="1419">
        <v>0.64900000000000002</v>
      </c>
      <c r="O37" s="1">
        <v>0.64900000000000002</v>
      </c>
      <c r="P37" s="1">
        <v>14.129000000000001</v>
      </c>
      <c r="Q37" s="741">
        <v>2.4134758298534929E-2</v>
      </c>
      <c r="R37" s="741">
        <v>4.5933894826243896E-2</v>
      </c>
      <c r="S37" s="2079">
        <v>7.0068653124778821E-2</v>
      </c>
      <c r="T37" s="89">
        <v>53</v>
      </c>
      <c r="U37" s="740">
        <v>0.34100000000000003</v>
      </c>
      <c r="V37" s="740">
        <v>13.750500000000001</v>
      </c>
      <c r="W37" s="740">
        <v>1.8380000000000001</v>
      </c>
      <c r="X37" s="740">
        <v>0.49299999999999999</v>
      </c>
      <c r="Y37" s="740">
        <v>5.8960000000000008</v>
      </c>
      <c r="Z37" s="2067">
        <v>4.9533799533799529E-2</v>
      </c>
      <c r="AA37" s="2067">
        <v>9.5765345765345747E-2</v>
      </c>
      <c r="AB37" s="2094">
        <v>0.14529914529914528</v>
      </c>
    </row>
    <row r="38" spans="1:28">
      <c r="B38" s="2077">
        <v>54</v>
      </c>
      <c r="C38" s="2069">
        <v>0.29199999999999998</v>
      </c>
      <c r="D38" s="2069">
        <v>13.417999999999999</v>
      </c>
      <c r="E38" s="2069">
        <v>3.093</v>
      </c>
      <c r="F38" s="2069">
        <v>3.093</v>
      </c>
      <c r="G38" s="2069">
        <v>13.125999999999999</v>
      </c>
      <c r="H38" s="2070">
        <v>2.2245924120067043E-2</v>
      </c>
      <c r="I38" s="2070">
        <v>0.23563918939509371</v>
      </c>
      <c r="J38" s="2078">
        <v>0.25788511351516075</v>
      </c>
      <c r="K38" s="2077">
        <v>54</v>
      </c>
      <c r="L38" s="2069">
        <v>0.29199999999999998</v>
      </c>
      <c r="M38" s="2069">
        <v>14.87</v>
      </c>
      <c r="N38" s="2071">
        <v>0.65400000000000003</v>
      </c>
      <c r="O38" s="2069">
        <v>0.65400000000000003</v>
      </c>
      <c r="P38" s="2069">
        <v>14.577999999999999</v>
      </c>
      <c r="Q38" s="2070">
        <v>2.0030182466730689E-2</v>
      </c>
      <c r="R38" s="2070">
        <v>4.4862121004252985E-2</v>
      </c>
      <c r="S38" s="2078">
        <v>6.4892303470983681E-2</v>
      </c>
      <c r="T38" s="2077">
        <v>54</v>
      </c>
      <c r="U38" s="1686">
        <v>0.29199999999999998</v>
      </c>
      <c r="V38" s="1686">
        <v>14.143999999999998</v>
      </c>
      <c r="W38" s="1686">
        <v>1.8734999999999999</v>
      </c>
      <c r="X38" s="1686">
        <v>0.49299999999999999</v>
      </c>
      <c r="Y38" s="1686">
        <v>5.8960000000000008</v>
      </c>
      <c r="Z38" s="2072">
        <v>4.9533799533799529E-2</v>
      </c>
      <c r="AA38" s="2072">
        <v>9.5765345765345747E-2</v>
      </c>
      <c r="AB38" s="2093">
        <v>0.14529914529914528</v>
      </c>
    </row>
    <row r="39" spans="1:28">
      <c r="B39" s="89">
        <v>55</v>
      </c>
      <c r="C39" s="1">
        <v>0.24</v>
      </c>
      <c r="D39" s="1">
        <v>13.818</v>
      </c>
      <c r="E39" s="1">
        <v>3.157</v>
      </c>
      <c r="F39" s="1">
        <v>3.157</v>
      </c>
      <c r="G39" s="1">
        <v>13.577999999999999</v>
      </c>
      <c r="H39" s="741">
        <v>1.7675651789659744E-2</v>
      </c>
      <c r="I39" s="741">
        <v>0.23250846958314922</v>
      </c>
      <c r="J39" s="2079">
        <v>0.25018412137280899</v>
      </c>
      <c r="K39" s="89">
        <v>55</v>
      </c>
      <c r="L39" s="1">
        <v>0.24</v>
      </c>
      <c r="M39" s="1">
        <v>15.284000000000001</v>
      </c>
      <c r="N39" s="1419">
        <v>0.65800000000000003</v>
      </c>
      <c r="O39" s="1">
        <v>0.65800000000000003</v>
      </c>
      <c r="P39" s="1">
        <v>15.044</v>
      </c>
      <c r="Q39" s="741">
        <v>1.5953203935123637E-2</v>
      </c>
      <c r="R39" s="741">
        <v>4.3738367455463972E-2</v>
      </c>
      <c r="S39" s="2079">
        <v>5.969157139058761E-2</v>
      </c>
      <c r="T39" s="89">
        <v>55</v>
      </c>
      <c r="U39" s="740">
        <v>0.24</v>
      </c>
      <c r="V39" s="740">
        <v>14.551</v>
      </c>
      <c r="W39" s="740">
        <v>1.9075</v>
      </c>
      <c r="X39" s="740">
        <v>0.49299999999999999</v>
      </c>
      <c r="Y39" s="740">
        <v>5.8960000000000008</v>
      </c>
      <c r="Z39" s="2067">
        <v>4.9533799533799529E-2</v>
      </c>
      <c r="AA39" s="2067">
        <v>9.5765345765345747E-2</v>
      </c>
      <c r="AB39" s="2094">
        <v>0.14529914529914528</v>
      </c>
    </row>
    <row r="40" spans="1:28">
      <c r="B40" s="2077">
        <v>56</v>
      </c>
      <c r="C40" s="2069">
        <v>0.188</v>
      </c>
      <c r="D40" s="2069">
        <v>14.234999999999999</v>
      </c>
      <c r="E40" s="2069">
        <v>3.22</v>
      </c>
      <c r="F40" s="2069">
        <v>3.22</v>
      </c>
      <c r="G40" s="2069">
        <v>14.046999999999999</v>
      </c>
      <c r="H40" s="2070">
        <v>1.3383640635011036E-2</v>
      </c>
      <c r="I40" s="2070">
        <v>0.22923044066348691</v>
      </c>
      <c r="J40" s="2078">
        <v>0.24261408129849796</v>
      </c>
      <c r="K40" s="2077">
        <v>56</v>
      </c>
      <c r="L40" s="2069">
        <v>0.188</v>
      </c>
      <c r="M40" s="2069">
        <v>15.712999999999999</v>
      </c>
      <c r="N40" s="2071">
        <v>0.66100000000000003</v>
      </c>
      <c r="O40" s="2069">
        <v>0.66100000000000003</v>
      </c>
      <c r="P40" s="2069">
        <v>15.524999999999999</v>
      </c>
      <c r="Q40" s="2070">
        <v>1.2109500805152979E-2</v>
      </c>
      <c r="R40" s="2070">
        <v>4.2576489533011276E-2</v>
      </c>
      <c r="S40" s="2078">
        <v>5.4685990338164257E-2</v>
      </c>
      <c r="T40" s="2077">
        <v>56</v>
      </c>
      <c r="U40" s="1686">
        <v>0.188</v>
      </c>
      <c r="V40" s="1686">
        <v>14.974</v>
      </c>
      <c r="W40" s="1686">
        <v>1.9405000000000001</v>
      </c>
      <c r="X40" s="1686">
        <v>0.49299999999999999</v>
      </c>
      <c r="Y40" s="1686">
        <v>5.8960000000000008</v>
      </c>
      <c r="Z40" s="2072">
        <v>4.9533799533799529E-2</v>
      </c>
      <c r="AA40" s="2072">
        <v>9.5765345765345747E-2</v>
      </c>
      <c r="AB40" s="2093">
        <v>0.14529914529914528</v>
      </c>
    </row>
    <row r="41" spans="1:28">
      <c r="B41" s="89">
        <v>57</v>
      </c>
      <c r="C41" s="1">
        <v>0.13600000000000001</v>
      </c>
      <c r="D41" s="1">
        <v>14.669</v>
      </c>
      <c r="E41" s="1">
        <v>3.2829999999999999</v>
      </c>
      <c r="F41" s="1">
        <v>3.2829999999999999</v>
      </c>
      <c r="G41" s="1">
        <v>14.533000000000001</v>
      </c>
      <c r="H41" s="741">
        <v>9.35801279845868E-3</v>
      </c>
      <c r="I41" s="741">
        <v>0.22589967659808707</v>
      </c>
      <c r="J41" s="2079">
        <v>0.23525768939654576</v>
      </c>
      <c r="K41" s="89">
        <v>57</v>
      </c>
      <c r="L41" s="1">
        <v>0.13600000000000001</v>
      </c>
      <c r="M41" s="1">
        <v>16.158999999999999</v>
      </c>
      <c r="N41" s="1419">
        <v>0.66400000000000003</v>
      </c>
      <c r="O41" s="1">
        <v>0.66400000000000003</v>
      </c>
      <c r="P41" s="1">
        <v>16.023</v>
      </c>
      <c r="Q41" s="741">
        <v>8.4877987892404676E-3</v>
      </c>
      <c r="R41" s="741">
        <v>4.1440429382762281E-2</v>
      </c>
      <c r="S41" s="2079">
        <v>4.992822817200275E-2</v>
      </c>
      <c r="T41" s="89">
        <v>57</v>
      </c>
      <c r="U41" s="740">
        <v>0.13600000000000001</v>
      </c>
      <c r="V41" s="740">
        <v>15.414</v>
      </c>
      <c r="W41" s="740">
        <v>1.9735</v>
      </c>
      <c r="X41" s="740">
        <v>0.49299999999999999</v>
      </c>
      <c r="Y41" s="740">
        <v>5.8960000000000008</v>
      </c>
      <c r="Z41" s="2067">
        <v>4.9533799533799529E-2</v>
      </c>
      <c r="AA41" s="2067">
        <v>9.5765345765345747E-2</v>
      </c>
      <c r="AB41" s="2094">
        <v>0.14529914529914528</v>
      </c>
    </row>
    <row r="42" spans="1:28">
      <c r="B42" s="2077">
        <v>58</v>
      </c>
      <c r="C42" s="2069">
        <v>8.8999999999999996E-2</v>
      </c>
      <c r="D42" s="2069">
        <v>15.122</v>
      </c>
      <c r="E42" s="2069">
        <v>3.3490000000000002</v>
      </c>
      <c r="F42" s="2069">
        <v>3.3490000000000002</v>
      </c>
      <c r="G42" s="2069">
        <v>15.032999999999999</v>
      </c>
      <c r="H42" s="2070">
        <v>5.9203086542938864E-3</v>
      </c>
      <c r="I42" s="2070">
        <v>0.22277655823854189</v>
      </c>
      <c r="J42" s="2078">
        <v>0.22869686689283578</v>
      </c>
      <c r="K42" s="2077">
        <v>58</v>
      </c>
      <c r="L42" s="2069">
        <v>8.8999999999999996E-2</v>
      </c>
      <c r="M42" s="2069">
        <v>16.626000000000001</v>
      </c>
      <c r="N42" s="2071">
        <v>0.66700000000000004</v>
      </c>
      <c r="O42" s="2069">
        <v>0.66700000000000004</v>
      </c>
      <c r="P42" s="2069">
        <v>16.537000000000003</v>
      </c>
      <c r="Q42" s="2070">
        <v>5.381870956037974E-3</v>
      </c>
      <c r="R42" s="2070">
        <v>4.0333796940194712E-2</v>
      </c>
      <c r="S42" s="2078">
        <v>4.5715667896232687E-2</v>
      </c>
      <c r="T42" s="2077">
        <v>58</v>
      </c>
      <c r="U42" s="1686">
        <v>8.8999999999999996E-2</v>
      </c>
      <c r="V42" s="1686">
        <v>15.874000000000001</v>
      </c>
      <c r="W42" s="1686">
        <v>2.008</v>
      </c>
      <c r="X42" s="1686">
        <v>0.49299999999999999</v>
      </c>
      <c r="Y42" s="1686">
        <v>5.8960000000000008</v>
      </c>
      <c r="Z42" s="2072">
        <v>4.9533799533799529E-2</v>
      </c>
      <c r="AA42" s="2072">
        <v>9.5765345765345747E-2</v>
      </c>
      <c r="AB42" s="2093">
        <v>0.14529914529914528</v>
      </c>
    </row>
    <row r="43" spans="1:28">
      <c r="B43" s="89">
        <v>59</v>
      </c>
      <c r="C43" s="1">
        <v>4.9000000000000002E-2</v>
      </c>
      <c r="D43" s="1">
        <v>15.597</v>
      </c>
      <c r="E43" s="1">
        <v>3.4159999999999999</v>
      </c>
      <c r="F43" s="1">
        <v>3.4159999999999999</v>
      </c>
      <c r="G43" s="1">
        <v>15.548</v>
      </c>
      <c r="H43" s="741">
        <v>3.1515307435039876E-3</v>
      </c>
      <c r="I43" s="741">
        <v>0.21970671468999228</v>
      </c>
      <c r="J43" s="2079">
        <v>0.22285824543349628</v>
      </c>
      <c r="K43" s="89">
        <v>59</v>
      </c>
      <c r="L43" s="1">
        <v>4.9000000000000002E-2</v>
      </c>
      <c r="M43" s="1">
        <v>17.117000000000001</v>
      </c>
      <c r="N43" s="1419">
        <v>0.67</v>
      </c>
      <c r="O43" s="1">
        <v>0.67</v>
      </c>
      <c r="P43" s="1">
        <v>17.068000000000001</v>
      </c>
      <c r="Q43" s="741">
        <v>2.8708694633231779E-3</v>
      </c>
      <c r="R43" s="741">
        <v>3.925474572299039E-2</v>
      </c>
      <c r="S43" s="2079">
        <v>4.2125615186313567E-2</v>
      </c>
      <c r="T43" s="89">
        <v>59</v>
      </c>
      <c r="U43" s="740">
        <v>4.9000000000000002E-2</v>
      </c>
      <c r="V43" s="740">
        <v>16.356999999999999</v>
      </c>
      <c r="W43" s="740">
        <v>2.0430000000000001</v>
      </c>
      <c r="X43" s="740">
        <v>0.49299999999999999</v>
      </c>
      <c r="Y43" s="740">
        <v>5.8960000000000008</v>
      </c>
      <c r="Z43" s="2067">
        <v>4.9533799533799529E-2</v>
      </c>
      <c r="AA43" s="2067">
        <v>9.5765345765345747E-2</v>
      </c>
      <c r="AB43" s="2094">
        <v>0.14529914529914528</v>
      </c>
    </row>
    <row r="44" spans="1:28">
      <c r="B44" s="2077">
        <v>60</v>
      </c>
      <c r="C44" s="2069">
        <v>2.1000000000000001E-2</v>
      </c>
      <c r="D44" s="2069">
        <v>16.097000000000001</v>
      </c>
      <c r="E44" s="2069">
        <v>3.4870000000000001</v>
      </c>
      <c r="F44" s="2069">
        <v>3.4870000000000001</v>
      </c>
      <c r="G44" s="2069">
        <v>16.076000000000001</v>
      </c>
      <c r="H44" s="2070">
        <v>1.3062950982831551E-3</v>
      </c>
      <c r="I44" s="2070">
        <v>0.21690719084349341</v>
      </c>
      <c r="J44" s="2078">
        <v>0.21821348594177656</v>
      </c>
      <c r="K44" s="2077">
        <v>60</v>
      </c>
      <c r="L44" s="2069">
        <v>2.1000000000000001E-2</v>
      </c>
      <c r="M44" s="2069">
        <v>17.635000000000002</v>
      </c>
      <c r="N44" s="2071">
        <v>0.67300000000000004</v>
      </c>
      <c r="O44" s="2069">
        <v>0.67300000000000004</v>
      </c>
      <c r="P44" s="2069">
        <v>17.614000000000001</v>
      </c>
      <c r="Q44" s="2070">
        <v>1.1922334506642444E-3</v>
      </c>
      <c r="R44" s="2070">
        <v>3.8208243442716019E-2</v>
      </c>
      <c r="S44" s="2078">
        <v>3.9400476893380262E-2</v>
      </c>
      <c r="T44" s="2077">
        <v>60</v>
      </c>
      <c r="U44" s="1686">
        <v>2.1000000000000001E-2</v>
      </c>
      <c r="V44" s="1686">
        <v>16.866</v>
      </c>
      <c r="W44" s="1686">
        <v>2.08</v>
      </c>
      <c r="X44" s="1686">
        <v>0.49299999999999999</v>
      </c>
      <c r="Y44" s="1686">
        <v>5.8960000000000008</v>
      </c>
      <c r="Z44" s="2072">
        <v>4.9533799533799529E-2</v>
      </c>
      <c r="AA44" s="2072">
        <v>9.5765345765345747E-2</v>
      </c>
      <c r="AB44" s="2093">
        <v>0.14529914529914528</v>
      </c>
    </row>
    <row r="45" spans="1:28">
      <c r="B45" s="89">
        <v>61</v>
      </c>
      <c r="C45" s="1">
        <v>4.0000000000000001E-3</v>
      </c>
      <c r="D45" s="1">
        <v>16.626000000000001</v>
      </c>
      <c r="E45" s="1">
        <v>3.5619999999999998</v>
      </c>
      <c r="F45" s="1">
        <v>3.5619999999999998</v>
      </c>
      <c r="G45" s="1">
        <v>16.622</v>
      </c>
      <c r="H45" s="741">
        <v>2.406449284081338E-4</v>
      </c>
      <c r="I45" s="741">
        <v>0.21429430874744315</v>
      </c>
      <c r="J45" s="2079">
        <v>0.21453495367585129</v>
      </c>
      <c r="K45" s="89">
        <v>61</v>
      </c>
      <c r="L45" s="1">
        <v>4.0000000000000001E-3</v>
      </c>
      <c r="M45" s="1">
        <v>18.184999999999999</v>
      </c>
      <c r="N45" s="1419">
        <v>0.67600000000000005</v>
      </c>
      <c r="O45" s="1">
        <v>0.67600000000000005</v>
      </c>
      <c r="P45" s="1">
        <v>18.180999999999997</v>
      </c>
      <c r="Q45" s="741">
        <v>2.2000990044552008E-4</v>
      </c>
      <c r="R45" s="741">
        <v>3.7181673175292897E-2</v>
      </c>
      <c r="S45" s="2079">
        <v>3.7401683075738414E-2</v>
      </c>
      <c r="T45" s="89">
        <v>61</v>
      </c>
      <c r="U45" s="740">
        <v>4.0000000000000001E-3</v>
      </c>
      <c r="V45" s="740">
        <v>17.4055</v>
      </c>
      <c r="W45" s="740">
        <v>2.1189999999999998</v>
      </c>
      <c r="X45" s="740">
        <v>0.49299999999999999</v>
      </c>
      <c r="Y45" s="740">
        <v>5.8960000000000008</v>
      </c>
      <c r="Z45" s="2067">
        <v>4.9533799533799529E-2</v>
      </c>
      <c r="AA45" s="2067">
        <v>9.5765345765345747E-2</v>
      </c>
      <c r="AB45" s="2094">
        <v>0.14529914529914528</v>
      </c>
    </row>
    <row r="46" spans="1:28">
      <c r="A46" s="34"/>
      <c r="B46" s="2098">
        <v>62</v>
      </c>
      <c r="C46" s="2099">
        <v>0</v>
      </c>
      <c r="D46" s="2099">
        <v>17.187000000000001</v>
      </c>
      <c r="E46" s="2099">
        <v>3.6219999999999999</v>
      </c>
      <c r="F46" s="2099">
        <v>3.6219999999999999</v>
      </c>
      <c r="G46" s="2099">
        <v>17.187000000000001</v>
      </c>
      <c r="H46" s="2100">
        <v>0</v>
      </c>
      <c r="I46" s="2100">
        <v>0.21074067609239538</v>
      </c>
      <c r="J46" s="2101">
        <v>0.21074067609239538</v>
      </c>
      <c r="K46" s="2098">
        <v>62</v>
      </c>
      <c r="L46" s="2099">
        <v>0</v>
      </c>
      <c r="M46" s="2099">
        <v>18.765999999999998</v>
      </c>
      <c r="N46" s="2102">
        <v>0.67600000000000005</v>
      </c>
      <c r="O46" s="2099">
        <v>0.67600000000000005</v>
      </c>
      <c r="P46" s="2099">
        <v>18.765999999999998</v>
      </c>
      <c r="Q46" s="2100">
        <v>0</v>
      </c>
      <c r="R46" s="2100">
        <v>3.6022594053074716E-2</v>
      </c>
      <c r="S46" s="2101">
        <v>3.6022594053074716E-2</v>
      </c>
      <c r="T46" s="2098">
        <v>62</v>
      </c>
      <c r="U46" s="2103">
        <v>0</v>
      </c>
      <c r="V46" s="2103">
        <v>17.976500000000001</v>
      </c>
      <c r="W46" s="2103">
        <v>2.149</v>
      </c>
      <c r="X46" s="2103">
        <v>0.49299999999999999</v>
      </c>
      <c r="Y46" s="2103">
        <v>5.8960000000000008</v>
      </c>
      <c r="Z46" s="2104">
        <v>4.9533799533799529E-2</v>
      </c>
      <c r="AA46" s="2104">
        <v>9.5765345765345747E-2</v>
      </c>
      <c r="AB46" s="2105">
        <v>0.14529914529914528</v>
      </c>
    </row>
    <row r="47" spans="1:28">
      <c r="B47" s="89">
        <v>63</v>
      </c>
      <c r="C47" s="1">
        <v>0</v>
      </c>
      <c r="D47" s="1">
        <v>16.815000000000001</v>
      </c>
      <c r="E47" s="1">
        <v>3.6419999999999999</v>
      </c>
      <c r="F47" s="1">
        <v>3.6419999999999999</v>
      </c>
      <c r="G47" s="1">
        <v>16.815000000000001</v>
      </c>
      <c r="H47" s="741">
        <v>0</v>
      </c>
      <c r="I47" s="741">
        <v>0.21659232827832289</v>
      </c>
      <c r="J47" s="2079">
        <v>0.21659232827832289</v>
      </c>
      <c r="K47" s="89">
        <v>63</v>
      </c>
      <c r="L47" s="1">
        <v>0</v>
      </c>
      <c r="M47" s="1">
        <v>18.393000000000001</v>
      </c>
      <c r="N47" s="1419">
        <v>0.65900000000000003</v>
      </c>
      <c r="O47" s="1">
        <v>0.65900000000000003</v>
      </c>
      <c r="P47" s="1">
        <v>18.393000000000001</v>
      </c>
      <c r="Q47" s="741">
        <v>0</v>
      </c>
      <c r="R47" s="741">
        <v>3.5828847931278204E-2</v>
      </c>
      <c r="S47" s="2079">
        <v>3.5828847931278204E-2</v>
      </c>
      <c r="T47" s="89">
        <v>63</v>
      </c>
      <c r="U47" s="740">
        <v>0</v>
      </c>
      <c r="V47" s="740">
        <v>17.603999999999999</v>
      </c>
      <c r="W47" s="740">
        <v>2.1505000000000001</v>
      </c>
      <c r="X47" s="740">
        <v>0.49299999999999999</v>
      </c>
      <c r="Y47" s="740">
        <v>5.8960000000000008</v>
      </c>
      <c r="Z47" s="2067">
        <v>4.9533799533799529E-2</v>
      </c>
      <c r="AA47" s="2067">
        <v>9.5765345765345747E-2</v>
      </c>
      <c r="AB47" s="2094">
        <v>0.14529914529914528</v>
      </c>
    </row>
    <row r="48" spans="1:28">
      <c r="B48" s="2077">
        <v>64</v>
      </c>
      <c r="C48" s="2069">
        <v>0</v>
      </c>
      <c r="D48" s="2069">
        <v>16.437999999999999</v>
      </c>
      <c r="E48" s="2069">
        <v>3.6579999999999999</v>
      </c>
      <c r="F48" s="2069">
        <v>3.6579999999999999</v>
      </c>
      <c r="G48" s="2069">
        <v>16.437999999999999</v>
      </c>
      <c r="H48" s="2070">
        <v>0</v>
      </c>
      <c r="I48" s="2070">
        <v>0.22253315488502251</v>
      </c>
      <c r="J48" s="2078">
        <v>0.22253315488502251</v>
      </c>
      <c r="K48" s="2077">
        <v>64</v>
      </c>
      <c r="L48" s="2069">
        <v>0</v>
      </c>
      <c r="M48" s="2069">
        <v>18.010999999999999</v>
      </c>
      <c r="N48" s="2071">
        <v>0.64100000000000001</v>
      </c>
      <c r="O48" s="2069">
        <v>0.64100000000000001</v>
      </c>
      <c r="P48" s="2069">
        <v>18.010999999999999</v>
      </c>
      <c r="Q48" s="2070">
        <v>0</v>
      </c>
      <c r="R48" s="2070">
        <v>3.5589362056521016E-2</v>
      </c>
      <c r="S48" s="2078">
        <v>3.5589362056521016E-2</v>
      </c>
      <c r="T48" s="2077">
        <v>64</v>
      </c>
      <c r="U48" s="1686">
        <v>0</v>
      </c>
      <c r="V48" s="1686">
        <v>17.224499999999999</v>
      </c>
      <c r="W48" s="1686">
        <v>2.1494999999999997</v>
      </c>
      <c r="X48" s="1686">
        <v>0.49299999999999999</v>
      </c>
      <c r="Y48" s="1686">
        <v>5.8960000000000008</v>
      </c>
      <c r="Z48" s="2072">
        <v>4.9533799533799529E-2</v>
      </c>
      <c r="AA48" s="2072">
        <v>9.5765345765345747E-2</v>
      </c>
      <c r="AB48" s="2093">
        <v>0.14529914529914528</v>
      </c>
    </row>
    <row r="49" spans="2:28">
      <c r="B49" s="89">
        <v>65</v>
      </c>
      <c r="C49" s="1">
        <v>0</v>
      </c>
      <c r="D49" s="1">
        <v>16.053000000000001</v>
      </c>
      <c r="E49" s="1">
        <v>3.6680000000000001</v>
      </c>
      <c r="F49" s="1">
        <v>3.6680000000000001</v>
      </c>
      <c r="G49" s="1">
        <v>16.053000000000001</v>
      </c>
      <c r="H49" s="741">
        <v>0</v>
      </c>
      <c r="I49" s="741">
        <v>0.2284931165514234</v>
      </c>
      <c r="J49" s="2079">
        <v>0.2284931165514234</v>
      </c>
      <c r="K49" s="89">
        <v>65</v>
      </c>
      <c r="L49" s="1">
        <v>0</v>
      </c>
      <c r="M49" s="1">
        <v>17.619</v>
      </c>
      <c r="N49" s="1419">
        <v>0.623</v>
      </c>
      <c r="O49" s="1">
        <v>0.623</v>
      </c>
      <c r="P49" s="1">
        <v>17.619</v>
      </c>
      <c r="Q49" s="741">
        <v>0</v>
      </c>
      <c r="R49" s="741">
        <v>3.5359555025824392E-2</v>
      </c>
      <c r="S49" s="2079">
        <v>3.5359555025824392E-2</v>
      </c>
      <c r="T49" s="89">
        <v>65</v>
      </c>
      <c r="U49" s="740">
        <v>0</v>
      </c>
      <c r="V49" s="740">
        <v>16.835999999999999</v>
      </c>
      <c r="W49" s="740">
        <v>2.1455000000000002</v>
      </c>
      <c r="X49" s="740">
        <v>0.49299999999999999</v>
      </c>
      <c r="Y49" s="740">
        <v>5.8960000000000008</v>
      </c>
      <c r="Z49" s="957">
        <v>4.9533799533799529E-2</v>
      </c>
      <c r="AA49" s="957">
        <v>9.5765345765345747E-2</v>
      </c>
      <c r="AB49" s="958">
        <v>0.14529914529914528</v>
      </c>
    </row>
    <row r="50" spans="2:28">
      <c r="B50" s="2077">
        <v>66</v>
      </c>
      <c r="C50" s="2069"/>
      <c r="D50" s="2069">
        <v>15.661</v>
      </c>
      <c r="E50" s="2069">
        <v>3.6739999999999999</v>
      </c>
      <c r="F50" s="2069">
        <v>3.6739999999999999</v>
      </c>
      <c r="G50" s="2069">
        <v>15.661</v>
      </c>
      <c r="H50" s="2070">
        <v>0</v>
      </c>
      <c r="I50" s="2070">
        <v>0.23459549198646318</v>
      </c>
      <c r="J50" s="2078">
        <v>0.23459549198646318</v>
      </c>
      <c r="K50" s="2077">
        <v>66</v>
      </c>
      <c r="L50" s="2069">
        <v>0</v>
      </c>
      <c r="M50" s="2069">
        <v>17.216999999999999</v>
      </c>
      <c r="N50" s="2071">
        <v>0.60399999999999998</v>
      </c>
      <c r="O50" s="2069">
        <v>0.60399999999999998</v>
      </c>
      <c r="P50" s="2069">
        <v>17.216999999999999</v>
      </c>
      <c r="Q50" s="2070">
        <v>0</v>
      </c>
      <c r="R50" s="2070">
        <v>3.5081605390021489E-2</v>
      </c>
      <c r="S50" s="2078">
        <v>3.5081605390021489E-2</v>
      </c>
      <c r="T50" s="2077">
        <v>66</v>
      </c>
      <c r="U50" s="1686">
        <v>0</v>
      </c>
      <c r="V50" s="1686">
        <v>16.439</v>
      </c>
      <c r="W50" s="1686">
        <v>2.1389999999999998</v>
      </c>
      <c r="X50" s="1686">
        <v>0.49299999999999999</v>
      </c>
      <c r="Y50" s="1686">
        <v>5.8960000000000008</v>
      </c>
      <c r="Z50" s="2072">
        <v>4.9533799533799529E-2</v>
      </c>
      <c r="AA50" s="2072">
        <v>9.5765345765345747E-2</v>
      </c>
      <c r="AB50" s="2093">
        <v>0.14529914529914528</v>
      </c>
    </row>
    <row r="51" spans="2:28">
      <c r="B51" s="89">
        <v>67</v>
      </c>
      <c r="C51" s="1"/>
      <c r="D51" s="1">
        <v>15.260999999999999</v>
      </c>
      <c r="E51" s="1">
        <v>3.6779999999999999</v>
      </c>
      <c r="F51" s="1">
        <v>3.6779999999999999</v>
      </c>
      <c r="G51" s="1">
        <v>15.260999999999999</v>
      </c>
      <c r="H51" s="741">
        <v>0</v>
      </c>
      <c r="I51" s="741">
        <v>0.24100648712404169</v>
      </c>
      <c r="J51" s="2079">
        <v>0.24100648712404169</v>
      </c>
      <c r="K51" s="89">
        <v>67</v>
      </c>
      <c r="L51" s="1">
        <v>0</v>
      </c>
      <c r="M51" s="1">
        <v>16.803000000000001</v>
      </c>
      <c r="N51" s="1419">
        <v>0.58599999999999997</v>
      </c>
      <c r="O51" s="1">
        <v>0.58599999999999997</v>
      </c>
      <c r="P51" s="1">
        <v>16.803000000000001</v>
      </c>
      <c r="Q51" s="741">
        <v>0</v>
      </c>
      <c r="R51" s="741">
        <v>3.4874724751532464E-2</v>
      </c>
      <c r="S51" s="2079">
        <v>3.4874724751532464E-2</v>
      </c>
      <c r="T51" s="89">
        <v>67</v>
      </c>
      <c r="U51" s="740">
        <v>0</v>
      </c>
      <c r="V51" s="740">
        <v>16.032</v>
      </c>
      <c r="W51" s="740">
        <v>2.1320000000000001</v>
      </c>
      <c r="X51" s="740">
        <v>0.49299999999999999</v>
      </c>
      <c r="Y51" s="740">
        <v>5.8960000000000008</v>
      </c>
      <c r="Z51" s="2067">
        <v>4.9533799533799529E-2</v>
      </c>
      <c r="AA51" s="2067">
        <v>9.5765345765345747E-2</v>
      </c>
      <c r="AB51" s="2094">
        <v>0.14529914529914528</v>
      </c>
    </row>
    <row r="52" spans="2:28">
      <c r="B52" s="2077">
        <v>68</v>
      </c>
      <c r="C52" s="2069"/>
      <c r="D52" s="2069">
        <v>14.851000000000001</v>
      </c>
      <c r="E52" s="2069">
        <v>3.68</v>
      </c>
      <c r="F52" s="2069">
        <v>3.68</v>
      </c>
      <c r="G52" s="2069">
        <v>14.851000000000001</v>
      </c>
      <c r="H52" s="2070">
        <v>0</v>
      </c>
      <c r="I52" s="2070">
        <v>0.24779476129553565</v>
      </c>
      <c r="J52" s="2078">
        <v>0.24779476129553565</v>
      </c>
      <c r="K52" s="2077">
        <v>68</v>
      </c>
      <c r="L52" s="2069">
        <v>0</v>
      </c>
      <c r="M52" s="2069">
        <v>16.378</v>
      </c>
      <c r="N52" s="2071">
        <v>0.56699999999999995</v>
      </c>
      <c r="O52" s="2069">
        <v>0.56699999999999995</v>
      </c>
      <c r="P52" s="2069">
        <v>16.378</v>
      </c>
      <c r="Q52" s="2070">
        <v>0</v>
      </c>
      <c r="R52" s="2070">
        <v>3.4619611674197089E-2</v>
      </c>
      <c r="S52" s="2078">
        <v>3.4619611674197089E-2</v>
      </c>
      <c r="T52" s="2077">
        <v>68</v>
      </c>
      <c r="U52" s="1686">
        <v>0</v>
      </c>
      <c r="V52" s="1686">
        <v>15.6145</v>
      </c>
      <c r="W52" s="1686">
        <v>2.1234999999999999</v>
      </c>
      <c r="X52" s="1686">
        <v>0.49299999999999999</v>
      </c>
      <c r="Y52" s="1686">
        <v>5.8960000000000008</v>
      </c>
      <c r="Z52" s="2072">
        <v>4.9533799533799529E-2</v>
      </c>
      <c r="AA52" s="2072">
        <v>9.5765345765345747E-2</v>
      </c>
      <c r="AB52" s="2093">
        <v>0.14529914529914528</v>
      </c>
    </row>
    <row r="53" spans="2:28">
      <c r="B53" s="89">
        <v>69</v>
      </c>
      <c r="C53" s="1"/>
      <c r="D53" s="1">
        <v>14.432</v>
      </c>
      <c r="E53" s="1">
        <v>3.681</v>
      </c>
      <c r="F53" s="1">
        <v>3.681</v>
      </c>
      <c r="G53" s="1">
        <v>14.432</v>
      </c>
      <c r="H53" s="741">
        <v>0</v>
      </c>
      <c r="I53" s="741">
        <v>0.25505820399113083</v>
      </c>
      <c r="J53" s="2079">
        <v>0.25505820399113083</v>
      </c>
      <c r="K53" s="89">
        <v>69</v>
      </c>
      <c r="L53" s="1">
        <v>0</v>
      </c>
      <c r="M53" s="1">
        <v>15.94</v>
      </c>
      <c r="N53" s="1419">
        <v>0.54900000000000004</v>
      </c>
      <c r="O53" s="1">
        <v>0.54900000000000004</v>
      </c>
      <c r="P53" s="1">
        <v>15.94</v>
      </c>
      <c r="Q53" s="741">
        <v>0</v>
      </c>
      <c r="R53" s="741">
        <v>3.4441656210790469E-2</v>
      </c>
      <c r="S53" s="2079">
        <v>3.4441656210790469E-2</v>
      </c>
      <c r="T53" s="89">
        <v>69</v>
      </c>
      <c r="U53" s="740">
        <v>0</v>
      </c>
      <c r="V53" s="740">
        <v>15.186</v>
      </c>
      <c r="W53" s="740">
        <v>2.1150000000000002</v>
      </c>
      <c r="X53" s="740">
        <v>0.49299999999999999</v>
      </c>
      <c r="Y53" s="740">
        <v>5.8960000000000008</v>
      </c>
      <c r="Z53" s="2067">
        <v>4.9533799533799529E-2</v>
      </c>
      <c r="AA53" s="2067">
        <v>9.5765345765345747E-2</v>
      </c>
      <c r="AB53" s="2094">
        <v>0.14529914529914528</v>
      </c>
    </row>
    <row r="54" spans="2:28">
      <c r="B54" s="2077">
        <v>70</v>
      </c>
      <c r="C54" s="2069"/>
      <c r="D54" s="2069">
        <v>14.002000000000001</v>
      </c>
      <c r="E54" s="2069">
        <v>3.6789999999999998</v>
      </c>
      <c r="F54" s="2069">
        <v>3.6789999999999998</v>
      </c>
      <c r="G54" s="2069">
        <v>14.002000000000001</v>
      </c>
      <c r="H54" s="2070">
        <v>0</v>
      </c>
      <c r="I54" s="2070">
        <v>0.26274817883159546</v>
      </c>
      <c r="J54" s="2078">
        <v>0.26274817883159546</v>
      </c>
      <c r="K54" s="2077">
        <v>70</v>
      </c>
      <c r="L54" s="2069">
        <v>0</v>
      </c>
      <c r="M54" s="2069">
        <v>15.49</v>
      </c>
      <c r="N54" s="2071">
        <v>0.53</v>
      </c>
      <c r="O54" s="2069">
        <v>0.53</v>
      </c>
      <c r="P54" s="2069">
        <v>15.49</v>
      </c>
      <c r="Q54" s="2070">
        <v>0</v>
      </c>
      <c r="R54" s="2070">
        <v>3.4215622982569402E-2</v>
      </c>
      <c r="S54" s="2078">
        <v>3.4215622982569402E-2</v>
      </c>
      <c r="T54" s="2077">
        <v>70</v>
      </c>
      <c r="U54" s="1686">
        <v>0</v>
      </c>
      <c r="V54" s="1686">
        <v>14.746</v>
      </c>
      <c r="W54" s="1686">
        <v>2.1044999999999998</v>
      </c>
      <c r="X54" s="1686">
        <v>0.49299999999999999</v>
      </c>
      <c r="Y54" s="1686">
        <v>5.8960000000000008</v>
      </c>
      <c r="Z54" s="2072">
        <v>4.9533799533799529E-2</v>
      </c>
      <c r="AA54" s="2072">
        <v>9.5765345765345747E-2</v>
      </c>
      <c r="AB54" s="2093">
        <v>0.14529914529914528</v>
      </c>
    </row>
    <row r="55" spans="2:28">
      <c r="B55" s="89">
        <v>71</v>
      </c>
      <c r="C55" s="1"/>
      <c r="D55" s="1">
        <v>13.561999999999999</v>
      </c>
      <c r="E55" s="1">
        <v>3.6749999999999998</v>
      </c>
      <c r="F55" s="1">
        <v>3.6749999999999998</v>
      </c>
      <c r="G55" s="1">
        <v>13.561999999999999</v>
      </c>
      <c r="H55" s="741">
        <v>0</v>
      </c>
      <c r="I55" s="741">
        <v>0.27097773189795016</v>
      </c>
      <c r="J55" s="2079">
        <v>0.27097773189795016</v>
      </c>
      <c r="K55" s="89">
        <v>71</v>
      </c>
      <c r="L55" s="1">
        <v>0</v>
      </c>
      <c r="M55" s="1">
        <v>15.026</v>
      </c>
      <c r="N55" s="1419">
        <v>0.51</v>
      </c>
      <c r="O55" s="1">
        <v>0.51</v>
      </c>
      <c r="P55" s="1">
        <v>15.026</v>
      </c>
      <c r="Q55" s="741">
        <v>0</v>
      </c>
      <c r="R55" s="741">
        <v>3.3941168641022229E-2</v>
      </c>
      <c r="S55" s="2079">
        <v>3.3941168641022229E-2</v>
      </c>
      <c r="T55" s="89">
        <v>71</v>
      </c>
      <c r="U55" s="740">
        <v>0</v>
      </c>
      <c r="V55" s="740">
        <v>14.294</v>
      </c>
      <c r="W55" s="740">
        <v>2.0924999999999998</v>
      </c>
      <c r="X55" s="740">
        <v>0.49299999999999999</v>
      </c>
      <c r="Y55" s="740">
        <v>5.8960000000000008</v>
      </c>
      <c r="Z55" s="2067">
        <v>4.9533799533799529E-2</v>
      </c>
      <c r="AA55" s="2067">
        <v>9.5765345765345747E-2</v>
      </c>
      <c r="AB55" s="2094">
        <v>0.14529914529914528</v>
      </c>
    </row>
    <row r="56" spans="2:28">
      <c r="B56" s="2077">
        <v>72</v>
      </c>
      <c r="C56" s="2069"/>
      <c r="D56" s="2069">
        <v>13.111000000000001</v>
      </c>
      <c r="E56" s="2069">
        <v>3.669</v>
      </c>
      <c r="F56" s="2069">
        <v>3.669</v>
      </c>
      <c r="G56" s="2069">
        <v>13.111000000000001</v>
      </c>
      <c r="H56" s="2070">
        <v>0</v>
      </c>
      <c r="I56" s="2070">
        <v>0.27984135458775072</v>
      </c>
      <c r="J56" s="2078">
        <v>0.27984135458775072</v>
      </c>
      <c r="K56" s="2077">
        <v>72</v>
      </c>
      <c r="L56" s="2069">
        <v>0</v>
      </c>
      <c r="M56" s="2069">
        <v>14.55</v>
      </c>
      <c r="N56" s="2071">
        <v>0.49099999999999999</v>
      </c>
      <c r="O56" s="2069">
        <v>0.49099999999999999</v>
      </c>
      <c r="P56" s="2069">
        <v>14.55</v>
      </c>
      <c r="Q56" s="2070">
        <v>0</v>
      </c>
      <c r="R56" s="2070">
        <v>3.3745704467353949E-2</v>
      </c>
      <c r="S56" s="2078">
        <v>3.3745704467353949E-2</v>
      </c>
      <c r="T56" s="2077">
        <v>72</v>
      </c>
      <c r="U56" s="1686">
        <v>0</v>
      </c>
      <c r="V56" s="1686">
        <v>13.830500000000001</v>
      </c>
      <c r="W56" s="1686">
        <v>2.08</v>
      </c>
      <c r="X56" s="1686">
        <v>0.49299999999999999</v>
      </c>
      <c r="Y56" s="1686">
        <v>5.8960000000000008</v>
      </c>
      <c r="Z56" s="2072">
        <v>4.9533799533799529E-2</v>
      </c>
      <c r="AA56" s="2072">
        <v>9.5765345765345747E-2</v>
      </c>
      <c r="AB56" s="2093">
        <v>0.14529914529914528</v>
      </c>
    </row>
    <row r="57" spans="2:28">
      <c r="B57" s="89">
        <v>73</v>
      </c>
      <c r="C57" s="1"/>
      <c r="D57" s="1">
        <v>12.65</v>
      </c>
      <c r="E57" s="1">
        <v>3.6669999999999998</v>
      </c>
      <c r="F57" s="1">
        <v>3.6669999999999998</v>
      </c>
      <c r="G57" s="1">
        <v>12.65</v>
      </c>
      <c r="H57" s="741">
        <v>0</v>
      </c>
      <c r="I57" s="741">
        <v>0.28988142292490116</v>
      </c>
      <c r="J57" s="2079">
        <v>0.28988142292490116</v>
      </c>
      <c r="K57" s="89">
        <v>73</v>
      </c>
      <c r="L57" s="1">
        <v>0</v>
      </c>
      <c r="M57" s="1">
        <v>14.061999999999999</v>
      </c>
      <c r="N57" s="1419">
        <v>0.47199999999999998</v>
      </c>
      <c r="O57" s="1">
        <v>0.47199999999999998</v>
      </c>
      <c r="P57" s="1">
        <v>14.061999999999999</v>
      </c>
      <c r="Q57" s="741">
        <v>0</v>
      </c>
      <c r="R57" s="741">
        <v>3.3565637889347175E-2</v>
      </c>
      <c r="S57" s="2079">
        <v>3.3565637889347175E-2</v>
      </c>
      <c r="T57" s="89">
        <v>73</v>
      </c>
      <c r="U57" s="740">
        <v>0</v>
      </c>
      <c r="V57" s="740">
        <v>13.356</v>
      </c>
      <c r="W57" s="740">
        <v>2.0694999999999997</v>
      </c>
      <c r="X57" s="740">
        <v>0.49299999999999999</v>
      </c>
      <c r="Y57" s="740">
        <v>5.8960000000000008</v>
      </c>
      <c r="Z57" s="2067">
        <v>4.9533799533799529E-2</v>
      </c>
      <c r="AA57" s="2067">
        <v>9.5765345765345747E-2</v>
      </c>
      <c r="AB57" s="2094">
        <v>0.14529914529914528</v>
      </c>
    </row>
    <row r="58" spans="2:28">
      <c r="B58" s="2077">
        <v>74</v>
      </c>
      <c r="C58" s="2069"/>
      <c r="D58" s="2069">
        <v>12.18</v>
      </c>
      <c r="E58" s="2069">
        <v>3.6619999999999999</v>
      </c>
      <c r="F58" s="2069">
        <v>3.6619999999999999</v>
      </c>
      <c r="G58" s="2069">
        <v>12.18</v>
      </c>
      <c r="H58" s="2070">
        <v>0</v>
      </c>
      <c r="I58" s="2070">
        <v>0.30065681444991788</v>
      </c>
      <c r="J58" s="2078">
        <v>0.30065681444991788</v>
      </c>
      <c r="K58" s="2077">
        <v>74</v>
      </c>
      <c r="L58" s="2069">
        <v>0</v>
      </c>
      <c r="M58" s="2069">
        <v>13.561999999999999</v>
      </c>
      <c r="N58" s="2071">
        <v>0.45300000000000001</v>
      </c>
      <c r="O58" s="2069">
        <v>0.45300000000000001</v>
      </c>
      <c r="P58" s="2069">
        <v>13.561999999999999</v>
      </c>
      <c r="Q58" s="2070">
        <v>0</v>
      </c>
      <c r="R58" s="2070">
        <v>3.3402153074767738E-2</v>
      </c>
      <c r="S58" s="2078">
        <v>3.3402153074767738E-2</v>
      </c>
      <c r="T58" s="2077">
        <v>74</v>
      </c>
      <c r="U58" s="1686">
        <v>0</v>
      </c>
      <c r="V58" s="1686">
        <v>12.870999999999999</v>
      </c>
      <c r="W58" s="1686">
        <v>2.0575000000000001</v>
      </c>
      <c r="X58" s="1686">
        <v>0.49299999999999999</v>
      </c>
      <c r="Y58" s="1686">
        <v>5.8960000000000008</v>
      </c>
      <c r="Z58" s="2072">
        <v>4.9533799533799529E-2</v>
      </c>
      <c r="AA58" s="2072">
        <v>9.5765345765345747E-2</v>
      </c>
      <c r="AB58" s="2093">
        <v>0.14529914529914528</v>
      </c>
    </row>
    <row r="59" spans="2:28">
      <c r="B59" s="89">
        <v>75</v>
      </c>
      <c r="C59" s="1"/>
      <c r="D59" s="1">
        <v>11.701000000000001</v>
      </c>
      <c r="E59" s="1">
        <v>3.6549999999999998</v>
      </c>
      <c r="F59" s="1">
        <v>3.6549999999999998</v>
      </c>
      <c r="G59" s="1">
        <v>11.701000000000001</v>
      </c>
      <c r="H59" s="741">
        <v>0</v>
      </c>
      <c r="I59" s="741">
        <v>0.31236646440475169</v>
      </c>
      <c r="J59" s="2079">
        <v>0.31236646440475169</v>
      </c>
      <c r="K59" s="89">
        <v>75</v>
      </c>
      <c r="L59" s="1">
        <v>0</v>
      </c>
      <c r="M59" s="1">
        <v>13.051</v>
      </c>
      <c r="N59" s="1419">
        <v>0.434</v>
      </c>
      <c r="O59" s="1">
        <v>0.434</v>
      </c>
      <c r="P59" s="1">
        <v>13.051</v>
      </c>
      <c r="Q59" s="741">
        <v>0</v>
      </c>
      <c r="R59" s="741">
        <v>3.3254156769596199E-2</v>
      </c>
      <c r="S59" s="2079">
        <v>3.3254156769596199E-2</v>
      </c>
      <c r="T59" s="89">
        <v>75</v>
      </c>
      <c r="U59" s="740">
        <v>0</v>
      </c>
      <c r="V59" s="740">
        <v>12.376000000000001</v>
      </c>
      <c r="W59" s="740">
        <v>2.0444999999999998</v>
      </c>
      <c r="X59" s="740">
        <v>0.49299999999999999</v>
      </c>
      <c r="Y59" s="740">
        <v>5.8960000000000008</v>
      </c>
      <c r="Z59" s="2067">
        <v>4.9533799533799529E-2</v>
      </c>
      <c r="AA59" s="2067">
        <v>9.5765345765345747E-2</v>
      </c>
      <c r="AB59" s="2094">
        <v>0.14529914529914528</v>
      </c>
    </row>
    <row r="60" spans="2:28">
      <c r="B60" s="2077">
        <v>76</v>
      </c>
      <c r="C60" s="2069"/>
      <c r="D60" s="2069">
        <v>11.215</v>
      </c>
      <c r="E60" s="2069">
        <v>3.6429999999999998</v>
      </c>
      <c r="F60" s="2069">
        <v>3.6429999999999998</v>
      </c>
      <c r="G60" s="2069">
        <v>11.215</v>
      </c>
      <c r="H60" s="2070">
        <v>0</v>
      </c>
      <c r="I60" s="2070">
        <v>0.32483281319661167</v>
      </c>
      <c r="J60" s="2078">
        <v>0.32483281319661167</v>
      </c>
      <c r="K60" s="2077">
        <v>76</v>
      </c>
      <c r="L60" s="2069">
        <v>0</v>
      </c>
      <c r="M60" s="2069">
        <v>12.531000000000001</v>
      </c>
      <c r="N60" s="2071">
        <v>0.41399999999999998</v>
      </c>
      <c r="O60" s="2069">
        <v>0.41399999999999998</v>
      </c>
      <c r="P60" s="2069">
        <v>12.531000000000001</v>
      </c>
      <c r="Q60" s="2070">
        <v>0</v>
      </c>
      <c r="R60" s="2070">
        <v>3.3038065597318644E-2</v>
      </c>
      <c r="S60" s="2078">
        <v>3.3038065597318644E-2</v>
      </c>
      <c r="T60" s="2077">
        <v>76</v>
      </c>
      <c r="U60" s="1686">
        <v>0</v>
      </c>
      <c r="V60" s="1686">
        <v>11.873000000000001</v>
      </c>
      <c r="W60" s="1686">
        <v>2.0284999999999997</v>
      </c>
      <c r="X60" s="1686">
        <v>0.49299999999999999</v>
      </c>
      <c r="Y60" s="1686">
        <v>5.8960000000000008</v>
      </c>
      <c r="Z60" s="2072">
        <v>4.9533799533799529E-2</v>
      </c>
      <c r="AA60" s="2072">
        <v>9.5765345765345747E-2</v>
      </c>
      <c r="AB60" s="2093">
        <v>0.14529914529914528</v>
      </c>
    </row>
    <row r="61" spans="2:28">
      <c r="B61" s="89">
        <v>77</v>
      </c>
      <c r="C61" s="1"/>
      <c r="D61" s="1">
        <v>10.724</v>
      </c>
      <c r="E61" s="1">
        <v>3.625</v>
      </c>
      <c r="F61" s="1">
        <v>3.625</v>
      </c>
      <c r="G61" s="1">
        <v>10.724</v>
      </c>
      <c r="H61" s="741">
        <v>0</v>
      </c>
      <c r="I61" s="741">
        <v>0.33802685565087653</v>
      </c>
      <c r="J61" s="2079">
        <v>0.33802685565087653</v>
      </c>
      <c r="K61" s="89">
        <v>77</v>
      </c>
      <c r="L61" s="1">
        <v>0</v>
      </c>
      <c r="M61" s="1">
        <v>12.003</v>
      </c>
      <c r="N61" s="1419">
        <v>0.39300000000000002</v>
      </c>
      <c r="O61" s="1">
        <v>0.39300000000000002</v>
      </c>
      <c r="P61" s="1">
        <v>12.003</v>
      </c>
      <c r="Q61" s="741">
        <v>0</v>
      </c>
      <c r="R61" s="741">
        <v>3.2741814546363407E-2</v>
      </c>
      <c r="S61" s="2079">
        <v>3.2741814546363407E-2</v>
      </c>
      <c r="T61" s="89">
        <v>77</v>
      </c>
      <c r="U61" s="740">
        <v>0</v>
      </c>
      <c r="V61" s="740">
        <v>11.3635</v>
      </c>
      <c r="W61" s="740">
        <v>2.0089999999999999</v>
      </c>
      <c r="X61" s="740">
        <v>0.49299999999999999</v>
      </c>
      <c r="Y61" s="740">
        <v>5.8960000000000008</v>
      </c>
      <c r="Z61" s="2067">
        <v>4.9533799533799529E-2</v>
      </c>
      <c r="AA61" s="2067">
        <v>9.5765345765345747E-2</v>
      </c>
      <c r="AB61" s="2094">
        <v>0.14529914529914528</v>
      </c>
    </row>
    <row r="62" spans="2:28">
      <c r="B62" s="2077">
        <v>78</v>
      </c>
      <c r="C62" s="2069"/>
      <c r="D62" s="2069">
        <v>10.228999999999999</v>
      </c>
      <c r="E62" s="2069">
        <v>3.601</v>
      </c>
      <c r="F62" s="2069">
        <v>3.601</v>
      </c>
      <c r="G62" s="2069">
        <v>10.228999999999999</v>
      </c>
      <c r="H62" s="2070">
        <v>0</v>
      </c>
      <c r="I62" s="2070">
        <v>0.35203832241665856</v>
      </c>
      <c r="J62" s="2078">
        <v>0.35203832241665856</v>
      </c>
      <c r="K62" s="2077">
        <v>78</v>
      </c>
      <c r="L62" s="2069">
        <v>0</v>
      </c>
      <c r="M62" s="2069">
        <v>11.47</v>
      </c>
      <c r="N62" s="2071">
        <v>0.371</v>
      </c>
      <c r="O62" s="2069">
        <v>0.371</v>
      </c>
      <c r="P62" s="2069">
        <v>11.47</v>
      </c>
      <c r="Q62" s="2070">
        <v>0</v>
      </c>
      <c r="R62" s="2070">
        <v>3.2345248474280733E-2</v>
      </c>
      <c r="S62" s="2078">
        <v>3.2345248474280733E-2</v>
      </c>
      <c r="T62" s="2077">
        <v>78</v>
      </c>
      <c r="U62" s="1686">
        <v>0</v>
      </c>
      <c r="V62" s="1686">
        <v>10.849499999999999</v>
      </c>
      <c r="W62" s="1686">
        <v>1.986</v>
      </c>
      <c r="X62" s="1686">
        <v>0.49299999999999999</v>
      </c>
      <c r="Y62" s="1686">
        <v>5.8960000000000008</v>
      </c>
      <c r="Z62" s="2072">
        <v>4.9533799533799529E-2</v>
      </c>
      <c r="AA62" s="2072">
        <v>9.5765345765345747E-2</v>
      </c>
      <c r="AB62" s="2093">
        <v>0.14529914529914528</v>
      </c>
    </row>
    <row r="63" spans="2:28">
      <c r="B63" s="89">
        <v>79</v>
      </c>
      <c r="C63" s="1"/>
      <c r="D63" s="1">
        <v>9.7330000000000005</v>
      </c>
      <c r="E63" s="1">
        <v>3.57</v>
      </c>
      <c r="F63" s="1">
        <v>3.57</v>
      </c>
      <c r="G63" s="1">
        <v>9.7330000000000005</v>
      </c>
      <c r="H63" s="741">
        <v>0</v>
      </c>
      <c r="I63" s="741">
        <v>0.36679338333504569</v>
      </c>
      <c r="J63" s="2079">
        <v>0.36679338333504569</v>
      </c>
      <c r="K63" s="89">
        <v>79</v>
      </c>
      <c r="L63" s="1">
        <v>0</v>
      </c>
      <c r="M63" s="1">
        <v>10.932</v>
      </c>
      <c r="N63" s="1419">
        <v>0.34899999999999998</v>
      </c>
      <c r="O63" s="1">
        <v>0.34899999999999998</v>
      </c>
      <c r="P63" s="1">
        <v>10.932</v>
      </c>
      <c r="Q63" s="741">
        <v>0</v>
      </c>
      <c r="R63" s="741">
        <v>3.1924624954262709E-2</v>
      </c>
      <c r="S63" s="2079">
        <v>3.1924624954262709E-2</v>
      </c>
      <c r="T63" s="89">
        <v>79</v>
      </c>
      <c r="U63" s="740">
        <v>0</v>
      </c>
      <c r="V63" s="740">
        <v>10.3325</v>
      </c>
      <c r="W63" s="740">
        <v>1.9594999999999998</v>
      </c>
      <c r="X63" s="740">
        <v>0.49299999999999999</v>
      </c>
      <c r="Y63" s="740">
        <v>5.8960000000000008</v>
      </c>
      <c r="Z63" s="2067">
        <v>4.9533799533799529E-2</v>
      </c>
      <c r="AA63" s="2067">
        <v>9.5765345765345747E-2</v>
      </c>
      <c r="AB63" s="2094">
        <v>0.14529914529914528</v>
      </c>
    </row>
    <row r="64" spans="2:28">
      <c r="B64" s="2077">
        <v>80</v>
      </c>
      <c r="C64" s="2069"/>
      <c r="D64" s="2069">
        <v>9.2379999999999995</v>
      </c>
      <c r="E64" s="2069">
        <v>3.5310000000000001</v>
      </c>
      <c r="F64" s="2069">
        <v>3.5310000000000001</v>
      </c>
      <c r="G64" s="2069">
        <v>9.2379999999999995</v>
      </c>
      <c r="H64" s="2070">
        <v>0</v>
      </c>
      <c r="I64" s="2070">
        <v>0.38222558995453565</v>
      </c>
      <c r="J64" s="2078">
        <v>0.38222558995453565</v>
      </c>
      <c r="K64" s="2077">
        <v>80</v>
      </c>
      <c r="L64" s="2069">
        <v>0</v>
      </c>
      <c r="M64" s="2069">
        <v>10.391999999999999</v>
      </c>
      <c r="N64" s="2071">
        <v>0.32700000000000001</v>
      </c>
      <c r="O64" s="2069">
        <v>0.32700000000000001</v>
      </c>
      <c r="P64" s="2069">
        <v>10.391999999999999</v>
      </c>
      <c r="Q64" s="2070">
        <v>0</v>
      </c>
      <c r="R64" s="2070">
        <v>3.1466512702078522E-2</v>
      </c>
      <c r="S64" s="2078">
        <v>3.1466512702078522E-2</v>
      </c>
      <c r="T64" s="2077">
        <v>80</v>
      </c>
      <c r="U64" s="1686">
        <v>0</v>
      </c>
      <c r="V64" s="1686">
        <v>9.8149999999999995</v>
      </c>
      <c r="W64" s="1686">
        <v>1.929</v>
      </c>
      <c r="X64" s="1686">
        <v>0.49299999999999999</v>
      </c>
      <c r="Y64" s="1686">
        <v>5.8960000000000008</v>
      </c>
      <c r="Z64" s="2072">
        <v>4.9533799533799529E-2</v>
      </c>
      <c r="AA64" s="2072">
        <v>9.5765345765345747E-2</v>
      </c>
      <c r="AB64" s="2093">
        <v>0.14529914529914528</v>
      </c>
    </row>
    <row r="65" spans="2:28">
      <c r="B65" s="89">
        <v>81</v>
      </c>
      <c r="C65" s="1"/>
      <c r="D65" s="1">
        <v>8.7469999999999999</v>
      </c>
      <c r="E65" s="1">
        <v>3.4820000000000002</v>
      </c>
      <c r="F65" s="1">
        <v>3.4820000000000002</v>
      </c>
      <c r="G65" s="1">
        <v>8.7469999999999999</v>
      </c>
      <c r="H65" s="741">
        <v>0</v>
      </c>
      <c r="I65" s="741">
        <v>0.39807934148851037</v>
      </c>
      <c r="J65" s="2079">
        <v>0.39807934148851037</v>
      </c>
      <c r="K65" s="89">
        <v>81</v>
      </c>
      <c r="L65" s="1">
        <v>0</v>
      </c>
      <c r="M65" s="1">
        <v>9.8529999999999998</v>
      </c>
      <c r="N65" s="1419">
        <v>0.30399999999999999</v>
      </c>
      <c r="O65" s="1">
        <v>0.30399999999999999</v>
      </c>
      <c r="P65" s="1">
        <v>9.8529999999999998</v>
      </c>
      <c r="Q65" s="741">
        <v>0</v>
      </c>
      <c r="R65" s="741">
        <v>3.0853547143002133E-2</v>
      </c>
      <c r="S65" s="2079">
        <v>3.0853547143002133E-2</v>
      </c>
      <c r="T65" s="89">
        <v>81</v>
      </c>
      <c r="U65" s="740">
        <v>0</v>
      </c>
      <c r="V65" s="740">
        <v>9.3000000000000007</v>
      </c>
      <c r="W65" s="740">
        <v>1.893</v>
      </c>
      <c r="X65" s="740">
        <v>0.49299999999999999</v>
      </c>
      <c r="Y65" s="740">
        <v>5.8960000000000008</v>
      </c>
      <c r="Z65" s="2067">
        <v>4.9533799533799529E-2</v>
      </c>
      <c r="AA65" s="2067">
        <v>9.5765345765345747E-2</v>
      </c>
      <c r="AB65" s="2094">
        <v>0.14529914529914528</v>
      </c>
    </row>
    <row r="66" spans="2:28">
      <c r="B66" s="2077">
        <v>82</v>
      </c>
      <c r="C66" s="2069"/>
      <c r="D66" s="2069">
        <v>8.2629999999999999</v>
      </c>
      <c r="E66" s="2069">
        <v>3.4089999999999998</v>
      </c>
      <c r="F66" s="2069">
        <v>3.4089999999999998</v>
      </c>
      <c r="G66" s="2069">
        <v>8.2629999999999999</v>
      </c>
      <c r="H66" s="2070">
        <v>0</v>
      </c>
      <c r="I66" s="2070">
        <v>0.41256202347815563</v>
      </c>
      <c r="J66" s="2078">
        <v>0.41256202347815563</v>
      </c>
      <c r="K66" s="2077">
        <v>82</v>
      </c>
      <c r="L66" s="2069">
        <v>0</v>
      </c>
      <c r="M66" s="2069">
        <v>9.3179999999999996</v>
      </c>
      <c r="N66" s="2071">
        <v>0.28100000000000003</v>
      </c>
      <c r="O66" s="2069">
        <v>0.28100000000000003</v>
      </c>
      <c r="P66" s="2069">
        <v>9.3179999999999996</v>
      </c>
      <c r="Q66" s="2070">
        <v>0</v>
      </c>
      <c r="R66" s="2070">
        <v>3.0156685984116766E-2</v>
      </c>
      <c r="S66" s="2078">
        <v>3.0156685984116766E-2</v>
      </c>
      <c r="T66" s="2077">
        <v>82</v>
      </c>
      <c r="U66" s="1686">
        <v>0</v>
      </c>
      <c r="V66" s="1686">
        <v>8.7904999999999998</v>
      </c>
      <c r="W66" s="1686">
        <v>1.845</v>
      </c>
      <c r="X66" s="1686">
        <v>0.49299999999999999</v>
      </c>
      <c r="Y66" s="1686">
        <v>5.8960000000000008</v>
      </c>
      <c r="Z66" s="2072">
        <v>4.9533799533799529E-2</v>
      </c>
      <c r="AA66" s="2072">
        <v>9.5765345765345747E-2</v>
      </c>
      <c r="AB66" s="2093">
        <v>0.14529914529914528</v>
      </c>
    </row>
    <row r="67" spans="2:28">
      <c r="B67" s="89">
        <v>83</v>
      </c>
      <c r="C67" s="1"/>
      <c r="D67" s="1">
        <v>7.7880000000000003</v>
      </c>
      <c r="E67" s="1">
        <v>3.3220000000000001</v>
      </c>
      <c r="F67" s="1">
        <v>3.3220000000000001</v>
      </c>
      <c r="G67" s="1">
        <v>7.7880000000000003</v>
      </c>
      <c r="H67" s="741">
        <v>0</v>
      </c>
      <c r="I67" s="741">
        <v>0.42655367231638419</v>
      </c>
      <c r="J67" s="2079">
        <v>0.42655367231638419</v>
      </c>
      <c r="K67" s="89">
        <v>83</v>
      </c>
      <c r="L67" s="1">
        <v>0</v>
      </c>
      <c r="M67" s="1">
        <v>8.7889999999999997</v>
      </c>
      <c r="N67" s="1419">
        <v>0.25800000000000001</v>
      </c>
      <c r="O67" s="1">
        <v>0.25800000000000001</v>
      </c>
      <c r="P67" s="1">
        <v>8.7889999999999997</v>
      </c>
      <c r="Q67" s="741">
        <v>0</v>
      </c>
      <c r="R67" s="741">
        <v>2.9354875412447381E-2</v>
      </c>
      <c r="S67" s="2079">
        <v>2.9354875412447381E-2</v>
      </c>
      <c r="T67" s="89">
        <v>83</v>
      </c>
      <c r="U67" s="740">
        <v>0</v>
      </c>
      <c r="V67" s="740">
        <v>8.2884999999999991</v>
      </c>
      <c r="W67" s="740">
        <v>1.79</v>
      </c>
      <c r="X67" s="740">
        <v>0.49299999999999999</v>
      </c>
      <c r="Y67" s="740">
        <v>5.8960000000000008</v>
      </c>
      <c r="Z67" s="2067">
        <v>4.9533799533799529E-2</v>
      </c>
      <c r="AA67" s="2067">
        <v>9.5765345765345747E-2</v>
      </c>
      <c r="AB67" s="2094">
        <v>0.14529914529914528</v>
      </c>
    </row>
    <row r="68" spans="2:28">
      <c r="B68" s="2077">
        <v>84</v>
      </c>
      <c r="C68" s="2069"/>
      <c r="D68" s="2069">
        <v>7.327</v>
      </c>
      <c r="E68" s="2069">
        <v>3.2229999999999999</v>
      </c>
      <c r="F68" s="2069">
        <v>3.2229999999999999</v>
      </c>
      <c r="G68" s="2069">
        <v>7.327</v>
      </c>
      <c r="H68" s="2070">
        <v>0</v>
      </c>
      <c r="I68" s="2070">
        <v>0.43987989627405483</v>
      </c>
      <c r="J68" s="2078">
        <v>0.43987989627405483</v>
      </c>
      <c r="K68" s="2077">
        <v>84</v>
      </c>
      <c r="L68" s="2069">
        <v>0</v>
      </c>
      <c r="M68" s="2069">
        <v>8.2710000000000008</v>
      </c>
      <c r="N68" s="2071">
        <v>0.23499999999999999</v>
      </c>
      <c r="O68" s="2069">
        <v>0.23499999999999999</v>
      </c>
      <c r="P68" s="2069">
        <v>8.2710000000000008</v>
      </c>
      <c r="Q68" s="2070">
        <v>0</v>
      </c>
      <c r="R68" s="2070">
        <v>2.8412525692177483E-2</v>
      </c>
      <c r="S68" s="2078">
        <v>2.8412525692177483E-2</v>
      </c>
      <c r="T68" s="2077">
        <v>84</v>
      </c>
      <c r="U68" s="1686">
        <v>0</v>
      </c>
      <c r="V68" s="1686">
        <v>7.7990000000000004</v>
      </c>
      <c r="W68" s="1686">
        <v>1.7289999999999999</v>
      </c>
      <c r="X68" s="1686">
        <v>0.49299999999999999</v>
      </c>
      <c r="Y68" s="1686">
        <v>5.8960000000000008</v>
      </c>
      <c r="Z68" s="2072">
        <v>4.9533799533799529E-2</v>
      </c>
      <c r="AA68" s="2072">
        <v>9.5765345765345747E-2</v>
      </c>
      <c r="AB68" s="2093">
        <v>0.14529914529914528</v>
      </c>
    </row>
    <row r="69" spans="2:28">
      <c r="B69" s="89">
        <v>85</v>
      </c>
      <c r="C69" s="1"/>
      <c r="D69" s="1">
        <v>6.883</v>
      </c>
      <c r="E69" s="1">
        <v>3.1139999999999999</v>
      </c>
      <c r="F69" s="1">
        <v>3.1139999999999999</v>
      </c>
      <c r="G69" s="1">
        <v>6.883</v>
      </c>
      <c r="H69" s="741">
        <v>0</v>
      </c>
      <c r="I69" s="741">
        <v>0.45241900334156615</v>
      </c>
      <c r="J69" s="2079">
        <v>0.45241900334156615</v>
      </c>
      <c r="K69" s="89">
        <v>85</v>
      </c>
      <c r="L69" s="1">
        <v>0</v>
      </c>
      <c r="M69" s="1">
        <v>7.7679999999999998</v>
      </c>
      <c r="N69" s="1419">
        <v>0.21</v>
      </c>
      <c r="O69" s="1">
        <v>0.21</v>
      </c>
      <c r="P69" s="1">
        <v>7.7679999999999998</v>
      </c>
      <c r="Q69" s="741">
        <v>0</v>
      </c>
      <c r="R69" s="741">
        <v>2.7033985581874358E-2</v>
      </c>
      <c r="S69" s="2079">
        <v>2.7033985581874358E-2</v>
      </c>
      <c r="T69" s="89">
        <v>85</v>
      </c>
      <c r="U69" s="740">
        <v>0</v>
      </c>
      <c r="V69" s="740">
        <v>7.3254999999999999</v>
      </c>
      <c r="W69" s="740">
        <v>1.6619999999999999</v>
      </c>
      <c r="X69" s="740">
        <v>0.49299999999999999</v>
      </c>
      <c r="Y69" s="740">
        <v>5.8960000000000008</v>
      </c>
      <c r="Z69" s="2067">
        <v>4.9533799533799529E-2</v>
      </c>
      <c r="AA69" s="2067">
        <v>9.5765345765345747E-2</v>
      </c>
      <c r="AB69" s="2094">
        <v>0.14529914529914528</v>
      </c>
    </row>
    <row r="70" spans="2:28">
      <c r="B70" s="2077">
        <v>86</v>
      </c>
      <c r="C70" s="2069"/>
      <c r="D70" s="2069">
        <v>6.4619999999999997</v>
      </c>
      <c r="E70" s="2069">
        <v>2.9969999999999999</v>
      </c>
      <c r="F70" s="2069">
        <v>2.9969999999999999</v>
      </c>
      <c r="G70" s="2069">
        <v>6.4619999999999997</v>
      </c>
      <c r="H70" s="2070">
        <v>0</v>
      </c>
      <c r="I70" s="2070">
        <v>0.46378830083565459</v>
      </c>
      <c r="J70" s="2078">
        <v>0.46378830083565459</v>
      </c>
      <c r="K70" s="2077">
        <v>86</v>
      </c>
      <c r="L70" s="2069">
        <v>0</v>
      </c>
      <c r="M70" s="2069">
        <v>7.2850000000000001</v>
      </c>
      <c r="N70" s="2071">
        <v>0.186</v>
      </c>
      <c r="O70" s="2069">
        <v>0.186</v>
      </c>
      <c r="P70" s="2069">
        <v>7.2850000000000001</v>
      </c>
      <c r="Q70" s="2070">
        <v>0</v>
      </c>
      <c r="R70" s="2070">
        <v>2.553191489361702E-2</v>
      </c>
      <c r="S70" s="2078">
        <v>2.553191489361702E-2</v>
      </c>
      <c r="T70" s="2077">
        <v>86</v>
      </c>
      <c r="U70" s="1686">
        <v>0</v>
      </c>
      <c r="V70" s="1686">
        <v>6.8734999999999999</v>
      </c>
      <c r="W70" s="1686">
        <v>1.5914999999999999</v>
      </c>
      <c r="X70" s="1686">
        <v>0.49299999999999999</v>
      </c>
      <c r="Y70" s="1686">
        <v>5.8960000000000008</v>
      </c>
      <c r="Z70" s="2072">
        <v>4.9533799533799529E-2</v>
      </c>
      <c r="AA70" s="2072">
        <v>9.5765345765345747E-2</v>
      </c>
      <c r="AB70" s="2093">
        <v>0.14529914529914528</v>
      </c>
    </row>
    <row r="71" spans="2:28">
      <c r="B71" s="89">
        <v>87</v>
      </c>
      <c r="C71" s="1"/>
      <c r="D71" s="1">
        <v>6.069</v>
      </c>
      <c r="E71" s="1">
        <v>2.8730000000000002</v>
      </c>
      <c r="F71" s="1">
        <v>2.8730000000000002</v>
      </c>
      <c r="G71" s="1">
        <v>6.069</v>
      </c>
      <c r="H71" s="741">
        <v>0</v>
      </c>
      <c r="I71" s="741">
        <v>0.47338935574229696</v>
      </c>
      <c r="J71" s="2079">
        <v>0.47338935574229696</v>
      </c>
      <c r="K71" s="89">
        <v>87</v>
      </c>
      <c r="L71" s="1">
        <v>0</v>
      </c>
      <c r="M71" s="1">
        <v>6.8259999999999996</v>
      </c>
      <c r="N71" s="1419">
        <v>0.16200000000000001</v>
      </c>
      <c r="O71" s="1">
        <v>0.16200000000000001</v>
      </c>
      <c r="P71" s="1">
        <v>6.8259999999999996</v>
      </c>
      <c r="Q71" s="741">
        <v>0</v>
      </c>
      <c r="R71" s="741">
        <v>2.3732786404922358E-2</v>
      </c>
      <c r="S71" s="2079">
        <v>2.3732786404922358E-2</v>
      </c>
      <c r="T71" s="89">
        <v>87</v>
      </c>
      <c r="U71" s="740">
        <v>0</v>
      </c>
      <c r="V71" s="740">
        <v>6.4474999999999998</v>
      </c>
      <c r="W71" s="740">
        <v>1.5175000000000001</v>
      </c>
      <c r="X71" s="740">
        <v>0.49299999999999999</v>
      </c>
      <c r="Y71" s="740">
        <v>5.8960000000000008</v>
      </c>
      <c r="Z71" s="2067">
        <v>4.9533799533799529E-2</v>
      </c>
      <c r="AA71" s="2067">
        <v>9.5765345765345747E-2</v>
      </c>
      <c r="AB71" s="2094">
        <v>0.14529914529914528</v>
      </c>
    </row>
    <row r="72" spans="2:28">
      <c r="B72" s="2077">
        <v>88</v>
      </c>
      <c r="C72" s="2069"/>
      <c r="D72" s="2069">
        <v>5.7119999999999997</v>
      </c>
      <c r="E72" s="2069">
        <v>2.7149999999999999</v>
      </c>
      <c r="F72" s="2069">
        <v>2.7149999999999999</v>
      </c>
      <c r="G72" s="2069">
        <v>5.7119999999999997</v>
      </c>
      <c r="H72" s="2070">
        <v>0</v>
      </c>
      <c r="I72" s="2070">
        <v>0.47531512605042014</v>
      </c>
      <c r="J72" s="2078">
        <v>0.47531512605042014</v>
      </c>
      <c r="K72" s="2077">
        <v>88</v>
      </c>
      <c r="L72" s="2069">
        <v>0</v>
      </c>
      <c r="M72" s="2069">
        <v>6.3979999999999997</v>
      </c>
      <c r="N72" s="2071">
        <v>0.14000000000000001</v>
      </c>
      <c r="O72" s="2069">
        <v>0.14000000000000001</v>
      </c>
      <c r="P72" s="2069">
        <v>6.3979999999999997</v>
      </c>
      <c r="Q72" s="2070">
        <v>0</v>
      </c>
      <c r="R72" s="2070">
        <v>2.1881838074398252E-2</v>
      </c>
      <c r="S72" s="2078">
        <v>2.1881838074398252E-2</v>
      </c>
      <c r="T72" s="2077">
        <v>88</v>
      </c>
      <c r="U72" s="1686">
        <v>0</v>
      </c>
      <c r="V72" s="1686">
        <v>6.0549999999999997</v>
      </c>
      <c r="W72" s="1686">
        <v>1.4275</v>
      </c>
      <c r="X72" s="1686">
        <v>0.49299999999999999</v>
      </c>
      <c r="Y72" s="1686">
        <v>5.8960000000000008</v>
      </c>
      <c r="Z72" s="2072">
        <v>4.9533799533799529E-2</v>
      </c>
      <c r="AA72" s="2072">
        <v>9.5765345765345747E-2</v>
      </c>
      <c r="AB72" s="2093">
        <v>0.14529914529914528</v>
      </c>
    </row>
    <row r="73" spans="2:28">
      <c r="B73" s="89">
        <v>89</v>
      </c>
      <c r="C73" s="1"/>
      <c r="D73" s="1">
        <v>5.3979999999999997</v>
      </c>
      <c r="E73" s="1">
        <v>2.5489999999999999</v>
      </c>
      <c r="F73" s="1">
        <v>2.5489999999999999</v>
      </c>
      <c r="G73" s="1">
        <v>5.3979999999999997</v>
      </c>
      <c r="H73" s="741">
        <v>0</v>
      </c>
      <c r="I73" s="741">
        <v>0.4722119303445721</v>
      </c>
      <c r="J73" s="2079">
        <v>0.4722119303445721</v>
      </c>
      <c r="K73" s="89">
        <v>89</v>
      </c>
      <c r="L73" s="1">
        <v>0</v>
      </c>
      <c r="M73" s="1">
        <v>6.0069999999999997</v>
      </c>
      <c r="N73" s="1419">
        <v>0.11700000000000001</v>
      </c>
      <c r="O73" s="1">
        <v>0.11700000000000001</v>
      </c>
      <c r="P73" s="1">
        <v>6.0069999999999997</v>
      </c>
      <c r="Q73" s="741">
        <v>0</v>
      </c>
      <c r="R73" s="741">
        <v>1.9477276510737475E-2</v>
      </c>
      <c r="S73" s="2079">
        <v>1.9477276510737475E-2</v>
      </c>
      <c r="T73" s="89">
        <v>89</v>
      </c>
      <c r="U73" s="740">
        <v>0</v>
      </c>
      <c r="V73" s="740">
        <v>5.7024999999999997</v>
      </c>
      <c r="W73" s="740">
        <v>1.333</v>
      </c>
      <c r="X73" s="740">
        <v>0.49299999999999999</v>
      </c>
      <c r="Y73" s="740">
        <v>5.8960000000000008</v>
      </c>
      <c r="Z73" s="2067">
        <v>4.9533799533799529E-2</v>
      </c>
      <c r="AA73" s="2067">
        <v>9.5765345765345747E-2</v>
      </c>
      <c r="AB73" s="2094">
        <v>0.14529914529914528</v>
      </c>
    </row>
    <row r="74" spans="2:28">
      <c r="B74" s="2077">
        <v>90</v>
      </c>
      <c r="C74" s="2069"/>
      <c r="D74" s="2069">
        <v>5.1150000000000002</v>
      </c>
      <c r="E74" s="2069">
        <v>2.387</v>
      </c>
      <c r="F74" s="2069">
        <v>2.387</v>
      </c>
      <c r="G74" s="2069">
        <v>5.1150000000000002</v>
      </c>
      <c r="H74" s="2070">
        <v>0</v>
      </c>
      <c r="I74" s="2070">
        <v>0.46666666666666667</v>
      </c>
      <c r="J74" s="2078">
        <v>0.46666666666666667</v>
      </c>
      <c r="K74" s="2077">
        <v>90</v>
      </c>
      <c r="L74" s="2069">
        <v>0</v>
      </c>
      <c r="M74" s="2069">
        <v>5.6550000000000002</v>
      </c>
      <c r="N74" s="2071">
        <v>9.7000000000000003E-2</v>
      </c>
      <c r="O74" s="2069">
        <v>9.7000000000000003E-2</v>
      </c>
      <c r="P74" s="2069">
        <v>5.6550000000000002</v>
      </c>
      <c r="Q74" s="2070">
        <v>0</v>
      </c>
      <c r="R74" s="2070">
        <v>1.7152961980548186E-2</v>
      </c>
      <c r="S74" s="2078">
        <v>1.7152961980548186E-2</v>
      </c>
      <c r="T74" s="2077">
        <v>90</v>
      </c>
      <c r="U74" s="1686">
        <v>0</v>
      </c>
      <c r="V74" s="1686">
        <v>5.3849999999999998</v>
      </c>
      <c r="W74" s="1686">
        <v>1.242</v>
      </c>
      <c r="X74" s="1686">
        <v>0.49299999999999999</v>
      </c>
      <c r="Y74" s="1686">
        <v>5.8960000000000008</v>
      </c>
      <c r="Z74" s="2072">
        <v>4.9533799533799529E-2</v>
      </c>
      <c r="AA74" s="2072">
        <v>9.5765345765345747E-2</v>
      </c>
      <c r="AB74" s="2093">
        <v>0.14529914529914528</v>
      </c>
    </row>
    <row r="75" spans="2:28">
      <c r="B75" s="89">
        <v>91</v>
      </c>
      <c r="C75" s="1"/>
      <c r="D75" s="1">
        <v>4.8499999999999996</v>
      </c>
      <c r="E75" s="1">
        <v>2.2040000000000002</v>
      </c>
      <c r="F75" s="1">
        <v>2.2040000000000002</v>
      </c>
      <c r="G75" s="1">
        <v>4.8499999999999996</v>
      </c>
      <c r="H75" s="741">
        <v>0</v>
      </c>
      <c r="I75" s="741">
        <v>0.45443298969072171</v>
      </c>
      <c r="J75" s="2079">
        <v>0.45443298969072171</v>
      </c>
      <c r="K75" s="89">
        <v>91</v>
      </c>
      <c r="L75" s="1">
        <v>0</v>
      </c>
      <c r="M75" s="1">
        <v>5.3319999999999999</v>
      </c>
      <c r="N75" s="1419">
        <v>0.08</v>
      </c>
      <c r="O75" s="1">
        <v>0.08</v>
      </c>
      <c r="P75" s="1">
        <v>5.3319999999999999</v>
      </c>
      <c r="Q75" s="741">
        <v>0</v>
      </c>
      <c r="R75" s="741">
        <v>1.5003750937734435E-2</v>
      </c>
      <c r="S75" s="2079">
        <v>1.5003750937734435E-2</v>
      </c>
      <c r="T75" s="89">
        <v>91</v>
      </c>
      <c r="U75" s="740">
        <v>0</v>
      </c>
      <c r="V75" s="740">
        <v>5.0909999999999993</v>
      </c>
      <c r="W75" s="740">
        <v>1.1420000000000001</v>
      </c>
      <c r="X75" s="740">
        <v>0.49299999999999999</v>
      </c>
      <c r="Y75" s="740">
        <v>5.8960000000000008</v>
      </c>
      <c r="Z75" s="2067">
        <v>4.9533799533799529E-2</v>
      </c>
      <c r="AA75" s="2067">
        <v>9.5765345765345747E-2</v>
      </c>
      <c r="AB75" s="2094">
        <v>0.14529914529914528</v>
      </c>
    </row>
    <row r="76" spans="2:28">
      <c r="B76" s="2077">
        <v>92</v>
      </c>
      <c r="C76" s="2069"/>
      <c r="D76" s="2069">
        <v>4.6040000000000001</v>
      </c>
      <c r="E76" s="2069">
        <v>2.0350000000000001</v>
      </c>
      <c r="F76" s="2069">
        <v>2.0350000000000001</v>
      </c>
      <c r="G76" s="2069">
        <v>4.6040000000000001</v>
      </c>
      <c r="H76" s="2070">
        <v>0</v>
      </c>
      <c r="I76" s="2070">
        <v>0.44200695047784538</v>
      </c>
      <c r="J76" s="2078">
        <v>0.44200695047784538</v>
      </c>
      <c r="K76" s="2077">
        <v>92</v>
      </c>
      <c r="L76" s="2069">
        <v>0</v>
      </c>
      <c r="M76" s="2069">
        <v>5.0289999999999999</v>
      </c>
      <c r="N76" s="2071">
        <v>6.5000000000000002E-2</v>
      </c>
      <c r="O76" s="2069">
        <v>6.5000000000000002E-2</v>
      </c>
      <c r="P76" s="2069">
        <v>5.0289999999999999</v>
      </c>
      <c r="Q76" s="2070">
        <v>0</v>
      </c>
      <c r="R76" s="2070">
        <v>1.2925034798170611E-2</v>
      </c>
      <c r="S76" s="2078">
        <v>1.2925034798170611E-2</v>
      </c>
      <c r="T76" s="2077">
        <v>92</v>
      </c>
      <c r="U76" s="1686">
        <v>0</v>
      </c>
      <c r="V76" s="1686">
        <v>4.8164999999999996</v>
      </c>
      <c r="W76" s="1686">
        <v>1.05</v>
      </c>
      <c r="X76" s="1686">
        <v>0.49299999999999999</v>
      </c>
      <c r="Y76" s="1686">
        <v>5.8960000000000008</v>
      </c>
      <c r="Z76" s="2072">
        <v>4.9533799533799529E-2</v>
      </c>
      <c r="AA76" s="2072">
        <v>9.5765345765345747E-2</v>
      </c>
      <c r="AB76" s="2093">
        <v>0.14529914529914528</v>
      </c>
    </row>
    <row r="77" spans="2:28">
      <c r="B77" s="89">
        <v>93</v>
      </c>
      <c r="C77" s="1"/>
      <c r="D77" s="1">
        <v>4.3760000000000003</v>
      </c>
      <c r="E77" s="1">
        <v>1.85</v>
      </c>
      <c r="F77" s="1">
        <v>1.85</v>
      </c>
      <c r="G77" s="1">
        <v>4.3760000000000003</v>
      </c>
      <c r="H77" s="741">
        <v>0</v>
      </c>
      <c r="I77" s="741">
        <v>0.42276051188299818</v>
      </c>
      <c r="J77" s="2079">
        <v>0.42276051188299818</v>
      </c>
      <c r="K77" s="89">
        <v>93</v>
      </c>
      <c r="L77" s="1">
        <v>0</v>
      </c>
      <c r="M77" s="1">
        <v>4.7469999999999999</v>
      </c>
      <c r="N77" s="1419">
        <v>5.2999999999999999E-2</v>
      </c>
      <c r="O77" s="1">
        <v>5.2999999999999999E-2</v>
      </c>
      <c r="P77" s="1">
        <v>4.7469999999999999</v>
      </c>
      <c r="Q77" s="741">
        <v>0</v>
      </c>
      <c r="R77" s="741">
        <v>1.1164946281862228E-2</v>
      </c>
      <c r="S77" s="2079">
        <v>1.1164946281862228E-2</v>
      </c>
      <c r="T77" s="89">
        <v>93</v>
      </c>
      <c r="U77" s="740">
        <v>0</v>
      </c>
      <c r="V77" s="740">
        <v>4.5615000000000006</v>
      </c>
      <c r="W77" s="740">
        <v>0.95150000000000001</v>
      </c>
      <c r="X77" s="740">
        <v>0.49299999999999999</v>
      </c>
      <c r="Y77" s="740">
        <v>5.8960000000000008</v>
      </c>
      <c r="Z77" s="2067">
        <v>4.9533799533799529E-2</v>
      </c>
      <c r="AA77" s="2067">
        <v>9.5765345765345747E-2</v>
      </c>
      <c r="AB77" s="2094">
        <v>0.14529914529914528</v>
      </c>
    </row>
    <row r="78" spans="2:28">
      <c r="B78" s="2077">
        <v>94</v>
      </c>
      <c r="C78" s="2069"/>
      <c r="D78" s="2069">
        <v>4.1660000000000004</v>
      </c>
      <c r="E78" s="2069">
        <v>1.6830000000000001</v>
      </c>
      <c r="F78" s="2069">
        <v>1.6830000000000001</v>
      </c>
      <c r="G78" s="2069">
        <v>4.1660000000000004</v>
      </c>
      <c r="H78" s="2070">
        <v>0</v>
      </c>
      <c r="I78" s="2070">
        <v>0.4039846375420067</v>
      </c>
      <c r="J78" s="2078">
        <v>0.4039846375420067</v>
      </c>
      <c r="K78" s="2077">
        <v>94</v>
      </c>
      <c r="L78" s="2069">
        <v>0</v>
      </c>
      <c r="M78" s="2069">
        <v>4.4850000000000003</v>
      </c>
      <c r="N78" s="2071">
        <v>4.2000000000000003E-2</v>
      </c>
      <c r="O78" s="2069">
        <v>4.2000000000000003E-2</v>
      </c>
      <c r="P78" s="2069">
        <v>4.4850000000000003</v>
      </c>
      <c r="Q78" s="2070">
        <v>0</v>
      </c>
      <c r="R78" s="2070">
        <v>9.3645484949832769E-3</v>
      </c>
      <c r="S78" s="2078">
        <v>9.3645484949832769E-3</v>
      </c>
      <c r="T78" s="2077">
        <v>94</v>
      </c>
      <c r="U78" s="1686">
        <v>0</v>
      </c>
      <c r="V78" s="1686">
        <v>4.3254999999999999</v>
      </c>
      <c r="W78" s="1686">
        <v>0.86250000000000004</v>
      </c>
      <c r="X78" s="1686">
        <v>0.49299999999999999</v>
      </c>
      <c r="Y78" s="1686">
        <v>5.8960000000000008</v>
      </c>
      <c r="Z78" s="2072">
        <v>4.9533799533799529E-2</v>
      </c>
      <c r="AA78" s="2072">
        <v>9.5765345765345747E-2</v>
      </c>
      <c r="AB78" s="2093">
        <v>0.14529914529914528</v>
      </c>
    </row>
    <row r="79" spans="2:28">
      <c r="B79" s="89">
        <v>95</v>
      </c>
      <c r="C79" s="1"/>
      <c r="D79" s="1">
        <v>3.9740000000000002</v>
      </c>
      <c r="E79" s="1">
        <v>1.5349999999999999</v>
      </c>
      <c r="F79" s="1">
        <v>1.5349999999999999</v>
      </c>
      <c r="G79" s="1">
        <v>3.9740000000000002</v>
      </c>
      <c r="H79" s="741">
        <v>0</v>
      </c>
      <c r="I79" s="741">
        <v>0.38626069451434319</v>
      </c>
      <c r="J79" s="2079">
        <v>0.38626069451434319</v>
      </c>
      <c r="K79" s="89">
        <v>95</v>
      </c>
      <c r="L79" s="1">
        <v>0</v>
      </c>
      <c r="M79" s="1">
        <v>4.2450000000000001</v>
      </c>
      <c r="N79" s="1419">
        <v>3.4000000000000002E-2</v>
      </c>
      <c r="O79" s="1">
        <v>3.4000000000000002E-2</v>
      </c>
      <c r="P79" s="1">
        <v>4.2450000000000001</v>
      </c>
      <c r="Q79" s="741">
        <v>0</v>
      </c>
      <c r="R79" s="741">
        <v>8.0094228504122497E-3</v>
      </c>
      <c r="S79" s="2079">
        <v>8.0094228504122497E-3</v>
      </c>
      <c r="T79" s="89">
        <v>95</v>
      </c>
      <c r="U79" s="740">
        <v>0</v>
      </c>
      <c r="V79" s="740">
        <v>4.1095000000000006</v>
      </c>
      <c r="W79" s="740">
        <v>0.78449999999999998</v>
      </c>
      <c r="X79" s="740">
        <v>0.49299999999999999</v>
      </c>
      <c r="Y79" s="740">
        <v>5.8960000000000008</v>
      </c>
      <c r="Z79" s="2067">
        <v>4.9533799533799529E-2</v>
      </c>
      <c r="AA79" s="2067">
        <v>9.5765345765345747E-2</v>
      </c>
      <c r="AB79" s="2094">
        <v>0.14529914529914528</v>
      </c>
    </row>
    <row r="80" spans="2:28">
      <c r="B80" s="2077">
        <v>96</v>
      </c>
      <c r="C80" s="2069"/>
      <c r="D80" s="2069">
        <v>3.798</v>
      </c>
      <c r="E80" s="2069">
        <v>1.371</v>
      </c>
      <c r="F80" s="2069">
        <v>1.371</v>
      </c>
      <c r="G80" s="2069">
        <v>3.798</v>
      </c>
      <c r="H80" s="2070">
        <v>0</v>
      </c>
      <c r="I80" s="2070">
        <v>0.36097946287519744</v>
      </c>
      <c r="J80" s="2078">
        <v>0.36097946287519744</v>
      </c>
      <c r="K80" s="2077">
        <v>96</v>
      </c>
      <c r="L80" s="2069">
        <v>0</v>
      </c>
      <c r="M80" s="2069">
        <v>4.024</v>
      </c>
      <c r="N80" s="2071">
        <v>2.7E-2</v>
      </c>
      <c r="O80" s="2069">
        <v>2.7E-2</v>
      </c>
      <c r="P80" s="2069">
        <v>4.024</v>
      </c>
      <c r="Q80" s="2070">
        <v>0</v>
      </c>
      <c r="R80" s="2070">
        <v>6.7097415506958248E-3</v>
      </c>
      <c r="S80" s="2078">
        <v>6.7097415506958248E-3</v>
      </c>
      <c r="T80" s="2077">
        <v>96</v>
      </c>
      <c r="U80" s="1686">
        <v>0</v>
      </c>
      <c r="V80" s="1686">
        <v>3.911</v>
      </c>
      <c r="W80" s="1686">
        <v>0.69899999999999995</v>
      </c>
      <c r="X80" s="1686">
        <v>0.49299999999999999</v>
      </c>
      <c r="Y80" s="1686">
        <v>5.8960000000000008</v>
      </c>
      <c r="Z80" s="2072">
        <v>4.9533799533799529E-2</v>
      </c>
      <c r="AA80" s="2072">
        <v>9.5765345765345747E-2</v>
      </c>
      <c r="AB80" s="2093">
        <v>0.14529914529914528</v>
      </c>
    </row>
    <row r="81" spans="2:28">
      <c r="B81" s="89">
        <v>97</v>
      </c>
      <c r="C81" s="1"/>
      <c r="D81" s="1">
        <v>3.6389999999999998</v>
      </c>
      <c r="E81" s="1">
        <v>1.216</v>
      </c>
      <c r="F81" s="1">
        <v>1.216</v>
      </c>
      <c r="G81" s="1">
        <v>3.6389999999999998</v>
      </c>
      <c r="H81" s="741">
        <v>0</v>
      </c>
      <c r="I81" s="741">
        <v>0.33415773564165979</v>
      </c>
      <c r="J81" s="2079">
        <v>0.33415773564165979</v>
      </c>
      <c r="K81" s="89">
        <v>97</v>
      </c>
      <c r="L81" s="1">
        <v>0</v>
      </c>
      <c r="M81" s="1">
        <v>3.8239999999999998</v>
      </c>
      <c r="N81" s="1419">
        <v>2.1000000000000001E-2</v>
      </c>
      <c r="O81" s="1">
        <v>2.1000000000000001E-2</v>
      </c>
      <c r="P81" s="1">
        <v>3.8239999999999998</v>
      </c>
      <c r="Q81" s="741">
        <v>0</v>
      </c>
      <c r="R81" s="741">
        <v>5.4916317991631804E-3</v>
      </c>
      <c r="S81" s="2079">
        <v>5.4916317991631804E-3</v>
      </c>
      <c r="T81" s="89">
        <v>97</v>
      </c>
      <c r="U81" s="740">
        <v>0</v>
      </c>
      <c r="V81" s="740">
        <v>3.7314999999999996</v>
      </c>
      <c r="W81" s="740">
        <v>0.61849999999999994</v>
      </c>
      <c r="X81" s="740">
        <v>0.49299999999999999</v>
      </c>
      <c r="Y81" s="740">
        <v>5.8960000000000008</v>
      </c>
      <c r="Z81" s="2067">
        <v>4.9533799533799529E-2</v>
      </c>
      <c r="AA81" s="2067">
        <v>9.5765345765345747E-2</v>
      </c>
      <c r="AB81" s="2094">
        <v>0.14529914529914528</v>
      </c>
    </row>
    <row r="82" spans="2:28">
      <c r="B82" s="2077">
        <v>98</v>
      </c>
      <c r="C82" s="2069"/>
      <c r="D82" s="2069">
        <v>3.4950000000000001</v>
      </c>
      <c r="E82" s="2069">
        <v>1.0409999999999999</v>
      </c>
      <c r="F82" s="2069">
        <v>1.0409999999999999</v>
      </c>
      <c r="G82" s="2069">
        <v>3.4950000000000001</v>
      </c>
      <c r="H82" s="2070">
        <v>0</v>
      </c>
      <c r="I82" s="2070">
        <v>0.29785407725321883</v>
      </c>
      <c r="J82" s="2078">
        <v>0.29785407725321883</v>
      </c>
      <c r="K82" s="2077">
        <v>98</v>
      </c>
      <c r="L82" s="2069">
        <v>0</v>
      </c>
      <c r="M82" s="2069">
        <v>3.6429999999999998</v>
      </c>
      <c r="N82" s="2071">
        <v>1.7000000000000001E-2</v>
      </c>
      <c r="O82" s="2069">
        <v>1.7000000000000001E-2</v>
      </c>
      <c r="P82" s="2069">
        <v>3.6429999999999998</v>
      </c>
      <c r="Q82" s="2070">
        <v>0</v>
      </c>
      <c r="R82" s="2070">
        <v>4.6664836673071652E-3</v>
      </c>
      <c r="S82" s="2078">
        <v>4.6664836673071652E-3</v>
      </c>
      <c r="T82" s="2077">
        <v>98</v>
      </c>
      <c r="U82" s="1686">
        <v>0</v>
      </c>
      <c r="V82" s="1686">
        <v>3.569</v>
      </c>
      <c r="W82" s="1686">
        <v>0.52899999999999991</v>
      </c>
      <c r="X82" s="1686">
        <v>0.49299999999999999</v>
      </c>
      <c r="Y82" s="1686">
        <v>5.8960000000000008</v>
      </c>
      <c r="Z82" s="2072">
        <v>4.9533799533799529E-2</v>
      </c>
      <c r="AA82" s="2072">
        <v>9.5765345765345747E-2</v>
      </c>
      <c r="AB82" s="2093">
        <v>0.14529914529914528</v>
      </c>
    </row>
    <row r="83" spans="2:28">
      <c r="B83" s="89">
        <v>99</v>
      </c>
      <c r="C83" s="1"/>
      <c r="D83" s="1">
        <v>3.3639999999999999</v>
      </c>
      <c r="E83" s="1">
        <v>0.84799999999999998</v>
      </c>
      <c r="F83" s="1">
        <v>0.84799999999999998</v>
      </c>
      <c r="G83" s="1">
        <v>3.3639999999999999</v>
      </c>
      <c r="H83" s="741">
        <v>0</v>
      </c>
      <c r="I83" s="741">
        <v>0.25208085612366232</v>
      </c>
      <c r="J83" s="2079">
        <v>0.25208085612366232</v>
      </c>
      <c r="K83" s="89">
        <v>99</v>
      </c>
      <c r="L83" s="1">
        <v>0</v>
      </c>
      <c r="M83" s="1">
        <v>3.48</v>
      </c>
      <c r="N83" s="1419">
        <v>1.2999999999999999E-2</v>
      </c>
      <c r="O83" s="1">
        <v>1.2999999999999999E-2</v>
      </c>
      <c r="P83" s="1">
        <v>3.48</v>
      </c>
      <c r="Q83" s="741">
        <v>0</v>
      </c>
      <c r="R83" s="741">
        <v>3.7356321839080459E-3</v>
      </c>
      <c r="S83" s="2079">
        <v>3.7356321839080459E-3</v>
      </c>
      <c r="T83" s="89">
        <v>99</v>
      </c>
      <c r="U83" s="740">
        <v>0</v>
      </c>
      <c r="V83" s="740">
        <v>3.4219999999999997</v>
      </c>
      <c r="W83" s="740">
        <v>0.43049999999999999</v>
      </c>
      <c r="X83" s="740">
        <v>0.49299999999999999</v>
      </c>
      <c r="Y83" s="740">
        <v>5.8960000000000008</v>
      </c>
      <c r="Z83" s="2067">
        <v>4.9533799533799529E-2</v>
      </c>
      <c r="AA83" s="2067">
        <v>9.5765345765345747E-2</v>
      </c>
      <c r="AB83" s="2094">
        <v>0.14529914529914528</v>
      </c>
    </row>
    <row r="84" spans="2:28" ht="15" thickBot="1">
      <c r="B84" s="2080">
        <v>100</v>
      </c>
      <c r="C84" s="2081"/>
      <c r="D84" s="2081">
        <v>3.2450000000000001</v>
      </c>
      <c r="E84" s="2081">
        <v>0.67200000000000004</v>
      </c>
      <c r="F84" s="2081">
        <v>0.67200000000000004</v>
      </c>
      <c r="G84" s="2081">
        <v>3.2450000000000001</v>
      </c>
      <c r="H84" s="2082">
        <v>0</v>
      </c>
      <c r="I84" s="2082">
        <v>0.20708782742681048</v>
      </c>
      <c r="J84" s="2083">
        <v>0.20708782742681048</v>
      </c>
      <c r="K84" s="2080">
        <v>100</v>
      </c>
      <c r="L84" s="2081">
        <v>0</v>
      </c>
      <c r="M84" s="2081">
        <v>3.335</v>
      </c>
      <c r="N84" s="2088">
        <v>0.01</v>
      </c>
      <c r="O84" s="2081">
        <v>0.01</v>
      </c>
      <c r="P84" s="2081">
        <v>3.335</v>
      </c>
      <c r="Q84" s="2082">
        <v>0</v>
      </c>
      <c r="R84" s="2082">
        <v>2.9985007496251873E-3</v>
      </c>
      <c r="S84" s="2083">
        <v>2.9985007496251873E-3</v>
      </c>
      <c r="T84" s="2080">
        <v>100</v>
      </c>
      <c r="U84" s="2095">
        <v>0</v>
      </c>
      <c r="V84" s="2095">
        <v>3.29</v>
      </c>
      <c r="W84" s="2095">
        <v>0.34100000000000003</v>
      </c>
      <c r="X84" s="2095">
        <v>0.49299999999999999</v>
      </c>
      <c r="Y84" s="2095">
        <v>5.8960000000000008</v>
      </c>
      <c r="Z84" s="2096">
        <v>4.9533799533799529E-2</v>
      </c>
      <c r="AA84" s="2096">
        <v>9.5765345765345747E-2</v>
      </c>
      <c r="AB84" s="2097">
        <v>0.14529914529914528</v>
      </c>
    </row>
  </sheetData>
  <sheetProtection algorithmName="SHA-512" hashValue="mX/valIhJ0ATbEQGMvVFh0dT2MWlB9IQdus2N6q6wDI+fY/krtaj6/9tSvKL065Vki5QzQEMk983Cubbt64uQA==" saltValue="LeZMVAz7Pk0MaZOrVMi/IQ=="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7"/>
  <dimension ref="A1:AB84"/>
  <sheetViews>
    <sheetView topLeftCell="B1" zoomScale="70" zoomScaleNormal="70" workbookViewId="0">
      <selection activeCell="B45" sqref="B45:AB45"/>
    </sheetView>
  </sheetViews>
  <sheetFormatPr baseColWidth="10" defaultColWidth="11.125" defaultRowHeight="14.25"/>
  <cols>
    <col min="1" max="1" width="21" hidden="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1" spans="1:28" ht="15" thickBot="1">
      <c r="B1" s="4"/>
      <c r="C1" s="4"/>
      <c r="D1" s="4"/>
      <c r="E1" s="4"/>
      <c r="F1" s="4"/>
      <c r="G1" s="4"/>
      <c r="H1" s="4"/>
      <c r="I1" s="4"/>
      <c r="J1" s="4"/>
      <c r="K1" s="4"/>
      <c r="L1" s="4"/>
      <c r="M1" s="4"/>
      <c r="N1" s="4"/>
      <c r="O1" s="4"/>
      <c r="P1" s="4"/>
      <c r="Q1" s="4"/>
      <c r="R1" s="4"/>
      <c r="S1" s="4"/>
      <c r="T1" s="4"/>
      <c r="U1" s="4"/>
      <c r="V1" s="4"/>
      <c r="W1" s="4"/>
      <c r="X1" s="4"/>
      <c r="Y1" s="4"/>
      <c r="Z1" s="4"/>
      <c r="AA1" s="4"/>
      <c r="AB1" s="4"/>
    </row>
    <row r="2" spans="1:28" s="127" customFormat="1" ht="72" customHeight="1">
      <c r="A2" s="127" t="s">
        <v>1943</v>
      </c>
      <c r="B2" s="4050" t="s">
        <v>7</v>
      </c>
      <c r="C2" s="2074" t="s">
        <v>0</v>
      </c>
      <c r="D2" s="2074" t="s">
        <v>1</v>
      </c>
      <c r="E2" s="2074" t="s">
        <v>2</v>
      </c>
      <c r="F2" s="2074" t="s">
        <v>1688</v>
      </c>
      <c r="G2" s="2074" t="s">
        <v>1940</v>
      </c>
      <c r="H2" s="4046" t="s">
        <v>5</v>
      </c>
      <c r="I2" s="4046"/>
      <c r="J2" s="4047"/>
      <c r="K2" s="2084"/>
      <c r="L2" s="2085" t="s">
        <v>0</v>
      </c>
      <c r="M2" s="2085" t="s">
        <v>1</v>
      </c>
      <c r="N2" s="2085" t="s">
        <v>2</v>
      </c>
      <c r="O2" s="2085" t="s">
        <v>1688</v>
      </c>
      <c r="P2" s="2085" t="str">
        <f>+G2</f>
        <v>Anwartschafts-barwert
Altersrente</v>
      </c>
      <c r="Q2" s="4048" t="s">
        <v>6</v>
      </c>
      <c r="R2" s="4048"/>
      <c r="S2" s="4049"/>
      <c r="T2" s="2089"/>
      <c r="U2" s="2090" t="s">
        <v>0</v>
      </c>
      <c r="V2" s="2090" t="s">
        <v>1</v>
      </c>
      <c r="W2" s="2090" t="s">
        <v>2</v>
      </c>
      <c r="X2" s="2090" t="s">
        <v>1688</v>
      </c>
      <c r="Y2" s="2090" t="str">
        <f>+G2</f>
        <v>Anwartschafts-barwert
Altersrente</v>
      </c>
      <c r="Z2" s="4052" t="s">
        <v>6</v>
      </c>
      <c r="AA2" s="4052"/>
      <c r="AB2" s="4053"/>
    </row>
    <row r="3" spans="1:28" s="2" customFormat="1" ht="13.5">
      <c r="A3" s="60">
        <v>43111</v>
      </c>
      <c r="B3" s="4051"/>
      <c r="C3" s="2068" t="s">
        <v>17</v>
      </c>
      <c r="D3" s="2068" t="s">
        <v>18</v>
      </c>
      <c r="E3" s="2068" t="s">
        <v>24</v>
      </c>
      <c r="F3" s="2068" t="s">
        <v>25</v>
      </c>
      <c r="G3" s="2068"/>
      <c r="H3" s="1105" t="s">
        <v>8</v>
      </c>
      <c r="I3" s="1105" t="s">
        <v>9</v>
      </c>
      <c r="J3" s="2076" t="s">
        <v>10</v>
      </c>
      <c r="K3" s="2086" t="s">
        <v>7</v>
      </c>
      <c r="L3" s="1106" t="s">
        <v>19</v>
      </c>
      <c r="M3" s="1106" t="s">
        <v>20</v>
      </c>
      <c r="N3" s="1106" t="s">
        <v>26</v>
      </c>
      <c r="O3" s="1106" t="s">
        <v>27</v>
      </c>
      <c r="P3" s="1106"/>
      <c r="Q3" s="1106" t="s">
        <v>8</v>
      </c>
      <c r="R3" s="1106" t="s">
        <v>9</v>
      </c>
      <c r="S3" s="2087" t="s">
        <v>10</v>
      </c>
      <c r="T3" s="2106" t="s">
        <v>7</v>
      </c>
      <c r="U3" s="2107" t="s">
        <v>19</v>
      </c>
      <c r="V3" s="2107" t="s">
        <v>20</v>
      </c>
      <c r="W3" s="2107" t="s">
        <v>26</v>
      </c>
      <c r="X3" s="2107" t="s">
        <v>27</v>
      </c>
      <c r="Y3" s="2107"/>
      <c r="Z3" s="2107" t="s">
        <v>8</v>
      </c>
      <c r="AA3" s="2107" t="s">
        <v>9</v>
      </c>
      <c r="AB3" s="2108" t="s">
        <v>10</v>
      </c>
    </row>
    <row r="4" spans="1:28">
      <c r="B4" s="2077">
        <v>20</v>
      </c>
      <c r="C4" s="2069">
        <v>0.24</v>
      </c>
      <c r="D4" s="2069">
        <v>5.3579999999999997</v>
      </c>
      <c r="E4" s="2069">
        <v>0.53</v>
      </c>
      <c r="F4" s="2069">
        <v>0.53</v>
      </c>
      <c r="G4" s="2069">
        <v>5.1179999999999994</v>
      </c>
      <c r="H4" s="2070">
        <v>4.6893317702227433E-2</v>
      </c>
      <c r="I4" s="2070">
        <v>0.10355607659241893</v>
      </c>
      <c r="J4" s="2078">
        <v>0.15044939429464638</v>
      </c>
      <c r="K4" s="2077">
        <v>20</v>
      </c>
      <c r="L4" s="2069">
        <v>0.254</v>
      </c>
      <c r="M4" s="2069">
        <v>6.1280000000000001</v>
      </c>
      <c r="N4" s="2071">
        <v>0.13100000000000001</v>
      </c>
      <c r="O4" s="2069">
        <v>0.13100000000000001</v>
      </c>
      <c r="P4" s="2069">
        <v>5.8740000000000006</v>
      </c>
      <c r="Q4" s="2070">
        <v>4.3241402791964589E-2</v>
      </c>
      <c r="R4" s="2070">
        <v>2.2301668369084097E-2</v>
      </c>
      <c r="S4" s="2078">
        <v>6.5543071161048683E-2</v>
      </c>
      <c r="T4" s="2077">
        <v>20</v>
      </c>
      <c r="U4" s="1686">
        <v>0.247</v>
      </c>
      <c r="V4" s="1686">
        <v>5.7430000000000003</v>
      </c>
      <c r="W4" s="1686">
        <v>0.33050000000000002</v>
      </c>
      <c r="X4" s="1686">
        <v>0.33050000000000002</v>
      </c>
      <c r="Y4" s="1686">
        <v>5.4960000000000004</v>
      </c>
      <c r="Z4" s="2072">
        <v>4.5067360247096011E-2</v>
      </c>
      <c r="AA4" s="2072">
        <v>6.2928872480751519E-2</v>
      </c>
      <c r="AB4" s="2093">
        <v>0.10799623272784753</v>
      </c>
    </row>
    <row r="5" spans="1:28">
      <c r="B5" s="89">
        <v>21</v>
      </c>
      <c r="C5" s="1">
        <v>0.27700000000000002</v>
      </c>
      <c r="D5" s="1">
        <v>5.52</v>
      </c>
      <c r="E5" s="1">
        <v>0.61599999999999999</v>
      </c>
      <c r="F5" s="1">
        <v>0.61599999999999999</v>
      </c>
      <c r="G5" s="1">
        <v>5.2429999999999994</v>
      </c>
      <c r="H5" s="741">
        <v>5.2832347892428008E-2</v>
      </c>
      <c r="I5" s="741">
        <v>0.11748998664886516</v>
      </c>
      <c r="J5" s="2078">
        <v>0.17032233454129317</v>
      </c>
      <c r="K5" s="89">
        <v>21</v>
      </c>
      <c r="L5" s="1">
        <v>0.30499999999999999</v>
      </c>
      <c r="M5" s="1">
        <v>6.3120000000000003</v>
      </c>
      <c r="N5" s="1419">
        <v>0.159</v>
      </c>
      <c r="O5" s="1">
        <v>0.159</v>
      </c>
      <c r="P5" s="1">
        <v>6.0070000000000006</v>
      </c>
      <c r="Q5" s="741">
        <v>5.07740968869652E-2</v>
      </c>
      <c r="R5" s="741">
        <v>2.6469119360745794E-2</v>
      </c>
      <c r="S5" s="2079">
        <v>7.7243216247710994E-2</v>
      </c>
      <c r="T5" s="89">
        <v>21</v>
      </c>
      <c r="U5" s="740">
        <v>0.29100000000000004</v>
      </c>
      <c r="V5" s="740">
        <v>5.9160000000000004</v>
      </c>
      <c r="W5" s="740">
        <v>0.38750000000000001</v>
      </c>
      <c r="X5" s="740">
        <v>0.38750000000000001</v>
      </c>
      <c r="Y5" s="740">
        <v>5.625</v>
      </c>
      <c r="Z5" s="2067">
        <v>5.1803222389696604E-2</v>
      </c>
      <c r="AA5" s="2067">
        <v>7.1979553004805477E-2</v>
      </c>
      <c r="AB5" s="2094">
        <v>0.12378277539450208</v>
      </c>
    </row>
    <row r="6" spans="1:28">
      <c r="B6" s="2077">
        <v>22</v>
      </c>
      <c r="C6" s="2069">
        <v>0.314</v>
      </c>
      <c r="D6" s="2069">
        <v>5.6870000000000003</v>
      </c>
      <c r="E6" s="2069">
        <v>0.70799999999999996</v>
      </c>
      <c r="F6" s="2069">
        <v>0.70799999999999996</v>
      </c>
      <c r="G6" s="2069">
        <v>5.3730000000000002</v>
      </c>
      <c r="H6" s="2070">
        <v>5.8440349897636329E-2</v>
      </c>
      <c r="I6" s="2070">
        <v>0.13176996091568954</v>
      </c>
      <c r="J6" s="2078">
        <v>0.19021031081332587</v>
      </c>
      <c r="K6" s="2077">
        <v>22</v>
      </c>
      <c r="L6" s="2069">
        <v>0.35199999999999998</v>
      </c>
      <c r="M6" s="2069">
        <v>6.5</v>
      </c>
      <c r="N6" s="2071">
        <v>0.184</v>
      </c>
      <c r="O6" s="2069">
        <v>0.184</v>
      </c>
      <c r="P6" s="2069">
        <v>6.1479999999999997</v>
      </c>
      <c r="Q6" s="2070">
        <v>5.7254391672088484E-2</v>
      </c>
      <c r="R6" s="2070">
        <v>2.992843201040989E-2</v>
      </c>
      <c r="S6" s="2078">
        <v>8.718282368249837E-2</v>
      </c>
      <c r="T6" s="2077">
        <v>22</v>
      </c>
      <c r="U6" s="1686">
        <v>0.33299999999999996</v>
      </c>
      <c r="V6" s="1686">
        <v>6.0935000000000006</v>
      </c>
      <c r="W6" s="1686">
        <v>0.44599999999999995</v>
      </c>
      <c r="X6" s="1686">
        <v>0.44599999999999995</v>
      </c>
      <c r="Y6" s="1686">
        <v>5.7605000000000004</v>
      </c>
      <c r="Z6" s="2072">
        <v>5.7847370784862406E-2</v>
      </c>
      <c r="AA6" s="2072">
        <v>8.0849196463049722E-2</v>
      </c>
      <c r="AB6" s="2093">
        <v>0.13869656724791213</v>
      </c>
    </row>
    <row r="7" spans="1:28">
      <c r="B7" s="89">
        <v>23</v>
      </c>
      <c r="C7" s="1">
        <v>0.35299999999999998</v>
      </c>
      <c r="D7" s="1">
        <v>5.8579999999999997</v>
      </c>
      <c r="E7" s="1">
        <v>0.80300000000000005</v>
      </c>
      <c r="F7" s="1">
        <v>0.80300000000000005</v>
      </c>
      <c r="G7" s="1">
        <v>5.5049999999999999</v>
      </c>
      <c r="H7" s="741">
        <v>6.4123524069028159E-2</v>
      </c>
      <c r="I7" s="741">
        <v>0.14586739327883744</v>
      </c>
      <c r="J7" s="2078">
        <v>0.2099909173478656</v>
      </c>
      <c r="K7" s="89">
        <v>23</v>
      </c>
      <c r="L7" s="1">
        <v>0.39</v>
      </c>
      <c r="M7" s="1">
        <v>6.6929999999999996</v>
      </c>
      <c r="N7" s="1419">
        <v>0.20599999999999999</v>
      </c>
      <c r="O7" s="1">
        <v>0.20599999999999999</v>
      </c>
      <c r="P7" s="1">
        <v>6.3029999999999999</v>
      </c>
      <c r="Q7" s="741">
        <v>6.1875297477391719E-2</v>
      </c>
      <c r="R7" s="741">
        <v>3.2682849436776136E-2</v>
      </c>
      <c r="S7" s="2079">
        <v>9.4558146914167862E-2</v>
      </c>
      <c r="T7" s="89">
        <v>23</v>
      </c>
      <c r="U7" s="740">
        <v>0.3715</v>
      </c>
      <c r="V7" s="740">
        <v>6.2754999999999992</v>
      </c>
      <c r="W7" s="740">
        <v>0.50450000000000006</v>
      </c>
      <c r="X7" s="740">
        <v>0.50450000000000006</v>
      </c>
      <c r="Y7" s="740">
        <v>5.9039999999999999</v>
      </c>
      <c r="Z7" s="2067">
        <v>6.2999410773209946E-2</v>
      </c>
      <c r="AA7" s="2067">
        <v>8.9275121357806783E-2</v>
      </c>
      <c r="AB7" s="2094">
        <v>0.15227453213101672</v>
      </c>
    </row>
    <row r="8" spans="1:28">
      <c r="B8" s="2077">
        <v>24</v>
      </c>
      <c r="C8" s="2069">
        <v>0.38600000000000001</v>
      </c>
      <c r="D8" s="2069">
        <v>6.0339999999999998</v>
      </c>
      <c r="E8" s="2069">
        <v>0.89100000000000001</v>
      </c>
      <c r="F8" s="2069">
        <v>0.89100000000000001</v>
      </c>
      <c r="G8" s="2069">
        <v>5.6479999999999997</v>
      </c>
      <c r="H8" s="2070">
        <v>6.8342776203966005E-2</v>
      </c>
      <c r="I8" s="2070">
        <v>0.15775495750708216</v>
      </c>
      <c r="J8" s="2078">
        <v>0.22609773371104816</v>
      </c>
      <c r="K8" s="2077">
        <v>24</v>
      </c>
      <c r="L8" s="2069">
        <v>0.42499999999999999</v>
      </c>
      <c r="M8" s="2069">
        <v>6.891</v>
      </c>
      <c r="N8" s="2071">
        <v>0.22600000000000001</v>
      </c>
      <c r="O8" s="2069">
        <v>0.22600000000000001</v>
      </c>
      <c r="P8" s="2069">
        <v>6.4660000000000002</v>
      </c>
      <c r="Q8" s="2070">
        <v>6.5728425610887722E-2</v>
      </c>
      <c r="R8" s="2070">
        <v>3.4952056913083826E-2</v>
      </c>
      <c r="S8" s="2078">
        <v>0.10068048252397155</v>
      </c>
      <c r="T8" s="2077">
        <v>24</v>
      </c>
      <c r="U8" s="1686">
        <v>0.40549999999999997</v>
      </c>
      <c r="V8" s="1686">
        <v>6.4625000000000004</v>
      </c>
      <c r="W8" s="1686">
        <v>0.5585</v>
      </c>
      <c r="X8" s="1686">
        <v>0.5585</v>
      </c>
      <c r="Y8" s="1686">
        <v>6.0570000000000004</v>
      </c>
      <c r="Z8" s="2072">
        <v>6.7035600907426857E-2</v>
      </c>
      <c r="AA8" s="2072">
        <v>9.6353507210082984E-2</v>
      </c>
      <c r="AB8" s="2093">
        <v>0.16338910811750984</v>
      </c>
    </row>
    <row r="9" spans="1:28">
      <c r="B9" s="89">
        <v>25</v>
      </c>
      <c r="C9" s="1">
        <v>0.41599999999999998</v>
      </c>
      <c r="D9" s="1">
        <v>6.2130000000000001</v>
      </c>
      <c r="E9" s="1">
        <v>0.97399999999999998</v>
      </c>
      <c r="F9" s="1">
        <v>0.97399999999999998</v>
      </c>
      <c r="G9" s="1">
        <v>5.7969999999999997</v>
      </c>
      <c r="H9" s="741">
        <v>7.1761255821976885E-2</v>
      </c>
      <c r="I9" s="741">
        <v>0.1680179403139555</v>
      </c>
      <c r="J9" s="2078">
        <v>0.2397791961359324</v>
      </c>
      <c r="K9" s="89">
        <v>25</v>
      </c>
      <c r="L9" s="1">
        <v>0.45900000000000002</v>
      </c>
      <c r="M9" s="1">
        <v>7.0940000000000003</v>
      </c>
      <c r="N9" s="1419">
        <v>0.246</v>
      </c>
      <c r="O9" s="1">
        <v>0.246</v>
      </c>
      <c r="P9" s="1">
        <v>6.6350000000000007</v>
      </c>
      <c r="Q9" s="741">
        <v>6.9178598342125086E-2</v>
      </c>
      <c r="R9" s="741">
        <v>3.7076111529766385E-2</v>
      </c>
      <c r="S9" s="2079">
        <v>0.10625470987189148</v>
      </c>
      <c r="T9" s="89">
        <v>25</v>
      </c>
      <c r="U9" s="740">
        <v>0.4375</v>
      </c>
      <c r="V9" s="740">
        <v>6.6535000000000002</v>
      </c>
      <c r="W9" s="740">
        <v>0.61</v>
      </c>
      <c r="X9" s="740">
        <v>0.61</v>
      </c>
      <c r="Y9" s="740">
        <v>6.2160000000000002</v>
      </c>
      <c r="Z9" s="2067">
        <v>7.0469927082050993E-2</v>
      </c>
      <c r="AA9" s="2067">
        <v>0.10254702592186095</v>
      </c>
      <c r="AB9" s="2094">
        <v>0.17301695300391196</v>
      </c>
    </row>
    <row r="10" spans="1:28">
      <c r="B10" s="2077">
        <v>26</v>
      </c>
      <c r="C10" s="2069">
        <v>0.442</v>
      </c>
      <c r="D10" s="2069">
        <v>6.3970000000000002</v>
      </c>
      <c r="E10" s="2069">
        <v>1.052</v>
      </c>
      <c r="F10" s="2069">
        <v>1.052</v>
      </c>
      <c r="G10" s="2069">
        <v>5.9550000000000001</v>
      </c>
      <c r="H10" s="2070">
        <v>7.4223341729638959E-2</v>
      </c>
      <c r="I10" s="2070">
        <v>0.17665827036104115</v>
      </c>
      <c r="J10" s="2078">
        <v>0.25088161209068011</v>
      </c>
      <c r="K10" s="2077">
        <v>26</v>
      </c>
      <c r="L10" s="2069">
        <v>0.49299999999999999</v>
      </c>
      <c r="M10" s="2069">
        <v>7.3010000000000002</v>
      </c>
      <c r="N10" s="2071">
        <v>0.26700000000000002</v>
      </c>
      <c r="O10" s="2069">
        <v>0.26700000000000002</v>
      </c>
      <c r="P10" s="2069">
        <v>6.8079999999999998</v>
      </c>
      <c r="Q10" s="2070">
        <v>7.241480611045828E-2</v>
      </c>
      <c r="R10" s="2070">
        <v>3.9218566392479441E-2</v>
      </c>
      <c r="S10" s="2078">
        <v>0.11163337250293773</v>
      </c>
      <c r="T10" s="2077">
        <v>26</v>
      </c>
      <c r="U10" s="1686">
        <v>0.46750000000000003</v>
      </c>
      <c r="V10" s="1686">
        <v>6.8490000000000002</v>
      </c>
      <c r="W10" s="1686">
        <v>0.65949999999999998</v>
      </c>
      <c r="X10" s="1686">
        <v>0.65949999999999998</v>
      </c>
      <c r="Y10" s="1686">
        <v>6.3815</v>
      </c>
      <c r="Z10" s="2072">
        <v>7.3319073920048619E-2</v>
      </c>
      <c r="AA10" s="2072">
        <v>0.1079384183767603</v>
      </c>
      <c r="AB10" s="2093">
        <v>0.18125749229680893</v>
      </c>
    </row>
    <row r="11" spans="1:28">
      <c r="B11" s="89">
        <v>27</v>
      </c>
      <c r="C11" s="1">
        <v>0.46600000000000003</v>
      </c>
      <c r="D11" s="1">
        <v>6.585</v>
      </c>
      <c r="E11" s="1">
        <v>1.127</v>
      </c>
      <c r="F11" s="1">
        <v>1.127</v>
      </c>
      <c r="G11" s="1">
        <v>6.1189999999999998</v>
      </c>
      <c r="H11" s="741">
        <v>7.6156234678869103E-2</v>
      </c>
      <c r="I11" s="741">
        <v>0.18418042163752249</v>
      </c>
      <c r="J11" s="2078">
        <v>0.26033665631639158</v>
      </c>
      <c r="K11" s="89">
        <v>27</v>
      </c>
      <c r="L11" s="1">
        <v>0.52500000000000002</v>
      </c>
      <c r="M11" s="1">
        <v>7.5129999999999999</v>
      </c>
      <c r="N11" s="1419">
        <v>0.28699999999999998</v>
      </c>
      <c r="O11" s="1">
        <v>0.28699999999999998</v>
      </c>
      <c r="P11" s="1">
        <v>6.9879999999999995</v>
      </c>
      <c r="Q11" s="741">
        <v>7.5128792215226115E-2</v>
      </c>
      <c r="R11" s="741">
        <v>4.1070406410990266E-2</v>
      </c>
      <c r="S11" s="2079">
        <v>0.11619919862621639</v>
      </c>
      <c r="T11" s="89">
        <v>27</v>
      </c>
      <c r="U11" s="740">
        <v>0.49550000000000005</v>
      </c>
      <c r="V11" s="740">
        <v>7.0489999999999995</v>
      </c>
      <c r="W11" s="740">
        <v>0.70699999999999996</v>
      </c>
      <c r="X11" s="740">
        <v>0.70699999999999996</v>
      </c>
      <c r="Y11" s="740">
        <v>6.5534999999999997</v>
      </c>
      <c r="Z11" s="2067">
        <v>7.5642513447047616E-2</v>
      </c>
      <c r="AA11" s="2067">
        <v>0.11262541402425638</v>
      </c>
      <c r="AB11" s="2094">
        <v>0.188267927471304</v>
      </c>
    </row>
    <row r="12" spans="1:28">
      <c r="B12" s="2077">
        <v>28</v>
      </c>
      <c r="C12" s="2069">
        <v>0.48699999999999999</v>
      </c>
      <c r="D12" s="2069">
        <v>6.7779999999999996</v>
      </c>
      <c r="E12" s="2069">
        <v>1.2010000000000001</v>
      </c>
      <c r="F12" s="2069">
        <v>1.2010000000000001</v>
      </c>
      <c r="G12" s="2069">
        <v>6.2909999999999995</v>
      </c>
      <c r="H12" s="2070">
        <v>7.7412176124622478E-2</v>
      </c>
      <c r="I12" s="2070">
        <v>0.19090764584326819</v>
      </c>
      <c r="J12" s="2078">
        <v>0.26831982196789067</v>
      </c>
      <c r="K12" s="2077">
        <v>28</v>
      </c>
      <c r="L12" s="2069">
        <v>0.55500000000000005</v>
      </c>
      <c r="M12" s="2069">
        <v>7.7290000000000001</v>
      </c>
      <c r="N12" s="2071">
        <v>0.307</v>
      </c>
      <c r="O12" s="2069">
        <v>0.307</v>
      </c>
      <c r="P12" s="2069">
        <v>7.1740000000000004</v>
      </c>
      <c r="Q12" s="2070">
        <v>7.7362698633955951E-2</v>
      </c>
      <c r="R12" s="2070">
        <v>4.2793420685809866E-2</v>
      </c>
      <c r="S12" s="2078">
        <v>0.12015611931976582</v>
      </c>
      <c r="T12" s="2077">
        <v>28</v>
      </c>
      <c r="U12" s="1686">
        <v>0.52100000000000002</v>
      </c>
      <c r="V12" s="1686">
        <v>7.2534999999999998</v>
      </c>
      <c r="W12" s="1686">
        <v>0.754</v>
      </c>
      <c r="X12" s="1686">
        <v>0.754</v>
      </c>
      <c r="Y12" s="1686">
        <v>6.7324999999999999</v>
      </c>
      <c r="Z12" s="2072">
        <v>7.7387437379289215E-2</v>
      </c>
      <c r="AA12" s="2072">
        <v>0.11685053326453904</v>
      </c>
      <c r="AB12" s="2093">
        <v>0.19423797064382825</v>
      </c>
    </row>
    <row r="13" spans="1:28">
      <c r="B13" s="89">
        <v>29</v>
      </c>
      <c r="C13" s="1">
        <v>0.50700000000000001</v>
      </c>
      <c r="D13" s="1">
        <v>6.976</v>
      </c>
      <c r="E13" s="1">
        <v>1.2729999999999999</v>
      </c>
      <c r="F13" s="1">
        <v>1.2729999999999999</v>
      </c>
      <c r="G13" s="1">
        <v>6.4690000000000003</v>
      </c>
      <c r="H13" s="741">
        <v>7.8373782655742769E-2</v>
      </c>
      <c r="I13" s="741">
        <v>0.19678466532694386</v>
      </c>
      <c r="J13" s="2078">
        <v>0.27515844798268663</v>
      </c>
      <c r="K13" s="89">
        <v>29</v>
      </c>
      <c r="L13" s="1">
        <v>0.58299999999999996</v>
      </c>
      <c r="M13" s="1">
        <v>7.95</v>
      </c>
      <c r="N13" s="1419">
        <v>0.32600000000000001</v>
      </c>
      <c r="O13" s="1">
        <v>0.32600000000000001</v>
      </c>
      <c r="P13" s="1">
        <v>7.367</v>
      </c>
      <c r="Q13" s="741">
        <v>7.9136690647482008E-2</v>
      </c>
      <c r="R13" s="741">
        <v>4.4251391339758382E-2</v>
      </c>
      <c r="S13" s="2079">
        <v>0.12338808198724038</v>
      </c>
      <c r="T13" s="89">
        <v>29</v>
      </c>
      <c r="U13" s="740">
        <v>0.54499999999999993</v>
      </c>
      <c r="V13" s="740">
        <v>7.4630000000000001</v>
      </c>
      <c r="W13" s="740">
        <v>0.79949999999999999</v>
      </c>
      <c r="X13" s="740">
        <v>0.79949999999999999</v>
      </c>
      <c r="Y13" s="740">
        <v>6.9180000000000001</v>
      </c>
      <c r="Z13" s="2067">
        <v>7.8755236651612381E-2</v>
      </c>
      <c r="AA13" s="2067">
        <v>0.12051802833335112</v>
      </c>
      <c r="AB13" s="2094">
        <v>0.19927326498496351</v>
      </c>
    </row>
    <row r="14" spans="1:28">
      <c r="B14" s="2077">
        <v>30</v>
      </c>
      <c r="C14" s="2069">
        <v>0.52500000000000002</v>
      </c>
      <c r="D14" s="2069">
        <v>7.1790000000000003</v>
      </c>
      <c r="E14" s="2069">
        <v>1.345</v>
      </c>
      <c r="F14" s="2069">
        <v>1.345</v>
      </c>
      <c r="G14" s="2069">
        <v>6.6539999999999999</v>
      </c>
      <c r="H14" s="2070">
        <v>7.889990982867448E-2</v>
      </c>
      <c r="I14" s="2070">
        <v>0.20213405470393747</v>
      </c>
      <c r="J14" s="2078">
        <v>0.28103396453261198</v>
      </c>
      <c r="K14" s="2077">
        <v>30</v>
      </c>
      <c r="L14" s="2069">
        <v>0.60799999999999998</v>
      </c>
      <c r="M14" s="2069">
        <v>8.1750000000000007</v>
      </c>
      <c r="N14" s="2071">
        <v>0.34599999999999997</v>
      </c>
      <c r="O14" s="2069">
        <v>0.34599999999999997</v>
      </c>
      <c r="P14" s="2069">
        <v>7.5670000000000011</v>
      </c>
      <c r="Q14" s="2070">
        <v>8.0348883309105307E-2</v>
      </c>
      <c r="R14" s="2070">
        <v>4.5724857935773744E-2</v>
      </c>
      <c r="S14" s="2078">
        <v>0.12607374124487905</v>
      </c>
      <c r="T14" s="2077">
        <v>30</v>
      </c>
      <c r="U14" s="1686">
        <v>0.5665</v>
      </c>
      <c r="V14" s="1686">
        <v>7.6770000000000005</v>
      </c>
      <c r="W14" s="1686">
        <v>0.84549999999999992</v>
      </c>
      <c r="X14" s="1686">
        <v>0.84549999999999992</v>
      </c>
      <c r="Y14" s="1686">
        <v>7.1105</v>
      </c>
      <c r="Z14" s="2072">
        <v>7.9624396568889894E-2</v>
      </c>
      <c r="AA14" s="2072">
        <v>0.12392945631985561</v>
      </c>
      <c r="AB14" s="2093">
        <v>0.2035538528887455</v>
      </c>
    </row>
    <row r="15" spans="1:28">
      <c r="B15" s="89">
        <v>31</v>
      </c>
      <c r="C15" s="1">
        <v>0.54100000000000004</v>
      </c>
      <c r="D15" s="1">
        <v>7.3869999999999996</v>
      </c>
      <c r="E15" s="1">
        <v>1.4159999999999999</v>
      </c>
      <c r="F15" s="1">
        <v>1.4159999999999999</v>
      </c>
      <c r="G15" s="1">
        <v>6.8459999999999992</v>
      </c>
      <c r="H15" s="741">
        <v>7.9024247735904191E-2</v>
      </c>
      <c r="I15" s="741">
        <v>0.20683610867659949</v>
      </c>
      <c r="J15" s="2078">
        <v>0.28586035641250368</v>
      </c>
      <c r="K15" s="89">
        <v>31</v>
      </c>
      <c r="L15" s="1">
        <v>0.63200000000000001</v>
      </c>
      <c r="M15" s="1">
        <v>8.4060000000000006</v>
      </c>
      <c r="N15" s="1419">
        <v>0.36399999999999999</v>
      </c>
      <c r="O15" s="1">
        <v>0.36399999999999999</v>
      </c>
      <c r="P15" s="1">
        <v>7.7740000000000009</v>
      </c>
      <c r="Q15" s="741">
        <v>8.1296629791613062E-2</v>
      </c>
      <c r="R15" s="741">
        <v>4.6822742474916385E-2</v>
      </c>
      <c r="S15" s="2079">
        <v>0.12811937226652945</v>
      </c>
      <c r="T15" s="89">
        <v>31</v>
      </c>
      <c r="U15" s="740">
        <v>0.58650000000000002</v>
      </c>
      <c r="V15" s="740">
        <v>7.8964999999999996</v>
      </c>
      <c r="W15" s="740">
        <v>0.8899999999999999</v>
      </c>
      <c r="X15" s="740">
        <v>0.8899999999999999</v>
      </c>
      <c r="Y15" s="740">
        <v>7.3100000000000005</v>
      </c>
      <c r="Z15" s="2067">
        <v>8.0160438763758626E-2</v>
      </c>
      <c r="AA15" s="2067">
        <v>0.12682942557575794</v>
      </c>
      <c r="AB15" s="2094">
        <v>0.20698986433951655</v>
      </c>
    </row>
    <row r="16" spans="1:28">
      <c r="B16" s="2077">
        <v>32</v>
      </c>
      <c r="C16" s="2069">
        <v>0.55600000000000005</v>
      </c>
      <c r="D16" s="2069">
        <v>7.6</v>
      </c>
      <c r="E16" s="2069">
        <v>1.4870000000000001</v>
      </c>
      <c r="F16" s="2069">
        <v>1.4870000000000001</v>
      </c>
      <c r="G16" s="2069">
        <v>7.0439999999999996</v>
      </c>
      <c r="H16" s="2070">
        <v>7.8932424758659858E-2</v>
      </c>
      <c r="I16" s="2070">
        <v>0.21110164679159571</v>
      </c>
      <c r="J16" s="2078">
        <v>0.29003407155025557</v>
      </c>
      <c r="K16" s="2077">
        <v>32</v>
      </c>
      <c r="L16" s="2069">
        <v>0.65300000000000002</v>
      </c>
      <c r="M16" s="2069">
        <v>8.6419999999999995</v>
      </c>
      <c r="N16" s="2071">
        <v>0.38300000000000001</v>
      </c>
      <c r="O16" s="2069">
        <v>0.38300000000000001</v>
      </c>
      <c r="P16" s="2069">
        <v>7.988999999999999</v>
      </c>
      <c r="Q16" s="2070">
        <v>8.1737388909750922E-2</v>
      </c>
      <c r="R16" s="2070">
        <v>4.7940918763299541E-2</v>
      </c>
      <c r="S16" s="2078">
        <v>0.12967830767305047</v>
      </c>
      <c r="T16" s="2077">
        <v>32</v>
      </c>
      <c r="U16" s="1686">
        <v>0.60450000000000004</v>
      </c>
      <c r="V16" s="1686">
        <v>8.1209999999999987</v>
      </c>
      <c r="W16" s="1686">
        <v>0.93500000000000005</v>
      </c>
      <c r="X16" s="1686">
        <v>0.93500000000000005</v>
      </c>
      <c r="Y16" s="1686">
        <v>7.5164999999999988</v>
      </c>
      <c r="Z16" s="2072">
        <v>8.0334906834205383E-2</v>
      </c>
      <c r="AA16" s="2072">
        <v>0.12952128277744762</v>
      </c>
      <c r="AB16" s="2093">
        <v>0.20985618961165303</v>
      </c>
    </row>
    <row r="17" spans="2:28">
      <c r="B17" s="89">
        <v>33</v>
      </c>
      <c r="C17" s="1">
        <v>0.56999999999999995</v>
      </c>
      <c r="D17" s="1">
        <v>7.819</v>
      </c>
      <c r="E17" s="1">
        <v>1.5580000000000001</v>
      </c>
      <c r="F17" s="1">
        <v>1.5580000000000001</v>
      </c>
      <c r="G17" s="1">
        <v>7.2489999999999997</v>
      </c>
      <c r="H17" s="741">
        <v>7.8631535384190918E-2</v>
      </c>
      <c r="I17" s="741">
        <v>0.21492619671678853</v>
      </c>
      <c r="J17" s="2078">
        <v>0.29355773210097946</v>
      </c>
      <c r="K17" s="89">
        <v>33</v>
      </c>
      <c r="L17" s="1">
        <v>0.67100000000000004</v>
      </c>
      <c r="M17" s="1">
        <v>8.8829999999999991</v>
      </c>
      <c r="N17" s="1419">
        <v>0.40100000000000002</v>
      </c>
      <c r="O17" s="1">
        <v>0.40100000000000002</v>
      </c>
      <c r="P17" s="1">
        <v>8.2119999999999997</v>
      </c>
      <c r="Q17" s="741">
        <v>8.1709693132001951E-2</v>
      </c>
      <c r="R17" s="741">
        <v>4.8830979055041406E-2</v>
      </c>
      <c r="S17" s="2079">
        <v>0.13054067218704335</v>
      </c>
      <c r="T17" s="89">
        <v>33</v>
      </c>
      <c r="U17" s="740">
        <v>0.62050000000000005</v>
      </c>
      <c r="V17" s="740">
        <v>8.3509999999999991</v>
      </c>
      <c r="W17" s="740">
        <v>0.97950000000000004</v>
      </c>
      <c r="X17" s="740">
        <v>0.97950000000000004</v>
      </c>
      <c r="Y17" s="740">
        <v>7.7304999999999993</v>
      </c>
      <c r="Z17" s="2067">
        <v>8.0170614258096434E-2</v>
      </c>
      <c r="AA17" s="2067">
        <v>0.13187858788591497</v>
      </c>
      <c r="AB17" s="2094">
        <v>0.21204920214401141</v>
      </c>
    </row>
    <row r="18" spans="2:28">
      <c r="B18" s="2077">
        <v>34</v>
      </c>
      <c r="C18" s="2069">
        <v>0.58199999999999996</v>
      </c>
      <c r="D18" s="2069">
        <v>8.0440000000000005</v>
      </c>
      <c r="E18" s="2069">
        <v>1.629</v>
      </c>
      <c r="F18" s="2069">
        <v>1.629</v>
      </c>
      <c r="G18" s="2069">
        <v>7.4620000000000006</v>
      </c>
      <c r="H18" s="2070">
        <v>7.7995175556151153E-2</v>
      </c>
      <c r="I18" s="2070">
        <v>0.21830608415974267</v>
      </c>
      <c r="J18" s="2078">
        <v>0.29630125971589383</v>
      </c>
      <c r="K18" s="2077">
        <v>34</v>
      </c>
      <c r="L18" s="2069">
        <v>0.68600000000000005</v>
      </c>
      <c r="M18" s="2069">
        <v>9.1300000000000008</v>
      </c>
      <c r="N18" s="2071">
        <v>0.41799999999999998</v>
      </c>
      <c r="O18" s="2069">
        <v>0.41799999999999998</v>
      </c>
      <c r="P18" s="2069">
        <v>8.4440000000000008</v>
      </c>
      <c r="Q18" s="2070">
        <v>8.1241117953576497E-2</v>
      </c>
      <c r="R18" s="2070">
        <v>4.9502605400284221E-2</v>
      </c>
      <c r="S18" s="2078">
        <v>0.13074372335386072</v>
      </c>
      <c r="T18" s="2077">
        <v>34</v>
      </c>
      <c r="U18" s="1686">
        <v>0.63400000000000001</v>
      </c>
      <c r="V18" s="1686">
        <v>8.5869999999999997</v>
      </c>
      <c r="W18" s="1686">
        <v>1.0235000000000001</v>
      </c>
      <c r="X18" s="1686">
        <v>1.0235000000000001</v>
      </c>
      <c r="Y18" s="1686">
        <v>7.9530000000000012</v>
      </c>
      <c r="Z18" s="2072">
        <v>7.9618146754863825E-2</v>
      </c>
      <c r="AA18" s="2072">
        <v>0.13390434478001345</v>
      </c>
      <c r="AB18" s="2093">
        <v>0.21352249153487729</v>
      </c>
    </row>
    <row r="19" spans="2:28">
      <c r="B19" s="89">
        <v>35</v>
      </c>
      <c r="C19" s="1">
        <v>0.59099999999999997</v>
      </c>
      <c r="D19" s="1">
        <v>8.2750000000000004</v>
      </c>
      <c r="E19" s="1">
        <v>1.7010000000000001</v>
      </c>
      <c r="F19" s="1">
        <v>1.7010000000000001</v>
      </c>
      <c r="G19" s="1">
        <v>7.6840000000000002</v>
      </c>
      <c r="H19" s="741">
        <v>7.6913066111400308E-2</v>
      </c>
      <c r="I19" s="741">
        <v>0.2213690786048933</v>
      </c>
      <c r="J19" s="2078">
        <v>0.29828214471629361</v>
      </c>
      <c r="K19" s="89">
        <v>35</v>
      </c>
      <c r="L19" s="1">
        <v>0.69699999999999995</v>
      </c>
      <c r="M19" s="1">
        <v>9.3810000000000002</v>
      </c>
      <c r="N19" s="1419">
        <v>0.435</v>
      </c>
      <c r="O19" s="1">
        <v>0.435</v>
      </c>
      <c r="P19" s="1">
        <v>8.6840000000000011</v>
      </c>
      <c r="Q19" s="741">
        <v>8.0262551819438033E-2</v>
      </c>
      <c r="R19" s="741">
        <v>5.0092123445416852E-2</v>
      </c>
      <c r="S19" s="2079">
        <v>0.13035467526485489</v>
      </c>
      <c r="T19" s="89">
        <v>35</v>
      </c>
      <c r="U19" s="740">
        <v>0.64399999999999991</v>
      </c>
      <c r="V19" s="740">
        <v>8.8279999999999994</v>
      </c>
      <c r="W19" s="740">
        <v>1.0680000000000001</v>
      </c>
      <c r="X19" s="740">
        <v>1.0680000000000001</v>
      </c>
      <c r="Y19" s="740">
        <v>8.1840000000000011</v>
      </c>
      <c r="Z19" s="2067">
        <v>7.858780896541917E-2</v>
      </c>
      <c r="AA19" s="2067">
        <v>0.13573060102515508</v>
      </c>
      <c r="AB19" s="2094">
        <v>0.21431840999057425</v>
      </c>
    </row>
    <row r="20" spans="2:28">
      <c r="B20" s="2077">
        <v>36</v>
      </c>
      <c r="C20" s="2069">
        <v>0.59799999999999998</v>
      </c>
      <c r="D20" s="2069">
        <v>8.51</v>
      </c>
      <c r="E20" s="2069">
        <v>1.7729999999999999</v>
      </c>
      <c r="F20" s="2069">
        <v>1.7729999999999999</v>
      </c>
      <c r="G20" s="2069">
        <v>7.9119999999999999</v>
      </c>
      <c r="H20" s="2070">
        <v>7.5581395348837205E-2</v>
      </c>
      <c r="I20" s="2070">
        <v>0.22408998988877654</v>
      </c>
      <c r="J20" s="2078">
        <v>0.29967138523761372</v>
      </c>
      <c r="K20" s="2077">
        <v>36</v>
      </c>
      <c r="L20" s="2069">
        <v>0.70399999999999996</v>
      </c>
      <c r="M20" s="2069">
        <v>9.6370000000000005</v>
      </c>
      <c r="N20" s="2071">
        <v>0.45100000000000001</v>
      </c>
      <c r="O20" s="2069">
        <v>0.45100000000000001</v>
      </c>
      <c r="P20" s="2069">
        <v>8.9329999999999998</v>
      </c>
      <c r="Q20" s="2070">
        <v>7.8808910780252997E-2</v>
      </c>
      <c r="R20" s="2070">
        <v>5.0486958468599574E-2</v>
      </c>
      <c r="S20" s="2078">
        <v>0.12929586924885256</v>
      </c>
      <c r="T20" s="2077">
        <v>36</v>
      </c>
      <c r="U20" s="1686">
        <v>0.65100000000000002</v>
      </c>
      <c r="V20" s="1686">
        <v>9.0734999999999992</v>
      </c>
      <c r="W20" s="1686">
        <v>1.1119999999999999</v>
      </c>
      <c r="X20" s="1686">
        <v>1.1119999999999999</v>
      </c>
      <c r="Y20" s="1686">
        <v>8.4224999999999994</v>
      </c>
      <c r="Z20" s="2072">
        <v>7.7195153064545108E-2</v>
      </c>
      <c r="AA20" s="2072">
        <v>0.13728847417868806</v>
      </c>
      <c r="AB20" s="2093">
        <v>0.21448362724323314</v>
      </c>
    </row>
    <row r="21" spans="2:28">
      <c r="B21" s="89">
        <v>37</v>
      </c>
      <c r="C21" s="1">
        <v>0.6</v>
      </c>
      <c r="D21" s="1">
        <v>8.75</v>
      </c>
      <c r="E21" s="1">
        <v>1.8440000000000001</v>
      </c>
      <c r="F21" s="1">
        <v>1.8440000000000001</v>
      </c>
      <c r="G21" s="1">
        <v>8.15</v>
      </c>
      <c r="H21" s="741">
        <v>7.3619631901840482E-2</v>
      </c>
      <c r="I21" s="741">
        <v>0.22625766871165645</v>
      </c>
      <c r="J21" s="2078">
        <v>0.29987730061349693</v>
      </c>
      <c r="K21" s="89">
        <v>37</v>
      </c>
      <c r="L21" s="1">
        <v>0.70499999999999996</v>
      </c>
      <c r="M21" s="1">
        <v>9.8970000000000002</v>
      </c>
      <c r="N21" s="1419">
        <v>0.46700000000000003</v>
      </c>
      <c r="O21" s="1">
        <v>0.46700000000000003</v>
      </c>
      <c r="P21" s="1">
        <v>9.1920000000000002</v>
      </c>
      <c r="Q21" s="741">
        <v>7.6697127937336809E-2</v>
      </c>
      <c r="R21" s="741">
        <v>5.0805047867711055E-2</v>
      </c>
      <c r="S21" s="2079">
        <v>0.12750217580504786</v>
      </c>
      <c r="T21" s="89">
        <v>37</v>
      </c>
      <c r="U21" s="740">
        <v>0.65249999999999997</v>
      </c>
      <c r="V21" s="740">
        <v>9.3234999999999992</v>
      </c>
      <c r="W21" s="740">
        <v>1.1555</v>
      </c>
      <c r="X21" s="740">
        <v>1.1555</v>
      </c>
      <c r="Y21" s="740">
        <v>8.6709999999999994</v>
      </c>
      <c r="Z21" s="2067">
        <v>7.5158379919588653E-2</v>
      </c>
      <c r="AA21" s="2067">
        <v>0.13853135828968374</v>
      </c>
      <c r="AB21" s="2094">
        <v>0.2136897382092724</v>
      </c>
    </row>
    <row r="22" spans="2:28">
      <c r="B22" s="2077">
        <v>38</v>
      </c>
      <c r="C22" s="2069">
        <v>0.59599999999999997</v>
      </c>
      <c r="D22" s="2069">
        <v>8.9930000000000003</v>
      </c>
      <c r="E22" s="2069">
        <v>1.9159999999999999</v>
      </c>
      <c r="F22" s="2069">
        <v>1.9159999999999999</v>
      </c>
      <c r="G22" s="2069">
        <v>8.3970000000000002</v>
      </c>
      <c r="H22" s="2070">
        <v>7.097773014171728E-2</v>
      </c>
      <c r="I22" s="2070">
        <v>0.22817672978444681</v>
      </c>
      <c r="J22" s="2078">
        <v>0.29915445992616407</v>
      </c>
      <c r="K22" s="2077">
        <v>38</v>
      </c>
      <c r="L22" s="2069">
        <v>0.70099999999999996</v>
      </c>
      <c r="M22" s="2069">
        <v>10.161</v>
      </c>
      <c r="N22" s="2071">
        <v>0.48199999999999998</v>
      </c>
      <c r="O22" s="2069">
        <v>0.48199999999999998</v>
      </c>
      <c r="P22" s="2069">
        <v>9.4599999999999991</v>
      </c>
      <c r="Q22" s="2070">
        <v>7.4101479915433408E-2</v>
      </c>
      <c r="R22" s="2070">
        <v>5.0951374207188163E-2</v>
      </c>
      <c r="S22" s="2078">
        <v>0.12505285412262157</v>
      </c>
      <c r="T22" s="2077">
        <v>38</v>
      </c>
      <c r="U22" s="1686">
        <v>0.64849999999999997</v>
      </c>
      <c r="V22" s="1686">
        <v>9.577</v>
      </c>
      <c r="W22" s="1686">
        <v>1.1989999999999998</v>
      </c>
      <c r="X22" s="1686">
        <v>1.1989999999999998</v>
      </c>
      <c r="Y22" s="1686">
        <v>8.9284999999999997</v>
      </c>
      <c r="Z22" s="2072">
        <v>7.2539605028575344E-2</v>
      </c>
      <c r="AA22" s="2072">
        <v>0.13956405199581748</v>
      </c>
      <c r="AB22" s="2093">
        <v>0.21210365702439282</v>
      </c>
    </row>
    <row r="23" spans="2:28">
      <c r="B23" s="89">
        <v>39</v>
      </c>
      <c r="C23" s="1">
        <v>0.58799999999999997</v>
      </c>
      <c r="D23" s="1">
        <v>9.2409999999999997</v>
      </c>
      <c r="E23" s="1">
        <v>1.988</v>
      </c>
      <c r="F23" s="1">
        <v>1.988</v>
      </c>
      <c r="G23" s="1">
        <v>8.6530000000000005</v>
      </c>
      <c r="H23" s="741">
        <v>6.7953310990407939E-2</v>
      </c>
      <c r="I23" s="741">
        <v>0.22974690858661734</v>
      </c>
      <c r="J23" s="2078">
        <v>0.2977002195770253</v>
      </c>
      <c r="K23" s="89">
        <v>39</v>
      </c>
      <c r="L23" s="1">
        <v>0.69</v>
      </c>
      <c r="M23" s="1">
        <v>10.43</v>
      </c>
      <c r="N23" s="1419">
        <v>0.496</v>
      </c>
      <c r="O23" s="1">
        <v>0.496</v>
      </c>
      <c r="P23" s="1">
        <v>9.74</v>
      </c>
      <c r="Q23" s="741">
        <v>7.0841889117043116E-2</v>
      </c>
      <c r="R23" s="741">
        <v>5.0924024640657081E-2</v>
      </c>
      <c r="S23" s="2079">
        <v>0.1217659137577002</v>
      </c>
      <c r="T23" s="89">
        <v>39</v>
      </c>
      <c r="U23" s="740">
        <v>0.63900000000000001</v>
      </c>
      <c r="V23" s="740">
        <v>9.8354999999999997</v>
      </c>
      <c r="W23" s="740">
        <v>1.242</v>
      </c>
      <c r="X23" s="740">
        <v>1.242</v>
      </c>
      <c r="Y23" s="740">
        <v>9.1965000000000003</v>
      </c>
      <c r="Z23" s="2067">
        <v>6.9397600053725528E-2</v>
      </c>
      <c r="AA23" s="2067">
        <v>0.14033546661363722</v>
      </c>
      <c r="AB23" s="2094">
        <v>0.20973306666736274</v>
      </c>
    </row>
    <row r="24" spans="2:28">
      <c r="B24" s="2077">
        <v>40</v>
      </c>
      <c r="C24" s="2069">
        <v>0.57599999999999996</v>
      </c>
      <c r="D24" s="2069">
        <v>9.4939999999999998</v>
      </c>
      <c r="E24" s="2069">
        <v>2.0609999999999999</v>
      </c>
      <c r="F24" s="2069">
        <v>2.0609999999999999</v>
      </c>
      <c r="G24" s="2069">
        <v>8.9179999999999993</v>
      </c>
      <c r="H24" s="2070">
        <v>6.4588472751738055E-2</v>
      </c>
      <c r="I24" s="2070">
        <v>0.23110562906481275</v>
      </c>
      <c r="J24" s="2078">
        <v>0.29569410181655081</v>
      </c>
      <c r="K24" s="2077">
        <v>40</v>
      </c>
      <c r="L24" s="2069">
        <v>0.67500000000000004</v>
      </c>
      <c r="M24" s="2069">
        <v>10.705</v>
      </c>
      <c r="N24" s="2071">
        <v>0.50900000000000001</v>
      </c>
      <c r="O24" s="2069">
        <v>0.50900000000000001</v>
      </c>
      <c r="P24" s="2069">
        <v>10.029999999999999</v>
      </c>
      <c r="Q24" s="2070">
        <v>6.7298105682951151E-2</v>
      </c>
      <c r="R24" s="2070">
        <v>5.0747756729810571E-2</v>
      </c>
      <c r="S24" s="2078">
        <v>0.11804586241276172</v>
      </c>
      <c r="T24" s="2077">
        <v>40</v>
      </c>
      <c r="U24" s="1686">
        <v>0.62549999999999994</v>
      </c>
      <c r="V24" s="1686">
        <v>10.099499999999999</v>
      </c>
      <c r="W24" s="1686">
        <v>1.2849999999999999</v>
      </c>
      <c r="X24" s="1686">
        <v>1.2849999999999999</v>
      </c>
      <c r="Y24" s="1686">
        <v>9.4740000000000002</v>
      </c>
      <c r="Z24" s="2072">
        <v>6.5943289217344603E-2</v>
      </c>
      <c r="AA24" s="2072">
        <v>0.14092669289731166</v>
      </c>
      <c r="AB24" s="2093">
        <v>0.20686998211465626</v>
      </c>
    </row>
    <row r="25" spans="2:28">
      <c r="B25" s="89">
        <v>41</v>
      </c>
      <c r="C25" s="1">
        <v>0.56100000000000005</v>
      </c>
      <c r="D25" s="1">
        <v>9.7560000000000002</v>
      </c>
      <c r="E25" s="1">
        <v>2.1349999999999998</v>
      </c>
      <c r="F25" s="1">
        <v>2.1349999999999998</v>
      </c>
      <c r="G25" s="1">
        <v>9.1950000000000003</v>
      </c>
      <c r="H25" s="741">
        <v>6.1011419249592171E-2</v>
      </c>
      <c r="I25" s="741">
        <v>0.23219140837411634</v>
      </c>
      <c r="J25" s="2078">
        <v>0.29320282762370853</v>
      </c>
      <c r="K25" s="89">
        <v>41</v>
      </c>
      <c r="L25" s="1">
        <v>0.65600000000000003</v>
      </c>
      <c r="M25" s="1">
        <v>10.986000000000001</v>
      </c>
      <c r="N25" s="1419">
        <v>0.52300000000000002</v>
      </c>
      <c r="O25" s="1">
        <v>0.52300000000000002</v>
      </c>
      <c r="P25" s="1">
        <v>10.33</v>
      </c>
      <c r="Q25" s="741">
        <v>6.3504356243949664E-2</v>
      </c>
      <c r="R25" s="741">
        <v>5.0629235237173283E-2</v>
      </c>
      <c r="S25" s="2079">
        <v>0.11413359148112295</v>
      </c>
      <c r="T25" s="89">
        <v>41</v>
      </c>
      <c r="U25" s="740">
        <v>0.60850000000000004</v>
      </c>
      <c r="V25" s="740">
        <v>10.371</v>
      </c>
      <c r="W25" s="740">
        <v>1.329</v>
      </c>
      <c r="X25" s="740">
        <v>1.329</v>
      </c>
      <c r="Y25" s="740">
        <v>9.7624999999999993</v>
      </c>
      <c r="Z25" s="2067">
        <v>6.2257887746770921E-2</v>
      </c>
      <c r="AA25" s="2067">
        <v>0.14141032180564481</v>
      </c>
      <c r="AB25" s="2094">
        <v>0.20366820955241574</v>
      </c>
    </row>
    <row r="26" spans="2:28">
      <c r="B26" s="2077">
        <v>42</v>
      </c>
      <c r="C26" s="2069">
        <v>0.54600000000000004</v>
      </c>
      <c r="D26" s="2069">
        <v>10.026</v>
      </c>
      <c r="E26" s="2069">
        <v>2.21</v>
      </c>
      <c r="F26" s="2069">
        <v>2.21</v>
      </c>
      <c r="G26" s="2069">
        <v>9.48</v>
      </c>
      <c r="H26" s="2070">
        <v>5.7594936708860761E-2</v>
      </c>
      <c r="I26" s="2070">
        <v>0.2331223628691983</v>
      </c>
      <c r="J26" s="2078">
        <v>0.29071729957805903</v>
      </c>
      <c r="K26" s="2077">
        <v>42</v>
      </c>
      <c r="L26" s="2069">
        <v>0.63500000000000001</v>
      </c>
      <c r="M26" s="2069">
        <v>11.276</v>
      </c>
      <c r="N26" s="2071">
        <v>0.53600000000000003</v>
      </c>
      <c r="O26" s="2069">
        <v>0.53600000000000003</v>
      </c>
      <c r="P26" s="2069">
        <v>10.641</v>
      </c>
      <c r="Q26" s="2070">
        <v>5.9674842589982145E-2</v>
      </c>
      <c r="R26" s="2070">
        <v>5.0371205713748708E-2</v>
      </c>
      <c r="S26" s="2078">
        <v>0.11004604830373085</v>
      </c>
      <c r="T26" s="2077">
        <v>42</v>
      </c>
      <c r="U26" s="1686">
        <v>0.59050000000000002</v>
      </c>
      <c r="V26" s="1686">
        <v>10.651</v>
      </c>
      <c r="W26" s="1686">
        <v>1.373</v>
      </c>
      <c r="X26" s="1686">
        <v>1.373</v>
      </c>
      <c r="Y26" s="1686">
        <v>10.060500000000001</v>
      </c>
      <c r="Z26" s="2072">
        <v>5.8634889649421457E-2</v>
      </c>
      <c r="AA26" s="2072">
        <v>0.1417467842914735</v>
      </c>
      <c r="AB26" s="2093">
        <v>0.20038167394089496</v>
      </c>
    </row>
    <row r="27" spans="2:28">
      <c r="B27" s="89">
        <v>43</v>
      </c>
      <c r="C27" s="1">
        <v>0.53100000000000003</v>
      </c>
      <c r="D27" s="1">
        <v>10.305999999999999</v>
      </c>
      <c r="E27" s="1">
        <v>2.286</v>
      </c>
      <c r="F27" s="1">
        <v>2.286</v>
      </c>
      <c r="G27" s="1">
        <v>9.7749999999999986</v>
      </c>
      <c r="H27" s="741">
        <v>5.4322250639386199E-2</v>
      </c>
      <c r="I27" s="741">
        <v>0.23386189258312023</v>
      </c>
      <c r="J27" s="2078">
        <v>0.28818414322250641</v>
      </c>
      <c r="K27" s="89">
        <v>43</v>
      </c>
      <c r="L27" s="1">
        <v>0.61199999999999999</v>
      </c>
      <c r="M27" s="1">
        <v>11.574999999999999</v>
      </c>
      <c r="N27" s="1419">
        <v>0.54900000000000004</v>
      </c>
      <c r="O27" s="1">
        <v>0.54900000000000004</v>
      </c>
      <c r="P27" s="1">
        <v>10.962999999999999</v>
      </c>
      <c r="Q27" s="741">
        <v>5.5824135729271189E-2</v>
      </c>
      <c r="R27" s="741">
        <v>5.0077533521846219E-2</v>
      </c>
      <c r="S27" s="2079">
        <v>0.10590166925111741</v>
      </c>
      <c r="T27" s="89">
        <v>43</v>
      </c>
      <c r="U27" s="740">
        <v>0.57150000000000001</v>
      </c>
      <c r="V27" s="740">
        <v>10.9405</v>
      </c>
      <c r="W27" s="740">
        <v>1.4175</v>
      </c>
      <c r="X27" s="740">
        <v>1.4175</v>
      </c>
      <c r="Y27" s="740">
        <v>10.369</v>
      </c>
      <c r="Z27" s="2067">
        <v>5.5073193184328698E-2</v>
      </c>
      <c r="AA27" s="2067">
        <v>0.14196971305248324</v>
      </c>
      <c r="AB27" s="2094">
        <v>0.19704290623681192</v>
      </c>
    </row>
    <row r="28" spans="2:28">
      <c r="B28" s="2077">
        <v>44</v>
      </c>
      <c r="C28" s="2069">
        <v>0.51500000000000001</v>
      </c>
      <c r="D28" s="2069">
        <v>10.596</v>
      </c>
      <c r="E28" s="2069">
        <v>2.3639999999999999</v>
      </c>
      <c r="F28" s="2069">
        <v>2.3639999999999999</v>
      </c>
      <c r="G28" s="2069">
        <v>10.081</v>
      </c>
      <c r="H28" s="2070">
        <v>5.108620176569785E-2</v>
      </c>
      <c r="I28" s="2070">
        <v>0.23450054558079556</v>
      </c>
      <c r="J28" s="2078">
        <v>0.28558674734649342</v>
      </c>
      <c r="K28" s="2077">
        <v>44</v>
      </c>
      <c r="L28" s="2069">
        <v>0.58699999999999997</v>
      </c>
      <c r="M28" s="2069">
        <v>11.884</v>
      </c>
      <c r="N28" s="2071">
        <v>0.56100000000000005</v>
      </c>
      <c r="O28" s="2069">
        <v>0.56100000000000005</v>
      </c>
      <c r="P28" s="2069">
        <v>11.297000000000001</v>
      </c>
      <c r="Q28" s="2070">
        <v>5.1960697530317776E-2</v>
      </c>
      <c r="R28" s="2070">
        <v>4.9659201557935739E-2</v>
      </c>
      <c r="S28" s="2078">
        <v>0.10161989908825352</v>
      </c>
      <c r="T28" s="2077">
        <v>44</v>
      </c>
      <c r="U28" s="1686">
        <v>0.55099999999999993</v>
      </c>
      <c r="V28" s="1686">
        <v>11.24</v>
      </c>
      <c r="W28" s="1686">
        <v>1.4624999999999999</v>
      </c>
      <c r="X28" s="1686">
        <v>1.4624999999999999</v>
      </c>
      <c r="Y28" s="1686">
        <v>10.689</v>
      </c>
      <c r="Z28" s="2072">
        <v>5.1523449648007813E-2</v>
      </c>
      <c r="AA28" s="2072">
        <v>0.14207987356936563</v>
      </c>
      <c r="AB28" s="2093">
        <v>0.19360332321737347</v>
      </c>
    </row>
    <row r="29" spans="2:28">
      <c r="B29" s="89">
        <v>45</v>
      </c>
      <c r="C29" s="1">
        <v>0.498</v>
      </c>
      <c r="D29" s="1">
        <v>10.897</v>
      </c>
      <c r="E29" s="1">
        <v>2.4409999999999998</v>
      </c>
      <c r="F29" s="1">
        <v>2.4409999999999998</v>
      </c>
      <c r="G29" s="1">
        <v>10.399000000000001</v>
      </c>
      <c r="H29" s="741">
        <v>4.788922011731897E-2</v>
      </c>
      <c r="I29" s="741">
        <v>0.23473410904894698</v>
      </c>
      <c r="J29" s="2078">
        <v>0.28262332916626598</v>
      </c>
      <c r="K29" s="89">
        <v>45</v>
      </c>
      <c r="L29" s="1">
        <v>0.56000000000000005</v>
      </c>
      <c r="M29" s="1">
        <v>12.202999999999999</v>
      </c>
      <c r="N29" s="1419">
        <v>0.57399999999999995</v>
      </c>
      <c r="O29" s="1">
        <v>0.57399999999999995</v>
      </c>
      <c r="P29" s="1">
        <v>11.642999999999999</v>
      </c>
      <c r="Q29" s="741">
        <v>4.8097569354977249E-2</v>
      </c>
      <c r="R29" s="741">
        <v>4.9300008588851668E-2</v>
      </c>
      <c r="S29" s="2079">
        <v>9.7397577943828917E-2</v>
      </c>
      <c r="T29" s="89">
        <v>45</v>
      </c>
      <c r="U29" s="740">
        <v>0.52900000000000003</v>
      </c>
      <c r="V29" s="740">
        <v>11.55</v>
      </c>
      <c r="W29" s="740">
        <v>1.5074999999999998</v>
      </c>
      <c r="X29" s="740">
        <v>1.5074999999999998</v>
      </c>
      <c r="Y29" s="740">
        <v>11.021000000000001</v>
      </c>
      <c r="Z29" s="2067">
        <v>4.7993394736148109E-2</v>
      </c>
      <c r="AA29" s="2067">
        <v>0.14201705881889931</v>
      </c>
      <c r="AB29" s="2094">
        <v>0.19001045355504745</v>
      </c>
    </row>
    <row r="30" spans="2:28">
      <c r="B30" s="2077">
        <v>46</v>
      </c>
      <c r="C30" s="2069">
        <v>0.48</v>
      </c>
      <c r="D30" s="2069">
        <v>11.208</v>
      </c>
      <c r="E30" s="2069">
        <v>2.5190000000000001</v>
      </c>
      <c r="F30" s="2069">
        <v>2.5190000000000001</v>
      </c>
      <c r="G30" s="2069">
        <v>10.728</v>
      </c>
      <c r="H30" s="2070">
        <v>4.4742729306487698E-2</v>
      </c>
      <c r="I30" s="2070">
        <v>0.2348061148396719</v>
      </c>
      <c r="J30" s="2078">
        <v>0.2795488441461596</v>
      </c>
      <c r="K30" s="2077">
        <v>46</v>
      </c>
      <c r="L30" s="2069">
        <v>0.53300000000000003</v>
      </c>
      <c r="M30" s="2069">
        <v>12.532</v>
      </c>
      <c r="N30" s="2071">
        <v>0.58599999999999997</v>
      </c>
      <c r="O30" s="2069">
        <v>0.58599999999999997</v>
      </c>
      <c r="P30" s="2069">
        <v>11.999000000000001</v>
      </c>
      <c r="Q30" s="2070">
        <v>4.4420368364030335E-2</v>
      </c>
      <c r="R30" s="2070">
        <v>4.8837403116926408E-2</v>
      </c>
      <c r="S30" s="2078">
        <v>9.3257771480956736E-2</v>
      </c>
      <c r="T30" s="2077">
        <v>46</v>
      </c>
      <c r="U30" s="1686">
        <v>0.50649999999999995</v>
      </c>
      <c r="V30" s="1686">
        <v>11.870000000000001</v>
      </c>
      <c r="W30" s="1686">
        <v>1.5525</v>
      </c>
      <c r="X30" s="1686">
        <v>1.5525</v>
      </c>
      <c r="Y30" s="1686">
        <v>11.3635</v>
      </c>
      <c r="Z30" s="2072">
        <v>4.4581548835259013E-2</v>
      </c>
      <c r="AA30" s="2072">
        <v>0.14182175897829916</v>
      </c>
      <c r="AB30" s="2093">
        <v>0.18640330781355818</v>
      </c>
    </row>
    <row r="31" spans="2:28">
      <c r="B31" s="89">
        <v>47</v>
      </c>
      <c r="C31" s="1">
        <v>0.45900000000000002</v>
      </c>
      <c r="D31" s="1">
        <v>11.53</v>
      </c>
      <c r="E31" s="1">
        <v>2.5960000000000001</v>
      </c>
      <c r="F31" s="1">
        <v>2.5960000000000001</v>
      </c>
      <c r="G31" s="1">
        <v>11.071</v>
      </c>
      <c r="H31" s="741">
        <v>4.1459669406557674E-2</v>
      </c>
      <c r="I31" s="741">
        <v>0.23448649625146781</v>
      </c>
      <c r="J31" s="2078">
        <v>0.27594616565802549</v>
      </c>
      <c r="K31" s="89">
        <v>47</v>
      </c>
      <c r="L31" s="1">
        <v>0.503</v>
      </c>
      <c r="M31" s="1">
        <v>12.872999999999999</v>
      </c>
      <c r="N31" s="1419">
        <v>0.59799999999999998</v>
      </c>
      <c r="O31" s="1">
        <v>0.59799999999999998</v>
      </c>
      <c r="P31" s="1">
        <v>12.37</v>
      </c>
      <c r="Q31" s="741">
        <v>4.066289409862571E-2</v>
      </c>
      <c r="R31" s="741">
        <v>4.8342764753435734E-2</v>
      </c>
      <c r="S31" s="2079">
        <v>8.9005658852061437E-2</v>
      </c>
      <c r="T31" s="89">
        <v>47</v>
      </c>
      <c r="U31" s="740">
        <v>0.48099999999999998</v>
      </c>
      <c r="V31" s="740">
        <v>12.201499999999999</v>
      </c>
      <c r="W31" s="740">
        <v>1.597</v>
      </c>
      <c r="X31" s="740">
        <v>1.597</v>
      </c>
      <c r="Y31" s="740">
        <v>11.720499999999999</v>
      </c>
      <c r="Z31" s="2067">
        <v>4.1061281752591688E-2</v>
      </c>
      <c r="AA31" s="2067">
        <v>0.14141463050245176</v>
      </c>
      <c r="AB31" s="2094">
        <v>0.18247591225504345</v>
      </c>
    </row>
    <row r="32" spans="2:28">
      <c r="B32" s="2077">
        <v>48</v>
      </c>
      <c r="C32" s="2069">
        <v>0.436</v>
      </c>
      <c r="D32" s="2069">
        <v>11.863</v>
      </c>
      <c r="E32" s="2069">
        <v>2.6720000000000002</v>
      </c>
      <c r="F32" s="2069">
        <v>2.6720000000000002</v>
      </c>
      <c r="G32" s="2069">
        <v>11.427</v>
      </c>
      <c r="H32" s="2070">
        <v>3.8155246346372629E-2</v>
      </c>
      <c r="I32" s="2070">
        <v>0.23383215192088913</v>
      </c>
      <c r="J32" s="2078">
        <v>0.27198739826726176</v>
      </c>
      <c r="K32" s="2077">
        <v>48</v>
      </c>
      <c r="L32" s="2069">
        <v>0.47099999999999997</v>
      </c>
      <c r="M32" s="2069">
        <v>13.224</v>
      </c>
      <c r="N32" s="2071">
        <v>0.60899999999999999</v>
      </c>
      <c r="O32" s="2069">
        <v>0.60899999999999999</v>
      </c>
      <c r="P32" s="2069">
        <v>12.753</v>
      </c>
      <c r="Q32" s="2070">
        <v>3.6932486473770877E-2</v>
      </c>
      <c r="R32" s="2070">
        <v>4.7753469771818394E-2</v>
      </c>
      <c r="S32" s="2078">
        <v>8.4685956245589278E-2</v>
      </c>
      <c r="T32" s="2077">
        <v>48</v>
      </c>
      <c r="U32" s="1686">
        <v>0.45350000000000001</v>
      </c>
      <c r="V32" s="1686">
        <v>12.5435</v>
      </c>
      <c r="W32" s="1686">
        <v>1.6405000000000001</v>
      </c>
      <c r="X32" s="1686">
        <v>1.6405000000000001</v>
      </c>
      <c r="Y32" s="1686">
        <v>12.09</v>
      </c>
      <c r="Z32" s="2072">
        <v>3.754386641007175E-2</v>
      </c>
      <c r="AA32" s="2072">
        <v>0.14079281084635376</v>
      </c>
      <c r="AB32" s="2093">
        <v>0.17833667725642552</v>
      </c>
    </row>
    <row r="33" spans="2:28">
      <c r="B33" s="89">
        <v>49</v>
      </c>
      <c r="C33" s="1">
        <v>0.41</v>
      </c>
      <c r="D33" s="1">
        <v>12.206</v>
      </c>
      <c r="E33" s="1">
        <v>2.7469999999999999</v>
      </c>
      <c r="F33" s="1">
        <v>2.7469999999999999</v>
      </c>
      <c r="G33" s="1">
        <v>11.795999999999999</v>
      </c>
      <c r="H33" s="741">
        <v>3.4757544930484913E-2</v>
      </c>
      <c r="I33" s="741">
        <v>0.2328755510342489</v>
      </c>
      <c r="J33" s="2078">
        <v>0.26763309596473384</v>
      </c>
      <c r="K33" s="89">
        <v>49</v>
      </c>
      <c r="L33" s="1">
        <v>0.437</v>
      </c>
      <c r="M33" s="1">
        <v>13.587</v>
      </c>
      <c r="N33" s="1419">
        <v>0.62</v>
      </c>
      <c r="O33" s="1">
        <v>0.62</v>
      </c>
      <c r="P33" s="1">
        <v>13.15</v>
      </c>
      <c r="Q33" s="741">
        <v>3.3231939163498099E-2</v>
      </c>
      <c r="R33" s="741">
        <v>4.714828897338403E-2</v>
      </c>
      <c r="S33" s="2079">
        <v>8.0380228136882129E-2</v>
      </c>
      <c r="T33" s="89">
        <v>49</v>
      </c>
      <c r="U33" s="740">
        <v>0.42349999999999999</v>
      </c>
      <c r="V33" s="740">
        <v>12.8965</v>
      </c>
      <c r="W33" s="740">
        <v>1.6835</v>
      </c>
      <c r="X33" s="740">
        <v>1.6835</v>
      </c>
      <c r="Y33" s="740">
        <v>12.472999999999999</v>
      </c>
      <c r="Z33" s="2067">
        <v>3.3994742046991502E-2</v>
      </c>
      <c r="AA33" s="2067">
        <v>0.14001192000381646</v>
      </c>
      <c r="AB33" s="2094">
        <v>0.17400666205080798</v>
      </c>
    </row>
    <row r="34" spans="2:28">
      <c r="B34" s="2077">
        <v>50</v>
      </c>
      <c r="C34" s="2069">
        <v>0.38</v>
      </c>
      <c r="D34" s="2069">
        <v>12.561999999999999</v>
      </c>
      <c r="E34" s="2069">
        <v>2.8210000000000002</v>
      </c>
      <c r="F34" s="2069">
        <v>2.8210000000000002</v>
      </c>
      <c r="G34" s="2069">
        <v>12.181999999999999</v>
      </c>
      <c r="H34" s="2070">
        <v>3.1193564275160075E-2</v>
      </c>
      <c r="I34" s="2070">
        <v>0.23157117057954363</v>
      </c>
      <c r="J34" s="2078">
        <v>0.2627647348547037</v>
      </c>
      <c r="K34" s="2077">
        <v>50</v>
      </c>
      <c r="L34" s="2069">
        <v>0.40100000000000002</v>
      </c>
      <c r="M34" s="2069">
        <v>13.961</v>
      </c>
      <c r="N34" s="2071">
        <v>0.63</v>
      </c>
      <c r="O34" s="2069">
        <v>0.63</v>
      </c>
      <c r="P34" s="2069">
        <v>13.56</v>
      </c>
      <c r="Q34" s="2070">
        <v>2.957227138643068E-2</v>
      </c>
      <c r="R34" s="2070">
        <v>4.6460176991150438E-2</v>
      </c>
      <c r="S34" s="2078">
        <v>7.6032448377581122E-2</v>
      </c>
      <c r="T34" s="2077">
        <v>50</v>
      </c>
      <c r="U34" s="1686">
        <v>0.39050000000000001</v>
      </c>
      <c r="V34" s="1686">
        <v>13.2615</v>
      </c>
      <c r="W34" s="1686">
        <v>1.7255</v>
      </c>
      <c r="X34" s="1686">
        <v>1.7255</v>
      </c>
      <c r="Y34" s="1686">
        <v>12.870999999999999</v>
      </c>
      <c r="Z34" s="2072">
        <v>3.0382917830795379E-2</v>
      </c>
      <c r="AA34" s="2072">
        <v>0.13901567378534704</v>
      </c>
      <c r="AB34" s="2093">
        <v>0.1693985916161424</v>
      </c>
    </row>
    <row r="35" spans="2:28">
      <c r="B35" s="89">
        <v>51</v>
      </c>
      <c r="C35" s="1">
        <v>0.34599999999999997</v>
      </c>
      <c r="D35" s="1">
        <v>12.93</v>
      </c>
      <c r="E35" s="1">
        <v>2.8929999999999998</v>
      </c>
      <c r="F35" s="1">
        <v>2.8929999999999998</v>
      </c>
      <c r="G35" s="1">
        <v>12.584</v>
      </c>
      <c r="H35" s="741">
        <v>2.7495232040686584E-2</v>
      </c>
      <c r="I35" s="741">
        <v>0.2298951048951049</v>
      </c>
      <c r="J35" s="2078">
        <v>0.2573903369357915</v>
      </c>
      <c r="K35" s="89">
        <v>51</v>
      </c>
      <c r="L35" s="1">
        <v>0.36099999999999999</v>
      </c>
      <c r="M35" s="1">
        <v>14.347</v>
      </c>
      <c r="N35" s="1419">
        <v>0.63800000000000001</v>
      </c>
      <c r="O35" s="1">
        <v>0.63800000000000001</v>
      </c>
      <c r="P35" s="1">
        <v>13.985999999999999</v>
      </c>
      <c r="Q35" s="741">
        <v>2.5811525811525814E-2</v>
      </c>
      <c r="R35" s="741">
        <v>4.5617045617045625E-2</v>
      </c>
      <c r="S35" s="2079">
        <v>7.1428571428571438E-2</v>
      </c>
      <c r="T35" s="89">
        <v>51</v>
      </c>
      <c r="U35" s="740">
        <v>0.35349999999999998</v>
      </c>
      <c r="V35" s="740">
        <v>13.638500000000001</v>
      </c>
      <c r="W35" s="740">
        <v>1.7654999999999998</v>
      </c>
      <c r="X35" s="740">
        <v>1.7654999999999998</v>
      </c>
      <c r="Y35" s="740">
        <v>13.285</v>
      </c>
      <c r="Z35" s="2067">
        <v>2.6653378926106197E-2</v>
      </c>
      <c r="AA35" s="2067">
        <v>0.13775607525607525</v>
      </c>
      <c r="AB35" s="2094">
        <v>0.16440945418218147</v>
      </c>
    </row>
    <row r="36" spans="2:28">
      <c r="B36" s="2077">
        <v>52</v>
      </c>
      <c r="C36" s="2069">
        <v>0.309</v>
      </c>
      <c r="D36" s="2069">
        <v>13.311999999999999</v>
      </c>
      <c r="E36" s="2069">
        <v>2.9630000000000001</v>
      </c>
      <c r="F36" s="2069">
        <v>2.9630000000000001</v>
      </c>
      <c r="G36" s="2069">
        <v>13.003</v>
      </c>
      <c r="H36" s="2070">
        <v>2.3763746827655155E-2</v>
      </c>
      <c r="I36" s="2070">
        <v>0.22787049142505575</v>
      </c>
      <c r="J36" s="2078">
        <v>0.25163423825271092</v>
      </c>
      <c r="K36" s="2077">
        <v>52</v>
      </c>
      <c r="L36" s="2069">
        <v>0.31900000000000001</v>
      </c>
      <c r="M36" s="2069">
        <v>14.746</v>
      </c>
      <c r="N36" s="2071">
        <v>0.64600000000000002</v>
      </c>
      <c r="O36" s="2069">
        <v>0.64600000000000002</v>
      </c>
      <c r="P36" s="2069">
        <v>14.427</v>
      </c>
      <c r="Q36" s="2070">
        <v>2.2111319054550497E-2</v>
      </c>
      <c r="R36" s="2070">
        <v>4.4777153947459625E-2</v>
      </c>
      <c r="S36" s="2078">
        <v>6.6888473002010118E-2</v>
      </c>
      <c r="T36" s="2077">
        <v>52</v>
      </c>
      <c r="U36" s="1686">
        <v>0.314</v>
      </c>
      <c r="V36" s="1686">
        <v>14.029</v>
      </c>
      <c r="W36" s="1686">
        <v>1.8045</v>
      </c>
      <c r="X36" s="1686">
        <v>1.8045</v>
      </c>
      <c r="Y36" s="1686">
        <v>13.715</v>
      </c>
      <c r="Z36" s="2072">
        <v>2.2937532941102824E-2</v>
      </c>
      <c r="AA36" s="2072">
        <v>0.1363238226862577</v>
      </c>
      <c r="AB36" s="2093">
        <v>0.15926135562736052</v>
      </c>
    </row>
    <row r="37" spans="2:28">
      <c r="B37" s="89">
        <v>53</v>
      </c>
      <c r="C37" s="1">
        <v>0.27</v>
      </c>
      <c r="D37" s="1">
        <v>13.709</v>
      </c>
      <c r="E37" s="1">
        <v>3.032</v>
      </c>
      <c r="F37" s="1">
        <v>3.032</v>
      </c>
      <c r="G37" s="1">
        <v>13.439</v>
      </c>
      <c r="H37" s="741">
        <v>2.0090780564030061E-2</v>
      </c>
      <c r="I37" s="741">
        <v>0.22561202470421907</v>
      </c>
      <c r="J37" s="2078">
        <v>0.24570280526824911</v>
      </c>
      <c r="K37" s="89">
        <v>53</v>
      </c>
      <c r="L37" s="1">
        <v>0.27500000000000002</v>
      </c>
      <c r="M37" s="1">
        <v>15.157999999999999</v>
      </c>
      <c r="N37" s="1419">
        <v>0.65300000000000002</v>
      </c>
      <c r="O37" s="1">
        <v>0.65300000000000002</v>
      </c>
      <c r="P37" s="1">
        <v>14.882999999999999</v>
      </c>
      <c r="Q37" s="741">
        <v>1.8477457501847747E-2</v>
      </c>
      <c r="R37" s="741">
        <v>4.3875562722569379E-2</v>
      </c>
      <c r="S37" s="2079">
        <v>6.2353020224417126E-2</v>
      </c>
      <c r="T37" s="89">
        <v>53</v>
      </c>
      <c r="U37" s="740">
        <v>0.27250000000000002</v>
      </c>
      <c r="V37" s="740">
        <v>14.433499999999999</v>
      </c>
      <c r="W37" s="740">
        <v>1.8425</v>
      </c>
      <c r="X37" s="740">
        <v>1.8425</v>
      </c>
      <c r="Y37" s="740">
        <v>14.161</v>
      </c>
      <c r="Z37" s="2067">
        <v>1.9284119032938904E-2</v>
      </c>
      <c r="AA37" s="2067">
        <v>0.13474379371339423</v>
      </c>
      <c r="AB37" s="2094">
        <v>0.15402791274633312</v>
      </c>
    </row>
    <row r="38" spans="2:28">
      <c r="B38" s="2077">
        <v>54</v>
      </c>
      <c r="C38" s="2069">
        <v>0.22800000000000001</v>
      </c>
      <c r="D38" s="2069">
        <v>14.12</v>
      </c>
      <c r="E38" s="2069">
        <v>3.0990000000000002</v>
      </c>
      <c r="F38" s="2069">
        <v>3.0990000000000002</v>
      </c>
      <c r="G38" s="2069">
        <v>13.891999999999999</v>
      </c>
      <c r="H38" s="2070">
        <v>1.6412323639504751E-2</v>
      </c>
      <c r="I38" s="2070">
        <v>0.22307803052116329</v>
      </c>
      <c r="J38" s="2078">
        <v>0.23949035416066805</v>
      </c>
      <c r="K38" s="2077">
        <v>54</v>
      </c>
      <c r="L38" s="2069">
        <v>0.22900000000000001</v>
      </c>
      <c r="M38" s="2069">
        <v>15.585000000000001</v>
      </c>
      <c r="N38" s="2071">
        <v>0.65900000000000003</v>
      </c>
      <c r="O38" s="2069">
        <v>0.65900000000000003</v>
      </c>
      <c r="P38" s="2069">
        <v>15.356000000000002</v>
      </c>
      <c r="Q38" s="2070">
        <v>1.4912737692107318E-2</v>
      </c>
      <c r="R38" s="2070">
        <v>4.2914821568116691E-2</v>
      </c>
      <c r="S38" s="2078">
        <v>5.782755926022401E-2</v>
      </c>
      <c r="T38" s="2077">
        <v>54</v>
      </c>
      <c r="U38" s="1686">
        <v>0.22850000000000001</v>
      </c>
      <c r="V38" s="1686">
        <v>14.852499999999999</v>
      </c>
      <c r="W38" s="1686">
        <v>1.879</v>
      </c>
      <c r="X38" s="1686">
        <v>1.879</v>
      </c>
      <c r="Y38" s="1686">
        <v>14.624000000000001</v>
      </c>
      <c r="Z38" s="2072">
        <v>1.5662530665806036E-2</v>
      </c>
      <c r="AA38" s="2072">
        <v>0.13299642604463999</v>
      </c>
      <c r="AB38" s="2093">
        <v>0.14865895671044604</v>
      </c>
    </row>
    <row r="39" spans="2:28">
      <c r="B39" s="89">
        <v>55</v>
      </c>
      <c r="C39" s="1">
        <v>0.184</v>
      </c>
      <c r="D39" s="1">
        <v>14.548</v>
      </c>
      <c r="E39" s="1">
        <v>3.165</v>
      </c>
      <c r="F39" s="1">
        <v>3.165</v>
      </c>
      <c r="G39" s="1">
        <v>14.364000000000001</v>
      </c>
      <c r="H39" s="741">
        <v>1.2809802283486493E-2</v>
      </c>
      <c r="I39" s="741">
        <v>0.22034252297410192</v>
      </c>
      <c r="J39" s="2078">
        <v>0.23315232525758842</v>
      </c>
      <c r="K39" s="89">
        <v>55</v>
      </c>
      <c r="L39" s="1">
        <v>0.18099999999999999</v>
      </c>
      <c r="M39" s="1">
        <v>16.026</v>
      </c>
      <c r="N39" s="1419">
        <v>0.66400000000000003</v>
      </c>
      <c r="O39" s="1">
        <v>0.66400000000000003</v>
      </c>
      <c r="P39" s="1">
        <v>15.845000000000001</v>
      </c>
      <c r="Q39" s="741">
        <v>1.1423161880719469E-2</v>
      </c>
      <c r="R39" s="741">
        <v>4.1905964026506787E-2</v>
      </c>
      <c r="S39" s="2079">
        <v>5.3329125907226257E-2</v>
      </c>
      <c r="T39" s="89">
        <v>55</v>
      </c>
      <c r="U39" s="740">
        <v>0.1825</v>
      </c>
      <c r="V39" s="740">
        <v>15.286999999999999</v>
      </c>
      <c r="W39" s="740">
        <v>1.9145000000000001</v>
      </c>
      <c r="X39" s="740">
        <v>1.9145000000000001</v>
      </c>
      <c r="Y39" s="740">
        <v>15.104500000000002</v>
      </c>
      <c r="Z39" s="2067">
        <v>1.2116482082102982E-2</v>
      </c>
      <c r="AA39" s="2067">
        <v>0.13112424350030435</v>
      </c>
      <c r="AB39" s="2094">
        <v>0.14324072558240733</v>
      </c>
    </row>
    <row r="40" spans="2:28">
      <c r="B40" s="2077">
        <v>56</v>
      </c>
      <c r="C40" s="2069">
        <v>0.13900000000000001</v>
      </c>
      <c r="D40" s="2069">
        <v>14.993</v>
      </c>
      <c r="E40" s="2069">
        <v>3.2320000000000002</v>
      </c>
      <c r="F40" s="2069">
        <v>3.2320000000000002</v>
      </c>
      <c r="G40" s="2069">
        <v>14.854000000000001</v>
      </c>
      <c r="H40" s="2070">
        <v>9.35774875454423E-3</v>
      </c>
      <c r="I40" s="2070">
        <v>0.21758448902652483</v>
      </c>
      <c r="J40" s="2078">
        <v>0.22694223778106906</v>
      </c>
      <c r="K40" s="2077">
        <v>56</v>
      </c>
      <c r="L40" s="2069">
        <v>0.13500000000000001</v>
      </c>
      <c r="M40" s="2069">
        <v>16.484999999999999</v>
      </c>
      <c r="N40" s="2071">
        <v>0.66900000000000004</v>
      </c>
      <c r="O40" s="2069">
        <v>0.66900000000000004</v>
      </c>
      <c r="P40" s="2069">
        <v>16.349999999999998</v>
      </c>
      <c r="Q40" s="2070">
        <v>8.2568807339449563E-3</v>
      </c>
      <c r="R40" s="2070">
        <v>4.0917431192660558E-2</v>
      </c>
      <c r="S40" s="2078">
        <v>4.9174311926605513E-2</v>
      </c>
      <c r="T40" s="2077">
        <v>56</v>
      </c>
      <c r="U40" s="1686">
        <v>0.13700000000000001</v>
      </c>
      <c r="V40" s="1686">
        <v>15.739000000000001</v>
      </c>
      <c r="W40" s="1686">
        <v>1.9505000000000001</v>
      </c>
      <c r="X40" s="1686">
        <v>1.9505000000000001</v>
      </c>
      <c r="Y40" s="1686">
        <v>15.602</v>
      </c>
      <c r="Z40" s="2072">
        <v>8.8073147442445932E-3</v>
      </c>
      <c r="AA40" s="2072">
        <v>0.12925096010959269</v>
      </c>
      <c r="AB40" s="2093">
        <v>0.13805827485383729</v>
      </c>
    </row>
    <row r="41" spans="2:28">
      <c r="B41" s="89">
        <v>57</v>
      </c>
      <c r="C41" s="1">
        <v>9.5000000000000001E-2</v>
      </c>
      <c r="D41" s="1">
        <v>15.458</v>
      </c>
      <c r="E41" s="1">
        <v>3.2989999999999999</v>
      </c>
      <c r="F41" s="1">
        <v>3.2989999999999999</v>
      </c>
      <c r="G41" s="1">
        <v>15.363</v>
      </c>
      <c r="H41" s="741">
        <v>6.1836880817548656E-3</v>
      </c>
      <c r="I41" s="741">
        <v>0.21473670507062423</v>
      </c>
      <c r="J41" s="2078">
        <v>0.2209203931523791</v>
      </c>
      <c r="K41" s="89">
        <v>57</v>
      </c>
      <c r="L41" s="1">
        <v>9.0999999999999998E-2</v>
      </c>
      <c r="M41" s="1">
        <v>16.963000000000001</v>
      </c>
      <c r="N41" s="1419">
        <v>0.67300000000000004</v>
      </c>
      <c r="O41" s="1">
        <v>0.67300000000000004</v>
      </c>
      <c r="P41" s="1">
        <v>16.872</v>
      </c>
      <c r="Q41" s="741">
        <v>5.3935514461830253E-3</v>
      </c>
      <c r="R41" s="741">
        <v>3.988857278330963E-2</v>
      </c>
      <c r="S41" s="2079">
        <v>4.5282124229492654E-2</v>
      </c>
      <c r="T41" s="89">
        <v>57</v>
      </c>
      <c r="U41" s="740">
        <v>9.2999999999999999E-2</v>
      </c>
      <c r="V41" s="740">
        <v>16.2105</v>
      </c>
      <c r="W41" s="740">
        <v>1.986</v>
      </c>
      <c r="X41" s="740">
        <v>1.986</v>
      </c>
      <c r="Y41" s="740">
        <v>16.1175</v>
      </c>
      <c r="Z41" s="2067">
        <v>5.7886197639689455E-3</v>
      </c>
      <c r="AA41" s="2067">
        <v>0.12731263892696693</v>
      </c>
      <c r="AB41" s="2094">
        <v>0.13310125869093586</v>
      </c>
    </row>
    <row r="42" spans="2:28">
      <c r="B42" s="2077">
        <v>58</v>
      </c>
      <c r="C42" s="2069">
        <v>5.7000000000000002E-2</v>
      </c>
      <c r="D42" s="2069">
        <v>15.943</v>
      </c>
      <c r="E42" s="2069">
        <v>3.3679999999999999</v>
      </c>
      <c r="F42" s="2069">
        <v>3.3679999999999999</v>
      </c>
      <c r="G42" s="2069">
        <v>15.885999999999999</v>
      </c>
      <c r="H42" s="2070">
        <v>3.5880649628603806E-3</v>
      </c>
      <c r="I42" s="2070">
        <v>0.21201057534936421</v>
      </c>
      <c r="J42" s="2078">
        <v>0.21559864031222459</v>
      </c>
      <c r="K42" s="2077">
        <v>58</v>
      </c>
      <c r="L42" s="2069">
        <v>5.1999999999999998E-2</v>
      </c>
      <c r="M42" s="2069">
        <v>17.463000000000001</v>
      </c>
      <c r="N42" s="2071">
        <v>0.67800000000000005</v>
      </c>
      <c r="O42" s="2069">
        <v>0.67800000000000005</v>
      </c>
      <c r="P42" s="2069">
        <v>17.411000000000001</v>
      </c>
      <c r="Q42" s="2070">
        <v>2.9866176555051402E-3</v>
      </c>
      <c r="R42" s="2070">
        <v>3.8940899431393949E-2</v>
      </c>
      <c r="S42" s="2078">
        <v>4.192751708689909E-2</v>
      </c>
      <c r="T42" s="2077">
        <v>58</v>
      </c>
      <c r="U42" s="1686">
        <v>5.45E-2</v>
      </c>
      <c r="V42" s="1686">
        <v>16.702999999999999</v>
      </c>
      <c r="W42" s="1686">
        <v>2.0230000000000001</v>
      </c>
      <c r="X42" s="1686">
        <v>2.0230000000000001</v>
      </c>
      <c r="Y42" s="1686">
        <v>16.648499999999999</v>
      </c>
      <c r="Z42" s="2072">
        <v>3.2873413091827602E-3</v>
      </c>
      <c r="AA42" s="2072">
        <v>0.12547573739037909</v>
      </c>
      <c r="AB42" s="2093">
        <v>0.12876307869956183</v>
      </c>
    </row>
    <row r="43" spans="2:28">
      <c r="B43" s="89">
        <v>59</v>
      </c>
      <c r="C43" s="1">
        <v>2.5999999999999999E-2</v>
      </c>
      <c r="D43" s="1">
        <v>16.451000000000001</v>
      </c>
      <c r="E43" s="1">
        <v>3.4409999999999998</v>
      </c>
      <c r="F43" s="1">
        <v>3.4409999999999998</v>
      </c>
      <c r="G43" s="1">
        <v>16.425000000000001</v>
      </c>
      <c r="H43" s="741">
        <v>1.5829528158295279E-3</v>
      </c>
      <c r="I43" s="741">
        <v>0.20949771689497715</v>
      </c>
      <c r="J43" s="2078">
        <v>0.21108066971080669</v>
      </c>
      <c r="K43" s="89">
        <v>59</v>
      </c>
      <c r="L43" s="1">
        <v>2.3E-2</v>
      </c>
      <c r="M43" s="1">
        <v>17.989000000000001</v>
      </c>
      <c r="N43" s="1419">
        <v>0.68200000000000005</v>
      </c>
      <c r="O43" s="1">
        <v>0.68200000000000005</v>
      </c>
      <c r="P43" s="1">
        <v>17.966000000000001</v>
      </c>
      <c r="Q43" s="741">
        <v>1.2801959256373149E-3</v>
      </c>
      <c r="R43" s="741">
        <v>3.7960592229767338E-2</v>
      </c>
      <c r="S43" s="2079">
        <v>3.9240788155404653E-2</v>
      </c>
      <c r="T43" s="89">
        <v>59</v>
      </c>
      <c r="U43" s="740">
        <v>2.4500000000000001E-2</v>
      </c>
      <c r="V43" s="740">
        <v>17.22</v>
      </c>
      <c r="W43" s="740">
        <v>2.0615000000000001</v>
      </c>
      <c r="X43" s="740">
        <v>2.0615000000000001</v>
      </c>
      <c r="Y43" s="740">
        <v>17.195500000000003</v>
      </c>
      <c r="Z43" s="2067">
        <v>1.4315743707334215E-3</v>
      </c>
      <c r="AA43" s="2067">
        <v>0.12372915456237224</v>
      </c>
      <c r="AB43" s="2094">
        <v>0.12516072893310567</v>
      </c>
    </row>
    <row r="44" spans="2:28">
      <c r="B44" s="2077">
        <v>60</v>
      </c>
      <c r="C44" s="2069">
        <v>6.0000000000000001E-3</v>
      </c>
      <c r="D44" s="2069">
        <v>16.986999999999998</v>
      </c>
      <c r="E44" s="2069">
        <v>3.5169999999999999</v>
      </c>
      <c r="F44" s="2069">
        <v>3.5169999999999999</v>
      </c>
      <c r="G44" s="2069">
        <v>16.980999999999998</v>
      </c>
      <c r="H44" s="2070">
        <v>3.5333608150285616E-4</v>
      </c>
      <c r="I44" s="2070">
        <v>0.20711383310759085</v>
      </c>
      <c r="J44" s="2078">
        <v>0.20746716918909372</v>
      </c>
      <c r="K44" s="2077">
        <v>60</v>
      </c>
      <c r="L44" s="2069">
        <v>5.0000000000000001E-3</v>
      </c>
      <c r="M44" s="2069">
        <v>18.544</v>
      </c>
      <c r="N44" s="2071">
        <v>0.68700000000000006</v>
      </c>
      <c r="O44" s="2069">
        <v>0.68700000000000006</v>
      </c>
      <c r="P44" s="2069">
        <v>18.539000000000001</v>
      </c>
      <c r="Q44" s="2070">
        <v>2.6970170990884082E-4</v>
      </c>
      <c r="R44" s="2070">
        <v>3.7057014941474731E-2</v>
      </c>
      <c r="S44" s="2078">
        <v>3.7326716651383575E-2</v>
      </c>
      <c r="T44" s="2077">
        <v>60</v>
      </c>
      <c r="U44" s="1686">
        <v>5.4999999999999997E-3</v>
      </c>
      <c r="V44" s="1686">
        <v>17.765499999999999</v>
      </c>
      <c r="W44" s="1686">
        <v>2.1019999999999999</v>
      </c>
      <c r="X44" s="1686">
        <v>2.1019999999999999</v>
      </c>
      <c r="Y44" s="1686">
        <v>17.759999999999998</v>
      </c>
      <c r="Z44" s="2072">
        <v>3.1151889570584846E-4</v>
      </c>
      <c r="AA44" s="2072">
        <v>0.12208542402453279</v>
      </c>
      <c r="AB44" s="2093">
        <v>0.12239694292023864</v>
      </c>
    </row>
    <row r="45" spans="2:28">
      <c r="B45" s="2098">
        <v>61</v>
      </c>
      <c r="C45" s="2099">
        <v>0</v>
      </c>
      <c r="D45" s="2099">
        <v>17.553000000000001</v>
      </c>
      <c r="E45" s="2099">
        <v>3.5979999999999999</v>
      </c>
      <c r="F45" s="2099">
        <v>3.5979999999999999</v>
      </c>
      <c r="G45" s="2099">
        <v>17.553000000000001</v>
      </c>
      <c r="H45" s="2100">
        <v>0</v>
      </c>
      <c r="I45" s="2100">
        <v>0.20497920583376059</v>
      </c>
      <c r="J45" s="2101">
        <v>0.20497920583376059</v>
      </c>
      <c r="K45" s="2098">
        <v>61</v>
      </c>
      <c r="L45" s="2099">
        <v>0</v>
      </c>
      <c r="M45" s="2099">
        <v>19.131</v>
      </c>
      <c r="N45" s="2102">
        <v>0.69199999999999995</v>
      </c>
      <c r="O45" s="2099">
        <v>0.69199999999999995</v>
      </c>
      <c r="P45" s="2099">
        <v>19.131</v>
      </c>
      <c r="Q45" s="2100">
        <v>0</v>
      </c>
      <c r="R45" s="2100">
        <v>3.6171658564633315E-2</v>
      </c>
      <c r="S45" s="2101">
        <v>3.6171658564633315E-2</v>
      </c>
      <c r="T45" s="2098">
        <v>61</v>
      </c>
      <c r="U45" s="2103">
        <v>0</v>
      </c>
      <c r="V45" s="2103">
        <v>18.341999999999999</v>
      </c>
      <c r="W45" s="2103">
        <v>2.145</v>
      </c>
      <c r="X45" s="2103">
        <v>2.145</v>
      </c>
      <c r="Y45" s="2103">
        <v>18.341999999999999</v>
      </c>
      <c r="Z45" s="2104">
        <v>0</v>
      </c>
      <c r="AA45" s="2104">
        <v>0.12057543219919695</v>
      </c>
      <c r="AB45" s="2105">
        <v>0.12057543219919695</v>
      </c>
    </row>
    <row r="46" spans="2:28">
      <c r="B46" s="2077">
        <v>62</v>
      </c>
      <c r="C46" s="2069">
        <v>0</v>
      </c>
      <c r="D46" s="2069">
        <v>17.187000000000001</v>
      </c>
      <c r="E46" s="2069">
        <v>3.6219999999999999</v>
      </c>
      <c r="F46" s="2069">
        <v>3.734</v>
      </c>
      <c r="G46" s="2069">
        <v>17.187000000000001</v>
      </c>
      <c r="H46" s="2070">
        <v>0</v>
      </c>
      <c r="I46" s="2070">
        <v>0.21725722930121602</v>
      </c>
      <c r="J46" s="2078">
        <v>0.21725722930121602</v>
      </c>
      <c r="K46" s="2077">
        <v>62</v>
      </c>
      <c r="L46" s="2069">
        <v>0</v>
      </c>
      <c r="M46" s="2069">
        <v>18.765999999999998</v>
      </c>
      <c r="N46" s="2071">
        <v>0.67600000000000005</v>
      </c>
      <c r="O46" s="2069">
        <v>0.67600000000000005</v>
      </c>
      <c r="P46" s="2069">
        <v>18.765999999999998</v>
      </c>
      <c r="Q46" s="2070">
        <v>0</v>
      </c>
      <c r="R46" s="2070">
        <v>3.6022594053074716E-2</v>
      </c>
      <c r="S46" s="2078">
        <v>3.6022594053074716E-2</v>
      </c>
      <c r="T46" s="2077">
        <v>62</v>
      </c>
      <c r="U46" s="1686">
        <v>0</v>
      </c>
      <c r="V46" s="1686">
        <v>17.976500000000001</v>
      </c>
      <c r="W46" s="1686">
        <v>2.149</v>
      </c>
      <c r="X46" s="1686">
        <v>2.2050000000000001</v>
      </c>
      <c r="Y46" s="1686">
        <v>17.976500000000001</v>
      </c>
      <c r="Z46" s="2072">
        <v>0</v>
      </c>
      <c r="AA46" s="2072">
        <v>0.12663991167714536</v>
      </c>
      <c r="AB46" s="2093">
        <v>0.12663991167714536</v>
      </c>
    </row>
    <row r="47" spans="2:28">
      <c r="B47" s="89">
        <v>63</v>
      </c>
      <c r="C47" s="1">
        <v>0</v>
      </c>
      <c r="D47" s="1">
        <v>16.815000000000001</v>
      </c>
      <c r="E47" s="1">
        <v>3.6419999999999999</v>
      </c>
      <c r="F47" s="1">
        <v>3.7530000000000001</v>
      </c>
      <c r="G47" s="1">
        <v>16.815000000000001</v>
      </c>
      <c r="H47" s="741">
        <v>0</v>
      </c>
      <c r="I47" s="741">
        <v>0.22319357716324709</v>
      </c>
      <c r="J47" s="2078">
        <v>0.22319357716324709</v>
      </c>
      <c r="K47" s="89">
        <v>63</v>
      </c>
      <c r="L47" s="1">
        <v>0</v>
      </c>
      <c r="M47" s="1">
        <v>18.393000000000001</v>
      </c>
      <c r="N47" s="1419">
        <v>0.65900000000000003</v>
      </c>
      <c r="O47" s="1">
        <v>0.65900000000000003</v>
      </c>
      <c r="P47" s="1">
        <v>18.393000000000001</v>
      </c>
      <c r="Q47" s="741">
        <v>0</v>
      </c>
      <c r="R47" s="741">
        <v>3.5828847931278204E-2</v>
      </c>
      <c r="S47" s="2079">
        <v>3.5828847931278204E-2</v>
      </c>
      <c r="T47" s="89">
        <v>63</v>
      </c>
      <c r="U47" s="740">
        <v>0</v>
      </c>
      <c r="V47" s="740">
        <v>17.603999999999999</v>
      </c>
      <c r="W47" s="740">
        <v>2.1505000000000001</v>
      </c>
      <c r="X47" s="740">
        <v>2.206</v>
      </c>
      <c r="Y47" s="740">
        <v>17.603999999999999</v>
      </c>
      <c r="Z47" s="2067">
        <v>0</v>
      </c>
      <c r="AA47" s="2067">
        <v>0.12951121254726264</v>
      </c>
      <c r="AB47" s="2094">
        <v>0.12951121254726264</v>
      </c>
    </row>
    <row r="48" spans="2:28">
      <c r="B48" s="2077">
        <v>64</v>
      </c>
      <c r="C48" s="2069">
        <v>0</v>
      </c>
      <c r="D48" s="2069">
        <v>16.437999999999999</v>
      </c>
      <c r="E48" s="2069">
        <v>3.6579999999999999</v>
      </c>
      <c r="F48" s="2069">
        <v>3.7669999999999999</v>
      </c>
      <c r="G48" s="2069">
        <v>16.437999999999999</v>
      </c>
      <c r="H48" s="2070">
        <v>0</v>
      </c>
      <c r="I48" s="2070">
        <v>0.22916413188952428</v>
      </c>
      <c r="J48" s="2078">
        <v>0.22916413188952428</v>
      </c>
      <c r="K48" s="2077">
        <v>64</v>
      </c>
      <c r="L48" s="2069">
        <v>0</v>
      </c>
      <c r="M48" s="2069">
        <v>18.010999999999999</v>
      </c>
      <c r="N48" s="2071">
        <v>0.64100000000000001</v>
      </c>
      <c r="O48" s="2069">
        <v>0.64100000000000001</v>
      </c>
      <c r="P48" s="2069">
        <v>18.010999999999999</v>
      </c>
      <c r="Q48" s="2070">
        <v>0</v>
      </c>
      <c r="R48" s="2070">
        <v>3.5589362056521016E-2</v>
      </c>
      <c r="S48" s="2078">
        <v>3.5589362056521016E-2</v>
      </c>
      <c r="T48" s="2077">
        <v>64</v>
      </c>
      <c r="U48" s="1686">
        <v>0</v>
      </c>
      <c r="V48" s="1686">
        <v>17.224499999999999</v>
      </c>
      <c r="W48" s="1686">
        <v>2.1494999999999997</v>
      </c>
      <c r="X48" s="1686">
        <v>2.2039999999999997</v>
      </c>
      <c r="Y48" s="1686">
        <v>17.224499999999999</v>
      </c>
      <c r="Z48" s="2072">
        <v>0</v>
      </c>
      <c r="AA48" s="2072">
        <v>0.13237674697302265</v>
      </c>
      <c r="AB48" s="2093">
        <v>0.13237674697302265</v>
      </c>
    </row>
    <row r="49" spans="2:28">
      <c r="B49" s="89">
        <v>65</v>
      </c>
      <c r="C49" s="1">
        <v>0</v>
      </c>
      <c r="D49" s="1">
        <v>16.053000000000001</v>
      </c>
      <c r="E49" s="1">
        <v>3.6680000000000001</v>
      </c>
      <c r="F49" s="1">
        <v>3.7749999999999999</v>
      </c>
      <c r="G49" s="1">
        <v>16.053000000000001</v>
      </c>
      <c r="H49" s="741">
        <v>0</v>
      </c>
      <c r="I49" s="741">
        <v>0.23515853734504452</v>
      </c>
      <c r="J49" s="2079">
        <v>0.23515853734504452</v>
      </c>
      <c r="K49" s="89">
        <v>65</v>
      </c>
      <c r="L49" s="1">
        <v>0</v>
      </c>
      <c r="M49" s="1">
        <v>17.619</v>
      </c>
      <c r="N49" s="1419">
        <v>0.623</v>
      </c>
      <c r="O49" s="1">
        <v>0.623</v>
      </c>
      <c r="P49" s="1">
        <v>17.619</v>
      </c>
      <c r="Q49" s="741">
        <v>0</v>
      </c>
      <c r="R49" s="741">
        <v>3.5359555025824392E-2</v>
      </c>
      <c r="S49" s="2079">
        <v>3.5359555025824392E-2</v>
      </c>
      <c r="T49" s="89">
        <v>65</v>
      </c>
      <c r="U49" s="740">
        <v>0</v>
      </c>
      <c r="V49" s="740">
        <v>16.835999999999999</v>
      </c>
      <c r="W49" s="740">
        <v>2.1455000000000002</v>
      </c>
      <c r="X49" s="740">
        <v>2.1989999999999998</v>
      </c>
      <c r="Y49" s="740">
        <v>16.835999999999999</v>
      </c>
      <c r="Z49" s="957">
        <v>0</v>
      </c>
      <c r="AA49" s="957">
        <v>0.13525904618543447</v>
      </c>
      <c r="AB49" s="958">
        <v>0.13525904618543447</v>
      </c>
    </row>
    <row r="50" spans="2:28">
      <c r="B50" s="2077">
        <v>66</v>
      </c>
      <c r="C50" s="2069"/>
      <c r="D50" s="2069">
        <v>15.661</v>
      </c>
      <c r="E50" s="2069">
        <v>3.6739999999999999</v>
      </c>
      <c r="F50" s="2069">
        <v>3.778</v>
      </c>
      <c r="G50" s="2069">
        <v>15.661</v>
      </c>
      <c r="H50" s="2070">
        <v>0</v>
      </c>
      <c r="I50" s="2070">
        <v>0.24123619181406042</v>
      </c>
      <c r="J50" s="2078">
        <v>0.24123619181406042</v>
      </c>
      <c r="K50" s="2077">
        <v>66</v>
      </c>
      <c r="L50" s="2069">
        <v>0</v>
      </c>
      <c r="M50" s="2069">
        <v>17.216999999999999</v>
      </c>
      <c r="N50" s="2071">
        <v>0.60399999999999998</v>
      </c>
      <c r="O50" s="2069">
        <v>0.60399999999999998</v>
      </c>
      <c r="P50" s="2069">
        <v>17.216999999999999</v>
      </c>
      <c r="Q50" s="2070">
        <v>0</v>
      </c>
      <c r="R50" s="2070">
        <v>3.5081605390021489E-2</v>
      </c>
      <c r="S50" s="2078">
        <v>3.5081605390021489E-2</v>
      </c>
      <c r="T50" s="2077">
        <v>66</v>
      </c>
      <c r="U50" s="1686">
        <v>0</v>
      </c>
      <c r="V50" s="1686">
        <v>16.439</v>
      </c>
      <c r="W50" s="1686">
        <v>2.1389999999999998</v>
      </c>
      <c r="X50" s="1686">
        <v>2.1909999999999998</v>
      </c>
      <c r="Y50" s="1686">
        <v>16.439</v>
      </c>
      <c r="Z50" s="2072">
        <v>0</v>
      </c>
      <c r="AA50" s="2072">
        <v>0.13815889860204095</v>
      </c>
      <c r="AB50" s="2093">
        <v>0.13815889860204095</v>
      </c>
    </row>
    <row r="51" spans="2:28">
      <c r="B51" s="89">
        <v>67</v>
      </c>
      <c r="C51" s="1"/>
      <c r="D51" s="1">
        <v>15.260999999999999</v>
      </c>
      <c r="E51" s="1">
        <v>3.6779999999999999</v>
      </c>
      <c r="F51" s="1">
        <v>3.778</v>
      </c>
      <c r="G51" s="1">
        <v>15.260999999999999</v>
      </c>
      <c r="H51" s="741">
        <v>0</v>
      </c>
      <c r="I51" s="741">
        <v>0.24755913767118801</v>
      </c>
      <c r="J51" s="2078">
        <v>0.24755913767118801</v>
      </c>
      <c r="K51" s="89">
        <v>67</v>
      </c>
      <c r="L51" s="1">
        <v>0</v>
      </c>
      <c r="M51" s="1">
        <v>16.803000000000001</v>
      </c>
      <c r="N51" s="1419">
        <v>0.58599999999999997</v>
      </c>
      <c r="O51" s="1">
        <v>0.58599999999999997</v>
      </c>
      <c r="P51" s="1">
        <v>16.803000000000001</v>
      </c>
      <c r="Q51" s="741">
        <v>0</v>
      </c>
      <c r="R51" s="741">
        <v>3.4874724751532464E-2</v>
      </c>
      <c r="S51" s="2079">
        <v>3.4874724751532464E-2</v>
      </c>
      <c r="T51" s="89">
        <v>67</v>
      </c>
      <c r="U51" s="740">
        <v>0</v>
      </c>
      <c r="V51" s="740">
        <v>16.032</v>
      </c>
      <c r="W51" s="740">
        <v>2.1320000000000001</v>
      </c>
      <c r="X51" s="740">
        <v>2.1819999999999999</v>
      </c>
      <c r="Y51" s="740">
        <v>16.032</v>
      </c>
      <c r="Z51" s="2067">
        <v>0</v>
      </c>
      <c r="AA51" s="2067">
        <v>0.14121693121136022</v>
      </c>
      <c r="AB51" s="2094">
        <v>0.14121693121136022</v>
      </c>
    </row>
    <row r="52" spans="2:28">
      <c r="B52" s="2077">
        <v>68</v>
      </c>
      <c r="C52" s="2069"/>
      <c r="D52" s="2069">
        <v>14.851000000000001</v>
      </c>
      <c r="E52" s="2069">
        <v>3.68</v>
      </c>
      <c r="F52" s="2069">
        <v>3.7770000000000001</v>
      </c>
      <c r="G52" s="2069">
        <v>14.851000000000001</v>
      </c>
      <c r="H52" s="2070">
        <v>0</v>
      </c>
      <c r="I52" s="2070">
        <v>0.25432630799272776</v>
      </c>
      <c r="J52" s="2078">
        <v>0.25432630799272776</v>
      </c>
      <c r="K52" s="2077">
        <v>68</v>
      </c>
      <c r="L52" s="2069">
        <v>0</v>
      </c>
      <c r="M52" s="2069">
        <v>16.378</v>
      </c>
      <c r="N52" s="2071">
        <v>0.56699999999999995</v>
      </c>
      <c r="O52" s="2069">
        <v>0.56699999999999995</v>
      </c>
      <c r="P52" s="2069">
        <v>16.378</v>
      </c>
      <c r="Q52" s="2070">
        <v>0</v>
      </c>
      <c r="R52" s="2070">
        <v>3.4619611674197089E-2</v>
      </c>
      <c r="S52" s="2078">
        <v>3.4619611674197089E-2</v>
      </c>
      <c r="T52" s="2077">
        <v>68</v>
      </c>
      <c r="U52" s="1686">
        <v>0</v>
      </c>
      <c r="V52" s="1686">
        <v>15.6145</v>
      </c>
      <c r="W52" s="1686">
        <v>2.1234999999999999</v>
      </c>
      <c r="X52" s="1686">
        <v>2.1720000000000002</v>
      </c>
      <c r="Y52" s="1686">
        <v>15.6145</v>
      </c>
      <c r="Z52" s="2072">
        <v>0</v>
      </c>
      <c r="AA52" s="2072">
        <v>0.14447295983346242</v>
      </c>
      <c r="AB52" s="2093">
        <v>0.14447295983346242</v>
      </c>
    </row>
    <row r="53" spans="2:28">
      <c r="B53" s="89">
        <v>69</v>
      </c>
      <c r="C53" s="1"/>
      <c r="D53" s="1">
        <v>14.432</v>
      </c>
      <c r="E53" s="1">
        <v>3.681</v>
      </c>
      <c r="F53" s="1">
        <v>3.7730000000000001</v>
      </c>
      <c r="G53" s="1">
        <v>14.432</v>
      </c>
      <c r="H53" s="741">
        <v>0</v>
      </c>
      <c r="I53" s="741">
        <v>0.26143292682926828</v>
      </c>
      <c r="J53" s="2078">
        <v>0.26143292682926828</v>
      </c>
      <c r="K53" s="89">
        <v>69</v>
      </c>
      <c r="L53" s="1">
        <v>0</v>
      </c>
      <c r="M53" s="1">
        <v>15.94</v>
      </c>
      <c r="N53" s="1419">
        <v>0.54900000000000004</v>
      </c>
      <c r="O53" s="1">
        <v>0.54900000000000004</v>
      </c>
      <c r="P53" s="1">
        <v>15.94</v>
      </c>
      <c r="Q53" s="741">
        <v>0</v>
      </c>
      <c r="R53" s="741">
        <v>3.4441656210790469E-2</v>
      </c>
      <c r="S53" s="2079">
        <v>3.4441656210790469E-2</v>
      </c>
      <c r="T53" s="89">
        <v>69</v>
      </c>
      <c r="U53" s="740">
        <v>0</v>
      </c>
      <c r="V53" s="740">
        <v>15.186</v>
      </c>
      <c r="W53" s="740">
        <v>2.1150000000000002</v>
      </c>
      <c r="X53" s="740">
        <v>2.161</v>
      </c>
      <c r="Y53" s="740">
        <v>15.186</v>
      </c>
      <c r="Z53" s="2067">
        <v>0</v>
      </c>
      <c r="AA53" s="2067">
        <v>0.14793729152002938</v>
      </c>
      <c r="AB53" s="2094">
        <v>0.14793729152002938</v>
      </c>
    </row>
    <row r="54" spans="2:28">
      <c r="B54" s="2077">
        <v>70</v>
      </c>
      <c r="C54" s="2069"/>
      <c r="D54" s="2069">
        <v>14.002000000000001</v>
      </c>
      <c r="E54" s="2069">
        <v>3.6789999999999998</v>
      </c>
      <c r="F54" s="2069">
        <v>3.7669999999999999</v>
      </c>
      <c r="G54" s="2069">
        <v>14.002000000000001</v>
      </c>
      <c r="H54" s="2070">
        <v>0</v>
      </c>
      <c r="I54" s="2070">
        <v>0.26903299528638763</v>
      </c>
      <c r="J54" s="2078">
        <v>0.26903299528638763</v>
      </c>
      <c r="K54" s="2077">
        <v>70</v>
      </c>
      <c r="L54" s="2069">
        <v>0</v>
      </c>
      <c r="M54" s="2069">
        <v>15.49</v>
      </c>
      <c r="N54" s="2071">
        <v>0.53</v>
      </c>
      <c r="O54" s="2069">
        <v>0.53</v>
      </c>
      <c r="P54" s="2069">
        <v>15.49</v>
      </c>
      <c r="Q54" s="2070">
        <v>0</v>
      </c>
      <c r="R54" s="2070">
        <v>3.4215622982569402E-2</v>
      </c>
      <c r="S54" s="2078">
        <v>3.4215622982569402E-2</v>
      </c>
      <c r="T54" s="2077">
        <v>70</v>
      </c>
      <c r="U54" s="1686">
        <v>0</v>
      </c>
      <c r="V54" s="1686">
        <v>14.746</v>
      </c>
      <c r="W54" s="1686">
        <v>2.1044999999999998</v>
      </c>
      <c r="X54" s="1686">
        <v>2.1484999999999999</v>
      </c>
      <c r="Y54" s="1686">
        <v>14.746</v>
      </c>
      <c r="Z54" s="2072">
        <v>0</v>
      </c>
      <c r="AA54" s="2072">
        <v>0.15162430913447852</v>
      </c>
      <c r="AB54" s="2093">
        <v>0.15162430913447852</v>
      </c>
    </row>
    <row r="55" spans="2:28">
      <c r="B55" s="89">
        <v>71</v>
      </c>
      <c r="C55" s="1"/>
      <c r="D55" s="1">
        <v>13.561999999999999</v>
      </c>
      <c r="E55" s="1">
        <v>3.6749999999999998</v>
      </c>
      <c r="F55" s="1">
        <v>3.758</v>
      </c>
      <c r="G55" s="1">
        <v>13.561999999999999</v>
      </c>
      <c r="H55" s="741">
        <v>0</v>
      </c>
      <c r="I55" s="741">
        <v>0.277097773189795</v>
      </c>
      <c r="J55" s="2078">
        <v>0.277097773189795</v>
      </c>
      <c r="K55" s="89">
        <v>71</v>
      </c>
      <c r="L55" s="1">
        <v>0</v>
      </c>
      <c r="M55" s="1">
        <v>15.026</v>
      </c>
      <c r="N55" s="1419">
        <v>0.51</v>
      </c>
      <c r="O55" s="1">
        <v>0.51</v>
      </c>
      <c r="P55" s="1">
        <v>15.026</v>
      </c>
      <c r="Q55" s="741">
        <v>0</v>
      </c>
      <c r="R55" s="741">
        <v>3.3941168641022229E-2</v>
      </c>
      <c r="S55" s="2079">
        <v>3.3941168641022229E-2</v>
      </c>
      <c r="T55" s="89">
        <v>71</v>
      </c>
      <c r="U55" s="740">
        <v>0</v>
      </c>
      <c r="V55" s="740">
        <v>14.294</v>
      </c>
      <c r="W55" s="740">
        <v>2.0924999999999998</v>
      </c>
      <c r="X55" s="740">
        <v>2.1339999999999999</v>
      </c>
      <c r="Y55" s="740">
        <v>14.294</v>
      </c>
      <c r="Z55" s="2067">
        <v>0</v>
      </c>
      <c r="AA55" s="2067">
        <v>0.15551947091540863</v>
      </c>
      <c r="AB55" s="2094">
        <v>0.15551947091540863</v>
      </c>
    </row>
    <row r="56" spans="2:28">
      <c r="B56" s="2077">
        <v>72</v>
      </c>
      <c r="C56" s="2069"/>
      <c r="D56" s="2069">
        <v>13.111000000000001</v>
      </c>
      <c r="E56" s="2069">
        <v>3.669</v>
      </c>
      <c r="F56" s="2069">
        <v>3.7469999999999999</v>
      </c>
      <c r="G56" s="2069">
        <v>13.111000000000001</v>
      </c>
      <c r="H56" s="2070">
        <v>0</v>
      </c>
      <c r="I56" s="2070">
        <v>0.28579055754709781</v>
      </c>
      <c r="J56" s="2078">
        <v>0.28579055754709781</v>
      </c>
      <c r="K56" s="2077">
        <v>72</v>
      </c>
      <c r="L56" s="2069">
        <v>0</v>
      </c>
      <c r="M56" s="2069">
        <v>14.55</v>
      </c>
      <c r="N56" s="2071">
        <v>0.49099999999999999</v>
      </c>
      <c r="O56" s="2069">
        <v>0.49099999999999999</v>
      </c>
      <c r="P56" s="2069">
        <v>14.55</v>
      </c>
      <c r="Q56" s="2070">
        <v>0</v>
      </c>
      <c r="R56" s="2070">
        <v>3.3745704467353949E-2</v>
      </c>
      <c r="S56" s="2078">
        <v>3.3745704467353949E-2</v>
      </c>
      <c r="T56" s="2077">
        <v>72</v>
      </c>
      <c r="U56" s="1686">
        <v>0</v>
      </c>
      <c r="V56" s="1686">
        <v>13.830500000000001</v>
      </c>
      <c r="W56" s="1686">
        <v>2.08</v>
      </c>
      <c r="X56" s="1686">
        <v>2.1189999999999998</v>
      </c>
      <c r="Y56" s="1686">
        <v>13.830500000000001</v>
      </c>
      <c r="Z56" s="2072">
        <v>0</v>
      </c>
      <c r="AA56" s="2072">
        <v>0.15976813100722587</v>
      </c>
      <c r="AB56" s="2093">
        <v>0.15976813100722587</v>
      </c>
    </row>
    <row r="57" spans="2:28">
      <c r="B57" s="89">
        <v>73</v>
      </c>
      <c r="C57" s="1"/>
      <c r="D57" s="1">
        <v>12.65</v>
      </c>
      <c r="E57" s="1">
        <v>3.6669999999999998</v>
      </c>
      <c r="F57" s="1">
        <v>3.7389999999999999</v>
      </c>
      <c r="G57" s="1">
        <v>12.65</v>
      </c>
      <c r="H57" s="741">
        <v>0</v>
      </c>
      <c r="I57" s="741">
        <v>0.29557312252964424</v>
      </c>
      <c r="J57" s="2078">
        <v>0.29557312252964424</v>
      </c>
      <c r="K57" s="89">
        <v>73</v>
      </c>
      <c r="L57" s="1">
        <v>0</v>
      </c>
      <c r="M57" s="1">
        <v>14.061999999999999</v>
      </c>
      <c r="N57" s="1419">
        <v>0.47199999999999998</v>
      </c>
      <c r="O57" s="1">
        <v>0.47199999999999998</v>
      </c>
      <c r="P57" s="1">
        <v>14.061999999999999</v>
      </c>
      <c r="Q57" s="741">
        <v>0</v>
      </c>
      <c r="R57" s="741">
        <v>3.3565637889347175E-2</v>
      </c>
      <c r="S57" s="2079">
        <v>3.3565637889347175E-2</v>
      </c>
      <c r="T57" s="89">
        <v>73</v>
      </c>
      <c r="U57" s="740">
        <v>0</v>
      </c>
      <c r="V57" s="740">
        <v>13.356</v>
      </c>
      <c r="W57" s="740">
        <v>2.0694999999999997</v>
      </c>
      <c r="X57" s="740">
        <v>2.1055000000000001</v>
      </c>
      <c r="Y57" s="740">
        <v>13.356</v>
      </c>
      <c r="Z57" s="2067">
        <v>0</v>
      </c>
      <c r="AA57" s="2067">
        <v>0.16456938020949571</v>
      </c>
      <c r="AB57" s="2094">
        <v>0.16456938020949571</v>
      </c>
    </row>
    <row r="58" spans="2:28">
      <c r="B58" s="2077">
        <v>74</v>
      </c>
      <c r="C58" s="2069"/>
      <c r="D58" s="2069">
        <v>12.18</v>
      </c>
      <c r="E58" s="2069">
        <v>3.6619999999999999</v>
      </c>
      <c r="F58" s="2069">
        <v>3.7290000000000001</v>
      </c>
      <c r="G58" s="2069">
        <v>12.18</v>
      </c>
      <c r="H58" s="2070">
        <v>0</v>
      </c>
      <c r="I58" s="2070">
        <v>0.3061576354679803</v>
      </c>
      <c r="J58" s="2078">
        <v>0.3061576354679803</v>
      </c>
      <c r="K58" s="2077">
        <v>74</v>
      </c>
      <c r="L58" s="2069">
        <v>0</v>
      </c>
      <c r="M58" s="2069">
        <v>13.561999999999999</v>
      </c>
      <c r="N58" s="2071">
        <v>0.45300000000000001</v>
      </c>
      <c r="O58" s="2069">
        <v>0.45300000000000001</v>
      </c>
      <c r="P58" s="2069">
        <v>13.561999999999999</v>
      </c>
      <c r="Q58" s="2070">
        <v>0</v>
      </c>
      <c r="R58" s="2070">
        <v>3.3402153074767738E-2</v>
      </c>
      <c r="S58" s="2078">
        <v>3.3402153074767738E-2</v>
      </c>
      <c r="T58" s="2077">
        <v>74</v>
      </c>
      <c r="U58" s="1686">
        <v>0</v>
      </c>
      <c r="V58" s="1686">
        <v>12.870999999999999</v>
      </c>
      <c r="W58" s="1686">
        <v>2.0575000000000001</v>
      </c>
      <c r="X58" s="1686">
        <v>2.0910000000000002</v>
      </c>
      <c r="Y58" s="1686">
        <v>12.870999999999999</v>
      </c>
      <c r="Z58" s="2072">
        <v>0</v>
      </c>
      <c r="AA58" s="2072">
        <v>0.16977989427137402</v>
      </c>
      <c r="AB58" s="2093">
        <v>0.16977989427137402</v>
      </c>
    </row>
    <row r="59" spans="2:28">
      <c r="B59" s="89">
        <v>75</v>
      </c>
      <c r="C59" s="1"/>
      <c r="D59" s="1">
        <v>11.701000000000001</v>
      </c>
      <c r="E59" s="1">
        <v>3.6549999999999998</v>
      </c>
      <c r="F59" s="1">
        <v>3.7160000000000002</v>
      </c>
      <c r="G59" s="1">
        <v>11.701000000000001</v>
      </c>
      <c r="H59" s="741">
        <v>0</v>
      </c>
      <c r="I59" s="741">
        <v>0.31757969404324415</v>
      </c>
      <c r="J59" s="2078">
        <v>0.31757969404324415</v>
      </c>
      <c r="K59" s="89">
        <v>75</v>
      </c>
      <c r="L59" s="1">
        <v>0</v>
      </c>
      <c r="M59" s="1">
        <v>13.051</v>
      </c>
      <c r="N59" s="1419">
        <v>0.434</v>
      </c>
      <c r="O59" s="1">
        <v>0.434</v>
      </c>
      <c r="P59" s="1">
        <v>13.051</v>
      </c>
      <c r="Q59" s="741">
        <v>0</v>
      </c>
      <c r="R59" s="741">
        <v>3.3254156769596199E-2</v>
      </c>
      <c r="S59" s="2079">
        <v>3.3254156769596199E-2</v>
      </c>
      <c r="T59" s="89">
        <v>75</v>
      </c>
      <c r="U59" s="740">
        <v>0</v>
      </c>
      <c r="V59" s="740">
        <v>12.376000000000001</v>
      </c>
      <c r="W59" s="740">
        <v>2.0444999999999998</v>
      </c>
      <c r="X59" s="740">
        <v>2.0750000000000002</v>
      </c>
      <c r="Y59" s="740">
        <v>12.376000000000001</v>
      </c>
      <c r="Z59" s="2067">
        <v>0</v>
      </c>
      <c r="AA59" s="2067">
        <v>0.17541692540642018</v>
      </c>
      <c r="AB59" s="2094">
        <v>0.17541692540642018</v>
      </c>
    </row>
    <row r="60" spans="2:28">
      <c r="B60" s="2077">
        <v>76</v>
      </c>
      <c r="C60" s="2069"/>
      <c r="D60" s="2069">
        <v>11.215</v>
      </c>
      <c r="E60" s="2069">
        <v>3.6429999999999998</v>
      </c>
      <c r="F60" s="2069">
        <v>3.698</v>
      </c>
      <c r="G60" s="2069">
        <v>11.215</v>
      </c>
      <c r="H60" s="2070">
        <v>0</v>
      </c>
      <c r="I60" s="2070">
        <v>0.32973695942933573</v>
      </c>
      <c r="J60" s="2078">
        <v>0.32973695942933573</v>
      </c>
      <c r="K60" s="2077">
        <v>76</v>
      </c>
      <c r="L60" s="2069">
        <v>0</v>
      </c>
      <c r="M60" s="2069">
        <v>12.531000000000001</v>
      </c>
      <c r="N60" s="2071">
        <v>0.41399999999999998</v>
      </c>
      <c r="O60" s="2069">
        <v>0.41399999999999998</v>
      </c>
      <c r="P60" s="2069">
        <v>12.531000000000001</v>
      </c>
      <c r="Q60" s="2070">
        <v>0</v>
      </c>
      <c r="R60" s="2070">
        <v>3.3038065597318644E-2</v>
      </c>
      <c r="S60" s="2078">
        <v>3.3038065597318644E-2</v>
      </c>
      <c r="T60" s="2077">
        <v>76</v>
      </c>
      <c r="U60" s="1686">
        <v>0</v>
      </c>
      <c r="V60" s="1686">
        <v>11.873000000000001</v>
      </c>
      <c r="W60" s="1686">
        <v>2.0284999999999997</v>
      </c>
      <c r="X60" s="1686">
        <v>2.056</v>
      </c>
      <c r="Y60" s="1686">
        <v>11.873000000000001</v>
      </c>
      <c r="Z60" s="2072">
        <v>0</v>
      </c>
      <c r="AA60" s="2072">
        <v>0.18138751251332719</v>
      </c>
      <c r="AB60" s="2093">
        <v>0.18138751251332719</v>
      </c>
    </row>
    <row r="61" spans="2:28">
      <c r="B61" s="89">
        <v>77</v>
      </c>
      <c r="C61" s="1"/>
      <c r="D61" s="1">
        <v>10.724</v>
      </c>
      <c r="E61" s="1">
        <v>3.625</v>
      </c>
      <c r="F61" s="1">
        <v>3.6749999999999998</v>
      </c>
      <c r="G61" s="1">
        <v>10.724</v>
      </c>
      <c r="H61" s="741">
        <v>0</v>
      </c>
      <c r="I61" s="741">
        <v>0.34268929503916445</v>
      </c>
      <c r="J61" s="2078">
        <v>0.34268929503916445</v>
      </c>
      <c r="K61" s="89">
        <v>77</v>
      </c>
      <c r="L61" s="1">
        <v>0</v>
      </c>
      <c r="M61" s="1">
        <v>12.003</v>
      </c>
      <c r="N61" s="1419">
        <v>0.39300000000000002</v>
      </c>
      <c r="O61" s="1">
        <v>0.39300000000000002</v>
      </c>
      <c r="P61" s="1">
        <v>12.003</v>
      </c>
      <c r="Q61" s="741">
        <v>0</v>
      </c>
      <c r="R61" s="741">
        <v>3.2741814546363407E-2</v>
      </c>
      <c r="S61" s="2079">
        <v>3.2741814546363407E-2</v>
      </c>
      <c r="T61" s="89">
        <v>77</v>
      </c>
      <c r="U61" s="740">
        <v>0</v>
      </c>
      <c r="V61" s="740">
        <v>11.3635</v>
      </c>
      <c r="W61" s="740">
        <v>2.0089999999999999</v>
      </c>
      <c r="X61" s="740">
        <v>2.0339999999999998</v>
      </c>
      <c r="Y61" s="740">
        <v>11.3635</v>
      </c>
      <c r="Z61" s="2067">
        <v>0</v>
      </c>
      <c r="AA61" s="2067">
        <v>0.18771555479276392</v>
      </c>
      <c r="AB61" s="2094">
        <v>0.18771555479276392</v>
      </c>
    </row>
    <row r="62" spans="2:28">
      <c r="B62" s="2077">
        <v>78</v>
      </c>
      <c r="C62" s="2069"/>
      <c r="D62" s="2069">
        <v>10.228999999999999</v>
      </c>
      <c r="E62" s="2069">
        <v>3.601</v>
      </c>
      <c r="F62" s="2069">
        <v>3.645</v>
      </c>
      <c r="G62" s="2069">
        <v>10.228999999999999</v>
      </c>
      <c r="H62" s="2070">
        <v>0</v>
      </c>
      <c r="I62" s="2070">
        <v>0.35633981816404342</v>
      </c>
      <c r="J62" s="2078">
        <v>0.35633981816404342</v>
      </c>
      <c r="K62" s="2077">
        <v>78</v>
      </c>
      <c r="L62" s="2069">
        <v>0</v>
      </c>
      <c r="M62" s="2069">
        <v>11.47</v>
      </c>
      <c r="N62" s="2071">
        <v>0.371</v>
      </c>
      <c r="O62" s="2069">
        <v>0.371</v>
      </c>
      <c r="P62" s="2069">
        <v>11.47</v>
      </c>
      <c r="Q62" s="2070">
        <v>0</v>
      </c>
      <c r="R62" s="2070">
        <v>3.2345248474280733E-2</v>
      </c>
      <c r="S62" s="2078">
        <v>3.2345248474280733E-2</v>
      </c>
      <c r="T62" s="2077">
        <v>78</v>
      </c>
      <c r="U62" s="1686">
        <v>0</v>
      </c>
      <c r="V62" s="1686">
        <v>10.849499999999999</v>
      </c>
      <c r="W62" s="1686">
        <v>1.986</v>
      </c>
      <c r="X62" s="1686">
        <v>2.008</v>
      </c>
      <c r="Y62" s="1686">
        <v>10.849499999999999</v>
      </c>
      <c r="Z62" s="2072">
        <v>0</v>
      </c>
      <c r="AA62" s="2072">
        <v>0.19434253331916207</v>
      </c>
      <c r="AB62" s="2093">
        <v>0.19434253331916207</v>
      </c>
    </row>
    <row r="63" spans="2:28">
      <c r="B63" s="89">
        <v>79</v>
      </c>
      <c r="C63" s="1"/>
      <c r="D63" s="1">
        <v>9.7330000000000005</v>
      </c>
      <c r="E63" s="1">
        <v>3.57</v>
      </c>
      <c r="F63" s="1">
        <v>3.6070000000000002</v>
      </c>
      <c r="G63" s="1">
        <v>9.7330000000000005</v>
      </c>
      <c r="H63" s="741">
        <v>0</v>
      </c>
      <c r="I63" s="741">
        <v>0.37059488338641733</v>
      </c>
      <c r="J63" s="2078">
        <v>0.37059488338641733</v>
      </c>
      <c r="K63" s="89">
        <v>79</v>
      </c>
      <c r="L63" s="1">
        <v>0</v>
      </c>
      <c r="M63" s="1">
        <v>10.932</v>
      </c>
      <c r="N63" s="1419">
        <v>0.34899999999999998</v>
      </c>
      <c r="O63" s="1">
        <v>0.34899999999999998</v>
      </c>
      <c r="P63" s="1">
        <v>10.932</v>
      </c>
      <c r="Q63" s="741">
        <v>0</v>
      </c>
      <c r="R63" s="741">
        <v>3.1924624954262709E-2</v>
      </c>
      <c r="S63" s="2079">
        <v>3.1924624954262709E-2</v>
      </c>
      <c r="T63" s="89">
        <v>79</v>
      </c>
      <c r="U63" s="740">
        <v>0</v>
      </c>
      <c r="V63" s="740">
        <v>10.3325</v>
      </c>
      <c r="W63" s="740">
        <v>1.9594999999999998</v>
      </c>
      <c r="X63" s="740">
        <v>1.9780000000000002</v>
      </c>
      <c r="Y63" s="740">
        <v>10.3325</v>
      </c>
      <c r="Z63" s="2067">
        <v>0</v>
      </c>
      <c r="AA63" s="2067">
        <v>0.20125975417034003</v>
      </c>
      <c r="AB63" s="2094">
        <v>0.20125975417034003</v>
      </c>
    </row>
    <row r="64" spans="2:28">
      <c r="B64" s="2077">
        <v>80</v>
      </c>
      <c r="C64" s="2069"/>
      <c r="D64" s="2069">
        <v>9.2379999999999995</v>
      </c>
      <c r="E64" s="2069">
        <v>3.5310000000000001</v>
      </c>
      <c r="F64" s="2069">
        <v>3.5619999999999998</v>
      </c>
      <c r="G64" s="2069">
        <v>9.2379999999999995</v>
      </c>
      <c r="H64" s="2070">
        <v>0</v>
      </c>
      <c r="I64" s="2070">
        <v>0.38558129465252217</v>
      </c>
      <c r="J64" s="2078">
        <v>0.38558129465252217</v>
      </c>
      <c r="K64" s="2077">
        <v>80</v>
      </c>
      <c r="L64" s="2069">
        <v>0</v>
      </c>
      <c r="M64" s="2069">
        <v>10.391999999999999</v>
      </c>
      <c r="N64" s="2071">
        <v>0.32700000000000001</v>
      </c>
      <c r="O64" s="2069">
        <v>0.32700000000000001</v>
      </c>
      <c r="P64" s="2069">
        <v>10.391999999999999</v>
      </c>
      <c r="Q64" s="2070">
        <v>0</v>
      </c>
      <c r="R64" s="2070">
        <v>3.1466512702078522E-2</v>
      </c>
      <c r="S64" s="2078">
        <v>3.1466512702078522E-2</v>
      </c>
      <c r="T64" s="2077">
        <v>80</v>
      </c>
      <c r="U64" s="1686">
        <v>0</v>
      </c>
      <c r="V64" s="1686">
        <v>9.8149999999999995</v>
      </c>
      <c r="W64" s="1686">
        <v>1.929</v>
      </c>
      <c r="X64" s="1686">
        <v>1.9444999999999999</v>
      </c>
      <c r="Y64" s="1686">
        <v>9.8149999999999995</v>
      </c>
      <c r="Z64" s="2072">
        <v>0</v>
      </c>
      <c r="AA64" s="2072">
        <v>0.20852390367730034</v>
      </c>
      <c r="AB64" s="2093">
        <v>0.20852390367730034</v>
      </c>
    </row>
    <row r="65" spans="2:28">
      <c r="B65" s="89">
        <v>81</v>
      </c>
      <c r="C65" s="1"/>
      <c r="D65" s="1">
        <v>8.7469999999999999</v>
      </c>
      <c r="E65" s="1">
        <v>3.4820000000000002</v>
      </c>
      <c r="F65" s="1">
        <v>3.5070000000000001</v>
      </c>
      <c r="G65" s="1">
        <v>8.7469999999999999</v>
      </c>
      <c r="H65" s="741">
        <v>0</v>
      </c>
      <c r="I65" s="741">
        <v>0.40093746427346522</v>
      </c>
      <c r="J65" s="2078">
        <v>0.40093746427346522</v>
      </c>
      <c r="K65" s="89">
        <v>81</v>
      </c>
      <c r="L65" s="1">
        <v>0</v>
      </c>
      <c r="M65" s="1">
        <v>9.8529999999999998</v>
      </c>
      <c r="N65" s="1419">
        <v>0.30399999999999999</v>
      </c>
      <c r="O65" s="1">
        <v>0.30399999999999999</v>
      </c>
      <c r="P65" s="1">
        <v>9.8529999999999998</v>
      </c>
      <c r="Q65" s="741">
        <v>0</v>
      </c>
      <c r="R65" s="741">
        <v>3.0853547143002133E-2</v>
      </c>
      <c r="S65" s="2079">
        <v>3.0853547143002133E-2</v>
      </c>
      <c r="T65" s="89">
        <v>81</v>
      </c>
      <c r="U65" s="740">
        <v>0</v>
      </c>
      <c r="V65" s="740">
        <v>9.3000000000000007</v>
      </c>
      <c r="W65" s="740">
        <v>1.893</v>
      </c>
      <c r="X65" s="740">
        <v>1.9055</v>
      </c>
      <c r="Y65" s="740">
        <v>9.3000000000000007</v>
      </c>
      <c r="Z65" s="2067">
        <v>0</v>
      </c>
      <c r="AA65" s="2067">
        <v>0.21589550570823368</v>
      </c>
      <c r="AB65" s="2094">
        <v>0.21589550570823368</v>
      </c>
    </row>
    <row r="66" spans="2:28">
      <c r="B66" s="2077">
        <v>82</v>
      </c>
      <c r="C66" s="2069"/>
      <c r="D66" s="2069">
        <v>8.2629999999999999</v>
      </c>
      <c r="E66" s="2069">
        <v>3.4089999999999998</v>
      </c>
      <c r="F66" s="2069">
        <v>3.4260000000000002</v>
      </c>
      <c r="G66" s="2069">
        <v>8.2629999999999999</v>
      </c>
      <c r="H66" s="2070">
        <v>0</v>
      </c>
      <c r="I66" s="2070">
        <v>0.41461938763161083</v>
      </c>
      <c r="J66" s="2078">
        <v>0.41461938763161083</v>
      </c>
      <c r="K66" s="2077">
        <v>82</v>
      </c>
      <c r="L66" s="2069">
        <v>0</v>
      </c>
      <c r="M66" s="2069">
        <v>9.3179999999999996</v>
      </c>
      <c r="N66" s="2071">
        <v>0.28100000000000003</v>
      </c>
      <c r="O66" s="2069">
        <v>0.28100000000000003</v>
      </c>
      <c r="P66" s="2069">
        <v>9.3179999999999996</v>
      </c>
      <c r="Q66" s="2070">
        <v>0</v>
      </c>
      <c r="R66" s="2070">
        <v>3.0156685984116766E-2</v>
      </c>
      <c r="S66" s="2078">
        <v>3.0156685984116766E-2</v>
      </c>
      <c r="T66" s="2077">
        <v>82</v>
      </c>
      <c r="U66" s="1686">
        <v>0</v>
      </c>
      <c r="V66" s="1686">
        <v>8.7904999999999998</v>
      </c>
      <c r="W66" s="1686">
        <v>1.845</v>
      </c>
      <c r="X66" s="1686">
        <v>1.8535000000000001</v>
      </c>
      <c r="Y66" s="1686">
        <v>8.7904999999999998</v>
      </c>
      <c r="Z66" s="2072">
        <v>0</v>
      </c>
      <c r="AA66" s="2072">
        <v>0.22238803680786379</v>
      </c>
      <c r="AB66" s="2093">
        <v>0.22238803680786379</v>
      </c>
    </row>
    <row r="67" spans="2:28">
      <c r="B67" s="89">
        <v>83</v>
      </c>
      <c r="C67" s="1"/>
      <c r="D67" s="1">
        <v>7.7880000000000003</v>
      </c>
      <c r="E67" s="1">
        <v>3.3220000000000001</v>
      </c>
      <c r="F67" s="1">
        <v>3.3330000000000002</v>
      </c>
      <c r="G67" s="1">
        <v>7.7880000000000003</v>
      </c>
      <c r="H67" s="741">
        <v>0</v>
      </c>
      <c r="I67" s="741">
        <v>0.42796610169491528</v>
      </c>
      <c r="J67" s="2078">
        <v>0.42796610169491528</v>
      </c>
      <c r="K67" s="89">
        <v>83</v>
      </c>
      <c r="L67" s="1">
        <v>0</v>
      </c>
      <c r="M67" s="1">
        <v>8.7889999999999997</v>
      </c>
      <c r="N67" s="1419">
        <v>0.25800000000000001</v>
      </c>
      <c r="O67" s="1">
        <v>0.25800000000000001</v>
      </c>
      <c r="P67" s="1">
        <v>8.7889999999999997</v>
      </c>
      <c r="Q67" s="741">
        <v>0</v>
      </c>
      <c r="R67" s="741">
        <v>2.9354875412447381E-2</v>
      </c>
      <c r="S67" s="2079">
        <v>2.9354875412447381E-2</v>
      </c>
      <c r="T67" s="89">
        <v>83</v>
      </c>
      <c r="U67" s="740">
        <v>0</v>
      </c>
      <c r="V67" s="740">
        <v>8.2884999999999991</v>
      </c>
      <c r="W67" s="740">
        <v>1.79</v>
      </c>
      <c r="X67" s="740">
        <v>1.7955000000000001</v>
      </c>
      <c r="Y67" s="740">
        <v>8.2884999999999991</v>
      </c>
      <c r="Z67" s="2067">
        <v>0</v>
      </c>
      <c r="AA67" s="2067">
        <v>0.22866048855368132</v>
      </c>
      <c r="AB67" s="2094">
        <v>0.22866048855368132</v>
      </c>
    </row>
    <row r="68" spans="2:28">
      <c r="B68" s="2077">
        <v>84</v>
      </c>
      <c r="C68" s="2069"/>
      <c r="D68" s="2069">
        <v>7.327</v>
      </c>
      <c r="E68" s="2069">
        <v>3.2229999999999999</v>
      </c>
      <c r="F68" s="2069">
        <v>3.2280000000000002</v>
      </c>
      <c r="G68" s="2069">
        <v>7.327</v>
      </c>
      <c r="H68" s="2070">
        <v>0</v>
      </c>
      <c r="I68" s="2070">
        <v>0.44056230380783407</v>
      </c>
      <c r="J68" s="2078">
        <v>0.44056230380783407</v>
      </c>
      <c r="K68" s="2077">
        <v>84</v>
      </c>
      <c r="L68" s="2069">
        <v>0</v>
      </c>
      <c r="M68" s="2069">
        <v>8.2710000000000008</v>
      </c>
      <c r="N68" s="2071">
        <v>0.23499999999999999</v>
      </c>
      <c r="O68" s="2069">
        <v>0.23499999999999999</v>
      </c>
      <c r="P68" s="2069">
        <v>8.2710000000000008</v>
      </c>
      <c r="Q68" s="2070">
        <v>0</v>
      </c>
      <c r="R68" s="2070">
        <v>2.8412525692177483E-2</v>
      </c>
      <c r="S68" s="2078">
        <v>2.8412525692177483E-2</v>
      </c>
      <c r="T68" s="2077">
        <v>84</v>
      </c>
      <c r="U68" s="1686">
        <v>0</v>
      </c>
      <c r="V68" s="1686">
        <v>7.7990000000000004</v>
      </c>
      <c r="W68" s="1686">
        <v>1.7289999999999999</v>
      </c>
      <c r="X68" s="1686">
        <v>1.7315</v>
      </c>
      <c r="Y68" s="1686">
        <v>7.7990000000000004</v>
      </c>
      <c r="Z68" s="2072">
        <v>0</v>
      </c>
      <c r="AA68" s="2072">
        <v>0.23448741475000578</v>
      </c>
      <c r="AB68" s="2093">
        <v>0.23448741475000578</v>
      </c>
    </row>
    <row r="69" spans="2:28">
      <c r="B69" s="89">
        <v>85</v>
      </c>
      <c r="C69" s="1"/>
      <c r="D69" s="1">
        <v>6.883</v>
      </c>
      <c r="E69" s="1">
        <v>3.1139999999999999</v>
      </c>
      <c r="F69" s="1">
        <v>3.1139999999999999</v>
      </c>
      <c r="G69" s="1">
        <v>6.883</v>
      </c>
      <c r="H69" s="741">
        <v>0</v>
      </c>
      <c r="I69" s="741">
        <v>0.45241900334156615</v>
      </c>
      <c r="J69" s="2078">
        <v>0.45241900334156615</v>
      </c>
      <c r="K69" s="89">
        <v>85</v>
      </c>
      <c r="L69" s="1">
        <v>0</v>
      </c>
      <c r="M69" s="1">
        <v>7.7679999999999998</v>
      </c>
      <c r="N69" s="1419">
        <v>0.21</v>
      </c>
      <c r="O69" s="1">
        <v>0.21</v>
      </c>
      <c r="P69" s="1">
        <v>7.7679999999999998</v>
      </c>
      <c r="Q69" s="741">
        <v>0</v>
      </c>
      <c r="R69" s="741">
        <v>2.7033985581874358E-2</v>
      </c>
      <c r="S69" s="2079">
        <v>2.7033985581874358E-2</v>
      </c>
      <c r="T69" s="89">
        <v>85</v>
      </c>
      <c r="U69" s="740">
        <v>0</v>
      </c>
      <c r="V69" s="740">
        <v>7.3254999999999999</v>
      </c>
      <c r="W69" s="740">
        <v>1.6619999999999999</v>
      </c>
      <c r="X69" s="740">
        <v>1.6619999999999999</v>
      </c>
      <c r="Y69" s="740">
        <v>7.3254999999999999</v>
      </c>
      <c r="Z69" s="2067">
        <v>0</v>
      </c>
      <c r="AA69" s="2067">
        <v>0.23972649446172026</v>
      </c>
      <c r="AB69" s="2094">
        <v>0.23972649446172026</v>
      </c>
    </row>
    <row r="70" spans="2:28">
      <c r="B70" s="2077">
        <v>86</v>
      </c>
      <c r="C70" s="2069"/>
      <c r="D70" s="2069">
        <v>6.4619999999999997</v>
      </c>
      <c r="E70" s="2069">
        <v>2.9969999999999999</v>
      </c>
      <c r="F70" s="2069">
        <v>2.992</v>
      </c>
      <c r="G70" s="2069">
        <v>6.4619999999999997</v>
      </c>
      <c r="H70" s="2070">
        <v>0</v>
      </c>
      <c r="I70" s="2070">
        <v>0.46301454658000618</v>
      </c>
      <c r="J70" s="2078">
        <v>0.46301454658000618</v>
      </c>
      <c r="K70" s="2077">
        <v>86</v>
      </c>
      <c r="L70" s="2069">
        <v>0</v>
      </c>
      <c r="M70" s="2069">
        <v>7.2850000000000001</v>
      </c>
      <c r="N70" s="2071">
        <v>0.186</v>
      </c>
      <c r="O70" s="2069">
        <v>0.186</v>
      </c>
      <c r="P70" s="2069">
        <v>7.2850000000000001</v>
      </c>
      <c r="Q70" s="2070">
        <v>0</v>
      </c>
      <c r="R70" s="2070">
        <v>2.553191489361702E-2</v>
      </c>
      <c r="S70" s="2078">
        <v>2.553191489361702E-2</v>
      </c>
      <c r="T70" s="2077">
        <v>86</v>
      </c>
      <c r="U70" s="1686">
        <v>0</v>
      </c>
      <c r="V70" s="1686">
        <v>6.8734999999999999</v>
      </c>
      <c r="W70" s="1686">
        <v>1.5914999999999999</v>
      </c>
      <c r="X70" s="1686">
        <v>1.589</v>
      </c>
      <c r="Y70" s="1686">
        <v>6.8734999999999999</v>
      </c>
      <c r="Z70" s="2072">
        <v>0</v>
      </c>
      <c r="AA70" s="2072">
        <v>0.24427323073681159</v>
      </c>
      <c r="AB70" s="2093">
        <v>0.24427323073681159</v>
      </c>
    </row>
    <row r="71" spans="2:28">
      <c r="B71" s="89">
        <v>87</v>
      </c>
      <c r="C71" s="1"/>
      <c r="D71" s="1">
        <v>6.069</v>
      </c>
      <c r="E71" s="1">
        <v>2.8730000000000002</v>
      </c>
      <c r="F71" s="1">
        <v>2.8650000000000002</v>
      </c>
      <c r="G71" s="1">
        <v>6.069</v>
      </c>
      <c r="H71" s="741">
        <v>0</v>
      </c>
      <c r="I71" s="741">
        <v>0.47207118141374199</v>
      </c>
      <c r="J71" s="2078">
        <v>0.47207118141374199</v>
      </c>
      <c r="K71" s="89">
        <v>87</v>
      </c>
      <c r="L71" s="1">
        <v>0</v>
      </c>
      <c r="M71" s="1">
        <v>6.8259999999999996</v>
      </c>
      <c r="N71" s="1419">
        <v>0.16200000000000001</v>
      </c>
      <c r="O71" s="1">
        <v>0.16200000000000001</v>
      </c>
      <c r="P71" s="1">
        <v>6.8259999999999996</v>
      </c>
      <c r="Q71" s="741">
        <v>0</v>
      </c>
      <c r="R71" s="741">
        <v>2.3732786404922358E-2</v>
      </c>
      <c r="S71" s="2079">
        <v>2.3732786404922358E-2</v>
      </c>
      <c r="T71" s="89">
        <v>87</v>
      </c>
      <c r="U71" s="740">
        <v>0</v>
      </c>
      <c r="V71" s="740">
        <v>6.4474999999999998</v>
      </c>
      <c r="W71" s="740">
        <v>1.5175000000000001</v>
      </c>
      <c r="X71" s="740">
        <v>1.5135000000000001</v>
      </c>
      <c r="Y71" s="740">
        <v>6.4474999999999998</v>
      </c>
      <c r="Z71" s="2067">
        <v>0</v>
      </c>
      <c r="AA71" s="2067">
        <v>0.24790198390933219</v>
      </c>
      <c r="AB71" s="2094">
        <v>0.24790198390933219</v>
      </c>
    </row>
    <row r="72" spans="2:28">
      <c r="B72" s="2077">
        <v>88</v>
      </c>
      <c r="C72" s="2069"/>
      <c r="D72" s="2069">
        <v>5.7119999999999997</v>
      </c>
      <c r="E72" s="2069">
        <v>2.7149999999999999</v>
      </c>
      <c r="F72" s="2069">
        <v>2.7050000000000001</v>
      </c>
      <c r="G72" s="2069">
        <v>5.7119999999999997</v>
      </c>
      <c r="H72" s="2070">
        <v>0</v>
      </c>
      <c r="I72" s="2070">
        <v>0.47356442577030816</v>
      </c>
      <c r="J72" s="2078">
        <v>0.47356442577030816</v>
      </c>
      <c r="K72" s="2077">
        <v>88</v>
      </c>
      <c r="L72" s="2069">
        <v>0</v>
      </c>
      <c r="M72" s="2069">
        <v>6.3979999999999997</v>
      </c>
      <c r="N72" s="2071">
        <v>0.14000000000000001</v>
      </c>
      <c r="O72" s="2069">
        <v>0.14000000000000001</v>
      </c>
      <c r="P72" s="2069">
        <v>6.3979999999999997</v>
      </c>
      <c r="Q72" s="2070">
        <v>0</v>
      </c>
      <c r="R72" s="2070">
        <v>2.1881838074398252E-2</v>
      </c>
      <c r="S72" s="2078">
        <v>2.1881838074398252E-2</v>
      </c>
      <c r="T72" s="2077">
        <v>88</v>
      </c>
      <c r="U72" s="1686">
        <v>0</v>
      </c>
      <c r="V72" s="1686">
        <v>6.0549999999999997</v>
      </c>
      <c r="W72" s="1686">
        <v>1.4275</v>
      </c>
      <c r="X72" s="1686">
        <v>1.4225000000000001</v>
      </c>
      <c r="Y72" s="1686">
        <v>6.0549999999999997</v>
      </c>
      <c r="Z72" s="2072">
        <v>0</v>
      </c>
      <c r="AA72" s="2072">
        <v>0.24772313192235321</v>
      </c>
      <c r="AB72" s="2093">
        <v>0.24772313192235321</v>
      </c>
    </row>
    <row r="73" spans="2:28">
      <c r="B73" s="89">
        <v>89</v>
      </c>
      <c r="C73" s="1"/>
      <c r="D73" s="1">
        <v>5.3979999999999997</v>
      </c>
      <c r="E73" s="1">
        <v>2.5489999999999999</v>
      </c>
      <c r="F73" s="1">
        <v>2.5379999999999998</v>
      </c>
      <c r="G73" s="1">
        <v>5.3979999999999997</v>
      </c>
      <c r="H73" s="741">
        <v>0</v>
      </c>
      <c r="I73" s="741">
        <v>0.47017413856984069</v>
      </c>
      <c r="J73" s="2078">
        <v>0.47017413856984069</v>
      </c>
      <c r="K73" s="89">
        <v>89</v>
      </c>
      <c r="L73" s="1">
        <v>0</v>
      </c>
      <c r="M73" s="1">
        <v>6.0069999999999997</v>
      </c>
      <c r="N73" s="1419">
        <v>0.11700000000000001</v>
      </c>
      <c r="O73" s="1">
        <v>0.11700000000000001</v>
      </c>
      <c r="P73" s="1">
        <v>6.0069999999999997</v>
      </c>
      <c r="Q73" s="741">
        <v>0</v>
      </c>
      <c r="R73" s="741">
        <v>1.9477276510737475E-2</v>
      </c>
      <c r="S73" s="2079">
        <v>1.9477276510737475E-2</v>
      </c>
      <c r="T73" s="89">
        <v>89</v>
      </c>
      <c r="U73" s="740">
        <v>0</v>
      </c>
      <c r="V73" s="740">
        <v>5.7024999999999997</v>
      </c>
      <c r="W73" s="740">
        <v>1.333</v>
      </c>
      <c r="X73" s="740">
        <v>1.3274999999999999</v>
      </c>
      <c r="Y73" s="740">
        <v>5.7024999999999997</v>
      </c>
      <c r="Z73" s="2067">
        <v>0</v>
      </c>
      <c r="AA73" s="2067">
        <v>0.24482570754028909</v>
      </c>
      <c r="AB73" s="2094">
        <v>0.24482570754028909</v>
      </c>
    </row>
    <row r="74" spans="2:28">
      <c r="B74" s="2077">
        <v>90</v>
      </c>
      <c r="C74" s="2069"/>
      <c r="D74" s="2069">
        <v>5.1150000000000002</v>
      </c>
      <c r="E74" s="2069">
        <v>2.387</v>
      </c>
      <c r="F74" s="2069">
        <v>2.3759999999999999</v>
      </c>
      <c r="G74" s="2069">
        <v>5.1150000000000002</v>
      </c>
      <c r="H74" s="2070">
        <v>0</v>
      </c>
      <c r="I74" s="2070">
        <v>0.46451612903225803</v>
      </c>
      <c r="J74" s="2078">
        <v>0.46451612903225803</v>
      </c>
      <c r="K74" s="2077">
        <v>90</v>
      </c>
      <c r="L74" s="2069">
        <v>0</v>
      </c>
      <c r="M74" s="2069">
        <v>5.6550000000000002</v>
      </c>
      <c r="N74" s="2071">
        <v>9.7000000000000003E-2</v>
      </c>
      <c r="O74" s="2069">
        <v>9.7000000000000003E-2</v>
      </c>
      <c r="P74" s="2069">
        <v>5.6550000000000002</v>
      </c>
      <c r="Q74" s="2070">
        <v>0</v>
      </c>
      <c r="R74" s="2070">
        <v>1.7152961980548186E-2</v>
      </c>
      <c r="S74" s="2078">
        <v>1.7152961980548186E-2</v>
      </c>
      <c r="T74" s="2077">
        <v>90</v>
      </c>
      <c r="U74" s="1686">
        <v>0</v>
      </c>
      <c r="V74" s="1686">
        <v>5.3849999999999998</v>
      </c>
      <c r="W74" s="1686">
        <v>1.242</v>
      </c>
      <c r="X74" s="1686">
        <v>1.2364999999999999</v>
      </c>
      <c r="Y74" s="1686">
        <v>5.3849999999999998</v>
      </c>
      <c r="Z74" s="2072">
        <v>0</v>
      </c>
      <c r="AA74" s="2072">
        <v>0.2408345455064031</v>
      </c>
      <c r="AB74" s="2093">
        <v>0.2408345455064031</v>
      </c>
    </row>
    <row r="75" spans="2:28">
      <c r="B75" s="89">
        <v>91</v>
      </c>
      <c r="C75" s="1"/>
      <c r="D75" s="1">
        <v>4.8499999999999996</v>
      </c>
      <c r="E75" s="1">
        <v>2.2040000000000002</v>
      </c>
      <c r="F75" s="1">
        <v>2.1920000000000002</v>
      </c>
      <c r="G75" s="1">
        <v>4.8499999999999996</v>
      </c>
      <c r="H75" s="741">
        <v>0</v>
      </c>
      <c r="I75" s="741">
        <v>0.45195876288659803</v>
      </c>
      <c r="J75" s="2078">
        <v>0.45195876288659803</v>
      </c>
      <c r="K75" s="89">
        <v>91</v>
      </c>
      <c r="L75" s="1">
        <v>0</v>
      </c>
      <c r="M75" s="1">
        <v>5.3319999999999999</v>
      </c>
      <c r="N75" s="1419">
        <v>0.08</v>
      </c>
      <c r="O75" s="1">
        <v>0.08</v>
      </c>
      <c r="P75" s="1">
        <v>5.3319999999999999</v>
      </c>
      <c r="Q75" s="741">
        <v>0</v>
      </c>
      <c r="R75" s="741">
        <v>1.5003750937734435E-2</v>
      </c>
      <c r="S75" s="2079">
        <v>1.5003750937734435E-2</v>
      </c>
      <c r="T75" s="89">
        <v>91</v>
      </c>
      <c r="U75" s="740">
        <v>0</v>
      </c>
      <c r="V75" s="740">
        <v>5.0909999999999993</v>
      </c>
      <c r="W75" s="740">
        <v>1.1420000000000001</v>
      </c>
      <c r="X75" s="740">
        <v>1.1360000000000001</v>
      </c>
      <c r="Y75" s="740">
        <v>5.0909999999999993</v>
      </c>
      <c r="Z75" s="2067">
        <v>0</v>
      </c>
      <c r="AA75" s="2067">
        <v>0.23348125691216623</v>
      </c>
      <c r="AB75" s="2094">
        <v>0.23348125691216623</v>
      </c>
    </row>
    <row r="76" spans="2:28">
      <c r="B76" s="2077">
        <v>92</v>
      </c>
      <c r="C76" s="2069"/>
      <c r="D76" s="2069">
        <v>4.6040000000000001</v>
      </c>
      <c r="E76" s="2069">
        <v>2.0350000000000001</v>
      </c>
      <c r="F76" s="2069">
        <v>2.024</v>
      </c>
      <c r="G76" s="2069">
        <v>4.6040000000000001</v>
      </c>
      <c r="H76" s="2070">
        <v>0</v>
      </c>
      <c r="I76" s="2070">
        <v>0.43961772371850566</v>
      </c>
      <c r="J76" s="2078">
        <v>0.43961772371850566</v>
      </c>
      <c r="K76" s="2077">
        <v>92</v>
      </c>
      <c r="L76" s="2069">
        <v>0</v>
      </c>
      <c r="M76" s="2069">
        <v>5.0289999999999999</v>
      </c>
      <c r="N76" s="2071">
        <v>6.5000000000000002E-2</v>
      </c>
      <c r="O76" s="2069">
        <v>6.5000000000000002E-2</v>
      </c>
      <c r="P76" s="2069">
        <v>5.0289999999999999</v>
      </c>
      <c r="Q76" s="2070">
        <v>0</v>
      </c>
      <c r="R76" s="2070">
        <v>1.2925034798170611E-2</v>
      </c>
      <c r="S76" s="2078">
        <v>1.2925034798170611E-2</v>
      </c>
      <c r="T76" s="2077">
        <v>92</v>
      </c>
      <c r="U76" s="1686">
        <v>0</v>
      </c>
      <c r="V76" s="1686">
        <v>4.8164999999999996</v>
      </c>
      <c r="W76" s="1686">
        <v>1.05</v>
      </c>
      <c r="X76" s="1686">
        <v>1.0445</v>
      </c>
      <c r="Y76" s="1686">
        <v>4.8164999999999996</v>
      </c>
      <c r="Z76" s="2072">
        <v>0</v>
      </c>
      <c r="AA76" s="2072">
        <v>0.22627137925833812</v>
      </c>
      <c r="AB76" s="2093">
        <v>0.22627137925833812</v>
      </c>
    </row>
    <row r="77" spans="2:28">
      <c r="B77" s="89">
        <v>93</v>
      </c>
      <c r="C77" s="1"/>
      <c r="D77" s="1">
        <v>4.3760000000000003</v>
      </c>
      <c r="E77" s="1">
        <v>1.85</v>
      </c>
      <c r="F77" s="1">
        <v>1.839</v>
      </c>
      <c r="G77" s="1">
        <v>4.3760000000000003</v>
      </c>
      <c r="H77" s="741">
        <v>0</v>
      </c>
      <c r="I77" s="741">
        <v>0.42024680073126136</v>
      </c>
      <c r="J77" s="2078">
        <v>0.42024680073126136</v>
      </c>
      <c r="K77" s="89">
        <v>93</v>
      </c>
      <c r="L77" s="1">
        <v>0</v>
      </c>
      <c r="M77" s="1">
        <v>4.7469999999999999</v>
      </c>
      <c r="N77" s="1419">
        <v>5.2999999999999999E-2</v>
      </c>
      <c r="O77" s="1">
        <v>5.2999999999999999E-2</v>
      </c>
      <c r="P77" s="1">
        <v>4.7469999999999999</v>
      </c>
      <c r="Q77" s="741">
        <v>0</v>
      </c>
      <c r="R77" s="741">
        <v>1.1164946281862228E-2</v>
      </c>
      <c r="S77" s="2079">
        <v>1.1164946281862228E-2</v>
      </c>
      <c r="T77" s="89">
        <v>93</v>
      </c>
      <c r="U77" s="740">
        <v>0</v>
      </c>
      <c r="V77" s="740">
        <v>4.5615000000000006</v>
      </c>
      <c r="W77" s="740">
        <v>0.95150000000000001</v>
      </c>
      <c r="X77" s="740">
        <v>0.94599999999999995</v>
      </c>
      <c r="Y77" s="740">
        <v>4.5615000000000006</v>
      </c>
      <c r="Z77" s="2067">
        <v>0</v>
      </c>
      <c r="AA77" s="2067">
        <v>0.21570587350656178</v>
      </c>
      <c r="AB77" s="2094">
        <v>0.21570587350656178</v>
      </c>
    </row>
    <row r="78" spans="2:28">
      <c r="B78" s="2077">
        <v>94</v>
      </c>
      <c r="C78" s="2069"/>
      <c r="D78" s="2069">
        <v>4.1660000000000004</v>
      </c>
      <c r="E78" s="2069">
        <v>1.6830000000000001</v>
      </c>
      <c r="F78" s="2069">
        <v>1.6739999999999999</v>
      </c>
      <c r="G78" s="2069">
        <v>4.1660000000000004</v>
      </c>
      <c r="H78" s="2070">
        <v>0</v>
      </c>
      <c r="I78" s="2070">
        <v>0.40182429188670182</v>
      </c>
      <c r="J78" s="2078">
        <v>0.40182429188670182</v>
      </c>
      <c r="K78" s="2077">
        <v>94</v>
      </c>
      <c r="L78" s="2069">
        <v>0</v>
      </c>
      <c r="M78" s="2069">
        <v>4.4850000000000003</v>
      </c>
      <c r="N78" s="2071">
        <v>4.2000000000000003E-2</v>
      </c>
      <c r="O78" s="2069">
        <v>4.2000000000000003E-2</v>
      </c>
      <c r="P78" s="2069">
        <v>4.4850000000000003</v>
      </c>
      <c r="Q78" s="2070">
        <v>0</v>
      </c>
      <c r="R78" s="2070">
        <v>9.3645484949832769E-3</v>
      </c>
      <c r="S78" s="2078">
        <v>9.3645484949832769E-3</v>
      </c>
      <c r="T78" s="2077">
        <v>94</v>
      </c>
      <c r="U78" s="1686">
        <v>0</v>
      </c>
      <c r="V78" s="1686">
        <v>4.3254999999999999</v>
      </c>
      <c r="W78" s="1686">
        <v>0.86250000000000004</v>
      </c>
      <c r="X78" s="1686">
        <v>0.85799999999999998</v>
      </c>
      <c r="Y78" s="1686">
        <v>4.3254999999999999</v>
      </c>
      <c r="Z78" s="2072">
        <v>0</v>
      </c>
      <c r="AA78" s="2072">
        <v>0.20559442019084256</v>
      </c>
      <c r="AB78" s="2093">
        <v>0.20559442019084256</v>
      </c>
    </row>
    <row r="79" spans="2:28">
      <c r="B79" s="89">
        <v>95</v>
      </c>
      <c r="C79" s="1"/>
      <c r="D79" s="1">
        <v>3.9740000000000002</v>
      </c>
      <c r="E79" s="1">
        <v>1.5349999999999999</v>
      </c>
      <c r="F79" s="1">
        <v>1.528</v>
      </c>
      <c r="G79" s="1">
        <v>3.9740000000000002</v>
      </c>
      <c r="H79" s="741">
        <v>0</v>
      </c>
      <c r="I79" s="741">
        <v>0.38449924509310518</v>
      </c>
      <c r="J79" s="2078">
        <v>0.38449924509310518</v>
      </c>
      <c r="K79" s="89">
        <v>95</v>
      </c>
      <c r="L79" s="1">
        <v>0</v>
      </c>
      <c r="M79" s="1">
        <v>4.2450000000000001</v>
      </c>
      <c r="N79" s="1419">
        <v>3.4000000000000002E-2</v>
      </c>
      <c r="O79" s="1">
        <v>3.4000000000000002E-2</v>
      </c>
      <c r="P79" s="1">
        <v>4.2450000000000001</v>
      </c>
      <c r="Q79" s="741">
        <v>0</v>
      </c>
      <c r="R79" s="741">
        <v>8.0094228504122497E-3</v>
      </c>
      <c r="S79" s="2079">
        <v>8.0094228504122497E-3</v>
      </c>
      <c r="T79" s="89">
        <v>95</v>
      </c>
      <c r="U79" s="740">
        <v>0</v>
      </c>
      <c r="V79" s="740">
        <v>4.1095000000000006</v>
      </c>
      <c r="W79" s="740">
        <v>0.78449999999999998</v>
      </c>
      <c r="X79" s="740">
        <v>0.78100000000000003</v>
      </c>
      <c r="Y79" s="740">
        <v>4.1095000000000006</v>
      </c>
      <c r="Z79" s="2067">
        <v>0</v>
      </c>
      <c r="AA79" s="2067">
        <v>0.1962543339717587</v>
      </c>
      <c r="AB79" s="2094">
        <v>0.1962543339717587</v>
      </c>
    </row>
    <row r="80" spans="2:28">
      <c r="B80" s="2077">
        <v>96</v>
      </c>
      <c r="C80" s="2069"/>
      <c r="D80" s="2069">
        <v>3.798</v>
      </c>
      <c r="E80" s="2069">
        <v>1.371</v>
      </c>
      <c r="F80" s="2069">
        <v>1.3640000000000001</v>
      </c>
      <c r="G80" s="2069">
        <v>3.798</v>
      </c>
      <c r="H80" s="2070">
        <v>0</v>
      </c>
      <c r="I80" s="2070">
        <v>0.35913638757240657</v>
      </c>
      <c r="J80" s="2078">
        <v>0.35913638757240657</v>
      </c>
      <c r="K80" s="2077">
        <v>96</v>
      </c>
      <c r="L80" s="2069">
        <v>0</v>
      </c>
      <c r="M80" s="2069">
        <v>4.024</v>
      </c>
      <c r="N80" s="2071">
        <v>2.7E-2</v>
      </c>
      <c r="O80" s="2069">
        <v>2.7E-2</v>
      </c>
      <c r="P80" s="2069">
        <v>4.024</v>
      </c>
      <c r="Q80" s="2070">
        <v>0</v>
      </c>
      <c r="R80" s="2070">
        <v>6.7097415506958248E-3</v>
      </c>
      <c r="S80" s="2078">
        <v>6.7097415506958248E-3</v>
      </c>
      <c r="T80" s="2077">
        <v>96</v>
      </c>
      <c r="U80" s="1686">
        <v>0</v>
      </c>
      <c r="V80" s="1686">
        <v>3.911</v>
      </c>
      <c r="W80" s="1686">
        <v>0.69899999999999995</v>
      </c>
      <c r="X80" s="1686">
        <v>0.69550000000000001</v>
      </c>
      <c r="Y80" s="1686">
        <v>3.911</v>
      </c>
      <c r="Z80" s="2072">
        <v>0</v>
      </c>
      <c r="AA80" s="2072">
        <v>0.18292306456155119</v>
      </c>
      <c r="AB80" s="2093">
        <v>0.18292306456155119</v>
      </c>
    </row>
    <row r="81" spans="2:28">
      <c r="B81" s="89">
        <v>97</v>
      </c>
      <c r="C81" s="1"/>
      <c r="D81" s="1">
        <v>3.6389999999999998</v>
      </c>
      <c r="E81" s="1">
        <v>1.216</v>
      </c>
      <c r="F81" s="1">
        <v>1.2110000000000001</v>
      </c>
      <c r="G81" s="1">
        <v>3.6389999999999998</v>
      </c>
      <c r="H81" s="741">
        <v>0</v>
      </c>
      <c r="I81" s="741">
        <v>0.33278373179444909</v>
      </c>
      <c r="J81" s="2078">
        <v>0.33278373179444909</v>
      </c>
      <c r="K81" s="89">
        <v>97</v>
      </c>
      <c r="L81" s="1">
        <v>0</v>
      </c>
      <c r="M81" s="1">
        <v>3.8239999999999998</v>
      </c>
      <c r="N81" s="1419">
        <v>2.1000000000000001E-2</v>
      </c>
      <c r="O81" s="1">
        <v>2.1000000000000001E-2</v>
      </c>
      <c r="P81" s="1">
        <v>3.8239999999999998</v>
      </c>
      <c r="Q81" s="741">
        <v>0</v>
      </c>
      <c r="R81" s="741">
        <v>5.4916317991631804E-3</v>
      </c>
      <c r="S81" s="2079">
        <v>5.4916317991631804E-3</v>
      </c>
      <c r="T81" s="89">
        <v>97</v>
      </c>
      <c r="U81" s="740">
        <v>0</v>
      </c>
      <c r="V81" s="740">
        <v>3.7314999999999996</v>
      </c>
      <c r="W81" s="740">
        <v>0.61849999999999994</v>
      </c>
      <c r="X81" s="740">
        <v>0.61599999999999999</v>
      </c>
      <c r="Y81" s="740">
        <v>3.7314999999999996</v>
      </c>
      <c r="Z81" s="2067">
        <v>0</v>
      </c>
      <c r="AA81" s="2067">
        <v>0.16913768179680613</v>
      </c>
      <c r="AB81" s="2094">
        <v>0.16913768179680613</v>
      </c>
    </row>
    <row r="82" spans="2:28">
      <c r="B82" s="2077">
        <v>98</v>
      </c>
      <c r="C82" s="2069"/>
      <c r="D82" s="2069">
        <v>3.4950000000000001</v>
      </c>
      <c r="E82" s="2069">
        <v>1.0409999999999999</v>
      </c>
      <c r="F82" s="2069">
        <v>1.038</v>
      </c>
      <c r="G82" s="2069">
        <v>3.4950000000000001</v>
      </c>
      <c r="H82" s="2070">
        <v>0</v>
      </c>
      <c r="I82" s="2070">
        <v>0.29699570815450643</v>
      </c>
      <c r="J82" s="2078">
        <v>0.29699570815450643</v>
      </c>
      <c r="K82" s="2077">
        <v>98</v>
      </c>
      <c r="L82" s="2069">
        <v>0</v>
      </c>
      <c r="M82" s="2069">
        <v>3.6429999999999998</v>
      </c>
      <c r="N82" s="2071">
        <v>1.7000000000000001E-2</v>
      </c>
      <c r="O82" s="2069">
        <v>1.7000000000000001E-2</v>
      </c>
      <c r="P82" s="2069">
        <v>3.6429999999999998</v>
      </c>
      <c r="Q82" s="2070">
        <v>0</v>
      </c>
      <c r="R82" s="2070">
        <v>4.6664836673071652E-3</v>
      </c>
      <c r="S82" s="2078">
        <v>4.6664836673071652E-3</v>
      </c>
      <c r="T82" s="2077">
        <v>98</v>
      </c>
      <c r="U82" s="1686">
        <v>0</v>
      </c>
      <c r="V82" s="1686">
        <v>3.569</v>
      </c>
      <c r="W82" s="1686">
        <v>0.52899999999999991</v>
      </c>
      <c r="X82" s="1686">
        <v>0.52749999999999997</v>
      </c>
      <c r="Y82" s="1686">
        <v>3.569</v>
      </c>
      <c r="Z82" s="2072">
        <v>0</v>
      </c>
      <c r="AA82" s="2072">
        <v>0.15083109591090679</v>
      </c>
      <c r="AB82" s="2093">
        <v>0.15083109591090679</v>
      </c>
    </row>
    <row r="83" spans="2:28">
      <c r="B83" s="89">
        <v>99</v>
      </c>
      <c r="C83" s="1"/>
      <c r="D83" s="1">
        <v>3.3639999999999999</v>
      </c>
      <c r="E83" s="1">
        <v>0.84799999999999998</v>
      </c>
      <c r="F83" s="1">
        <v>0.84499999999999997</v>
      </c>
      <c r="G83" s="1">
        <v>3.3639999999999999</v>
      </c>
      <c r="H83" s="741">
        <v>0</v>
      </c>
      <c r="I83" s="741">
        <v>0.25118906064209273</v>
      </c>
      <c r="J83" s="2078">
        <v>0.25118906064209273</v>
      </c>
      <c r="K83" s="89">
        <v>99</v>
      </c>
      <c r="L83" s="1">
        <v>0</v>
      </c>
      <c r="M83" s="1">
        <v>3.48</v>
      </c>
      <c r="N83" s="1419">
        <v>1.2999999999999999E-2</v>
      </c>
      <c r="O83" s="1">
        <v>1.2999999999999999E-2</v>
      </c>
      <c r="P83" s="1">
        <v>3.48</v>
      </c>
      <c r="Q83" s="741">
        <v>0</v>
      </c>
      <c r="R83" s="741">
        <v>3.7356321839080459E-3</v>
      </c>
      <c r="S83" s="2079">
        <v>3.7356321839080459E-3</v>
      </c>
      <c r="T83" s="89">
        <v>99</v>
      </c>
      <c r="U83" s="740">
        <v>0</v>
      </c>
      <c r="V83" s="740">
        <v>3.4219999999999997</v>
      </c>
      <c r="W83" s="740">
        <v>0.43049999999999999</v>
      </c>
      <c r="X83" s="740">
        <v>0.42899999999999999</v>
      </c>
      <c r="Y83" s="740">
        <v>3.4219999999999997</v>
      </c>
      <c r="Z83" s="2067">
        <v>0</v>
      </c>
      <c r="AA83" s="2067">
        <v>0.12746234641300039</v>
      </c>
      <c r="AB83" s="2094">
        <v>0.12746234641300039</v>
      </c>
    </row>
    <row r="84" spans="2:28" ht="15" thickBot="1">
      <c r="B84" s="2080">
        <v>100</v>
      </c>
      <c r="C84" s="2081"/>
      <c r="D84" s="2081">
        <v>3.2450000000000001</v>
      </c>
      <c r="E84" s="2081">
        <v>0.67200000000000004</v>
      </c>
      <c r="F84" s="2081">
        <v>0.67</v>
      </c>
      <c r="G84" s="2081">
        <v>3.2450000000000001</v>
      </c>
      <c r="H84" s="2082">
        <v>0</v>
      </c>
      <c r="I84" s="2082">
        <v>0.20647149460708783</v>
      </c>
      <c r="J84" s="2078">
        <v>0.20647149460708783</v>
      </c>
      <c r="K84" s="2080">
        <v>100</v>
      </c>
      <c r="L84" s="2081">
        <v>0</v>
      </c>
      <c r="M84" s="2081">
        <v>3.335</v>
      </c>
      <c r="N84" s="2088">
        <v>0.01</v>
      </c>
      <c r="O84" s="2081">
        <v>0.01</v>
      </c>
      <c r="P84" s="2081">
        <v>3.335</v>
      </c>
      <c r="Q84" s="2082">
        <v>0</v>
      </c>
      <c r="R84" s="2082">
        <v>2.9985007496251873E-3</v>
      </c>
      <c r="S84" s="2083">
        <v>2.9985007496251873E-3</v>
      </c>
      <c r="T84" s="2080">
        <v>100</v>
      </c>
      <c r="U84" s="2095">
        <v>0</v>
      </c>
      <c r="V84" s="2095">
        <v>3.29</v>
      </c>
      <c r="W84" s="2095">
        <v>0.34100000000000003</v>
      </c>
      <c r="X84" s="2095">
        <v>0.34</v>
      </c>
      <c r="Y84" s="2095">
        <v>3.29</v>
      </c>
      <c r="Z84" s="2096">
        <v>0</v>
      </c>
      <c r="AA84" s="2096">
        <v>0.10473499767835651</v>
      </c>
      <c r="AB84" s="2097">
        <v>0.10473499767835651</v>
      </c>
    </row>
  </sheetData>
  <sheetProtection algorithmName="SHA-512" hashValue="0Wv1UQp6Kk/2zQsnWsEzJZIllbzl05fGP3efMe7GpgPr8pp/XdPqvJK7PR4PFKLEZ6FiVraiTc11s8C1acBmsw==" saltValue="1WQlgdR1RVWYPHgNqfRDyg=="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8"/>
  <dimension ref="A2:AB84"/>
  <sheetViews>
    <sheetView topLeftCell="B1" workbookViewId="0">
      <pane ySplit="2280" topLeftCell="A8" activePane="bottomLeft"/>
      <selection activeCell="B44" sqref="B44:AB44"/>
      <selection pane="bottomLeft" activeCell="C34" sqref="C34"/>
    </sheetView>
  </sheetViews>
  <sheetFormatPr baseColWidth="10" defaultColWidth="11.125" defaultRowHeight="14.25"/>
  <cols>
    <col min="1" max="1" width="21" hidden="1" customWidth="1"/>
    <col min="2" max="2" width="6.125" customWidth="1"/>
    <col min="3" max="3" width="10.125" customWidth="1"/>
    <col min="4" max="4" width="11" customWidth="1"/>
    <col min="5" max="6" width="9.125" customWidth="1"/>
    <col min="7" max="7" width="11" customWidth="1"/>
    <col min="8" max="9" width="9.625" customWidth="1"/>
    <col min="10" max="10" width="9.625" style="128" customWidth="1"/>
    <col min="11" max="11" width="6.125" customWidth="1"/>
    <col min="12" max="16" width="11" customWidth="1"/>
    <col min="17" max="18" width="9.625" customWidth="1"/>
    <col min="19" max="19" width="9.625" style="128" customWidth="1"/>
    <col min="20" max="20" width="6.125" customWidth="1"/>
    <col min="21" max="24" width="11.125" customWidth="1"/>
    <col min="25" max="25" width="11" customWidth="1"/>
    <col min="26" max="27" width="9.625" customWidth="1"/>
    <col min="28" max="28" width="9.625" style="128" customWidth="1"/>
    <col min="29" max="29" width="11.625" bestFit="1" customWidth="1"/>
  </cols>
  <sheetData>
    <row r="2" spans="1:28" s="127" customFormat="1" ht="72" customHeight="1">
      <c r="A2" s="127" t="s">
        <v>178</v>
      </c>
      <c r="B2" s="4050" t="s">
        <v>7</v>
      </c>
      <c r="C2" s="2074" t="s">
        <v>0</v>
      </c>
      <c r="D2" s="2074" t="s">
        <v>1</v>
      </c>
      <c r="E2" s="2074" t="s">
        <v>2</v>
      </c>
      <c r="F2" s="2074" t="s">
        <v>1688</v>
      </c>
      <c r="G2" s="2074" t="s">
        <v>1940</v>
      </c>
      <c r="H2" s="4046" t="s">
        <v>5</v>
      </c>
      <c r="I2" s="4046"/>
      <c r="J2" s="4047"/>
      <c r="K2" s="2084"/>
      <c r="L2" s="2085" t="s">
        <v>0</v>
      </c>
      <c r="M2" s="2085" t="s">
        <v>1</v>
      </c>
      <c r="N2" s="2085" t="s">
        <v>2</v>
      </c>
      <c r="O2" s="2085" t="s">
        <v>1688</v>
      </c>
      <c r="P2" s="2085" t="str">
        <f>+G2</f>
        <v>Anwartschafts-barwert
Altersrente</v>
      </c>
      <c r="Q2" s="4048" t="s">
        <v>6</v>
      </c>
      <c r="R2" s="4048"/>
      <c r="S2" s="4049"/>
      <c r="T2" s="2089"/>
      <c r="U2" s="2090" t="s">
        <v>0</v>
      </c>
      <c r="V2" s="2090" t="s">
        <v>1</v>
      </c>
      <c r="W2" s="2090" t="s">
        <v>2</v>
      </c>
      <c r="X2" s="2090" t="s">
        <v>1688</v>
      </c>
      <c r="Y2" s="2090" t="str">
        <f>+P2</f>
        <v>Anwartschafts-barwert
Altersrente</v>
      </c>
      <c r="Z2" s="4052" t="s">
        <v>6</v>
      </c>
      <c r="AA2" s="4052"/>
      <c r="AB2" s="4053"/>
    </row>
    <row r="3" spans="1:28" s="2" customFormat="1" ht="12.75">
      <c r="A3" s="60">
        <v>43112</v>
      </c>
      <c r="B3" s="4051"/>
      <c r="C3" s="2068" t="s">
        <v>179</v>
      </c>
      <c r="D3" s="2068" t="s">
        <v>180</v>
      </c>
      <c r="E3" s="2068" t="s">
        <v>181</v>
      </c>
      <c r="F3" s="2068"/>
      <c r="G3" s="2068"/>
      <c r="H3" s="1105" t="s">
        <v>8</v>
      </c>
      <c r="I3" s="1105" t="s">
        <v>9</v>
      </c>
      <c r="J3" s="2076" t="s">
        <v>10</v>
      </c>
      <c r="K3" s="2086" t="s">
        <v>7</v>
      </c>
      <c r="L3" s="1106" t="s">
        <v>182</v>
      </c>
      <c r="M3" s="1106" t="s">
        <v>183</v>
      </c>
      <c r="N3" s="1106" t="s">
        <v>26</v>
      </c>
      <c r="O3" s="1106"/>
      <c r="P3" s="1106"/>
      <c r="Q3" s="1106" t="s">
        <v>8</v>
      </c>
      <c r="R3" s="1106" t="s">
        <v>9</v>
      </c>
      <c r="S3" s="2087" t="s">
        <v>10</v>
      </c>
      <c r="T3" s="2106" t="s">
        <v>7</v>
      </c>
      <c r="U3" s="2107" t="s">
        <v>182</v>
      </c>
      <c r="V3" s="2107" t="s">
        <v>183</v>
      </c>
      <c r="W3" s="2107" t="s">
        <v>26</v>
      </c>
      <c r="X3" s="2107"/>
      <c r="Y3" s="2107"/>
      <c r="Z3" s="2107" t="s">
        <v>8</v>
      </c>
      <c r="AA3" s="2107" t="s">
        <v>9</v>
      </c>
      <c r="AB3" s="2108" t="s">
        <v>10</v>
      </c>
    </row>
    <row r="4" spans="1:28">
      <c r="B4" s="2077">
        <v>20</v>
      </c>
      <c r="C4" s="2069">
        <v>0.22700000000000001</v>
      </c>
      <c r="D4" s="2069">
        <v>5.6020000000000003</v>
      </c>
      <c r="E4" s="2069">
        <v>0.53</v>
      </c>
      <c r="F4" s="2069">
        <v>0.53</v>
      </c>
      <c r="G4" s="2069">
        <v>5.375</v>
      </c>
      <c r="H4" s="2070">
        <v>4.2232558139534887E-2</v>
      </c>
      <c r="I4" s="2070">
        <v>9.8604651162790699E-2</v>
      </c>
      <c r="J4" s="2078">
        <v>0.14083720930232557</v>
      </c>
      <c r="K4" s="2077">
        <v>20</v>
      </c>
      <c r="L4" s="2069">
        <v>0.24</v>
      </c>
      <c r="M4" s="2069">
        <v>6.375</v>
      </c>
      <c r="N4" s="2071">
        <v>0.13100000000000001</v>
      </c>
      <c r="O4" s="2069">
        <v>0.13100000000000001</v>
      </c>
      <c r="P4" s="2069">
        <v>6.1349999999999998</v>
      </c>
      <c r="Q4" s="2070">
        <v>3.9119804400977995E-2</v>
      </c>
      <c r="R4" s="2070">
        <v>2.1352893235533823E-2</v>
      </c>
      <c r="S4" s="2078">
        <v>6.0472697636511821E-2</v>
      </c>
      <c r="T4" s="2077">
        <v>20</v>
      </c>
      <c r="U4" s="1686">
        <v>0.23349999999999999</v>
      </c>
      <c r="V4" s="1686">
        <v>5.9885000000000002</v>
      </c>
      <c r="W4" s="1686">
        <v>0.33050000000000002</v>
      </c>
      <c r="X4" s="1686">
        <v>0.33050000000000002</v>
      </c>
      <c r="Y4" s="1686">
        <v>5.7549999999999999</v>
      </c>
      <c r="Z4" s="2072">
        <v>4.0676181270256441E-2</v>
      </c>
      <c r="AA4" s="2072">
        <v>5.9978772199162263E-2</v>
      </c>
      <c r="AB4" s="2093">
        <v>0.10065495346941869</v>
      </c>
    </row>
    <row r="5" spans="1:28">
      <c r="B5" s="89">
        <v>21</v>
      </c>
      <c r="C5" s="1">
        <v>0.26</v>
      </c>
      <c r="D5" s="1">
        <v>5.7729999999999997</v>
      </c>
      <c r="E5" s="1">
        <v>0.61599999999999999</v>
      </c>
      <c r="F5" s="1">
        <v>0.61599999999999999</v>
      </c>
      <c r="G5" s="1">
        <v>5.5129999999999999</v>
      </c>
      <c r="H5" s="741">
        <v>4.716125521494649E-2</v>
      </c>
      <c r="I5" s="741">
        <v>0.11173589697079631</v>
      </c>
      <c r="J5" s="2078">
        <v>0.1588971521857428</v>
      </c>
      <c r="K5" s="89">
        <v>21</v>
      </c>
      <c r="L5" s="1">
        <v>0.28799999999999998</v>
      </c>
      <c r="M5" s="1">
        <v>6.5659999999999998</v>
      </c>
      <c r="N5" s="1419">
        <v>0.158</v>
      </c>
      <c r="O5" s="1">
        <v>0.158</v>
      </c>
      <c r="P5" s="1">
        <v>6.2779999999999996</v>
      </c>
      <c r="Q5" s="741">
        <v>4.5874482319209937E-2</v>
      </c>
      <c r="R5" s="741">
        <v>2.5167250716788787E-2</v>
      </c>
      <c r="S5" s="2079">
        <v>7.1041733035998728E-2</v>
      </c>
      <c r="T5" s="89">
        <v>21</v>
      </c>
      <c r="U5" s="740">
        <v>0.27400000000000002</v>
      </c>
      <c r="V5" s="740">
        <v>6.1694999999999993</v>
      </c>
      <c r="W5" s="740">
        <v>0.38700000000000001</v>
      </c>
      <c r="X5" s="740">
        <v>0.38700000000000001</v>
      </c>
      <c r="Y5" s="740">
        <v>5.8955000000000002</v>
      </c>
      <c r="Z5" s="2067">
        <v>4.651786876707821E-2</v>
      </c>
      <c r="AA5" s="2067">
        <v>6.8451573843792551E-2</v>
      </c>
      <c r="AB5" s="2094">
        <v>0.11496944261087076</v>
      </c>
    </row>
    <row r="6" spans="1:28">
      <c r="B6" s="2077">
        <v>22</v>
      </c>
      <c r="C6" s="2069">
        <v>0.29599999999999999</v>
      </c>
      <c r="D6" s="2069">
        <v>5.9480000000000004</v>
      </c>
      <c r="E6" s="2069">
        <v>0.70799999999999996</v>
      </c>
      <c r="F6" s="2069">
        <v>0.70799999999999996</v>
      </c>
      <c r="G6" s="2069">
        <v>5.6520000000000001</v>
      </c>
      <c r="H6" s="2070">
        <v>5.2370842179759375E-2</v>
      </c>
      <c r="I6" s="2070">
        <v>0.12526539278131635</v>
      </c>
      <c r="J6" s="2078">
        <v>0.17763623496107572</v>
      </c>
      <c r="K6" s="2077">
        <v>22</v>
      </c>
      <c r="L6" s="2069">
        <v>0.33200000000000002</v>
      </c>
      <c r="M6" s="2069">
        <v>6.7619999999999996</v>
      </c>
      <c r="N6" s="2071">
        <v>0.184</v>
      </c>
      <c r="O6" s="2069">
        <v>0.184</v>
      </c>
      <c r="P6" s="2069">
        <v>6.43</v>
      </c>
      <c r="Q6" s="2070">
        <v>5.1632970451010889E-2</v>
      </c>
      <c r="R6" s="2070">
        <v>2.8615863141524107E-2</v>
      </c>
      <c r="S6" s="2078">
        <v>8.0248833592534999E-2</v>
      </c>
      <c r="T6" s="2077">
        <v>22</v>
      </c>
      <c r="U6" s="1686">
        <v>0.314</v>
      </c>
      <c r="V6" s="1686">
        <v>6.3550000000000004</v>
      </c>
      <c r="W6" s="1686">
        <v>0.44599999999999995</v>
      </c>
      <c r="X6" s="1686">
        <v>0.44599999999999995</v>
      </c>
      <c r="Y6" s="1686">
        <v>6.0410000000000004</v>
      </c>
      <c r="Z6" s="2072">
        <v>5.2001906315385135E-2</v>
      </c>
      <c r="AA6" s="2072">
        <v>7.6940627961420233E-2</v>
      </c>
      <c r="AB6" s="2093">
        <v>0.12894253427680535</v>
      </c>
    </row>
    <row r="7" spans="1:28">
      <c r="B7" s="89">
        <v>23</v>
      </c>
      <c r="C7" s="1">
        <v>0.33100000000000002</v>
      </c>
      <c r="D7" s="1">
        <v>6.1269999999999998</v>
      </c>
      <c r="E7" s="1">
        <v>0.80300000000000005</v>
      </c>
      <c r="F7" s="1">
        <v>0.80300000000000005</v>
      </c>
      <c r="G7" s="1">
        <v>5.7959999999999994</v>
      </c>
      <c r="H7" s="741">
        <v>5.7108350586611463E-2</v>
      </c>
      <c r="I7" s="741">
        <v>0.13854382332643206</v>
      </c>
      <c r="J7" s="2078">
        <v>0.19565217391304351</v>
      </c>
      <c r="K7" s="89">
        <v>23</v>
      </c>
      <c r="L7" s="1">
        <v>0.36899999999999999</v>
      </c>
      <c r="M7" s="1">
        <v>6.9630000000000001</v>
      </c>
      <c r="N7" s="1419">
        <v>0.20599999999999999</v>
      </c>
      <c r="O7" s="1">
        <v>0.20599999999999999</v>
      </c>
      <c r="P7" s="1">
        <v>6.5940000000000003</v>
      </c>
      <c r="Q7" s="741">
        <v>5.5959963603275702E-2</v>
      </c>
      <c r="R7" s="741">
        <v>3.1240521686381556E-2</v>
      </c>
      <c r="S7" s="2079">
        <v>8.7200485289657265E-2</v>
      </c>
      <c r="T7" s="89">
        <v>23</v>
      </c>
      <c r="U7" s="740">
        <v>0.35</v>
      </c>
      <c r="V7" s="740">
        <v>6.5449999999999999</v>
      </c>
      <c r="W7" s="740">
        <v>0.50450000000000006</v>
      </c>
      <c r="X7" s="740">
        <v>0.50450000000000006</v>
      </c>
      <c r="Y7" s="740">
        <v>6.1950000000000003</v>
      </c>
      <c r="Z7" s="2067">
        <v>5.6534157094943582E-2</v>
      </c>
      <c r="AA7" s="2067">
        <v>8.4892172506406807E-2</v>
      </c>
      <c r="AB7" s="2094">
        <v>0.14142632960135038</v>
      </c>
    </row>
    <row r="8" spans="1:28">
      <c r="B8" s="2077">
        <v>24</v>
      </c>
      <c r="C8" s="2069">
        <v>0.36299999999999999</v>
      </c>
      <c r="D8" s="2069">
        <v>6.31</v>
      </c>
      <c r="E8" s="2069">
        <v>0.89200000000000002</v>
      </c>
      <c r="F8" s="2069">
        <v>0.89200000000000002</v>
      </c>
      <c r="G8" s="2069">
        <v>5.9469999999999992</v>
      </c>
      <c r="H8" s="2070">
        <v>6.1039179418194055E-2</v>
      </c>
      <c r="I8" s="2070">
        <v>0.14999159239952919</v>
      </c>
      <c r="J8" s="2078">
        <v>0.21103077181772326</v>
      </c>
      <c r="K8" s="2077">
        <v>24</v>
      </c>
      <c r="L8" s="2069">
        <v>0.40200000000000002</v>
      </c>
      <c r="M8" s="2069">
        <v>7.17</v>
      </c>
      <c r="N8" s="2071">
        <v>0.22600000000000001</v>
      </c>
      <c r="O8" s="2069">
        <v>0.22600000000000001</v>
      </c>
      <c r="P8" s="2069">
        <v>6.7679999999999998</v>
      </c>
      <c r="Q8" s="2070">
        <v>5.9397163120567378E-2</v>
      </c>
      <c r="R8" s="2070">
        <v>3.3392434988179669E-2</v>
      </c>
      <c r="S8" s="2078">
        <v>9.278959810874704E-2</v>
      </c>
      <c r="T8" s="2077">
        <v>24</v>
      </c>
      <c r="U8" s="1686">
        <v>0.38250000000000001</v>
      </c>
      <c r="V8" s="1686">
        <v>6.74</v>
      </c>
      <c r="W8" s="1686">
        <v>0.55900000000000005</v>
      </c>
      <c r="X8" s="1686">
        <v>0.55900000000000005</v>
      </c>
      <c r="Y8" s="1686">
        <v>6.3574999999999999</v>
      </c>
      <c r="Z8" s="2072">
        <v>6.0218171269380713E-2</v>
      </c>
      <c r="AA8" s="2072">
        <v>9.1692013693854435E-2</v>
      </c>
      <c r="AB8" s="2093">
        <v>0.15191018496323516</v>
      </c>
    </row>
    <row r="9" spans="1:28">
      <c r="B9" s="89">
        <v>25</v>
      </c>
      <c r="C9" s="1">
        <v>0.39</v>
      </c>
      <c r="D9" s="1">
        <v>6.4989999999999997</v>
      </c>
      <c r="E9" s="1">
        <v>0.97399999999999998</v>
      </c>
      <c r="F9" s="1">
        <v>0.97399999999999998</v>
      </c>
      <c r="G9" s="1">
        <v>6.109</v>
      </c>
      <c r="H9" s="741">
        <v>6.3840235717793417E-2</v>
      </c>
      <c r="I9" s="741">
        <v>0.15943689638238664</v>
      </c>
      <c r="J9" s="2078">
        <v>0.22327713210018008</v>
      </c>
      <c r="K9" s="89">
        <v>25</v>
      </c>
      <c r="L9" s="1">
        <v>0.434</v>
      </c>
      <c r="M9" s="1">
        <v>7.3810000000000002</v>
      </c>
      <c r="N9" s="1419">
        <v>0.246</v>
      </c>
      <c r="O9" s="1">
        <v>0.246</v>
      </c>
      <c r="P9" s="1">
        <v>6.9470000000000001</v>
      </c>
      <c r="Q9" s="741">
        <v>6.2473009932344899E-2</v>
      </c>
      <c r="R9" s="741">
        <v>3.5410968763495032E-2</v>
      </c>
      <c r="S9" s="2079">
        <v>9.7883978695839924E-2</v>
      </c>
      <c r="T9" s="89">
        <v>25</v>
      </c>
      <c r="U9" s="740">
        <v>0.41200000000000003</v>
      </c>
      <c r="V9" s="740">
        <v>6.9399999999999995</v>
      </c>
      <c r="W9" s="740">
        <v>0.61</v>
      </c>
      <c r="X9" s="740">
        <v>0.61</v>
      </c>
      <c r="Y9" s="740">
        <v>6.5280000000000005</v>
      </c>
      <c r="Z9" s="2067">
        <v>6.3156622825069161E-2</v>
      </c>
      <c r="AA9" s="2067">
        <v>9.7423932572940838E-2</v>
      </c>
      <c r="AB9" s="2094">
        <v>0.16058055539801</v>
      </c>
    </row>
    <row r="10" spans="1:28">
      <c r="B10" s="2077">
        <v>26</v>
      </c>
      <c r="C10" s="2069">
        <v>0.41499999999999998</v>
      </c>
      <c r="D10" s="2069">
        <v>6.6909999999999998</v>
      </c>
      <c r="E10" s="2069">
        <v>1.052</v>
      </c>
      <c r="F10" s="2069">
        <v>1.052</v>
      </c>
      <c r="G10" s="2069">
        <v>6.2759999999999998</v>
      </c>
      <c r="H10" s="2070">
        <v>6.6124920331421283E-2</v>
      </c>
      <c r="I10" s="2070">
        <v>0.16762268961121735</v>
      </c>
      <c r="J10" s="2078">
        <v>0.23374760994263863</v>
      </c>
      <c r="K10" s="2077">
        <v>26</v>
      </c>
      <c r="L10" s="2069">
        <v>0.46500000000000002</v>
      </c>
      <c r="M10" s="2069">
        <v>7.5970000000000004</v>
      </c>
      <c r="N10" s="2071">
        <v>0.26600000000000001</v>
      </c>
      <c r="O10" s="2069">
        <v>0.26600000000000001</v>
      </c>
      <c r="P10" s="2069">
        <v>7.1320000000000006</v>
      </c>
      <c r="Q10" s="2070">
        <v>6.5199102636006728E-2</v>
      </c>
      <c r="R10" s="2070">
        <v>3.7296690970274819E-2</v>
      </c>
      <c r="S10" s="2078">
        <v>0.10249579360628155</v>
      </c>
      <c r="T10" s="2077">
        <v>26</v>
      </c>
      <c r="U10" s="1686">
        <v>0.44</v>
      </c>
      <c r="V10" s="1686">
        <v>7.1440000000000001</v>
      </c>
      <c r="W10" s="1686">
        <v>0.65900000000000003</v>
      </c>
      <c r="X10" s="1686">
        <v>0.65900000000000003</v>
      </c>
      <c r="Y10" s="1686">
        <v>6.7040000000000006</v>
      </c>
      <c r="Z10" s="2072">
        <v>6.5662011483714006E-2</v>
      </c>
      <c r="AA10" s="2072">
        <v>0.10245969029074609</v>
      </c>
      <c r="AB10" s="2093">
        <v>0.16812170177446009</v>
      </c>
    </row>
    <row r="11" spans="1:28">
      <c r="B11" s="89">
        <v>27</v>
      </c>
      <c r="C11" s="1">
        <v>0.436</v>
      </c>
      <c r="D11" s="1">
        <v>6.8890000000000002</v>
      </c>
      <c r="E11" s="1">
        <v>1.1279999999999999</v>
      </c>
      <c r="F11" s="1">
        <v>1.1279999999999999</v>
      </c>
      <c r="G11" s="1">
        <v>6.4530000000000003</v>
      </c>
      <c r="H11" s="741">
        <v>6.7565473423214006E-2</v>
      </c>
      <c r="I11" s="741">
        <v>0.17480241748024172</v>
      </c>
      <c r="J11" s="2078">
        <v>0.24236789090345573</v>
      </c>
      <c r="K11" s="89">
        <v>27</v>
      </c>
      <c r="L11" s="1">
        <v>0.49399999999999999</v>
      </c>
      <c r="M11" s="1">
        <v>7.8170000000000002</v>
      </c>
      <c r="N11" s="1419">
        <v>0.28599999999999998</v>
      </c>
      <c r="O11" s="1">
        <v>0.28599999999999998</v>
      </c>
      <c r="P11" s="1">
        <v>7.3230000000000004</v>
      </c>
      <c r="Q11" s="741">
        <v>6.7458691792981015E-2</v>
      </c>
      <c r="R11" s="741">
        <v>3.9055032090673215E-2</v>
      </c>
      <c r="S11" s="2079">
        <v>0.10651372388365424</v>
      </c>
      <c r="T11" s="89">
        <v>27</v>
      </c>
      <c r="U11" s="740">
        <v>0.46499999999999997</v>
      </c>
      <c r="V11" s="740">
        <v>7.3529999999999998</v>
      </c>
      <c r="W11" s="740">
        <v>0.70699999999999996</v>
      </c>
      <c r="X11" s="740">
        <v>0.70699999999999996</v>
      </c>
      <c r="Y11" s="740">
        <v>6.8879999999999999</v>
      </c>
      <c r="Z11" s="2067">
        <v>6.7512082608097518E-2</v>
      </c>
      <c r="AA11" s="2067">
        <v>0.10692872478545747</v>
      </c>
      <c r="AB11" s="2094">
        <v>0.174440807393555</v>
      </c>
    </row>
    <row r="12" spans="1:28">
      <c r="B12" s="2077">
        <v>28</v>
      </c>
      <c r="C12" s="2069">
        <v>0.45600000000000002</v>
      </c>
      <c r="D12" s="2069">
        <v>7.0910000000000002</v>
      </c>
      <c r="E12" s="2069">
        <v>1.2010000000000001</v>
      </c>
      <c r="F12" s="2069">
        <v>1.2010000000000001</v>
      </c>
      <c r="G12" s="2069">
        <v>6.6349999999999998</v>
      </c>
      <c r="H12" s="2070">
        <v>6.8726450640542586E-2</v>
      </c>
      <c r="I12" s="2070">
        <v>0.1810097965335343</v>
      </c>
      <c r="J12" s="2078">
        <v>0.24973624717407689</v>
      </c>
      <c r="K12" s="2077">
        <v>28</v>
      </c>
      <c r="L12" s="2069">
        <v>0.52200000000000002</v>
      </c>
      <c r="M12" s="2069">
        <v>8.0429999999999993</v>
      </c>
      <c r="N12" s="2071">
        <v>0.30599999999999999</v>
      </c>
      <c r="O12" s="2069">
        <v>0.30599999999999999</v>
      </c>
      <c r="P12" s="2069">
        <v>7.520999999999999</v>
      </c>
      <c r="Q12" s="2070">
        <v>6.9405664140406872E-2</v>
      </c>
      <c r="R12" s="2070">
        <v>4.0686078978859196E-2</v>
      </c>
      <c r="S12" s="2078">
        <v>0.11009174311926606</v>
      </c>
      <c r="T12" s="2077">
        <v>28</v>
      </c>
      <c r="U12" s="1686">
        <v>0.48899999999999999</v>
      </c>
      <c r="V12" s="1686">
        <v>7.5670000000000002</v>
      </c>
      <c r="W12" s="1686">
        <v>0.75350000000000006</v>
      </c>
      <c r="X12" s="1686">
        <v>0.75350000000000006</v>
      </c>
      <c r="Y12" s="1686">
        <v>7.0779999999999994</v>
      </c>
      <c r="Z12" s="2072">
        <v>6.9066057390474722E-2</v>
      </c>
      <c r="AA12" s="2072">
        <v>0.11084793775619675</v>
      </c>
      <c r="AB12" s="2093">
        <v>0.17991399514667147</v>
      </c>
    </row>
    <row r="13" spans="1:28">
      <c r="B13" s="89">
        <v>29</v>
      </c>
      <c r="C13" s="1">
        <v>0.47299999999999998</v>
      </c>
      <c r="D13" s="1">
        <v>7.298</v>
      </c>
      <c r="E13" s="1">
        <v>1.274</v>
      </c>
      <c r="F13" s="1">
        <v>1.274</v>
      </c>
      <c r="G13" s="1">
        <v>6.8250000000000002</v>
      </c>
      <c r="H13" s="741">
        <v>6.9304029304029305E-2</v>
      </c>
      <c r="I13" s="741">
        <v>0.18666666666666668</v>
      </c>
      <c r="J13" s="2078">
        <v>0.25597069597069599</v>
      </c>
      <c r="K13" s="89">
        <v>29</v>
      </c>
      <c r="L13" s="1">
        <v>0.54700000000000004</v>
      </c>
      <c r="M13" s="1">
        <v>8.2739999999999991</v>
      </c>
      <c r="N13" s="1419">
        <v>0.32600000000000001</v>
      </c>
      <c r="O13" s="1">
        <v>0.32600000000000001</v>
      </c>
      <c r="P13" s="1">
        <v>7.7269999999999994</v>
      </c>
      <c r="Q13" s="741">
        <v>7.0790733790604382E-2</v>
      </c>
      <c r="R13" s="741">
        <v>4.2189724343212116E-2</v>
      </c>
      <c r="S13" s="2079">
        <v>0.11298045813381649</v>
      </c>
      <c r="T13" s="89">
        <v>29</v>
      </c>
      <c r="U13" s="740">
        <v>0.51</v>
      </c>
      <c r="V13" s="740">
        <v>7.7859999999999996</v>
      </c>
      <c r="W13" s="740">
        <v>0.8</v>
      </c>
      <c r="X13" s="740">
        <v>0.8</v>
      </c>
      <c r="Y13" s="740">
        <v>7.2759999999999998</v>
      </c>
      <c r="Z13" s="2067">
        <v>7.004738154731685E-2</v>
      </c>
      <c r="AA13" s="2067">
        <v>0.11442819550493939</v>
      </c>
      <c r="AB13" s="2094">
        <v>0.18447557705225626</v>
      </c>
    </row>
    <row r="14" spans="1:28">
      <c r="B14" s="2077">
        <v>30</v>
      </c>
      <c r="C14" s="2069">
        <v>0.48899999999999999</v>
      </c>
      <c r="D14" s="2069">
        <v>7.5110000000000001</v>
      </c>
      <c r="E14" s="2069">
        <v>1.345</v>
      </c>
      <c r="F14" s="2069">
        <v>1.345</v>
      </c>
      <c r="G14" s="2069">
        <v>7.0220000000000002</v>
      </c>
      <c r="H14" s="2070">
        <v>6.9638279692395319E-2</v>
      </c>
      <c r="I14" s="2070">
        <v>0.19154087154656793</v>
      </c>
      <c r="J14" s="2078">
        <v>0.26117915123896324</v>
      </c>
      <c r="K14" s="2077">
        <v>30</v>
      </c>
      <c r="L14" s="2069">
        <v>0.57099999999999995</v>
      </c>
      <c r="M14" s="2069">
        <v>8.5090000000000003</v>
      </c>
      <c r="N14" s="2071">
        <v>0.34499999999999997</v>
      </c>
      <c r="O14" s="2069">
        <v>0.34499999999999997</v>
      </c>
      <c r="P14" s="2069">
        <v>7.9380000000000006</v>
      </c>
      <c r="Q14" s="2070">
        <v>7.193247669438145E-2</v>
      </c>
      <c r="R14" s="2070">
        <v>4.3461829176114887E-2</v>
      </c>
      <c r="S14" s="2078">
        <v>0.11539430587049634</v>
      </c>
      <c r="T14" s="2077">
        <v>30</v>
      </c>
      <c r="U14" s="1686">
        <v>0.53</v>
      </c>
      <c r="V14" s="1686">
        <v>8.01</v>
      </c>
      <c r="W14" s="1686">
        <v>0.84499999999999997</v>
      </c>
      <c r="X14" s="1686">
        <v>0.84499999999999997</v>
      </c>
      <c r="Y14" s="1686">
        <v>7.48</v>
      </c>
      <c r="Z14" s="2072">
        <v>7.0785378193388385E-2</v>
      </c>
      <c r="AA14" s="2072">
        <v>0.11750135036134141</v>
      </c>
      <c r="AB14" s="2093">
        <v>0.18828672855472978</v>
      </c>
    </row>
    <row r="15" spans="1:28">
      <c r="B15" s="89">
        <v>31</v>
      </c>
      <c r="C15" s="1">
        <v>0.503</v>
      </c>
      <c r="D15" s="1">
        <v>7.73</v>
      </c>
      <c r="E15" s="1">
        <v>1.4159999999999999</v>
      </c>
      <c r="F15" s="1">
        <v>1.4159999999999999</v>
      </c>
      <c r="G15" s="1">
        <v>7.2270000000000003</v>
      </c>
      <c r="H15" s="741">
        <v>6.9600110696001111E-2</v>
      </c>
      <c r="I15" s="741">
        <v>0.19593192195931919</v>
      </c>
      <c r="J15" s="2078">
        <v>0.26553203265532033</v>
      </c>
      <c r="K15" s="89">
        <v>31</v>
      </c>
      <c r="L15" s="1">
        <v>0.59099999999999997</v>
      </c>
      <c r="M15" s="1">
        <v>8.7509999999999994</v>
      </c>
      <c r="N15" s="1419">
        <v>0.36399999999999999</v>
      </c>
      <c r="O15" s="1">
        <v>0.36399999999999999</v>
      </c>
      <c r="P15" s="1">
        <v>8.16</v>
      </c>
      <c r="Q15" s="741">
        <v>7.2426470588235287E-2</v>
      </c>
      <c r="R15" s="741">
        <v>4.4607843137254903E-2</v>
      </c>
      <c r="S15" s="2079">
        <v>0.1170343137254902</v>
      </c>
      <c r="T15" s="89">
        <v>31</v>
      </c>
      <c r="U15" s="740">
        <v>0.54699999999999993</v>
      </c>
      <c r="V15" s="740">
        <v>8.2405000000000008</v>
      </c>
      <c r="W15" s="740">
        <v>0.8899999999999999</v>
      </c>
      <c r="X15" s="740">
        <v>0.8899999999999999</v>
      </c>
      <c r="Y15" s="740">
        <v>7.6935000000000002</v>
      </c>
      <c r="Z15" s="2067">
        <v>7.1013290642118199E-2</v>
      </c>
      <c r="AA15" s="2067">
        <v>0.12026988254828705</v>
      </c>
      <c r="AB15" s="2094">
        <v>0.19128317319040528</v>
      </c>
    </row>
    <row r="16" spans="1:28">
      <c r="B16" s="2077">
        <v>32</v>
      </c>
      <c r="C16" s="2069">
        <v>0.51700000000000002</v>
      </c>
      <c r="D16" s="2069">
        <v>7.9539999999999997</v>
      </c>
      <c r="E16" s="2069">
        <v>1.488</v>
      </c>
      <c r="F16" s="2069">
        <v>1.488</v>
      </c>
      <c r="G16" s="2069">
        <v>7.4369999999999994</v>
      </c>
      <c r="H16" s="2070">
        <v>6.9517278472502358E-2</v>
      </c>
      <c r="I16" s="2070">
        <v>0.200080677692618</v>
      </c>
      <c r="J16" s="2078">
        <v>0.26959795616512039</v>
      </c>
      <c r="K16" s="2077">
        <v>32</v>
      </c>
      <c r="L16" s="2069">
        <v>0.61</v>
      </c>
      <c r="M16" s="2069">
        <v>8.9969999999999999</v>
      </c>
      <c r="N16" s="2071">
        <v>0.38200000000000001</v>
      </c>
      <c r="O16" s="2069">
        <v>0.38200000000000001</v>
      </c>
      <c r="P16" s="2069">
        <v>8.3870000000000005</v>
      </c>
      <c r="Q16" s="2070">
        <v>7.2731608441635856E-2</v>
      </c>
      <c r="R16" s="2070">
        <v>4.5546679384762132E-2</v>
      </c>
      <c r="S16" s="2078">
        <v>0.11827828782639799</v>
      </c>
      <c r="T16" s="2077">
        <v>32</v>
      </c>
      <c r="U16" s="1686">
        <v>0.5635</v>
      </c>
      <c r="V16" s="1686">
        <v>8.4755000000000003</v>
      </c>
      <c r="W16" s="1686">
        <v>0.93500000000000005</v>
      </c>
      <c r="X16" s="1686">
        <v>0.93500000000000005</v>
      </c>
      <c r="Y16" s="1686">
        <v>7.9119999999999999</v>
      </c>
      <c r="Z16" s="2072">
        <v>7.1124443457069114E-2</v>
      </c>
      <c r="AA16" s="2072">
        <v>0.12281367853869007</v>
      </c>
      <c r="AB16" s="2093">
        <v>0.19393812199575919</v>
      </c>
    </row>
    <row r="17" spans="2:28">
      <c r="B17" s="89">
        <v>33</v>
      </c>
      <c r="C17" s="1">
        <v>0.52800000000000002</v>
      </c>
      <c r="D17" s="1">
        <v>8.1839999999999993</v>
      </c>
      <c r="E17" s="1">
        <v>1.5589999999999999</v>
      </c>
      <c r="F17" s="1">
        <v>1.5589999999999999</v>
      </c>
      <c r="G17" s="1">
        <v>7.6559999999999988</v>
      </c>
      <c r="H17" s="741">
        <v>6.8965517241379323E-2</v>
      </c>
      <c r="I17" s="741">
        <v>0.20363113897596657</v>
      </c>
      <c r="J17" s="2078">
        <v>0.27259665621734591</v>
      </c>
      <c r="K17" s="89">
        <v>33</v>
      </c>
      <c r="L17" s="1">
        <v>0.626</v>
      </c>
      <c r="M17" s="1">
        <v>9.25</v>
      </c>
      <c r="N17" s="1419">
        <v>0.4</v>
      </c>
      <c r="O17" s="1">
        <v>0.4</v>
      </c>
      <c r="P17" s="1">
        <v>8.6240000000000006</v>
      </c>
      <c r="Q17" s="741">
        <v>7.2588126159554733E-2</v>
      </c>
      <c r="R17" s="741">
        <v>4.6382189239332093E-2</v>
      </c>
      <c r="S17" s="2079">
        <v>0.11897031539888683</v>
      </c>
      <c r="T17" s="89">
        <v>33</v>
      </c>
      <c r="U17" s="740">
        <v>0.57699999999999996</v>
      </c>
      <c r="V17" s="740">
        <v>8.7169999999999987</v>
      </c>
      <c r="W17" s="740">
        <v>0.97950000000000004</v>
      </c>
      <c r="X17" s="740">
        <v>0.97950000000000004</v>
      </c>
      <c r="Y17" s="740">
        <v>8.14</v>
      </c>
      <c r="Z17" s="2067">
        <v>7.0776821700467035E-2</v>
      </c>
      <c r="AA17" s="2067">
        <v>0.12500666410764932</v>
      </c>
      <c r="AB17" s="2094">
        <v>0.19578348580811639</v>
      </c>
    </row>
    <row r="18" spans="2:28">
      <c r="B18" s="2077">
        <v>34</v>
      </c>
      <c r="C18" s="2069">
        <v>0.53800000000000003</v>
      </c>
      <c r="D18" s="2069">
        <v>8.4209999999999994</v>
      </c>
      <c r="E18" s="2069">
        <v>1.63</v>
      </c>
      <c r="F18" s="2069">
        <v>1.63</v>
      </c>
      <c r="G18" s="2069">
        <v>7.8829999999999991</v>
      </c>
      <c r="H18" s="2070">
        <v>6.8248128884942291E-2</v>
      </c>
      <c r="I18" s="2070">
        <v>0.20677407078523405</v>
      </c>
      <c r="J18" s="2078">
        <v>0.27502219967017633</v>
      </c>
      <c r="K18" s="2077">
        <v>34</v>
      </c>
      <c r="L18" s="2069">
        <v>0.63800000000000001</v>
      </c>
      <c r="M18" s="2069">
        <v>9.5079999999999991</v>
      </c>
      <c r="N18" s="2071">
        <v>0.41799999999999998</v>
      </c>
      <c r="O18" s="2069">
        <v>0.41799999999999998</v>
      </c>
      <c r="P18" s="2069">
        <v>8.8699999999999992</v>
      </c>
      <c r="Q18" s="2070">
        <v>7.1927846674182644E-2</v>
      </c>
      <c r="R18" s="2070">
        <v>4.7125140924464487E-2</v>
      </c>
      <c r="S18" s="2078">
        <v>0.11905298759864713</v>
      </c>
      <c r="T18" s="2077">
        <v>34</v>
      </c>
      <c r="U18" s="1686">
        <v>0.58800000000000008</v>
      </c>
      <c r="V18" s="1686">
        <v>8.9644999999999992</v>
      </c>
      <c r="W18" s="1686">
        <v>1.024</v>
      </c>
      <c r="X18" s="1686">
        <v>1.024</v>
      </c>
      <c r="Y18" s="1686">
        <v>8.3765000000000001</v>
      </c>
      <c r="Z18" s="2072">
        <v>7.0087987779562461E-2</v>
      </c>
      <c r="AA18" s="2072">
        <v>0.12694960585484927</v>
      </c>
      <c r="AB18" s="2093">
        <v>0.19703759363441173</v>
      </c>
    </row>
    <row r="19" spans="2:28">
      <c r="B19" s="89">
        <v>35</v>
      </c>
      <c r="C19" s="1">
        <v>0.54600000000000004</v>
      </c>
      <c r="D19" s="1">
        <v>8.6630000000000003</v>
      </c>
      <c r="E19" s="1">
        <v>1.702</v>
      </c>
      <c r="F19" s="1">
        <v>1.702</v>
      </c>
      <c r="G19" s="1">
        <v>8.1170000000000009</v>
      </c>
      <c r="H19" s="741">
        <v>6.7266231366268317E-2</v>
      </c>
      <c r="I19" s="741">
        <v>0.20968338055931993</v>
      </c>
      <c r="J19" s="2078">
        <v>0.27694961192558826</v>
      </c>
      <c r="K19" s="89">
        <v>35</v>
      </c>
      <c r="L19" s="1">
        <v>0.64700000000000002</v>
      </c>
      <c r="M19" s="1">
        <v>9.7710000000000008</v>
      </c>
      <c r="N19" s="1419">
        <v>0.435</v>
      </c>
      <c r="O19" s="1">
        <v>0.435</v>
      </c>
      <c r="P19" s="1">
        <v>9.1240000000000006</v>
      </c>
      <c r="Q19" s="741">
        <v>7.0911880754055232E-2</v>
      </c>
      <c r="R19" s="741">
        <v>4.7676457693993861E-2</v>
      </c>
      <c r="S19" s="2079">
        <v>0.11858833844804909</v>
      </c>
      <c r="T19" s="89">
        <v>35</v>
      </c>
      <c r="U19" s="740">
        <v>0.59650000000000003</v>
      </c>
      <c r="V19" s="740">
        <v>9.2170000000000005</v>
      </c>
      <c r="W19" s="740">
        <v>1.0685</v>
      </c>
      <c r="X19" s="740">
        <v>1.0685</v>
      </c>
      <c r="Y19" s="740">
        <v>8.6204999999999998</v>
      </c>
      <c r="Z19" s="2067">
        <v>6.9089056060161774E-2</v>
      </c>
      <c r="AA19" s="2067">
        <v>0.12867991912665688</v>
      </c>
      <c r="AB19" s="2094">
        <v>0.19776897518681869</v>
      </c>
    </row>
    <row r="20" spans="2:28">
      <c r="B20" s="2077">
        <v>36</v>
      </c>
      <c r="C20" s="2069">
        <v>0.55100000000000005</v>
      </c>
      <c r="D20" s="2069">
        <v>8.9109999999999996</v>
      </c>
      <c r="E20" s="2069">
        <v>1.774</v>
      </c>
      <c r="F20" s="2069">
        <v>1.774</v>
      </c>
      <c r="G20" s="2069">
        <v>8.36</v>
      </c>
      <c r="H20" s="2070">
        <v>6.5909090909090917E-2</v>
      </c>
      <c r="I20" s="2070">
        <v>0.21220095693779906</v>
      </c>
      <c r="J20" s="2078">
        <v>0.27811004784688997</v>
      </c>
      <c r="K20" s="2077">
        <v>36</v>
      </c>
      <c r="L20" s="2069">
        <v>0.65200000000000002</v>
      </c>
      <c r="M20" s="2069">
        <v>10.039999999999999</v>
      </c>
      <c r="N20" s="2071">
        <v>0.45100000000000001</v>
      </c>
      <c r="O20" s="2069">
        <v>0.45100000000000001</v>
      </c>
      <c r="P20" s="2069">
        <v>9.3879999999999999</v>
      </c>
      <c r="Q20" s="2070">
        <v>6.9450362164465276E-2</v>
      </c>
      <c r="R20" s="2070">
        <v>4.804005112910098E-2</v>
      </c>
      <c r="S20" s="2078">
        <v>0.11749041329356626</v>
      </c>
      <c r="T20" s="2077">
        <v>36</v>
      </c>
      <c r="U20" s="1686">
        <v>0.60150000000000003</v>
      </c>
      <c r="V20" s="1686">
        <v>9.4755000000000003</v>
      </c>
      <c r="W20" s="1686">
        <v>1.1125</v>
      </c>
      <c r="X20" s="1686">
        <v>1.1125</v>
      </c>
      <c r="Y20" s="1686">
        <v>8.8739999999999988</v>
      </c>
      <c r="Z20" s="2072">
        <v>6.767972653677809E-2</v>
      </c>
      <c r="AA20" s="2072">
        <v>0.13012050403345002</v>
      </c>
      <c r="AB20" s="2093">
        <v>0.19780023057022811</v>
      </c>
    </row>
    <row r="21" spans="2:28">
      <c r="B21" s="89">
        <v>37</v>
      </c>
      <c r="C21" s="1">
        <v>0.55100000000000005</v>
      </c>
      <c r="D21" s="1">
        <v>9.1630000000000003</v>
      </c>
      <c r="E21" s="1">
        <v>1.8460000000000001</v>
      </c>
      <c r="F21" s="1">
        <v>1.8460000000000001</v>
      </c>
      <c r="G21" s="1">
        <v>8.6120000000000001</v>
      </c>
      <c r="H21" s="741">
        <v>6.3980492336274966E-2</v>
      </c>
      <c r="I21" s="741">
        <v>0.21435206688341849</v>
      </c>
      <c r="J21" s="2078">
        <v>0.27833255921969347</v>
      </c>
      <c r="K21" s="89">
        <v>37</v>
      </c>
      <c r="L21" s="1">
        <v>0.65100000000000002</v>
      </c>
      <c r="M21" s="1">
        <v>10.313000000000001</v>
      </c>
      <c r="N21" s="1419">
        <v>0.46700000000000003</v>
      </c>
      <c r="O21" s="1">
        <v>0.46700000000000003</v>
      </c>
      <c r="P21" s="1">
        <v>9.6620000000000008</v>
      </c>
      <c r="Q21" s="741">
        <v>6.7377354584972057E-2</v>
      </c>
      <c r="R21" s="741">
        <v>4.8333678327468432E-2</v>
      </c>
      <c r="S21" s="2079">
        <v>0.11571103291244049</v>
      </c>
      <c r="T21" s="89">
        <v>37</v>
      </c>
      <c r="U21" s="740">
        <v>0.60099999999999998</v>
      </c>
      <c r="V21" s="740">
        <v>9.7379999999999995</v>
      </c>
      <c r="W21" s="740">
        <v>1.1565000000000001</v>
      </c>
      <c r="X21" s="740">
        <v>1.1565000000000001</v>
      </c>
      <c r="Y21" s="740">
        <v>9.1370000000000005</v>
      </c>
      <c r="Z21" s="2067">
        <v>6.5678923460623512E-2</v>
      </c>
      <c r="AA21" s="2067">
        <v>0.13134287260544347</v>
      </c>
      <c r="AB21" s="2094">
        <v>0.19702179606606698</v>
      </c>
    </row>
    <row r="22" spans="2:28">
      <c r="B22" s="2077">
        <v>38</v>
      </c>
      <c r="C22" s="2069">
        <v>0.54500000000000004</v>
      </c>
      <c r="D22" s="2069">
        <v>9.42</v>
      </c>
      <c r="E22" s="2069">
        <v>1.919</v>
      </c>
      <c r="F22" s="2069">
        <v>1.919</v>
      </c>
      <c r="G22" s="2069">
        <v>8.875</v>
      </c>
      <c r="H22" s="2070">
        <v>6.1408450704225355E-2</v>
      </c>
      <c r="I22" s="2070">
        <v>0.21622535211267607</v>
      </c>
      <c r="J22" s="2078">
        <v>0.27763380281690142</v>
      </c>
      <c r="K22" s="2077">
        <v>38</v>
      </c>
      <c r="L22" s="2069">
        <v>0.64400000000000002</v>
      </c>
      <c r="M22" s="2069">
        <v>10.590999999999999</v>
      </c>
      <c r="N22" s="2071">
        <v>0.48199999999999998</v>
      </c>
      <c r="O22" s="2069">
        <v>0.48199999999999998</v>
      </c>
      <c r="P22" s="2069">
        <v>9.9469999999999992</v>
      </c>
      <c r="Q22" s="2070">
        <v>6.4743138634764261E-2</v>
      </c>
      <c r="R22" s="2070">
        <v>4.8456821152106165E-2</v>
      </c>
      <c r="S22" s="2078">
        <v>0.11319995978687042</v>
      </c>
      <c r="T22" s="2077">
        <v>38</v>
      </c>
      <c r="U22" s="1686">
        <v>0.59450000000000003</v>
      </c>
      <c r="V22" s="1686">
        <v>10.0055</v>
      </c>
      <c r="W22" s="1686">
        <v>1.2004999999999999</v>
      </c>
      <c r="X22" s="1686">
        <v>1.2004999999999999</v>
      </c>
      <c r="Y22" s="1686">
        <v>9.4109999999999996</v>
      </c>
      <c r="Z22" s="2072">
        <v>6.3075794669494811E-2</v>
      </c>
      <c r="AA22" s="2072">
        <v>0.13234108663239111</v>
      </c>
      <c r="AB22" s="2093">
        <v>0.19541688130188592</v>
      </c>
    </row>
    <row r="23" spans="2:28">
      <c r="B23" s="89">
        <v>39</v>
      </c>
      <c r="C23" s="1">
        <v>0.53500000000000003</v>
      </c>
      <c r="D23" s="1">
        <v>9.6820000000000004</v>
      </c>
      <c r="E23" s="1">
        <v>1.9910000000000001</v>
      </c>
      <c r="F23" s="1">
        <v>1.9910000000000001</v>
      </c>
      <c r="G23" s="1">
        <v>9.1470000000000002</v>
      </c>
      <c r="H23" s="741">
        <v>5.8489122116540941E-2</v>
      </c>
      <c r="I23" s="741">
        <v>0.21766699464305236</v>
      </c>
      <c r="J23" s="2078">
        <v>0.27615611675959328</v>
      </c>
      <c r="K23" s="89">
        <v>39</v>
      </c>
      <c r="L23" s="1">
        <v>0.63200000000000001</v>
      </c>
      <c r="M23" s="1">
        <v>10.874000000000001</v>
      </c>
      <c r="N23" s="1419">
        <v>0.496</v>
      </c>
      <c r="O23" s="1">
        <v>0.496</v>
      </c>
      <c r="P23" s="1">
        <v>10.242000000000001</v>
      </c>
      <c r="Q23" s="741">
        <v>6.1706697910564337E-2</v>
      </c>
      <c r="R23" s="741">
        <v>4.8428041398164416E-2</v>
      </c>
      <c r="S23" s="2079">
        <v>0.11013473930872875</v>
      </c>
      <c r="T23" s="89">
        <v>39</v>
      </c>
      <c r="U23" s="740">
        <v>0.58350000000000002</v>
      </c>
      <c r="V23" s="740">
        <v>10.278</v>
      </c>
      <c r="W23" s="740">
        <v>1.2435</v>
      </c>
      <c r="X23" s="740">
        <v>1.2435</v>
      </c>
      <c r="Y23" s="740">
        <v>9.6945000000000014</v>
      </c>
      <c r="Z23" s="2067">
        <v>6.0097910013552636E-2</v>
      </c>
      <c r="AA23" s="2067">
        <v>0.13304751802060838</v>
      </c>
      <c r="AB23" s="2094">
        <v>0.19314542803416102</v>
      </c>
    </row>
    <row r="24" spans="2:28">
      <c r="B24" s="2077">
        <v>40</v>
      </c>
      <c r="C24" s="2069">
        <v>0.52100000000000002</v>
      </c>
      <c r="D24" s="2069">
        <v>9.9499999999999993</v>
      </c>
      <c r="E24" s="2069">
        <v>2.0640000000000001</v>
      </c>
      <c r="F24" s="2069">
        <v>2.0640000000000001</v>
      </c>
      <c r="G24" s="2069">
        <v>9.4289999999999985</v>
      </c>
      <c r="H24" s="2070">
        <v>5.5255064163750145E-2</v>
      </c>
      <c r="I24" s="2070">
        <v>0.21889914094813875</v>
      </c>
      <c r="J24" s="2078">
        <v>0.27415420511188893</v>
      </c>
      <c r="K24" s="2077">
        <v>40</v>
      </c>
      <c r="L24" s="2069">
        <v>0.61499999999999999</v>
      </c>
      <c r="M24" s="2069">
        <v>11.163</v>
      </c>
      <c r="N24" s="2071">
        <v>0.51</v>
      </c>
      <c r="O24" s="2069">
        <v>0.51</v>
      </c>
      <c r="P24" s="2069">
        <v>10.548</v>
      </c>
      <c r="Q24" s="2070">
        <v>5.8304891922639365E-2</v>
      </c>
      <c r="R24" s="2070">
        <v>4.8350398179749718E-2</v>
      </c>
      <c r="S24" s="2078">
        <v>0.10665529010238908</v>
      </c>
      <c r="T24" s="2077">
        <v>40</v>
      </c>
      <c r="U24" s="1686">
        <v>0.56800000000000006</v>
      </c>
      <c r="V24" s="1686">
        <v>10.5565</v>
      </c>
      <c r="W24" s="1686">
        <v>1.2869999999999999</v>
      </c>
      <c r="X24" s="1686">
        <v>1.2869999999999999</v>
      </c>
      <c r="Y24" s="1686">
        <v>9.9884999999999984</v>
      </c>
      <c r="Z24" s="2072">
        <v>5.6779978043194755E-2</v>
      </c>
      <c r="AA24" s="2072">
        <v>0.13362476956394423</v>
      </c>
      <c r="AB24" s="2093">
        <v>0.19040474760713899</v>
      </c>
    </row>
    <row r="25" spans="2:28">
      <c r="B25" s="89">
        <v>41</v>
      </c>
      <c r="C25" s="1">
        <v>0.505</v>
      </c>
      <c r="D25" s="1">
        <v>10.226000000000001</v>
      </c>
      <c r="E25" s="1">
        <v>2.1389999999999998</v>
      </c>
      <c r="F25" s="1">
        <v>2.1389999999999998</v>
      </c>
      <c r="G25" s="1">
        <v>9.7210000000000001</v>
      </c>
      <c r="H25" s="741">
        <v>5.1949387923053182E-2</v>
      </c>
      <c r="I25" s="741">
        <v>0.22003909062853613</v>
      </c>
      <c r="J25" s="2078">
        <v>0.27198847855158931</v>
      </c>
      <c r="K25" s="89">
        <v>41</v>
      </c>
      <c r="L25" s="1">
        <v>0.59499999999999997</v>
      </c>
      <c r="M25" s="1">
        <v>11.46</v>
      </c>
      <c r="N25" s="1419">
        <v>0.52300000000000002</v>
      </c>
      <c r="O25" s="1">
        <v>0.52300000000000002</v>
      </c>
      <c r="P25" s="1">
        <v>10.865</v>
      </c>
      <c r="Q25" s="741">
        <v>5.4763000460193278E-2</v>
      </c>
      <c r="R25" s="741">
        <v>4.8136217211228717E-2</v>
      </c>
      <c r="S25" s="2079">
        <v>0.10289921767142199</v>
      </c>
      <c r="T25" s="89">
        <v>41</v>
      </c>
      <c r="U25" s="740">
        <v>0.55000000000000004</v>
      </c>
      <c r="V25" s="740">
        <v>10.843</v>
      </c>
      <c r="W25" s="740">
        <v>1.331</v>
      </c>
      <c r="X25" s="740">
        <v>1.331</v>
      </c>
      <c r="Y25" s="740">
        <v>10.292999999999999</v>
      </c>
      <c r="Z25" s="2067">
        <v>5.3356194191623227E-2</v>
      </c>
      <c r="AA25" s="2067">
        <v>0.13408765391988242</v>
      </c>
      <c r="AB25" s="2094">
        <v>0.18744384811150566</v>
      </c>
    </row>
    <row r="26" spans="2:28">
      <c r="B26" s="2077">
        <v>42</v>
      </c>
      <c r="C26" s="2069">
        <v>0.48899999999999999</v>
      </c>
      <c r="D26" s="2069">
        <v>10.512</v>
      </c>
      <c r="E26" s="2069">
        <v>2.214</v>
      </c>
      <c r="F26" s="2069">
        <v>2.214</v>
      </c>
      <c r="G26" s="2069">
        <v>10.023</v>
      </c>
      <c r="H26" s="2070">
        <v>4.8787788087398982E-2</v>
      </c>
      <c r="I26" s="2070">
        <v>0.22089194851840765</v>
      </c>
      <c r="J26" s="2078">
        <v>0.26967973660580663</v>
      </c>
      <c r="K26" s="2077">
        <v>42</v>
      </c>
      <c r="L26" s="2069">
        <v>0.57199999999999995</v>
      </c>
      <c r="M26" s="2069">
        <v>11.766</v>
      </c>
      <c r="N26" s="2071">
        <v>0.53700000000000003</v>
      </c>
      <c r="O26" s="2069">
        <v>0.53700000000000003</v>
      </c>
      <c r="P26" s="2069">
        <v>11.194000000000001</v>
      </c>
      <c r="Q26" s="2070">
        <v>5.1098802930141136E-2</v>
      </c>
      <c r="R26" s="2070">
        <v>4.7972127925674471E-2</v>
      </c>
      <c r="S26" s="2078">
        <v>9.9070930855815614E-2</v>
      </c>
      <c r="T26" s="2077">
        <v>42</v>
      </c>
      <c r="U26" s="1686">
        <v>0.53049999999999997</v>
      </c>
      <c r="V26" s="1686">
        <v>11.138999999999999</v>
      </c>
      <c r="W26" s="1686">
        <v>1.3754999999999999</v>
      </c>
      <c r="X26" s="1686">
        <v>1.3754999999999999</v>
      </c>
      <c r="Y26" s="1686">
        <v>10.608499999999999</v>
      </c>
      <c r="Z26" s="2072">
        <v>4.9943295508770059E-2</v>
      </c>
      <c r="AA26" s="2072">
        <v>0.13443203822204106</v>
      </c>
      <c r="AB26" s="2093">
        <v>0.18437533373081111</v>
      </c>
    </row>
    <row r="27" spans="2:28">
      <c r="B27" s="89">
        <v>43</v>
      </c>
      <c r="C27" s="1">
        <v>0.47199999999999998</v>
      </c>
      <c r="D27" s="1">
        <v>10.808</v>
      </c>
      <c r="E27" s="1">
        <v>2.2909999999999999</v>
      </c>
      <c r="F27" s="1">
        <v>2.2909999999999999</v>
      </c>
      <c r="G27" s="1">
        <v>10.336</v>
      </c>
      <c r="H27" s="741">
        <v>4.5665634674922594E-2</v>
      </c>
      <c r="I27" s="741">
        <v>0.22165247678018574</v>
      </c>
      <c r="J27" s="2078">
        <v>0.26731811145510831</v>
      </c>
      <c r="K27" s="89">
        <v>43</v>
      </c>
      <c r="L27" s="1">
        <v>0.54700000000000004</v>
      </c>
      <c r="M27" s="1">
        <v>12.081</v>
      </c>
      <c r="N27" s="1419">
        <v>0.55000000000000004</v>
      </c>
      <c r="O27" s="1">
        <v>0.55000000000000004</v>
      </c>
      <c r="P27" s="1">
        <v>11.533999999999999</v>
      </c>
      <c r="Q27" s="741">
        <v>4.7425004335009548E-2</v>
      </c>
      <c r="R27" s="741">
        <v>4.7685104907230803E-2</v>
      </c>
      <c r="S27" s="2079">
        <v>9.5110109242240351E-2</v>
      </c>
      <c r="T27" s="89">
        <v>43</v>
      </c>
      <c r="U27" s="740">
        <v>0.50950000000000006</v>
      </c>
      <c r="V27" s="740">
        <v>11.4445</v>
      </c>
      <c r="W27" s="740">
        <v>1.4205000000000001</v>
      </c>
      <c r="X27" s="740">
        <v>1.4205000000000001</v>
      </c>
      <c r="Y27" s="740">
        <v>10.934999999999999</v>
      </c>
      <c r="Z27" s="2067">
        <v>4.6545319504966071E-2</v>
      </c>
      <c r="AA27" s="2067">
        <v>0.13466879084370828</v>
      </c>
      <c r="AB27" s="2094">
        <v>0.18121411034867432</v>
      </c>
    </row>
    <row r="28" spans="2:28">
      <c r="B28" s="2077">
        <v>44</v>
      </c>
      <c r="C28" s="2069">
        <v>0.45400000000000001</v>
      </c>
      <c r="D28" s="2069">
        <v>11.115</v>
      </c>
      <c r="E28" s="2069">
        <v>2.3690000000000002</v>
      </c>
      <c r="F28" s="2069">
        <v>2.3690000000000002</v>
      </c>
      <c r="G28" s="2069">
        <v>10.661</v>
      </c>
      <c r="H28" s="2070">
        <v>4.2585123346777977E-2</v>
      </c>
      <c r="I28" s="2070">
        <v>0.22221180001876001</v>
      </c>
      <c r="J28" s="2078">
        <v>0.26479692336553801</v>
      </c>
      <c r="K28" s="2077">
        <v>44</v>
      </c>
      <c r="L28" s="2069">
        <v>0.52100000000000002</v>
      </c>
      <c r="M28" s="2069">
        <v>12.407</v>
      </c>
      <c r="N28" s="2071">
        <v>0.56299999999999994</v>
      </c>
      <c r="O28" s="2069">
        <v>0.56299999999999994</v>
      </c>
      <c r="P28" s="2069">
        <v>11.885999999999999</v>
      </c>
      <c r="Q28" s="2070">
        <v>4.3833080935554436E-2</v>
      </c>
      <c r="R28" s="2070">
        <v>4.7366649840148073E-2</v>
      </c>
      <c r="S28" s="2078">
        <v>9.1199730775702509E-2</v>
      </c>
      <c r="T28" s="2077">
        <v>44</v>
      </c>
      <c r="U28" s="1686">
        <v>0.48750000000000004</v>
      </c>
      <c r="V28" s="1686">
        <v>11.760999999999999</v>
      </c>
      <c r="W28" s="1686">
        <v>1.4660000000000002</v>
      </c>
      <c r="X28" s="1686">
        <v>1.4660000000000002</v>
      </c>
      <c r="Y28" s="1686">
        <v>11.273499999999999</v>
      </c>
      <c r="Z28" s="2072">
        <v>4.3209102141166203E-2</v>
      </c>
      <c r="AA28" s="2072">
        <v>0.13478922492945405</v>
      </c>
      <c r="AB28" s="2093">
        <v>0.17799832707062024</v>
      </c>
    </row>
    <row r="29" spans="2:28">
      <c r="B29" s="89">
        <v>45</v>
      </c>
      <c r="C29" s="1">
        <v>0.436</v>
      </c>
      <c r="D29" s="1">
        <v>11.433</v>
      </c>
      <c r="E29" s="1">
        <v>2.448</v>
      </c>
      <c r="F29" s="1">
        <v>2.448</v>
      </c>
      <c r="G29" s="1">
        <v>10.997</v>
      </c>
      <c r="H29" s="741">
        <v>3.9647176502682548E-2</v>
      </c>
      <c r="I29" s="741">
        <v>0.22260616531781394</v>
      </c>
      <c r="J29" s="2078">
        <v>0.26225334182049648</v>
      </c>
      <c r="K29" s="89">
        <v>45</v>
      </c>
      <c r="L29" s="1">
        <v>0.49399999999999999</v>
      </c>
      <c r="M29" s="1">
        <v>12.744</v>
      </c>
      <c r="N29" s="1419">
        <v>0.57599999999999996</v>
      </c>
      <c r="O29" s="1">
        <v>0.57599999999999996</v>
      </c>
      <c r="P29" s="1">
        <v>12.25</v>
      </c>
      <c r="Q29" s="741">
        <v>4.03265306122449E-2</v>
      </c>
      <c r="R29" s="741">
        <v>4.7020408163265304E-2</v>
      </c>
      <c r="S29" s="2079">
        <v>8.7346938775510197E-2</v>
      </c>
      <c r="T29" s="89">
        <v>45</v>
      </c>
      <c r="U29" s="740">
        <v>0.46499999999999997</v>
      </c>
      <c r="V29" s="740">
        <v>12.0885</v>
      </c>
      <c r="W29" s="740">
        <v>1.512</v>
      </c>
      <c r="X29" s="740">
        <v>1.512</v>
      </c>
      <c r="Y29" s="740">
        <v>11.6235</v>
      </c>
      <c r="Z29" s="2067">
        <v>3.9986853557463724E-2</v>
      </c>
      <c r="AA29" s="2067">
        <v>0.13481328674053961</v>
      </c>
      <c r="AB29" s="2094">
        <v>0.17480014029800334</v>
      </c>
    </row>
    <row r="30" spans="2:28">
      <c r="B30" s="2077">
        <v>46</v>
      </c>
      <c r="C30" s="2069">
        <v>0.41699999999999998</v>
      </c>
      <c r="D30" s="2069">
        <v>11.762</v>
      </c>
      <c r="E30" s="2069">
        <v>2.5259999999999998</v>
      </c>
      <c r="F30" s="2069">
        <v>2.5259999999999998</v>
      </c>
      <c r="G30" s="2069">
        <v>11.345000000000001</v>
      </c>
      <c r="H30" s="2070">
        <v>3.6756280299691489E-2</v>
      </c>
      <c r="I30" s="2070">
        <v>0.22265315116791534</v>
      </c>
      <c r="J30" s="2078">
        <v>0.25940943146760681</v>
      </c>
      <c r="K30" s="2077">
        <v>46</v>
      </c>
      <c r="L30" s="2069">
        <v>0.46500000000000002</v>
      </c>
      <c r="M30" s="2069">
        <v>13.092000000000001</v>
      </c>
      <c r="N30" s="2071">
        <v>0.58899999999999997</v>
      </c>
      <c r="O30" s="2069">
        <v>0.58899999999999997</v>
      </c>
      <c r="P30" s="2069">
        <v>12.627000000000001</v>
      </c>
      <c r="Q30" s="2070">
        <v>3.682584937039677E-2</v>
      </c>
      <c r="R30" s="2070">
        <v>4.6646075869169239E-2</v>
      </c>
      <c r="S30" s="2078">
        <v>8.3471925239566008E-2</v>
      </c>
      <c r="T30" s="2077">
        <v>46</v>
      </c>
      <c r="U30" s="1686">
        <v>0.441</v>
      </c>
      <c r="V30" s="1686">
        <v>12.427</v>
      </c>
      <c r="W30" s="1686">
        <v>1.5574999999999999</v>
      </c>
      <c r="X30" s="1686">
        <v>1.5574999999999999</v>
      </c>
      <c r="Y30" s="1686">
        <v>11.986000000000001</v>
      </c>
      <c r="Z30" s="2072">
        <v>3.6791064835044129E-2</v>
      </c>
      <c r="AA30" s="2072">
        <v>0.13464961351854229</v>
      </c>
      <c r="AB30" s="2093">
        <v>0.1714406783535864</v>
      </c>
    </row>
    <row r="31" spans="2:28">
      <c r="B31" s="89">
        <v>47</v>
      </c>
      <c r="C31" s="1">
        <v>0.39500000000000002</v>
      </c>
      <c r="D31" s="1">
        <v>12.103</v>
      </c>
      <c r="E31" s="1">
        <v>2.6040000000000001</v>
      </c>
      <c r="F31" s="1">
        <v>2.6040000000000001</v>
      </c>
      <c r="G31" s="1">
        <v>11.708</v>
      </c>
      <c r="H31" s="741">
        <v>3.3737615305773828E-2</v>
      </c>
      <c r="I31" s="741">
        <v>0.22241202596515203</v>
      </c>
      <c r="J31" s="2078">
        <v>0.25614964127092588</v>
      </c>
      <c r="K31" s="89">
        <v>47</v>
      </c>
      <c r="L31" s="1">
        <v>0.435</v>
      </c>
      <c r="M31" s="1">
        <v>13.452</v>
      </c>
      <c r="N31" s="1419">
        <v>0.60099999999999998</v>
      </c>
      <c r="O31" s="1">
        <v>0.60099999999999998</v>
      </c>
      <c r="P31" s="1">
        <v>13.016999999999999</v>
      </c>
      <c r="Q31" s="741">
        <v>3.3417838211569489E-2</v>
      </c>
      <c r="R31" s="741">
        <v>4.6170392563570715E-2</v>
      </c>
      <c r="S31" s="2079">
        <v>7.9588230775140212E-2</v>
      </c>
      <c r="T31" s="89">
        <v>47</v>
      </c>
      <c r="U31" s="740">
        <v>0.41500000000000004</v>
      </c>
      <c r="V31" s="740">
        <v>12.7775</v>
      </c>
      <c r="W31" s="740">
        <v>1.6025</v>
      </c>
      <c r="X31" s="740">
        <v>1.6025</v>
      </c>
      <c r="Y31" s="740">
        <v>12.362500000000001</v>
      </c>
      <c r="Z31" s="2067">
        <v>3.3577726758671655E-2</v>
      </c>
      <c r="AA31" s="2067">
        <v>0.13429120926436136</v>
      </c>
      <c r="AB31" s="2094">
        <v>0.16786893602303304</v>
      </c>
    </row>
    <row r="32" spans="2:28">
      <c r="B32" s="2077">
        <v>48</v>
      </c>
      <c r="C32" s="2069">
        <v>0.371</v>
      </c>
      <c r="D32" s="2069">
        <v>12.455</v>
      </c>
      <c r="E32" s="2069">
        <v>2.6819999999999999</v>
      </c>
      <c r="F32" s="2069">
        <v>2.6819999999999999</v>
      </c>
      <c r="G32" s="2069">
        <v>12.084</v>
      </c>
      <c r="H32" s="2070">
        <v>3.0701754385964914E-2</v>
      </c>
      <c r="I32" s="2070">
        <v>0.22194637537239326</v>
      </c>
      <c r="J32" s="2078">
        <v>0.25264812975835815</v>
      </c>
      <c r="K32" s="2077">
        <v>48</v>
      </c>
      <c r="L32" s="2069">
        <v>0.40300000000000002</v>
      </c>
      <c r="M32" s="2069">
        <v>13.823</v>
      </c>
      <c r="N32" s="2071">
        <v>0.61299999999999999</v>
      </c>
      <c r="O32" s="2069">
        <v>0.61299999999999999</v>
      </c>
      <c r="P32" s="2069">
        <v>13.42</v>
      </c>
      <c r="Q32" s="2070">
        <v>3.0029806259314458E-2</v>
      </c>
      <c r="R32" s="2070">
        <v>4.5678092399403875E-2</v>
      </c>
      <c r="S32" s="2078">
        <v>7.5707898658718326E-2</v>
      </c>
      <c r="T32" s="2077">
        <v>48</v>
      </c>
      <c r="U32" s="1686">
        <v>0.38700000000000001</v>
      </c>
      <c r="V32" s="1686">
        <v>13.138999999999999</v>
      </c>
      <c r="W32" s="1686">
        <v>1.6475</v>
      </c>
      <c r="X32" s="1686">
        <v>1.6475</v>
      </c>
      <c r="Y32" s="1686">
        <v>12.751999999999999</v>
      </c>
      <c r="Z32" s="2072">
        <v>3.0365780322639688E-2</v>
      </c>
      <c r="AA32" s="2072">
        <v>0.13381223388589858</v>
      </c>
      <c r="AB32" s="2093">
        <v>0.16417801420853823</v>
      </c>
    </row>
    <row r="33" spans="2:28">
      <c r="B33" s="89">
        <v>49</v>
      </c>
      <c r="C33" s="1">
        <v>0.34399999999999997</v>
      </c>
      <c r="D33" s="1">
        <v>12.82</v>
      </c>
      <c r="E33" s="1">
        <v>2.758</v>
      </c>
      <c r="F33" s="1">
        <v>2.758</v>
      </c>
      <c r="G33" s="1">
        <v>12.476000000000001</v>
      </c>
      <c r="H33" s="741">
        <v>2.7572940044886179E-2</v>
      </c>
      <c r="I33" s="741">
        <v>0.22106444373196535</v>
      </c>
      <c r="J33" s="2078">
        <v>0.24863738377685152</v>
      </c>
      <c r="K33" s="89">
        <v>49</v>
      </c>
      <c r="L33" s="1">
        <v>0.36899999999999999</v>
      </c>
      <c r="M33" s="1">
        <v>14.207000000000001</v>
      </c>
      <c r="N33" s="1419">
        <v>0.624</v>
      </c>
      <c r="O33" s="1">
        <v>0.624</v>
      </c>
      <c r="P33" s="1">
        <v>13.838000000000001</v>
      </c>
      <c r="Q33" s="741">
        <v>2.6665703136291369E-2</v>
      </c>
      <c r="R33" s="741">
        <v>4.5093221563809793E-2</v>
      </c>
      <c r="S33" s="2079">
        <v>7.1758924700101159E-2</v>
      </c>
      <c r="T33" s="89">
        <v>49</v>
      </c>
      <c r="U33" s="740">
        <v>0.35649999999999998</v>
      </c>
      <c r="V33" s="740">
        <v>13.513500000000001</v>
      </c>
      <c r="W33" s="740">
        <v>1.6910000000000001</v>
      </c>
      <c r="X33" s="740">
        <v>1.6910000000000001</v>
      </c>
      <c r="Y33" s="740">
        <v>13.157</v>
      </c>
      <c r="Z33" s="2067">
        <v>2.7119321590588774E-2</v>
      </c>
      <c r="AA33" s="2067">
        <v>0.13307883264788756</v>
      </c>
      <c r="AB33" s="2094">
        <v>0.16019815423847633</v>
      </c>
    </row>
    <row r="34" spans="2:28">
      <c r="B34" s="2077">
        <v>50</v>
      </c>
      <c r="C34" s="2069">
        <v>0.314</v>
      </c>
      <c r="D34" s="2069">
        <v>13.196999999999999</v>
      </c>
      <c r="E34" s="2069">
        <v>2.8330000000000002</v>
      </c>
      <c r="F34" s="2069">
        <v>2.8330000000000002</v>
      </c>
      <c r="G34" s="2069">
        <v>12.882999999999999</v>
      </c>
      <c r="H34" s="2070">
        <v>2.4373204998835676E-2</v>
      </c>
      <c r="I34" s="2070">
        <v>0.21990219669331681</v>
      </c>
      <c r="J34" s="2078">
        <v>0.24427540169215251</v>
      </c>
      <c r="K34" s="2077">
        <v>50</v>
      </c>
      <c r="L34" s="2069">
        <v>0.33300000000000002</v>
      </c>
      <c r="M34" s="2069">
        <v>14.603999999999999</v>
      </c>
      <c r="N34" s="2071">
        <v>0.63400000000000001</v>
      </c>
      <c r="O34" s="2069">
        <v>0.63400000000000001</v>
      </c>
      <c r="P34" s="2069">
        <v>14.270999999999999</v>
      </c>
      <c r="Q34" s="2070">
        <v>2.3334034055076731E-2</v>
      </c>
      <c r="R34" s="2070">
        <v>4.4425758531287232E-2</v>
      </c>
      <c r="S34" s="2078">
        <v>6.7759792586363971E-2</v>
      </c>
      <c r="T34" s="2077">
        <v>50</v>
      </c>
      <c r="U34" s="1686">
        <v>0.32350000000000001</v>
      </c>
      <c r="V34" s="1686">
        <v>13.900499999999999</v>
      </c>
      <c r="W34" s="1686">
        <v>1.7335</v>
      </c>
      <c r="X34" s="1686">
        <v>1.7335</v>
      </c>
      <c r="Y34" s="1686">
        <v>13.576999999999998</v>
      </c>
      <c r="Z34" s="2072">
        <v>2.3853619526956204E-2</v>
      </c>
      <c r="AA34" s="2072">
        <v>0.13216397761230203</v>
      </c>
      <c r="AB34" s="2093">
        <v>0.15601759713925822</v>
      </c>
    </row>
    <row r="35" spans="2:28">
      <c r="B35" s="89">
        <v>51</v>
      </c>
      <c r="C35" s="1">
        <v>0.28100000000000003</v>
      </c>
      <c r="D35" s="1">
        <v>13.587999999999999</v>
      </c>
      <c r="E35" s="1">
        <v>2.907</v>
      </c>
      <c r="F35" s="1">
        <v>2.907</v>
      </c>
      <c r="G35" s="1">
        <v>13.306999999999999</v>
      </c>
      <c r="H35" s="741">
        <v>2.1116705493349368E-2</v>
      </c>
      <c r="I35" s="741">
        <v>0.21845645149169612</v>
      </c>
      <c r="J35" s="2078">
        <v>0.2395731569850455</v>
      </c>
      <c r="K35" s="89">
        <v>51</v>
      </c>
      <c r="L35" s="1">
        <v>0.29499999999999998</v>
      </c>
      <c r="M35" s="1">
        <v>15.013</v>
      </c>
      <c r="N35" s="1419">
        <v>0.64400000000000002</v>
      </c>
      <c r="O35" s="1">
        <v>0.64400000000000002</v>
      </c>
      <c r="P35" s="1">
        <v>14.718</v>
      </c>
      <c r="Q35" s="741">
        <v>2.0043484169044706E-2</v>
      </c>
      <c r="R35" s="741">
        <v>4.3755945101236579E-2</v>
      </c>
      <c r="S35" s="2079">
        <v>6.3799429270281288E-2</v>
      </c>
      <c r="T35" s="89">
        <v>51</v>
      </c>
      <c r="U35" s="740">
        <v>0.28800000000000003</v>
      </c>
      <c r="V35" s="740">
        <v>14.3005</v>
      </c>
      <c r="W35" s="740">
        <v>1.7755000000000001</v>
      </c>
      <c r="X35" s="740">
        <v>1.7755000000000001</v>
      </c>
      <c r="Y35" s="740">
        <v>14.012499999999999</v>
      </c>
      <c r="Z35" s="2067">
        <v>2.0580094831197035E-2</v>
      </c>
      <c r="AA35" s="2067">
        <v>0.13110619829646636</v>
      </c>
      <c r="AB35" s="2094">
        <v>0.15168629312766341</v>
      </c>
    </row>
    <row r="36" spans="2:28">
      <c r="B36" s="2077">
        <v>52</v>
      </c>
      <c r="C36" s="2069">
        <v>0.246</v>
      </c>
      <c r="D36" s="2069">
        <v>13.993</v>
      </c>
      <c r="E36" s="2069">
        <v>2.9790000000000001</v>
      </c>
      <c r="F36" s="2069">
        <v>2.9790000000000001</v>
      </c>
      <c r="G36" s="2069">
        <v>13.747</v>
      </c>
      <c r="H36" s="2070">
        <v>1.7894813413835746E-2</v>
      </c>
      <c r="I36" s="2070">
        <v>0.21670182585291337</v>
      </c>
      <c r="J36" s="2078">
        <v>0.23459663926674912</v>
      </c>
      <c r="K36" s="2077">
        <v>52</v>
      </c>
      <c r="L36" s="2069">
        <v>0.254</v>
      </c>
      <c r="M36" s="2069">
        <v>15.436</v>
      </c>
      <c r="N36" s="2071">
        <v>0.65200000000000002</v>
      </c>
      <c r="O36" s="2069">
        <v>0.65200000000000002</v>
      </c>
      <c r="P36" s="2069">
        <v>15.182</v>
      </c>
      <c r="Q36" s="2070">
        <v>1.6730338558819655E-2</v>
      </c>
      <c r="R36" s="2070">
        <v>4.2945593465946515E-2</v>
      </c>
      <c r="S36" s="2078">
        <v>5.9675932024766169E-2</v>
      </c>
      <c r="T36" s="2077">
        <v>52</v>
      </c>
      <c r="U36" s="1686">
        <v>0.25</v>
      </c>
      <c r="V36" s="1686">
        <v>14.714500000000001</v>
      </c>
      <c r="W36" s="1686">
        <v>1.8155000000000001</v>
      </c>
      <c r="X36" s="1686">
        <v>1.8155000000000001</v>
      </c>
      <c r="Y36" s="1686">
        <v>14.464500000000001</v>
      </c>
      <c r="Z36" s="2072">
        <v>1.73125759863277E-2</v>
      </c>
      <c r="AA36" s="2072">
        <v>0.12982370965942994</v>
      </c>
      <c r="AB36" s="2093">
        <v>0.14713628564575765</v>
      </c>
    </row>
    <row r="37" spans="2:28">
      <c r="B37" s="89">
        <v>53</v>
      </c>
      <c r="C37" s="1">
        <v>0.20799999999999999</v>
      </c>
      <c r="D37" s="1">
        <v>14.414999999999999</v>
      </c>
      <c r="E37" s="1">
        <v>3.05</v>
      </c>
      <c r="F37" s="1">
        <v>3.05</v>
      </c>
      <c r="G37" s="1">
        <v>14.206999999999999</v>
      </c>
      <c r="H37" s="741">
        <v>1.4640670092208067E-2</v>
      </c>
      <c r="I37" s="741">
        <v>0.21468290279439714</v>
      </c>
      <c r="J37" s="2078">
        <v>0.22932357288660521</v>
      </c>
      <c r="K37" s="89">
        <v>53</v>
      </c>
      <c r="L37" s="1">
        <v>0.21299999999999999</v>
      </c>
      <c r="M37" s="1">
        <v>15.874000000000001</v>
      </c>
      <c r="N37" s="1419">
        <v>0.66</v>
      </c>
      <c r="O37" s="1">
        <v>0.66</v>
      </c>
      <c r="P37" s="1">
        <v>15.661000000000001</v>
      </c>
      <c r="Q37" s="741">
        <v>1.3600664069982758E-2</v>
      </c>
      <c r="R37" s="741">
        <v>4.2142902752059251E-2</v>
      </c>
      <c r="S37" s="2079">
        <v>5.5743566822042012E-2</v>
      </c>
      <c r="T37" s="89">
        <v>53</v>
      </c>
      <c r="U37" s="740">
        <v>0.21049999999999999</v>
      </c>
      <c r="V37" s="740">
        <v>15.144500000000001</v>
      </c>
      <c r="W37" s="740">
        <v>1.855</v>
      </c>
      <c r="X37" s="740">
        <v>1.855</v>
      </c>
      <c r="Y37" s="740">
        <v>14.934000000000001</v>
      </c>
      <c r="Z37" s="2067">
        <v>1.4120667081095412E-2</v>
      </c>
      <c r="AA37" s="2067">
        <v>0.1284129027732282</v>
      </c>
      <c r="AB37" s="2094">
        <v>0.14253356985432361</v>
      </c>
    </row>
    <row r="38" spans="2:28">
      <c r="B38" s="2077">
        <v>54</v>
      </c>
      <c r="C38" s="2069">
        <v>0.16900000000000001</v>
      </c>
      <c r="D38" s="2069">
        <v>14.853</v>
      </c>
      <c r="E38" s="2069">
        <v>3.12</v>
      </c>
      <c r="F38" s="2069">
        <v>3.12</v>
      </c>
      <c r="G38" s="2069">
        <v>14.683999999999999</v>
      </c>
      <c r="H38" s="2070">
        <v>1.1509125578861346E-2</v>
      </c>
      <c r="I38" s="2070">
        <v>0.21247616453282486</v>
      </c>
      <c r="J38" s="2078">
        <v>0.22398529011168622</v>
      </c>
      <c r="K38" s="2077">
        <v>54</v>
      </c>
      <c r="L38" s="2069">
        <v>0.17100000000000001</v>
      </c>
      <c r="M38" s="2069">
        <v>16.327999999999999</v>
      </c>
      <c r="N38" s="2071">
        <v>0.66700000000000004</v>
      </c>
      <c r="O38" s="2069">
        <v>0.66700000000000004</v>
      </c>
      <c r="P38" s="2069">
        <v>16.157</v>
      </c>
      <c r="Q38" s="2070">
        <v>1.058364795444699E-2</v>
      </c>
      <c r="R38" s="2070">
        <v>4.1282416290152876E-2</v>
      </c>
      <c r="S38" s="2078">
        <v>5.1866064244599865E-2</v>
      </c>
      <c r="T38" s="2077">
        <v>54</v>
      </c>
      <c r="U38" s="1686">
        <v>0.17</v>
      </c>
      <c r="V38" s="1686">
        <v>15.590499999999999</v>
      </c>
      <c r="W38" s="1686">
        <v>1.8935</v>
      </c>
      <c r="X38" s="1686">
        <v>1.8935</v>
      </c>
      <c r="Y38" s="1686">
        <v>15.420500000000001</v>
      </c>
      <c r="Z38" s="2072">
        <v>1.1046386766654169E-2</v>
      </c>
      <c r="AA38" s="2072">
        <v>0.12687929041148888</v>
      </c>
      <c r="AB38" s="2093">
        <v>0.13792567717814305</v>
      </c>
    </row>
    <row r="39" spans="2:28">
      <c r="B39" s="89">
        <v>55</v>
      </c>
      <c r="C39" s="1">
        <v>0.13</v>
      </c>
      <c r="D39" s="1">
        <v>15.308999999999999</v>
      </c>
      <c r="E39" s="1">
        <v>3.19</v>
      </c>
      <c r="F39" s="1">
        <v>3.19</v>
      </c>
      <c r="G39" s="1">
        <v>15.178999999999998</v>
      </c>
      <c r="H39" s="741">
        <v>8.564464062191187E-3</v>
      </c>
      <c r="I39" s="741">
        <v>0.21015877198761448</v>
      </c>
      <c r="J39" s="2078">
        <v>0.21872323604980567</v>
      </c>
      <c r="K39" s="89">
        <v>55</v>
      </c>
      <c r="L39" s="1">
        <v>0.129</v>
      </c>
      <c r="M39" s="1">
        <v>16.798999999999999</v>
      </c>
      <c r="N39" s="1419">
        <v>0.67400000000000004</v>
      </c>
      <c r="O39" s="1">
        <v>0.67400000000000004</v>
      </c>
      <c r="P39" s="1">
        <v>16.669999999999998</v>
      </c>
      <c r="Q39" s="741">
        <v>7.7384523095380938E-3</v>
      </c>
      <c r="R39" s="741">
        <v>4.0431913617276549E-2</v>
      </c>
      <c r="S39" s="2079">
        <v>4.8170365926814646E-2</v>
      </c>
      <c r="T39" s="89">
        <v>55</v>
      </c>
      <c r="U39" s="740">
        <v>0.1295</v>
      </c>
      <c r="V39" s="740">
        <v>16.053999999999998</v>
      </c>
      <c r="W39" s="740">
        <v>1.9319999999999999</v>
      </c>
      <c r="X39" s="740">
        <v>1.9319999999999999</v>
      </c>
      <c r="Y39" s="740">
        <v>15.924499999999998</v>
      </c>
      <c r="Z39" s="2067">
        <v>8.15145818586464E-3</v>
      </c>
      <c r="AA39" s="2067">
        <v>0.12529534280244553</v>
      </c>
      <c r="AB39" s="2094">
        <v>0.13344680098831016</v>
      </c>
    </row>
    <row r="40" spans="2:28">
      <c r="B40" s="2077">
        <v>56</v>
      </c>
      <c r="C40" s="2069">
        <v>9.0999999999999998E-2</v>
      </c>
      <c r="D40" s="2069">
        <v>15.784000000000001</v>
      </c>
      <c r="E40" s="2069">
        <v>3.26</v>
      </c>
      <c r="F40" s="2069">
        <v>3.26</v>
      </c>
      <c r="G40" s="2069">
        <v>15.693000000000001</v>
      </c>
      <c r="H40" s="2070">
        <v>5.7987637800293122E-3</v>
      </c>
      <c r="I40" s="2070">
        <v>0.20773593321863248</v>
      </c>
      <c r="J40" s="2078">
        <v>0.21353469699866179</v>
      </c>
      <c r="K40" s="2077">
        <v>56</v>
      </c>
      <c r="L40" s="2069">
        <v>8.7999999999999995E-2</v>
      </c>
      <c r="M40" s="2069">
        <v>17.288</v>
      </c>
      <c r="N40" s="2071">
        <v>0.68</v>
      </c>
      <c r="O40" s="2069">
        <v>0.68</v>
      </c>
      <c r="P40" s="2069">
        <v>17.2</v>
      </c>
      <c r="Q40" s="2070">
        <v>5.1162790697674414E-3</v>
      </c>
      <c r="R40" s="2070">
        <v>3.9534883720930239E-2</v>
      </c>
      <c r="S40" s="2078">
        <v>4.4651162790697682E-2</v>
      </c>
      <c r="T40" s="2077">
        <v>56</v>
      </c>
      <c r="U40" s="1686">
        <v>8.9499999999999996E-2</v>
      </c>
      <c r="V40" s="1686">
        <v>16.536000000000001</v>
      </c>
      <c r="W40" s="1686">
        <v>1.97</v>
      </c>
      <c r="X40" s="1686">
        <v>1.97</v>
      </c>
      <c r="Y40" s="1686">
        <v>16.4465</v>
      </c>
      <c r="Z40" s="2072">
        <v>5.4575214248983768E-3</v>
      </c>
      <c r="AA40" s="2072">
        <v>0.12363540846978135</v>
      </c>
      <c r="AB40" s="2093">
        <v>0.12909292989467974</v>
      </c>
    </row>
    <row r="41" spans="2:28">
      <c r="B41" s="89">
        <v>57</v>
      </c>
      <c r="C41" s="1">
        <v>5.5E-2</v>
      </c>
      <c r="D41" s="1">
        <v>16.279</v>
      </c>
      <c r="E41" s="1">
        <v>3.3319999999999999</v>
      </c>
      <c r="F41" s="1">
        <v>3.3319999999999999</v>
      </c>
      <c r="G41" s="1">
        <v>16.224</v>
      </c>
      <c r="H41" s="741">
        <v>3.3900394477317554E-3</v>
      </c>
      <c r="I41" s="741">
        <v>0.20537475345167652</v>
      </c>
      <c r="J41" s="2078">
        <v>0.20876479289940827</v>
      </c>
      <c r="K41" s="89">
        <v>57</v>
      </c>
      <c r="L41" s="1">
        <v>5.2999999999999999E-2</v>
      </c>
      <c r="M41" s="1">
        <v>17.798999999999999</v>
      </c>
      <c r="N41" s="1419">
        <v>0.68600000000000005</v>
      </c>
      <c r="O41" s="1">
        <v>0.68600000000000005</v>
      </c>
      <c r="P41" s="1">
        <v>17.745999999999999</v>
      </c>
      <c r="Q41" s="741">
        <v>2.9865885269919983E-3</v>
      </c>
      <c r="R41" s="741">
        <v>3.8656598670122853E-2</v>
      </c>
      <c r="S41" s="2079">
        <v>4.164318719711485E-2</v>
      </c>
      <c r="T41" s="89">
        <v>57</v>
      </c>
      <c r="U41" s="740">
        <v>5.3999999999999999E-2</v>
      </c>
      <c r="V41" s="740">
        <v>17.039000000000001</v>
      </c>
      <c r="W41" s="740">
        <v>2.0089999999999999</v>
      </c>
      <c r="X41" s="740">
        <v>2.0089999999999999</v>
      </c>
      <c r="Y41" s="740">
        <v>16.984999999999999</v>
      </c>
      <c r="Z41" s="2067">
        <v>3.1883139873618771E-3</v>
      </c>
      <c r="AA41" s="2067">
        <v>0.12201567606089969</v>
      </c>
      <c r="AB41" s="2094">
        <v>0.12520399004826155</v>
      </c>
    </row>
    <row r="42" spans="2:28">
      <c r="B42" s="2077">
        <v>58</v>
      </c>
      <c r="C42" s="2069">
        <v>2.5999999999999999E-2</v>
      </c>
      <c r="D42" s="2069">
        <v>16.797000000000001</v>
      </c>
      <c r="E42" s="2069">
        <v>3.407</v>
      </c>
      <c r="F42" s="2069">
        <v>3.407</v>
      </c>
      <c r="G42" s="2069">
        <v>16.771000000000001</v>
      </c>
      <c r="H42" s="2070">
        <v>1.5502951523463119E-3</v>
      </c>
      <c r="I42" s="2070">
        <v>0.20314829169399559</v>
      </c>
      <c r="J42" s="2078">
        <v>0.2046985868463419</v>
      </c>
      <c r="K42" s="2077">
        <v>58</v>
      </c>
      <c r="L42" s="2069">
        <v>2.4E-2</v>
      </c>
      <c r="M42" s="2069">
        <v>18.332999999999998</v>
      </c>
      <c r="N42" s="2071">
        <v>0.69299999999999995</v>
      </c>
      <c r="O42" s="2069">
        <v>0.69299999999999995</v>
      </c>
      <c r="P42" s="2069">
        <v>18.308999999999997</v>
      </c>
      <c r="Q42" s="2070">
        <v>1.3108307389808292E-3</v>
      </c>
      <c r="R42" s="2070">
        <v>3.7850237588071441E-2</v>
      </c>
      <c r="S42" s="2078">
        <v>3.9161068327052267E-2</v>
      </c>
      <c r="T42" s="2077">
        <v>58</v>
      </c>
      <c r="U42" s="1686">
        <v>2.5000000000000001E-2</v>
      </c>
      <c r="V42" s="1686">
        <v>17.564999999999998</v>
      </c>
      <c r="W42" s="1686">
        <v>2.0499999999999998</v>
      </c>
      <c r="X42" s="1686">
        <v>2.0499999999999998</v>
      </c>
      <c r="Y42" s="1686">
        <v>17.54</v>
      </c>
      <c r="Z42" s="2072">
        <v>1.4305629456635707E-3</v>
      </c>
      <c r="AA42" s="2072">
        <v>0.12049926464103351</v>
      </c>
      <c r="AB42" s="2093">
        <v>0.12192982758669708</v>
      </c>
    </row>
    <row r="43" spans="2:28">
      <c r="B43" s="89">
        <v>59</v>
      </c>
      <c r="C43" s="1">
        <v>6.0000000000000001E-3</v>
      </c>
      <c r="D43" s="1">
        <v>17.341000000000001</v>
      </c>
      <c r="E43" s="1">
        <v>3.4860000000000002</v>
      </c>
      <c r="F43" s="1">
        <v>3.4860000000000002</v>
      </c>
      <c r="G43" s="1">
        <v>17.335000000000001</v>
      </c>
      <c r="H43" s="741">
        <v>3.4612056533025667E-4</v>
      </c>
      <c r="I43" s="741">
        <v>0.20109604845687915</v>
      </c>
      <c r="J43" s="2078">
        <v>0.20144216902220941</v>
      </c>
      <c r="K43" s="89">
        <v>59</v>
      </c>
      <c r="L43" s="1">
        <v>6.0000000000000001E-3</v>
      </c>
      <c r="M43" s="1">
        <v>18.896000000000001</v>
      </c>
      <c r="N43" s="1419">
        <v>0.7</v>
      </c>
      <c r="O43" s="1">
        <v>0.7</v>
      </c>
      <c r="P43" s="1">
        <v>18.89</v>
      </c>
      <c r="Q43" s="741">
        <v>3.1762837480148225E-4</v>
      </c>
      <c r="R43" s="741">
        <v>3.7056643726839596E-2</v>
      </c>
      <c r="S43" s="2079">
        <v>3.7374272101641078E-2</v>
      </c>
      <c r="T43" s="89">
        <v>59</v>
      </c>
      <c r="U43" s="740">
        <v>6.0000000000000001E-3</v>
      </c>
      <c r="V43" s="740">
        <v>18.118500000000001</v>
      </c>
      <c r="W43" s="740">
        <v>2.093</v>
      </c>
      <c r="X43" s="740">
        <v>2.093</v>
      </c>
      <c r="Y43" s="740">
        <v>18.112500000000001</v>
      </c>
      <c r="Z43" s="2067">
        <v>3.3187447006586949E-4</v>
      </c>
      <c r="AA43" s="2067">
        <v>0.11907634609185937</v>
      </c>
      <c r="AB43" s="2094">
        <v>0.11940822056192524</v>
      </c>
    </row>
    <row r="44" spans="2:28">
      <c r="B44" s="2098">
        <v>60</v>
      </c>
      <c r="C44" s="2099">
        <v>0</v>
      </c>
      <c r="D44" s="2099">
        <v>17.913</v>
      </c>
      <c r="E44" s="2099">
        <v>3.569</v>
      </c>
      <c r="F44" s="2099">
        <v>3.569</v>
      </c>
      <c r="G44" s="2099">
        <v>17.913</v>
      </c>
      <c r="H44" s="2100">
        <v>0</v>
      </c>
      <c r="I44" s="2100">
        <v>0.19924077485624964</v>
      </c>
      <c r="J44" s="2101">
        <v>0.19924077485624964</v>
      </c>
      <c r="K44" s="2098">
        <v>60</v>
      </c>
      <c r="L44" s="2099">
        <v>0</v>
      </c>
      <c r="M44" s="2099">
        <v>19.489000000000001</v>
      </c>
      <c r="N44" s="2102">
        <v>0.70699999999999996</v>
      </c>
      <c r="O44" s="2099">
        <v>0.70699999999999996</v>
      </c>
      <c r="P44" s="2099">
        <v>19.489000000000001</v>
      </c>
      <c r="Q44" s="2100">
        <v>0</v>
      </c>
      <c r="R44" s="2100">
        <v>3.6276874134126939E-2</v>
      </c>
      <c r="S44" s="2101">
        <v>3.6276874134126939E-2</v>
      </c>
      <c r="T44" s="2098">
        <v>60</v>
      </c>
      <c r="U44" s="2103">
        <v>0</v>
      </c>
      <c r="V44" s="2103">
        <v>18.701000000000001</v>
      </c>
      <c r="W44" s="2103">
        <v>2.1379999999999999</v>
      </c>
      <c r="X44" s="2103">
        <v>2.1379999999999999</v>
      </c>
      <c r="Y44" s="2103">
        <v>18.701000000000001</v>
      </c>
      <c r="Z44" s="2104">
        <v>0</v>
      </c>
      <c r="AA44" s="2104">
        <v>0.11775882449518829</v>
      </c>
      <c r="AB44" s="2105">
        <v>0.11775882449518829</v>
      </c>
    </row>
    <row r="45" spans="2:28">
      <c r="B45" s="89">
        <v>61</v>
      </c>
      <c r="C45" s="1">
        <v>0</v>
      </c>
      <c r="D45" s="1">
        <v>17.553000000000001</v>
      </c>
      <c r="E45" s="1">
        <v>3.5979999999999999</v>
      </c>
      <c r="F45" s="1">
        <v>3.5979999999999999</v>
      </c>
      <c r="G45" s="1">
        <v>17.553000000000001</v>
      </c>
      <c r="H45" s="741">
        <v>0</v>
      </c>
      <c r="I45" s="741">
        <v>0.20497920583376059</v>
      </c>
      <c r="J45" s="2078">
        <v>0.20497920583376059</v>
      </c>
      <c r="K45" s="89">
        <v>61</v>
      </c>
      <c r="L45" s="1">
        <v>0</v>
      </c>
      <c r="M45" s="1">
        <v>19.131</v>
      </c>
      <c r="N45" s="1419">
        <v>0.69199999999999995</v>
      </c>
      <c r="O45" s="1">
        <v>0.69199999999999995</v>
      </c>
      <c r="P45" s="1">
        <v>19.131</v>
      </c>
      <c r="Q45" s="741">
        <v>0</v>
      </c>
      <c r="R45" s="741">
        <v>3.6171658564633315E-2</v>
      </c>
      <c r="S45" s="2079">
        <v>3.6171658564633315E-2</v>
      </c>
      <c r="T45" s="89">
        <v>61</v>
      </c>
      <c r="U45" s="740">
        <v>0</v>
      </c>
      <c r="V45" s="740">
        <v>18.341999999999999</v>
      </c>
      <c r="W45" s="740">
        <v>2.145</v>
      </c>
      <c r="X45" s="740">
        <v>2.145</v>
      </c>
      <c r="Y45" s="740">
        <v>18.341999999999999</v>
      </c>
      <c r="Z45" s="2067">
        <v>0</v>
      </c>
      <c r="AA45" s="2067">
        <v>0.12057543219919695</v>
      </c>
      <c r="AB45" s="2094">
        <v>0.12057543219919695</v>
      </c>
    </row>
    <row r="46" spans="2:28">
      <c r="B46" s="2077">
        <v>62</v>
      </c>
      <c r="C46" s="2069">
        <v>0</v>
      </c>
      <c r="D46" s="2069">
        <v>17.187000000000001</v>
      </c>
      <c r="E46" s="2069">
        <v>3.6219999999999999</v>
      </c>
      <c r="F46" s="2069">
        <v>3.6219999999999999</v>
      </c>
      <c r="G46" s="2069">
        <v>17.187000000000001</v>
      </c>
      <c r="H46" s="2070">
        <v>0</v>
      </c>
      <c r="I46" s="2070">
        <v>0.21074067609239538</v>
      </c>
      <c r="J46" s="2078">
        <v>0.21074067609239538</v>
      </c>
      <c r="K46" s="2077">
        <v>62</v>
      </c>
      <c r="L46" s="2069">
        <v>0</v>
      </c>
      <c r="M46" s="2069">
        <v>18.765999999999998</v>
      </c>
      <c r="N46" s="2071">
        <v>0.67600000000000005</v>
      </c>
      <c r="O46" s="2069">
        <v>0.67600000000000005</v>
      </c>
      <c r="P46" s="2069">
        <v>18.765999999999998</v>
      </c>
      <c r="Q46" s="2070">
        <v>0</v>
      </c>
      <c r="R46" s="2070">
        <v>3.6022594053074716E-2</v>
      </c>
      <c r="S46" s="2078">
        <v>3.6022594053074716E-2</v>
      </c>
      <c r="T46" s="2077">
        <v>62</v>
      </c>
      <c r="U46" s="1686">
        <v>0</v>
      </c>
      <c r="V46" s="1686">
        <v>17.976500000000001</v>
      </c>
      <c r="W46" s="1686">
        <v>2.149</v>
      </c>
      <c r="X46" s="1686">
        <v>2.149</v>
      </c>
      <c r="Y46" s="1686">
        <v>17.976500000000001</v>
      </c>
      <c r="Z46" s="2072">
        <v>0</v>
      </c>
      <c r="AA46" s="2072">
        <v>0.12338163507273506</v>
      </c>
      <c r="AB46" s="2093">
        <v>0.12338163507273506</v>
      </c>
    </row>
    <row r="47" spans="2:28">
      <c r="B47" s="89">
        <v>63</v>
      </c>
      <c r="C47" s="1">
        <v>0</v>
      </c>
      <c r="D47" s="1">
        <v>16.815000000000001</v>
      </c>
      <c r="E47" s="1">
        <v>3.6419999999999999</v>
      </c>
      <c r="F47" s="1">
        <v>3.6419999999999999</v>
      </c>
      <c r="G47" s="1">
        <v>16.815000000000001</v>
      </c>
      <c r="H47" s="741">
        <v>0</v>
      </c>
      <c r="I47" s="741">
        <v>0.21659232827832289</v>
      </c>
      <c r="J47" s="2078">
        <v>0.21659232827832289</v>
      </c>
      <c r="K47" s="89">
        <v>63</v>
      </c>
      <c r="L47" s="1">
        <v>0</v>
      </c>
      <c r="M47" s="1">
        <v>18.393000000000001</v>
      </c>
      <c r="N47" s="1419">
        <v>0.65900000000000003</v>
      </c>
      <c r="O47" s="1">
        <v>0.65900000000000003</v>
      </c>
      <c r="P47" s="1">
        <v>18.393000000000001</v>
      </c>
      <c r="Q47" s="741">
        <v>0</v>
      </c>
      <c r="R47" s="741">
        <v>3.5828847931278204E-2</v>
      </c>
      <c r="S47" s="2079">
        <v>3.5828847931278204E-2</v>
      </c>
      <c r="T47" s="89">
        <v>63</v>
      </c>
      <c r="U47" s="740">
        <v>0</v>
      </c>
      <c r="V47" s="740">
        <v>17.603999999999999</v>
      </c>
      <c r="W47" s="740">
        <v>2.1505000000000001</v>
      </c>
      <c r="X47" s="740">
        <v>2.1505000000000001</v>
      </c>
      <c r="Y47" s="740">
        <v>17.603999999999999</v>
      </c>
      <c r="Z47" s="2067">
        <v>0</v>
      </c>
      <c r="AA47" s="2067">
        <v>0.12621058810480054</v>
      </c>
      <c r="AB47" s="2094">
        <v>0.12621058810480054</v>
      </c>
    </row>
    <row r="48" spans="2:28">
      <c r="B48" s="2077">
        <v>64</v>
      </c>
      <c r="C48" s="2069">
        <v>0</v>
      </c>
      <c r="D48" s="2069">
        <v>16.437999999999999</v>
      </c>
      <c r="E48" s="2069">
        <v>3.6579999999999999</v>
      </c>
      <c r="F48" s="2069">
        <v>3.6579999999999999</v>
      </c>
      <c r="G48" s="2069">
        <v>16.437999999999999</v>
      </c>
      <c r="H48" s="2070">
        <v>0</v>
      </c>
      <c r="I48" s="2070">
        <v>0.22253315488502251</v>
      </c>
      <c r="J48" s="2078">
        <v>0.22253315488502251</v>
      </c>
      <c r="K48" s="2077">
        <v>64</v>
      </c>
      <c r="L48" s="2069">
        <v>0</v>
      </c>
      <c r="M48" s="2069">
        <v>18.010999999999999</v>
      </c>
      <c r="N48" s="2071">
        <v>0.64100000000000001</v>
      </c>
      <c r="O48" s="2069">
        <v>0.64100000000000001</v>
      </c>
      <c r="P48" s="2069">
        <v>18.010999999999999</v>
      </c>
      <c r="Q48" s="2070">
        <v>0</v>
      </c>
      <c r="R48" s="2070">
        <v>3.5589362056521016E-2</v>
      </c>
      <c r="S48" s="2078">
        <v>3.5589362056521016E-2</v>
      </c>
      <c r="T48" s="2077">
        <v>64</v>
      </c>
      <c r="U48" s="1686">
        <v>0</v>
      </c>
      <c r="V48" s="1686">
        <v>17.224499999999999</v>
      </c>
      <c r="W48" s="1686">
        <v>2.1494999999999997</v>
      </c>
      <c r="X48" s="1686">
        <v>2.1494999999999997</v>
      </c>
      <c r="Y48" s="1686">
        <v>17.224499999999999</v>
      </c>
      <c r="Z48" s="2072">
        <v>0</v>
      </c>
      <c r="AA48" s="2072">
        <v>0.12906125847077177</v>
      </c>
      <c r="AB48" s="2093">
        <v>0.12906125847077177</v>
      </c>
    </row>
    <row r="49" spans="2:28">
      <c r="B49" s="89">
        <v>65</v>
      </c>
      <c r="C49" s="1">
        <v>0</v>
      </c>
      <c r="D49" s="1">
        <v>16.053000000000001</v>
      </c>
      <c r="E49" s="1">
        <v>3.6680000000000001</v>
      </c>
      <c r="F49" s="1">
        <v>3.6680000000000001</v>
      </c>
      <c r="G49" s="1">
        <v>16.053000000000001</v>
      </c>
      <c r="H49" s="741">
        <v>0</v>
      </c>
      <c r="I49" s="741">
        <v>0.2284931165514234</v>
      </c>
      <c r="J49" s="2079">
        <v>0.2284931165514234</v>
      </c>
      <c r="K49" s="89">
        <v>65</v>
      </c>
      <c r="L49" s="1">
        <v>0</v>
      </c>
      <c r="M49" s="1">
        <v>17.619</v>
      </c>
      <c r="N49" s="1419">
        <v>0.623</v>
      </c>
      <c r="O49" s="1">
        <v>0.623</v>
      </c>
      <c r="P49" s="1">
        <v>17.619</v>
      </c>
      <c r="Q49" s="741">
        <v>0</v>
      </c>
      <c r="R49" s="741">
        <v>3.5359555025824392E-2</v>
      </c>
      <c r="S49" s="2079">
        <v>3.5359555025824392E-2</v>
      </c>
      <c r="T49" s="89">
        <v>65</v>
      </c>
      <c r="U49" s="740">
        <v>0</v>
      </c>
      <c r="V49" s="740">
        <v>16.835999999999999</v>
      </c>
      <c r="W49" s="740">
        <v>2.1455000000000002</v>
      </c>
      <c r="X49" s="740">
        <v>2.1455000000000002</v>
      </c>
      <c r="Y49" s="740">
        <v>16.835999999999999</v>
      </c>
      <c r="Z49" s="957">
        <v>0</v>
      </c>
      <c r="AA49" s="957">
        <v>0.13192633578862389</v>
      </c>
      <c r="AB49" s="958">
        <v>0.13192633578862389</v>
      </c>
    </row>
    <row r="50" spans="2:28">
      <c r="B50" s="2077">
        <v>66</v>
      </c>
      <c r="C50" s="2069"/>
      <c r="D50" s="2069">
        <v>15.661</v>
      </c>
      <c r="E50" s="2069">
        <v>3.6739999999999999</v>
      </c>
      <c r="F50" s="2069">
        <v>3.6739999999999999</v>
      </c>
      <c r="G50" s="2069">
        <v>15.661</v>
      </c>
      <c r="H50" s="2070">
        <v>0</v>
      </c>
      <c r="I50" s="2070">
        <v>0.23459549198646318</v>
      </c>
      <c r="J50" s="2078">
        <v>0.23459549198646318</v>
      </c>
      <c r="K50" s="2077">
        <v>66</v>
      </c>
      <c r="L50" s="2069">
        <v>0</v>
      </c>
      <c r="M50" s="2069">
        <v>17.216999999999999</v>
      </c>
      <c r="N50" s="2071">
        <v>0.60399999999999998</v>
      </c>
      <c r="O50" s="2069">
        <v>0.60399999999999998</v>
      </c>
      <c r="P50" s="2069">
        <v>17.216999999999999</v>
      </c>
      <c r="Q50" s="2070">
        <v>0</v>
      </c>
      <c r="R50" s="2070">
        <v>3.5081605390021489E-2</v>
      </c>
      <c r="S50" s="2078">
        <v>3.5081605390021489E-2</v>
      </c>
      <c r="T50" s="2077">
        <v>66</v>
      </c>
      <c r="U50" s="1686">
        <v>0</v>
      </c>
      <c r="V50" s="1686">
        <v>16.439</v>
      </c>
      <c r="W50" s="1686">
        <v>2.1389999999999998</v>
      </c>
      <c r="X50" s="1686">
        <v>2.1389999999999998</v>
      </c>
      <c r="Y50" s="1686">
        <v>16.439</v>
      </c>
      <c r="Z50" s="2072">
        <v>0</v>
      </c>
      <c r="AA50" s="2072">
        <v>0.13483854868824233</v>
      </c>
      <c r="AB50" s="2093">
        <v>0.13483854868824233</v>
      </c>
    </row>
    <row r="51" spans="2:28">
      <c r="B51" s="89">
        <v>67</v>
      </c>
      <c r="C51" s="1"/>
      <c r="D51" s="1">
        <v>15.260999999999999</v>
      </c>
      <c r="E51" s="1">
        <v>3.6779999999999999</v>
      </c>
      <c r="F51" s="1">
        <v>3.6779999999999999</v>
      </c>
      <c r="G51" s="1">
        <v>15.260999999999999</v>
      </c>
      <c r="H51" s="741">
        <v>0</v>
      </c>
      <c r="I51" s="741">
        <v>0.24100648712404169</v>
      </c>
      <c r="J51" s="2078">
        <v>0.24100648712404169</v>
      </c>
      <c r="K51" s="89">
        <v>67</v>
      </c>
      <c r="L51" s="1">
        <v>0</v>
      </c>
      <c r="M51" s="1">
        <v>16.803000000000001</v>
      </c>
      <c r="N51" s="1419">
        <v>0.58599999999999997</v>
      </c>
      <c r="O51" s="1">
        <v>0.58599999999999997</v>
      </c>
      <c r="P51" s="1">
        <v>16.803000000000001</v>
      </c>
      <c r="Q51" s="741">
        <v>0</v>
      </c>
      <c r="R51" s="741">
        <v>3.4874724751532464E-2</v>
      </c>
      <c r="S51" s="2079">
        <v>3.4874724751532464E-2</v>
      </c>
      <c r="T51" s="89">
        <v>67</v>
      </c>
      <c r="U51" s="740">
        <v>0</v>
      </c>
      <c r="V51" s="740">
        <v>16.032</v>
      </c>
      <c r="W51" s="740">
        <v>2.1320000000000001</v>
      </c>
      <c r="X51" s="740">
        <v>2.1320000000000001</v>
      </c>
      <c r="Y51" s="740">
        <v>16.032</v>
      </c>
      <c r="Z51" s="2067">
        <v>0</v>
      </c>
      <c r="AA51" s="2067">
        <v>0.13794060593778706</v>
      </c>
      <c r="AB51" s="2094">
        <v>0.13794060593778706</v>
      </c>
    </row>
    <row r="52" spans="2:28">
      <c r="B52" s="2077">
        <v>68</v>
      </c>
      <c r="C52" s="2069"/>
      <c r="D52" s="2069">
        <v>14.851000000000001</v>
      </c>
      <c r="E52" s="2069">
        <v>3.68</v>
      </c>
      <c r="F52" s="2069">
        <v>3.68</v>
      </c>
      <c r="G52" s="2069">
        <v>14.851000000000001</v>
      </c>
      <c r="H52" s="2070">
        <v>0</v>
      </c>
      <c r="I52" s="2070">
        <v>0.24779476129553565</v>
      </c>
      <c r="J52" s="2078">
        <v>0.24779476129553565</v>
      </c>
      <c r="K52" s="2077">
        <v>68</v>
      </c>
      <c r="L52" s="2069">
        <v>0</v>
      </c>
      <c r="M52" s="2069">
        <v>16.378</v>
      </c>
      <c r="N52" s="2071">
        <v>0.56699999999999995</v>
      </c>
      <c r="O52" s="2069">
        <v>0.56699999999999995</v>
      </c>
      <c r="P52" s="2069">
        <v>16.378</v>
      </c>
      <c r="Q52" s="2070">
        <v>0</v>
      </c>
      <c r="R52" s="2070">
        <v>3.4619611674197089E-2</v>
      </c>
      <c r="S52" s="2078">
        <v>3.4619611674197089E-2</v>
      </c>
      <c r="T52" s="2077">
        <v>68</v>
      </c>
      <c r="U52" s="1686">
        <v>0</v>
      </c>
      <c r="V52" s="1686">
        <v>15.6145</v>
      </c>
      <c r="W52" s="1686">
        <v>2.1234999999999999</v>
      </c>
      <c r="X52" s="1686">
        <v>2.1234999999999999</v>
      </c>
      <c r="Y52" s="1686">
        <v>15.6145</v>
      </c>
      <c r="Z52" s="2072">
        <v>0</v>
      </c>
      <c r="AA52" s="2072">
        <v>0.14120718648486638</v>
      </c>
      <c r="AB52" s="2093">
        <v>0.14120718648486638</v>
      </c>
    </row>
    <row r="53" spans="2:28">
      <c r="B53" s="89">
        <v>69</v>
      </c>
      <c r="C53" s="1"/>
      <c r="D53" s="1">
        <v>14.432</v>
      </c>
      <c r="E53" s="1">
        <v>3.681</v>
      </c>
      <c r="F53" s="1">
        <v>3.681</v>
      </c>
      <c r="G53" s="1">
        <v>14.432</v>
      </c>
      <c r="H53" s="741">
        <v>0</v>
      </c>
      <c r="I53" s="741">
        <v>0.25505820399113083</v>
      </c>
      <c r="J53" s="2078">
        <v>0.25505820399113083</v>
      </c>
      <c r="K53" s="89">
        <v>69</v>
      </c>
      <c r="L53" s="1">
        <v>0</v>
      </c>
      <c r="M53" s="1">
        <v>15.94</v>
      </c>
      <c r="N53" s="1419">
        <v>0.54900000000000004</v>
      </c>
      <c r="O53" s="1">
        <v>0.54900000000000004</v>
      </c>
      <c r="P53" s="1">
        <v>15.94</v>
      </c>
      <c r="Q53" s="741">
        <v>0</v>
      </c>
      <c r="R53" s="741">
        <v>3.4441656210790469E-2</v>
      </c>
      <c r="S53" s="2079">
        <v>3.4441656210790469E-2</v>
      </c>
      <c r="T53" s="89">
        <v>69</v>
      </c>
      <c r="U53" s="740">
        <v>0</v>
      </c>
      <c r="V53" s="740">
        <v>15.186</v>
      </c>
      <c r="W53" s="740">
        <v>2.1150000000000002</v>
      </c>
      <c r="X53" s="740">
        <v>2.1150000000000002</v>
      </c>
      <c r="Y53" s="740">
        <v>15.186</v>
      </c>
      <c r="Z53" s="2067">
        <v>0</v>
      </c>
      <c r="AA53" s="2067">
        <v>0.14474993010096066</v>
      </c>
      <c r="AB53" s="2094">
        <v>0.14474993010096066</v>
      </c>
    </row>
    <row r="54" spans="2:28">
      <c r="B54" s="2077">
        <v>70</v>
      </c>
      <c r="C54" s="2069"/>
      <c r="D54" s="2069">
        <v>14.002000000000001</v>
      </c>
      <c r="E54" s="2069">
        <v>3.6789999999999998</v>
      </c>
      <c r="F54" s="2069">
        <v>3.6789999999999998</v>
      </c>
      <c r="G54" s="2069">
        <v>14.002000000000001</v>
      </c>
      <c r="H54" s="2070">
        <v>0</v>
      </c>
      <c r="I54" s="2070">
        <v>0.26274817883159546</v>
      </c>
      <c r="J54" s="2078">
        <v>0.26274817883159546</v>
      </c>
      <c r="K54" s="2077">
        <v>70</v>
      </c>
      <c r="L54" s="2069">
        <v>0</v>
      </c>
      <c r="M54" s="2069">
        <v>15.49</v>
      </c>
      <c r="N54" s="2071">
        <v>0.53</v>
      </c>
      <c r="O54" s="2069">
        <v>0.53</v>
      </c>
      <c r="P54" s="2069">
        <v>15.49</v>
      </c>
      <c r="Q54" s="2070">
        <v>0</v>
      </c>
      <c r="R54" s="2070">
        <v>3.4215622982569402E-2</v>
      </c>
      <c r="S54" s="2078">
        <v>3.4215622982569402E-2</v>
      </c>
      <c r="T54" s="2077">
        <v>70</v>
      </c>
      <c r="U54" s="1686">
        <v>0</v>
      </c>
      <c r="V54" s="1686">
        <v>14.746</v>
      </c>
      <c r="W54" s="1686">
        <v>2.1044999999999998</v>
      </c>
      <c r="X54" s="1686">
        <v>2.1044999999999998</v>
      </c>
      <c r="Y54" s="1686">
        <v>14.746</v>
      </c>
      <c r="Z54" s="2072">
        <v>0</v>
      </c>
      <c r="AA54" s="2072">
        <v>0.14848190090708244</v>
      </c>
      <c r="AB54" s="2093">
        <v>0.14848190090708244</v>
      </c>
    </row>
    <row r="55" spans="2:28">
      <c r="B55" s="89">
        <v>71</v>
      </c>
      <c r="C55" s="1"/>
      <c r="D55" s="1">
        <v>13.561999999999999</v>
      </c>
      <c r="E55" s="1">
        <v>3.6749999999999998</v>
      </c>
      <c r="F55" s="1">
        <v>3.6749999999999998</v>
      </c>
      <c r="G55" s="1">
        <v>13.561999999999999</v>
      </c>
      <c r="H55" s="741">
        <v>0</v>
      </c>
      <c r="I55" s="741">
        <v>0.27097773189795016</v>
      </c>
      <c r="J55" s="2078">
        <v>0.27097773189795016</v>
      </c>
      <c r="K55" s="89">
        <v>71</v>
      </c>
      <c r="L55" s="1">
        <v>0</v>
      </c>
      <c r="M55" s="1">
        <v>15.026</v>
      </c>
      <c r="N55" s="1419">
        <v>0.51</v>
      </c>
      <c r="O55" s="1">
        <v>0.51</v>
      </c>
      <c r="P55" s="1">
        <v>15.026</v>
      </c>
      <c r="Q55" s="741">
        <v>0</v>
      </c>
      <c r="R55" s="741">
        <v>3.3941168641022229E-2</v>
      </c>
      <c r="S55" s="2079">
        <v>3.3941168641022229E-2</v>
      </c>
      <c r="T55" s="89">
        <v>71</v>
      </c>
      <c r="U55" s="740">
        <v>0</v>
      </c>
      <c r="V55" s="740">
        <v>14.294</v>
      </c>
      <c r="W55" s="740">
        <v>2.0924999999999998</v>
      </c>
      <c r="X55" s="740">
        <v>2.0924999999999998</v>
      </c>
      <c r="Y55" s="740">
        <v>14.294</v>
      </c>
      <c r="Z55" s="2067">
        <v>0</v>
      </c>
      <c r="AA55" s="2067">
        <v>0.15245945026948621</v>
      </c>
      <c r="AB55" s="2094">
        <v>0.15245945026948621</v>
      </c>
    </row>
    <row r="56" spans="2:28">
      <c r="B56" s="2077">
        <v>72</v>
      </c>
      <c r="C56" s="2069"/>
      <c r="D56" s="2069">
        <v>13.111000000000001</v>
      </c>
      <c r="E56" s="2069">
        <v>3.669</v>
      </c>
      <c r="F56" s="2069">
        <v>3.669</v>
      </c>
      <c r="G56" s="2069">
        <v>13.111000000000001</v>
      </c>
      <c r="H56" s="2070">
        <v>0</v>
      </c>
      <c r="I56" s="2070">
        <v>0.27984135458775072</v>
      </c>
      <c r="J56" s="2078">
        <v>0.27984135458775072</v>
      </c>
      <c r="K56" s="2077">
        <v>72</v>
      </c>
      <c r="L56" s="2069">
        <v>0</v>
      </c>
      <c r="M56" s="2069">
        <v>14.55</v>
      </c>
      <c r="N56" s="2071">
        <v>0.49099999999999999</v>
      </c>
      <c r="O56" s="2069">
        <v>0.49099999999999999</v>
      </c>
      <c r="P56" s="2069">
        <v>14.55</v>
      </c>
      <c r="Q56" s="2070">
        <v>0</v>
      </c>
      <c r="R56" s="2070">
        <v>3.3745704467353949E-2</v>
      </c>
      <c r="S56" s="2078">
        <v>3.3745704467353949E-2</v>
      </c>
      <c r="T56" s="2077">
        <v>72</v>
      </c>
      <c r="U56" s="1686">
        <v>0</v>
      </c>
      <c r="V56" s="1686">
        <v>13.830500000000001</v>
      </c>
      <c r="W56" s="1686">
        <v>2.08</v>
      </c>
      <c r="X56" s="1686">
        <v>2.08</v>
      </c>
      <c r="Y56" s="1686">
        <v>13.830500000000001</v>
      </c>
      <c r="Z56" s="2072">
        <v>0</v>
      </c>
      <c r="AA56" s="2072">
        <v>0.15679352952755232</v>
      </c>
      <c r="AB56" s="2093">
        <v>0.15679352952755232</v>
      </c>
    </row>
    <row r="57" spans="2:28">
      <c r="B57" s="89">
        <v>73</v>
      </c>
      <c r="C57" s="1"/>
      <c r="D57" s="1">
        <v>12.65</v>
      </c>
      <c r="E57" s="1">
        <v>3.6669999999999998</v>
      </c>
      <c r="F57" s="1">
        <v>3.6669999999999998</v>
      </c>
      <c r="G57" s="1">
        <v>12.65</v>
      </c>
      <c r="H57" s="741">
        <v>0</v>
      </c>
      <c r="I57" s="741">
        <v>0.28988142292490116</v>
      </c>
      <c r="J57" s="2078">
        <v>0.28988142292490116</v>
      </c>
      <c r="K57" s="89">
        <v>73</v>
      </c>
      <c r="L57" s="1">
        <v>0</v>
      </c>
      <c r="M57" s="1">
        <v>14.061999999999999</v>
      </c>
      <c r="N57" s="1419">
        <v>0.47199999999999998</v>
      </c>
      <c r="O57" s="1">
        <v>0.47199999999999998</v>
      </c>
      <c r="P57" s="1">
        <v>14.061999999999999</v>
      </c>
      <c r="Q57" s="741">
        <v>0</v>
      </c>
      <c r="R57" s="741">
        <v>3.3565637889347175E-2</v>
      </c>
      <c r="S57" s="2079">
        <v>3.3565637889347175E-2</v>
      </c>
      <c r="T57" s="89">
        <v>73</v>
      </c>
      <c r="U57" s="740">
        <v>0</v>
      </c>
      <c r="V57" s="740">
        <v>13.356</v>
      </c>
      <c r="W57" s="740">
        <v>2.0694999999999997</v>
      </c>
      <c r="X57" s="740">
        <v>2.0694999999999997</v>
      </c>
      <c r="Y57" s="740">
        <v>13.356</v>
      </c>
      <c r="Z57" s="2067">
        <v>0</v>
      </c>
      <c r="AA57" s="2067">
        <v>0.16172353040712417</v>
      </c>
      <c r="AB57" s="2094">
        <v>0.16172353040712417</v>
      </c>
    </row>
    <row r="58" spans="2:28">
      <c r="B58" s="2077">
        <v>74</v>
      </c>
      <c r="C58" s="2069"/>
      <c r="D58" s="2069">
        <v>12.18</v>
      </c>
      <c r="E58" s="2069">
        <v>3.6619999999999999</v>
      </c>
      <c r="F58" s="2069">
        <v>3.6619999999999999</v>
      </c>
      <c r="G58" s="2069">
        <v>12.18</v>
      </c>
      <c r="H58" s="2070">
        <v>0</v>
      </c>
      <c r="I58" s="2070">
        <v>0.30065681444991788</v>
      </c>
      <c r="J58" s="2078">
        <v>0.30065681444991788</v>
      </c>
      <c r="K58" s="2077">
        <v>74</v>
      </c>
      <c r="L58" s="2069">
        <v>0</v>
      </c>
      <c r="M58" s="2069">
        <v>13.561999999999999</v>
      </c>
      <c r="N58" s="2071">
        <v>0.45300000000000001</v>
      </c>
      <c r="O58" s="2069">
        <v>0.45300000000000001</v>
      </c>
      <c r="P58" s="2069">
        <v>13.561999999999999</v>
      </c>
      <c r="Q58" s="2070">
        <v>0</v>
      </c>
      <c r="R58" s="2070">
        <v>3.3402153074767738E-2</v>
      </c>
      <c r="S58" s="2078">
        <v>3.3402153074767738E-2</v>
      </c>
      <c r="T58" s="2077">
        <v>74</v>
      </c>
      <c r="U58" s="1686">
        <v>0</v>
      </c>
      <c r="V58" s="1686">
        <v>12.870999999999999</v>
      </c>
      <c r="W58" s="1686">
        <v>2.0575000000000001</v>
      </c>
      <c r="X58" s="1686">
        <v>2.0575000000000001</v>
      </c>
      <c r="Y58" s="1686">
        <v>12.870999999999999</v>
      </c>
      <c r="Z58" s="2072">
        <v>0</v>
      </c>
      <c r="AA58" s="2072">
        <v>0.16702948376234281</v>
      </c>
      <c r="AB58" s="2093">
        <v>0.16702948376234281</v>
      </c>
    </row>
    <row r="59" spans="2:28">
      <c r="B59" s="89">
        <v>75</v>
      </c>
      <c r="C59" s="1"/>
      <c r="D59" s="1">
        <v>11.701000000000001</v>
      </c>
      <c r="E59" s="1">
        <v>3.6549999999999998</v>
      </c>
      <c r="F59" s="1">
        <v>3.6549999999999998</v>
      </c>
      <c r="G59" s="1">
        <v>11.701000000000001</v>
      </c>
      <c r="H59" s="741">
        <v>0</v>
      </c>
      <c r="I59" s="741">
        <v>0.31236646440475169</v>
      </c>
      <c r="J59" s="2078">
        <v>0.31236646440475169</v>
      </c>
      <c r="K59" s="89">
        <v>75</v>
      </c>
      <c r="L59" s="1">
        <v>0</v>
      </c>
      <c r="M59" s="1">
        <v>13.051</v>
      </c>
      <c r="N59" s="1419">
        <v>0.434</v>
      </c>
      <c r="O59" s="1">
        <v>0.434</v>
      </c>
      <c r="P59" s="1">
        <v>13.051</v>
      </c>
      <c r="Q59" s="741">
        <v>0</v>
      </c>
      <c r="R59" s="741">
        <v>3.3254156769596199E-2</v>
      </c>
      <c r="S59" s="2079">
        <v>3.3254156769596199E-2</v>
      </c>
      <c r="T59" s="89">
        <v>75</v>
      </c>
      <c r="U59" s="740">
        <v>0</v>
      </c>
      <c r="V59" s="740">
        <v>12.376000000000001</v>
      </c>
      <c r="W59" s="740">
        <v>2.0444999999999998</v>
      </c>
      <c r="X59" s="740">
        <v>2.0444999999999998</v>
      </c>
      <c r="Y59" s="740">
        <v>12.376000000000001</v>
      </c>
      <c r="Z59" s="2067">
        <v>0</v>
      </c>
      <c r="AA59" s="2067">
        <v>0.17281031058717394</v>
      </c>
      <c r="AB59" s="2094">
        <v>0.17281031058717394</v>
      </c>
    </row>
    <row r="60" spans="2:28">
      <c r="B60" s="2077">
        <v>76</v>
      </c>
      <c r="C60" s="2069"/>
      <c r="D60" s="2069">
        <v>11.215</v>
      </c>
      <c r="E60" s="2069">
        <v>3.6429999999999998</v>
      </c>
      <c r="F60" s="2069">
        <v>3.6429999999999998</v>
      </c>
      <c r="G60" s="2069">
        <v>11.215</v>
      </c>
      <c r="H60" s="2070">
        <v>0</v>
      </c>
      <c r="I60" s="2070">
        <v>0.32483281319661167</v>
      </c>
      <c r="J60" s="2078">
        <v>0.32483281319661167</v>
      </c>
      <c r="K60" s="2077">
        <v>76</v>
      </c>
      <c r="L60" s="2069">
        <v>0</v>
      </c>
      <c r="M60" s="2069">
        <v>12.531000000000001</v>
      </c>
      <c r="N60" s="2071">
        <v>0.41399999999999998</v>
      </c>
      <c r="O60" s="2069">
        <v>0.41399999999999998</v>
      </c>
      <c r="P60" s="2069">
        <v>12.531000000000001</v>
      </c>
      <c r="Q60" s="2070">
        <v>0</v>
      </c>
      <c r="R60" s="2070">
        <v>3.3038065597318644E-2</v>
      </c>
      <c r="S60" s="2078">
        <v>3.3038065597318644E-2</v>
      </c>
      <c r="T60" s="2077">
        <v>76</v>
      </c>
      <c r="U60" s="1686">
        <v>0</v>
      </c>
      <c r="V60" s="1686">
        <v>11.873000000000001</v>
      </c>
      <c r="W60" s="1686">
        <v>2.0284999999999997</v>
      </c>
      <c r="X60" s="1686">
        <v>2.0284999999999997</v>
      </c>
      <c r="Y60" s="1686">
        <v>11.873000000000001</v>
      </c>
      <c r="Z60" s="2072">
        <v>0</v>
      </c>
      <c r="AA60" s="2072">
        <v>0.17893543939696516</v>
      </c>
      <c r="AB60" s="2093">
        <v>0.17893543939696516</v>
      </c>
    </row>
    <row r="61" spans="2:28">
      <c r="B61" s="89">
        <v>77</v>
      </c>
      <c r="C61" s="1"/>
      <c r="D61" s="1">
        <v>10.724</v>
      </c>
      <c r="E61" s="1">
        <v>3.625</v>
      </c>
      <c r="F61" s="1">
        <v>3.625</v>
      </c>
      <c r="G61" s="1">
        <v>10.724</v>
      </c>
      <c r="H61" s="741">
        <v>0</v>
      </c>
      <c r="I61" s="741">
        <v>0.33802685565087653</v>
      </c>
      <c r="J61" s="2078">
        <v>0.33802685565087653</v>
      </c>
      <c r="K61" s="89">
        <v>77</v>
      </c>
      <c r="L61" s="1">
        <v>0</v>
      </c>
      <c r="M61" s="1">
        <v>12.003</v>
      </c>
      <c r="N61" s="1419">
        <v>0.39300000000000002</v>
      </c>
      <c r="O61" s="1">
        <v>0.39300000000000002</v>
      </c>
      <c r="P61" s="1">
        <v>12.003</v>
      </c>
      <c r="Q61" s="741">
        <v>0</v>
      </c>
      <c r="R61" s="741">
        <v>3.2741814546363407E-2</v>
      </c>
      <c r="S61" s="2079">
        <v>3.2741814546363407E-2</v>
      </c>
      <c r="T61" s="89">
        <v>77</v>
      </c>
      <c r="U61" s="740">
        <v>0</v>
      </c>
      <c r="V61" s="740">
        <v>11.3635</v>
      </c>
      <c r="W61" s="740">
        <v>2.0089999999999999</v>
      </c>
      <c r="X61" s="740">
        <v>2.0089999999999999</v>
      </c>
      <c r="Y61" s="740">
        <v>11.3635</v>
      </c>
      <c r="Z61" s="2067">
        <v>0</v>
      </c>
      <c r="AA61" s="2067">
        <v>0.18538433509861996</v>
      </c>
      <c r="AB61" s="2094">
        <v>0.18538433509861996</v>
      </c>
    </row>
    <row r="62" spans="2:28">
      <c r="B62" s="2077">
        <v>78</v>
      </c>
      <c r="C62" s="2069"/>
      <c r="D62" s="2069">
        <v>10.228999999999999</v>
      </c>
      <c r="E62" s="2069">
        <v>3.601</v>
      </c>
      <c r="F62" s="2069">
        <v>3.601</v>
      </c>
      <c r="G62" s="2069">
        <v>10.228999999999999</v>
      </c>
      <c r="H62" s="2070">
        <v>0</v>
      </c>
      <c r="I62" s="2070">
        <v>0.35203832241665856</v>
      </c>
      <c r="J62" s="2078">
        <v>0.35203832241665856</v>
      </c>
      <c r="K62" s="2077">
        <v>78</v>
      </c>
      <c r="L62" s="2069">
        <v>0</v>
      </c>
      <c r="M62" s="2069">
        <v>11.47</v>
      </c>
      <c r="N62" s="2071">
        <v>0.371</v>
      </c>
      <c r="O62" s="2069">
        <v>0.371</v>
      </c>
      <c r="P62" s="2069">
        <v>11.47</v>
      </c>
      <c r="Q62" s="2070">
        <v>0</v>
      </c>
      <c r="R62" s="2070">
        <v>3.2345248474280733E-2</v>
      </c>
      <c r="S62" s="2078">
        <v>3.2345248474280733E-2</v>
      </c>
      <c r="T62" s="2077">
        <v>78</v>
      </c>
      <c r="U62" s="1686">
        <v>0</v>
      </c>
      <c r="V62" s="1686">
        <v>10.849499999999999</v>
      </c>
      <c r="W62" s="1686">
        <v>1.986</v>
      </c>
      <c r="X62" s="1686">
        <v>1.986</v>
      </c>
      <c r="Y62" s="1686">
        <v>10.849499999999999</v>
      </c>
      <c r="Z62" s="2072">
        <v>0</v>
      </c>
      <c r="AA62" s="2072">
        <v>0.19219178544546964</v>
      </c>
      <c r="AB62" s="2093">
        <v>0.19219178544546964</v>
      </c>
    </row>
    <row r="63" spans="2:28">
      <c r="B63" s="89">
        <v>79</v>
      </c>
      <c r="C63" s="1"/>
      <c r="D63" s="1">
        <v>9.7330000000000005</v>
      </c>
      <c r="E63" s="1">
        <v>3.57</v>
      </c>
      <c r="F63" s="1">
        <v>3.57</v>
      </c>
      <c r="G63" s="1">
        <v>9.7330000000000005</v>
      </c>
      <c r="H63" s="741">
        <v>0</v>
      </c>
      <c r="I63" s="741">
        <v>0.36679338333504569</v>
      </c>
      <c r="J63" s="2078">
        <v>0.36679338333504569</v>
      </c>
      <c r="K63" s="89">
        <v>79</v>
      </c>
      <c r="L63" s="1">
        <v>0</v>
      </c>
      <c r="M63" s="1">
        <v>10.932</v>
      </c>
      <c r="N63" s="1419">
        <v>0.34899999999999998</v>
      </c>
      <c r="O63" s="1">
        <v>0.34899999999999998</v>
      </c>
      <c r="P63" s="1">
        <v>10.932</v>
      </c>
      <c r="Q63" s="741">
        <v>0</v>
      </c>
      <c r="R63" s="741">
        <v>3.1924624954262709E-2</v>
      </c>
      <c r="S63" s="2079">
        <v>3.1924624954262709E-2</v>
      </c>
      <c r="T63" s="89">
        <v>79</v>
      </c>
      <c r="U63" s="740">
        <v>0</v>
      </c>
      <c r="V63" s="740">
        <v>10.3325</v>
      </c>
      <c r="W63" s="740">
        <v>1.9594999999999998</v>
      </c>
      <c r="X63" s="740">
        <v>1.9594999999999998</v>
      </c>
      <c r="Y63" s="740">
        <v>10.3325</v>
      </c>
      <c r="Z63" s="2067">
        <v>0</v>
      </c>
      <c r="AA63" s="2067">
        <v>0.19935900414465418</v>
      </c>
      <c r="AB63" s="2094">
        <v>0.19935900414465418</v>
      </c>
    </row>
    <row r="64" spans="2:28">
      <c r="B64" s="2077">
        <v>80</v>
      </c>
      <c r="C64" s="2069"/>
      <c r="D64" s="2069">
        <v>9.2379999999999995</v>
      </c>
      <c r="E64" s="2069">
        <v>3.5310000000000001</v>
      </c>
      <c r="F64" s="2069">
        <v>3.5310000000000001</v>
      </c>
      <c r="G64" s="2069">
        <v>9.2379999999999995</v>
      </c>
      <c r="H64" s="2070">
        <v>0</v>
      </c>
      <c r="I64" s="2070">
        <v>0.38222558995453565</v>
      </c>
      <c r="J64" s="2078">
        <v>0.38222558995453565</v>
      </c>
      <c r="K64" s="2077">
        <v>80</v>
      </c>
      <c r="L64" s="2069">
        <v>0</v>
      </c>
      <c r="M64" s="2069">
        <v>10.391999999999999</v>
      </c>
      <c r="N64" s="2071">
        <v>0.32700000000000001</v>
      </c>
      <c r="O64" s="2069">
        <v>0.32700000000000001</v>
      </c>
      <c r="P64" s="2069">
        <v>10.391999999999999</v>
      </c>
      <c r="Q64" s="2070">
        <v>0</v>
      </c>
      <c r="R64" s="2070">
        <v>3.1466512702078522E-2</v>
      </c>
      <c r="S64" s="2078">
        <v>3.1466512702078522E-2</v>
      </c>
      <c r="T64" s="2077">
        <v>80</v>
      </c>
      <c r="U64" s="1686">
        <v>0</v>
      </c>
      <c r="V64" s="1686">
        <v>9.8149999999999995</v>
      </c>
      <c r="W64" s="1686">
        <v>1.929</v>
      </c>
      <c r="X64" s="1686">
        <v>1.929</v>
      </c>
      <c r="Y64" s="1686">
        <v>9.8149999999999995</v>
      </c>
      <c r="Z64" s="2072">
        <v>0</v>
      </c>
      <c r="AA64" s="2072">
        <v>0.20684605132830708</v>
      </c>
      <c r="AB64" s="2093">
        <v>0.20684605132830708</v>
      </c>
    </row>
    <row r="65" spans="2:28">
      <c r="B65" s="89">
        <v>81</v>
      </c>
      <c r="C65" s="1"/>
      <c r="D65" s="1">
        <v>8.7469999999999999</v>
      </c>
      <c r="E65" s="1">
        <v>3.4820000000000002</v>
      </c>
      <c r="F65" s="1">
        <v>3.4820000000000002</v>
      </c>
      <c r="G65" s="1">
        <v>8.7469999999999999</v>
      </c>
      <c r="H65" s="741">
        <v>0</v>
      </c>
      <c r="I65" s="741">
        <v>0.39807934148851037</v>
      </c>
      <c r="J65" s="2078">
        <v>0.39807934148851037</v>
      </c>
      <c r="K65" s="89">
        <v>81</v>
      </c>
      <c r="L65" s="1">
        <v>0</v>
      </c>
      <c r="M65" s="1">
        <v>9.8529999999999998</v>
      </c>
      <c r="N65" s="1419">
        <v>0.30399999999999999</v>
      </c>
      <c r="O65" s="1">
        <v>0.30399999999999999</v>
      </c>
      <c r="P65" s="1">
        <v>9.8529999999999998</v>
      </c>
      <c r="Q65" s="741">
        <v>0</v>
      </c>
      <c r="R65" s="741">
        <v>3.0853547143002133E-2</v>
      </c>
      <c r="S65" s="2079">
        <v>3.0853547143002133E-2</v>
      </c>
      <c r="T65" s="89">
        <v>81</v>
      </c>
      <c r="U65" s="740">
        <v>0</v>
      </c>
      <c r="V65" s="740">
        <v>9.3000000000000007</v>
      </c>
      <c r="W65" s="740">
        <v>1.893</v>
      </c>
      <c r="X65" s="740">
        <v>1.893</v>
      </c>
      <c r="Y65" s="740">
        <v>9.3000000000000007</v>
      </c>
      <c r="Z65" s="2067">
        <v>0</v>
      </c>
      <c r="AA65" s="2067">
        <v>0.21446644431575626</v>
      </c>
      <c r="AB65" s="2094">
        <v>0.21446644431575626</v>
      </c>
    </row>
    <row r="66" spans="2:28">
      <c r="B66" s="2077">
        <v>82</v>
      </c>
      <c r="C66" s="2069"/>
      <c r="D66" s="2069">
        <v>8.2629999999999999</v>
      </c>
      <c r="E66" s="2069">
        <v>3.4089999999999998</v>
      </c>
      <c r="F66" s="2069">
        <v>3.4089999999999998</v>
      </c>
      <c r="G66" s="2069">
        <v>8.2629999999999999</v>
      </c>
      <c r="H66" s="2070">
        <v>0</v>
      </c>
      <c r="I66" s="2070">
        <v>0.41256202347815563</v>
      </c>
      <c r="J66" s="2078">
        <v>0.41256202347815563</v>
      </c>
      <c r="K66" s="2077">
        <v>82</v>
      </c>
      <c r="L66" s="2069">
        <v>0</v>
      </c>
      <c r="M66" s="2069">
        <v>9.3179999999999996</v>
      </c>
      <c r="N66" s="2071">
        <v>0.28100000000000003</v>
      </c>
      <c r="O66" s="2069">
        <v>0.28100000000000003</v>
      </c>
      <c r="P66" s="2069">
        <v>9.3179999999999996</v>
      </c>
      <c r="Q66" s="2070">
        <v>0</v>
      </c>
      <c r="R66" s="2070">
        <v>3.0156685984116766E-2</v>
      </c>
      <c r="S66" s="2078">
        <v>3.0156685984116766E-2</v>
      </c>
      <c r="T66" s="2077">
        <v>82</v>
      </c>
      <c r="U66" s="1686">
        <v>0</v>
      </c>
      <c r="V66" s="1686">
        <v>8.7904999999999998</v>
      </c>
      <c r="W66" s="1686">
        <v>1.845</v>
      </c>
      <c r="X66" s="1686">
        <v>1.845</v>
      </c>
      <c r="Y66" s="1686">
        <v>8.7904999999999998</v>
      </c>
      <c r="Z66" s="2072">
        <v>0</v>
      </c>
      <c r="AA66" s="2072">
        <v>0.22135935473113619</v>
      </c>
      <c r="AB66" s="2093">
        <v>0.22135935473113619</v>
      </c>
    </row>
    <row r="67" spans="2:28">
      <c r="B67" s="89">
        <v>83</v>
      </c>
      <c r="C67" s="1"/>
      <c r="D67" s="1">
        <v>7.7880000000000003</v>
      </c>
      <c r="E67" s="1">
        <v>3.3220000000000001</v>
      </c>
      <c r="F67" s="1">
        <v>3.3220000000000001</v>
      </c>
      <c r="G67" s="1">
        <v>7.7880000000000003</v>
      </c>
      <c r="H67" s="741">
        <v>0</v>
      </c>
      <c r="I67" s="741">
        <v>0.42655367231638419</v>
      </c>
      <c r="J67" s="2078">
        <v>0.42655367231638419</v>
      </c>
      <c r="K67" s="89">
        <v>83</v>
      </c>
      <c r="L67" s="1">
        <v>0</v>
      </c>
      <c r="M67" s="1">
        <v>8.7889999999999997</v>
      </c>
      <c r="N67" s="1419">
        <v>0.25800000000000001</v>
      </c>
      <c r="O67" s="1">
        <v>0.25800000000000001</v>
      </c>
      <c r="P67" s="1">
        <v>8.7889999999999997</v>
      </c>
      <c r="Q67" s="741">
        <v>0</v>
      </c>
      <c r="R67" s="741">
        <v>2.9354875412447381E-2</v>
      </c>
      <c r="S67" s="2079">
        <v>2.9354875412447381E-2</v>
      </c>
      <c r="T67" s="89">
        <v>83</v>
      </c>
      <c r="U67" s="740">
        <v>0</v>
      </c>
      <c r="V67" s="740">
        <v>8.2884999999999991</v>
      </c>
      <c r="W67" s="740">
        <v>1.79</v>
      </c>
      <c r="X67" s="740">
        <v>1.79</v>
      </c>
      <c r="Y67" s="740">
        <v>8.2884999999999991</v>
      </c>
      <c r="Z67" s="2067">
        <v>0</v>
      </c>
      <c r="AA67" s="2067">
        <v>0.22795427386441577</v>
      </c>
      <c r="AB67" s="2094">
        <v>0.22795427386441577</v>
      </c>
    </row>
    <row r="68" spans="2:28">
      <c r="B68" s="2077">
        <v>84</v>
      </c>
      <c r="C68" s="2069"/>
      <c r="D68" s="2069">
        <v>7.327</v>
      </c>
      <c r="E68" s="2069">
        <v>3.2229999999999999</v>
      </c>
      <c r="F68" s="2069">
        <v>3.2229999999999999</v>
      </c>
      <c r="G68" s="2069">
        <v>7.327</v>
      </c>
      <c r="H68" s="2070">
        <v>0</v>
      </c>
      <c r="I68" s="2070">
        <v>0.43987989627405483</v>
      </c>
      <c r="J68" s="2078">
        <v>0.43987989627405483</v>
      </c>
      <c r="K68" s="2077">
        <v>84</v>
      </c>
      <c r="L68" s="2069">
        <v>0</v>
      </c>
      <c r="M68" s="2069">
        <v>8.2710000000000008</v>
      </c>
      <c r="N68" s="2071">
        <v>0.23499999999999999</v>
      </c>
      <c r="O68" s="2069">
        <v>0.23499999999999999</v>
      </c>
      <c r="P68" s="2069">
        <v>8.2710000000000008</v>
      </c>
      <c r="Q68" s="2070">
        <v>0</v>
      </c>
      <c r="R68" s="2070">
        <v>2.8412525692177483E-2</v>
      </c>
      <c r="S68" s="2078">
        <v>2.8412525692177483E-2</v>
      </c>
      <c r="T68" s="2077">
        <v>84</v>
      </c>
      <c r="U68" s="1686">
        <v>0</v>
      </c>
      <c r="V68" s="1686">
        <v>7.7990000000000004</v>
      </c>
      <c r="W68" s="1686">
        <v>1.7289999999999999</v>
      </c>
      <c r="X68" s="1686">
        <v>1.7289999999999999</v>
      </c>
      <c r="Y68" s="1686">
        <v>7.7990000000000004</v>
      </c>
      <c r="Z68" s="2072">
        <v>0</v>
      </c>
      <c r="AA68" s="2072">
        <v>0.23414621098311617</v>
      </c>
      <c r="AB68" s="2093">
        <v>0.23414621098311617</v>
      </c>
    </row>
    <row r="69" spans="2:28">
      <c r="B69" s="89">
        <v>85</v>
      </c>
      <c r="C69" s="1"/>
      <c r="D69" s="1">
        <v>6.883</v>
      </c>
      <c r="E69" s="1">
        <v>3.1139999999999999</v>
      </c>
      <c r="F69" s="1">
        <v>3.1139999999999999</v>
      </c>
      <c r="G69" s="1">
        <v>6.883</v>
      </c>
      <c r="H69" s="741">
        <v>0</v>
      </c>
      <c r="I69" s="741">
        <v>0.45241900334156615</v>
      </c>
      <c r="J69" s="2078">
        <v>0.45241900334156615</v>
      </c>
      <c r="K69" s="89">
        <v>85</v>
      </c>
      <c r="L69" s="1">
        <v>0</v>
      </c>
      <c r="M69" s="1">
        <v>7.7679999999999998</v>
      </c>
      <c r="N69" s="1419">
        <v>0.21</v>
      </c>
      <c r="O69" s="1">
        <v>0.21</v>
      </c>
      <c r="P69" s="1">
        <v>7.7679999999999998</v>
      </c>
      <c r="Q69" s="741">
        <v>0</v>
      </c>
      <c r="R69" s="741">
        <v>2.7033985581874358E-2</v>
      </c>
      <c r="S69" s="2079">
        <v>2.7033985581874358E-2</v>
      </c>
      <c r="T69" s="89">
        <v>85</v>
      </c>
      <c r="U69" s="740">
        <v>0</v>
      </c>
      <c r="V69" s="740">
        <v>7.3254999999999999</v>
      </c>
      <c r="W69" s="740">
        <v>1.6619999999999999</v>
      </c>
      <c r="X69" s="740">
        <v>1.6619999999999999</v>
      </c>
      <c r="Y69" s="740">
        <v>7.3254999999999999</v>
      </c>
      <c r="Z69" s="2067">
        <v>0</v>
      </c>
      <c r="AA69" s="2067">
        <v>0.23972649446172026</v>
      </c>
      <c r="AB69" s="2094">
        <v>0.23972649446172026</v>
      </c>
    </row>
    <row r="70" spans="2:28">
      <c r="B70" s="2077">
        <v>86</v>
      </c>
      <c r="C70" s="2069"/>
      <c r="D70" s="2069">
        <v>6.4619999999999997</v>
      </c>
      <c r="E70" s="2069">
        <v>2.9969999999999999</v>
      </c>
      <c r="F70" s="2069">
        <v>2.9969999999999999</v>
      </c>
      <c r="G70" s="2069">
        <v>6.4619999999999997</v>
      </c>
      <c r="H70" s="2070">
        <v>0</v>
      </c>
      <c r="I70" s="2070">
        <v>0.46378830083565459</v>
      </c>
      <c r="J70" s="2078">
        <v>0.46378830083565459</v>
      </c>
      <c r="K70" s="2077">
        <v>86</v>
      </c>
      <c r="L70" s="2069">
        <v>0</v>
      </c>
      <c r="M70" s="2069">
        <v>7.2850000000000001</v>
      </c>
      <c r="N70" s="2071">
        <v>0.186</v>
      </c>
      <c r="O70" s="2069">
        <v>0.186</v>
      </c>
      <c r="P70" s="2069">
        <v>7.2850000000000001</v>
      </c>
      <c r="Q70" s="2070">
        <v>0</v>
      </c>
      <c r="R70" s="2070">
        <v>2.553191489361702E-2</v>
      </c>
      <c r="S70" s="2078">
        <v>2.553191489361702E-2</v>
      </c>
      <c r="T70" s="2077">
        <v>86</v>
      </c>
      <c r="U70" s="1686">
        <v>0</v>
      </c>
      <c r="V70" s="1686">
        <v>6.8734999999999999</v>
      </c>
      <c r="W70" s="1686">
        <v>1.5914999999999999</v>
      </c>
      <c r="X70" s="1686">
        <v>1.5914999999999999</v>
      </c>
      <c r="Y70" s="1686">
        <v>6.8734999999999999</v>
      </c>
      <c r="Z70" s="2072">
        <v>0</v>
      </c>
      <c r="AA70" s="2072">
        <v>0.2446601078646358</v>
      </c>
      <c r="AB70" s="2093">
        <v>0.2446601078646358</v>
      </c>
    </row>
    <row r="71" spans="2:28">
      <c r="B71" s="89">
        <v>87</v>
      </c>
      <c r="C71" s="1"/>
      <c r="D71" s="1">
        <v>6.069</v>
      </c>
      <c r="E71" s="1">
        <v>2.8730000000000002</v>
      </c>
      <c r="F71" s="1">
        <v>2.8730000000000002</v>
      </c>
      <c r="G71" s="1">
        <v>6.069</v>
      </c>
      <c r="H71" s="741">
        <v>0</v>
      </c>
      <c r="I71" s="741">
        <v>0.47338935574229696</v>
      </c>
      <c r="J71" s="2078">
        <v>0.47338935574229696</v>
      </c>
      <c r="K71" s="89">
        <v>87</v>
      </c>
      <c r="L71" s="1">
        <v>0</v>
      </c>
      <c r="M71" s="1">
        <v>6.8259999999999996</v>
      </c>
      <c r="N71" s="1419">
        <v>0.16200000000000001</v>
      </c>
      <c r="O71" s="1">
        <v>0.16200000000000001</v>
      </c>
      <c r="P71" s="1">
        <v>6.8259999999999996</v>
      </c>
      <c r="Q71" s="741">
        <v>0</v>
      </c>
      <c r="R71" s="741">
        <v>2.3732786404922358E-2</v>
      </c>
      <c r="S71" s="2079">
        <v>2.3732786404922358E-2</v>
      </c>
      <c r="T71" s="89">
        <v>87</v>
      </c>
      <c r="U71" s="740">
        <v>0</v>
      </c>
      <c r="V71" s="740">
        <v>6.4474999999999998</v>
      </c>
      <c r="W71" s="740">
        <v>1.5175000000000001</v>
      </c>
      <c r="X71" s="740">
        <v>1.5175000000000001</v>
      </c>
      <c r="Y71" s="740">
        <v>6.4474999999999998</v>
      </c>
      <c r="Z71" s="2067">
        <v>0</v>
      </c>
      <c r="AA71" s="2067">
        <v>0.24856107107360967</v>
      </c>
      <c r="AB71" s="2094">
        <v>0.24856107107360967</v>
      </c>
    </row>
    <row r="72" spans="2:28">
      <c r="B72" s="2077">
        <v>88</v>
      </c>
      <c r="C72" s="2069"/>
      <c r="D72" s="2069">
        <v>5.7119999999999997</v>
      </c>
      <c r="E72" s="2069">
        <v>2.7149999999999999</v>
      </c>
      <c r="F72" s="2069">
        <v>2.7149999999999999</v>
      </c>
      <c r="G72" s="2069">
        <v>5.7119999999999997</v>
      </c>
      <c r="H72" s="2070">
        <v>0</v>
      </c>
      <c r="I72" s="2070">
        <v>0.47531512605042014</v>
      </c>
      <c r="J72" s="2078">
        <v>0.47531512605042014</v>
      </c>
      <c r="K72" s="2077">
        <v>88</v>
      </c>
      <c r="L72" s="2069">
        <v>0</v>
      </c>
      <c r="M72" s="2069">
        <v>6.3979999999999997</v>
      </c>
      <c r="N72" s="2071">
        <v>0.14000000000000001</v>
      </c>
      <c r="O72" s="2069">
        <v>0.14000000000000001</v>
      </c>
      <c r="P72" s="2069">
        <v>6.3979999999999997</v>
      </c>
      <c r="Q72" s="2070">
        <v>0</v>
      </c>
      <c r="R72" s="2070">
        <v>2.1881838074398252E-2</v>
      </c>
      <c r="S72" s="2078">
        <v>2.1881838074398252E-2</v>
      </c>
      <c r="T72" s="2077">
        <v>88</v>
      </c>
      <c r="U72" s="1686">
        <v>0</v>
      </c>
      <c r="V72" s="1686">
        <v>6.0549999999999997</v>
      </c>
      <c r="W72" s="1686">
        <v>1.4275</v>
      </c>
      <c r="X72" s="1686">
        <v>1.4275</v>
      </c>
      <c r="Y72" s="1686">
        <v>6.0549999999999997</v>
      </c>
      <c r="Z72" s="2072">
        <v>0</v>
      </c>
      <c r="AA72" s="2072">
        <v>0.2485984820624092</v>
      </c>
      <c r="AB72" s="2093">
        <v>0.2485984820624092</v>
      </c>
    </row>
    <row r="73" spans="2:28">
      <c r="B73" s="89">
        <v>89</v>
      </c>
      <c r="C73" s="1"/>
      <c r="D73" s="1">
        <v>5.3979999999999997</v>
      </c>
      <c r="E73" s="1">
        <v>2.5489999999999999</v>
      </c>
      <c r="F73" s="1">
        <v>2.5489999999999999</v>
      </c>
      <c r="G73" s="1">
        <v>5.3979999999999997</v>
      </c>
      <c r="H73" s="741">
        <v>0</v>
      </c>
      <c r="I73" s="741">
        <v>0.4722119303445721</v>
      </c>
      <c r="J73" s="2078">
        <v>0.4722119303445721</v>
      </c>
      <c r="K73" s="89">
        <v>89</v>
      </c>
      <c r="L73" s="1">
        <v>0</v>
      </c>
      <c r="M73" s="1">
        <v>6.0069999999999997</v>
      </c>
      <c r="N73" s="1419">
        <v>0.11700000000000001</v>
      </c>
      <c r="O73" s="1">
        <v>0.11700000000000001</v>
      </c>
      <c r="P73" s="1">
        <v>6.0069999999999997</v>
      </c>
      <c r="Q73" s="741">
        <v>0</v>
      </c>
      <c r="R73" s="741">
        <v>1.9477276510737475E-2</v>
      </c>
      <c r="S73" s="2079">
        <v>1.9477276510737475E-2</v>
      </c>
      <c r="T73" s="89">
        <v>89</v>
      </c>
      <c r="U73" s="740">
        <v>0</v>
      </c>
      <c r="V73" s="740">
        <v>5.7024999999999997</v>
      </c>
      <c r="W73" s="740">
        <v>1.333</v>
      </c>
      <c r="X73" s="740">
        <v>1.333</v>
      </c>
      <c r="Y73" s="740">
        <v>5.7024999999999997</v>
      </c>
      <c r="Z73" s="2067">
        <v>0</v>
      </c>
      <c r="AA73" s="2067">
        <v>0.2458446034276548</v>
      </c>
      <c r="AB73" s="2094">
        <v>0.2458446034276548</v>
      </c>
    </row>
    <row r="74" spans="2:28">
      <c r="B74" s="2077">
        <v>90</v>
      </c>
      <c r="C74" s="2069"/>
      <c r="D74" s="2069">
        <v>5.1150000000000002</v>
      </c>
      <c r="E74" s="2069">
        <v>2.387</v>
      </c>
      <c r="F74" s="2069">
        <v>2.387</v>
      </c>
      <c r="G74" s="2069">
        <v>5.1150000000000002</v>
      </c>
      <c r="H74" s="2070">
        <v>0</v>
      </c>
      <c r="I74" s="2070">
        <v>0.46666666666666667</v>
      </c>
      <c r="J74" s="2078">
        <v>0.46666666666666667</v>
      </c>
      <c r="K74" s="2077">
        <v>90</v>
      </c>
      <c r="L74" s="2069">
        <v>0</v>
      </c>
      <c r="M74" s="2069">
        <v>5.6550000000000002</v>
      </c>
      <c r="N74" s="2071">
        <v>9.7000000000000003E-2</v>
      </c>
      <c r="O74" s="2069">
        <v>9.7000000000000003E-2</v>
      </c>
      <c r="P74" s="2069">
        <v>5.6550000000000002</v>
      </c>
      <c r="Q74" s="2070">
        <v>0</v>
      </c>
      <c r="R74" s="2070">
        <v>1.7152961980548186E-2</v>
      </c>
      <c r="S74" s="2078">
        <v>1.7152961980548186E-2</v>
      </c>
      <c r="T74" s="2077">
        <v>90</v>
      </c>
      <c r="U74" s="1686">
        <v>0</v>
      </c>
      <c r="V74" s="1686">
        <v>5.3849999999999998</v>
      </c>
      <c r="W74" s="1686">
        <v>1.242</v>
      </c>
      <c r="X74" s="1686">
        <v>1.242</v>
      </c>
      <c r="Y74" s="1686">
        <v>5.3849999999999998</v>
      </c>
      <c r="Z74" s="2072">
        <v>0</v>
      </c>
      <c r="AA74" s="2072">
        <v>0.24190981432360742</v>
      </c>
      <c r="AB74" s="2093">
        <v>0.24190981432360742</v>
      </c>
    </row>
    <row r="75" spans="2:28">
      <c r="B75" s="89">
        <v>91</v>
      </c>
      <c r="C75" s="1"/>
      <c r="D75" s="1">
        <v>4.8499999999999996</v>
      </c>
      <c r="E75" s="1">
        <v>2.2040000000000002</v>
      </c>
      <c r="F75" s="1">
        <v>2.2040000000000002</v>
      </c>
      <c r="G75" s="1">
        <v>4.8499999999999996</v>
      </c>
      <c r="H75" s="741">
        <v>0</v>
      </c>
      <c r="I75" s="741">
        <v>0.45443298969072171</v>
      </c>
      <c r="J75" s="2078">
        <v>0.45443298969072171</v>
      </c>
      <c r="K75" s="89">
        <v>91</v>
      </c>
      <c r="L75" s="1">
        <v>0</v>
      </c>
      <c r="M75" s="1">
        <v>5.3319999999999999</v>
      </c>
      <c r="N75" s="1419">
        <v>0.08</v>
      </c>
      <c r="O75" s="1">
        <v>0.08</v>
      </c>
      <c r="P75" s="1">
        <v>5.3319999999999999</v>
      </c>
      <c r="Q75" s="741">
        <v>0</v>
      </c>
      <c r="R75" s="741">
        <v>1.5003750937734435E-2</v>
      </c>
      <c r="S75" s="2079">
        <v>1.5003750937734435E-2</v>
      </c>
      <c r="T75" s="89">
        <v>91</v>
      </c>
      <c r="U75" s="740">
        <v>0</v>
      </c>
      <c r="V75" s="740">
        <v>5.0909999999999993</v>
      </c>
      <c r="W75" s="740">
        <v>1.1420000000000001</v>
      </c>
      <c r="X75" s="740">
        <v>1.1420000000000001</v>
      </c>
      <c r="Y75" s="740">
        <v>5.0909999999999993</v>
      </c>
      <c r="Z75" s="2067">
        <v>0</v>
      </c>
      <c r="AA75" s="2067">
        <v>0.23471837031422807</v>
      </c>
      <c r="AB75" s="2094">
        <v>0.23471837031422807</v>
      </c>
    </row>
    <row r="76" spans="2:28">
      <c r="B76" s="2077">
        <v>92</v>
      </c>
      <c r="C76" s="2069"/>
      <c r="D76" s="2069">
        <v>4.6040000000000001</v>
      </c>
      <c r="E76" s="2069">
        <v>2.0350000000000001</v>
      </c>
      <c r="F76" s="2069">
        <v>2.0350000000000001</v>
      </c>
      <c r="G76" s="2069">
        <v>4.6040000000000001</v>
      </c>
      <c r="H76" s="2070">
        <v>0</v>
      </c>
      <c r="I76" s="2070">
        <v>0.44200695047784538</v>
      </c>
      <c r="J76" s="2078">
        <v>0.44200695047784538</v>
      </c>
      <c r="K76" s="2077">
        <v>92</v>
      </c>
      <c r="L76" s="2069">
        <v>0</v>
      </c>
      <c r="M76" s="2069">
        <v>5.0289999999999999</v>
      </c>
      <c r="N76" s="2071">
        <v>6.5000000000000002E-2</v>
      </c>
      <c r="O76" s="2069">
        <v>6.5000000000000002E-2</v>
      </c>
      <c r="P76" s="2069">
        <v>5.0289999999999999</v>
      </c>
      <c r="Q76" s="2070">
        <v>0</v>
      </c>
      <c r="R76" s="2070">
        <v>1.2925034798170611E-2</v>
      </c>
      <c r="S76" s="2078">
        <v>1.2925034798170611E-2</v>
      </c>
      <c r="T76" s="2077">
        <v>92</v>
      </c>
      <c r="U76" s="1686">
        <v>0</v>
      </c>
      <c r="V76" s="1686">
        <v>4.8164999999999996</v>
      </c>
      <c r="W76" s="1686">
        <v>1.05</v>
      </c>
      <c r="X76" s="1686">
        <v>1.05</v>
      </c>
      <c r="Y76" s="1686">
        <v>4.8164999999999996</v>
      </c>
      <c r="Z76" s="2072">
        <v>0</v>
      </c>
      <c r="AA76" s="2072">
        <v>0.22746599263800799</v>
      </c>
      <c r="AB76" s="2093">
        <v>0.22746599263800799</v>
      </c>
    </row>
    <row r="77" spans="2:28">
      <c r="B77" s="89">
        <v>93</v>
      </c>
      <c r="C77" s="1"/>
      <c r="D77" s="1">
        <v>4.3760000000000003</v>
      </c>
      <c r="E77" s="1">
        <v>1.85</v>
      </c>
      <c r="F77" s="1">
        <v>1.85</v>
      </c>
      <c r="G77" s="1">
        <v>4.3760000000000003</v>
      </c>
      <c r="H77" s="741">
        <v>0</v>
      </c>
      <c r="I77" s="741">
        <v>0.42276051188299818</v>
      </c>
      <c r="J77" s="2078">
        <v>0.42276051188299818</v>
      </c>
      <c r="K77" s="89">
        <v>93</v>
      </c>
      <c r="L77" s="1">
        <v>0</v>
      </c>
      <c r="M77" s="1">
        <v>4.7469999999999999</v>
      </c>
      <c r="N77" s="1419">
        <v>5.2999999999999999E-2</v>
      </c>
      <c r="O77" s="1">
        <v>5.2999999999999999E-2</v>
      </c>
      <c r="P77" s="1">
        <v>4.7469999999999999</v>
      </c>
      <c r="Q77" s="741">
        <v>0</v>
      </c>
      <c r="R77" s="741">
        <v>1.1164946281862228E-2</v>
      </c>
      <c r="S77" s="2079">
        <v>1.1164946281862228E-2</v>
      </c>
      <c r="T77" s="89">
        <v>93</v>
      </c>
      <c r="U77" s="740">
        <v>0</v>
      </c>
      <c r="V77" s="740">
        <v>4.5615000000000006</v>
      </c>
      <c r="W77" s="740">
        <v>0.95150000000000001</v>
      </c>
      <c r="X77" s="740">
        <v>0.95150000000000001</v>
      </c>
      <c r="Y77" s="740">
        <v>4.5615000000000006</v>
      </c>
      <c r="Z77" s="2067">
        <v>0</v>
      </c>
      <c r="AA77" s="2067">
        <v>0.21696272908243019</v>
      </c>
      <c r="AB77" s="2094">
        <v>0.21696272908243019</v>
      </c>
    </row>
    <row r="78" spans="2:28">
      <c r="B78" s="2077">
        <v>94</v>
      </c>
      <c r="C78" s="2069"/>
      <c r="D78" s="2069">
        <v>4.1660000000000004</v>
      </c>
      <c r="E78" s="2069">
        <v>1.6830000000000001</v>
      </c>
      <c r="F78" s="2069">
        <v>1.6830000000000001</v>
      </c>
      <c r="G78" s="2069">
        <v>4.1660000000000004</v>
      </c>
      <c r="H78" s="2070">
        <v>0</v>
      </c>
      <c r="I78" s="2070">
        <v>0.4039846375420067</v>
      </c>
      <c r="J78" s="2078">
        <v>0.4039846375420067</v>
      </c>
      <c r="K78" s="2077">
        <v>94</v>
      </c>
      <c r="L78" s="2069">
        <v>0</v>
      </c>
      <c r="M78" s="2069">
        <v>4.4850000000000003</v>
      </c>
      <c r="N78" s="2071">
        <v>4.2000000000000003E-2</v>
      </c>
      <c r="O78" s="2069">
        <v>4.2000000000000003E-2</v>
      </c>
      <c r="P78" s="2069">
        <v>4.4850000000000003</v>
      </c>
      <c r="Q78" s="2070">
        <v>0</v>
      </c>
      <c r="R78" s="2070">
        <v>9.3645484949832769E-3</v>
      </c>
      <c r="S78" s="2078">
        <v>9.3645484949832769E-3</v>
      </c>
      <c r="T78" s="2077">
        <v>94</v>
      </c>
      <c r="U78" s="1686">
        <v>0</v>
      </c>
      <c r="V78" s="1686">
        <v>4.3254999999999999</v>
      </c>
      <c r="W78" s="1686">
        <v>0.86250000000000004</v>
      </c>
      <c r="X78" s="1686">
        <v>0.86250000000000004</v>
      </c>
      <c r="Y78" s="1686">
        <v>4.3254999999999999</v>
      </c>
      <c r="Z78" s="2072">
        <v>0</v>
      </c>
      <c r="AA78" s="2072">
        <v>0.206674593018495</v>
      </c>
      <c r="AB78" s="2093">
        <v>0.206674593018495</v>
      </c>
    </row>
    <row r="79" spans="2:28">
      <c r="B79" s="89">
        <v>95</v>
      </c>
      <c r="C79" s="1"/>
      <c r="D79" s="1">
        <v>3.9740000000000002</v>
      </c>
      <c r="E79" s="1">
        <v>1.5349999999999999</v>
      </c>
      <c r="F79" s="1">
        <v>1.5349999999999999</v>
      </c>
      <c r="G79" s="1">
        <v>3.9740000000000002</v>
      </c>
      <c r="H79" s="741">
        <v>0</v>
      </c>
      <c r="I79" s="741">
        <v>0.38626069451434319</v>
      </c>
      <c r="J79" s="2078">
        <v>0.38626069451434319</v>
      </c>
      <c r="K79" s="89">
        <v>95</v>
      </c>
      <c r="L79" s="1">
        <v>0</v>
      </c>
      <c r="M79" s="1">
        <v>4.2450000000000001</v>
      </c>
      <c r="N79" s="1419">
        <v>3.4000000000000002E-2</v>
      </c>
      <c r="O79" s="1">
        <v>3.4000000000000002E-2</v>
      </c>
      <c r="P79" s="1">
        <v>4.2450000000000001</v>
      </c>
      <c r="Q79" s="741">
        <v>0</v>
      </c>
      <c r="R79" s="741">
        <v>8.0094228504122497E-3</v>
      </c>
      <c r="S79" s="2079">
        <v>8.0094228504122497E-3</v>
      </c>
      <c r="T79" s="89">
        <v>95</v>
      </c>
      <c r="U79" s="740">
        <v>0</v>
      </c>
      <c r="V79" s="740">
        <v>4.1095000000000006</v>
      </c>
      <c r="W79" s="740">
        <v>0.78449999999999998</v>
      </c>
      <c r="X79" s="740">
        <v>0.78449999999999998</v>
      </c>
      <c r="Y79" s="740">
        <v>4.1095000000000006</v>
      </c>
      <c r="Z79" s="2067">
        <v>0</v>
      </c>
      <c r="AA79" s="2067">
        <v>0.19713505868237771</v>
      </c>
      <c r="AB79" s="2094">
        <v>0.19713505868237771</v>
      </c>
    </row>
    <row r="80" spans="2:28">
      <c r="B80" s="2077">
        <v>96</v>
      </c>
      <c r="C80" s="2069"/>
      <c r="D80" s="2069">
        <v>3.798</v>
      </c>
      <c r="E80" s="2069">
        <v>1.371</v>
      </c>
      <c r="F80" s="2069">
        <v>1.371</v>
      </c>
      <c r="G80" s="2069">
        <v>3.798</v>
      </c>
      <c r="H80" s="2070">
        <v>0</v>
      </c>
      <c r="I80" s="2070">
        <v>0.36097946287519744</v>
      </c>
      <c r="J80" s="2078">
        <v>0.36097946287519744</v>
      </c>
      <c r="K80" s="2077">
        <v>96</v>
      </c>
      <c r="L80" s="2069">
        <v>0</v>
      </c>
      <c r="M80" s="2069">
        <v>4.024</v>
      </c>
      <c r="N80" s="2071">
        <v>2.7E-2</v>
      </c>
      <c r="O80" s="2069">
        <v>2.7E-2</v>
      </c>
      <c r="P80" s="2069">
        <v>4.024</v>
      </c>
      <c r="Q80" s="2070">
        <v>0</v>
      </c>
      <c r="R80" s="2070">
        <v>6.7097415506958248E-3</v>
      </c>
      <c r="S80" s="2078">
        <v>6.7097415506958248E-3</v>
      </c>
      <c r="T80" s="2077">
        <v>96</v>
      </c>
      <c r="U80" s="1686">
        <v>0</v>
      </c>
      <c r="V80" s="1686">
        <v>3.911</v>
      </c>
      <c r="W80" s="1686">
        <v>0.69899999999999995</v>
      </c>
      <c r="X80" s="1686">
        <v>0.69899999999999995</v>
      </c>
      <c r="Y80" s="1686">
        <v>3.911</v>
      </c>
      <c r="Z80" s="2072">
        <v>0</v>
      </c>
      <c r="AA80" s="2072">
        <v>0.18384460221294663</v>
      </c>
      <c r="AB80" s="2093">
        <v>0.18384460221294663</v>
      </c>
    </row>
    <row r="81" spans="2:28">
      <c r="B81" s="89">
        <v>97</v>
      </c>
      <c r="C81" s="1"/>
      <c r="D81" s="1">
        <v>3.6389999999999998</v>
      </c>
      <c r="E81" s="1">
        <v>1.216</v>
      </c>
      <c r="F81" s="1">
        <v>1.216</v>
      </c>
      <c r="G81" s="1">
        <v>3.6389999999999998</v>
      </c>
      <c r="H81" s="741">
        <v>0</v>
      </c>
      <c r="I81" s="741">
        <v>0.33415773564165979</v>
      </c>
      <c r="J81" s="2078">
        <v>0.33415773564165979</v>
      </c>
      <c r="K81" s="89">
        <v>97</v>
      </c>
      <c r="L81" s="1">
        <v>0</v>
      </c>
      <c r="M81" s="1">
        <v>3.8239999999999998</v>
      </c>
      <c r="N81" s="1419">
        <v>2.1000000000000001E-2</v>
      </c>
      <c r="O81" s="1">
        <v>2.1000000000000001E-2</v>
      </c>
      <c r="P81" s="1">
        <v>3.8239999999999998</v>
      </c>
      <c r="Q81" s="741">
        <v>0</v>
      </c>
      <c r="R81" s="741">
        <v>5.4916317991631804E-3</v>
      </c>
      <c r="S81" s="2079">
        <v>5.4916317991631804E-3</v>
      </c>
      <c r="T81" s="89">
        <v>97</v>
      </c>
      <c r="U81" s="740">
        <v>0</v>
      </c>
      <c r="V81" s="740">
        <v>3.7314999999999996</v>
      </c>
      <c r="W81" s="740">
        <v>0.61849999999999994</v>
      </c>
      <c r="X81" s="740">
        <v>0.61849999999999994</v>
      </c>
      <c r="Y81" s="740">
        <v>3.7314999999999996</v>
      </c>
      <c r="Z81" s="2067">
        <v>0</v>
      </c>
      <c r="AA81" s="2067">
        <v>0.16982468372041148</v>
      </c>
      <c r="AB81" s="2094">
        <v>0.16982468372041148</v>
      </c>
    </row>
    <row r="82" spans="2:28">
      <c r="B82" s="2077">
        <v>98</v>
      </c>
      <c r="C82" s="2069"/>
      <c r="D82" s="2069">
        <v>3.4950000000000001</v>
      </c>
      <c r="E82" s="2069">
        <v>1.0409999999999999</v>
      </c>
      <c r="F82" s="2069">
        <v>1.0409999999999999</v>
      </c>
      <c r="G82" s="2069">
        <v>3.4950000000000001</v>
      </c>
      <c r="H82" s="2070">
        <v>0</v>
      </c>
      <c r="I82" s="2070">
        <v>0.29785407725321883</v>
      </c>
      <c r="J82" s="2078">
        <v>0.29785407725321883</v>
      </c>
      <c r="K82" s="2077">
        <v>98</v>
      </c>
      <c r="L82" s="2069">
        <v>0</v>
      </c>
      <c r="M82" s="2069">
        <v>3.6429999999999998</v>
      </c>
      <c r="N82" s="2071">
        <v>1.7000000000000001E-2</v>
      </c>
      <c r="O82" s="2069">
        <v>1.7000000000000001E-2</v>
      </c>
      <c r="P82" s="2069">
        <v>3.6429999999999998</v>
      </c>
      <c r="Q82" s="2070">
        <v>0</v>
      </c>
      <c r="R82" s="2070">
        <v>4.6664836673071652E-3</v>
      </c>
      <c r="S82" s="2078">
        <v>4.6664836673071652E-3</v>
      </c>
      <c r="T82" s="2077">
        <v>98</v>
      </c>
      <c r="U82" s="1686">
        <v>0</v>
      </c>
      <c r="V82" s="1686">
        <v>3.569</v>
      </c>
      <c r="W82" s="1686">
        <v>0.52899999999999991</v>
      </c>
      <c r="X82" s="1686">
        <v>0.52899999999999991</v>
      </c>
      <c r="Y82" s="1686">
        <v>3.569</v>
      </c>
      <c r="Z82" s="2072">
        <v>0</v>
      </c>
      <c r="AA82" s="2072">
        <v>0.15126028046026299</v>
      </c>
      <c r="AB82" s="2093">
        <v>0.15126028046026299</v>
      </c>
    </row>
    <row r="83" spans="2:28">
      <c r="B83" s="89">
        <v>99</v>
      </c>
      <c r="C83" s="1"/>
      <c r="D83" s="1">
        <v>3.3639999999999999</v>
      </c>
      <c r="E83" s="1">
        <v>0.84799999999999998</v>
      </c>
      <c r="F83" s="1">
        <v>0.84799999999999998</v>
      </c>
      <c r="G83" s="1">
        <v>3.3639999999999999</v>
      </c>
      <c r="H83" s="741">
        <v>0</v>
      </c>
      <c r="I83" s="741">
        <v>0.25208085612366232</v>
      </c>
      <c r="J83" s="2078">
        <v>0.25208085612366232</v>
      </c>
      <c r="K83" s="89">
        <v>99</v>
      </c>
      <c r="L83" s="1">
        <v>0</v>
      </c>
      <c r="M83" s="1">
        <v>3.48</v>
      </c>
      <c r="N83" s="1419">
        <v>1.2999999999999999E-2</v>
      </c>
      <c r="O83" s="1">
        <v>1.2999999999999999E-2</v>
      </c>
      <c r="P83" s="1">
        <v>3.48</v>
      </c>
      <c r="Q83" s="741">
        <v>0</v>
      </c>
      <c r="R83" s="741">
        <v>3.7356321839080459E-3</v>
      </c>
      <c r="S83" s="2079">
        <v>3.7356321839080459E-3</v>
      </c>
      <c r="T83" s="89">
        <v>99</v>
      </c>
      <c r="U83" s="740">
        <v>0</v>
      </c>
      <c r="V83" s="740">
        <v>3.4219999999999997</v>
      </c>
      <c r="W83" s="740">
        <v>0.43049999999999999</v>
      </c>
      <c r="X83" s="740">
        <v>0.43049999999999999</v>
      </c>
      <c r="Y83" s="740">
        <v>3.4219999999999997</v>
      </c>
      <c r="Z83" s="2067">
        <v>0</v>
      </c>
      <c r="AA83" s="2067">
        <v>0.12790824415378518</v>
      </c>
      <c r="AB83" s="2094">
        <v>0.12790824415378518</v>
      </c>
    </row>
    <row r="84" spans="2:28" ht="15" thickBot="1">
      <c r="B84" s="2080">
        <v>100</v>
      </c>
      <c r="C84" s="2081"/>
      <c r="D84" s="2081">
        <v>3.2450000000000001</v>
      </c>
      <c r="E84" s="2081">
        <v>0.67200000000000004</v>
      </c>
      <c r="F84" s="2081">
        <v>0.67200000000000004</v>
      </c>
      <c r="G84" s="2081">
        <v>3.2450000000000001</v>
      </c>
      <c r="H84" s="2082">
        <v>0</v>
      </c>
      <c r="I84" s="2082">
        <v>0.20708782742681048</v>
      </c>
      <c r="J84" s="2078">
        <v>0.20708782742681048</v>
      </c>
      <c r="K84" s="2080">
        <v>100</v>
      </c>
      <c r="L84" s="2081">
        <v>0</v>
      </c>
      <c r="M84" s="2081">
        <v>3.335</v>
      </c>
      <c r="N84" s="2088">
        <v>0.01</v>
      </c>
      <c r="O84" s="2081">
        <v>0.01</v>
      </c>
      <c r="P84" s="2081">
        <v>3.335</v>
      </c>
      <c r="Q84" s="2082">
        <v>0</v>
      </c>
      <c r="R84" s="2082">
        <v>2.9985007496251873E-3</v>
      </c>
      <c r="S84" s="2083">
        <v>2.9985007496251873E-3</v>
      </c>
      <c r="T84" s="2080">
        <v>100</v>
      </c>
      <c r="U84" s="2095">
        <v>0</v>
      </c>
      <c r="V84" s="2095">
        <v>3.29</v>
      </c>
      <c r="W84" s="2095">
        <v>0.34100000000000003</v>
      </c>
      <c r="X84" s="2095">
        <v>0.34100000000000003</v>
      </c>
      <c r="Y84" s="2095">
        <v>3.29</v>
      </c>
      <c r="Z84" s="2096">
        <v>0</v>
      </c>
      <c r="AA84" s="2096">
        <v>0.10504316408821783</v>
      </c>
      <c r="AB84" s="2097">
        <v>0.10504316408821783</v>
      </c>
    </row>
  </sheetData>
  <sheetProtection algorithmName="SHA-512" hashValue="eAXnbHVdKLyDk5sLAaTWhNiXSEgi6TBS/Exoc6spCFXknlWHE4IP+lPAKcZVkgg0hN5EVLtKivX2ZaIE+roISA==" saltValue="muPPlT9MP7EhQ1IAnsmT1A=="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U117"/>
  <sheetViews>
    <sheetView workbookViewId="0">
      <pane xSplit="1" ySplit="1" topLeftCell="P2" activePane="bottomRight" state="frozen"/>
      <selection activeCell="BD89" sqref="BD89"/>
      <selection pane="topRight" activeCell="BD89" sqref="BD89"/>
      <selection pane="bottomLeft" activeCell="BD89" sqref="BD89"/>
      <selection pane="bottomRight" activeCell="Y2" sqref="Y2:DU102"/>
    </sheetView>
  </sheetViews>
  <sheetFormatPr baseColWidth="10" defaultColWidth="11.125" defaultRowHeight="14.25"/>
  <cols>
    <col min="1" max="1" width="5.5" style="25" customWidth="1"/>
    <col min="2" max="122" width="5.5" customWidth="1"/>
  </cols>
  <sheetData>
    <row r="1" spans="1:125" s="25" customFormat="1">
      <c r="A1" s="902" t="s">
        <v>927</v>
      </c>
      <c r="B1" s="907">
        <v>1900</v>
      </c>
      <c r="C1" s="907">
        <v>1901</v>
      </c>
      <c r="D1" s="907">
        <v>1902</v>
      </c>
      <c r="E1" s="907">
        <v>1903</v>
      </c>
      <c r="F1" s="907">
        <v>1904</v>
      </c>
      <c r="G1" s="907">
        <v>1905</v>
      </c>
      <c r="H1" s="907">
        <v>1906</v>
      </c>
      <c r="I1" s="907">
        <v>1907</v>
      </c>
      <c r="J1" s="907">
        <v>1908</v>
      </c>
      <c r="K1" s="907">
        <v>1909</v>
      </c>
      <c r="L1" s="907">
        <v>1910</v>
      </c>
      <c r="M1" s="907">
        <v>1911</v>
      </c>
      <c r="N1" s="907">
        <v>1912</v>
      </c>
      <c r="O1" s="907">
        <v>1913</v>
      </c>
      <c r="P1" s="907">
        <v>1914</v>
      </c>
      <c r="Q1" s="907">
        <v>1915</v>
      </c>
      <c r="R1" s="907">
        <v>1916</v>
      </c>
      <c r="S1" s="907">
        <v>1917</v>
      </c>
      <c r="T1" s="907">
        <v>1918</v>
      </c>
      <c r="U1" s="907">
        <v>1919</v>
      </c>
      <c r="V1" s="907">
        <v>1920</v>
      </c>
      <c r="W1" s="907">
        <v>1921</v>
      </c>
      <c r="X1" s="907">
        <v>1922</v>
      </c>
      <c r="Y1" s="907">
        <v>1923</v>
      </c>
      <c r="Z1" s="907">
        <v>1924</v>
      </c>
      <c r="AA1" s="907">
        <v>1925</v>
      </c>
      <c r="AB1" s="907">
        <v>1926</v>
      </c>
      <c r="AC1" s="907">
        <v>1927</v>
      </c>
      <c r="AD1" s="907">
        <v>1928</v>
      </c>
      <c r="AE1" s="907">
        <v>1929</v>
      </c>
      <c r="AF1" s="907">
        <v>1930</v>
      </c>
      <c r="AG1" s="907">
        <v>1931</v>
      </c>
      <c r="AH1" s="907">
        <v>1932</v>
      </c>
      <c r="AI1" s="907">
        <v>1933</v>
      </c>
      <c r="AJ1" s="907">
        <v>1934</v>
      </c>
      <c r="AK1" s="907">
        <v>1935</v>
      </c>
      <c r="AL1" s="907">
        <v>1936</v>
      </c>
      <c r="AM1" s="907">
        <v>1937</v>
      </c>
      <c r="AN1" s="907">
        <v>1938</v>
      </c>
      <c r="AO1" s="907">
        <v>1939</v>
      </c>
      <c r="AP1" s="907">
        <v>1940</v>
      </c>
      <c r="AQ1" s="907">
        <v>1941</v>
      </c>
      <c r="AR1" s="907">
        <v>1942</v>
      </c>
      <c r="AS1" s="907">
        <v>1943</v>
      </c>
      <c r="AT1" s="907">
        <v>1944</v>
      </c>
      <c r="AU1" s="907">
        <v>1945</v>
      </c>
      <c r="AV1" s="907">
        <v>1946</v>
      </c>
      <c r="AW1" s="907">
        <v>1947</v>
      </c>
      <c r="AX1" s="907">
        <v>1948</v>
      </c>
      <c r="AY1" s="907">
        <v>1949</v>
      </c>
      <c r="AZ1" s="907">
        <v>1950</v>
      </c>
      <c r="BA1" s="907">
        <v>1951</v>
      </c>
      <c r="BB1" s="907">
        <v>1952</v>
      </c>
      <c r="BC1" s="907">
        <v>1953</v>
      </c>
      <c r="BD1" s="907">
        <v>1954</v>
      </c>
      <c r="BE1" s="907">
        <v>1955</v>
      </c>
      <c r="BF1" s="907">
        <v>1956</v>
      </c>
      <c r="BG1" s="907">
        <v>1957</v>
      </c>
      <c r="BH1" s="907">
        <v>1958</v>
      </c>
      <c r="BI1" s="907">
        <v>1959</v>
      </c>
      <c r="BJ1" s="907">
        <v>1960</v>
      </c>
      <c r="BK1" s="907">
        <v>1961</v>
      </c>
      <c r="BL1" s="907">
        <v>1962</v>
      </c>
      <c r="BM1" s="907">
        <v>1963</v>
      </c>
      <c r="BN1" s="907">
        <v>1964</v>
      </c>
      <c r="BO1" s="907">
        <v>1965</v>
      </c>
      <c r="BP1" s="907">
        <v>1966</v>
      </c>
      <c r="BQ1" s="907">
        <v>1967</v>
      </c>
      <c r="BR1" s="907">
        <v>1968</v>
      </c>
      <c r="BS1" s="907">
        <v>1969</v>
      </c>
      <c r="BT1" s="907">
        <v>1970</v>
      </c>
      <c r="BU1" s="907">
        <v>1971</v>
      </c>
      <c r="BV1" s="907">
        <v>1972</v>
      </c>
      <c r="BW1" s="907">
        <v>1973</v>
      </c>
      <c r="BX1" s="907">
        <v>1974</v>
      </c>
      <c r="BY1" s="907">
        <v>1975</v>
      </c>
      <c r="BZ1" s="907">
        <v>1976</v>
      </c>
      <c r="CA1" s="907">
        <v>1977</v>
      </c>
      <c r="CB1" s="907">
        <v>1978</v>
      </c>
      <c r="CC1" s="907">
        <v>1979</v>
      </c>
      <c r="CD1" s="907">
        <v>1980</v>
      </c>
      <c r="CE1" s="907">
        <v>1981</v>
      </c>
      <c r="CF1" s="907">
        <v>1982</v>
      </c>
      <c r="CG1" s="907">
        <v>1983</v>
      </c>
      <c r="CH1" s="907">
        <v>1984</v>
      </c>
      <c r="CI1" s="907">
        <v>1985</v>
      </c>
      <c r="CJ1" s="907">
        <v>1986</v>
      </c>
      <c r="CK1" s="907">
        <v>1987</v>
      </c>
      <c r="CL1" s="907">
        <v>1988</v>
      </c>
      <c r="CM1" s="907">
        <v>1989</v>
      </c>
      <c r="CN1" s="907">
        <v>1990</v>
      </c>
      <c r="CO1" s="907">
        <v>1991</v>
      </c>
      <c r="CP1" s="907">
        <v>1992</v>
      </c>
      <c r="CQ1" s="907">
        <v>1993</v>
      </c>
      <c r="CR1" s="907">
        <v>1994</v>
      </c>
      <c r="CS1" s="907">
        <v>1995</v>
      </c>
      <c r="CT1" s="907">
        <v>1996</v>
      </c>
      <c r="CU1" s="907">
        <v>1997</v>
      </c>
      <c r="CV1" s="907">
        <v>1998</v>
      </c>
      <c r="CW1" s="907">
        <v>1999</v>
      </c>
      <c r="CX1" s="907">
        <v>2000</v>
      </c>
      <c r="CY1" s="907">
        <v>2001</v>
      </c>
      <c r="CZ1" s="907">
        <v>2002</v>
      </c>
      <c r="DA1" s="907">
        <v>2003</v>
      </c>
      <c r="DB1" s="907">
        <v>2004</v>
      </c>
      <c r="DC1" s="907">
        <v>2005</v>
      </c>
      <c r="DD1" s="907">
        <v>2006</v>
      </c>
      <c r="DE1" s="907">
        <v>2007</v>
      </c>
      <c r="DF1" s="907">
        <v>2008</v>
      </c>
      <c r="DG1" s="907">
        <v>2009</v>
      </c>
      <c r="DH1" s="907">
        <v>2010</v>
      </c>
      <c r="DI1" s="907">
        <v>2011</v>
      </c>
      <c r="DJ1" s="907">
        <v>2012</v>
      </c>
      <c r="DK1" s="907">
        <v>2013</v>
      </c>
      <c r="DL1" s="907">
        <v>2014</v>
      </c>
      <c r="DM1" s="907">
        <v>2015</v>
      </c>
      <c r="DN1" s="907">
        <v>2016</v>
      </c>
      <c r="DO1" s="907">
        <v>2017</v>
      </c>
      <c r="DP1" s="907">
        <v>2018</v>
      </c>
      <c r="DQ1" s="907">
        <v>2019</v>
      </c>
      <c r="DR1" s="907">
        <v>2020</v>
      </c>
    </row>
    <row r="2" spans="1:125">
      <c r="A2" s="909">
        <v>0</v>
      </c>
      <c r="B2" s="90"/>
      <c r="C2" s="90"/>
      <c r="D2" s="90"/>
      <c r="E2" s="90"/>
      <c r="F2" s="90"/>
      <c r="G2" s="90"/>
      <c r="H2" s="90"/>
      <c r="I2" s="90"/>
      <c r="J2" s="90"/>
      <c r="K2" s="90"/>
      <c r="L2" s="90"/>
      <c r="M2" s="90"/>
      <c r="N2" s="90"/>
      <c r="O2" s="90"/>
      <c r="P2" s="90"/>
      <c r="Q2" s="90"/>
      <c r="R2" s="90"/>
      <c r="S2" s="90"/>
      <c r="T2" s="90"/>
      <c r="U2" s="90"/>
      <c r="V2" s="739"/>
      <c r="W2" s="739">
        <v>65.28</v>
      </c>
      <c r="X2" s="739">
        <v>66.06</v>
      </c>
      <c r="Y2" s="2336">
        <v>66.276415071410952</v>
      </c>
      <c r="Z2" s="2336">
        <v>68.091991191526489</v>
      </c>
      <c r="AA2" s="2336">
        <v>68.571147942150844</v>
      </c>
      <c r="AB2" s="2336">
        <v>69.189170012223684</v>
      </c>
      <c r="AC2" s="2336">
        <v>70.045877551772378</v>
      </c>
      <c r="AD2" s="2336">
        <v>70.816602533984778</v>
      </c>
      <c r="AE2" s="2336">
        <v>70.919777740808996</v>
      </c>
      <c r="AF2" s="2336">
        <v>71.973755716031448</v>
      </c>
      <c r="AG2" s="2336">
        <v>72.492327921260198</v>
      </c>
      <c r="AH2" s="2336">
        <v>72.762716310271259</v>
      </c>
      <c r="AI2" s="2336">
        <v>73.226018250385678</v>
      </c>
      <c r="AJ2" s="2336">
        <v>74.419202176280862</v>
      </c>
      <c r="AK2" s="2336">
        <v>74.622436150127896</v>
      </c>
      <c r="AL2" s="2336">
        <v>75.141458660782362</v>
      </c>
      <c r="AM2" s="2336">
        <v>75.574507593522966</v>
      </c>
      <c r="AN2" s="2336">
        <v>76.139129911989684</v>
      </c>
      <c r="AO2" s="2336">
        <v>76.281273419268771</v>
      </c>
      <c r="AP2" s="2336">
        <v>76.460264684478986</v>
      </c>
      <c r="AQ2" s="2336">
        <v>76.550244197712061</v>
      </c>
      <c r="AR2" s="2336">
        <v>76.595330634374221</v>
      </c>
      <c r="AS2" s="2336">
        <v>76.175653069053723</v>
      </c>
      <c r="AT2" s="2336">
        <v>75.566428372382617</v>
      </c>
      <c r="AU2" s="2336">
        <v>74.66651186806719</v>
      </c>
      <c r="AV2" s="2336">
        <v>74.857694857060125</v>
      </c>
      <c r="AW2" s="2336">
        <v>75.310882152047185</v>
      </c>
      <c r="AX2" s="2336">
        <v>76.990785887138557</v>
      </c>
      <c r="AY2" s="2336">
        <v>78.45826280914649</v>
      </c>
      <c r="AZ2" s="2336">
        <v>78.627693466406626</v>
      </c>
      <c r="BA2" s="2336">
        <v>78.779370257947321</v>
      </c>
      <c r="BB2" s="2336">
        <v>79.362263444420066</v>
      </c>
      <c r="BC2" s="2336">
        <v>79.670112870040668</v>
      </c>
      <c r="BD2" s="2336">
        <v>80.005149152558886</v>
      </c>
      <c r="BE2" s="2336">
        <v>80.187913377089799</v>
      </c>
      <c r="BF2" s="2336">
        <v>80.583421814129053</v>
      </c>
      <c r="BG2" s="2336">
        <v>80.862264328562119</v>
      </c>
      <c r="BH2" s="2336">
        <v>81.187238855652183</v>
      </c>
      <c r="BI2" s="2336">
        <v>81.391016665303752</v>
      </c>
      <c r="BJ2" s="2336">
        <v>81.69886028744277</v>
      </c>
      <c r="BK2" s="2336">
        <v>82.051949733891661</v>
      </c>
      <c r="BL2" s="2336">
        <v>82.468543134675599</v>
      </c>
      <c r="BM2" s="2336">
        <v>82.813368537136924</v>
      </c>
      <c r="BN2" s="2336">
        <v>83.15990290103332</v>
      </c>
      <c r="BO2" s="2336">
        <v>83.425918653529223</v>
      </c>
      <c r="BP2" s="2336">
        <v>83.707776603448906</v>
      </c>
      <c r="BQ2" s="2336">
        <v>83.915218230073819</v>
      </c>
      <c r="BR2" s="2336">
        <v>84.139171773656926</v>
      </c>
      <c r="BS2" s="2336">
        <v>84.275491089423241</v>
      </c>
      <c r="BT2" s="2336">
        <v>84.474601078233292</v>
      </c>
      <c r="BU2" s="2336">
        <v>84.647304249953436</v>
      </c>
      <c r="BV2" s="2336">
        <v>84.867909644140212</v>
      </c>
      <c r="BW2" s="2336">
        <v>85.078829423108672</v>
      </c>
      <c r="BX2" s="2336">
        <v>85.298498186606537</v>
      </c>
      <c r="BY2" s="2336">
        <v>85.50855897805134</v>
      </c>
      <c r="BZ2" s="2336">
        <v>85.829476533164367</v>
      </c>
      <c r="CA2" s="2336">
        <v>86.099666942830027</v>
      </c>
      <c r="CB2" s="2336">
        <v>86.319252605090426</v>
      </c>
      <c r="CC2" s="2336">
        <v>86.514948587405627</v>
      </c>
      <c r="CD2" s="2336">
        <v>86.715724334436118</v>
      </c>
      <c r="CE2" s="2336">
        <v>86.91088725247144</v>
      </c>
      <c r="CF2" s="2336">
        <v>87.107104424278276</v>
      </c>
      <c r="CG2" s="2336">
        <v>87.316483072362146</v>
      </c>
      <c r="CH2" s="2336">
        <v>87.492874286431388</v>
      </c>
      <c r="CI2" s="2336">
        <v>87.707475356836696</v>
      </c>
      <c r="CJ2" s="2336">
        <v>87.865690589145458</v>
      </c>
      <c r="CK2" s="2336">
        <v>88.047494123863672</v>
      </c>
      <c r="CL2" s="2336">
        <v>88.251749511622336</v>
      </c>
      <c r="CM2" s="2336">
        <v>88.411559843289126</v>
      </c>
      <c r="CN2" s="2336">
        <v>88.597639888591928</v>
      </c>
      <c r="CO2" s="2336">
        <v>88.746253320920488</v>
      </c>
      <c r="CP2" s="2336">
        <v>88.926869119162575</v>
      </c>
      <c r="CQ2" s="2336">
        <v>89.086374357394234</v>
      </c>
      <c r="CR2" s="2336">
        <v>89.236932603591583</v>
      </c>
      <c r="CS2" s="2336">
        <v>89.397471015285987</v>
      </c>
      <c r="CT2" s="2336">
        <v>89.541821435909682</v>
      </c>
      <c r="CU2" s="2336">
        <v>89.6812582205757</v>
      </c>
      <c r="CV2" s="2336">
        <v>89.804450130231061</v>
      </c>
      <c r="CW2" s="2336">
        <v>89.954455957926257</v>
      </c>
      <c r="CX2" s="2336">
        <v>90.095092913474161</v>
      </c>
      <c r="CY2" s="2336">
        <v>90.225179524828789</v>
      </c>
      <c r="CZ2" s="2336">
        <v>90.33057890159678</v>
      </c>
      <c r="DA2" s="2336">
        <v>90.450569592480804</v>
      </c>
      <c r="DB2" s="2336">
        <v>90.581595294196106</v>
      </c>
      <c r="DC2" s="2336">
        <v>90.725357806454483</v>
      </c>
      <c r="DD2" s="2336">
        <v>90.838660886196067</v>
      </c>
      <c r="DE2" s="2336">
        <v>90.967235083179375</v>
      </c>
      <c r="DF2" s="2336">
        <v>91.123540495581324</v>
      </c>
      <c r="DG2" s="2336">
        <v>91.217988535467939</v>
      </c>
      <c r="DH2" s="2336">
        <v>91.346878408609385</v>
      </c>
      <c r="DI2" s="2336">
        <v>91.438453808253868</v>
      </c>
      <c r="DJ2" s="2336">
        <v>91.567633303374308</v>
      </c>
      <c r="DK2" s="2336">
        <v>91.693873274795436</v>
      </c>
      <c r="DL2" s="2336">
        <v>91.802517966986258</v>
      </c>
      <c r="DM2" s="2336">
        <v>91.892527767895089</v>
      </c>
      <c r="DN2" s="2336">
        <v>92.000925511752484</v>
      </c>
      <c r="DO2" s="2336">
        <v>92.121191151652113</v>
      </c>
      <c r="DP2" s="2336">
        <v>92.245736364713238</v>
      </c>
      <c r="DQ2" s="2336">
        <v>92.348526026191436</v>
      </c>
      <c r="DR2" s="2336">
        <v>92.451039206368009</v>
      </c>
      <c r="DS2" s="2336">
        <v>92.563477932733193</v>
      </c>
      <c r="DT2" s="2336">
        <v>92.677015416863554</v>
      </c>
      <c r="DU2" s="2336">
        <v>92.789105218103245</v>
      </c>
    </row>
    <row r="3" spans="1:125">
      <c r="A3" s="909">
        <v>1</v>
      </c>
      <c r="B3" s="90"/>
      <c r="C3" s="90"/>
      <c r="D3" s="90"/>
      <c r="E3" s="90"/>
      <c r="F3" s="90"/>
      <c r="G3" s="90"/>
      <c r="H3" s="90"/>
      <c r="I3" s="90"/>
      <c r="J3" s="90"/>
      <c r="K3" s="90"/>
      <c r="L3" s="90"/>
      <c r="M3" s="90"/>
      <c r="N3" s="90"/>
      <c r="O3" s="90"/>
      <c r="P3" s="90"/>
      <c r="Q3" s="90"/>
      <c r="R3" s="90"/>
      <c r="S3" s="90"/>
      <c r="T3" s="90"/>
      <c r="U3" s="90"/>
      <c r="V3" s="739"/>
      <c r="W3" s="739">
        <v>73.16</v>
      </c>
      <c r="X3" s="739">
        <v>73.69</v>
      </c>
      <c r="Y3" s="2336">
        <v>74.191614472032654</v>
      </c>
      <c r="Z3" s="2336">
        <v>74.460530280706237</v>
      </c>
      <c r="AA3" s="2336">
        <v>74.657711305742424</v>
      </c>
      <c r="AB3" s="2336">
        <v>75.089294441596181</v>
      </c>
      <c r="AC3" s="2336">
        <v>75.612279999005182</v>
      </c>
      <c r="AD3" s="2336">
        <v>75.869222912794953</v>
      </c>
      <c r="AE3" s="2336">
        <v>76.440130529710288</v>
      </c>
      <c r="AF3" s="2336">
        <v>76.78634496956893</v>
      </c>
      <c r="AG3" s="2336">
        <v>77.06214386847968</v>
      </c>
      <c r="AH3" s="2336">
        <v>77.305828737827611</v>
      </c>
      <c r="AI3" s="2336">
        <v>77.551993021340564</v>
      </c>
      <c r="AJ3" s="2336">
        <v>77.987400070363023</v>
      </c>
      <c r="AK3" s="2336">
        <v>78.363829111031848</v>
      </c>
      <c r="AL3" s="2336">
        <v>78.754553659532164</v>
      </c>
      <c r="AM3" s="2336">
        <v>79.084754566268828</v>
      </c>
      <c r="AN3" s="2336">
        <v>79.34112766160095</v>
      </c>
      <c r="AO3" s="2336">
        <v>79.580390932936453</v>
      </c>
      <c r="AP3" s="2336">
        <v>79.769693450961356</v>
      </c>
      <c r="AQ3" s="2336">
        <v>79.864953907119897</v>
      </c>
      <c r="AR3" s="2336">
        <v>79.912784249945332</v>
      </c>
      <c r="AS3" s="2336">
        <v>79.925823255465843</v>
      </c>
      <c r="AT3" s="2336">
        <v>79.967357980735287</v>
      </c>
      <c r="AU3" s="2336">
        <v>80.163655523089488</v>
      </c>
      <c r="AV3" s="2336">
        <v>80.405817023360257</v>
      </c>
      <c r="AW3" s="2336">
        <v>80.899048137319312</v>
      </c>
      <c r="AX3" s="2336">
        <v>81.318055282598095</v>
      </c>
      <c r="AY3" s="2336">
        <v>81.499660960290768</v>
      </c>
      <c r="AZ3" s="2336">
        <v>81.678017337504727</v>
      </c>
      <c r="BA3" s="2336">
        <v>81.837536669824487</v>
      </c>
      <c r="BB3" s="2336">
        <v>81.966731526090527</v>
      </c>
      <c r="BC3" s="2336">
        <v>82.110756881567738</v>
      </c>
      <c r="BD3" s="2336">
        <v>82.213240637582302</v>
      </c>
      <c r="BE3" s="2336">
        <v>82.352530011554919</v>
      </c>
      <c r="BF3" s="2336">
        <v>82.519703225924133</v>
      </c>
      <c r="BG3" s="2336">
        <v>82.716474659964192</v>
      </c>
      <c r="BH3" s="2336">
        <v>82.90332889058682</v>
      </c>
      <c r="BI3" s="2336">
        <v>83.061165796686282</v>
      </c>
      <c r="BJ3" s="2336">
        <v>83.2287483196952</v>
      </c>
      <c r="BK3" s="2336">
        <v>83.412029713911423</v>
      </c>
      <c r="BL3" s="2336">
        <v>83.65296292444971</v>
      </c>
      <c r="BM3" s="2336">
        <v>83.862114577905956</v>
      </c>
      <c r="BN3" s="2336">
        <v>84.037888013514277</v>
      </c>
      <c r="BO3" s="2336">
        <v>84.207141770345245</v>
      </c>
      <c r="BP3" s="2336">
        <v>84.414617729028237</v>
      </c>
      <c r="BQ3" s="2336">
        <v>84.597994739710927</v>
      </c>
      <c r="BR3" s="2336">
        <v>84.752856550263587</v>
      </c>
      <c r="BS3" s="2336">
        <v>84.947988673894926</v>
      </c>
      <c r="BT3" s="2336">
        <v>85.123758275708369</v>
      </c>
      <c r="BU3" s="2336">
        <v>85.273249033519704</v>
      </c>
      <c r="BV3" s="2336">
        <v>85.45321601411537</v>
      </c>
      <c r="BW3" s="2336">
        <v>85.608857000057299</v>
      </c>
      <c r="BX3" s="2336">
        <v>85.771001967770246</v>
      </c>
      <c r="BY3" s="2336">
        <v>85.924627152357516</v>
      </c>
      <c r="BZ3" s="2336">
        <v>86.062334737522391</v>
      </c>
      <c r="CA3" s="2336">
        <v>86.210936446151621</v>
      </c>
      <c r="CB3" s="2336">
        <v>86.381492237902364</v>
      </c>
      <c r="CC3" s="2336">
        <v>86.511861069210141</v>
      </c>
      <c r="CD3" s="2336">
        <v>86.662832179865418</v>
      </c>
      <c r="CE3" s="2336">
        <v>86.802760773002902</v>
      </c>
      <c r="CF3" s="2336">
        <v>86.947902574874107</v>
      </c>
      <c r="CG3" s="2336">
        <v>87.091447513431604</v>
      </c>
      <c r="CH3" s="2336">
        <v>87.24770528732995</v>
      </c>
      <c r="CI3" s="2336">
        <v>87.410733627473888</v>
      </c>
      <c r="CJ3" s="2336">
        <v>87.527378487588692</v>
      </c>
      <c r="CK3" s="2336">
        <v>87.680550165591171</v>
      </c>
      <c r="CL3" s="2336">
        <v>87.829182450650691</v>
      </c>
      <c r="CM3" s="2336">
        <v>87.973577914965119</v>
      </c>
      <c r="CN3" s="2336">
        <v>88.136179913816548</v>
      </c>
      <c r="CO3" s="2336">
        <v>88.260688013104641</v>
      </c>
      <c r="CP3" s="2336">
        <v>88.404476296541105</v>
      </c>
      <c r="CQ3" s="2336">
        <v>88.525477853805853</v>
      </c>
      <c r="CR3" s="2336">
        <v>88.668843853286575</v>
      </c>
      <c r="CS3" s="2336">
        <v>88.81155716072567</v>
      </c>
      <c r="CT3" s="2336">
        <v>88.93791906260067</v>
      </c>
      <c r="CU3" s="2336">
        <v>89.057903543446528</v>
      </c>
      <c r="CV3" s="2336">
        <v>89.17369951580109</v>
      </c>
      <c r="CW3" s="2336">
        <v>89.312898280746666</v>
      </c>
      <c r="CX3" s="2336">
        <v>89.440300945761123</v>
      </c>
      <c r="CY3" s="2336">
        <v>89.563828122303349</v>
      </c>
      <c r="CZ3" s="2336">
        <v>89.679475110172646</v>
      </c>
      <c r="DA3" s="2336">
        <v>89.797553567124027</v>
      </c>
      <c r="DB3" s="2336">
        <v>89.916778216215434</v>
      </c>
      <c r="DC3" s="2336">
        <v>90.033047552633775</v>
      </c>
      <c r="DD3" s="2336">
        <v>90.154602499324497</v>
      </c>
      <c r="DE3" s="2336">
        <v>90.275331047393962</v>
      </c>
      <c r="DF3" s="2336">
        <v>90.404168532748784</v>
      </c>
      <c r="DG3" s="2336">
        <v>90.504003549344446</v>
      </c>
      <c r="DH3" s="2336">
        <v>90.630698430295226</v>
      </c>
      <c r="DI3" s="2336">
        <v>90.736678012051286</v>
      </c>
      <c r="DJ3" s="2336">
        <v>90.844765660608758</v>
      </c>
      <c r="DK3" s="2336">
        <v>90.961109384822365</v>
      </c>
      <c r="DL3" s="2336">
        <v>91.075608641407371</v>
      </c>
      <c r="DM3" s="2336">
        <v>91.179081176853586</v>
      </c>
      <c r="DN3" s="2336">
        <v>91.28747300274631</v>
      </c>
      <c r="DO3" s="2336">
        <v>91.398672078788707</v>
      </c>
      <c r="DP3" s="2336">
        <v>91.509269496004478</v>
      </c>
      <c r="DQ3" s="2336">
        <v>91.614397055448023</v>
      </c>
      <c r="DR3" s="2336">
        <v>91.715662063408629</v>
      </c>
      <c r="DS3" s="2336">
        <v>91.821898525608347</v>
      </c>
      <c r="DT3" s="2336">
        <v>91.925466293373006</v>
      </c>
      <c r="DU3" s="2336">
        <v>92.027963137385044</v>
      </c>
    </row>
    <row r="4" spans="1:125">
      <c r="A4" s="909">
        <v>2</v>
      </c>
      <c r="B4" s="90"/>
      <c r="C4" s="90"/>
      <c r="D4" s="90"/>
      <c r="E4" s="90"/>
      <c r="F4" s="90"/>
      <c r="G4" s="90"/>
      <c r="H4" s="90"/>
      <c r="I4" s="90"/>
      <c r="J4" s="90"/>
      <c r="K4" s="90"/>
      <c r="L4" s="90"/>
      <c r="M4" s="90"/>
      <c r="N4" s="90"/>
      <c r="O4" s="90"/>
      <c r="P4" s="90"/>
      <c r="Q4" s="90"/>
      <c r="R4" s="90"/>
      <c r="S4" s="90"/>
      <c r="T4" s="90"/>
      <c r="U4" s="90"/>
      <c r="V4" s="739"/>
      <c r="W4" s="739">
        <v>73.52</v>
      </c>
      <c r="X4" s="739">
        <v>74.099999999999994</v>
      </c>
      <c r="Y4" s="2336">
        <v>74.308505458528487</v>
      </c>
      <c r="Z4" s="2336">
        <v>74.581497031384814</v>
      </c>
      <c r="AA4" s="2336">
        <v>74.781666587899764</v>
      </c>
      <c r="AB4" s="2336">
        <v>75.123138104969456</v>
      </c>
      <c r="AC4" s="2336">
        <v>75.450202134291587</v>
      </c>
      <c r="AD4" s="2336">
        <v>75.768922964954825</v>
      </c>
      <c r="AE4" s="2336">
        <v>76.131393884297452</v>
      </c>
      <c r="AF4" s="2336">
        <v>76.449082699288567</v>
      </c>
      <c r="AG4" s="2336">
        <v>76.697479121650872</v>
      </c>
      <c r="AH4" s="2336">
        <v>76.943186159923783</v>
      </c>
      <c r="AI4" s="2336">
        <v>77.1913931872718</v>
      </c>
      <c r="AJ4" s="2336">
        <v>77.550104116283507</v>
      </c>
      <c r="AK4" s="2336">
        <v>77.911113228424099</v>
      </c>
      <c r="AL4" s="2336">
        <v>78.289975378441042</v>
      </c>
      <c r="AM4" s="2336">
        <v>78.583820072445903</v>
      </c>
      <c r="AN4" s="2336">
        <v>78.851911588632817</v>
      </c>
      <c r="AO4" s="2336">
        <v>79.092724962522041</v>
      </c>
      <c r="AP4" s="2336">
        <v>79.283253904957931</v>
      </c>
      <c r="AQ4" s="2336">
        <v>79.379131520095939</v>
      </c>
      <c r="AR4" s="2336">
        <v>79.479087375648618</v>
      </c>
      <c r="AS4" s="2336">
        <v>79.57008169148439</v>
      </c>
      <c r="AT4" s="2336">
        <v>79.742129295523071</v>
      </c>
      <c r="AU4" s="2336">
        <v>79.932591093947622</v>
      </c>
      <c r="AV4" s="2336">
        <v>80.177090003796565</v>
      </c>
      <c r="AW4" s="2336">
        <v>80.522154736705232</v>
      </c>
      <c r="AX4" s="2336">
        <v>80.610051467882471</v>
      </c>
      <c r="AY4" s="2336">
        <v>80.792313288128042</v>
      </c>
      <c r="AZ4" s="2336">
        <v>80.971314068150079</v>
      </c>
      <c r="BA4" s="2336">
        <v>81.105922421182186</v>
      </c>
      <c r="BB4" s="2336">
        <v>81.21956416018206</v>
      </c>
      <c r="BC4" s="2336">
        <v>81.338007502412864</v>
      </c>
      <c r="BD4" s="2336">
        <v>81.453045880005789</v>
      </c>
      <c r="BE4" s="2336">
        <v>81.561235545659329</v>
      </c>
      <c r="BF4" s="2336">
        <v>81.738497373194775</v>
      </c>
      <c r="BG4" s="2336">
        <v>81.903215453663009</v>
      </c>
      <c r="BH4" s="2336">
        <v>82.102617121714971</v>
      </c>
      <c r="BI4" s="2336">
        <v>82.24017250406024</v>
      </c>
      <c r="BJ4" s="2336">
        <v>82.403066417791692</v>
      </c>
      <c r="BK4" s="2336">
        <v>82.580671224222428</v>
      </c>
      <c r="BL4" s="2336">
        <v>82.799706615587255</v>
      </c>
      <c r="BM4" s="2336">
        <v>83.005682930711302</v>
      </c>
      <c r="BN4" s="2336">
        <v>83.176755503953615</v>
      </c>
      <c r="BO4" s="2336">
        <v>83.342113600590224</v>
      </c>
      <c r="BP4" s="2336">
        <v>83.542010320786673</v>
      </c>
      <c r="BQ4" s="2336">
        <v>83.719462635090295</v>
      </c>
      <c r="BR4" s="2336">
        <v>83.881577223825047</v>
      </c>
      <c r="BS4" s="2336">
        <v>84.063127071601926</v>
      </c>
      <c r="BT4" s="2336">
        <v>84.23339622167488</v>
      </c>
      <c r="BU4" s="2336">
        <v>84.373505938815228</v>
      </c>
      <c r="BV4" s="2336">
        <v>84.548427115139418</v>
      </c>
      <c r="BW4" s="2336">
        <v>84.703010581000214</v>
      </c>
      <c r="BX4" s="2336">
        <v>84.863829820830119</v>
      </c>
      <c r="BY4" s="2336">
        <v>85.007477448865686</v>
      </c>
      <c r="BZ4" s="2336">
        <v>85.140686422643697</v>
      </c>
      <c r="CA4" s="2336">
        <v>85.292987861742361</v>
      </c>
      <c r="CB4" s="2336">
        <v>85.456166457024565</v>
      </c>
      <c r="CC4" s="2336">
        <v>85.590800685477717</v>
      </c>
      <c r="CD4" s="2336">
        <v>85.733196709266949</v>
      </c>
      <c r="CE4" s="2336">
        <v>85.871048279755513</v>
      </c>
      <c r="CF4" s="2336">
        <v>86.013293245281233</v>
      </c>
      <c r="CG4" s="2336">
        <v>86.155561032742199</v>
      </c>
      <c r="CH4" s="2336">
        <v>86.311544228447616</v>
      </c>
      <c r="CI4" s="2336">
        <v>86.469312062038682</v>
      </c>
      <c r="CJ4" s="2336">
        <v>86.584681735640615</v>
      </c>
      <c r="CK4" s="2336">
        <v>86.734620006494026</v>
      </c>
      <c r="CL4" s="2336">
        <v>86.883507071523681</v>
      </c>
      <c r="CM4" s="2336">
        <v>87.026202767916828</v>
      </c>
      <c r="CN4" s="2336">
        <v>87.182323983991608</v>
      </c>
      <c r="CO4" s="2336">
        <v>87.307932380536528</v>
      </c>
      <c r="CP4" s="2336">
        <v>87.448978631466161</v>
      </c>
      <c r="CQ4" s="2336">
        <v>87.573254159983946</v>
      </c>
      <c r="CR4" s="2336">
        <v>87.705591757930478</v>
      </c>
      <c r="CS4" s="2336">
        <v>87.843349745204677</v>
      </c>
      <c r="CT4" s="2336">
        <v>87.977147475271096</v>
      </c>
      <c r="CU4" s="2336">
        <v>88.093084082389112</v>
      </c>
      <c r="CV4" s="2336">
        <v>88.205807100499655</v>
      </c>
      <c r="CW4" s="2336">
        <v>88.344098706499338</v>
      </c>
      <c r="CX4" s="2336">
        <v>88.472473836664861</v>
      </c>
      <c r="CY4" s="2336">
        <v>88.600040189835141</v>
      </c>
      <c r="CZ4" s="2336">
        <v>88.710640842134836</v>
      </c>
      <c r="DA4" s="2336">
        <v>88.826748460078377</v>
      </c>
      <c r="DB4" s="2336">
        <v>88.941674940066349</v>
      </c>
      <c r="DC4" s="2336">
        <v>89.0592082488822</v>
      </c>
      <c r="DD4" s="2336">
        <v>89.180519773209269</v>
      </c>
      <c r="DE4" s="2336">
        <v>89.299193898684194</v>
      </c>
      <c r="DF4" s="2336">
        <v>89.424815415271709</v>
      </c>
      <c r="DG4" s="2336">
        <v>89.533422767275908</v>
      </c>
      <c r="DH4" s="2336">
        <v>89.648376328975672</v>
      </c>
      <c r="DI4" s="2336">
        <v>89.76032424769005</v>
      </c>
      <c r="DJ4" s="2336">
        <v>89.868897890808228</v>
      </c>
      <c r="DK4" s="2336">
        <v>89.983527684710708</v>
      </c>
      <c r="DL4" s="2336">
        <v>90.095532468318694</v>
      </c>
      <c r="DM4" s="2336">
        <v>90.200621415581068</v>
      </c>
      <c r="DN4" s="2336">
        <v>90.311550576682492</v>
      </c>
      <c r="DO4" s="2336">
        <v>90.418350285195942</v>
      </c>
      <c r="DP4" s="2336">
        <v>90.528089833235967</v>
      </c>
      <c r="DQ4" s="2336">
        <v>90.63182983587707</v>
      </c>
      <c r="DR4" s="2336">
        <v>90.735315574951485</v>
      </c>
      <c r="DS4" s="2336">
        <v>90.839277378804496</v>
      </c>
      <c r="DT4" s="2336">
        <v>90.942183795964723</v>
      </c>
      <c r="DU4" s="2336">
        <v>91.04404425290133</v>
      </c>
    </row>
    <row r="5" spans="1:125">
      <c r="A5" s="909">
        <v>3</v>
      </c>
      <c r="B5" s="90"/>
      <c r="C5" s="90"/>
      <c r="D5" s="90"/>
      <c r="E5" s="90"/>
      <c r="F5" s="90"/>
      <c r="G5" s="90"/>
      <c r="H5" s="90"/>
      <c r="I5" s="90"/>
      <c r="J5" s="90"/>
      <c r="K5" s="90"/>
      <c r="L5" s="90"/>
      <c r="M5" s="90"/>
      <c r="N5" s="90"/>
      <c r="O5" s="90"/>
      <c r="P5" s="90"/>
      <c r="Q5" s="90"/>
      <c r="R5" s="90"/>
      <c r="S5" s="90"/>
      <c r="T5" s="90"/>
      <c r="U5" s="90"/>
      <c r="V5" s="739"/>
      <c r="W5" s="739">
        <v>73.31</v>
      </c>
      <c r="X5" s="739">
        <v>73.53</v>
      </c>
      <c r="Y5" s="2336">
        <v>73.734612132167143</v>
      </c>
      <c r="Z5" s="2336">
        <v>74.009179722994816</v>
      </c>
      <c r="AA5" s="2336">
        <v>74.236170992520044</v>
      </c>
      <c r="AB5" s="2336">
        <v>74.534697151925911</v>
      </c>
      <c r="AC5" s="2336">
        <v>74.908797081900971</v>
      </c>
      <c r="AD5" s="2336">
        <v>75.146210799365619</v>
      </c>
      <c r="AE5" s="2336">
        <v>75.457309596781755</v>
      </c>
      <c r="AF5" s="2336">
        <v>75.752567919608609</v>
      </c>
      <c r="AG5" s="2336">
        <v>76.001956910153282</v>
      </c>
      <c r="AH5" s="2336">
        <v>76.248645770088729</v>
      </c>
      <c r="AI5" s="2336">
        <v>76.54498686138372</v>
      </c>
      <c r="AJ5" s="2336">
        <v>76.936320177016754</v>
      </c>
      <c r="AK5" s="2336">
        <v>77.244698223044765</v>
      </c>
      <c r="AL5" s="2336">
        <v>77.601758846891698</v>
      </c>
      <c r="AM5" s="2336">
        <v>77.912462265355288</v>
      </c>
      <c r="AN5" s="2336">
        <v>78.1816821354534</v>
      </c>
      <c r="AO5" s="2336">
        <v>78.42350905395665</v>
      </c>
      <c r="AP5" s="2336">
        <v>78.61483990195245</v>
      </c>
      <c r="AQ5" s="2336">
        <v>78.744473770189032</v>
      </c>
      <c r="AR5" s="2336">
        <v>78.895037828296608</v>
      </c>
      <c r="AS5" s="2336">
        <v>79.070324224780592</v>
      </c>
      <c r="AT5" s="2336">
        <v>79.119525848042784</v>
      </c>
      <c r="AU5" s="2336">
        <v>79.310894734991493</v>
      </c>
      <c r="AV5" s="2336">
        <v>79.432465292270265</v>
      </c>
      <c r="AW5" s="2336">
        <v>79.694573068803152</v>
      </c>
      <c r="AX5" s="2336">
        <v>79.782659185130498</v>
      </c>
      <c r="AY5" s="2336">
        <v>79.96531371261014</v>
      </c>
      <c r="AZ5" s="2336">
        <v>80.089829929477375</v>
      </c>
      <c r="BA5" s="2336">
        <v>80.227663732857081</v>
      </c>
      <c r="BB5" s="2336">
        <v>80.341814464813012</v>
      </c>
      <c r="BC5" s="2336">
        <v>80.458849566854298</v>
      </c>
      <c r="BD5" s="2336">
        <v>80.562354643380516</v>
      </c>
      <c r="BE5" s="2336">
        <v>80.670473504047948</v>
      </c>
      <c r="BF5" s="2336">
        <v>80.839929684112008</v>
      </c>
      <c r="BG5" s="2336">
        <v>81.004551461945923</v>
      </c>
      <c r="BH5" s="2336">
        <v>81.193389652450364</v>
      </c>
      <c r="BI5" s="2336">
        <v>81.331577588313863</v>
      </c>
      <c r="BJ5" s="2336">
        <v>81.495259911084744</v>
      </c>
      <c r="BK5" s="2336">
        <v>81.663077712417873</v>
      </c>
      <c r="BL5" s="2336">
        <v>81.872985993836394</v>
      </c>
      <c r="BM5" s="2336">
        <v>82.079443582800195</v>
      </c>
      <c r="BN5" s="2336">
        <v>82.254566337778215</v>
      </c>
      <c r="BO5" s="2336">
        <v>82.409964040464686</v>
      </c>
      <c r="BP5" s="2336">
        <v>82.611228257065491</v>
      </c>
      <c r="BQ5" s="2336">
        <v>82.794652922785474</v>
      </c>
      <c r="BR5" s="2336">
        <v>82.946484313470265</v>
      </c>
      <c r="BS5" s="2336">
        <v>83.124755111707941</v>
      </c>
      <c r="BT5" s="2336">
        <v>83.292669706955195</v>
      </c>
      <c r="BU5" s="2336">
        <v>83.431388773761597</v>
      </c>
      <c r="BV5" s="2336">
        <v>83.60830905783574</v>
      </c>
      <c r="BW5" s="2336">
        <v>83.758678842292483</v>
      </c>
      <c r="BX5" s="2336">
        <v>83.912782230563678</v>
      </c>
      <c r="BY5" s="2336">
        <v>84.056639083188813</v>
      </c>
      <c r="BZ5" s="2336">
        <v>84.187358783812201</v>
      </c>
      <c r="CA5" s="2336">
        <v>84.339160604966281</v>
      </c>
      <c r="CB5" s="2336">
        <v>84.496556783805488</v>
      </c>
      <c r="CC5" s="2336">
        <v>84.636765323272002</v>
      </c>
      <c r="CD5" s="2336">
        <v>84.776246418813741</v>
      </c>
      <c r="CE5" s="2336">
        <v>84.908032880757787</v>
      </c>
      <c r="CF5" s="2336">
        <v>85.053523389590424</v>
      </c>
      <c r="CG5" s="2336">
        <v>85.189956388679875</v>
      </c>
      <c r="CH5" s="2336">
        <v>85.345921194861262</v>
      </c>
      <c r="CI5" s="2336">
        <v>85.502095411015148</v>
      </c>
      <c r="CJ5" s="2336">
        <v>85.62004492609573</v>
      </c>
      <c r="CK5" s="2336">
        <v>85.765404324104153</v>
      </c>
      <c r="CL5" s="2336">
        <v>85.911194085263944</v>
      </c>
      <c r="CM5" s="2336">
        <v>86.053883025407799</v>
      </c>
      <c r="CN5" s="2336">
        <v>86.200745408316976</v>
      </c>
      <c r="CO5" s="2336">
        <v>86.332249575785596</v>
      </c>
      <c r="CP5" s="2336">
        <v>86.472823453563024</v>
      </c>
      <c r="CQ5" s="2336">
        <v>86.596735399486505</v>
      </c>
      <c r="CR5" s="2336">
        <v>86.725859153010404</v>
      </c>
      <c r="CS5" s="2336">
        <v>86.865440682094771</v>
      </c>
      <c r="CT5" s="2336">
        <v>86.996544307431776</v>
      </c>
      <c r="CU5" s="2336">
        <v>87.114966218097535</v>
      </c>
      <c r="CV5" s="2336">
        <v>87.225417208077829</v>
      </c>
      <c r="CW5" s="2336">
        <v>87.362039661252098</v>
      </c>
      <c r="CX5" s="2336">
        <v>87.487887231037192</v>
      </c>
      <c r="CY5" s="2336">
        <v>87.617857234865625</v>
      </c>
      <c r="CZ5" s="2336">
        <v>87.728153886655818</v>
      </c>
      <c r="DA5" s="2336">
        <v>87.844108189186542</v>
      </c>
      <c r="DB5" s="2336">
        <v>87.957312124998978</v>
      </c>
      <c r="DC5" s="2336">
        <v>88.076355574201955</v>
      </c>
      <c r="DD5" s="2336">
        <v>88.193726757519087</v>
      </c>
      <c r="DE5" s="2336">
        <v>88.310839764029268</v>
      </c>
      <c r="DF5" s="2336">
        <v>88.438364497041022</v>
      </c>
      <c r="DG5" s="2336">
        <v>88.546806723496317</v>
      </c>
      <c r="DH5" s="2336">
        <v>88.659595295183237</v>
      </c>
      <c r="DI5" s="2336">
        <v>88.769317449796304</v>
      </c>
      <c r="DJ5" s="2336">
        <v>88.879472949760853</v>
      </c>
      <c r="DK5" s="2336">
        <v>88.995133514621386</v>
      </c>
      <c r="DL5" s="2336">
        <v>89.104589216382763</v>
      </c>
      <c r="DM5" s="2336">
        <v>89.213314123111729</v>
      </c>
      <c r="DN5" s="2336">
        <v>89.323705037991786</v>
      </c>
      <c r="DO5" s="2336">
        <v>89.429625803967085</v>
      </c>
      <c r="DP5" s="2336">
        <v>89.537580643478123</v>
      </c>
      <c r="DQ5" s="2336">
        <v>89.642584105964204</v>
      </c>
      <c r="DR5" s="2336">
        <v>89.7471495974075</v>
      </c>
      <c r="DS5" s="2336">
        <v>89.85066758405803</v>
      </c>
      <c r="DT5" s="2336">
        <v>89.953146688408566</v>
      </c>
      <c r="DU5" s="2336">
        <v>90.054595729955494</v>
      </c>
    </row>
    <row r="6" spans="1:125">
      <c r="A6" s="909">
        <v>4</v>
      </c>
      <c r="B6" s="90"/>
      <c r="C6" s="90"/>
      <c r="D6" s="90"/>
      <c r="E6" s="90"/>
      <c r="F6" s="90"/>
      <c r="G6" s="90"/>
      <c r="H6" s="90"/>
      <c r="I6" s="90"/>
      <c r="J6" s="90"/>
      <c r="K6" s="90"/>
      <c r="L6" s="90"/>
      <c r="M6" s="90"/>
      <c r="N6" s="90"/>
      <c r="O6" s="90"/>
      <c r="P6" s="90"/>
      <c r="Q6" s="90"/>
      <c r="R6" s="90"/>
      <c r="S6" s="90"/>
      <c r="T6" s="90"/>
      <c r="U6" s="90"/>
      <c r="V6" s="739"/>
      <c r="W6" s="739">
        <v>72.569999999999993</v>
      </c>
      <c r="X6" s="739">
        <v>72.790000000000006</v>
      </c>
      <c r="Y6" s="2336">
        <v>73.000684610456986</v>
      </c>
      <c r="Z6" s="2336">
        <v>73.292197931173476</v>
      </c>
      <c r="AA6" s="2336">
        <v>73.51105223327356</v>
      </c>
      <c r="AB6" s="2336">
        <v>73.840832287179822</v>
      </c>
      <c r="AC6" s="2336">
        <v>74.178316186925287</v>
      </c>
      <c r="AD6" s="2336">
        <v>74.378700350131993</v>
      </c>
      <c r="AE6" s="2336">
        <v>74.673810170071562</v>
      </c>
      <c r="AF6" s="2336">
        <v>74.969921292932256</v>
      </c>
      <c r="AG6" s="2336">
        <v>75.220030598276324</v>
      </c>
      <c r="AH6" s="2336">
        <v>75.501045615347181</v>
      </c>
      <c r="AI6" s="2336">
        <v>75.820432475400381</v>
      </c>
      <c r="AJ6" s="2336">
        <v>76.174385117619735</v>
      </c>
      <c r="AK6" s="2336">
        <v>76.467032502835096</v>
      </c>
      <c r="AL6" s="2336">
        <v>76.836306488624558</v>
      </c>
      <c r="AM6" s="2336">
        <v>77.147955083374256</v>
      </c>
      <c r="AN6" s="2336">
        <v>77.417993934603061</v>
      </c>
      <c r="AO6" s="2336">
        <v>77.660556503424687</v>
      </c>
      <c r="AP6" s="2336">
        <v>77.876311879982069</v>
      </c>
      <c r="AQ6" s="2336">
        <v>78.042230019224505</v>
      </c>
      <c r="AR6" s="2336">
        <v>78.253305560554026</v>
      </c>
      <c r="AS6" s="2336">
        <v>78.346286226573596</v>
      </c>
      <c r="AT6" s="2336">
        <v>78.395660660354039</v>
      </c>
      <c r="AU6" s="2336">
        <v>78.497256740485952</v>
      </c>
      <c r="AV6" s="2336">
        <v>78.562127180846844</v>
      </c>
      <c r="AW6" s="2336">
        <v>78.824665520256374</v>
      </c>
      <c r="AX6" s="2336">
        <v>78.912896335120095</v>
      </c>
      <c r="AY6" s="2336">
        <v>79.054132639011428</v>
      </c>
      <c r="AZ6" s="2336">
        <v>79.175256620677999</v>
      </c>
      <c r="BA6" s="2336">
        <v>79.30816756019621</v>
      </c>
      <c r="BB6" s="2336">
        <v>79.418100799567583</v>
      </c>
      <c r="BC6" s="2336">
        <v>79.536351117014902</v>
      </c>
      <c r="BD6" s="2336">
        <v>79.639485912790263</v>
      </c>
      <c r="BE6" s="2336">
        <v>79.736332458675989</v>
      </c>
      <c r="BF6" s="2336">
        <v>79.915255379263897</v>
      </c>
      <c r="BG6" s="2336">
        <v>80.074699537897331</v>
      </c>
      <c r="BH6" s="2336">
        <v>80.26062361553312</v>
      </c>
      <c r="BI6" s="2336">
        <v>80.393462178706528</v>
      </c>
      <c r="BJ6" s="2336">
        <v>80.551373153204125</v>
      </c>
      <c r="BK6" s="2336">
        <v>80.717878580681813</v>
      </c>
      <c r="BL6" s="2336">
        <v>80.927885963453633</v>
      </c>
      <c r="BM6" s="2336">
        <v>81.133334148716287</v>
      </c>
      <c r="BN6" s="2336">
        <v>81.30793444150855</v>
      </c>
      <c r="BO6" s="2336">
        <v>81.463145212157613</v>
      </c>
      <c r="BP6" s="2336">
        <v>81.664825407929683</v>
      </c>
      <c r="BQ6" s="2336">
        <v>81.846279933251694</v>
      </c>
      <c r="BR6" s="2336">
        <v>81.997671617595998</v>
      </c>
      <c r="BS6" s="2336">
        <v>82.172381207011085</v>
      </c>
      <c r="BT6" s="2336">
        <v>82.33772901572749</v>
      </c>
      <c r="BU6" s="2336">
        <v>82.475904819305669</v>
      </c>
      <c r="BV6" s="2336">
        <v>82.6514946868663</v>
      </c>
      <c r="BW6" s="2336">
        <v>82.799841868408976</v>
      </c>
      <c r="BX6" s="2336">
        <v>82.956991477878432</v>
      </c>
      <c r="BY6" s="2336">
        <v>83.096768963621571</v>
      </c>
      <c r="BZ6" s="2336">
        <v>83.225486061298668</v>
      </c>
      <c r="CA6" s="2336">
        <v>83.372563755676822</v>
      </c>
      <c r="CB6" s="2336">
        <v>83.531276222880294</v>
      </c>
      <c r="CC6" s="2336">
        <v>83.666763800146924</v>
      </c>
      <c r="CD6" s="2336">
        <v>83.805388763743679</v>
      </c>
      <c r="CE6" s="2336">
        <v>83.935712065567287</v>
      </c>
      <c r="CF6" s="2336">
        <v>84.080394405546869</v>
      </c>
      <c r="CG6" s="2336">
        <v>84.21281637612077</v>
      </c>
      <c r="CH6" s="2336">
        <v>84.369835928820606</v>
      </c>
      <c r="CI6" s="2336">
        <v>84.528814526740959</v>
      </c>
      <c r="CJ6" s="2336">
        <v>84.641396267930347</v>
      </c>
      <c r="CK6" s="2336">
        <v>84.793105230733687</v>
      </c>
      <c r="CL6" s="2336">
        <v>84.932931163430439</v>
      </c>
      <c r="CM6" s="2336">
        <v>85.074777100885655</v>
      </c>
      <c r="CN6" s="2336">
        <v>85.220692969653797</v>
      </c>
      <c r="CO6" s="2336">
        <v>85.349562084535734</v>
      </c>
      <c r="CP6" s="2336">
        <v>85.48964886031051</v>
      </c>
      <c r="CQ6" s="2336">
        <v>85.612218644144363</v>
      </c>
      <c r="CR6" s="2336">
        <v>85.740639541561464</v>
      </c>
      <c r="CS6" s="2336">
        <v>85.881767075132899</v>
      </c>
      <c r="CT6" s="2336">
        <v>86.00855857000019</v>
      </c>
      <c r="CU6" s="2336">
        <v>86.129594128088797</v>
      </c>
      <c r="CV6" s="2336">
        <v>86.240708194806629</v>
      </c>
      <c r="CW6" s="2336">
        <v>86.377670257591006</v>
      </c>
      <c r="CX6" s="2336">
        <v>86.501207154922483</v>
      </c>
      <c r="CY6" s="2336">
        <v>86.63015717131465</v>
      </c>
      <c r="CZ6" s="2336">
        <v>86.738785948339995</v>
      </c>
      <c r="DA6" s="2336">
        <v>86.855974283100736</v>
      </c>
      <c r="DB6" s="2336">
        <v>86.970496303598424</v>
      </c>
      <c r="DC6" s="2336">
        <v>87.089659857154501</v>
      </c>
      <c r="DD6" s="2336">
        <v>87.201978787790594</v>
      </c>
      <c r="DE6" s="2336">
        <v>87.321602335930933</v>
      </c>
      <c r="DF6" s="2336">
        <v>87.448043260189522</v>
      </c>
      <c r="DG6" s="2336">
        <v>87.558345302829835</v>
      </c>
      <c r="DH6" s="2336">
        <v>87.668239214524178</v>
      </c>
      <c r="DI6" s="2336">
        <v>87.780222259850802</v>
      </c>
      <c r="DJ6" s="2336">
        <v>87.889177907316622</v>
      </c>
      <c r="DK6" s="2336">
        <v>88.004908382093532</v>
      </c>
      <c r="DL6" s="2336">
        <v>88.112971966335323</v>
      </c>
      <c r="DM6" s="2336">
        <v>88.222943096178625</v>
      </c>
      <c r="DN6" s="2336">
        <v>88.332043350506012</v>
      </c>
      <c r="DO6" s="2336">
        <v>88.439592559916605</v>
      </c>
      <c r="DP6" s="2336">
        <v>88.545970793946339</v>
      </c>
      <c r="DQ6" s="2336">
        <v>88.651259515838049</v>
      </c>
      <c r="DR6" s="2336">
        <v>88.755504418817722</v>
      </c>
      <c r="DS6" s="2336">
        <v>88.858713559696554</v>
      </c>
      <c r="DT6" s="2336">
        <v>88.960895135784668</v>
      </c>
      <c r="DU6" s="2336">
        <v>89.062057556578338</v>
      </c>
    </row>
    <row r="7" spans="1:125">
      <c r="A7" s="909">
        <v>5</v>
      </c>
      <c r="B7" s="90"/>
      <c r="C7" s="90"/>
      <c r="D7" s="90"/>
      <c r="E7" s="90"/>
      <c r="F7" s="90"/>
      <c r="G7" s="90"/>
      <c r="H7" s="90"/>
      <c r="I7" s="90"/>
      <c r="J7" s="90"/>
      <c r="K7" s="90"/>
      <c r="L7" s="90"/>
      <c r="M7" s="90"/>
      <c r="N7" s="90"/>
      <c r="O7" s="90"/>
      <c r="P7" s="90"/>
      <c r="Q7" s="90"/>
      <c r="R7" s="90"/>
      <c r="S7" s="90"/>
      <c r="T7" s="90"/>
      <c r="U7" s="90"/>
      <c r="V7" s="739"/>
      <c r="W7" s="739">
        <v>71.78</v>
      </c>
      <c r="X7" s="739">
        <v>72</v>
      </c>
      <c r="Y7" s="2336">
        <v>72.221038879116165</v>
      </c>
      <c r="Z7" s="2336">
        <v>72.51561217351113</v>
      </c>
      <c r="AA7" s="2336">
        <v>72.759592555709816</v>
      </c>
      <c r="AB7" s="2336">
        <v>73.06854731099989</v>
      </c>
      <c r="AC7" s="2336">
        <v>73.375035640486459</v>
      </c>
      <c r="AD7" s="2336">
        <v>73.56163258261104</v>
      </c>
      <c r="AE7" s="2336">
        <v>73.857473128699453</v>
      </c>
      <c r="AF7" s="2336">
        <v>74.154317457051164</v>
      </c>
      <c r="AG7" s="2336">
        <v>74.433457792975702</v>
      </c>
      <c r="AH7" s="2336">
        <v>74.733915414560158</v>
      </c>
      <c r="AI7" s="2336">
        <v>75.0215363426625</v>
      </c>
      <c r="AJ7" s="2336">
        <v>75.362330791151223</v>
      </c>
      <c r="AK7" s="2336">
        <v>75.665143404031383</v>
      </c>
      <c r="AL7" s="2336">
        <v>76.03538040232381</v>
      </c>
      <c r="AM7" s="2336">
        <v>76.347841730991462</v>
      </c>
      <c r="AN7" s="2336">
        <v>76.618584804017715</v>
      </c>
      <c r="AO7" s="2336">
        <v>76.881960023020142</v>
      </c>
      <c r="AP7" s="2336">
        <v>77.12870905311604</v>
      </c>
      <c r="AQ7" s="2336">
        <v>77.345954231996814</v>
      </c>
      <c r="AR7" s="2336">
        <v>77.445831765013608</v>
      </c>
      <c r="AS7" s="2336">
        <v>77.539042661948599</v>
      </c>
      <c r="AT7" s="2336">
        <v>77.525561265850484</v>
      </c>
      <c r="AU7" s="2336">
        <v>77.596439218293199</v>
      </c>
      <c r="AV7" s="2336">
        <v>77.661392148875919</v>
      </c>
      <c r="AW7" s="2336">
        <v>77.924264335963059</v>
      </c>
      <c r="AX7" s="2336">
        <v>77.981565963100962</v>
      </c>
      <c r="AY7" s="2336">
        <v>78.120026697109822</v>
      </c>
      <c r="AZ7" s="2336">
        <v>78.243626144893426</v>
      </c>
      <c r="BA7" s="2336">
        <v>78.363737377161527</v>
      </c>
      <c r="BB7" s="2336">
        <v>78.476460879516893</v>
      </c>
      <c r="BC7" s="2336">
        <v>78.598901464400242</v>
      </c>
      <c r="BD7" s="2336">
        <v>78.692467744117778</v>
      </c>
      <c r="BE7" s="2336">
        <v>78.791557637012332</v>
      </c>
      <c r="BF7" s="2336">
        <v>78.967464376838478</v>
      </c>
      <c r="BG7" s="2336">
        <v>79.12426042973307</v>
      </c>
      <c r="BH7" s="2336">
        <v>79.306089142135178</v>
      </c>
      <c r="BI7" s="2336">
        <v>79.443207228585877</v>
      </c>
      <c r="BJ7" s="2336">
        <v>79.596940488017083</v>
      </c>
      <c r="BK7" s="2336">
        <v>79.765127809562799</v>
      </c>
      <c r="BL7" s="2336">
        <v>79.973612067525693</v>
      </c>
      <c r="BM7" s="2336">
        <v>80.182230466107754</v>
      </c>
      <c r="BN7" s="2336">
        <v>80.354725543056972</v>
      </c>
      <c r="BO7" s="2336">
        <v>80.509518180569358</v>
      </c>
      <c r="BP7" s="2336">
        <v>80.704771931699199</v>
      </c>
      <c r="BQ7" s="2336">
        <v>80.886154553635038</v>
      </c>
      <c r="BR7" s="2336">
        <v>81.040201049863512</v>
      </c>
      <c r="BS7" s="2336">
        <v>81.205684467669201</v>
      </c>
      <c r="BT7" s="2336">
        <v>81.376838973398861</v>
      </c>
      <c r="BU7" s="2336">
        <v>81.514301934769804</v>
      </c>
      <c r="BV7" s="2336">
        <v>81.686537195088604</v>
      </c>
      <c r="BW7" s="2336">
        <v>81.834554467487223</v>
      </c>
      <c r="BX7" s="2336">
        <v>81.98719949543937</v>
      </c>
      <c r="BY7" s="2336">
        <v>82.129386133121201</v>
      </c>
      <c r="BZ7" s="2336">
        <v>82.2559427100569</v>
      </c>
      <c r="CA7" s="2336">
        <v>82.398502659026519</v>
      </c>
      <c r="CB7" s="2336">
        <v>82.558218535850912</v>
      </c>
      <c r="CC7" s="2336">
        <v>82.689544461691852</v>
      </c>
      <c r="CD7" s="2336">
        <v>82.827879175496136</v>
      </c>
      <c r="CE7" s="2336">
        <v>82.955368732556622</v>
      </c>
      <c r="CF7" s="2336">
        <v>83.099587621487416</v>
      </c>
      <c r="CG7" s="2336">
        <v>83.231241141403544</v>
      </c>
      <c r="CH7" s="2336">
        <v>83.387918002636539</v>
      </c>
      <c r="CI7" s="2336">
        <v>83.545327570150263</v>
      </c>
      <c r="CJ7" s="2336">
        <v>83.660859164831351</v>
      </c>
      <c r="CK7" s="2336">
        <v>83.811122629265967</v>
      </c>
      <c r="CL7" s="2336">
        <v>83.952123071512361</v>
      </c>
      <c r="CM7" s="2336">
        <v>84.089615571936676</v>
      </c>
      <c r="CN7" s="2336">
        <v>84.236601556368939</v>
      </c>
      <c r="CO7" s="2336">
        <v>84.365961460633571</v>
      </c>
      <c r="CP7" s="2336">
        <v>84.50075487250048</v>
      </c>
      <c r="CQ7" s="2336">
        <v>84.627496719050399</v>
      </c>
      <c r="CR7" s="2336">
        <v>84.75187604748011</v>
      </c>
      <c r="CS7" s="2336">
        <v>84.894010821755856</v>
      </c>
      <c r="CT7" s="2336">
        <v>85.020423764769646</v>
      </c>
      <c r="CU7" s="2336">
        <v>85.141005579570901</v>
      </c>
      <c r="CV7" s="2336">
        <v>85.252680189230531</v>
      </c>
      <c r="CW7" s="2336">
        <v>85.387428632457599</v>
      </c>
      <c r="CX7" s="2336">
        <v>85.51278172438515</v>
      </c>
      <c r="CY7" s="2336">
        <v>85.638026260072607</v>
      </c>
      <c r="CZ7" s="2336">
        <v>85.748080423303435</v>
      </c>
      <c r="DA7" s="2336">
        <v>85.866213993618999</v>
      </c>
      <c r="DB7" s="2336">
        <v>85.980780063835141</v>
      </c>
      <c r="DC7" s="2336">
        <v>86.099971149782888</v>
      </c>
      <c r="DD7" s="2336">
        <v>86.212807390252223</v>
      </c>
      <c r="DE7" s="2336">
        <v>86.33117269678263</v>
      </c>
      <c r="DF7" s="2336">
        <v>86.455756400316361</v>
      </c>
      <c r="DG7" s="2336">
        <v>86.566239573447803</v>
      </c>
      <c r="DH7" s="2336">
        <v>86.676169512746966</v>
      </c>
      <c r="DI7" s="2336">
        <v>86.787423311857737</v>
      </c>
      <c r="DJ7" s="2336">
        <v>86.898859839052008</v>
      </c>
      <c r="DK7" s="2336">
        <v>87.012511586218906</v>
      </c>
      <c r="DL7" s="2336">
        <v>87.122136404831551</v>
      </c>
      <c r="DM7" s="2336">
        <v>87.230786340855047</v>
      </c>
      <c r="DN7" s="2336">
        <v>87.340026776348935</v>
      </c>
      <c r="DO7" s="2336">
        <v>87.446694834942534</v>
      </c>
      <c r="DP7" s="2336">
        <v>87.552778328608909</v>
      </c>
      <c r="DQ7" s="2336">
        <v>87.65781921430208</v>
      </c>
      <c r="DR7" s="2336">
        <v>87.761825220761764</v>
      </c>
      <c r="DS7" s="2336">
        <v>87.86480408619876</v>
      </c>
      <c r="DT7" s="2336">
        <v>87.966763700509901</v>
      </c>
      <c r="DU7" s="2336">
        <v>88.067712176584251</v>
      </c>
    </row>
    <row r="8" spans="1:125">
      <c r="A8" s="909">
        <v>6</v>
      </c>
      <c r="B8" s="90"/>
      <c r="C8" s="90"/>
      <c r="D8" s="90"/>
      <c r="E8" s="90"/>
      <c r="F8" s="90"/>
      <c r="G8" s="90"/>
      <c r="H8" s="90"/>
      <c r="I8" s="90"/>
      <c r="J8" s="90"/>
      <c r="K8" s="90"/>
      <c r="L8" s="90"/>
      <c r="M8" s="90"/>
      <c r="N8" s="90"/>
      <c r="O8" s="90"/>
      <c r="P8" s="90"/>
      <c r="Q8" s="90"/>
      <c r="R8" s="90"/>
      <c r="S8" s="90"/>
      <c r="T8" s="90"/>
      <c r="U8" s="90"/>
      <c r="V8" s="739"/>
      <c r="W8" s="739">
        <v>70.94</v>
      </c>
      <c r="X8" s="739">
        <v>71.17</v>
      </c>
      <c r="Y8" s="2336">
        <v>71.401021746727835</v>
      </c>
      <c r="Z8" s="2336">
        <v>71.716044161479473</v>
      </c>
      <c r="AA8" s="2336">
        <v>71.954805317062309</v>
      </c>
      <c r="AB8" s="2336">
        <v>72.23714334465852</v>
      </c>
      <c r="AC8" s="2336">
        <v>72.532054557785713</v>
      </c>
      <c r="AD8" s="2336">
        <v>72.719053547738682</v>
      </c>
      <c r="AE8" s="2336">
        <v>73.015531521470606</v>
      </c>
      <c r="AF8" s="2336">
        <v>73.337376736267188</v>
      </c>
      <c r="AG8" s="2336">
        <v>73.633192581695653</v>
      </c>
      <c r="AH8" s="2336">
        <v>73.906380541197024</v>
      </c>
      <c r="AI8" s="2336">
        <v>74.182588675838417</v>
      </c>
      <c r="AJ8" s="2336">
        <v>74.532210440942364</v>
      </c>
      <c r="AK8" s="2336">
        <v>74.835710204490752</v>
      </c>
      <c r="AL8" s="2336">
        <v>75.206787354712006</v>
      </c>
      <c r="AM8" s="2336">
        <v>75.519957729177818</v>
      </c>
      <c r="AN8" s="2336">
        <v>75.808631343253296</v>
      </c>
      <c r="AO8" s="2336">
        <v>76.098743048053223</v>
      </c>
      <c r="AP8" s="2336">
        <v>76.389837278299083</v>
      </c>
      <c r="AQ8" s="2336">
        <v>76.48452637947986</v>
      </c>
      <c r="AR8" s="2336">
        <v>76.584584016242857</v>
      </c>
      <c r="AS8" s="2336">
        <v>76.632623715512139</v>
      </c>
      <c r="AT8" s="2336">
        <v>76.60189213906817</v>
      </c>
      <c r="AU8" s="2336">
        <v>76.672840330220126</v>
      </c>
      <c r="AV8" s="2336">
        <v>76.737857627927568</v>
      </c>
      <c r="AW8" s="2336">
        <v>76.980796579653457</v>
      </c>
      <c r="AX8" s="2336">
        <v>77.031201169016072</v>
      </c>
      <c r="AY8" s="2336">
        <v>77.175477090878459</v>
      </c>
      <c r="AZ8" s="2336">
        <v>77.291641639379364</v>
      </c>
      <c r="BA8" s="2336">
        <v>77.413340751160263</v>
      </c>
      <c r="BB8" s="2336">
        <v>77.530248274198783</v>
      </c>
      <c r="BC8" s="2336">
        <v>77.643408264093338</v>
      </c>
      <c r="BD8" s="2336">
        <v>77.733268554629163</v>
      </c>
      <c r="BE8" s="2336">
        <v>77.835680018103389</v>
      </c>
      <c r="BF8" s="2336">
        <v>78.008558401785763</v>
      </c>
      <c r="BG8" s="2336">
        <v>78.167227669442639</v>
      </c>
      <c r="BH8" s="2336">
        <v>78.343934789917782</v>
      </c>
      <c r="BI8" s="2336">
        <v>78.482019430470586</v>
      </c>
      <c r="BJ8" s="2336">
        <v>78.636330535997402</v>
      </c>
      <c r="BK8" s="2336">
        <v>78.805910402769257</v>
      </c>
      <c r="BL8" s="2336">
        <v>79.013330438570321</v>
      </c>
      <c r="BM8" s="2336">
        <v>79.217621210678971</v>
      </c>
      <c r="BN8" s="2336">
        <v>79.395162847129214</v>
      </c>
      <c r="BO8" s="2336">
        <v>79.549444490201424</v>
      </c>
      <c r="BP8" s="2336">
        <v>79.740865000661955</v>
      </c>
      <c r="BQ8" s="2336">
        <v>79.919711828937849</v>
      </c>
      <c r="BR8" s="2336">
        <v>80.075179939237813</v>
      </c>
      <c r="BS8" s="2336">
        <v>80.241682646109012</v>
      </c>
      <c r="BT8" s="2336">
        <v>80.4080606355149</v>
      </c>
      <c r="BU8" s="2336">
        <v>80.544442097756502</v>
      </c>
      <c r="BV8" s="2336">
        <v>80.712126136332088</v>
      </c>
      <c r="BW8" s="2336">
        <v>80.866696933874209</v>
      </c>
      <c r="BX8" s="2336">
        <v>81.010577264668569</v>
      </c>
      <c r="BY8" s="2336">
        <v>81.152329960772448</v>
      </c>
      <c r="BZ8" s="2336">
        <v>81.284771429361456</v>
      </c>
      <c r="CA8" s="2336">
        <v>81.419137951764867</v>
      </c>
      <c r="CB8" s="2336">
        <v>81.577789602004088</v>
      </c>
      <c r="CC8" s="2336">
        <v>81.713628803573741</v>
      </c>
      <c r="CD8" s="2336">
        <v>81.844759668894099</v>
      </c>
      <c r="CE8" s="2336">
        <v>81.971929300832429</v>
      </c>
      <c r="CF8" s="2336">
        <v>82.116628457314917</v>
      </c>
      <c r="CG8" s="2336">
        <v>82.248436775592111</v>
      </c>
      <c r="CH8" s="2336">
        <v>82.406128264054203</v>
      </c>
      <c r="CI8" s="2336">
        <v>82.562849487265737</v>
      </c>
      <c r="CJ8" s="2336">
        <v>82.678508611439227</v>
      </c>
      <c r="CK8" s="2336">
        <v>82.825715119518165</v>
      </c>
      <c r="CL8" s="2336">
        <v>82.96369509828061</v>
      </c>
      <c r="CM8" s="2336">
        <v>83.104932165172897</v>
      </c>
      <c r="CN8" s="2336">
        <v>83.247685743091424</v>
      </c>
      <c r="CO8" s="2336">
        <v>83.37432775606338</v>
      </c>
      <c r="CP8" s="2336">
        <v>83.508820491085274</v>
      </c>
      <c r="CQ8" s="2336">
        <v>83.635361674570348</v>
      </c>
      <c r="CR8" s="2336">
        <v>83.761622928806759</v>
      </c>
      <c r="CS8" s="2336">
        <v>83.902070195387381</v>
      </c>
      <c r="CT8" s="2336">
        <v>84.029304582787248</v>
      </c>
      <c r="CU8" s="2336">
        <v>84.153320642896517</v>
      </c>
      <c r="CV8" s="2336">
        <v>84.264500257478758</v>
      </c>
      <c r="CW8" s="2336">
        <v>84.395503355130671</v>
      </c>
      <c r="CX8" s="2336">
        <v>84.521757365173244</v>
      </c>
      <c r="CY8" s="2336">
        <v>84.643689767099247</v>
      </c>
      <c r="CZ8" s="2336">
        <v>84.757037730060759</v>
      </c>
      <c r="DA8" s="2336">
        <v>84.872641190471413</v>
      </c>
      <c r="DB8" s="2336">
        <v>84.989212102114735</v>
      </c>
      <c r="DC8" s="2336">
        <v>85.109195636653112</v>
      </c>
      <c r="DD8" s="2336">
        <v>85.223742404499546</v>
      </c>
      <c r="DE8" s="2336">
        <v>85.339315359608008</v>
      </c>
      <c r="DF8" s="2336">
        <v>85.461557881650549</v>
      </c>
      <c r="DG8" s="2336">
        <v>85.572411039685505</v>
      </c>
      <c r="DH8" s="2336">
        <v>85.683350911796865</v>
      </c>
      <c r="DI8" s="2336">
        <v>85.795683535571868</v>
      </c>
      <c r="DJ8" s="2336">
        <v>85.905907877047483</v>
      </c>
      <c r="DK8" s="2336">
        <v>86.019489439809476</v>
      </c>
      <c r="DL8" s="2336">
        <v>86.127908070291411</v>
      </c>
      <c r="DM8" s="2336">
        <v>86.236462034561512</v>
      </c>
      <c r="DN8" s="2336">
        <v>86.345457061043348</v>
      </c>
      <c r="DO8" s="2336">
        <v>86.452379737123735</v>
      </c>
      <c r="DP8" s="2336">
        <v>86.558259362820607</v>
      </c>
      <c r="DQ8" s="2336">
        <v>86.663103620926975</v>
      </c>
      <c r="DR8" s="2336">
        <v>86.766919986271233</v>
      </c>
      <c r="DS8" s="2336">
        <v>86.869715951911928</v>
      </c>
      <c r="DT8" s="2336">
        <v>86.971499171064664</v>
      </c>
      <c r="DU8" s="2336">
        <v>87.072277528124587</v>
      </c>
    </row>
    <row r="9" spans="1:125">
      <c r="A9" s="909">
        <v>7</v>
      </c>
      <c r="B9" s="90"/>
      <c r="C9" s="90"/>
      <c r="D9" s="90"/>
      <c r="E9" s="90"/>
      <c r="F9" s="90"/>
      <c r="G9" s="90"/>
      <c r="H9" s="90"/>
      <c r="I9" s="90"/>
      <c r="J9" s="90"/>
      <c r="K9" s="90"/>
      <c r="L9" s="90"/>
      <c r="M9" s="90"/>
      <c r="N9" s="90"/>
      <c r="O9" s="90"/>
      <c r="P9" s="90"/>
      <c r="Q9" s="90"/>
      <c r="R9" s="90"/>
      <c r="S9" s="90"/>
      <c r="T9" s="90"/>
      <c r="U9" s="90"/>
      <c r="V9" s="739"/>
      <c r="W9" s="739">
        <v>70.069999999999993</v>
      </c>
      <c r="X9" s="739">
        <v>70.319999999999993</v>
      </c>
      <c r="Y9" s="2336">
        <v>70.571538701170482</v>
      </c>
      <c r="Z9" s="2336">
        <v>70.890496809731914</v>
      </c>
      <c r="AA9" s="2336">
        <v>71.105338646421856</v>
      </c>
      <c r="AB9" s="2336">
        <v>71.377304087629412</v>
      </c>
      <c r="AC9" s="2336">
        <v>71.672791501213069</v>
      </c>
      <c r="AD9" s="2336">
        <v>71.860155851649395</v>
      </c>
      <c r="AE9" s="2336">
        <v>72.178957211777288</v>
      </c>
      <c r="AF9" s="2336">
        <v>72.515801042377078</v>
      </c>
      <c r="AG9" s="2336">
        <v>72.787261757549757</v>
      </c>
      <c r="AH9" s="2336">
        <v>73.05023650885191</v>
      </c>
      <c r="AI9" s="2336">
        <v>73.334205492328351</v>
      </c>
      <c r="AJ9" s="2336">
        <v>73.684546674867988</v>
      </c>
      <c r="AK9" s="2336">
        <v>73.988670950513239</v>
      </c>
      <c r="AL9" s="2336">
        <v>74.360511666960917</v>
      </c>
      <c r="AM9" s="2336">
        <v>74.689798273242218</v>
      </c>
      <c r="AN9" s="2336">
        <v>75.002434450367971</v>
      </c>
      <c r="AO9" s="2336">
        <v>75.332322903942512</v>
      </c>
      <c r="AP9" s="2336">
        <v>75.495470982965401</v>
      </c>
      <c r="AQ9" s="2336">
        <v>75.590291885200301</v>
      </c>
      <c r="AR9" s="2336">
        <v>75.655934327451348</v>
      </c>
      <c r="AS9" s="2336">
        <v>75.695103700546582</v>
      </c>
      <c r="AT9" s="2336">
        <v>75.664346903529065</v>
      </c>
      <c r="AU9" s="2336">
        <v>75.735353319942476</v>
      </c>
      <c r="AV9" s="2336">
        <v>75.783404723567912</v>
      </c>
      <c r="AW9" s="2336">
        <v>76.024348381487783</v>
      </c>
      <c r="AX9" s="2336">
        <v>76.074119330270648</v>
      </c>
      <c r="AY9" s="2336">
        <v>76.213616005139926</v>
      </c>
      <c r="AZ9" s="2336">
        <v>76.330073854051733</v>
      </c>
      <c r="BA9" s="2336">
        <v>76.450113652069689</v>
      </c>
      <c r="BB9" s="2336">
        <v>76.563847513256363</v>
      </c>
      <c r="BC9" s="2336">
        <v>76.678543898197617</v>
      </c>
      <c r="BD9" s="2336">
        <v>76.768784955897544</v>
      </c>
      <c r="BE9" s="2336">
        <v>76.869962567468122</v>
      </c>
      <c r="BF9" s="2336">
        <v>77.040177012051572</v>
      </c>
      <c r="BG9" s="2336">
        <v>77.204044029664487</v>
      </c>
      <c r="BH9" s="2336">
        <v>77.378716749713945</v>
      </c>
      <c r="BI9" s="2336">
        <v>77.515104900564012</v>
      </c>
      <c r="BJ9" s="2336">
        <v>77.669837347664242</v>
      </c>
      <c r="BK9" s="2336">
        <v>77.840417418117468</v>
      </c>
      <c r="BL9" s="2336">
        <v>78.049763509393017</v>
      </c>
      <c r="BM9" s="2336">
        <v>78.254463235232791</v>
      </c>
      <c r="BN9" s="2336">
        <v>78.429634362560449</v>
      </c>
      <c r="BO9" s="2336">
        <v>78.585480735921834</v>
      </c>
      <c r="BP9" s="2336">
        <v>78.777690653974034</v>
      </c>
      <c r="BQ9" s="2336">
        <v>78.95240893266012</v>
      </c>
      <c r="BR9" s="2336">
        <v>79.103162557426245</v>
      </c>
      <c r="BS9" s="2336">
        <v>79.272233641916586</v>
      </c>
      <c r="BT9" s="2336">
        <v>79.435486094370901</v>
      </c>
      <c r="BU9" s="2336">
        <v>79.573326212255765</v>
      </c>
      <c r="BV9" s="2336">
        <v>79.735027927220585</v>
      </c>
      <c r="BW9" s="2336">
        <v>79.892465575042394</v>
      </c>
      <c r="BX9" s="2336">
        <v>80.02966660489507</v>
      </c>
      <c r="BY9" s="2336">
        <v>80.17393712427409</v>
      </c>
      <c r="BZ9" s="2336">
        <v>80.307085185870477</v>
      </c>
      <c r="CA9" s="2336">
        <v>80.436515001706525</v>
      </c>
      <c r="CB9" s="2336">
        <v>80.597474566933599</v>
      </c>
      <c r="CC9" s="2336">
        <v>80.731267975916936</v>
      </c>
      <c r="CD9" s="2336">
        <v>80.860045819342204</v>
      </c>
      <c r="CE9" s="2336">
        <v>80.985407660860389</v>
      </c>
      <c r="CF9" s="2336">
        <v>81.134501616705336</v>
      </c>
      <c r="CG9" s="2336">
        <v>81.263812866822576</v>
      </c>
      <c r="CH9" s="2336">
        <v>81.421107174131521</v>
      </c>
      <c r="CI9" s="2336">
        <v>81.577784976574478</v>
      </c>
      <c r="CJ9" s="2336">
        <v>81.69406519737052</v>
      </c>
      <c r="CK9" s="2336">
        <v>81.834327257258238</v>
      </c>
      <c r="CL9" s="2336">
        <v>81.977198772385222</v>
      </c>
      <c r="CM9" s="2336">
        <v>82.11726451111295</v>
      </c>
      <c r="CN9" s="2336">
        <v>82.259670539575581</v>
      </c>
      <c r="CO9" s="2336">
        <v>82.38318275490947</v>
      </c>
      <c r="CP9" s="2336">
        <v>82.517819831918132</v>
      </c>
      <c r="CQ9" s="2336">
        <v>82.643120851615393</v>
      </c>
      <c r="CR9" s="2336">
        <v>82.773214092187828</v>
      </c>
      <c r="CS9" s="2336">
        <v>82.910898736611202</v>
      </c>
      <c r="CT9" s="2336">
        <v>83.038496100274727</v>
      </c>
      <c r="CU9" s="2336">
        <v>83.158985063723932</v>
      </c>
      <c r="CV9" s="2336">
        <v>83.273809005699093</v>
      </c>
      <c r="CW9" s="2336">
        <v>83.405274210126649</v>
      </c>
      <c r="CX9" s="2336">
        <v>83.527311913061894</v>
      </c>
      <c r="CY9" s="2336">
        <v>83.648597436708613</v>
      </c>
      <c r="CZ9" s="2336">
        <v>83.765671286710088</v>
      </c>
      <c r="DA9" s="2336">
        <v>83.879735599216517</v>
      </c>
      <c r="DB9" s="2336">
        <v>83.997093897368188</v>
      </c>
      <c r="DC9" s="2336">
        <v>84.114503049476085</v>
      </c>
      <c r="DD9" s="2336">
        <v>84.229382364960372</v>
      </c>
      <c r="DE9" s="2336">
        <v>84.345066181693412</v>
      </c>
      <c r="DF9" s="2336">
        <v>84.465753096749665</v>
      </c>
      <c r="DG9" s="2336">
        <v>84.578388689028685</v>
      </c>
      <c r="DH9" s="2336">
        <v>84.691317872828861</v>
      </c>
      <c r="DI9" s="2336">
        <v>84.802796041378457</v>
      </c>
      <c r="DJ9" s="2336">
        <v>84.913782633328722</v>
      </c>
      <c r="DK9" s="2336">
        <v>85.024456178205924</v>
      </c>
      <c r="DL9" s="2336">
        <v>85.13290707908844</v>
      </c>
      <c r="DM9" s="2336">
        <v>85.242690158258881</v>
      </c>
      <c r="DN9" s="2336">
        <v>85.350480232318802</v>
      </c>
      <c r="DO9" s="2336">
        <v>85.457225493062396</v>
      </c>
      <c r="DP9" s="2336">
        <v>85.562933906097783</v>
      </c>
      <c r="DQ9" s="2336">
        <v>85.667612940241227</v>
      </c>
      <c r="DR9" s="2336">
        <v>85.771269863586909</v>
      </c>
      <c r="DS9" s="2336">
        <v>85.873911969474548</v>
      </c>
      <c r="DT9" s="2336">
        <v>85.975546718190202</v>
      </c>
      <c r="DU9" s="2336">
        <v>86.076181807765479</v>
      </c>
    </row>
    <row r="10" spans="1:125">
      <c r="A10" s="909">
        <v>8</v>
      </c>
      <c r="B10" s="90"/>
      <c r="C10" s="90"/>
      <c r="D10" s="90"/>
      <c r="E10" s="90"/>
      <c r="F10" s="90"/>
      <c r="G10" s="90"/>
      <c r="H10" s="90"/>
      <c r="I10" s="90"/>
      <c r="J10" s="90"/>
      <c r="K10" s="90"/>
      <c r="L10" s="90"/>
      <c r="M10" s="90"/>
      <c r="N10" s="90"/>
      <c r="O10" s="90"/>
      <c r="P10" s="90"/>
      <c r="Q10" s="90"/>
      <c r="R10" s="90"/>
      <c r="S10" s="90"/>
      <c r="T10" s="90"/>
      <c r="U10" s="90"/>
      <c r="V10" s="739"/>
      <c r="W10" s="739">
        <v>69.2</v>
      </c>
      <c r="X10" s="739">
        <v>69.45</v>
      </c>
      <c r="Y10" s="2336">
        <v>69.704801224099498</v>
      </c>
      <c r="Z10" s="2336">
        <v>70.003211776600992</v>
      </c>
      <c r="AA10" s="2336">
        <v>70.226280586224291</v>
      </c>
      <c r="AB10" s="2336">
        <v>70.498711884952684</v>
      </c>
      <c r="AC10" s="2336">
        <v>70.794705447528358</v>
      </c>
      <c r="AD10" s="2336">
        <v>71.010169693471767</v>
      </c>
      <c r="AE10" s="2336">
        <v>71.322458627616669</v>
      </c>
      <c r="AF10" s="2336">
        <v>71.645546254944662</v>
      </c>
      <c r="AG10" s="2336">
        <v>71.910254646493186</v>
      </c>
      <c r="AH10" s="2336">
        <v>72.180944571824526</v>
      </c>
      <c r="AI10" s="2336">
        <v>72.46542515991537</v>
      </c>
      <c r="AJ10" s="2336">
        <v>72.816397524647556</v>
      </c>
      <c r="AK10" s="2336">
        <v>73.121069717114096</v>
      </c>
      <c r="AL10" s="2336">
        <v>73.506913594142844</v>
      </c>
      <c r="AM10" s="2336">
        <v>73.856950975505072</v>
      </c>
      <c r="AN10" s="2336">
        <v>74.203953758137942</v>
      </c>
      <c r="AO10" s="2336">
        <v>74.417729115133767</v>
      </c>
      <c r="AP10" s="2336">
        <v>74.581063395235972</v>
      </c>
      <c r="AQ10" s="2336">
        <v>74.65790357315656</v>
      </c>
      <c r="AR10" s="2336">
        <v>74.703312414272332</v>
      </c>
      <c r="AS10" s="2336">
        <v>74.742506479628744</v>
      </c>
      <c r="AT10" s="2336">
        <v>74.711730293614039</v>
      </c>
      <c r="AU10" s="2336">
        <v>74.773538285959461</v>
      </c>
      <c r="AV10" s="2336">
        <v>74.81623647791811</v>
      </c>
      <c r="AW10" s="2336">
        <v>75.059152149269167</v>
      </c>
      <c r="AX10" s="2336">
        <v>75.109200070646267</v>
      </c>
      <c r="AY10" s="2336">
        <v>75.246349616893482</v>
      </c>
      <c r="AZ10" s="2336">
        <v>75.362596316394047</v>
      </c>
      <c r="BA10" s="2336">
        <v>75.482926348837097</v>
      </c>
      <c r="BB10" s="2336">
        <v>75.599665231379646</v>
      </c>
      <c r="BC10" s="2336">
        <v>75.706953859089367</v>
      </c>
      <c r="BD10" s="2336">
        <v>75.804415625743744</v>
      </c>
      <c r="BE10" s="2336">
        <v>75.905721314084516</v>
      </c>
      <c r="BF10" s="2336">
        <v>76.068483971522241</v>
      </c>
      <c r="BG10" s="2336">
        <v>76.230342377260271</v>
      </c>
      <c r="BH10" s="2336">
        <v>76.40842247629422</v>
      </c>
      <c r="BI10" s="2336">
        <v>76.545771344396982</v>
      </c>
      <c r="BJ10" s="2336">
        <v>76.700211648513573</v>
      </c>
      <c r="BK10" s="2336">
        <v>76.868991284189192</v>
      </c>
      <c r="BL10" s="2336">
        <v>77.079982445787394</v>
      </c>
      <c r="BM10" s="2336">
        <v>77.287061213182866</v>
      </c>
      <c r="BN10" s="2336">
        <v>77.457405087344284</v>
      </c>
      <c r="BO10" s="2336">
        <v>77.614921637152761</v>
      </c>
      <c r="BP10" s="2336">
        <v>77.805378390772987</v>
      </c>
      <c r="BQ10" s="2336">
        <v>77.97925390290203</v>
      </c>
      <c r="BR10" s="2336">
        <v>78.132593570056599</v>
      </c>
      <c r="BS10" s="2336">
        <v>78.296890894221349</v>
      </c>
      <c r="BT10" s="2336">
        <v>78.460900169547955</v>
      </c>
      <c r="BU10" s="2336">
        <v>78.595840362658208</v>
      </c>
      <c r="BV10" s="2336">
        <v>78.756342360580533</v>
      </c>
      <c r="BW10" s="2336">
        <v>78.914626325893849</v>
      </c>
      <c r="BX10" s="2336">
        <v>79.049383316850978</v>
      </c>
      <c r="BY10" s="2336">
        <v>79.194112692785694</v>
      </c>
      <c r="BZ10" s="2336">
        <v>79.322999749176873</v>
      </c>
      <c r="CA10" s="2336">
        <v>79.453391536623997</v>
      </c>
      <c r="CB10" s="2336">
        <v>79.611577088466817</v>
      </c>
      <c r="CC10" s="2336">
        <v>79.74683299893691</v>
      </c>
      <c r="CD10" s="2336">
        <v>79.872270000643795</v>
      </c>
      <c r="CE10" s="2336">
        <v>80.001129447810385</v>
      </c>
      <c r="CF10" s="2336">
        <v>80.149453740188264</v>
      </c>
      <c r="CG10" s="2336">
        <v>80.27784381825326</v>
      </c>
      <c r="CH10" s="2336">
        <v>80.432805790295973</v>
      </c>
      <c r="CI10" s="2336">
        <v>80.588143410089828</v>
      </c>
      <c r="CJ10" s="2336">
        <v>80.70600431594292</v>
      </c>
      <c r="CK10" s="2336">
        <v>80.845302150589049</v>
      </c>
      <c r="CL10" s="2336">
        <v>80.988018853877449</v>
      </c>
      <c r="CM10" s="2336">
        <v>81.12672298806136</v>
      </c>
      <c r="CN10" s="2336">
        <v>81.268855927803116</v>
      </c>
      <c r="CO10" s="2336">
        <v>81.391938790190252</v>
      </c>
      <c r="CP10" s="2336">
        <v>81.52851164352289</v>
      </c>
      <c r="CQ10" s="2336">
        <v>81.65078278973219</v>
      </c>
      <c r="CR10" s="2336">
        <v>81.778389304928822</v>
      </c>
      <c r="CS10" s="2336">
        <v>81.919391130576273</v>
      </c>
      <c r="CT10" s="2336">
        <v>82.046305350286133</v>
      </c>
      <c r="CU10" s="2336">
        <v>82.165205606345921</v>
      </c>
      <c r="CV10" s="2336">
        <v>82.281091034937049</v>
      </c>
      <c r="CW10" s="2336">
        <v>82.411429206574695</v>
      </c>
      <c r="CX10" s="2336">
        <v>82.533467686394147</v>
      </c>
      <c r="CY10" s="2336">
        <v>82.655534608767297</v>
      </c>
      <c r="CZ10" s="2336">
        <v>82.773495988157947</v>
      </c>
      <c r="DA10" s="2336">
        <v>82.885563900271165</v>
      </c>
      <c r="DB10" s="2336">
        <v>83.002921033469676</v>
      </c>
      <c r="DC10" s="2336">
        <v>83.122959988572774</v>
      </c>
      <c r="DD10" s="2336">
        <v>83.233158352740389</v>
      </c>
      <c r="DE10" s="2336">
        <v>83.349715184206644</v>
      </c>
      <c r="DF10" s="2336">
        <v>83.470057411023674</v>
      </c>
      <c r="DG10" s="2336">
        <v>83.582995989767255</v>
      </c>
      <c r="DH10" s="2336">
        <v>83.6953356630938</v>
      </c>
      <c r="DI10" s="2336">
        <v>83.806886614214335</v>
      </c>
      <c r="DJ10" s="2336">
        <v>83.918233459452765</v>
      </c>
      <c r="DK10" s="2336">
        <v>84.029108655135516</v>
      </c>
      <c r="DL10" s="2336">
        <v>84.138683921461364</v>
      </c>
      <c r="DM10" s="2336">
        <v>84.247359371719099</v>
      </c>
      <c r="DN10" s="2336">
        <v>84.354987047800151</v>
      </c>
      <c r="DO10" s="2336">
        <v>84.461575498655407</v>
      </c>
      <c r="DP10" s="2336">
        <v>84.567132500320383</v>
      </c>
      <c r="DQ10" s="2336">
        <v>84.671665338325582</v>
      </c>
      <c r="DR10" s="2336">
        <v>84.775181103579641</v>
      </c>
      <c r="DS10" s="2336">
        <v>84.877686918149777</v>
      </c>
      <c r="DT10" s="2336">
        <v>84.979190076775978</v>
      </c>
      <c r="DU10" s="2336">
        <v>85.079698117485449</v>
      </c>
    </row>
    <row r="11" spans="1:125">
      <c r="A11" s="909">
        <v>9</v>
      </c>
      <c r="B11" s="90"/>
      <c r="C11" s="90"/>
      <c r="D11" s="90"/>
      <c r="E11" s="90"/>
      <c r="F11" s="90"/>
      <c r="G11" s="90"/>
      <c r="H11" s="90"/>
      <c r="I11" s="90"/>
      <c r="J11" s="90"/>
      <c r="K11" s="90"/>
      <c r="L11" s="90"/>
      <c r="M11" s="90"/>
      <c r="N11" s="90"/>
      <c r="O11" s="90"/>
      <c r="P11" s="90"/>
      <c r="Q11" s="90"/>
      <c r="R11" s="90"/>
      <c r="S11" s="90"/>
      <c r="T11" s="90"/>
      <c r="U11" s="90"/>
      <c r="V11" s="739"/>
      <c r="W11" s="739">
        <v>68.31</v>
      </c>
      <c r="X11" s="739">
        <v>68.569999999999993</v>
      </c>
      <c r="Y11" s="2336">
        <v>68.800042984550586</v>
      </c>
      <c r="Z11" s="2336">
        <v>69.105531908506492</v>
      </c>
      <c r="AA11" s="2336">
        <v>69.328929112018955</v>
      </c>
      <c r="AB11" s="2336">
        <v>69.601761474319929</v>
      </c>
      <c r="AC11" s="2336">
        <v>69.921701805137928</v>
      </c>
      <c r="AD11" s="2336">
        <v>70.13148496638668</v>
      </c>
      <c r="AE11" s="2336">
        <v>70.432118053647841</v>
      </c>
      <c r="AF11" s="2336">
        <v>70.749582213825434</v>
      </c>
      <c r="AG11" s="2336">
        <v>71.020824198708937</v>
      </c>
      <c r="AH11" s="2336">
        <v>71.291933252413088</v>
      </c>
      <c r="AI11" s="2336">
        <v>71.576854321936125</v>
      </c>
      <c r="AJ11" s="2336">
        <v>71.928370122025044</v>
      </c>
      <c r="AK11" s="2336">
        <v>72.244777648878923</v>
      </c>
      <c r="AL11" s="2336">
        <v>72.648270527739143</v>
      </c>
      <c r="AM11" s="2336">
        <v>73.02745861994822</v>
      </c>
      <c r="AN11" s="2336">
        <v>73.279947103654706</v>
      </c>
      <c r="AO11" s="2336">
        <v>73.493942876296359</v>
      </c>
      <c r="AP11" s="2336">
        <v>73.641324881220697</v>
      </c>
      <c r="AQ11" s="2336">
        <v>73.700940118425251</v>
      </c>
      <c r="AR11" s="2336">
        <v>73.746375311953258</v>
      </c>
      <c r="AS11" s="2336">
        <v>73.785592123060127</v>
      </c>
      <c r="AT11" s="2336">
        <v>73.742023964633731</v>
      </c>
      <c r="AU11" s="2336">
        <v>73.801904876916623</v>
      </c>
      <c r="AV11" s="2336">
        <v>73.843944889206057</v>
      </c>
      <c r="AW11" s="2336">
        <v>74.087236463447809</v>
      </c>
      <c r="AX11" s="2336">
        <v>74.136129305654464</v>
      </c>
      <c r="AY11" s="2336">
        <v>74.272621895313321</v>
      </c>
      <c r="AZ11" s="2336">
        <v>74.386519882050635</v>
      </c>
      <c r="BA11" s="2336">
        <v>74.508962259530264</v>
      </c>
      <c r="BB11" s="2336">
        <v>74.626664410321411</v>
      </c>
      <c r="BC11" s="2336">
        <v>74.733649910896389</v>
      </c>
      <c r="BD11" s="2336">
        <v>74.831220070928509</v>
      </c>
      <c r="BE11" s="2336">
        <v>74.931773421613045</v>
      </c>
      <c r="BF11" s="2336">
        <v>75.091962205307652</v>
      </c>
      <c r="BG11" s="2336">
        <v>75.253061154175043</v>
      </c>
      <c r="BH11" s="2336">
        <v>75.433729885654458</v>
      </c>
      <c r="BI11" s="2336">
        <v>75.572015517243486</v>
      </c>
      <c r="BJ11" s="2336">
        <v>75.728626264540395</v>
      </c>
      <c r="BK11" s="2336">
        <v>75.895920278704224</v>
      </c>
      <c r="BL11" s="2336">
        <v>76.10871065834182</v>
      </c>
      <c r="BM11" s="2336">
        <v>76.312583687129191</v>
      </c>
      <c r="BN11" s="2336">
        <v>76.481774364662769</v>
      </c>
      <c r="BO11" s="2336">
        <v>76.637209925970581</v>
      </c>
      <c r="BP11" s="2336">
        <v>76.828353149291772</v>
      </c>
      <c r="BQ11" s="2336">
        <v>76.999651919855793</v>
      </c>
      <c r="BR11" s="2336">
        <v>77.152113568371433</v>
      </c>
      <c r="BS11" s="2336">
        <v>77.319103600431987</v>
      </c>
      <c r="BT11" s="2336">
        <v>77.480802081379295</v>
      </c>
      <c r="BU11" s="2336">
        <v>77.6162232319856</v>
      </c>
      <c r="BV11" s="2336">
        <v>77.773502368565204</v>
      </c>
      <c r="BW11" s="2336">
        <v>77.92964227282809</v>
      </c>
      <c r="BX11" s="2336">
        <v>78.064995759546321</v>
      </c>
      <c r="BY11" s="2336">
        <v>78.208591272101017</v>
      </c>
      <c r="BZ11" s="2336">
        <v>78.33838724120551</v>
      </c>
      <c r="CA11" s="2336">
        <v>78.469038810752224</v>
      </c>
      <c r="CB11" s="2336">
        <v>78.625060040249693</v>
      </c>
      <c r="CC11" s="2336">
        <v>78.759824137450479</v>
      </c>
      <c r="CD11" s="2336">
        <v>78.884612312771139</v>
      </c>
      <c r="CE11" s="2336">
        <v>79.019291993807585</v>
      </c>
      <c r="CF11" s="2336">
        <v>79.160681098632566</v>
      </c>
      <c r="CG11" s="2336">
        <v>79.291922264077797</v>
      </c>
      <c r="CH11" s="2336">
        <v>79.442888342057145</v>
      </c>
      <c r="CI11" s="2336">
        <v>79.597716999454931</v>
      </c>
      <c r="CJ11" s="2336">
        <v>79.715912060182063</v>
      </c>
      <c r="CK11" s="2336">
        <v>79.855183324415847</v>
      </c>
      <c r="CL11" s="2336">
        <v>79.99436617826386</v>
      </c>
      <c r="CM11" s="2336">
        <v>80.134641456256048</v>
      </c>
      <c r="CN11" s="2336">
        <v>80.275834723830584</v>
      </c>
      <c r="CO11" s="2336">
        <v>80.399801138539985</v>
      </c>
      <c r="CP11" s="2336">
        <v>80.535674675098548</v>
      </c>
      <c r="CQ11" s="2336">
        <v>80.658536967167322</v>
      </c>
      <c r="CR11" s="2336">
        <v>80.784550053892218</v>
      </c>
      <c r="CS11" s="2336">
        <v>80.929913643222577</v>
      </c>
      <c r="CT11" s="2336">
        <v>81.052558725473716</v>
      </c>
      <c r="CU11" s="2336">
        <v>81.171968184866671</v>
      </c>
      <c r="CV11" s="2336">
        <v>81.286387017415791</v>
      </c>
      <c r="CW11" s="2336">
        <v>81.416864156134679</v>
      </c>
      <c r="CX11" s="2336">
        <v>81.538466904112624</v>
      </c>
      <c r="CY11" s="2336">
        <v>81.661244560971554</v>
      </c>
      <c r="CZ11" s="2336">
        <v>81.781026021383084</v>
      </c>
      <c r="DA11" s="2336">
        <v>81.892504236798516</v>
      </c>
      <c r="DB11" s="2336">
        <v>82.01008913879221</v>
      </c>
      <c r="DC11" s="2336">
        <v>82.125890645045288</v>
      </c>
      <c r="DD11" s="2336">
        <v>82.238329002013018</v>
      </c>
      <c r="DE11" s="2336">
        <v>82.356597671037861</v>
      </c>
      <c r="DF11" s="2336">
        <v>82.474478469223669</v>
      </c>
      <c r="DG11" s="2336">
        <v>82.589875856943721</v>
      </c>
      <c r="DH11" s="2336">
        <v>82.70089663953857</v>
      </c>
      <c r="DI11" s="2336">
        <v>82.812317611030181</v>
      </c>
      <c r="DJ11" s="2336">
        <v>82.922838290070914</v>
      </c>
      <c r="DK11" s="2336">
        <v>83.033654252879032</v>
      </c>
      <c r="DL11" s="2336">
        <v>83.143225773530574</v>
      </c>
      <c r="DM11" s="2336">
        <v>83.251745688664329</v>
      </c>
      <c r="DN11" s="2336">
        <v>83.359223096128034</v>
      </c>
      <c r="DO11" s="2336">
        <v>83.465666369239059</v>
      </c>
      <c r="DP11" s="2336">
        <v>83.571083114100944</v>
      </c>
      <c r="DQ11" s="2336">
        <v>83.675480451850916</v>
      </c>
      <c r="DR11" s="2336">
        <v>83.778865314382713</v>
      </c>
      <c r="DS11" s="2336">
        <v>83.881244669966179</v>
      </c>
      <c r="DT11" s="2336">
        <v>83.982625664600178</v>
      </c>
      <c r="DU11" s="2336">
        <v>84.083015692466887</v>
      </c>
    </row>
    <row r="12" spans="1:125">
      <c r="A12" s="909">
        <v>10</v>
      </c>
      <c r="B12" s="90"/>
      <c r="C12" s="90"/>
      <c r="D12" s="90"/>
      <c r="E12" s="90"/>
      <c r="F12" s="90"/>
      <c r="G12" s="90"/>
      <c r="H12" s="90"/>
      <c r="I12" s="90"/>
      <c r="J12" s="90"/>
      <c r="K12" s="90"/>
      <c r="L12" s="90"/>
      <c r="M12" s="90"/>
      <c r="N12" s="90"/>
      <c r="O12" s="90"/>
      <c r="P12" s="90"/>
      <c r="Q12" s="90"/>
      <c r="R12" s="90"/>
      <c r="S12" s="90"/>
      <c r="T12" s="90"/>
      <c r="U12" s="90"/>
      <c r="V12" s="739"/>
      <c r="W12" s="739">
        <v>67.41</v>
      </c>
      <c r="X12" s="739">
        <v>67.650000000000006</v>
      </c>
      <c r="Y12" s="2336">
        <v>67.887579085780374</v>
      </c>
      <c r="Z12" s="2336">
        <v>68.19345953671349</v>
      </c>
      <c r="AA12" s="2336">
        <v>68.417143055129515</v>
      </c>
      <c r="AB12" s="2336">
        <v>68.710441317362552</v>
      </c>
      <c r="AC12" s="2336">
        <v>69.025683057000634</v>
      </c>
      <c r="AD12" s="2336">
        <v>69.225346220902608</v>
      </c>
      <c r="AE12" s="2336">
        <v>69.52114531158854</v>
      </c>
      <c r="AF12" s="2336">
        <v>69.844276645790998</v>
      </c>
      <c r="AG12" s="2336">
        <v>70.11588425712911</v>
      </c>
      <c r="AH12" s="2336">
        <v>70.387358758100461</v>
      </c>
      <c r="AI12" s="2336">
        <v>70.672663893093826</v>
      </c>
      <c r="AJ12" s="2336">
        <v>71.034296145417414</v>
      </c>
      <c r="AK12" s="2336">
        <v>71.365705791725887</v>
      </c>
      <c r="AL12" s="2336">
        <v>71.794249630009858</v>
      </c>
      <c r="AM12" s="2336">
        <v>72.097878562153511</v>
      </c>
      <c r="AN12" s="2336">
        <v>72.350612197486257</v>
      </c>
      <c r="AO12" s="2336">
        <v>72.54985852696764</v>
      </c>
      <c r="AP12" s="2336">
        <v>72.6793781578628</v>
      </c>
      <c r="AQ12" s="2336">
        <v>72.739024411119033</v>
      </c>
      <c r="AR12" s="2336">
        <v>72.784483243239734</v>
      </c>
      <c r="AS12" s="2336">
        <v>72.816937044275008</v>
      </c>
      <c r="AT12" s="2336">
        <v>72.77374302832925</v>
      </c>
      <c r="AU12" s="2336">
        <v>72.825389965236965</v>
      </c>
      <c r="AV12" s="2336">
        <v>72.868303547946482</v>
      </c>
      <c r="AW12" s="2336">
        <v>73.11451440166168</v>
      </c>
      <c r="AX12" s="2336">
        <v>73.163266209885307</v>
      </c>
      <c r="AY12" s="2336">
        <v>73.297917672057082</v>
      </c>
      <c r="AZ12" s="2336">
        <v>73.409089610456419</v>
      </c>
      <c r="BA12" s="2336">
        <v>73.535377528701986</v>
      </c>
      <c r="BB12" s="2336">
        <v>73.650173072936099</v>
      </c>
      <c r="BC12" s="2336">
        <v>73.756889829362734</v>
      </c>
      <c r="BD12" s="2336">
        <v>73.853751231682196</v>
      </c>
      <c r="BE12" s="2336">
        <v>73.955017080922516</v>
      </c>
      <c r="BF12" s="2336">
        <v>74.11439943141508</v>
      </c>
      <c r="BG12" s="2336">
        <v>74.276144123047303</v>
      </c>
      <c r="BH12" s="2336">
        <v>74.457477741497456</v>
      </c>
      <c r="BI12" s="2336">
        <v>74.596475976695316</v>
      </c>
      <c r="BJ12" s="2336">
        <v>74.754595240479134</v>
      </c>
      <c r="BK12" s="2336">
        <v>74.918284975424214</v>
      </c>
      <c r="BL12" s="2336">
        <v>75.131997295992406</v>
      </c>
      <c r="BM12" s="2336">
        <v>75.333947797068305</v>
      </c>
      <c r="BN12" s="2336">
        <v>75.501897222049791</v>
      </c>
      <c r="BO12" s="2336">
        <v>75.654714042006958</v>
      </c>
      <c r="BP12" s="2336">
        <v>75.848599437008843</v>
      </c>
      <c r="BQ12" s="2336">
        <v>76.017272546561117</v>
      </c>
      <c r="BR12" s="2336">
        <v>76.173466523227376</v>
      </c>
      <c r="BS12" s="2336">
        <v>76.336928568852315</v>
      </c>
      <c r="BT12" s="2336">
        <v>76.496076735738797</v>
      </c>
      <c r="BU12" s="2336">
        <v>76.630889102683582</v>
      </c>
      <c r="BV12" s="2336">
        <v>76.787711076369959</v>
      </c>
      <c r="BW12" s="2336">
        <v>76.942699719068102</v>
      </c>
      <c r="BX12" s="2336">
        <v>77.078425993886924</v>
      </c>
      <c r="BY12" s="2336">
        <v>77.22655864975269</v>
      </c>
      <c r="BZ12" s="2336">
        <v>77.352558514267187</v>
      </c>
      <c r="CA12" s="2336">
        <v>77.481000595044733</v>
      </c>
      <c r="CB12" s="2336">
        <v>77.637632356899204</v>
      </c>
      <c r="CC12" s="2336">
        <v>77.771335339365365</v>
      </c>
      <c r="CD12" s="2336">
        <v>77.893872680282939</v>
      </c>
      <c r="CE12" s="2336">
        <v>78.033317955066508</v>
      </c>
      <c r="CF12" s="2336">
        <v>78.17145349551808</v>
      </c>
      <c r="CG12" s="2336">
        <v>78.301021445271246</v>
      </c>
      <c r="CH12" s="2336">
        <v>78.450515759642286</v>
      </c>
      <c r="CI12" s="2336">
        <v>78.609861130725804</v>
      </c>
      <c r="CJ12" s="2336">
        <v>78.723329197735211</v>
      </c>
      <c r="CK12" s="2336">
        <v>78.862981806095235</v>
      </c>
      <c r="CL12" s="2336">
        <v>79.00197385682813</v>
      </c>
      <c r="CM12" s="2336">
        <v>79.141414288971916</v>
      </c>
      <c r="CN12" s="2336">
        <v>79.28477482045588</v>
      </c>
      <c r="CO12" s="2336">
        <v>79.405850956282933</v>
      </c>
      <c r="CP12" s="2336">
        <v>79.543315817313029</v>
      </c>
      <c r="CQ12" s="2336">
        <v>79.663561569549358</v>
      </c>
      <c r="CR12" s="2336">
        <v>79.79062622076664</v>
      </c>
      <c r="CS12" s="2336">
        <v>79.934575798509769</v>
      </c>
      <c r="CT12" s="2336">
        <v>80.057706982166735</v>
      </c>
      <c r="CU12" s="2336">
        <v>80.177438459821573</v>
      </c>
      <c r="CV12" s="2336">
        <v>80.291624299600343</v>
      </c>
      <c r="CW12" s="2336">
        <v>80.422236679522939</v>
      </c>
      <c r="CX12" s="2336">
        <v>80.543405050242825</v>
      </c>
      <c r="CY12" s="2336">
        <v>80.66805012160296</v>
      </c>
      <c r="CZ12" s="2336">
        <v>80.785432386365912</v>
      </c>
      <c r="DA12" s="2336">
        <v>80.896741829594831</v>
      </c>
      <c r="DB12" s="2336">
        <v>81.015954925278024</v>
      </c>
      <c r="DC12" s="2336">
        <v>81.130190447160302</v>
      </c>
      <c r="DD12" s="2336">
        <v>81.244064865771335</v>
      </c>
      <c r="DE12" s="2336">
        <v>81.361223085609623</v>
      </c>
      <c r="DF12" s="2336">
        <v>81.478802845952828</v>
      </c>
      <c r="DG12" s="2336">
        <v>81.59382968656999</v>
      </c>
      <c r="DH12" s="2336">
        <v>81.705897247120888</v>
      </c>
      <c r="DI12" s="2336">
        <v>81.816725651066704</v>
      </c>
      <c r="DJ12" s="2336">
        <v>81.927785858663</v>
      </c>
      <c r="DK12" s="2336">
        <v>82.038258008863664</v>
      </c>
      <c r="DL12" s="2336">
        <v>82.147674327684015</v>
      </c>
      <c r="DM12" s="2336">
        <v>82.256044211262946</v>
      </c>
      <c r="DN12" s="2336">
        <v>82.363376587995944</v>
      </c>
      <c r="DO12" s="2336">
        <v>82.469679667143836</v>
      </c>
      <c r="DP12" s="2336">
        <v>82.574960895984617</v>
      </c>
      <c r="DQ12" s="2336">
        <v>82.679227241916067</v>
      </c>
      <c r="DR12" s="2336">
        <v>82.782485488035505</v>
      </c>
      <c r="DS12" s="2336">
        <v>82.884742458615349</v>
      </c>
      <c r="DT12" s="2336">
        <v>82.986005160310683</v>
      </c>
      <c r="DU12" s="2336">
        <v>83.086280852469358</v>
      </c>
    </row>
    <row r="13" spans="1:125">
      <c r="A13" s="909">
        <v>11</v>
      </c>
      <c r="B13" s="90"/>
      <c r="C13" s="90"/>
      <c r="D13" s="90"/>
      <c r="E13" s="90"/>
      <c r="F13" s="90"/>
      <c r="G13" s="90"/>
      <c r="H13" s="90"/>
      <c r="I13" s="90"/>
      <c r="J13" s="90"/>
      <c r="K13" s="90"/>
      <c r="L13" s="90"/>
      <c r="M13" s="90"/>
      <c r="N13" s="90"/>
      <c r="O13" s="90"/>
      <c r="P13" s="90"/>
      <c r="Q13" s="90"/>
      <c r="R13" s="90"/>
      <c r="S13" s="90"/>
      <c r="T13" s="90"/>
      <c r="U13" s="90"/>
      <c r="V13" s="739"/>
      <c r="W13" s="739">
        <v>66.48</v>
      </c>
      <c r="X13" s="739">
        <v>66.72</v>
      </c>
      <c r="Y13" s="2336">
        <v>66.964488602787554</v>
      </c>
      <c r="Z13" s="2336">
        <v>67.270718155410648</v>
      </c>
      <c r="AA13" s="2336">
        <v>67.51226034645866</v>
      </c>
      <c r="AB13" s="2336">
        <v>67.801418898312676</v>
      </c>
      <c r="AC13" s="2336">
        <v>68.107938553317936</v>
      </c>
      <c r="AD13" s="2336">
        <v>68.303257021346425</v>
      </c>
      <c r="AE13" s="2336">
        <v>68.603995541031281</v>
      </c>
      <c r="AF13" s="2336">
        <v>68.927514749196973</v>
      </c>
      <c r="AG13" s="2336">
        <v>69.199448387476778</v>
      </c>
      <c r="AH13" s="2336">
        <v>69.471248755609423</v>
      </c>
      <c r="AI13" s="2336">
        <v>69.765330729504001</v>
      </c>
      <c r="AJ13" s="2336">
        <v>70.140161108613455</v>
      </c>
      <c r="AK13" s="2336">
        <v>70.493378968009665</v>
      </c>
      <c r="AL13" s="2336">
        <v>70.859900738689447</v>
      </c>
      <c r="AM13" s="2336">
        <v>71.163809266678854</v>
      </c>
      <c r="AN13" s="2336">
        <v>71.402812855474664</v>
      </c>
      <c r="AO13" s="2336">
        <v>71.583737883772997</v>
      </c>
      <c r="AP13" s="2336">
        <v>71.713318417519019</v>
      </c>
      <c r="AQ13" s="2336">
        <v>71.772992717696354</v>
      </c>
      <c r="AR13" s="2336">
        <v>71.809800366067833</v>
      </c>
      <c r="AS13" s="2336">
        <v>71.843248047763311</v>
      </c>
      <c r="AT13" s="2336">
        <v>71.797306023115993</v>
      </c>
      <c r="AU13" s="2336">
        <v>71.846266018331221</v>
      </c>
      <c r="AV13" s="2336">
        <v>71.892549769473732</v>
      </c>
      <c r="AW13" s="2336">
        <v>72.13971055078774</v>
      </c>
      <c r="AX13" s="2336">
        <v>72.186705573557731</v>
      </c>
      <c r="AY13" s="2336">
        <v>72.319039696117088</v>
      </c>
      <c r="AZ13" s="2336">
        <v>72.429923062386038</v>
      </c>
      <c r="BA13" s="2336">
        <v>72.557503556191946</v>
      </c>
      <c r="BB13" s="2336">
        <v>72.668886412147373</v>
      </c>
      <c r="BC13" s="2336">
        <v>72.772692864379081</v>
      </c>
      <c r="BD13" s="2336">
        <v>72.876236186982709</v>
      </c>
      <c r="BE13" s="2336">
        <v>72.975070670083667</v>
      </c>
      <c r="BF13" s="2336">
        <v>73.134159126725933</v>
      </c>
      <c r="BG13" s="2336">
        <v>73.297416993556865</v>
      </c>
      <c r="BH13" s="2336">
        <v>73.47967152095481</v>
      </c>
      <c r="BI13" s="2336">
        <v>73.620049557481863</v>
      </c>
      <c r="BJ13" s="2336">
        <v>73.775763740532994</v>
      </c>
      <c r="BK13" s="2336">
        <v>73.94159311879433</v>
      </c>
      <c r="BL13" s="2336">
        <v>74.151208827569988</v>
      </c>
      <c r="BM13" s="2336">
        <v>74.351389396546523</v>
      </c>
      <c r="BN13" s="2336">
        <v>74.516868536989534</v>
      </c>
      <c r="BO13" s="2336">
        <v>74.673517983937302</v>
      </c>
      <c r="BP13" s="2336">
        <v>74.864504839288941</v>
      </c>
      <c r="BQ13" s="2336">
        <v>75.032289473783976</v>
      </c>
      <c r="BR13" s="2336">
        <v>75.187139320412101</v>
      </c>
      <c r="BS13" s="2336">
        <v>75.352392300562656</v>
      </c>
      <c r="BT13" s="2336">
        <v>75.512725368286624</v>
      </c>
      <c r="BU13" s="2336">
        <v>75.644536741135795</v>
      </c>
      <c r="BV13" s="2336">
        <v>75.800691851944947</v>
      </c>
      <c r="BW13" s="2336">
        <v>75.954452589217539</v>
      </c>
      <c r="BX13" s="2336">
        <v>76.09053591143703</v>
      </c>
      <c r="BY13" s="2336">
        <v>76.238456408471222</v>
      </c>
      <c r="BZ13" s="2336">
        <v>76.363072537829012</v>
      </c>
      <c r="CA13" s="2336">
        <v>76.490048339623215</v>
      </c>
      <c r="CB13" s="2336">
        <v>76.648538408063303</v>
      </c>
      <c r="CC13" s="2336">
        <v>76.780814760896959</v>
      </c>
      <c r="CD13" s="2336">
        <v>76.904352768804003</v>
      </c>
      <c r="CE13" s="2336">
        <v>77.04304233830868</v>
      </c>
      <c r="CF13" s="2336">
        <v>77.184285665409206</v>
      </c>
      <c r="CG13" s="2336">
        <v>77.312466358508075</v>
      </c>
      <c r="CH13" s="2336">
        <v>77.457259877201707</v>
      </c>
      <c r="CI13" s="2336">
        <v>77.620318177996381</v>
      </c>
      <c r="CJ13" s="2336">
        <v>77.730959936251338</v>
      </c>
      <c r="CK13" s="2336">
        <v>77.870663302911254</v>
      </c>
      <c r="CL13" s="2336">
        <v>78.008646898400556</v>
      </c>
      <c r="CM13" s="2336">
        <v>78.149968033265793</v>
      </c>
      <c r="CN13" s="2336">
        <v>78.291215313747017</v>
      </c>
      <c r="CO13" s="2336">
        <v>78.411993713020863</v>
      </c>
      <c r="CP13" s="2336">
        <v>78.551418545150455</v>
      </c>
      <c r="CQ13" s="2336">
        <v>78.668715108512728</v>
      </c>
      <c r="CR13" s="2336">
        <v>78.798482376198891</v>
      </c>
      <c r="CS13" s="2336">
        <v>78.940016307896272</v>
      </c>
      <c r="CT13" s="2336">
        <v>79.063406049437191</v>
      </c>
      <c r="CU13" s="2336">
        <v>79.183445896862082</v>
      </c>
      <c r="CV13" s="2336">
        <v>79.298458030386286</v>
      </c>
      <c r="CW13" s="2336">
        <v>79.427544499683677</v>
      </c>
      <c r="CX13" s="2336">
        <v>79.550238040119893</v>
      </c>
      <c r="CY13" s="2336">
        <v>79.671179594797366</v>
      </c>
      <c r="CZ13" s="2336">
        <v>79.790680572039392</v>
      </c>
      <c r="DA13" s="2336">
        <v>79.900440779860915</v>
      </c>
      <c r="DB13" s="2336">
        <v>80.021237442479261</v>
      </c>
      <c r="DC13" s="2336">
        <v>80.135757316697493</v>
      </c>
      <c r="DD13" s="2336">
        <v>80.248259120554863</v>
      </c>
      <c r="DE13" s="2336">
        <v>80.366202956722248</v>
      </c>
      <c r="DF13" s="2336">
        <v>80.482818705452488</v>
      </c>
      <c r="DG13" s="2336">
        <v>80.59816337949411</v>
      </c>
      <c r="DH13" s="2336">
        <v>80.709023490302727</v>
      </c>
      <c r="DI13" s="2336">
        <v>80.821257253994986</v>
      </c>
      <c r="DJ13" s="2336">
        <v>80.932628728999489</v>
      </c>
      <c r="DK13" s="2336">
        <v>81.042940184900971</v>
      </c>
      <c r="DL13" s="2336">
        <v>81.152201074992718</v>
      </c>
      <c r="DM13" s="2336">
        <v>81.260420625852504</v>
      </c>
      <c r="DN13" s="2336">
        <v>81.367607601620023</v>
      </c>
      <c r="DO13" s="2336">
        <v>81.473770052435484</v>
      </c>
      <c r="DP13" s="2336">
        <v>81.57891527143822</v>
      </c>
      <c r="DQ13" s="2336">
        <v>81.683050076735299</v>
      </c>
      <c r="DR13" s="2336">
        <v>81.786181106849241</v>
      </c>
      <c r="DS13" s="2336">
        <v>81.888315046059489</v>
      </c>
      <c r="DT13" s="2336">
        <v>81.98945876547478</v>
      </c>
      <c r="DU13" s="2336">
        <v>82.089619393207755</v>
      </c>
    </row>
    <row r="14" spans="1:125">
      <c r="A14" s="909">
        <v>12</v>
      </c>
      <c r="B14" s="90"/>
      <c r="C14" s="90"/>
      <c r="D14" s="90"/>
      <c r="E14" s="90"/>
      <c r="F14" s="90"/>
      <c r="G14" s="90"/>
      <c r="H14" s="90"/>
      <c r="I14" s="90"/>
      <c r="J14" s="90"/>
      <c r="K14" s="90"/>
      <c r="L14" s="90"/>
      <c r="M14" s="90"/>
      <c r="N14" s="90"/>
      <c r="O14" s="90"/>
      <c r="P14" s="90"/>
      <c r="Q14" s="90"/>
      <c r="R14" s="90"/>
      <c r="S14" s="90"/>
      <c r="T14" s="90"/>
      <c r="U14" s="90"/>
      <c r="V14" s="739"/>
      <c r="W14" s="739">
        <v>65.55</v>
      </c>
      <c r="X14" s="739">
        <v>65.790000000000006</v>
      </c>
      <c r="Y14" s="2336">
        <v>66.033683633766671</v>
      </c>
      <c r="Z14" s="2336">
        <v>66.356016627286522</v>
      </c>
      <c r="AA14" s="2336">
        <v>66.593789976566129</v>
      </c>
      <c r="AB14" s="2336">
        <v>66.875110591594265</v>
      </c>
      <c r="AC14" s="2336">
        <v>67.177852485068698</v>
      </c>
      <c r="AD14" s="2336">
        <v>67.377498202315564</v>
      </c>
      <c r="AE14" s="2336">
        <v>67.678566015663364</v>
      </c>
      <c r="AF14" s="2336">
        <v>68.002439461208439</v>
      </c>
      <c r="AG14" s="2336">
        <v>68.274670853244288</v>
      </c>
      <c r="AH14" s="2336">
        <v>68.554329933542945</v>
      </c>
      <c r="AI14" s="2336">
        <v>68.860159285983983</v>
      </c>
      <c r="AJ14" s="2336">
        <v>69.254602511264295</v>
      </c>
      <c r="AK14" s="2336">
        <v>69.556429754788965</v>
      </c>
      <c r="AL14" s="2336">
        <v>69.923281692212441</v>
      </c>
      <c r="AM14" s="2336">
        <v>70.214030846779991</v>
      </c>
      <c r="AN14" s="2336">
        <v>70.435443159327974</v>
      </c>
      <c r="AO14" s="2336">
        <v>70.616451451440668</v>
      </c>
      <c r="AP14" s="2336">
        <v>70.746091619664071</v>
      </c>
      <c r="AQ14" s="2336">
        <v>70.797132477617708</v>
      </c>
      <c r="AR14" s="2336">
        <v>70.837134916754096</v>
      </c>
      <c r="AS14" s="2336">
        <v>70.867886912215411</v>
      </c>
      <c r="AT14" s="2336">
        <v>70.818779723795473</v>
      </c>
      <c r="AU14" s="2336">
        <v>70.870858291376422</v>
      </c>
      <c r="AV14" s="2336">
        <v>70.913900832861358</v>
      </c>
      <c r="AW14" s="2336">
        <v>71.163064933069109</v>
      </c>
      <c r="AX14" s="2336">
        <v>71.207331600227491</v>
      </c>
      <c r="AY14" s="2336">
        <v>71.339299864183246</v>
      </c>
      <c r="AZ14" s="2336">
        <v>71.453444622618008</v>
      </c>
      <c r="BA14" s="2336">
        <v>71.576606260548559</v>
      </c>
      <c r="BB14" s="2336">
        <v>71.687470694530774</v>
      </c>
      <c r="BC14" s="2336">
        <v>71.793146025464324</v>
      </c>
      <c r="BD14" s="2336">
        <v>71.898526487009562</v>
      </c>
      <c r="BE14" s="2336">
        <v>71.994681526239901</v>
      </c>
      <c r="BF14" s="2336">
        <v>72.158408681173626</v>
      </c>
      <c r="BG14" s="2336">
        <v>72.314896778609821</v>
      </c>
      <c r="BH14" s="2336">
        <v>72.498613694146357</v>
      </c>
      <c r="BI14" s="2336">
        <v>72.640585041390139</v>
      </c>
      <c r="BJ14" s="2336">
        <v>72.795831699073688</v>
      </c>
      <c r="BK14" s="2336">
        <v>72.959935061229316</v>
      </c>
      <c r="BL14" s="2336">
        <v>73.167049024178951</v>
      </c>
      <c r="BM14" s="2336">
        <v>73.366735875011443</v>
      </c>
      <c r="BN14" s="2336">
        <v>73.534240949936205</v>
      </c>
      <c r="BO14" s="2336">
        <v>73.69147537245081</v>
      </c>
      <c r="BP14" s="2336">
        <v>73.881353792566699</v>
      </c>
      <c r="BQ14" s="2336">
        <v>74.047193256327617</v>
      </c>
      <c r="BR14" s="2336">
        <v>74.201460509414446</v>
      </c>
      <c r="BS14" s="2336">
        <v>74.36743482532944</v>
      </c>
      <c r="BT14" s="2336">
        <v>74.528464308205017</v>
      </c>
      <c r="BU14" s="2336">
        <v>74.65739251726913</v>
      </c>
      <c r="BV14" s="2336">
        <v>74.812146061857305</v>
      </c>
      <c r="BW14" s="2336">
        <v>74.966106746459204</v>
      </c>
      <c r="BX14" s="2336">
        <v>75.10228814040488</v>
      </c>
      <c r="BY14" s="2336">
        <v>75.246466281294829</v>
      </c>
      <c r="BZ14" s="2336">
        <v>75.377514485082301</v>
      </c>
      <c r="CA14" s="2336">
        <v>75.498106757827188</v>
      </c>
      <c r="CB14" s="2336">
        <v>75.659171410704801</v>
      </c>
      <c r="CC14" s="2336">
        <v>75.791750068149511</v>
      </c>
      <c r="CD14" s="2336">
        <v>75.916867666331399</v>
      </c>
      <c r="CE14" s="2336">
        <v>76.053415623423561</v>
      </c>
      <c r="CF14" s="2336">
        <v>76.194923224060489</v>
      </c>
      <c r="CG14" s="2336">
        <v>76.321367030597727</v>
      </c>
      <c r="CH14" s="2336">
        <v>76.466722533265198</v>
      </c>
      <c r="CI14" s="2336">
        <v>76.625804476164873</v>
      </c>
      <c r="CJ14" s="2336">
        <v>76.739668861204237</v>
      </c>
      <c r="CK14" s="2336">
        <v>76.878744948291853</v>
      </c>
      <c r="CL14" s="2336">
        <v>77.016040286609353</v>
      </c>
      <c r="CM14" s="2336">
        <v>77.157214707482581</v>
      </c>
      <c r="CN14" s="2336">
        <v>77.299057010348832</v>
      </c>
      <c r="CO14" s="2336">
        <v>77.41913838800491</v>
      </c>
      <c r="CP14" s="2336">
        <v>77.559405952022743</v>
      </c>
      <c r="CQ14" s="2336">
        <v>77.67516773373579</v>
      </c>
      <c r="CR14" s="2336">
        <v>77.80786637228897</v>
      </c>
      <c r="CS14" s="2336">
        <v>77.945595741439348</v>
      </c>
      <c r="CT14" s="2336">
        <v>78.070443718148553</v>
      </c>
      <c r="CU14" s="2336">
        <v>78.188193525945977</v>
      </c>
      <c r="CV14" s="2336">
        <v>78.306022101763617</v>
      </c>
      <c r="CW14" s="2336">
        <v>78.43364017537219</v>
      </c>
      <c r="CX14" s="2336">
        <v>78.554865892401835</v>
      </c>
      <c r="CY14" s="2336">
        <v>78.675357821285914</v>
      </c>
      <c r="CZ14" s="2336">
        <v>78.795163503903225</v>
      </c>
      <c r="DA14" s="2336">
        <v>78.904514390421781</v>
      </c>
      <c r="DB14" s="2336">
        <v>79.029726987964068</v>
      </c>
      <c r="DC14" s="2336">
        <v>79.140734721214031</v>
      </c>
      <c r="DD14" s="2336">
        <v>79.255102213024045</v>
      </c>
      <c r="DE14" s="2336">
        <v>79.37286097964116</v>
      </c>
      <c r="DF14" s="2336">
        <v>79.488727500586123</v>
      </c>
      <c r="DG14" s="2336">
        <v>79.602196392724025</v>
      </c>
      <c r="DH14" s="2336">
        <v>79.714259230007841</v>
      </c>
      <c r="DI14" s="2336">
        <v>79.826522586228592</v>
      </c>
      <c r="DJ14" s="2336">
        <v>79.93772213108771</v>
      </c>
      <c r="DK14" s="2336">
        <v>80.047867197002347</v>
      </c>
      <c r="DL14" s="2336">
        <v>80.156967062021167</v>
      </c>
      <c r="DM14" s="2336">
        <v>80.265030782865296</v>
      </c>
      <c r="DN14" s="2336">
        <v>80.372066959034797</v>
      </c>
      <c r="DO14" s="2336">
        <v>80.478083481082095</v>
      </c>
      <c r="DP14" s="2336">
        <v>80.583087487463061</v>
      </c>
      <c r="DQ14" s="2336">
        <v>80.687085646378193</v>
      </c>
      <c r="DR14" s="2336">
        <v>80.790084451094259</v>
      </c>
      <c r="DS14" s="2336">
        <v>80.892090445157422</v>
      </c>
      <c r="DT14" s="2336">
        <v>80.993110363334921</v>
      </c>
      <c r="DU14" s="2336">
        <v>81.093151201658941</v>
      </c>
    </row>
    <row r="15" spans="1:125">
      <c r="A15" s="909">
        <v>13</v>
      </c>
      <c r="B15" s="90"/>
      <c r="C15" s="90"/>
      <c r="D15" s="90"/>
      <c r="E15" s="90"/>
      <c r="F15" s="90"/>
      <c r="G15" s="90"/>
      <c r="H15" s="90"/>
      <c r="I15" s="90"/>
      <c r="J15" s="90"/>
      <c r="K15" s="90"/>
      <c r="L15" s="90"/>
      <c r="M15" s="90"/>
      <c r="N15" s="90"/>
      <c r="O15" s="90"/>
      <c r="P15" s="90"/>
      <c r="Q15" s="90"/>
      <c r="R15" s="90"/>
      <c r="S15" s="90"/>
      <c r="T15" s="90"/>
      <c r="U15" s="90"/>
      <c r="V15" s="739"/>
      <c r="W15" s="739">
        <v>64.61</v>
      </c>
      <c r="X15" s="739">
        <v>64.86</v>
      </c>
      <c r="Y15" s="2336">
        <v>65.118932834471025</v>
      </c>
      <c r="Z15" s="2336">
        <v>65.441685133430994</v>
      </c>
      <c r="AA15" s="2336">
        <v>65.673150140636452</v>
      </c>
      <c r="AB15" s="2336">
        <v>65.94816339228538</v>
      </c>
      <c r="AC15" s="2336">
        <v>66.257913944926685</v>
      </c>
      <c r="AD15" s="2336">
        <v>66.457799380865467</v>
      </c>
      <c r="AE15" s="2336">
        <v>66.759228692488264</v>
      </c>
      <c r="AF15" s="2336">
        <v>67.083491019496847</v>
      </c>
      <c r="AG15" s="2336">
        <v>67.364197878228566</v>
      </c>
      <c r="AH15" s="2336">
        <v>67.656503384549154</v>
      </c>
      <c r="AI15" s="2336">
        <v>67.983355408045227</v>
      </c>
      <c r="AJ15" s="2336">
        <v>68.316537394919735</v>
      </c>
      <c r="AK15" s="2336">
        <v>68.618636527663867</v>
      </c>
      <c r="AL15" s="2336">
        <v>68.971895004056137</v>
      </c>
      <c r="AM15" s="2336">
        <v>69.24750965141267</v>
      </c>
      <c r="AN15" s="2336">
        <v>69.469028292908561</v>
      </c>
      <c r="AO15" s="2336">
        <v>69.650123510725805</v>
      </c>
      <c r="AP15" s="2336">
        <v>69.771524094479133</v>
      </c>
      <c r="AQ15" s="2336">
        <v>69.821177304597455</v>
      </c>
      <c r="AR15" s="2336">
        <v>69.858636600852975</v>
      </c>
      <c r="AS15" s="2336">
        <v>69.890541041855826</v>
      </c>
      <c r="AT15" s="2336">
        <v>69.840987453312749</v>
      </c>
      <c r="AU15" s="2336">
        <v>69.89314918075722</v>
      </c>
      <c r="AV15" s="2336">
        <v>69.935300815620096</v>
      </c>
      <c r="AW15" s="2336">
        <v>70.186246973477111</v>
      </c>
      <c r="AX15" s="2336">
        <v>70.225995012458739</v>
      </c>
      <c r="AY15" s="2336">
        <v>70.362366008781152</v>
      </c>
      <c r="AZ15" s="2336">
        <v>70.471178214380018</v>
      </c>
      <c r="BA15" s="2336">
        <v>70.598664000496385</v>
      </c>
      <c r="BB15" s="2336">
        <v>70.709901328036167</v>
      </c>
      <c r="BC15" s="2336">
        <v>70.814558318712017</v>
      </c>
      <c r="BD15" s="2336">
        <v>70.918683837569887</v>
      </c>
      <c r="BE15" s="2336">
        <v>71.013317273586864</v>
      </c>
      <c r="BF15" s="2336">
        <v>71.177858944512536</v>
      </c>
      <c r="BG15" s="2336">
        <v>71.333402246275952</v>
      </c>
      <c r="BH15" s="2336">
        <v>71.518485480046479</v>
      </c>
      <c r="BI15" s="2336">
        <v>71.658669088389814</v>
      </c>
      <c r="BJ15" s="2336">
        <v>71.815914131885023</v>
      </c>
      <c r="BK15" s="2336">
        <v>71.97543062910232</v>
      </c>
      <c r="BL15" s="2336">
        <v>72.18333190219731</v>
      </c>
      <c r="BM15" s="2336">
        <v>72.384447071756782</v>
      </c>
      <c r="BN15" s="2336">
        <v>72.551814468264837</v>
      </c>
      <c r="BO15" s="2336">
        <v>72.707903832596955</v>
      </c>
      <c r="BP15" s="2336">
        <v>72.897125800373473</v>
      </c>
      <c r="BQ15" s="2336">
        <v>73.060648880129961</v>
      </c>
      <c r="BR15" s="2336">
        <v>73.217148933280342</v>
      </c>
      <c r="BS15" s="2336">
        <v>73.382096844623064</v>
      </c>
      <c r="BT15" s="2336">
        <v>73.541235302336077</v>
      </c>
      <c r="BU15" s="2336">
        <v>73.671314102878767</v>
      </c>
      <c r="BV15" s="2336">
        <v>73.821601405519658</v>
      </c>
      <c r="BW15" s="2336">
        <v>73.976456212170476</v>
      </c>
      <c r="BX15" s="2336">
        <v>74.113658759398845</v>
      </c>
      <c r="BY15" s="2336">
        <v>74.2578885977845</v>
      </c>
      <c r="BZ15" s="2336">
        <v>74.387126587088176</v>
      </c>
      <c r="CA15" s="2336">
        <v>74.507116043101561</v>
      </c>
      <c r="CB15" s="2336">
        <v>74.669163364675512</v>
      </c>
      <c r="CC15" s="2336">
        <v>74.802229880204479</v>
      </c>
      <c r="CD15" s="2336">
        <v>74.928398906019325</v>
      </c>
      <c r="CE15" s="2336">
        <v>75.063567975316786</v>
      </c>
      <c r="CF15" s="2336">
        <v>75.20278526772789</v>
      </c>
      <c r="CG15" s="2336">
        <v>75.330086788310908</v>
      </c>
      <c r="CH15" s="2336">
        <v>75.475831040339756</v>
      </c>
      <c r="CI15" s="2336">
        <v>75.634341090692402</v>
      </c>
      <c r="CJ15" s="2336">
        <v>75.747579598633934</v>
      </c>
      <c r="CK15" s="2336">
        <v>75.88553792737406</v>
      </c>
      <c r="CL15" s="2336">
        <v>76.02477894309358</v>
      </c>
      <c r="CM15" s="2336">
        <v>76.164676159274762</v>
      </c>
      <c r="CN15" s="2336">
        <v>76.30562753615331</v>
      </c>
      <c r="CO15" s="2336">
        <v>76.424552547075507</v>
      </c>
      <c r="CP15" s="2336">
        <v>76.566345402211681</v>
      </c>
      <c r="CQ15" s="2336">
        <v>76.681341477053223</v>
      </c>
      <c r="CR15" s="2336">
        <v>76.814512492042624</v>
      </c>
      <c r="CS15" s="2336">
        <v>76.951104637832316</v>
      </c>
      <c r="CT15" s="2336">
        <v>77.075805322021267</v>
      </c>
      <c r="CU15" s="2336">
        <v>77.193074630281515</v>
      </c>
      <c r="CV15" s="2336">
        <v>77.311887743779579</v>
      </c>
      <c r="CW15" s="2336">
        <v>77.440888665229636</v>
      </c>
      <c r="CX15" s="2336">
        <v>77.560866281041925</v>
      </c>
      <c r="CY15" s="2336">
        <v>77.680541834934459</v>
      </c>
      <c r="CZ15" s="2336">
        <v>77.802409305096575</v>
      </c>
      <c r="DA15" s="2336">
        <v>77.911341999143744</v>
      </c>
      <c r="DB15" s="2336">
        <v>78.035181876923602</v>
      </c>
      <c r="DC15" s="2336">
        <v>78.147382790747699</v>
      </c>
      <c r="DD15" s="2336">
        <v>78.260915391853359</v>
      </c>
      <c r="DE15" s="2336">
        <v>78.376345059011499</v>
      </c>
      <c r="DF15" s="2336">
        <v>78.494101874195181</v>
      </c>
      <c r="DG15" s="2336">
        <v>78.607010790479393</v>
      </c>
      <c r="DH15" s="2336">
        <v>78.720151767105548</v>
      </c>
      <c r="DI15" s="2336">
        <v>78.832225817997482</v>
      </c>
      <c r="DJ15" s="2336">
        <v>78.94324205468844</v>
      </c>
      <c r="DK15" s="2336">
        <v>79.053209623305321</v>
      </c>
      <c r="DL15" s="2336">
        <v>79.162137621231068</v>
      </c>
      <c r="DM15" s="2336">
        <v>79.270034929972553</v>
      </c>
      <c r="DN15" s="2336">
        <v>79.376909979096155</v>
      </c>
      <c r="DO15" s="2336">
        <v>79.482770494336464</v>
      </c>
      <c r="DP15" s="2336">
        <v>79.587623454301166</v>
      </c>
      <c r="DQ15" s="2336">
        <v>79.691475372187696</v>
      </c>
      <c r="DR15" s="2336">
        <v>79.794332590981398</v>
      </c>
      <c r="DS15" s="2336">
        <v>79.896201508542021</v>
      </c>
      <c r="DT15" s="2336">
        <v>79.997088718416023</v>
      </c>
      <c r="DU15" s="2336">
        <v>80.096993361076827</v>
      </c>
    </row>
    <row r="16" spans="1:125">
      <c r="A16" s="909">
        <v>14</v>
      </c>
      <c r="B16" s="90"/>
      <c r="C16" s="90"/>
      <c r="D16" s="90"/>
      <c r="E16" s="90"/>
      <c r="F16" s="90"/>
      <c r="G16" s="90"/>
      <c r="H16" s="90"/>
      <c r="I16" s="90"/>
      <c r="J16" s="90"/>
      <c r="K16" s="90"/>
      <c r="L16" s="90"/>
      <c r="M16" s="90"/>
      <c r="N16" s="90"/>
      <c r="O16" s="90"/>
      <c r="P16" s="90"/>
      <c r="Q16" s="90"/>
      <c r="R16" s="90"/>
      <c r="S16" s="90"/>
      <c r="T16" s="90"/>
      <c r="U16" s="90"/>
      <c r="V16" s="739"/>
      <c r="W16" s="739">
        <v>63.68</v>
      </c>
      <c r="X16" s="739">
        <v>63.95</v>
      </c>
      <c r="Y16" s="2336">
        <v>64.208167706820959</v>
      </c>
      <c r="Z16" s="2336">
        <v>64.524862893013676</v>
      </c>
      <c r="AA16" s="2336">
        <v>64.751403569594501</v>
      </c>
      <c r="AB16" s="2336">
        <v>65.031989852725815</v>
      </c>
      <c r="AC16" s="2336">
        <v>65.342137136017783</v>
      </c>
      <c r="AD16" s="2336">
        <v>65.542278586605704</v>
      </c>
      <c r="AE16" s="2336">
        <v>65.844093970976104</v>
      </c>
      <c r="AF16" s="2336">
        <v>66.177311691624908</v>
      </c>
      <c r="AG16" s="2336">
        <v>66.471282325861523</v>
      </c>
      <c r="AH16" s="2336">
        <v>66.785607834666692</v>
      </c>
      <c r="AI16" s="2336">
        <v>67.047525557324676</v>
      </c>
      <c r="AJ16" s="2336">
        <v>67.381024368069404</v>
      </c>
      <c r="AK16" s="2336">
        <v>67.66898821253119</v>
      </c>
      <c r="AL16" s="2336">
        <v>68.007518913891346</v>
      </c>
      <c r="AM16" s="2336">
        <v>68.2832769554295</v>
      </c>
      <c r="AN16" s="2336">
        <v>68.504910846548754</v>
      </c>
      <c r="AO16" s="2336">
        <v>68.679078688374275</v>
      </c>
      <c r="AP16" s="2336">
        <v>68.799044594644542</v>
      </c>
      <c r="AQ16" s="2336">
        <v>68.845661625837522</v>
      </c>
      <c r="AR16" s="2336">
        <v>68.881057371538958</v>
      </c>
      <c r="AS16" s="2336">
        <v>68.912632805123124</v>
      </c>
      <c r="AT16" s="2336">
        <v>68.865708289837272</v>
      </c>
      <c r="AU16" s="2336">
        <v>68.916453230688134</v>
      </c>
      <c r="AV16" s="2336">
        <v>68.957273465343974</v>
      </c>
      <c r="AW16" s="2336">
        <v>69.208632788060044</v>
      </c>
      <c r="AX16" s="2336">
        <v>69.249123465961986</v>
      </c>
      <c r="AY16" s="2336">
        <v>69.382697343367852</v>
      </c>
      <c r="AZ16" s="2336">
        <v>69.490158988123042</v>
      </c>
      <c r="BA16" s="2336">
        <v>69.617876527927564</v>
      </c>
      <c r="BB16" s="2336">
        <v>69.7324004866759</v>
      </c>
      <c r="BC16" s="2336">
        <v>69.833557914858019</v>
      </c>
      <c r="BD16" s="2336">
        <v>69.938272928502457</v>
      </c>
      <c r="BE16" s="2336">
        <v>70.034101152709738</v>
      </c>
      <c r="BF16" s="2336">
        <v>70.198167906710196</v>
      </c>
      <c r="BG16" s="2336">
        <v>70.354153420079882</v>
      </c>
      <c r="BH16" s="2336">
        <v>70.538259432600739</v>
      </c>
      <c r="BI16" s="2336">
        <v>70.678738794412268</v>
      </c>
      <c r="BJ16" s="2336">
        <v>70.831300023834174</v>
      </c>
      <c r="BK16" s="2336">
        <v>70.992390517824234</v>
      </c>
      <c r="BL16" s="2336">
        <v>71.201549978024502</v>
      </c>
      <c r="BM16" s="2336">
        <v>71.401575163702503</v>
      </c>
      <c r="BN16" s="2336">
        <v>71.568354928118964</v>
      </c>
      <c r="BO16" s="2336">
        <v>71.724974853699678</v>
      </c>
      <c r="BP16" s="2336">
        <v>71.912630484148679</v>
      </c>
      <c r="BQ16" s="2336">
        <v>72.074939368563989</v>
      </c>
      <c r="BR16" s="2336">
        <v>72.229889579940519</v>
      </c>
      <c r="BS16" s="2336">
        <v>72.396302699700769</v>
      </c>
      <c r="BT16" s="2336">
        <v>72.554432911468268</v>
      </c>
      <c r="BU16" s="2336">
        <v>72.684796659496939</v>
      </c>
      <c r="BV16" s="2336">
        <v>72.832798184988235</v>
      </c>
      <c r="BW16" s="2336">
        <v>72.987395327219261</v>
      </c>
      <c r="BX16" s="2336">
        <v>73.127935636976275</v>
      </c>
      <c r="BY16" s="2336">
        <v>73.268060878848772</v>
      </c>
      <c r="BZ16" s="2336">
        <v>73.399949345554234</v>
      </c>
      <c r="CA16" s="2336">
        <v>73.518528132024969</v>
      </c>
      <c r="CB16" s="2336">
        <v>73.678722662016355</v>
      </c>
      <c r="CC16" s="2336">
        <v>73.812275703780827</v>
      </c>
      <c r="CD16" s="2336">
        <v>73.940356908817549</v>
      </c>
      <c r="CE16" s="2336">
        <v>74.072842292126566</v>
      </c>
      <c r="CF16" s="2336">
        <v>74.214170290531271</v>
      </c>
      <c r="CG16" s="2336">
        <v>74.33829833902756</v>
      </c>
      <c r="CH16" s="2336">
        <v>74.487376706227352</v>
      </c>
      <c r="CI16" s="2336">
        <v>74.641380582435147</v>
      </c>
      <c r="CJ16" s="2336">
        <v>74.756685566527807</v>
      </c>
      <c r="CK16" s="2336">
        <v>74.893854635602963</v>
      </c>
      <c r="CL16" s="2336">
        <v>75.036241219332979</v>
      </c>
      <c r="CM16" s="2336">
        <v>75.171366022318438</v>
      </c>
      <c r="CN16" s="2336">
        <v>75.311938108381668</v>
      </c>
      <c r="CO16" s="2336">
        <v>75.431312698689894</v>
      </c>
      <c r="CP16" s="2336">
        <v>75.575041093447993</v>
      </c>
      <c r="CQ16" s="2336">
        <v>75.690293607153734</v>
      </c>
      <c r="CR16" s="2336">
        <v>75.821866182479141</v>
      </c>
      <c r="CS16" s="2336">
        <v>75.959565596207412</v>
      </c>
      <c r="CT16" s="2336">
        <v>76.081879458458673</v>
      </c>
      <c r="CU16" s="2336">
        <v>76.198098404008348</v>
      </c>
      <c r="CV16" s="2336">
        <v>76.320655854455495</v>
      </c>
      <c r="CW16" s="2336">
        <v>76.44598146097708</v>
      </c>
      <c r="CX16" s="2336">
        <v>76.566964263606309</v>
      </c>
      <c r="CY16" s="2336">
        <v>76.687100573834925</v>
      </c>
      <c r="CZ16" s="2336">
        <v>76.809895522089604</v>
      </c>
      <c r="DA16" s="2336">
        <v>76.919518448587922</v>
      </c>
      <c r="DB16" s="2336">
        <v>77.041810158745761</v>
      </c>
      <c r="DC16" s="2336">
        <v>77.152598644519117</v>
      </c>
      <c r="DD16" s="2336">
        <v>77.267277526410268</v>
      </c>
      <c r="DE16" s="2336">
        <v>77.383834192696852</v>
      </c>
      <c r="DF16" s="2336">
        <v>77.499773259744856</v>
      </c>
      <c r="DG16" s="2336">
        <v>77.613769791215702</v>
      </c>
      <c r="DH16" s="2336">
        <v>77.726697181889392</v>
      </c>
      <c r="DI16" s="2336">
        <v>77.838564297195646</v>
      </c>
      <c r="DJ16" s="2336">
        <v>77.94938004586507</v>
      </c>
      <c r="DK16" s="2336">
        <v>78.05915337722837</v>
      </c>
      <c r="DL16" s="2336">
        <v>78.167893197702057</v>
      </c>
      <c r="DM16" s="2336">
        <v>78.275608203479621</v>
      </c>
      <c r="DN16" s="2336">
        <v>78.3823066442922</v>
      </c>
      <c r="DO16" s="2336">
        <v>78.487996071348547</v>
      </c>
      <c r="DP16" s="2336">
        <v>78.592683293891639</v>
      </c>
      <c r="DQ16" s="2336">
        <v>78.69637466079098</v>
      </c>
      <c r="DR16" s="2336">
        <v>78.799076355617103</v>
      </c>
      <c r="DS16" s="2336">
        <v>78.900794621600241</v>
      </c>
      <c r="DT16" s="2336">
        <v>79.001527313423523</v>
      </c>
      <c r="DU16" s="2336">
        <v>79.101282576659898</v>
      </c>
    </row>
    <row r="17" spans="1:125">
      <c r="A17" s="909">
        <v>15</v>
      </c>
      <c r="B17" s="90"/>
      <c r="C17" s="90"/>
      <c r="D17" s="90"/>
      <c r="E17" s="90"/>
      <c r="F17" s="90"/>
      <c r="G17" s="90"/>
      <c r="H17" s="90"/>
      <c r="I17" s="90"/>
      <c r="J17" s="90"/>
      <c r="K17" s="90"/>
      <c r="L17" s="90"/>
      <c r="M17" s="90"/>
      <c r="N17" s="90"/>
      <c r="O17" s="90"/>
      <c r="P17" s="90"/>
      <c r="Q17" s="90"/>
      <c r="R17" s="90"/>
      <c r="S17" s="90"/>
      <c r="T17" s="90"/>
      <c r="U17" s="90"/>
      <c r="V17" s="739"/>
      <c r="W17" s="739">
        <v>62.77</v>
      </c>
      <c r="X17" s="739">
        <v>63.04</v>
      </c>
      <c r="Y17" s="2336">
        <v>63.294868548325979</v>
      </c>
      <c r="Z17" s="2336">
        <v>63.608147429072332</v>
      </c>
      <c r="AA17" s="2336">
        <v>63.838843704162464</v>
      </c>
      <c r="AB17" s="2336">
        <v>64.119811838910891</v>
      </c>
      <c r="AC17" s="2336">
        <v>64.430381203568871</v>
      </c>
      <c r="AD17" s="2336">
        <v>64.630795027901172</v>
      </c>
      <c r="AE17" s="2336">
        <v>64.941927187260617</v>
      </c>
      <c r="AF17" s="2336">
        <v>65.289075543900353</v>
      </c>
      <c r="AG17" s="2336">
        <v>65.606045118012091</v>
      </c>
      <c r="AH17" s="2336">
        <v>65.859266620615585</v>
      </c>
      <c r="AI17" s="2336">
        <v>66.12147539501315</v>
      </c>
      <c r="AJ17" s="2336">
        <v>66.438794641180692</v>
      </c>
      <c r="AK17" s="2336">
        <v>66.708641310904625</v>
      </c>
      <c r="AL17" s="2336">
        <v>67.047371863290692</v>
      </c>
      <c r="AM17" s="2336">
        <v>67.323292698121378</v>
      </c>
      <c r="AN17" s="2336">
        <v>67.534489338235005</v>
      </c>
      <c r="AO17" s="2336">
        <v>67.705956635752429</v>
      </c>
      <c r="AP17" s="2336">
        <v>67.823961404863269</v>
      </c>
      <c r="AQ17" s="2336">
        <v>67.872582355578075</v>
      </c>
      <c r="AR17" s="2336">
        <v>67.905124787037266</v>
      </c>
      <c r="AS17" s="2336">
        <v>67.94203060739126</v>
      </c>
      <c r="AT17" s="2336">
        <v>67.896048990589065</v>
      </c>
      <c r="AU17" s="2336">
        <v>67.942853163149053</v>
      </c>
      <c r="AV17" s="2336">
        <v>67.976309822714896</v>
      </c>
      <c r="AW17" s="2336">
        <v>68.234768782009368</v>
      </c>
      <c r="AX17" s="2336">
        <v>68.27026119484168</v>
      </c>
      <c r="AY17" s="2336">
        <v>68.404520700016974</v>
      </c>
      <c r="AZ17" s="2336">
        <v>68.51270100852777</v>
      </c>
      <c r="BA17" s="2336">
        <v>68.642665324824506</v>
      </c>
      <c r="BB17" s="2336">
        <v>68.755082640017434</v>
      </c>
      <c r="BC17" s="2336">
        <v>68.856365281441114</v>
      </c>
      <c r="BD17" s="2336">
        <v>68.960349514795723</v>
      </c>
      <c r="BE17" s="2336">
        <v>69.061717920305597</v>
      </c>
      <c r="BF17" s="2336">
        <v>69.221640303160541</v>
      </c>
      <c r="BG17" s="2336">
        <v>69.376550612038642</v>
      </c>
      <c r="BH17" s="2336">
        <v>69.559421959531775</v>
      </c>
      <c r="BI17" s="2336">
        <v>69.699991240699802</v>
      </c>
      <c r="BJ17" s="2336">
        <v>69.854512650680718</v>
      </c>
      <c r="BK17" s="2336">
        <v>70.013710691338375</v>
      </c>
      <c r="BL17" s="2336">
        <v>70.220847936768209</v>
      </c>
      <c r="BM17" s="2336">
        <v>70.421053255946404</v>
      </c>
      <c r="BN17" s="2336">
        <v>70.589618919573184</v>
      </c>
      <c r="BO17" s="2336">
        <v>70.744413260604603</v>
      </c>
      <c r="BP17" s="2336">
        <v>70.930094757326188</v>
      </c>
      <c r="BQ17" s="2336">
        <v>71.091432631553445</v>
      </c>
      <c r="BR17" s="2336">
        <v>71.247166205066307</v>
      </c>
      <c r="BS17" s="2336">
        <v>71.410467451175919</v>
      </c>
      <c r="BT17" s="2336">
        <v>71.569623138317667</v>
      </c>
      <c r="BU17" s="2336">
        <v>71.699275615187574</v>
      </c>
      <c r="BV17" s="2336">
        <v>71.845984761987239</v>
      </c>
      <c r="BW17" s="2336">
        <v>71.999426168875488</v>
      </c>
      <c r="BX17" s="2336">
        <v>72.140173414600298</v>
      </c>
      <c r="BY17" s="2336">
        <v>72.279529825490499</v>
      </c>
      <c r="BZ17" s="2336">
        <v>72.419528655932766</v>
      </c>
      <c r="CA17" s="2336">
        <v>72.527821084093091</v>
      </c>
      <c r="CB17" s="2336">
        <v>72.691096409325539</v>
      </c>
      <c r="CC17" s="2336">
        <v>72.823678393165494</v>
      </c>
      <c r="CD17" s="2336">
        <v>72.952895051649818</v>
      </c>
      <c r="CE17" s="2336">
        <v>73.084234839249135</v>
      </c>
      <c r="CF17" s="2336">
        <v>73.224189923154213</v>
      </c>
      <c r="CG17" s="2336">
        <v>73.348561834335158</v>
      </c>
      <c r="CH17" s="2336">
        <v>73.497731683938397</v>
      </c>
      <c r="CI17" s="2336">
        <v>73.652518911539204</v>
      </c>
      <c r="CJ17" s="2336">
        <v>73.768904692177898</v>
      </c>
      <c r="CK17" s="2336">
        <v>73.903794422575118</v>
      </c>
      <c r="CL17" s="2336">
        <v>74.045322836929259</v>
      </c>
      <c r="CM17" s="2336">
        <v>74.180044086330639</v>
      </c>
      <c r="CN17" s="2336">
        <v>74.320390060750029</v>
      </c>
      <c r="CO17" s="2336">
        <v>74.442890032755443</v>
      </c>
      <c r="CP17" s="2336">
        <v>74.582892693949319</v>
      </c>
      <c r="CQ17" s="2336">
        <v>74.699693410208326</v>
      </c>
      <c r="CR17" s="2336">
        <v>74.831478254809696</v>
      </c>
      <c r="CS17" s="2336">
        <v>74.966919390180479</v>
      </c>
      <c r="CT17" s="2336">
        <v>75.089838219587349</v>
      </c>
      <c r="CU17" s="2336">
        <v>75.204378066669634</v>
      </c>
      <c r="CV17" s="2336">
        <v>75.327910082834762</v>
      </c>
      <c r="CW17" s="2336">
        <v>75.453988971402993</v>
      </c>
      <c r="CX17" s="2336">
        <v>75.575527246030305</v>
      </c>
      <c r="CY17" s="2336">
        <v>75.694936721524613</v>
      </c>
      <c r="CZ17" s="2336">
        <v>75.81637737348143</v>
      </c>
      <c r="DA17" s="2336">
        <v>75.926688050208355</v>
      </c>
      <c r="DB17" s="2336">
        <v>76.048521519424312</v>
      </c>
      <c r="DC17" s="2336">
        <v>76.160276786599724</v>
      </c>
      <c r="DD17" s="2336">
        <v>76.275898801007813</v>
      </c>
      <c r="DE17" s="2336">
        <v>76.392829622530797</v>
      </c>
      <c r="DF17" s="2336">
        <v>76.507651433544922</v>
      </c>
      <c r="DG17" s="2336">
        <v>76.621403154184563</v>
      </c>
      <c r="DH17" s="2336">
        <v>76.734093223661588</v>
      </c>
      <c r="DI17" s="2336">
        <v>76.845730283269504</v>
      </c>
      <c r="DJ17" s="2336">
        <v>76.956323024105444</v>
      </c>
      <c r="DK17" s="2336">
        <v>77.065880184188842</v>
      </c>
      <c r="DL17" s="2336">
        <v>77.174410464764563</v>
      </c>
      <c r="DM17" s="2336">
        <v>77.281922362810391</v>
      </c>
      <c r="DN17" s="2336">
        <v>77.388423934615773</v>
      </c>
      <c r="DO17" s="2336">
        <v>77.493922543546304</v>
      </c>
      <c r="DP17" s="2336">
        <v>77.598424816447434</v>
      </c>
      <c r="DQ17" s="2336">
        <v>77.701936925111156</v>
      </c>
      <c r="DR17" s="2336">
        <v>77.804464881224845</v>
      </c>
      <c r="DS17" s="2336">
        <v>77.906005062016419</v>
      </c>
      <c r="DT17" s="2336">
        <v>78.006565482853077</v>
      </c>
      <c r="DU17" s="2336">
        <v>78.106154102619499</v>
      </c>
    </row>
    <row r="18" spans="1:125">
      <c r="A18" s="909">
        <v>16</v>
      </c>
      <c r="B18" s="90"/>
      <c r="C18" s="90"/>
      <c r="D18" s="90"/>
      <c r="E18" s="90"/>
      <c r="F18" s="90"/>
      <c r="G18" s="90"/>
      <c r="H18" s="90"/>
      <c r="I18" s="90"/>
      <c r="J18" s="90"/>
      <c r="K18" s="90"/>
      <c r="L18" s="90"/>
      <c r="M18" s="90"/>
      <c r="N18" s="90"/>
      <c r="O18" s="90"/>
      <c r="P18" s="90"/>
      <c r="Q18" s="90"/>
      <c r="R18" s="90"/>
      <c r="S18" s="90"/>
      <c r="T18" s="90"/>
      <c r="U18" s="90"/>
      <c r="V18" s="739"/>
      <c r="W18" s="739">
        <v>61.87</v>
      </c>
      <c r="X18" s="739">
        <v>62.13</v>
      </c>
      <c r="Y18" s="2336">
        <v>62.382841061111506</v>
      </c>
      <c r="Z18" s="2336">
        <v>62.69908742644283</v>
      </c>
      <c r="AA18" s="2336">
        <v>62.930116139094579</v>
      </c>
      <c r="AB18" s="2336">
        <v>63.211489154076013</v>
      </c>
      <c r="AC18" s="2336">
        <v>63.522506054881951</v>
      </c>
      <c r="AD18" s="2336">
        <v>63.732464695125429</v>
      </c>
      <c r="AE18" s="2336">
        <v>64.058046517848467</v>
      </c>
      <c r="AF18" s="2336">
        <v>64.438584403864297</v>
      </c>
      <c r="AG18" s="2336">
        <v>64.693404279746943</v>
      </c>
      <c r="AH18" s="2336">
        <v>64.946965554458558</v>
      </c>
      <c r="AI18" s="2336">
        <v>65.189914930292034</v>
      </c>
      <c r="AJ18" s="2336">
        <v>65.483663532382721</v>
      </c>
      <c r="AK18" s="2336">
        <v>65.753693822704065</v>
      </c>
      <c r="AL18" s="2336">
        <v>66.092654868601343</v>
      </c>
      <c r="AM18" s="2336">
        <v>66.357517146503767</v>
      </c>
      <c r="AN18" s="2336">
        <v>66.567251168620345</v>
      </c>
      <c r="AO18" s="2336">
        <v>66.739471141886185</v>
      </c>
      <c r="AP18" s="2336">
        <v>66.855836882176675</v>
      </c>
      <c r="AQ18" s="2336">
        <v>66.904104265277297</v>
      </c>
      <c r="AR18" s="2336">
        <v>66.938525110584635</v>
      </c>
      <c r="AS18" s="2336">
        <v>66.970277155520591</v>
      </c>
      <c r="AT18" s="2336">
        <v>66.923728969393991</v>
      </c>
      <c r="AU18" s="2336">
        <v>66.971497629047605</v>
      </c>
      <c r="AV18" s="2336">
        <v>67.003554268303844</v>
      </c>
      <c r="AW18" s="2336">
        <v>67.26172482093564</v>
      </c>
      <c r="AX18" s="2336">
        <v>67.294274289605099</v>
      </c>
      <c r="AY18" s="2336">
        <v>67.429091397811405</v>
      </c>
      <c r="AZ18" s="2336">
        <v>67.539263568633075</v>
      </c>
      <c r="BA18" s="2336">
        <v>67.668925351604315</v>
      </c>
      <c r="BB18" s="2336">
        <v>67.782224795083692</v>
      </c>
      <c r="BC18" s="2336">
        <v>67.884947770832937</v>
      </c>
      <c r="BD18" s="2336">
        <v>67.989224253948436</v>
      </c>
      <c r="BE18" s="2336">
        <v>68.094471652924994</v>
      </c>
      <c r="BF18" s="2336">
        <v>68.251909511774343</v>
      </c>
      <c r="BG18" s="2336">
        <v>68.403870646205135</v>
      </c>
      <c r="BH18" s="2336">
        <v>68.586060146101659</v>
      </c>
      <c r="BI18" s="2336">
        <v>68.72660262103652</v>
      </c>
      <c r="BJ18" s="2336">
        <v>68.884331467195352</v>
      </c>
      <c r="BK18" s="2336">
        <v>69.044881408211651</v>
      </c>
      <c r="BL18" s="2336">
        <v>69.250336990368524</v>
      </c>
      <c r="BM18" s="2336">
        <v>69.448023267746478</v>
      </c>
      <c r="BN18" s="2336">
        <v>69.614868718209578</v>
      </c>
      <c r="BO18" s="2336">
        <v>69.768501215270746</v>
      </c>
      <c r="BP18" s="2336">
        <v>69.953937283618856</v>
      </c>
      <c r="BQ18" s="2336">
        <v>70.111474404310513</v>
      </c>
      <c r="BR18" s="2336">
        <v>70.26887959671383</v>
      </c>
      <c r="BS18" s="2336">
        <v>70.430080512893639</v>
      </c>
      <c r="BT18" s="2336">
        <v>70.587672082268412</v>
      </c>
      <c r="BU18" s="2336">
        <v>70.71598934162968</v>
      </c>
      <c r="BV18" s="2336">
        <v>70.861336251317667</v>
      </c>
      <c r="BW18" s="2336">
        <v>71.013934361452755</v>
      </c>
      <c r="BX18" s="2336">
        <v>71.156004046281737</v>
      </c>
      <c r="BY18" s="2336">
        <v>71.295793562345281</v>
      </c>
      <c r="BZ18" s="2336">
        <v>71.434406445304248</v>
      </c>
      <c r="CA18" s="2336">
        <v>71.543975357255746</v>
      </c>
      <c r="CB18" s="2336">
        <v>71.704407708875166</v>
      </c>
      <c r="CC18" s="2336">
        <v>71.841529019304275</v>
      </c>
      <c r="CD18" s="2336">
        <v>71.971941585853315</v>
      </c>
      <c r="CE18" s="2336">
        <v>72.0979853040607</v>
      </c>
      <c r="CF18" s="2336">
        <v>72.240170082063415</v>
      </c>
      <c r="CG18" s="2336">
        <v>72.362309111693335</v>
      </c>
      <c r="CH18" s="2336">
        <v>72.511911596612407</v>
      </c>
      <c r="CI18" s="2336">
        <v>72.665625054737205</v>
      </c>
      <c r="CJ18" s="2336">
        <v>72.782350774789222</v>
      </c>
      <c r="CK18" s="2336">
        <v>72.915616170528722</v>
      </c>
      <c r="CL18" s="2336">
        <v>73.057960946829255</v>
      </c>
      <c r="CM18" s="2336">
        <v>73.192389135999349</v>
      </c>
      <c r="CN18" s="2336">
        <v>73.331550698829645</v>
      </c>
      <c r="CO18" s="2336">
        <v>73.452232033833482</v>
      </c>
      <c r="CP18" s="2336">
        <v>73.593519810840661</v>
      </c>
      <c r="CQ18" s="2336">
        <v>73.709338429962216</v>
      </c>
      <c r="CR18" s="2336">
        <v>73.842696626211179</v>
      </c>
      <c r="CS18" s="2336">
        <v>73.976974501122172</v>
      </c>
      <c r="CT18" s="2336">
        <v>74.09614325731502</v>
      </c>
      <c r="CU18" s="2336">
        <v>74.214484058162284</v>
      </c>
      <c r="CV18" s="2336">
        <v>74.337731465389382</v>
      </c>
      <c r="CW18" s="2336">
        <v>74.463013184862902</v>
      </c>
      <c r="CX18" s="2336">
        <v>74.585611506753068</v>
      </c>
      <c r="CY18" s="2336">
        <v>74.704809609445959</v>
      </c>
      <c r="CZ18" s="2336">
        <v>74.824774567336064</v>
      </c>
      <c r="DA18" s="2336">
        <v>74.936819528929831</v>
      </c>
      <c r="DB18" s="2336">
        <v>75.055721622497828</v>
      </c>
      <c r="DC18" s="2336">
        <v>75.167818424412204</v>
      </c>
      <c r="DD18" s="2336">
        <v>75.286426982061343</v>
      </c>
      <c r="DE18" s="2336">
        <v>75.402037278869457</v>
      </c>
      <c r="DF18" s="2336">
        <v>75.516577806377498</v>
      </c>
      <c r="DG18" s="2336">
        <v>75.630056696083201</v>
      </c>
      <c r="DH18" s="2336">
        <v>75.742482139042693</v>
      </c>
      <c r="DI18" s="2336">
        <v>75.853862535460806</v>
      </c>
      <c r="DJ18" s="2336">
        <v>75.964206342203695</v>
      </c>
      <c r="DK18" s="2336">
        <v>76.073522069731268</v>
      </c>
      <c r="DL18" s="2336">
        <v>76.181818198210919</v>
      </c>
      <c r="DM18" s="2336">
        <v>76.289103009833809</v>
      </c>
      <c r="DN18" s="2336">
        <v>76.395384352203806</v>
      </c>
      <c r="DO18" s="2336">
        <v>76.500669385918641</v>
      </c>
      <c r="DP18" s="2336">
        <v>76.604964540815914</v>
      </c>
      <c r="DQ18" s="2336">
        <v>76.708275797312808</v>
      </c>
      <c r="DR18" s="2336">
        <v>76.810598011979991</v>
      </c>
      <c r="DS18" s="2336">
        <v>76.911939043490023</v>
      </c>
      <c r="DT18" s="2336">
        <v>77.012306699698513</v>
      </c>
      <c r="DU18" s="2336">
        <v>77.111708738348781</v>
      </c>
    </row>
    <row r="19" spans="1:125">
      <c r="A19" s="909">
        <v>17</v>
      </c>
      <c r="B19" s="90"/>
      <c r="C19" s="90"/>
      <c r="D19" s="90"/>
      <c r="E19" s="90"/>
      <c r="F19" s="90"/>
      <c r="G19" s="90"/>
      <c r="H19" s="90"/>
      <c r="I19" s="90"/>
      <c r="J19" s="90"/>
      <c r="K19" s="90"/>
      <c r="L19" s="90"/>
      <c r="M19" s="90"/>
      <c r="N19" s="90"/>
      <c r="O19" s="90"/>
      <c r="P19" s="90"/>
      <c r="Q19" s="90"/>
      <c r="R19" s="90"/>
      <c r="S19" s="90"/>
      <c r="T19" s="90"/>
      <c r="U19" s="90"/>
      <c r="V19" s="739"/>
      <c r="W19" s="739">
        <v>60.96</v>
      </c>
      <c r="X19" s="739">
        <v>61.22</v>
      </c>
      <c r="Y19" s="2336">
        <v>61.476973728155542</v>
      </c>
      <c r="Z19" s="2336">
        <v>61.793701149516302</v>
      </c>
      <c r="AA19" s="2336">
        <v>62.025081289938875</v>
      </c>
      <c r="AB19" s="2336">
        <v>62.306882313587657</v>
      </c>
      <c r="AC19" s="2336">
        <v>62.627974985071226</v>
      </c>
      <c r="AD19" s="2336">
        <v>62.85274248249749</v>
      </c>
      <c r="AE19" s="2336">
        <v>63.222579233058994</v>
      </c>
      <c r="AF19" s="2336">
        <v>63.537843060608239</v>
      </c>
      <c r="AG19" s="2336">
        <v>63.793058520453656</v>
      </c>
      <c r="AH19" s="2336">
        <v>64.024726480613808</v>
      </c>
      <c r="AI19" s="2336">
        <v>64.240412452004605</v>
      </c>
      <c r="AJ19" s="2336">
        <v>64.534390356861067</v>
      </c>
      <c r="AK19" s="2336">
        <v>64.804631435223541</v>
      </c>
      <c r="AL19" s="2336">
        <v>65.134710404561162</v>
      </c>
      <c r="AM19" s="2336">
        <v>65.395358374183132</v>
      </c>
      <c r="AN19" s="2336">
        <v>65.600892419269954</v>
      </c>
      <c r="AO19" s="2336">
        <v>65.771481286802882</v>
      </c>
      <c r="AP19" s="2336">
        <v>65.886585735992156</v>
      </c>
      <c r="AQ19" s="2336">
        <v>65.939925779272315</v>
      </c>
      <c r="AR19" s="2336">
        <v>65.972042146869555</v>
      </c>
      <c r="AS19" s="2336">
        <v>66.002305839158822</v>
      </c>
      <c r="AT19" s="2336">
        <v>65.955052577938602</v>
      </c>
      <c r="AU19" s="2336">
        <v>66.002215544371651</v>
      </c>
      <c r="AV19" s="2336">
        <v>66.036905477942739</v>
      </c>
      <c r="AW19" s="2336">
        <v>66.292604163333806</v>
      </c>
      <c r="AX19" s="2336">
        <v>66.324090520892383</v>
      </c>
      <c r="AY19" s="2336">
        <v>66.459688632195622</v>
      </c>
      <c r="AZ19" s="2336">
        <v>66.574017710146961</v>
      </c>
      <c r="BA19" s="2336">
        <v>66.700997510914817</v>
      </c>
      <c r="BB19" s="2336">
        <v>66.811488348852194</v>
      </c>
      <c r="BC19" s="2336">
        <v>66.920178508442447</v>
      </c>
      <c r="BD19" s="2336">
        <v>67.025722091669351</v>
      </c>
      <c r="BE19" s="2336">
        <v>67.136433601012143</v>
      </c>
      <c r="BF19" s="2336">
        <v>67.287171052843831</v>
      </c>
      <c r="BG19" s="2336">
        <v>67.437373216082534</v>
      </c>
      <c r="BH19" s="2336">
        <v>67.618276397099521</v>
      </c>
      <c r="BI19" s="2336">
        <v>67.762270104160038</v>
      </c>
      <c r="BJ19" s="2336">
        <v>67.922102671713446</v>
      </c>
      <c r="BK19" s="2336">
        <v>68.082857971649801</v>
      </c>
      <c r="BL19" s="2336">
        <v>68.284002242851969</v>
      </c>
      <c r="BM19" s="2336">
        <v>68.480706512137488</v>
      </c>
      <c r="BN19" s="2336">
        <v>68.646417816745142</v>
      </c>
      <c r="BO19" s="2336">
        <v>68.796675663477657</v>
      </c>
      <c r="BP19" s="2336">
        <v>68.982657040882117</v>
      </c>
      <c r="BQ19" s="2336">
        <v>69.136019170783513</v>
      </c>
      <c r="BR19" s="2336">
        <v>69.292118858600872</v>
      </c>
      <c r="BS19" s="2336">
        <v>69.451799766562118</v>
      </c>
      <c r="BT19" s="2336">
        <v>69.609694906360033</v>
      </c>
      <c r="BU19" s="2336">
        <v>69.734976019562694</v>
      </c>
      <c r="BV19" s="2336">
        <v>69.880393941743279</v>
      </c>
      <c r="BW19" s="2336">
        <v>70.032362898509291</v>
      </c>
      <c r="BX19" s="2336">
        <v>70.172669410442836</v>
      </c>
      <c r="BY19" s="2336">
        <v>70.31638531267464</v>
      </c>
      <c r="BZ19" s="2336">
        <v>70.452771905953696</v>
      </c>
      <c r="CA19" s="2336">
        <v>70.566492166410598</v>
      </c>
      <c r="CB19" s="2336">
        <v>70.725294998850046</v>
      </c>
      <c r="CC19" s="2336">
        <v>70.86098738780062</v>
      </c>
      <c r="CD19" s="2336">
        <v>70.99106792321551</v>
      </c>
      <c r="CE19" s="2336">
        <v>71.117355200803971</v>
      </c>
      <c r="CF19" s="2336">
        <v>71.25588520911046</v>
      </c>
      <c r="CG19" s="2336">
        <v>71.377917316553763</v>
      </c>
      <c r="CH19" s="2336">
        <v>71.52731372449874</v>
      </c>
      <c r="CI19" s="2336">
        <v>71.6797863160849</v>
      </c>
      <c r="CJ19" s="2336">
        <v>71.796496787126756</v>
      </c>
      <c r="CK19" s="2336">
        <v>71.932204801927227</v>
      </c>
      <c r="CL19" s="2336">
        <v>72.070552764678794</v>
      </c>
      <c r="CM19" s="2336">
        <v>72.201274144969659</v>
      </c>
      <c r="CN19" s="2336">
        <v>72.344565165511597</v>
      </c>
      <c r="CO19" s="2336">
        <v>72.462973316148251</v>
      </c>
      <c r="CP19" s="2336">
        <v>72.606125907140836</v>
      </c>
      <c r="CQ19" s="2336">
        <v>72.719751457538621</v>
      </c>
      <c r="CR19" s="2336">
        <v>72.854957526943423</v>
      </c>
      <c r="CS19" s="2336">
        <v>72.984534463912127</v>
      </c>
      <c r="CT19" s="2336">
        <v>73.10477792043261</v>
      </c>
      <c r="CU19" s="2336">
        <v>73.22624068093981</v>
      </c>
      <c r="CV19" s="2336">
        <v>73.348480475423344</v>
      </c>
      <c r="CW19" s="2336">
        <v>73.475042811416301</v>
      </c>
      <c r="CX19" s="2336">
        <v>73.594693611208939</v>
      </c>
      <c r="CY19" s="2336">
        <v>73.71684245928347</v>
      </c>
      <c r="CZ19" s="2336">
        <v>73.835207691580223</v>
      </c>
      <c r="DA19" s="2336">
        <v>73.945739586911145</v>
      </c>
      <c r="DB19" s="2336">
        <v>74.06400669175234</v>
      </c>
      <c r="DC19" s="2336">
        <v>74.180713660624491</v>
      </c>
      <c r="DD19" s="2336">
        <v>74.297072552485673</v>
      </c>
      <c r="DE19" s="2336">
        <v>74.412363240189819</v>
      </c>
      <c r="DF19" s="2336">
        <v>74.526593588857565</v>
      </c>
      <c r="DG19" s="2336">
        <v>74.63977145850933</v>
      </c>
      <c r="DH19" s="2336">
        <v>74.751904776272767</v>
      </c>
      <c r="DI19" s="2336">
        <v>74.863001685791716</v>
      </c>
      <c r="DJ19" s="2336">
        <v>74.973070394523376</v>
      </c>
      <c r="DK19" s="2336">
        <v>75.082119170480681</v>
      </c>
      <c r="DL19" s="2336">
        <v>75.190156258151831</v>
      </c>
      <c r="DM19" s="2336">
        <v>75.297189710619762</v>
      </c>
      <c r="DN19" s="2336">
        <v>75.403227152754766</v>
      </c>
      <c r="DO19" s="2336">
        <v>75.508275528606319</v>
      </c>
      <c r="DP19" s="2336">
        <v>75.612341057488379</v>
      </c>
      <c r="DQ19" s="2336">
        <v>75.715417257878585</v>
      </c>
      <c r="DR19" s="2336">
        <v>75.817511805033931</v>
      </c>
      <c r="DS19" s="2336">
        <v>75.918632329710348</v>
      </c>
      <c r="DT19" s="2336">
        <v>76.018786418691363</v>
      </c>
      <c r="DU19" s="2336">
        <v>76.117981615295477</v>
      </c>
    </row>
    <row r="20" spans="1:125">
      <c r="A20" s="909">
        <v>18</v>
      </c>
      <c r="B20" s="90"/>
      <c r="C20" s="90"/>
      <c r="D20" s="90"/>
      <c r="E20" s="90"/>
      <c r="F20" s="90"/>
      <c r="G20" s="90"/>
      <c r="H20" s="90"/>
      <c r="I20" s="90"/>
      <c r="J20" s="90"/>
      <c r="K20" s="90"/>
      <c r="L20" s="90"/>
      <c r="M20" s="90"/>
      <c r="N20" s="90"/>
      <c r="O20" s="90"/>
      <c r="P20" s="90"/>
      <c r="Q20" s="90"/>
      <c r="R20" s="90"/>
      <c r="S20" s="90"/>
      <c r="T20" s="90"/>
      <c r="U20" s="90"/>
      <c r="V20" s="739"/>
      <c r="W20" s="739">
        <v>60.06</v>
      </c>
      <c r="X20" s="739">
        <v>60.32</v>
      </c>
      <c r="Y20" s="2336">
        <v>60.574614999137374</v>
      </c>
      <c r="Z20" s="2336">
        <v>60.891849590108002</v>
      </c>
      <c r="AA20" s="2336">
        <v>61.123600235158953</v>
      </c>
      <c r="AB20" s="2336">
        <v>61.415766955716023</v>
      </c>
      <c r="AC20" s="2336">
        <v>61.752380221324884</v>
      </c>
      <c r="AD20" s="2336">
        <v>62.032692677252179</v>
      </c>
      <c r="AE20" s="2336">
        <v>62.333165604522961</v>
      </c>
      <c r="AF20" s="2336">
        <v>62.648985274691697</v>
      </c>
      <c r="AG20" s="2336">
        <v>62.875393013951012</v>
      </c>
      <c r="AH20" s="2336">
        <v>63.079404768714909</v>
      </c>
      <c r="AI20" s="2336">
        <v>63.295276389699744</v>
      </c>
      <c r="AJ20" s="2336">
        <v>63.589507333167596</v>
      </c>
      <c r="AK20" s="2336">
        <v>63.84913398818172</v>
      </c>
      <c r="AL20" s="2336">
        <v>64.173995533007371</v>
      </c>
      <c r="AM20" s="2336">
        <v>64.435475914094397</v>
      </c>
      <c r="AN20" s="2336">
        <v>64.640631170629391</v>
      </c>
      <c r="AO20" s="2336">
        <v>64.804846191720301</v>
      </c>
      <c r="AP20" s="2336">
        <v>64.92254025658535</v>
      </c>
      <c r="AQ20" s="2336">
        <v>64.972045399338484</v>
      </c>
      <c r="AR20" s="2336">
        <v>65.00926133083739</v>
      </c>
      <c r="AS20" s="2336">
        <v>65.032524830300048</v>
      </c>
      <c r="AT20" s="2336">
        <v>64.990312562462634</v>
      </c>
      <c r="AU20" s="2336">
        <v>65.033108935642133</v>
      </c>
      <c r="AV20" s="2336">
        <v>65.069140899390703</v>
      </c>
      <c r="AW20" s="2336">
        <v>65.322877625930218</v>
      </c>
      <c r="AX20" s="2336">
        <v>65.355154105561468</v>
      </c>
      <c r="AY20" s="2336">
        <v>65.490902746319676</v>
      </c>
      <c r="AZ20" s="2336">
        <v>65.609857533379568</v>
      </c>
      <c r="BA20" s="2336">
        <v>65.734356901908953</v>
      </c>
      <c r="BB20" s="2336">
        <v>65.849030920047795</v>
      </c>
      <c r="BC20" s="2336">
        <v>65.955381884069595</v>
      </c>
      <c r="BD20" s="2336">
        <v>66.062116035649026</v>
      </c>
      <c r="BE20" s="2336">
        <v>66.174786672254655</v>
      </c>
      <c r="BF20" s="2336">
        <v>66.319442679808915</v>
      </c>
      <c r="BG20" s="2336">
        <v>66.471252296085225</v>
      </c>
      <c r="BH20" s="2336">
        <v>66.657990377337541</v>
      </c>
      <c r="BI20" s="2336">
        <v>66.800549600247237</v>
      </c>
      <c r="BJ20" s="2336">
        <v>66.958570374250144</v>
      </c>
      <c r="BK20" s="2336">
        <v>67.117085629460377</v>
      </c>
      <c r="BL20" s="2336">
        <v>67.317774210994344</v>
      </c>
      <c r="BM20" s="2336">
        <v>67.512016773930355</v>
      </c>
      <c r="BN20" s="2336">
        <v>67.680685686906216</v>
      </c>
      <c r="BO20" s="2336">
        <v>67.82750353234546</v>
      </c>
      <c r="BP20" s="2336">
        <v>68.013365205180222</v>
      </c>
      <c r="BQ20" s="2336">
        <v>68.160701355838967</v>
      </c>
      <c r="BR20" s="2336">
        <v>68.318155081916274</v>
      </c>
      <c r="BS20" s="2336">
        <v>68.47377268332923</v>
      </c>
      <c r="BT20" s="2336">
        <v>68.629998498074357</v>
      </c>
      <c r="BU20" s="2336">
        <v>68.756935814757455</v>
      </c>
      <c r="BV20" s="2336">
        <v>68.902120603328299</v>
      </c>
      <c r="BW20" s="2336">
        <v>69.051519078746125</v>
      </c>
      <c r="BX20" s="2336">
        <v>69.19466487179487</v>
      </c>
      <c r="BY20" s="2336">
        <v>69.337644305320822</v>
      </c>
      <c r="BZ20" s="2336">
        <v>69.473774220899713</v>
      </c>
      <c r="CA20" s="2336">
        <v>69.58712444288696</v>
      </c>
      <c r="CB20" s="2336">
        <v>69.744685951165224</v>
      </c>
      <c r="CC20" s="2336">
        <v>69.879370702325758</v>
      </c>
      <c r="CD20" s="2336">
        <v>70.007656008383947</v>
      </c>
      <c r="CE20" s="2336">
        <v>70.138250164237348</v>
      </c>
      <c r="CF20" s="2336">
        <v>70.27862469773855</v>
      </c>
      <c r="CG20" s="2336">
        <v>70.394825597192437</v>
      </c>
      <c r="CH20" s="2336">
        <v>70.543214858471714</v>
      </c>
      <c r="CI20" s="2336">
        <v>70.696389737670742</v>
      </c>
      <c r="CJ20" s="2336">
        <v>70.812246640228949</v>
      </c>
      <c r="CK20" s="2336">
        <v>70.945772888907243</v>
      </c>
      <c r="CL20" s="2336">
        <v>71.084440158911733</v>
      </c>
      <c r="CM20" s="2336">
        <v>71.214170388938285</v>
      </c>
      <c r="CN20" s="2336">
        <v>71.35723543773571</v>
      </c>
      <c r="CO20" s="2336">
        <v>71.475409526816478</v>
      </c>
      <c r="CP20" s="2336">
        <v>71.617843250427441</v>
      </c>
      <c r="CQ20" s="2336">
        <v>71.733787045142975</v>
      </c>
      <c r="CR20" s="2336">
        <v>71.865128476440219</v>
      </c>
      <c r="CS20" s="2336">
        <v>71.994242634716954</v>
      </c>
      <c r="CT20" s="2336">
        <v>72.116013507478897</v>
      </c>
      <c r="CU20" s="2336">
        <v>72.23469500866581</v>
      </c>
      <c r="CV20" s="2336">
        <v>72.360594509894383</v>
      </c>
      <c r="CW20" s="2336">
        <v>72.484732375616474</v>
      </c>
      <c r="CX20" s="2336">
        <v>72.60599386822166</v>
      </c>
      <c r="CY20" s="2336">
        <v>72.726894307719036</v>
      </c>
      <c r="CZ20" s="2336">
        <v>72.842289028247322</v>
      </c>
      <c r="DA20" s="2336">
        <v>72.955892742770047</v>
      </c>
      <c r="DB20" s="2336">
        <v>73.075655063217283</v>
      </c>
      <c r="DC20" s="2336">
        <v>73.19272524438945</v>
      </c>
      <c r="DD20" s="2336">
        <v>73.308729846445672</v>
      </c>
      <c r="DE20" s="2336">
        <v>73.423676504508578</v>
      </c>
      <c r="DF20" s="2336">
        <v>73.537572794217652</v>
      </c>
      <c r="DG20" s="2336">
        <v>73.650426293973638</v>
      </c>
      <c r="DH20" s="2336">
        <v>73.76224465695492</v>
      </c>
      <c r="DI20" s="2336">
        <v>73.873035760348543</v>
      </c>
      <c r="DJ20" s="2336">
        <v>73.982807552430856</v>
      </c>
      <c r="DK20" s="2336">
        <v>74.091568049121079</v>
      </c>
      <c r="DL20" s="2336">
        <v>74.199325249706405</v>
      </c>
      <c r="DM20" s="2336">
        <v>74.30608696876358</v>
      </c>
      <c r="DN20" s="2336">
        <v>74.411860599153542</v>
      </c>
      <c r="DO20" s="2336">
        <v>74.516652859222305</v>
      </c>
      <c r="DP20" s="2336">
        <v>74.620456397728617</v>
      </c>
      <c r="DQ20" s="2336">
        <v>74.723278683599531</v>
      </c>
      <c r="DR20" s="2336">
        <v>74.825127148086182</v>
      </c>
      <c r="DS20" s="2336">
        <v>74.926009185103084</v>
      </c>
      <c r="DT20" s="2336">
        <v>75.025932151555068</v>
      </c>
      <c r="DU20" s="2336">
        <v>75.124903367648699</v>
      </c>
    </row>
    <row r="21" spans="1:125">
      <c r="A21" s="909">
        <v>19</v>
      </c>
      <c r="B21" s="90"/>
      <c r="C21" s="90"/>
      <c r="D21" s="90"/>
      <c r="E21" s="90"/>
      <c r="F21" s="90"/>
      <c r="G21" s="90"/>
      <c r="H21" s="90"/>
      <c r="I21" s="90"/>
      <c r="J21" s="90"/>
      <c r="K21" s="90"/>
      <c r="L21" s="90"/>
      <c r="M21" s="90"/>
      <c r="N21" s="90"/>
      <c r="O21" s="90"/>
      <c r="P21" s="90"/>
      <c r="Q21" s="90"/>
      <c r="R21" s="90"/>
      <c r="S21" s="90"/>
      <c r="T21" s="90"/>
      <c r="U21" s="90"/>
      <c r="V21" s="739"/>
      <c r="W21" s="739">
        <v>59.16</v>
      </c>
      <c r="X21" s="739">
        <v>59.43</v>
      </c>
      <c r="Y21" s="2336">
        <v>59.682309889117725</v>
      </c>
      <c r="Z21" s="2336">
        <v>60.000113181933095</v>
      </c>
      <c r="AA21" s="2336">
        <v>60.243168622635565</v>
      </c>
      <c r="AB21" s="2336">
        <v>60.552331673711187</v>
      </c>
      <c r="AC21" s="2336">
        <v>60.950315344327372</v>
      </c>
      <c r="AD21" s="2336">
        <v>61.155386897177564</v>
      </c>
      <c r="AE21" s="2336">
        <v>61.45645895784908</v>
      </c>
      <c r="AF21" s="2336">
        <v>61.740412180334012</v>
      </c>
      <c r="AG21" s="2336">
        <v>61.935330931645403</v>
      </c>
      <c r="AH21" s="2336">
        <v>62.139538725891761</v>
      </c>
      <c r="AI21" s="2336">
        <v>62.355617782771205</v>
      </c>
      <c r="AJ21" s="2336">
        <v>62.636994405296058</v>
      </c>
      <c r="AK21" s="2336">
        <v>62.892347121519478</v>
      </c>
      <c r="AL21" s="2336">
        <v>63.218743829792679</v>
      </c>
      <c r="AM21" s="2336">
        <v>63.473855487345496</v>
      </c>
      <c r="AN21" s="2336">
        <v>63.677171727431947</v>
      </c>
      <c r="AO21" s="2336">
        <v>63.842012040825558</v>
      </c>
      <c r="AP21" s="2336">
        <v>63.957826165886807</v>
      </c>
      <c r="AQ21" s="2336">
        <v>64.008450874128457</v>
      </c>
      <c r="AR21" s="2336">
        <v>64.044846655341573</v>
      </c>
      <c r="AS21" s="2336">
        <v>64.070499005785962</v>
      </c>
      <c r="AT21" s="2336">
        <v>64.029210611137032</v>
      </c>
      <c r="AU21" s="2336">
        <v>64.067073553409756</v>
      </c>
      <c r="AV21" s="2336">
        <v>64.106650592404407</v>
      </c>
      <c r="AW21" s="2336">
        <v>64.359664916603933</v>
      </c>
      <c r="AX21" s="2336">
        <v>64.392715992311807</v>
      </c>
      <c r="AY21" s="2336">
        <v>64.529206307946041</v>
      </c>
      <c r="AZ21" s="2336">
        <v>64.648127381727136</v>
      </c>
      <c r="BA21" s="2336">
        <v>64.777131827875778</v>
      </c>
      <c r="BB21" s="2336">
        <v>64.89089181923417</v>
      </c>
      <c r="BC21" s="2336">
        <v>64.997976388351972</v>
      </c>
      <c r="BD21" s="2336">
        <v>65.103546682882453</v>
      </c>
      <c r="BE21" s="2336">
        <v>65.209746361684566</v>
      </c>
      <c r="BF21" s="2336">
        <v>65.360054882819881</v>
      </c>
      <c r="BG21" s="2336">
        <v>65.512174941815118</v>
      </c>
      <c r="BH21" s="2336">
        <v>65.699029147439958</v>
      </c>
      <c r="BI21" s="2336">
        <v>65.843246530636719</v>
      </c>
      <c r="BJ21" s="2336">
        <v>65.993783532020672</v>
      </c>
      <c r="BK21" s="2336">
        <v>66.153458816364122</v>
      </c>
      <c r="BL21" s="2336">
        <v>66.353434986114706</v>
      </c>
      <c r="BM21" s="2336">
        <v>66.548826402213379</v>
      </c>
      <c r="BN21" s="2336">
        <v>66.716341102000897</v>
      </c>
      <c r="BO21" s="2336">
        <v>66.858308003474988</v>
      </c>
      <c r="BP21" s="2336">
        <v>67.041527389451602</v>
      </c>
      <c r="BQ21" s="2336">
        <v>67.188591757772912</v>
      </c>
      <c r="BR21" s="2336">
        <v>67.345306352288731</v>
      </c>
      <c r="BS21" s="2336">
        <v>67.501096306857775</v>
      </c>
      <c r="BT21" s="2336">
        <v>67.653966005915436</v>
      </c>
      <c r="BU21" s="2336">
        <v>67.785205692024817</v>
      </c>
      <c r="BV21" s="2336">
        <v>67.931293753325221</v>
      </c>
      <c r="BW21" s="2336">
        <v>68.079117477280377</v>
      </c>
      <c r="BX21" s="2336">
        <v>68.219661801020308</v>
      </c>
      <c r="BY21" s="2336">
        <v>68.363981779052367</v>
      </c>
      <c r="BZ21" s="2336">
        <v>68.503917713344165</v>
      </c>
      <c r="CA21" s="2336">
        <v>68.614757088631649</v>
      </c>
      <c r="CB21" s="2336">
        <v>68.774653289539984</v>
      </c>
      <c r="CC21" s="2336">
        <v>68.907755134795522</v>
      </c>
      <c r="CD21" s="2336">
        <v>69.031920589649403</v>
      </c>
      <c r="CE21" s="2336">
        <v>69.161109808979646</v>
      </c>
      <c r="CF21" s="2336">
        <v>69.301764177879008</v>
      </c>
      <c r="CG21" s="2336">
        <v>69.419898018742487</v>
      </c>
      <c r="CH21" s="2336">
        <v>69.564245616677098</v>
      </c>
      <c r="CI21" s="2336">
        <v>69.714677303014923</v>
      </c>
      <c r="CJ21" s="2336">
        <v>69.830716586448816</v>
      </c>
      <c r="CK21" s="2336">
        <v>69.963582756882275</v>
      </c>
      <c r="CL21" s="2336">
        <v>70.101607839086583</v>
      </c>
      <c r="CM21" s="2336">
        <v>70.22895759829737</v>
      </c>
      <c r="CN21" s="2336">
        <v>70.36999633975276</v>
      </c>
      <c r="CO21" s="2336">
        <v>70.494230180617819</v>
      </c>
      <c r="CP21" s="2336">
        <v>70.63437063034398</v>
      </c>
      <c r="CQ21" s="2336">
        <v>70.750742010196305</v>
      </c>
      <c r="CR21" s="2336">
        <v>70.88114495057421</v>
      </c>
      <c r="CS21" s="2336">
        <v>71.007427295816257</v>
      </c>
      <c r="CT21" s="2336">
        <v>71.128737071459796</v>
      </c>
      <c r="CU21" s="2336">
        <v>71.250337455079531</v>
      </c>
      <c r="CV21" s="2336">
        <v>71.376263699373155</v>
      </c>
      <c r="CW21" s="2336">
        <v>71.498689184164888</v>
      </c>
      <c r="CX21" s="2336">
        <v>71.617898872243714</v>
      </c>
      <c r="CY21" s="2336">
        <v>71.736122716454503</v>
      </c>
      <c r="CZ21" s="2336">
        <v>71.85343676690826</v>
      </c>
      <c r="DA21" s="2336">
        <v>71.970948973953782</v>
      </c>
      <c r="DB21" s="2336">
        <v>72.088703461864611</v>
      </c>
      <c r="DC21" s="2336">
        <v>72.205395669499566</v>
      </c>
      <c r="DD21" s="2336">
        <v>72.321033036884401</v>
      </c>
      <c r="DE21" s="2336">
        <v>72.435622902363491</v>
      </c>
      <c r="DF21" s="2336">
        <v>72.54917255266254</v>
      </c>
      <c r="DG21" s="2336">
        <v>72.661689284948054</v>
      </c>
      <c r="DH21" s="2336">
        <v>72.773180478662781</v>
      </c>
      <c r="DI21" s="2336">
        <v>72.883653744589353</v>
      </c>
      <c r="DJ21" s="2336">
        <v>72.993116771721347</v>
      </c>
      <c r="DK21" s="2336">
        <v>73.101577323636306</v>
      </c>
      <c r="DL21" s="2336">
        <v>73.209043154033878</v>
      </c>
      <c r="DM21" s="2336">
        <v>73.315521838465671</v>
      </c>
      <c r="DN21" s="2336">
        <v>73.421020537137593</v>
      </c>
      <c r="DO21" s="2336">
        <v>73.525531757601101</v>
      </c>
      <c r="DP21" s="2336">
        <v>73.629062748228009</v>
      </c>
      <c r="DQ21" s="2336">
        <v>73.73162072676871</v>
      </c>
      <c r="DR21" s="2336">
        <v>73.833212880503297</v>
      </c>
      <c r="DS21" s="2336">
        <v>73.933846366383321</v>
      </c>
      <c r="DT21" s="2336">
        <v>74.033528311166663</v>
      </c>
      <c r="DU21" s="2336">
        <v>74.13226581154143</v>
      </c>
    </row>
    <row r="22" spans="1:125">
      <c r="A22" s="909">
        <v>20</v>
      </c>
      <c r="B22" s="90"/>
      <c r="C22" s="90"/>
      <c r="D22" s="90"/>
      <c r="E22" s="90"/>
      <c r="F22" s="90"/>
      <c r="G22" s="90"/>
      <c r="H22" s="90"/>
      <c r="I22" s="90"/>
      <c r="J22" s="90"/>
      <c r="K22" s="90"/>
      <c r="L22" s="90"/>
      <c r="M22" s="90"/>
      <c r="N22" s="90"/>
      <c r="O22" s="90"/>
      <c r="P22" s="90"/>
      <c r="Q22" s="90"/>
      <c r="R22" s="90"/>
      <c r="S22" s="90"/>
      <c r="T22" s="90"/>
      <c r="U22" s="90"/>
      <c r="V22" s="739"/>
      <c r="W22" s="739">
        <v>58.28</v>
      </c>
      <c r="X22" s="739">
        <v>58.54</v>
      </c>
      <c r="Y22" s="2336">
        <v>58.796499063245776</v>
      </c>
      <c r="Z22" s="2336">
        <v>59.126420147072778</v>
      </c>
      <c r="AA22" s="2336">
        <v>59.387327311480327</v>
      </c>
      <c r="AB22" s="2336">
        <v>59.761216203389388</v>
      </c>
      <c r="AC22" s="2336">
        <v>60.084206440561012</v>
      </c>
      <c r="AD22" s="2336">
        <v>60.289732205351385</v>
      </c>
      <c r="AE22" s="2336">
        <v>60.556061298208391</v>
      </c>
      <c r="AF22" s="2336">
        <v>60.805395899988</v>
      </c>
      <c r="AG22" s="2336">
        <v>61.000521484418883</v>
      </c>
      <c r="AH22" s="2336">
        <v>61.204945968618489</v>
      </c>
      <c r="AI22" s="2336">
        <v>61.404110306157982</v>
      </c>
      <c r="AJ22" s="2336">
        <v>61.6828562173786</v>
      </c>
      <c r="AK22" s="2336">
        <v>61.938063146762893</v>
      </c>
      <c r="AL22" s="2336">
        <v>62.257955089527883</v>
      </c>
      <c r="AM22" s="2336">
        <v>62.514531679406694</v>
      </c>
      <c r="AN22" s="2336">
        <v>62.720459840597798</v>
      </c>
      <c r="AO22" s="2336">
        <v>62.87886655296635</v>
      </c>
      <c r="AP22" s="2336">
        <v>62.996162213739701</v>
      </c>
      <c r="AQ22" s="2336">
        <v>63.04407801453398</v>
      </c>
      <c r="AR22" s="2336">
        <v>63.085611572792146</v>
      </c>
      <c r="AS22" s="2336">
        <v>63.110956917537926</v>
      </c>
      <c r="AT22" s="2336">
        <v>63.064590993806725</v>
      </c>
      <c r="AU22" s="2336">
        <v>63.10102807970258</v>
      </c>
      <c r="AV22" s="2336">
        <v>63.143894496568514</v>
      </c>
      <c r="AW22" s="2336">
        <v>63.394405742744716</v>
      </c>
      <c r="AX22" s="2336">
        <v>63.43431963936834</v>
      </c>
      <c r="AY22" s="2336">
        <v>63.564790444831324</v>
      </c>
      <c r="AZ22" s="2336">
        <v>63.685889589819098</v>
      </c>
      <c r="BA22" s="2336">
        <v>63.819161486850312</v>
      </c>
      <c r="BB22" s="2336">
        <v>63.936239140051157</v>
      </c>
      <c r="BC22" s="2336">
        <v>64.038491506983135</v>
      </c>
      <c r="BD22" s="2336">
        <v>64.137656683211134</v>
      </c>
      <c r="BE22" s="2336">
        <v>64.249309713407328</v>
      </c>
      <c r="BF22" s="2336">
        <v>64.399387318471597</v>
      </c>
      <c r="BG22" s="2336">
        <v>64.547617820394834</v>
      </c>
      <c r="BH22" s="2336">
        <v>64.742841546706188</v>
      </c>
      <c r="BI22" s="2336">
        <v>64.87920876660327</v>
      </c>
      <c r="BJ22" s="2336">
        <v>65.029297393560284</v>
      </c>
      <c r="BK22" s="2336">
        <v>65.186787579495089</v>
      </c>
      <c r="BL22" s="2336">
        <v>65.389028258500559</v>
      </c>
      <c r="BM22" s="2336">
        <v>65.58094579798906</v>
      </c>
      <c r="BN22" s="2336">
        <v>65.749171994523451</v>
      </c>
      <c r="BO22" s="2336">
        <v>65.89037204836292</v>
      </c>
      <c r="BP22" s="2336">
        <v>66.065456981713353</v>
      </c>
      <c r="BQ22" s="2336">
        <v>66.214091423194333</v>
      </c>
      <c r="BR22" s="2336">
        <v>66.374001870656912</v>
      </c>
      <c r="BS22" s="2336">
        <v>66.525539673841379</v>
      </c>
      <c r="BT22" s="2336">
        <v>66.679416825529955</v>
      </c>
      <c r="BU22" s="2336">
        <v>66.815134631597999</v>
      </c>
      <c r="BV22" s="2336">
        <v>66.963867326152553</v>
      </c>
      <c r="BW22" s="2336">
        <v>67.107109317191373</v>
      </c>
      <c r="BX22" s="2336">
        <v>67.247405643449426</v>
      </c>
      <c r="BY22" s="2336">
        <v>67.389468819382301</v>
      </c>
      <c r="BZ22" s="2336">
        <v>67.529525892518905</v>
      </c>
      <c r="CA22" s="2336">
        <v>67.640110636165033</v>
      </c>
      <c r="CB22" s="2336">
        <v>67.798719375024461</v>
      </c>
      <c r="CC22" s="2336">
        <v>67.931939760689147</v>
      </c>
      <c r="CD22" s="2336">
        <v>68.057140101044283</v>
      </c>
      <c r="CE22" s="2336">
        <v>68.187919156860119</v>
      </c>
      <c r="CF22" s="2336">
        <v>68.323168490505253</v>
      </c>
      <c r="CG22" s="2336">
        <v>68.439686352960834</v>
      </c>
      <c r="CH22" s="2336">
        <v>68.584088155419522</v>
      </c>
      <c r="CI22" s="2336">
        <v>68.730507498853598</v>
      </c>
      <c r="CJ22" s="2336">
        <v>68.847267088146324</v>
      </c>
      <c r="CK22" s="2336">
        <v>68.981877436885924</v>
      </c>
      <c r="CL22" s="2336">
        <v>69.115533156541488</v>
      </c>
      <c r="CM22" s="2336">
        <v>69.242556038358941</v>
      </c>
      <c r="CN22" s="2336">
        <v>69.385573631805215</v>
      </c>
      <c r="CO22" s="2336">
        <v>69.509934860743584</v>
      </c>
      <c r="CP22" s="2336">
        <v>69.64669425163639</v>
      </c>
      <c r="CQ22" s="2336">
        <v>69.763385274979683</v>
      </c>
      <c r="CR22" s="2336">
        <v>69.895578078750503</v>
      </c>
      <c r="CS22" s="2336">
        <v>70.020848981826774</v>
      </c>
      <c r="CT22" s="2336">
        <v>70.142957487438522</v>
      </c>
      <c r="CU22" s="2336">
        <v>70.263366298706416</v>
      </c>
      <c r="CV22" s="2336">
        <v>70.388452200653916</v>
      </c>
      <c r="CW22" s="2336">
        <v>70.510047282951334</v>
      </c>
      <c r="CX22" s="2336">
        <v>70.629227062454262</v>
      </c>
      <c r="CY22" s="2336">
        <v>70.747262448755848</v>
      </c>
      <c r="CZ22" s="2336">
        <v>70.866005809251163</v>
      </c>
      <c r="DA22" s="2336">
        <v>70.984435650240002</v>
      </c>
      <c r="DB22" s="2336">
        <v>71.101806631874325</v>
      </c>
      <c r="DC22" s="2336">
        <v>71.218126017721744</v>
      </c>
      <c r="DD22" s="2336">
        <v>71.333400958777943</v>
      </c>
      <c r="DE22" s="2336">
        <v>71.447638511823172</v>
      </c>
      <c r="DF22" s="2336">
        <v>71.560845689315173</v>
      </c>
      <c r="DG22" s="2336">
        <v>71.673029521282629</v>
      </c>
      <c r="DH22" s="2336">
        <v>71.784197126998237</v>
      </c>
      <c r="DI22" s="2336">
        <v>71.894355863893068</v>
      </c>
      <c r="DJ22" s="2336">
        <v>72.003513174234811</v>
      </c>
      <c r="DK22" s="2336">
        <v>72.11167658133688</v>
      </c>
      <c r="DL22" s="2336">
        <v>72.218853604925442</v>
      </c>
      <c r="DM22" s="2336">
        <v>72.325051592692802</v>
      </c>
      <c r="DN22" s="2336">
        <v>72.430263563925138</v>
      </c>
      <c r="DO22" s="2336">
        <v>72.534496545063533</v>
      </c>
      <c r="DP22" s="2336">
        <v>72.637757538835814</v>
      </c>
      <c r="DQ22" s="2336">
        <v>72.74005352422796</v>
      </c>
      <c r="DR22" s="2336">
        <v>72.841391456451902</v>
      </c>
      <c r="DS22" s="2336">
        <v>72.941778266908642</v>
      </c>
      <c r="DT22" s="2336">
        <v>73.041220863148695</v>
      </c>
      <c r="DU22" s="2336">
        <v>73.139726128826013</v>
      </c>
    </row>
    <row r="23" spans="1:125">
      <c r="A23" s="909">
        <v>21</v>
      </c>
      <c r="B23" s="90"/>
      <c r="C23" s="90"/>
      <c r="D23" s="90"/>
      <c r="E23" s="90"/>
      <c r="F23" s="90"/>
      <c r="G23" s="90"/>
      <c r="H23" s="90"/>
      <c r="I23" s="90"/>
      <c r="J23" s="90"/>
      <c r="K23" s="90"/>
      <c r="L23" s="90"/>
      <c r="M23" s="90"/>
      <c r="N23" s="90"/>
      <c r="O23" s="90"/>
      <c r="P23" s="90"/>
      <c r="Q23" s="90"/>
      <c r="R23" s="90"/>
      <c r="S23" s="90"/>
      <c r="T23" s="90"/>
      <c r="U23" s="90"/>
      <c r="V23" s="739"/>
      <c r="W23" s="739">
        <v>57.4</v>
      </c>
      <c r="X23" s="739">
        <v>57.66</v>
      </c>
      <c r="Y23" s="2336">
        <v>57.929026932086536</v>
      </c>
      <c r="Z23" s="2336">
        <v>58.277919262241205</v>
      </c>
      <c r="AA23" s="2336">
        <v>58.606706355671584</v>
      </c>
      <c r="AB23" s="2336">
        <v>58.901403515686411</v>
      </c>
      <c r="AC23" s="2336">
        <v>59.225157812999697</v>
      </c>
      <c r="AD23" s="2336">
        <v>59.394070640325758</v>
      </c>
      <c r="AE23" s="2336">
        <v>59.625205284285322</v>
      </c>
      <c r="AF23" s="2336">
        <v>59.874826950981635</v>
      </c>
      <c r="AG23" s="2336">
        <v>60.070177188185291</v>
      </c>
      <c r="AH23" s="2336">
        <v>60.258858592827842</v>
      </c>
      <c r="AI23" s="2336">
        <v>60.453867233389595</v>
      </c>
      <c r="AJ23" s="2336">
        <v>60.727930662859684</v>
      </c>
      <c r="AK23" s="2336">
        <v>60.985214191222724</v>
      </c>
      <c r="AL23" s="2336">
        <v>61.303980330945251</v>
      </c>
      <c r="AM23" s="2336">
        <v>61.559606968710483</v>
      </c>
      <c r="AN23" s="2336">
        <v>61.759165191353276</v>
      </c>
      <c r="AO23" s="2336">
        <v>61.917713352075886</v>
      </c>
      <c r="AP23" s="2336">
        <v>62.031970017200457</v>
      </c>
      <c r="AQ23" s="2336">
        <v>62.083042427414284</v>
      </c>
      <c r="AR23" s="2336">
        <v>62.119015569941133</v>
      </c>
      <c r="AS23" s="2336">
        <v>62.146482041660015</v>
      </c>
      <c r="AT23" s="2336">
        <v>62.099101823035568</v>
      </c>
      <c r="AU23" s="2336">
        <v>62.139841860152188</v>
      </c>
      <c r="AV23" s="2336">
        <v>62.180798988185856</v>
      </c>
      <c r="AW23" s="2336">
        <v>62.430205408367776</v>
      </c>
      <c r="AX23" s="2336">
        <v>62.469603150285785</v>
      </c>
      <c r="AY23" s="2336">
        <v>62.60168126163201</v>
      </c>
      <c r="AZ23" s="2336">
        <v>62.729111187143253</v>
      </c>
      <c r="BA23" s="2336">
        <v>62.857608300008444</v>
      </c>
      <c r="BB23" s="2336">
        <v>62.97390742596739</v>
      </c>
      <c r="BC23" s="2336">
        <v>63.07525639475886</v>
      </c>
      <c r="BD23" s="2336">
        <v>63.173900369449072</v>
      </c>
      <c r="BE23" s="2336">
        <v>63.287860172048894</v>
      </c>
      <c r="BF23" s="2336">
        <v>63.434082656628675</v>
      </c>
      <c r="BG23" s="2336">
        <v>63.587945249077542</v>
      </c>
      <c r="BH23" s="2336">
        <v>63.779820032592482</v>
      </c>
      <c r="BI23" s="2336">
        <v>63.910684061834182</v>
      </c>
      <c r="BJ23" s="2336">
        <v>64.060393528785298</v>
      </c>
      <c r="BK23" s="2336">
        <v>64.215645000587443</v>
      </c>
      <c r="BL23" s="2336">
        <v>64.419411073525879</v>
      </c>
      <c r="BM23" s="2336">
        <v>64.610605114250632</v>
      </c>
      <c r="BN23" s="2336">
        <v>64.779029589124633</v>
      </c>
      <c r="BO23" s="2336">
        <v>64.913694920589975</v>
      </c>
      <c r="BP23" s="2336">
        <v>65.091528742582327</v>
      </c>
      <c r="BQ23" s="2336">
        <v>65.239813931072277</v>
      </c>
      <c r="BR23" s="2336">
        <v>65.398653680704044</v>
      </c>
      <c r="BS23" s="2336">
        <v>65.553943930789032</v>
      </c>
      <c r="BT23" s="2336">
        <v>65.706446471874514</v>
      </c>
      <c r="BU23" s="2336">
        <v>65.841585402977429</v>
      </c>
      <c r="BV23" s="2336">
        <v>65.985835280040206</v>
      </c>
      <c r="BW23" s="2336">
        <v>66.134432780584675</v>
      </c>
      <c r="BX23" s="2336">
        <v>66.267882182363081</v>
      </c>
      <c r="BY23" s="2336">
        <v>66.417638446995753</v>
      </c>
      <c r="BZ23" s="2336">
        <v>66.553375167859528</v>
      </c>
      <c r="CA23" s="2336">
        <v>66.665344942748746</v>
      </c>
      <c r="CB23" s="2336">
        <v>66.819941559692111</v>
      </c>
      <c r="CC23" s="2336">
        <v>66.952659192714819</v>
      </c>
      <c r="CD23" s="2336">
        <v>67.082728843856273</v>
      </c>
      <c r="CE23" s="2336">
        <v>67.210410407154043</v>
      </c>
      <c r="CF23" s="2336">
        <v>67.343612194814526</v>
      </c>
      <c r="CG23" s="2336">
        <v>67.461965324266302</v>
      </c>
      <c r="CH23" s="2336">
        <v>67.603357397783014</v>
      </c>
      <c r="CI23" s="2336">
        <v>67.744131801469194</v>
      </c>
      <c r="CJ23" s="2336">
        <v>67.862676331551356</v>
      </c>
      <c r="CK23" s="2336">
        <v>67.996581068221246</v>
      </c>
      <c r="CL23" s="2336">
        <v>68.129975543099462</v>
      </c>
      <c r="CM23" s="2336">
        <v>68.257704831904888</v>
      </c>
      <c r="CN23" s="2336">
        <v>68.401257627214562</v>
      </c>
      <c r="CO23" s="2336">
        <v>68.523412658543648</v>
      </c>
      <c r="CP23" s="2336">
        <v>68.656956247591282</v>
      </c>
      <c r="CQ23" s="2336">
        <v>68.777079392523675</v>
      </c>
      <c r="CR23" s="2336">
        <v>68.908913535163094</v>
      </c>
      <c r="CS23" s="2336">
        <v>69.034802149362065</v>
      </c>
      <c r="CT23" s="2336">
        <v>69.15575889829779</v>
      </c>
      <c r="CU23" s="2336">
        <v>69.276055314631492</v>
      </c>
      <c r="CV23" s="2336">
        <v>69.400670230607147</v>
      </c>
      <c r="CW23" s="2336">
        <v>69.521176885361612</v>
      </c>
      <c r="CX23" s="2336">
        <v>69.640552159560187</v>
      </c>
      <c r="CY23" s="2336">
        <v>69.760231273891193</v>
      </c>
      <c r="CZ23" s="2336">
        <v>69.87934471135496</v>
      </c>
      <c r="DA23" s="2336">
        <v>69.997402377197062</v>
      </c>
      <c r="DB23" s="2336">
        <v>70.114411345380503</v>
      </c>
      <c r="DC23" s="2336">
        <v>70.230378610605968</v>
      </c>
      <c r="DD23" s="2336">
        <v>70.345311061767859</v>
      </c>
      <c r="DE23" s="2336">
        <v>70.459215500158024</v>
      </c>
      <c r="DF23" s="2336">
        <v>70.57209868921359</v>
      </c>
      <c r="DG23" s="2336">
        <v>70.683967416268516</v>
      </c>
      <c r="DH23" s="2336">
        <v>70.794828564087879</v>
      </c>
      <c r="DI23" s="2336">
        <v>70.90468925965537</v>
      </c>
      <c r="DJ23" s="2336">
        <v>71.013556720682018</v>
      </c>
      <c r="DK23" s="2336">
        <v>71.121438251673254</v>
      </c>
      <c r="DL23" s="2336">
        <v>71.22834115914624</v>
      </c>
      <c r="DM23" s="2336">
        <v>71.334259346651393</v>
      </c>
      <c r="DN23" s="2336">
        <v>71.439199628393084</v>
      </c>
      <c r="DO23" s="2336">
        <v>71.543168801321229</v>
      </c>
      <c r="DP23" s="2336">
        <v>71.646173644940959</v>
      </c>
      <c r="DQ23" s="2336">
        <v>71.74822092112214</v>
      </c>
      <c r="DR23" s="2336">
        <v>71.849317373908605</v>
      </c>
      <c r="DS23" s="2336">
        <v>71.949469729326836</v>
      </c>
      <c r="DT23" s="2336">
        <v>72.048684695195504</v>
      </c>
      <c r="DU23" s="2336">
        <v>72.146968960932014</v>
      </c>
    </row>
    <row r="24" spans="1:125">
      <c r="A24" s="909">
        <v>22</v>
      </c>
      <c r="B24" s="90"/>
      <c r="C24" s="90"/>
      <c r="D24" s="90"/>
      <c r="E24" s="90"/>
      <c r="F24" s="90"/>
      <c r="G24" s="90"/>
      <c r="H24" s="90"/>
      <c r="I24" s="90"/>
      <c r="J24" s="90"/>
      <c r="K24" s="90"/>
      <c r="L24" s="90"/>
      <c r="M24" s="90"/>
      <c r="N24" s="90"/>
      <c r="O24" s="90"/>
      <c r="P24" s="90"/>
      <c r="Q24" s="90"/>
      <c r="R24" s="90"/>
      <c r="S24" s="90"/>
      <c r="T24" s="90"/>
      <c r="U24" s="90"/>
      <c r="V24" s="739"/>
      <c r="W24" s="739">
        <v>56.52</v>
      </c>
      <c r="X24" s="739">
        <v>56.8</v>
      </c>
      <c r="Y24" s="2336">
        <v>57.085953992235424</v>
      </c>
      <c r="Z24" s="2336">
        <v>57.505540743248055</v>
      </c>
      <c r="AA24" s="2336">
        <v>57.748833509434604</v>
      </c>
      <c r="AB24" s="2336">
        <v>58.044251489320359</v>
      </c>
      <c r="AC24" s="2336">
        <v>58.331118659124002</v>
      </c>
      <c r="AD24" s="2336">
        <v>58.466599557781834</v>
      </c>
      <c r="AE24" s="2336">
        <v>58.698018847467708</v>
      </c>
      <c r="AF24" s="2336">
        <v>58.947947926931754</v>
      </c>
      <c r="AG24" s="2336">
        <v>59.125779574019234</v>
      </c>
      <c r="AH24" s="2336">
        <v>59.310182063066634</v>
      </c>
      <c r="AI24" s="2336">
        <v>59.501682074155902</v>
      </c>
      <c r="AJ24" s="2336">
        <v>59.772980662295396</v>
      </c>
      <c r="AK24" s="2336">
        <v>60.028233866481521</v>
      </c>
      <c r="AL24" s="2336">
        <v>60.342267705634725</v>
      </c>
      <c r="AM24" s="2336">
        <v>60.599241867423828</v>
      </c>
      <c r="AN24" s="2336">
        <v>60.796952341994498</v>
      </c>
      <c r="AO24" s="2336">
        <v>60.953209993932354</v>
      </c>
      <c r="AP24" s="2336">
        <v>61.076003227608282</v>
      </c>
      <c r="AQ24" s="2336">
        <v>61.117869705910302</v>
      </c>
      <c r="AR24" s="2336">
        <v>61.156673367208185</v>
      </c>
      <c r="AS24" s="2336">
        <v>61.181069783475358</v>
      </c>
      <c r="AT24" s="2336">
        <v>61.131448147833694</v>
      </c>
      <c r="AU24" s="2336">
        <v>61.175552948649575</v>
      </c>
      <c r="AV24" s="2336">
        <v>61.21756733847625</v>
      </c>
      <c r="AW24" s="2336">
        <v>61.464254142849427</v>
      </c>
      <c r="AX24" s="2336">
        <v>61.506478578171567</v>
      </c>
      <c r="AY24" s="2336">
        <v>61.638985479088909</v>
      </c>
      <c r="AZ24" s="2336">
        <v>61.76566672225578</v>
      </c>
      <c r="BA24" s="2336">
        <v>61.896003719613418</v>
      </c>
      <c r="BB24" s="2336">
        <v>62.009306728725683</v>
      </c>
      <c r="BC24" s="2336">
        <v>62.110010955854989</v>
      </c>
      <c r="BD24" s="2336">
        <v>62.206999703299751</v>
      </c>
      <c r="BE24" s="2336">
        <v>62.327284169159242</v>
      </c>
      <c r="BF24" s="2336">
        <v>62.46598295595922</v>
      </c>
      <c r="BG24" s="2336">
        <v>62.619473248074932</v>
      </c>
      <c r="BH24" s="2336">
        <v>62.810667325547634</v>
      </c>
      <c r="BI24" s="2336">
        <v>62.942861977828606</v>
      </c>
      <c r="BJ24" s="2336">
        <v>63.092346372342497</v>
      </c>
      <c r="BK24" s="2336">
        <v>63.243465432420514</v>
      </c>
      <c r="BL24" s="2336">
        <v>63.447761051240249</v>
      </c>
      <c r="BM24" s="2336">
        <v>63.636915110018926</v>
      </c>
      <c r="BN24" s="2336">
        <v>63.806629831706005</v>
      </c>
      <c r="BO24" s="2336">
        <v>63.937439276064495</v>
      </c>
      <c r="BP24" s="2336">
        <v>64.11652435142588</v>
      </c>
      <c r="BQ24" s="2336">
        <v>64.263008217801499</v>
      </c>
      <c r="BR24" s="2336">
        <v>64.420771234059373</v>
      </c>
      <c r="BS24" s="2336">
        <v>64.580164131893156</v>
      </c>
      <c r="BT24" s="2336">
        <v>64.730088579094883</v>
      </c>
      <c r="BU24" s="2336">
        <v>64.864038612749383</v>
      </c>
      <c r="BV24" s="2336">
        <v>65.004490547379973</v>
      </c>
      <c r="BW24" s="2336">
        <v>65.15773396123457</v>
      </c>
      <c r="BX24" s="2336">
        <v>65.292605831573042</v>
      </c>
      <c r="BY24" s="2336">
        <v>65.438970825713568</v>
      </c>
      <c r="BZ24" s="2336">
        <v>65.573052222650574</v>
      </c>
      <c r="CA24" s="2336">
        <v>65.687022574638007</v>
      </c>
      <c r="CB24" s="2336">
        <v>65.842335767164457</v>
      </c>
      <c r="CC24" s="2336">
        <v>65.97187575206253</v>
      </c>
      <c r="CD24" s="2336">
        <v>66.101133149109785</v>
      </c>
      <c r="CE24" s="2336">
        <v>66.226242173343991</v>
      </c>
      <c r="CF24" s="2336">
        <v>66.359447313365266</v>
      </c>
      <c r="CG24" s="2336">
        <v>66.478648902493433</v>
      </c>
      <c r="CH24" s="2336">
        <v>66.617062625863923</v>
      </c>
      <c r="CI24" s="2336">
        <v>66.75900108468015</v>
      </c>
      <c r="CJ24" s="2336">
        <v>66.875888240824409</v>
      </c>
      <c r="CK24" s="2336">
        <v>67.011936627225523</v>
      </c>
      <c r="CL24" s="2336">
        <v>67.1436746746826</v>
      </c>
      <c r="CM24" s="2336">
        <v>67.27287382853531</v>
      </c>
      <c r="CN24" s="2336">
        <v>67.414078942358898</v>
      </c>
      <c r="CO24" s="2336">
        <v>67.53676896045161</v>
      </c>
      <c r="CP24" s="2336">
        <v>67.668624660190787</v>
      </c>
      <c r="CQ24" s="2336">
        <v>67.789302652460165</v>
      </c>
      <c r="CR24" s="2336">
        <v>67.919691343546347</v>
      </c>
      <c r="CS24" s="2336">
        <v>68.046580123072602</v>
      </c>
      <c r="CT24" s="2336">
        <v>68.168098442194577</v>
      </c>
      <c r="CU24" s="2336">
        <v>68.287385942142549</v>
      </c>
      <c r="CV24" s="2336">
        <v>68.412673490136456</v>
      </c>
      <c r="CW24" s="2336">
        <v>68.532361475828338</v>
      </c>
      <c r="CX24" s="2336">
        <v>68.653241797935834</v>
      </c>
      <c r="CY24" s="2336">
        <v>68.773057520994357</v>
      </c>
      <c r="CZ24" s="2336">
        <v>68.891819992506584</v>
      </c>
      <c r="DA24" s="2336">
        <v>69.009536077714458</v>
      </c>
      <c r="DB24" s="2336">
        <v>69.126212607899248</v>
      </c>
      <c r="DC24" s="2336">
        <v>69.241856341027528</v>
      </c>
      <c r="DD24" s="2336">
        <v>69.356473935070696</v>
      </c>
      <c r="DE24" s="2336">
        <v>69.470071966081946</v>
      </c>
      <c r="DF24" s="2336">
        <v>69.582656977824243</v>
      </c>
      <c r="DG24" s="2336">
        <v>69.694235543404631</v>
      </c>
      <c r="DH24" s="2336">
        <v>69.80481433669344</v>
      </c>
      <c r="DI24" s="2336">
        <v>69.914400281008213</v>
      </c>
      <c r="DJ24" s="2336">
        <v>70.023000395477283</v>
      </c>
      <c r="DK24" s="2336">
        <v>70.130621790987618</v>
      </c>
      <c r="DL24" s="2336">
        <v>70.23725937533348</v>
      </c>
      <c r="DM24" s="2336">
        <v>70.342919766062906</v>
      </c>
      <c r="DN24" s="2336">
        <v>70.447609569340543</v>
      </c>
      <c r="DO24" s="2336">
        <v>70.551335379612738</v>
      </c>
      <c r="DP24" s="2336">
        <v>70.654103779278387</v>
      </c>
      <c r="DQ24" s="2336">
        <v>70.755921338362768</v>
      </c>
      <c r="DR24" s="2336">
        <v>70.856794614194143</v>
      </c>
      <c r="DS24" s="2336">
        <v>70.956730151082994</v>
      </c>
      <c r="DT24" s="2336">
        <v>71.055734480004787</v>
      </c>
      <c r="DU24" s="2336">
        <v>71.153814118282881</v>
      </c>
    </row>
    <row r="25" spans="1:125">
      <c r="A25" s="909">
        <v>23</v>
      </c>
      <c r="B25" s="90"/>
      <c r="C25" s="90"/>
      <c r="D25" s="90"/>
      <c r="E25" s="90"/>
      <c r="F25" s="90"/>
      <c r="G25" s="90"/>
      <c r="H25" s="90"/>
      <c r="I25" s="90"/>
      <c r="J25" s="90"/>
      <c r="K25" s="90"/>
      <c r="L25" s="90"/>
      <c r="M25" s="90"/>
      <c r="N25" s="90"/>
      <c r="O25" s="90"/>
      <c r="P25" s="90"/>
      <c r="Q25" s="90"/>
      <c r="R25" s="90"/>
      <c r="S25" s="90"/>
      <c r="T25" s="90"/>
      <c r="U25" s="90"/>
      <c r="V25" s="739"/>
      <c r="W25" s="739">
        <v>55.66</v>
      </c>
      <c r="X25" s="739">
        <v>55.95</v>
      </c>
      <c r="Y25" s="2336">
        <v>56.310677078070164</v>
      </c>
      <c r="Z25" s="2336">
        <v>56.647838862014474</v>
      </c>
      <c r="AA25" s="2336">
        <v>56.891738939393683</v>
      </c>
      <c r="AB25" s="2336">
        <v>57.159455196005688</v>
      </c>
      <c r="AC25" s="2336">
        <v>57.404657574243295</v>
      </c>
      <c r="AD25" s="2336">
        <v>57.540310752437421</v>
      </c>
      <c r="AE25" s="2336">
        <v>57.772024318352017</v>
      </c>
      <c r="AF25" s="2336">
        <v>58.002716417656508</v>
      </c>
      <c r="AG25" s="2336">
        <v>58.178900266594603</v>
      </c>
      <c r="AH25" s="2336">
        <v>58.355561890666543</v>
      </c>
      <c r="AI25" s="2336">
        <v>58.546332126427828</v>
      </c>
      <c r="AJ25" s="2336">
        <v>58.815929826557273</v>
      </c>
      <c r="AK25" s="2336">
        <v>59.075348226074482</v>
      </c>
      <c r="AL25" s="2336">
        <v>59.381680192117628</v>
      </c>
      <c r="AM25" s="2336">
        <v>59.640022996806543</v>
      </c>
      <c r="AN25" s="2336">
        <v>59.836562288796877</v>
      </c>
      <c r="AO25" s="2336">
        <v>59.988115606417566</v>
      </c>
      <c r="AP25" s="2336">
        <v>60.115670559268111</v>
      </c>
      <c r="AQ25" s="2336">
        <v>60.151121362438602</v>
      </c>
      <c r="AR25" s="2336">
        <v>60.19440498780498</v>
      </c>
      <c r="AS25" s="2336">
        <v>60.216172617643103</v>
      </c>
      <c r="AT25" s="2336">
        <v>60.170100324632898</v>
      </c>
      <c r="AU25" s="2336">
        <v>60.208936999177922</v>
      </c>
      <c r="AV25" s="2336">
        <v>60.257830671665026</v>
      </c>
      <c r="AW25" s="2336">
        <v>60.498194491706677</v>
      </c>
      <c r="AX25" s="2336">
        <v>60.541197278066583</v>
      </c>
      <c r="AY25" s="2336">
        <v>60.677291494383752</v>
      </c>
      <c r="AZ25" s="2336">
        <v>60.799562300637078</v>
      </c>
      <c r="BA25" s="2336">
        <v>60.927474002788351</v>
      </c>
      <c r="BB25" s="2336">
        <v>61.045464975372496</v>
      </c>
      <c r="BC25" s="2336">
        <v>61.143149650333122</v>
      </c>
      <c r="BD25" s="2336">
        <v>61.240817453085995</v>
      </c>
      <c r="BE25" s="2336">
        <v>61.360549739582382</v>
      </c>
      <c r="BF25" s="2336">
        <v>61.501856648622223</v>
      </c>
      <c r="BG25" s="2336">
        <v>61.648860488841528</v>
      </c>
      <c r="BH25" s="2336">
        <v>61.842725447496882</v>
      </c>
      <c r="BI25" s="2336">
        <v>61.970580129582771</v>
      </c>
      <c r="BJ25" s="2336">
        <v>62.120314344371515</v>
      </c>
      <c r="BK25" s="2336">
        <v>62.272540259866403</v>
      </c>
      <c r="BL25" s="2336">
        <v>62.474510297357853</v>
      </c>
      <c r="BM25" s="2336">
        <v>62.661439774895747</v>
      </c>
      <c r="BN25" s="2336">
        <v>62.828874500173661</v>
      </c>
      <c r="BO25" s="2336">
        <v>62.96105100012602</v>
      </c>
      <c r="BP25" s="2336">
        <v>63.140089416767196</v>
      </c>
      <c r="BQ25" s="2336">
        <v>63.287517457854619</v>
      </c>
      <c r="BR25" s="2336">
        <v>63.44517975483717</v>
      </c>
      <c r="BS25" s="2336">
        <v>63.601530859254687</v>
      </c>
      <c r="BT25" s="2336">
        <v>63.75433345945001</v>
      </c>
      <c r="BU25" s="2336">
        <v>63.888714504336974</v>
      </c>
      <c r="BV25" s="2336">
        <v>64.024087587434636</v>
      </c>
      <c r="BW25" s="2336">
        <v>64.179300611338576</v>
      </c>
      <c r="BX25" s="2336">
        <v>64.31422203878094</v>
      </c>
      <c r="BY25" s="2336">
        <v>64.458961250379218</v>
      </c>
      <c r="BZ25" s="2336">
        <v>64.590872878288934</v>
      </c>
      <c r="CA25" s="2336">
        <v>64.707043753670433</v>
      </c>
      <c r="CB25" s="2336">
        <v>64.858690999095046</v>
      </c>
      <c r="CC25" s="2336">
        <v>64.989755441660975</v>
      </c>
      <c r="CD25" s="2336">
        <v>65.11750947195749</v>
      </c>
      <c r="CE25" s="2336">
        <v>65.245550159723606</v>
      </c>
      <c r="CF25" s="2336">
        <v>65.374593587245528</v>
      </c>
      <c r="CG25" s="2336">
        <v>65.495448411596271</v>
      </c>
      <c r="CH25" s="2336">
        <v>65.633809985417514</v>
      </c>
      <c r="CI25" s="2336">
        <v>65.773943388024563</v>
      </c>
      <c r="CJ25" s="2336">
        <v>65.889512749498778</v>
      </c>
      <c r="CK25" s="2336">
        <v>66.028190282196164</v>
      </c>
      <c r="CL25" s="2336">
        <v>66.1575600624396</v>
      </c>
      <c r="CM25" s="2336">
        <v>66.289871360765503</v>
      </c>
      <c r="CN25" s="2336">
        <v>66.425535633077587</v>
      </c>
      <c r="CO25" s="2336">
        <v>66.548482236625929</v>
      </c>
      <c r="CP25" s="2336">
        <v>66.678182771428098</v>
      </c>
      <c r="CQ25" s="2336">
        <v>66.80301358758247</v>
      </c>
      <c r="CR25" s="2336">
        <v>66.930090170453013</v>
      </c>
      <c r="CS25" s="2336">
        <v>67.057169250217115</v>
      </c>
      <c r="CT25" s="2336">
        <v>67.178656347012662</v>
      </c>
      <c r="CU25" s="2336">
        <v>67.300359330245001</v>
      </c>
      <c r="CV25" s="2336">
        <v>67.423468334500882</v>
      </c>
      <c r="CW25" s="2336">
        <v>67.544885696889381</v>
      </c>
      <c r="CX25" s="2336">
        <v>67.665425952638543</v>
      </c>
      <c r="CY25" s="2336">
        <v>67.784914881885754</v>
      </c>
      <c r="CZ25" s="2336">
        <v>67.903359113027165</v>
      </c>
      <c r="DA25" s="2336">
        <v>68.02076529535033</v>
      </c>
      <c r="DB25" s="2336">
        <v>68.137140049332501</v>
      </c>
      <c r="DC25" s="2336">
        <v>68.252489927169592</v>
      </c>
      <c r="DD25" s="2336">
        <v>68.366821385983357</v>
      </c>
      <c r="DE25" s="2336">
        <v>68.480140805795273</v>
      </c>
      <c r="DF25" s="2336">
        <v>68.592454539057101</v>
      </c>
      <c r="DG25" s="2336">
        <v>68.703768972189934</v>
      </c>
      <c r="DH25" s="2336">
        <v>68.814090596910091</v>
      </c>
      <c r="DI25" s="2336">
        <v>68.923426158829884</v>
      </c>
      <c r="DJ25" s="2336">
        <v>69.03178250369875</v>
      </c>
      <c r="DK25" s="2336">
        <v>69.139155490223516</v>
      </c>
      <c r="DL25" s="2336">
        <v>69.245551556170312</v>
      </c>
      <c r="DM25" s="2336">
        <v>69.350977133190284</v>
      </c>
      <c r="DN25" s="2336">
        <v>69.4554386463642</v>
      </c>
      <c r="DO25" s="2336">
        <v>69.558942513750765</v>
      </c>
      <c r="DP25" s="2336">
        <v>69.661495145943348</v>
      </c>
      <c r="DQ25" s="2336">
        <v>69.763102945631928</v>
      </c>
      <c r="DR25" s="2336">
        <v>69.863772307170507</v>
      </c>
      <c r="DS25" s="2336">
        <v>69.963509616149366</v>
      </c>
      <c r="DT25" s="2336">
        <v>70.062321248973305</v>
      </c>
      <c r="DU25" s="2336">
        <v>70.160213572442274</v>
      </c>
    </row>
    <row r="26" spans="1:125">
      <c r="A26" s="909">
        <v>24</v>
      </c>
      <c r="B26" s="90"/>
      <c r="C26" s="90"/>
      <c r="D26" s="90"/>
      <c r="E26" s="90"/>
      <c r="F26" s="90"/>
      <c r="G26" s="90"/>
      <c r="H26" s="90"/>
      <c r="I26" s="90"/>
      <c r="J26" s="90"/>
      <c r="K26" s="90"/>
      <c r="L26" s="90"/>
      <c r="M26" s="90"/>
      <c r="N26" s="90"/>
      <c r="O26" s="90"/>
      <c r="P26" s="90"/>
      <c r="Q26" s="90"/>
      <c r="R26" s="90"/>
      <c r="S26" s="90"/>
      <c r="T26" s="90"/>
      <c r="U26" s="90"/>
      <c r="V26" s="739"/>
      <c r="W26" s="739">
        <v>54.81</v>
      </c>
      <c r="X26" s="739">
        <v>55.18</v>
      </c>
      <c r="Y26" s="2336">
        <v>55.455041084067048</v>
      </c>
      <c r="Z26" s="2336">
        <v>55.79307499550287</v>
      </c>
      <c r="AA26" s="2336">
        <v>56.008724370730619</v>
      </c>
      <c r="AB26" s="2336">
        <v>56.233208366882629</v>
      </c>
      <c r="AC26" s="2336">
        <v>56.478729923143383</v>
      </c>
      <c r="AD26" s="2336">
        <v>56.614559680021443</v>
      </c>
      <c r="AE26" s="2336">
        <v>56.832447827706382</v>
      </c>
      <c r="AF26" s="2336">
        <v>57.055840764935397</v>
      </c>
      <c r="AG26" s="2336">
        <v>57.230390905774527</v>
      </c>
      <c r="AH26" s="2336">
        <v>57.406452235223263</v>
      </c>
      <c r="AI26" s="2336">
        <v>57.59149732435413</v>
      </c>
      <c r="AJ26" s="2336">
        <v>57.859239411241582</v>
      </c>
      <c r="AK26" s="2336">
        <v>58.117797576890112</v>
      </c>
      <c r="AL26" s="2336">
        <v>58.421897442437398</v>
      </c>
      <c r="AM26" s="2336">
        <v>58.681980625345886</v>
      </c>
      <c r="AN26" s="2336">
        <v>58.878817255937456</v>
      </c>
      <c r="AO26" s="2336">
        <v>59.024454176009904</v>
      </c>
      <c r="AP26" s="2336">
        <v>59.151351257461755</v>
      </c>
      <c r="AQ26" s="2336">
        <v>59.187044553552461</v>
      </c>
      <c r="AR26" s="2336">
        <v>59.229733533998612</v>
      </c>
      <c r="AS26" s="2336">
        <v>59.250234484268098</v>
      </c>
      <c r="AT26" s="2336">
        <v>59.205488656045048</v>
      </c>
      <c r="AU26" s="2336">
        <v>59.243106270635082</v>
      </c>
      <c r="AV26" s="2336">
        <v>59.293211797972383</v>
      </c>
      <c r="AW26" s="2336">
        <v>59.535400366996086</v>
      </c>
      <c r="AX26" s="2336">
        <v>59.577305473528654</v>
      </c>
      <c r="AY26" s="2336">
        <v>59.716794162552496</v>
      </c>
      <c r="AZ26" s="2336">
        <v>59.83371425737645</v>
      </c>
      <c r="BA26" s="2336">
        <v>59.960368782405226</v>
      </c>
      <c r="BB26" s="2336">
        <v>60.081151523857677</v>
      </c>
      <c r="BC26" s="2336">
        <v>60.174353711518606</v>
      </c>
      <c r="BD26" s="2336">
        <v>60.274833704428737</v>
      </c>
      <c r="BE26" s="2336">
        <v>60.393876838797176</v>
      </c>
      <c r="BF26" s="2336">
        <v>60.532648454415131</v>
      </c>
      <c r="BG26" s="2336">
        <v>60.679482187976348</v>
      </c>
      <c r="BH26" s="2336">
        <v>60.871772877345649</v>
      </c>
      <c r="BI26" s="2336">
        <v>60.999390240825811</v>
      </c>
      <c r="BJ26" s="2336">
        <v>61.14640191845902</v>
      </c>
      <c r="BK26" s="2336">
        <v>61.299342012535668</v>
      </c>
      <c r="BL26" s="2336">
        <v>61.498001752710337</v>
      </c>
      <c r="BM26" s="2336">
        <v>61.683441963541007</v>
      </c>
      <c r="BN26" s="2336">
        <v>61.852612764654758</v>
      </c>
      <c r="BO26" s="2336">
        <v>61.985925763489405</v>
      </c>
      <c r="BP26" s="2336">
        <v>62.165247630688114</v>
      </c>
      <c r="BQ26" s="2336">
        <v>62.31267589701244</v>
      </c>
      <c r="BR26" s="2336">
        <v>62.467791110591371</v>
      </c>
      <c r="BS26" s="2336">
        <v>62.622870248046894</v>
      </c>
      <c r="BT26" s="2336">
        <v>62.775441523149617</v>
      </c>
      <c r="BU26" s="2336">
        <v>62.907160291619185</v>
      </c>
      <c r="BV26" s="2336">
        <v>63.045461666754207</v>
      </c>
      <c r="BW26" s="2336">
        <v>63.197274778603912</v>
      </c>
      <c r="BX26" s="2336">
        <v>63.331957095249876</v>
      </c>
      <c r="BY26" s="2336">
        <v>63.474580008010548</v>
      </c>
      <c r="BZ26" s="2336">
        <v>63.61051259403952</v>
      </c>
      <c r="CA26" s="2336">
        <v>63.727329454162465</v>
      </c>
      <c r="CB26" s="2336">
        <v>63.874792616794913</v>
      </c>
      <c r="CC26" s="2336">
        <v>64.007368403191123</v>
      </c>
      <c r="CD26" s="2336">
        <v>64.134875259927455</v>
      </c>
      <c r="CE26" s="2336">
        <v>64.261068943645853</v>
      </c>
      <c r="CF26" s="2336">
        <v>64.391591806594548</v>
      </c>
      <c r="CG26" s="2336">
        <v>64.51157992204412</v>
      </c>
      <c r="CH26" s="2336">
        <v>64.649626506698652</v>
      </c>
      <c r="CI26" s="2336">
        <v>64.786932223815754</v>
      </c>
      <c r="CJ26" s="2336">
        <v>64.905685795725375</v>
      </c>
      <c r="CK26" s="2336">
        <v>65.043908139255862</v>
      </c>
      <c r="CL26" s="2336">
        <v>65.170912850174034</v>
      </c>
      <c r="CM26" s="2336">
        <v>65.303194446131286</v>
      </c>
      <c r="CN26" s="2336">
        <v>65.441016507114313</v>
      </c>
      <c r="CO26" s="2336">
        <v>65.563818980260478</v>
      </c>
      <c r="CP26" s="2336">
        <v>65.69233522926254</v>
      </c>
      <c r="CQ26" s="2336">
        <v>65.814295827298253</v>
      </c>
      <c r="CR26" s="2336">
        <v>65.94270084868387</v>
      </c>
      <c r="CS26" s="2336">
        <v>66.066321797218308</v>
      </c>
      <c r="CT26" s="2336">
        <v>66.190071665851264</v>
      </c>
      <c r="CU26" s="2336">
        <v>66.312711087032014</v>
      </c>
      <c r="CV26" s="2336">
        <v>66.435219648282398</v>
      </c>
      <c r="CW26" s="2336">
        <v>66.556504446321014</v>
      </c>
      <c r="CX26" s="2336">
        <v>66.676739373527795</v>
      </c>
      <c r="CY26" s="2336">
        <v>66.795930791840618</v>
      </c>
      <c r="CZ26" s="2336">
        <v>66.914085137089643</v>
      </c>
      <c r="DA26" s="2336">
        <v>67.031208870462407</v>
      </c>
      <c r="DB26" s="2336">
        <v>67.147308428701379</v>
      </c>
      <c r="DC26" s="2336">
        <v>67.262390184536429</v>
      </c>
      <c r="DD26" s="2336">
        <v>67.376460419799884</v>
      </c>
      <c r="DE26" s="2336">
        <v>67.489525343316387</v>
      </c>
      <c r="DF26" s="2336">
        <v>67.601591140354472</v>
      </c>
      <c r="DG26" s="2336">
        <v>67.71266403408876</v>
      </c>
      <c r="DH26" s="2336">
        <v>67.822750356849937</v>
      </c>
      <c r="DI26" s="2336">
        <v>67.931856698659416</v>
      </c>
      <c r="DJ26" s="2336">
        <v>68.039979732803346</v>
      </c>
      <c r="DK26" s="2336">
        <v>68.147125732080966</v>
      </c>
      <c r="DL26" s="2336">
        <v>68.253300967925753</v>
      </c>
      <c r="DM26" s="2336">
        <v>68.358511709839789</v>
      </c>
      <c r="DN26" s="2336">
        <v>68.46276422484047</v>
      </c>
      <c r="DO26" s="2336">
        <v>68.566064776912896</v>
      </c>
      <c r="DP26" s="2336">
        <v>68.668419626472783</v>
      </c>
      <c r="DQ26" s="2336">
        <v>68.769835029836344</v>
      </c>
      <c r="DR26" s="2336">
        <v>68.87031723869768</v>
      </c>
      <c r="DS26" s="2336">
        <v>68.969872499612876</v>
      </c>
      <c r="DT26" s="2336">
        <v>69.068507053491899</v>
      </c>
      <c r="DU26" s="2336">
        <v>69.1662271350948</v>
      </c>
    </row>
    <row r="27" spans="1:125">
      <c r="A27" s="909">
        <v>25</v>
      </c>
      <c r="B27" s="90"/>
      <c r="C27" s="90"/>
      <c r="D27" s="90"/>
      <c r="E27" s="90"/>
      <c r="F27" s="90"/>
      <c r="G27" s="90"/>
      <c r="H27" s="90"/>
      <c r="I27" s="90"/>
      <c r="J27" s="90"/>
      <c r="K27" s="90"/>
      <c r="L27" s="90"/>
      <c r="M27" s="90"/>
      <c r="N27" s="90"/>
      <c r="O27" s="90"/>
      <c r="P27" s="90"/>
      <c r="Q27" s="90"/>
      <c r="R27" s="90"/>
      <c r="S27" s="90"/>
      <c r="T27" s="90"/>
      <c r="U27" s="90"/>
      <c r="V27" s="739"/>
      <c r="W27" s="739">
        <v>54.04</v>
      </c>
      <c r="X27" s="739">
        <v>54.32</v>
      </c>
      <c r="Y27" s="2336">
        <v>54.599953962989716</v>
      </c>
      <c r="Z27" s="2336">
        <v>54.910008923799147</v>
      </c>
      <c r="AA27" s="2336">
        <v>55.08209273313836</v>
      </c>
      <c r="AB27" s="2336">
        <v>55.3068734398232</v>
      </c>
      <c r="AC27" s="2336">
        <v>55.55271951290041</v>
      </c>
      <c r="AD27" s="2336">
        <v>55.677351178638141</v>
      </c>
      <c r="AE27" s="2336">
        <v>55.886630112031938</v>
      </c>
      <c r="AF27" s="2336">
        <v>56.105460575760006</v>
      </c>
      <c r="AG27" s="2336">
        <v>56.281383572053834</v>
      </c>
      <c r="AH27" s="2336">
        <v>56.454209165783084</v>
      </c>
      <c r="AI27" s="2336">
        <v>56.635737960094673</v>
      </c>
      <c r="AJ27" s="2336">
        <v>56.902343357348478</v>
      </c>
      <c r="AK27" s="2336">
        <v>57.163985458820278</v>
      </c>
      <c r="AL27" s="2336">
        <v>57.461931881664995</v>
      </c>
      <c r="AM27" s="2336">
        <v>57.720729991542584</v>
      </c>
      <c r="AN27" s="2336">
        <v>57.916452647481577</v>
      </c>
      <c r="AO27" s="2336">
        <v>58.061824785360137</v>
      </c>
      <c r="AP27" s="2336">
        <v>58.187401785209623</v>
      </c>
      <c r="AQ27" s="2336">
        <v>58.225495808238385</v>
      </c>
      <c r="AR27" s="2336">
        <v>58.269531628174263</v>
      </c>
      <c r="AS27" s="2336">
        <v>58.289898179820305</v>
      </c>
      <c r="AT27" s="2336">
        <v>58.239212021173365</v>
      </c>
      <c r="AU27" s="2336">
        <v>58.276642286647721</v>
      </c>
      <c r="AV27" s="2336">
        <v>58.331156557593935</v>
      </c>
      <c r="AW27" s="2336">
        <v>58.569985836054386</v>
      </c>
      <c r="AX27" s="2336">
        <v>58.613697185397882</v>
      </c>
      <c r="AY27" s="2336">
        <v>58.74825843765165</v>
      </c>
      <c r="AZ27" s="2336">
        <v>58.866579970029591</v>
      </c>
      <c r="BA27" s="2336">
        <v>58.992307469379348</v>
      </c>
      <c r="BB27" s="2336">
        <v>59.114069257119652</v>
      </c>
      <c r="BC27" s="2336">
        <v>59.211094676590626</v>
      </c>
      <c r="BD27" s="2336">
        <v>59.311052375370529</v>
      </c>
      <c r="BE27" s="2336">
        <v>59.424918012754802</v>
      </c>
      <c r="BF27" s="2336">
        <v>59.56078669799404</v>
      </c>
      <c r="BG27" s="2336">
        <v>59.710097603675671</v>
      </c>
      <c r="BH27" s="2336">
        <v>59.900160635438901</v>
      </c>
      <c r="BI27" s="2336">
        <v>60.027779365040921</v>
      </c>
      <c r="BJ27" s="2336">
        <v>60.170150533455896</v>
      </c>
      <c r="BK27" s="2336">
        <v>60.325289994654256</v>
      </c>
      <c r="BL27" s="2336">
        <v>60.524697599971255</v>
      </c>
      <c r="BM27" s="2336">
        <v>60.710309947065561</v>
      </c>
      <c r="BN27" s="2336">
        <v>60.876094298475792</v>
      </c>
      <c r="BO27" s="2336">
        <v>61.010922479838364</v>
      </c>
      <c r="BP27" s="2336">
        <v>61.188695021708192</v>
      </c>
      <c r="BQ27" s="2336">
        <v>61.336481687482944</v>
      </c>
      <c r="BR27" s="2336">
        <v>61.491095114939078</v>
      </c>
      <c r="BS27" s="2336">
        <v>61.645780604691865</v>
      </c>
      <c r="BT27" s="2336">
        <v>61.795938041616033</v>
      </c>
      <c r="BU27" s="2336">
        <v>61.930377034729212</v>
      </c>
      <c r="BV27" s="2336">
        <v>62.064777847443459</v>
      </c>
      <c r="BW27" s="2336">
        <v>62.21665164753643</v>
      </c>
      <c r="BX27" s="2336">
        <v>62.349841373155776</v>
      </c>
      <c r="BY27" s="2336">
        <v>62.493551744697719</v>
      </c>
      <c r="BZ27" s="2336">
        <v>62.628201422937295</v>
      </c>
      <c r="CA27" s="2336">
        <v>62.746589029741976</v>
      </c>
      <c r="CB27" s="2336">
        <v>62.890570144541798</v>
      </c>
      <c r="CC27" s="2336">
        <v>63.024381811283511</v>
      </c>
      <c r="CD27" s="2336">
        <v>63.150806704948756</v>
      </c>
      <c r="CE27" s="2336">
        <v>63.275451620004091</v>
      </c>
      <c r="CF27" s="2336">
        <v>63.404223557971271</v>
      </c>
      <c r="CG27" s="2336">
        <v>63.524587114583682</v>
      </c>
      <c r="CH27" s="2336">
        <v>63.665023170686439</v>
      </c>
      <c r="CI27" s="2336">
        <v>63.801704107351604</v>
      </c>
      <c r="CJ27" s="2336">
        <v>63.918761949564427</v>
      </c>
      <c r="CK27" s="2336">
        <v>64.055337490977877</v>
      </c>
      <c r="CL27" s="2336">
        <v>64.187093603893317</v>
      </c>
      <c r="CM27" s="2336">
        <v>64.315821615934638</v>
      </c>
      <c r="CN27" s="2336">
        <v>64.452102188375719</v>
      </c>
      <c r="CO27" s="2336">
        <v>64.57463048093625</v>
      </c>
      <c r="CP27" s="2336">
        <v>64.702146649195285</v>
      </c>
      <c r="CQ27" s="2336">
        <v>64.828927945251124</v>
      </c>
      <c r="CR27" s="2336">
        <v>64.953711755523287</v>
      </c>
      <c r="CS27" s="2336">
        <v>65.07592883333605</v>
      </c>
      <c r="CT27" s="2336">
        <v>65.200759295549489</v>
      </c>
      <c r="CU27" s="2336">
        <v>65.324478819740648</v>
      </c>
      <c r="CV27" s="2336">
        <v>65.446521296758505</v>
      </c>
      <c r="CW27" s="2336">
        <v>65.567515125839265</v>
      </c>
      <c r="CX27" s="2336">
        <v>65.687466370340871</v>
      </c>
      <c r="CY27" s="2336">
        <v>65.8063812171725</v>
      </c>
      <c r="CZ27" s="2336">
        <v>65.924265931080697</v>
      </c>
      <c r="DA27" s="2336">
        <v>66.041126806027236</v>
      </c>
      <c r="DB27" s="2336">
        <v>66.15697011530213</v>
      </c>
      <c r="DC27" s="2336">
        <v>66.271802071875001</v>
      </c>
      <c r="DD27" s="2336">
        <v>66.385628801433072</v>
      </c>
      <c r="DE27" s="2336">
        <v>66.498456360201459</v>
      </c>
      <c r="DF27" s="2336">
        <v>66.610290784329948</v>
      </c>
      <c r="DG27" s="2336">
        <v>66.721138151291754</v>
      </c>
      <c r="DH27" s="2336">
        <v>66.83100465107141</v>
      </c>
      <c r="DI27" s="2336">
        <v>66.939887635334017</v>
      </c>
      <c r="DJ27" s="2336">
        <v>67.047793222460896</v>
      </c>
      <c r="DK27" s="2336">
        <v>67.154727533820463</v>
      </c>
      <c r="DL27" s="2336">
        <v>67.260696693109821</v>
      </c>
      <c r="DM27" s="2336">
        <v>67.365706825705772</v>
      </c>
      <c r="DN27" s="2336">
        <v>67.469764058030236</v>
      </c>
      <c r="DO27" s="2336">
        <v>67.572874516922454</v>
      </c>
      <c r="DP27" s="2336">
        <v>67.675044329023535</v>
      </c>
      <c r="DQ27" s="2336">
        <v>67.776279620169589</v>
      </c>
      <c r="DR27" s="2336">
        <v>67.876586514793587</v>
      </c>
      <c r="DS27" s="2336">
        <v>67.975971135335769</v>
      </c>
      <c r="DT27" s="2336">
        <v>68.074439601663045</v>
      </c>
      <c r="DU27" s="2336">
        <v>68.171998030494379</v>
      </c>
    </row>
    <row r="28" spans="1:125">
      <c r="A28" s="909">
        <v>26</v>
      </c>
      <c r="B28" s="90"/>
      <c r="C28" s="90"/>
      <c r="D28" s="90"/>
      <c r="E28" s="90"/>
      <c r="F28" s="90"/>
      <c r="G28" s="90"/>
      <c r="H28" s="90"/>
      <c r="I28" s="90"/>
      <c r="J28" s="90"/>
      <c r="K28" s="90"/>
      <c r="L28" s="90"/>
      <c r="M28" s="90"/>
      <c r="N28" s="90"/>
      <c r="O28" s="90"/>
      <c r="P28" s="90"/>
      <c r="Q28" s="90"/>
      <c r="R28" s="90"/>
      <c r="S28" s="90"/>
      <c r="T28" s="90"/>
      <c r="U28" s="90"/>
      <c r="V28" s="739"/>
      <c r="W28" s="739">
        <v>53.18</v>
      </c>
      <c r="X28" s="739">
        <v>53.46</v>
      </c>
      <c r="Y28" s="2336">
        <v>53.713492806656383</v>
      </c>
      <c r="Z28" s="2336">
        <v>53.983561732137538</v>
      </c>
      <c r="AA28" s="2336">
        <v>54.155878168666057</v>
      </c>
      <c r="AB28" s="2336">
        <v>54.380962739521557</v>
      </c>
      <c r="AC28" s="2336">
        <v>54.608562998282544</v>
      </c>
      <c r="AD28" s="2336">
        <v>54.732116389265158</v>
      </c>
      <c r="AE28" s="2336">
        <v>54.939799225341268</v>
      </c>
      <c r="AF28" s="2336">
        <v>55.153252847483571</v>
      </c>
      <c r="AG28" s="2336">
        <v>55.332256337910358</v>
      </c>
      <c r="AH28" s="2336">
        <v>55.504226881451864</v>
      </c>
      <c r="AI28" s="2336">
        <v>55.67877362780272</v>
      </c>
      <c r="AJ28" s="2336">
        <v>55.947804298427144</v>
      </c>
      <c r="AK28" s="2336">
        <v>56.203209574068374</v>
      </c>
      <c r="AL28" s="2336">
        <v>56.501659632027881</v>
      </c>
      <c r="AM28" s="2336">
        <v>56.759496084989536</v>
      </c>
      <c r="AN28" s="2336">
        <v>56.954291398899855</v>
      </c>
      <c r="AO28" s="2336">
        <v>57.100696479403901</v>
      </c>
      <c r="AP28" s="2336">
        <v>57.225890969761991</v>
      </c>
      <c r="AQ28" s="2336">
        <v>57.25899353928979</v>
      </c>
      <c r="AR28" s="2336">
        <v>57.311369242650699</v>
      </c>
      <c r="AS28" s="2336">
        <v>57.322712143738258</v>
      </c>
      <c r="AT28" s="2336">
        <v>57.275772778064734</v>
      </c>
      <c r="AU28" s="2336">
        <v>57.313004917562928</v>
      </c>
      <c r="AV28" s="2336">
        <v>57.36701871547011</v>
      </c>
      <c r="AW28" s="2336">
        <v>57.604869182194285</v>
      </c>
      <c r="AX28" s="2336">
        <v>57.648330431130056</v>
      </c>
      <c r="AY28" s="2336">
        <v>57.781778554077185</v>
      </c>
      <c r="AZ28" s="2336">
        <v>57.899897543844695</v>
      </c>
      <c r="BA28" s="2336">
        <v>58.025555364704175</v>
      </c>
      <c r="BB28" s="2336">
        <v>58.150434505745352</v>
      </c>
      <c r="BC28" s="2336">
        <v>58.243427968742786</v>
      </c>
      <c r="BD28" s="2336">
        <v>58.344599005526504</v>
      </c>
      <c r="BE28" s="2336">
        <v>58.455755595043257</v>
      </c>
      <c r="BF28" s="2336">
        <v>58.5888523869233</v>
      </c>
      <c r="BG28" s="2336">
        <v>58.739815647285369</v>
      </c>
      <c r="BH28" s="2336">
        <v>58.926070947105288</v>
      </c>
      <c r="BI28" s="2336">
        <v>59.052193666922463</v>
      </c>
      <c r="BJ28" s="2336">
        <v>59.195666109671613</v>
      </c>
      <c r="BK28" s="2336">
        <v>59.348695322496972</v>
      </c>
      <c r="BL28" s="2336">
        <v>59.548934057512312</v>
      </c>
      <c r="BM28" s="2336">
        <v>59.733807838849884</v>
      </c>
      <c r="BN28" s="2336">
        <v>59.898930312008531</v>
      </c>
      <c r="BO28" s="2336">
        <v>60.036927296817431</v>
      </c>
      <c r="BP28" s="2336">
        <v>60.210459697998701</v>
      </c>
      <c r="BQ28" s="2336">
        <v>60.36265328863518</v>
      </c>
      <c r="BR28" s="2336">
        <v>60.513927167457432</v>
      </c>
      <c r="BS28" s="2336">
        <v>60.664837081979528</v>
      </c>
      <c r="BT28" s="2336">
        <v>60.817337903349802</v>
      </c>
      <c r="BU28" s="2336">
        <v>60.948731561716329</v>
      </c>
      <c r="BV28" s="2336">
        <v>61.083822816038577</v>
      </c>
      <c r="BW28" s="2336">
        <v>61.23834491074404</v>
      </c>
      <c r="BX28" s="2336">
        <v>61.368401256402379</v>
      </c>
      <c r="BY28" s="2336">
        <v>61.509635771081392</v>
      </c>
      <c r="BZ28" s="2336">
        <v>61.643758019282217</v>
      </c>
      <c r="CA28" s="2336">
        <v>61.765349445064494</v>
      </c>
      <c r="CB28" s="2336">
        <v>61.904769551864881</v>
      </c>
      <c r="CC28" s="2336">
        <v>62.038792629743412</v>
      </c>
      <c r="CD28" s="2336">
        <v>62.165895134451496</v>
      </c>
      <c r="CE28" s="2336">
        <v>62.288293898938385</v>
      </c>
      <c r="CF28" s="2336">
        <v>62.419776852168113</v>
      </c>
      <c r="CG28" s="2336">
        <v>62.538433970920856</v>
      </c>
      <c r="CH28" s="2336">
        <v>62.679887933673555</v>
      </c>
      <c r="CI28" s="2336">
        <v>62.814901507529704</v>
      </c>
      <c r="CJ28" s="2336">
        <v>62.933592150418797</v>
      </c>
      <c r="CK28" s="2336">
        <v>63.069139462429931</v>
      </c>
      <c r="CL28" s="2336">
        <v>63.199896499383051</v>
      </c>
      <c r="CM28" s="2336">
        <v>63.328544245958561</v>
      </c>
      <c r="CN28" s="2336">
        <v>63.46312951840109</v>
      </c>
      <c r="CO28" s="2336">
        <v>63.585753641341753</v>
      </c>
      <c r="CP28" s="2336">
        <v>63.7146745890281</v>
      </c>
      <c r="CQ28" s="2336">
        <v>63.842266830532843</v>
      </c>
      <c r="CR28" s="2336">
        <v>63.964826915236181</v>
      </c>
      <c r="CS28" s="2336">
        <v>64.088022708221985</v>
      </c>
      <c r="CT28" s="2336">
        <v>64.213033647503835</v>
      </c>
      <c r="CU28" s="2336">
        <v>64.33583681388447</v>
      </c>
      <c r="CV28" s="2336">
        <v>64.457592632379885</v>
      </c>
      <c r="CW28" s="2336">
        <v>64.578306827119661</v>
      </c>
      <c r="CX28" s="2336">
        <v>64.697985296851712</v>
      </c>
      <c r="CY28" s="2336">
        <v>64.81663406748217</v>
      </c>
      <c r="CZ28" s="2336">
        <v>64.934259246283673</v>
      </c>
      <c r="DA28" s="2336">
        <v>65.050866973197287</v>
      </c>
      <c r="DB28" s="2336">
        <v>65.166463370871554</v>
      </c>
      <c r="DC28" s="2336">
        <v>65.281054504943555</v>
      </c>
      <c r="DD28" s="2336">
        <v>65.394646357009989</v>
      </c>
      <c r="DE28" s="2336">
        <v>65.507244842387991</v>
      </c>
      <c r="DF28" s="2336">
        <v>65.618855859446839</v>
      </c>
      <c r="DG28" s="2336">
        <v>65.729485350953098</v>
      </c>
      <c r="DH28" s="2336">
        <v>65.83913105993382</v>
      </c>
      <c r="DI28" s="2336">
        <v>65.947798955477637</v>
      </c>
      <c r="DJ28" s="2336">
        <v>66.055495013765963</v>
      </c>
      <c r="DK28" s="2336">
        <v>66.162225217328341</v>
      </c>
      <c r="DL28" s="2336">
        <v>66.267995554311128</v>
      </c>
      <c r="DM28" s="2336">
        <v>66.372812017757525</v>
      </c>
      <c r="DN28" s="2336">
        <v>66.476680604902867</v>
      </c>
      <c r="DO28" s="2336">
        <v>66.579607316478132</v>
      </c>
      <c r="DP28" s="2336">
        <v>66.681598156027107</v>
      </c>
      <c r="DQ28" s="2336">
        <v>66.782659129233224</v>
      </c>
      <c r="DR28" s="2336">
        <v>66.882796243256678</v>
      </c>
      <c r="DS28" s="2336">
        <v>66.982015506080927</v>
      </c>
      <c r="DT28" s="2336">
        <v>67.080322925869652</v>
      </c>
      <c r="DU28" s="2336">
        <v>67.177724510330862</v>
      </c>
    </row>
    <row r="29" spans="1:125">
      <c r="A29" s="909">
        <v>27</v>
      </c>
      <c r="B29" s="90"/>
      <c r="C29" s="90"/>
      <c r="D29" s="90"/>
      <c r="E29" s="90"/>
      <c r="F29" s="90"/>
      <c r="G29" s="90"/>
      <c r="H29" s="90"/>
      <c r="I29" s="90"/>
      <c r="J29" s="90"/>
      <c r="K29" s="90"/>
      <c r="L29" s="90"/>
      <c r="M29" s="90"/>
      <c r="N29" s="90"/>
      <c r="O29" s="90"/>
      <c r="P29" s="90"/>
      <c r="Q29" s="90"/>
      <c r="R29" s="90"/>
      <c r="S29" s="90"/>
      <c r="T29" s="90"/>
      <c r="U29" s="90"/>
      <c r="V29" s="739"/>
      <c r="W29" s="739">
        <v>52.31</v>
      </c>
      <c r="X29" s="739">
        <v>52.57</v>
      </c>
      <c r="Y29" s="2336">
        <v>52.787562518557181</v>
      </c>
      <c r="Z29" s="2336">
        <v>53.058007362371235</v>
      </c>
      <c r="AA29" s="2336">
        <v>53.230563652142536</v>
      </c>
      <c r="AB29" s="2336">
        <v>53.440125792021867</v>
      </c>
      <c r="AC29" s="2336">
        <v>53.664813316632312</v>
      </c>
      <c r="AD29" s="2336">
        <v>53.790539000202571</v>
      </c>
      <c r="AE29" s="2336">
        <v>53.993662147232449</v>
      </c>
      <c r="AF29" s="2336">
        <v>54.204602642110849</v>
      </c>
      <c r="AG29" s="2336">
        <v>54.382984347196256</v>
      </c>
      <c r="AH29" s="2336">
        <v>54.55108042905519</v>
      </c>
      <c r="AI29" s="2336">
        <v>54.724233028357901</v>
      </c>
      <c r="AJ29" s="2336">
        <v>54.994860987345909</v>
      </c>
      <c r="AK29" s="2336">
        <v>55.246983690304909</v>
      </c>
      <c r="AL29" s="2336">
        <v>55.541742771429661</v>
      </c>
      <c r="AM29" s="2336">
        <v>55.797482150115876</v>
      </c>
      <c r="AN29" s="2336">
        <v>55.992369916784781</v>
      </c>
      <c r="AO29" s="2336">
        <v>56.138607296586301</v>
      </c>
      <c r="AP29" s="2336">
        <v>56.264645893922996</v>
      </c>
      <c r="AQ29" s="2336">
        <v>56.296122052697463</v>
      </c>
      <c r="AR29" s="2336">
        <v>56.349422300319766</v>
      </c>
      <c r="AS29" s="2336">
        <v>56.358513034173299</v>
      </c>
      <c r="AT29" s="2336">
        <v>56.312790792343122</v>
      </c>
      <c r="AU29" s="2336">
        <v>56.350697896244576</v>
      </c>
      <c r="AV29" s="2336">
        <v>56.404228226096585</v>
      </c>
      <c r="AW29" s="2336">
        <v>56.637920571960343</v>
      </c>
      <c r="AX29" s="2336">
        <v>56.681097704605726</v>
      </c>
      <c r="AY29" s="2336">
        <v>56.816735447262545</v>
      </c>
      <c r="AZ29" s="2336">
        <v>56.934241583446401</v>
      </c>
      <c r="BA29" s="2336">
        <v>57.05842183613747</v>
      </c>
      <c r="BB29" s="2336">
        <v>57.182524308013562</v>
      </c>
      <c r="BC29" s="2336">
        <v>57.275810983651041</v>
      </c>
      <c r="BD29" s="2336">
        <v>57.377282764743832</v>
      </c>
      <c r="BE29" s="2336">
        <v>57.488249881777428</v>
      </c>
      <c r="BF29" s="2336">
        <v>57.61854410154794</v>
      </c>
      <c r="BG29" s="2336">
        <v>57.770011612644907</v>
      </c>
      <c r="BH29" s="2336">
        <v>57.951976928469954</v>
      </c>
      <c r="BI29" s="2336">
        <v>58.07905665061736</v>
      </c>
      <c r="BJ29" s="2336">
        <v>58.221896061406234</v>
      </c>
      <c r="BK29" s="2336">
        <v>58.3715849849942</v>
      </c>
      <c r="BL29" s="2336">
        <v>58.572449707280043</v>
      </c>
      <c r="BM29" s="2336">
        <v>58.755610933761893</v>
      </c>
      <c r="BN29" s="2336">
        <v>58.921811222753348</v>
      </c>
      <c r="BO29" s="2336">
        <v>59.063133309625165</v>
      </c>
      <c r="BP29" s="2336">
        <v>59.233480829259094</v>
      </c>
      <c r="BQ29" s="2336">
        <v>59.384007419322202</v>
      </c>
      <c r="BR29" s="2336">
        <v>59.535817107783039</v>
      </c>
      <c r="BS29" s="2336">
        <v>59.684724748424109</v>
      </c>
      <c r="BT29" s="2336">
        <v>59.835775162757201</v>
      </c>
      <c r="BU29" s="2336">
        <v>59.966738914221018</v>
      </c>
      <c r="BV29" s="2336">
        <v>60.104571573199195</v>
      </c>
      <c r="BW29" s="2336">
        <v>60.255950474564159</v>
      </c>
      <c r="BX29" s="2336">
        <v>60.384631955416417</v>
      </c>
      <c r="BY29" s="2336">
        <v>60.52680418342603</v>
      </c>
      <c r="BZ29" s="2336">
        <v>60.660140627924505</v>
      </c>
      <c r="CA29" s="2336">
        <v>60.783688991089626</v>
      </c>
      <c r="CB29" s="2336">
        <v>60.919593047319267</v>
      </c>
      <c r="CC29" s="2336">
        <v>61.052783459406591</v>
      </c>
      <c r="CD29" s="2336">
        <v>61.181441618770556</v>
      </c>
      <c r="CE29" s="2336">
        <v>61.304251811161372</v>
      </c>
      <c r="CF29" s="2336">
        <v>61.436349117368735</v>
      </c>
      <c r="CG29" s="2336">
        <v>61.554890343111516</v>
      </c>
      <c r="CH29" s="2336">
        <v>61.693589225566619</v>
      </c>
      <c r="CI29" s="2336">
        <v>61.828561181352661</v>
      </c>
      <c r="CJ29" s="2336">
        <v>61.947365883960302</v>
      </c>
      <c r="CK29" s="2336">
        <v>62.081664349797968</v>
      </c>
      <c r="CL29" s="2336">
        <v>62.210359317334031</v>
      </c>
      <c r="CM29" s="2336">
        <v>62.341524211636909</v>
      </c>
      <c r="CN29" s="2336">
        <v>62.476103829310517</v>
      </c>
      <c r="CO29" s="2336">
        <v>62.597322301043917</v>
      </c>
      <c r="CP29" s="2336">
        <v>62.725090028626759</v>
      </c>
      <c r="CQ29" s="2336">
        <v>62.852667144302124</v>
      </c>
      <c r="CR29" s="2336">
        <v>62.976496506121848</v>
      </c>
      <c r="CS29" s="2336">
        <v>63.101240617590008</v>
      </c>
      <c r="CT29" s="2336">
        <v>63.224797530327002</v>
      </c>
      <c r="CU29" s="2336">
        <v>63.34730878118647</v>
      </c>
      <c r="CV29" s="2336">
        <v>63.468779704788687</v>
      </c>
      <c r="CW29" s="2336">
        <v>63.589215864245389</v>
      </c>
      <c r="CX29" s="2336">
        <v>63.70862300073027</v>
      </c>
      <c r="CY29" s="2336">
        <v>63.827006985945076</v>
      </c>
      <c r="CZ29" s="2336">
        <v>63.944373776256825</v>
      </c>
      <c r="DA29" s="2336">
        <v>64.060729363930264</v>
      </c>
      <c r="DB29" s="2336">
        <v>64.176079727099179</v>
      </c>
      <c r="DC29" s="2336">
        <v>64.290430789983418</v>
      </c>
      <c r="DD29" s="2336">
        <v>64.403788395799012</v>
      </c>
      <c r="DE29" s="2336">
        <v>64.516158324465863</v>
      </c>
      <c r="DF29" s="2336">
        <v>64.627546341890451</v>
      </c>
      <c r="DG29" s="2336">
        <v>64.737950455444079</v>
      </c>
      <c r="DH29" s="2336">
        <v>64.847376484369306</v>
      </c>
      <c r="DI29" s="2336">
        <v>64.955830259015741</v>
      </c>
      <c r="DJ29" s="2336">
        <v>65.063317620012285</v>
      </c>
      <c r="DK29" s="2336">
        <v>65.169844417456204</v>
      </c>
      <c r="DL29" s="2336">
        <v>65.275416510116827</v>
      </c>
      <c r="DM29" s="2336">
        <v>65.380039764651499</v>
      </c>
      <c r="DN29" s="2336">
        <v>65.483720054838017</v>
      </c>
      <c r="DO29" s="2336">
        <v>65.586463260816402</v>
      </c>
      <c r="DP29" s="2336">
        <v>65.688275268345222</v>
      </c>
      <c r="DQ29" s="2336">
        <v>65.789161968068868</v>
      </c>
      <c r="DR29" s="2336">
        <v>65.88912925479606</v>
      </c>
      <c r="DS29" s="2336">
        <v>65.988183026788761</v>
      </c>
      <c r="DT29" s="2336">
        <v>66.086329185062681</v>
      </c>
      <c r="DU29" s="2336">
        <v>66.183573632695854</v>
      </c>
    </row>
    <row r="30" spans="1:125">
      <c r="A30" s="909">
        <v>28</v>
      </c>
      <c r="B30" s="90"/>
      <c r="C30" s="90"/>
      <c r="D30" s="90"/>
      <c r="E30" s="90"/>
      <c r="F30" s="90"/>
      <c r="G30" s="90"/>
      <c r="H30" s="90"/>
      <c r="I30" s="90"/>
      <c r="J30" s="90"/>
      <c r="K30" s="90"/>
      <c r="L30" s="90"/>
      <c r="M30" s="90"/>
      <c r="N30" s="90"/>
      <c r="O30" s="90"/>
      <c r="P30" s="90"/>
      <c r="Q30" s="90"/>
      <c r="R30" s="90"/>
      <c r="S30" s="90"/>
      <c r="T30" s="90"/>
      <c r="U30" s="90"/>
      <c r="V30" s="739"/>
      <c r="W30" s="739">
        <v>51.42</v>
      </c>
      <c r="X30" s="739">
        <v>51.65</v>
      </c>
      <c r="Y30" s="2336">
        <v>51.862965188428525</v>
      </c>
      <c r="Z30" s="2336">
        <v>52.133800034420801</v>
      </c>
      <c r="AA30" s="2336">
        <v>52.296034711377231</v>
      </c>
      <c r="AB30" s="2336">
        <v>52.499222807960642</v>
      </c>
      <c r="AC30" s="2336">
        <v>52.720428632941946</v>
      </c>
      <c r="AD30" s="2336">
        <v>52.843978183270934</v>
      </c>
      <c r="AE30" s="2336">
        <v>53.047839638319729</v>
      </c>
      <c r="AF30" s="2336">
        <v>53.25674040209077</v>
      </c>
      <c r="AG30" s="2336">
        <v>53.433108978935067</v>
      </c>
      <c r="AH30" s="2336">
        <v>53.601385709172263</v>
      </c>
      <c r="AI30" s="2336">
        <v>53.769861905908414</v>
      </c>
      <c r="AJ30" s="2336">
        <v>54.039407041416297</v>
      </c>
      <c r="AK30" s="2336">
        <v>54.289746961338786</v>
      </c>
      <c r="AL30" s="2336">
        <v>54.580242940585777</v>
      </c>
      <c r="AM30" s="2336">
        <v>54.834863313830489</v>
      </c>
      <c r="AN30" s="2336">
        <v>55.032135157073597</v>
      </c>
      <c r="AO30" s="2336">
        <v>55.179968580938684</v>
      </c>
      <c r="AP30" s="2336">
        <v>55.302027789190618</v>
      </c>
      <c r="AQ30" s="2336">
        <v>55.334739329414269</v>
      </c>
      <c r="AR30" s="2336">
        <v>55.389058310824453</v>
      </c>
      <c r="AS30" s="2336">
        <v>55.398445002585362</v>
      </c>
      <c r="AT30" s="2336">
        <v>55.351965298358017</v>
      </c>
      <c r="AU30" s="2336">
        <v>55.38460403395397</v>
      </c>
      <c r="AV30" s="2336">
        <v>55.440937208833482</v>
      </c>
      <c r="AW30" s="2336">
        <v>55.67171617325188</v>
      </c>
      <c r="AX30" s="2336">
        <v>55.712247181660828</v>
      </c>
      <c r="AY30" s="2336">
        <v>55.850184528938705</v>
      </c>
      <c r="AZ30" s="2336">
        <v>55.973121183053699</v>
      </c>
      <c r="BA30" s="2336">
        <v>56.090545880491618</v>
      </c>
      <c r="BB30" s="2336">
        <v>56.214456792731355</v>
      </c>
      <c r="BC30" s="2336">
        <v>56.30893650239635</v>
      </c>
      <c r="BD30" s="2336">
        <v>56.407775380843042</v>
      </c>
      <c r="BE30" s="2336">
        <v>56.519615842509985</v>
      </c>
      <c r="BF30" s="2336">
        <v>56.645652071728094</v>
      </c>
      <c r="BG30" s="2336">
        <v>56.799140550492474</v>
      </c>
      <c r="BH30" s="2336">
        <v>56.979011591865543</v>
      </c>
      <c r="BI30" s="2336">
        <v>57.106052179728778</v>
      </c>
      <c r="BJ30" s="2336">
        <v>57.248321485376557</v>
      </c>
      <c r="BK30" s="2336">
        <v>57.395848975994269</v>
      </c>
      <c r="BL30" s="2336">
        <v>57.595570191662667</v>
      </c>
      <c r="BM30" s="2336">
        <v>57.778760947713984</v>
      </c>
      <c r="BN30" s="2336">
        <v>57.944614799984031</v>
      </c>
      <c r="BO30" s="2336">
        <v>58.087125432144525</v>
      </c>
      <c r="BP30" s="2336">
        <v>58.253664401103521</v>
      </c>
      <c r="BQ30" s="2336">
        <v>58.406056136121911</v>
      </c>
      <c r="BR30" s="2336">
        <v>58.556518958723387</v>
      </c>
      <c r="BS30" s="2336">
        <v>58.705244956565359</v>
      </c>
      <c r="BT30" s="2336">
        <v>58.856526262073508</v>
      </c>
      <c r="BU30" s="2336">
        <v>58.984093849387989</v>
      </c>
      <c r="BV30" s="2336">
        <v>59.125480127655898</v>
      </c>
      <c r="BW30" s="2336">
        <v>59.276025740037461</v>
      </c>
      <c r="BX30" s="2336">
        <v>59.40453348727678</v>
      </c>
      <c r="BY30" s="2336">
        <v>59.543299512483358</v>
      </c>
      <c r="BZ30" s="2336">
        <v>59.676807831371086</v>
      </c>
      <c r="CA30" s="2336">
        <v>59.801149034646741</v>
      </c>
      <c r="CB30" s="2336">
        <v>59.934377545745065</v>
      </c>
      <c r="CC30" s="2336">
        <v>60.068789844097779</v>
      </c>
      <c r="CD30" s="2336">
        <v>60.196120317950957</v>
      </c>
      <c r="CE30" s="2336">
        <v>60.319740908825501</v>
      </c>
      <c r="CF30" s="2336">
        <v>60.452916636851562</v>
      </c>
      <c r="CG30" s="2336">
        <v>60.573451811935492</v>
      </c>
      <c r="CH30" s="2336">
        <v>60.70825359180381</v>
      </c>
      <c r="CI30" s="2336">
        <v>60.84209978682884</v>
      </c>
      <c r="CJ30" s="2336">
        <v>60.961124616207542</v>
      </c>
      <c r="CK30" s="2336">
        <v>61.096484805106918</v>
      </c>
      <c r="CL30" s="2336">
        <v>61.223262550821886</v>
      </c>
      <c r="CM30" s="2336">
        <v>61.354705935734927</v>
      </c>
      <c r="CN30" s="2336">
        <v>61.489068948841798</v>
      </c>
      <c r="CO30" s="2336">
        <v>61.609697643619477</v>
      </c>
      <c r="CP30" s="2336">
        <v>61.738473514879686</v>
      </c>
      <c r="CQ30" s="2336">
        <v>61.864660817204303</v>
      </c>
      <c r="CR30" s="2336">
        <v>61.989415090928375</v>
      </c>
      <c r="CS30" s="2336">
        <v>62.113711001274574</v>
      </c>
      <c r="CT30" s="2336">
        <v>62.236963552675995</v>
      </c>
      <c r="CU30" s="2336">
        <v>62.359177628774574</v>
      </c>
      <c r="CV30" s="2336">
        <v>62.480358402851451</v>
      </c>
      <c r="CW30" s="2336">
        <v>62.600511280049091</v>
      </c>
      <c r="CX30" s="2336">
        <v>62.719641846869571</v>
      </c>
      <c r="CY30" s="2336">
        <v>62.837755823571456</v>
      </c>
      <c r="CZ30" s="2336">
        <v>62.954859018240242</v>
      </c>
      <c r="DA30" s="2336">
        <v>63.070957277955522</v>
      </c>
      <c r="DB30" s="2336">
        <v>63.186056438698841</v>
      </c>
      <c r="DC30" s="2336">
        <v>63.300162285510744</v>
      </c>
      <c r="DD30" s="2336">
        <v>63.413280525344277</v>
      </c>
      <c r="DE30" s="2336">
        <v>63.525416804723761</v>
      </c>
      <c r="DF30" s="2336">
        <v>63.636569343510651</v>
      </c>
      <c r="DG30" s="2336">
        <v>63.746743807271983</v>
      </c>
      <c r="DH30" s="2336">
        <v>63.855945876677325</v>
      </c>
      <c r="DI30" s="2336">
        <v>63.964181246594727</v>
      </c>
      <c r="DJ30" s="2336">
        <v>64.071455625201111</v>
      </c>
      <c r="DK30" s="2336">
        <v>64.177774733110766</v>
      </c>
      <c r="DL30" s="2336">
        <v>64.283144302519233</v>
      </c>
      <c r="DM30" s="2336">
        <v>64.387570076360433</v>
      </c>
      <c r="DN30" s="2336">
        <v>64.491057807481312</v>
      </c>
      <c r="DO30" s="2336">
        <v>64.593613257826576</v>
      </c>
      <c r="DP30" s="2336">
        <v>64.695242197639232</v>
      </c>
      <c r="DQ30" s="2336">
        <v>64.795950404672638</v>
      </c>
      <c r="DR30" s="2336">
        <v>64.895743663414905</v>
      </c>
      <c r="DS30" s="2336">
        <v>64.994627764324648</v>
      </c>
      <c r="DT30" s="2336">
        <v>65.092608503079191</v>
      </c>
      <c r="DU30" s="2336">
        <v>65.18969167983164</v>
      </c>
    </row>
    <row r="31" spans="1:125">
      <c r="A31" s="909">
        <v>29</v>
      </c>
      <c r="B31" s="90"/>
      <c r="C31" s="90"/>
      <c r="D31" s="90"/>
      <c r="E31" s="90"/>
      <c r="F31" s="90"/>
      <c r="G31" s="90"/>
      <c r="H31" s="90"/>
      <c r="I31" s="90"/>
      <c r="J31" s="90"/>
      <c r="K31" s="90"/>
      <c r="L31" s="90"/>
      <c r="M31" s="90"/>
      <c r="N31" s="90"/>
      <c r="O31" s="90"/>
      <c r="P31" s="90"/>
      <c r="Q31" s="90"/>
      <c r="R31" s="90"/>
      <c r="S31" s="90"/>
      <c r="T31" s="90"/>
      <c r="U31" s="90"/>
      <c r="V31" s="739"/>
      <c r="W31" s="739">
        <v>50.5</v>
      </c>
      <c r="X31" s="739">
        <v>50.73</v>
      </c>
      <c r="Y31" s="2336">
        <v>50.940640555667578</v>
      </c>
      <c r="Z31" s="2336">
        <v>51.196243308117033</v>
      </c>
      <c r="AA31" s="2336">
        <v>51.354028014150856</v>
      </c>
      <c r="AB31" s="2336">
        <v>51.557622744037438</v>
      </c>
      <c r="AC31" s="2336">
        <v>51.777638834181928</v>
      </c>
      <c r="AD31" s="2336">
        <v>51.895792592286853</v>
      </c>
      <c r="AE31" s="2336">
        <v>52.105596543083351</v>
      </c>
      <c r="AF31" s="2336">
        <v>52.307336255764348</v>
      </c>
      <c r="AG31" s="2336">
        <v>52.489685234216388</v>
      </c>
      <c r="AH31" s="2336">
        <v>52.652938717111802</v>
      </c>
      <c r="AI31" s="2336">
        <v>52.81684159526224</v>
      </c>
      <c r="AJ31" s="2336">
        <v>53.085812108790805</v>
      </c>
      <c r="AK31" s="2336">
        <v>53.334774459675771</v>
      </c>
      <c r="AL31" s="2336">
        <v>53.622736620894308</v>
      </c>
      <c r="AM31" s="2336">
        <v>53.873547162465734</v>
      </c>
      <c r="AN31" s="2336">
        <v>54.069635959036873</v>
      </c>
      <c r="AO31" s="2336">
        <v>54.21862438943284</v>
      </c>
      <c r="AP31" s="2336">
        <v>54.339371339323939</v>
      </c>
      <c r="AQ31" s="2336">
        <v>54.374343226200928</v>
      </c>
      <c r="AR31" s="2336">
        <v>54.424133809239422</v>
      </c>
      <c r="AS31" s="2336">
        <v>54.433814435563939</v>
      </c>
      <c r="AT31" s="2336">
        <v>54.390130273372932</v>
      </c>
      <c r="AU31" s="2336">
        <v>54.422810996075071</v>
      </c>
      <c r="AV31" s="2336">
        <v>54.474710615124451</v>
      </c>
      <c r="AW31" s="2336">
        <v>54.706295119409297</v>
      </c>
      <c r="AX31" s="2336">
        <v>54.746693246682973</v>
      </c>
      <c r="AY31" s="2336">
        <v>54.887208703921061</v>
      </c>
      <c r="AZ31" s="2336">
        <v>55.005389361571744</v>
      </c>
      <c r="BA31" s="2336">
        <v>55.125305314295346</v>
      </c>
      <c r="BB31" s="2336">
        <v>55.247106262372036</v>
      </c>
      <c r="BC31" s="2336">
        <v>55.341491676965546</v>
      </c>
      <c r="BD31" s="2336">
        <v>55.436478948514633</v>
      </c>
      <c r="BE31" s="2336">
        <v>55.554287796229765</v>
      </c>
      <c r="BF31" s="2336">
        <v>55.673547509620789</v>
      </c>
      <c r="BG31" s="2336">
        <v>55.828042683565329</v>
      </c>
      <c r="BH31" s="2336">
        <v>56.00677808689386</v>
      </c>
      <c r="BI31" s="2336">
        <v>56.131533676423864</v>
      </c>
      <c r="BJ31" s="2336">
        <v>56.272184404914356</v>
      </c>
      <c r="BK31" s="2336">
        <v>56.422305013729414</v>
      </c>
      <c r="BL31" s="2336">
        <v>56.618811685287731</v>
      </c>
      <c r="BM31" s="2336">
        <v>56.806350833507096</v>
      </c>
      <c r="BN31" s="2336">
        <v>56.971575021994887</v>
      </c>
      <c r="BO31" s="2336">
        <v>57.108981642542361</v>
      </c>
      <c r="BP31" s="2336">
        <v>57.276264140148093</v>
      </c>
      <c r="BQ31" s="2336">
        <v>57.429096547180258</v>
      </c>
      <c r="BR31" s="2336">
        <v>57.580248356556012</v>
      </c>
      <c r="BS31" s="2336">
        <v>57.727633290875858</v>
      </c>
      <c r="BT31" s="2336">
        <v>57.875000904661952</v>
      </c>
      <c r="BU31" s="2336">
        <v>58.005410992425318</v>
      </c>
      <c r="BV31" s="2336">
        <v>58.145245937812859</v>
      </c>
      <c r="BW31" s="2336">
        <v>58.293585769073914</v>
      </c>
      <c r="BX31" s="2336">
        <v>58.422696385589099</v>
      </c>
      <c r="BY31" s="2336">
        <v>58.560741318320225</v>
      </c>
      <c r="BZ31" s="2336">
        <v>58.690080473292674</v>
      </c>
      <c r="CA31" s="2336">
        <v>58.815627860904691</v>
      </c>
      <c r="CB31" s="2336">
        <v>58.949148780171967</v>
      </c>
      <c r="CC31" s="2336">
        <v>59.083903551837871</v>
      </c>
      <c r="CD31" s="2336">
        <v>59.212131046587125</v>
      </c>
      <c r="CE31" s="2336">
        <v>59.334993372173862</v>
      </c>
      <c r="CF31" s="2336">
        <v>59.466806242742187</v>
      </c>
      <c r="CG31" s="2336">
        <v>59.589560719622447</v>
      </c>
      <c r="CH31" s="2336">
        <v>59.723285838531957</v>
      </c>
      <c r="CI31" s="2336">
        <v>59.856640074490841</v>
      </c>
      <c r="CJ31" s="2336">
        <v>59.976527214481649</v>
      </c>
      <c r="CK31" s="2336">
        <v>60.112314584851404</v>
      </c>
      <c r="CL31" s="2336">
        <v>60.236258531249952</v>
      </c>
      <c r="CM31" s="2336">
        <v>60.369948907304845</v>
      </c>
      <c r="CN31" s="2336">
        <v>60.502488273738777</v>
      </c>
      <c r="CO31" s="2336">
        <v>60.62533548487059</v>
      </c>
      <c r="CP31" s="2336">
        <v>60.752561062314932</v>
      </c>
      <c r="CQ31" s="2336">
        <v>60.877836940648997</v>
      </c>
      <c r="CR31" s="2336">
        <v>61.002850473471263</v>
      </c>
      <c r="CS31" s="2336">
        <v>61.126823757736929</v>
      </c>
      <c r="CT31" s="2336">
        <v>61.249761163855325</v>
      </c>
      <c r="CU31" s="2336">
        <v>61.371667411049195</v>
      </c>
      <c r="CV31" s="2336">
        <v>61.492547511537879</v>
      </c>
      <c r="CW31" s="2336">
        <v>61.612406712686159</v>
      </c>
      <c r="CX31" s="2336">
        <v>61.731250446433236</v>
      </c>
      <c r="CY31" s="2336">
        <v>61.849084281623362</v>
      </c>
      <c r="CZ31" s="2336">
        <v>61.965913878012316</v>
      </c>
      <c r="DA31" s="2336">
        <v>62.081744937372207</v>
      </c>
      <c r="DB31" s="2336">
        <v>62.196583153338707</v>
      </c>
      <c r="DC31" s="2336">
        <v>62.310434171510884</v>
      </c>
      <c r="DD31" s="2336">
        <v>62.423303562251178</v>
      </c>
      <c r="DE31" s="2336">
        <v>62.535189768394837</v>
      </c>
      <c r="DF31" s="2336">
        <v>62.646098295677881</v>
      </c>
      <c r="DG31" s="2336">
        <v>62.756034668969484</v>
      </c>
      <c r="DH31" s="2336">
        <v>62.865004431288398</v>
      </c>
      <c r="DI31" s="2336">
        <v>62.973013142840614</v>
      </c>
      <c r="DJ31" s="2336">
        <v>63.080066380072338</v>
      </c>
      <c r="DK31" s="2336">
        <v>63.186169734741902</v>
      </c>
      <c r="DL31" s="2336">
        <v>63.291328813007937</v>
      </c>
      <c r="DM31" s="2336">
        <v>63.395549234531543</v>
      </c>
      <c r="DN31" s="2336">
        <v>63.498836631596774</v>
      </c>
      <c r="DO31" s="2336">
        <v>63.601196648242244</v>
      </c>
      <c r="DP31" s="2336">
        <v>63.702634939409009</v>
      </c>
      <c r="DQ31" s="2336">
        <v>63.803157170101152</v>
      </c>
      <c r="DR31" s="2336">
        <v>63.90276901455919</v>
      </c>
      <c r="DS31" s="2336">
        <v>64.001476155445943</v>
      </c>
      <c r="DT31" s="2336">
        <v>64.099284283045364</v>
      </c>
      <c r="DU31" s="2336">
        <v>64.196199094471311</v>
      </c>
    </row>
    <row r="32" spans="1:125">
      <c r="A32" s="909">
        <v>30</v>
      </c>
      <c r="B32" s="90"/>
      <c r="C32" s="90"/>
      <c r="D32" s="90"/>
      <c r="E32" s="90"/>
      <c r="F32" s="90"/>
      <c r="G32" s="90"/>
      <c r="H32" s="90"/>
      <c r="I32" s="90"/>
      <c r="J32" s="90"/>
      <c r="K32" s="90"/>
      <c r="L32" s="90"/>
      <c r="M32" s="90"/>
      <c r="N32" s="90"/>
      <c r="O32" s="90"/>
      <c r="P32" s="90"/>
      <c r="Q32" s="90"/>
      <c r="R32" s="90"/>
      <c r="S32" s="90"/>
      <c r="T32" s="90"/>
      <c r="U32" s="90"/>
      <c r="V32" s="739"/>
      <c r="W32" s="739">
        <v>49.58</v>
      </c>
      <c r="X32" s="739">
        <v>49.8</v>
      </c>
      <c r="Y32" s="2336">
        <v>50.00991682042585</v>
      </c>
      <c r="Z32" s="2336">
        <v>50.258736324789126</v>
      </c>
      <c r="AA32" s="2336">
        <v>50.414895483092039</v>
      </c>
      <c r="AB32" s="2336">
        <v>50.61583412634819</v>
      </c>
      <c r="AC32" s="2336">
        <v>50.834032630481872</v>
      </c>
      <c r="AD32" s="2336">
        <v>50.950373748903012</v>
      </c>
      <c r="AE32" s="2336">
        <v>51.160978956495349</v>
      </c>
      <c r="AF32" s="2336">
        <v>51.36359730940282</v>
      </c>
      <c r="AG32" s="2336">
        <v>51.54201183635827</v>
      </c>
      <c r="AH32" s="2336">
        <v>51.704392486433619</v>
      </c>
      <c r="AI32" s="2336">
        <v>51.864823661978384</v>
      </c>
      <c r="AJ32" s="2336">
        <v>52.132928883123938</v>
      </c>
      <c r="AK32" s="2336">
        <v>52.380378426100542</v>
      </c>
      <c r="AL32" s="2336">
        <v>52.664054007666799</v>
      </c>
      <c r="AM32" s="2336">
        <v>52.916364049805566</v>
      </c>
      <c r="AN32" s="2336">
        <v>53.113777014568313</v>
      </c>
      <c r="AO32" s="2336">
        <v>53.257118380126791</v>
      </c>
      <c r="AP32" s="2336">
        <v>53.378703242770484</v>
      </c>
      <c r="AQ32" s="2336">
        <v>53.413860273608023</v>
      </c>
      <c r="AR32" s="2336">
        <v>53.462862304432605</v>
      </c>
      <c r="AS32" s="2336">
        <v>53.472750991756541</v>
      </c>
      <c r="AT32" s="2336">
        <v>53.427470394291717</v>
      </c>
      <c r="AU32" s="2336">
        <v>53.461793410952104</v>
      </c>
      <c r="AV32" s="2336">
        <v>53.512847237611005</v>
      </c>
      <c r="AW32" s="2336">
        <v>53.742173473564556</v>
      </c>
      <c r="AX32" s="2336">
        <v>53.781501199242648</v>
      </c>
      <c r="AY32" s="2336">
        <v>53.927450334558124</v>
      </c>
      <c r="AZ32" s="2336">
        <v>54.041964006394394</v>
      </c>
      <c r="BA32" s="2336">
        <v>54.15740233403298</v>
      </c>
      <c r="BB32" s="2336">
        <v>54.2811783646615</v>
      </c>
      <c r="BC32" s="2336">
        <v>54.374538370497568</v>
      </c>
      <c r="BD32" s="2336">
        <v>54.466723224595953</v>
      </c>
      <c r="BE32" s="2336">
        <v>54.586938106608287</v>
      </c>
      <c r="BF32" s="2336">
        <v>54.70143001154586</v>
      </c>
      <c r="BG32" s="2336">
        <v>54.851414098467025</v>
      </c>
      <c r="BH32" s="2336">
        <v>55.033149790464414</v>
      </c>
      <c r="BI32" s="2336">
        <v>55.161404790920983</v>
      </c>
      <c r="BJ32" s="2336">
        <v>55.301673774370165</v>
      </c>
      <c r="BK32" s="2336">
        <v>55.449723377542497</v>
      </c>
      <c r="BL32" s="2336">
        <v>55.647369409895248</v>
      </c>
      <c r="BM32" s="2336">
        <v>55.834437930808299</v>
      </c>
      <c r="BN32" s="2336">
        <v>55.99583992583792</v>
      </c>
      <c r="BO32" s="2336">
        <v>56.132257642490266</v>
      </c>
      <c r="BP32" s="2336">
        <v>56.301580076194533</v>
      </c>
      <c r="BQ32" s="2336">
        <v>56.451845290154672</v>
      </c>
      <c r="BR32" s="2336">
        <v>56.600533507790402</v>
      </c>
      <c r="BS32" s="2336">
        <v>56.749091390557666</v>
      </c>
      <c r="BT32" s="2336">
        <v>56.895383924604147</v>
      </c>
      <c r="BU32" s="2336">
        <v>57.02578379005579</v>
      </c>
      <c r="BV32" s="2336">
        <v>57.161834612233434</v>
      </c>
      <c r="BW32" s="2336">
        <v>57.310138002626168</v>
      </c>
      <c r="BX32" s="2336">
        <v>57.439970689792347</v>
      </c>
      <c r="BY32" s="2336">
        <v>57.577324041422663</v>
      </c>
      <c r="BZ32" s="2336">
        <v>57.706351423397727</v>
      </c>
      <c r="CA32" s="2336">
        <v>57.834553745030853</v>
      </c>
      <c r="CB32" s="2336">
        <v>57.967116037295909</v>
      </c>
      <c r="CC32" s="2336">
        <v>58.097452744955881</v>
      </c>
      <c r="CD32" s="2336">
        <v>58.228248976997953</v>
      </c>
      <c r="CE32" s="2336">
        <v>58.352894388298424</v>
      </c>
      <c r="CF32" s="2336">
        <v>58.481457007486462</v>
      </c>
      <c r="CG32" s="2336">
        <v>58.608078211146996</v>
      </c>
      <c r="CH32" s="2336">
        <v>58.738279238796842</v>
      </c>
      <c r="CI32" s="2336">
        <v>58.871117874996116</v>
      </c>
      <c r="CJ32" s="2336">
        <v>58.992688737657694</v>
      </c>
      <c r="CK32" s="2336">
        <v>59.128156443190079</v>
      </c>
      <c r="CL32" s="2336">
        <v>59.252791002958737</v>
      </c>
      <c r="CM32" s="2336">
        <v>59.385020900243909</v>
      </c>
      <c r="CN32" s="2336">
        <v>59.515693632792342</v>
      </c>
      <c r="CO32" s="2336">
        <v>59.640618002563613</v>
      </c>
      <c r="CP32" s="2336">
        <v>59.766741515603883</v>
      </c>
      <c r="CQ32" s="2336">
        <v>59.892446007780158</v>
      </c>
      <c r="CR32" s="2336">
        <v>60.017114314941111</v>
      </c>
      <c r="CS32" s="2336">
        <v>60.140750235348854</v>
      </c>
      <c r="CT32" s="2336">
        <v>60.263357970238317</v>
      </c>
      <c r="CU32" s="2336">
        <v>60.384942073037244</v>
      </c>
      <c r="CV32" s="2336">
        <v>60.505507393475334</v>
      </c>
      <c r="CW32" s="2336">
        <v>60.625059019661613</v>
      </c>
      <c r="CX32" s="2336">
        <v>60.743602227446182</v>
      </c>
      <c r="CY32" s="2336">
        <v>60.861142432686549</v>
      </c>
      <c r="CZ32" s="2336">
        <v>60.977685145192453</v>
      </c>
      <c r="DA32" s="2336">
        <v>61.093235919770201</v>
      </c>
      <c r="DB32" s="2336">
        <v>61.207800306011386</v>
      </c>
      <c r="DC32" s="2336">
        <v>61.321383808337721</v>
      </c>
      <c r="DD32" s="2336">
        <v>61.433985151082595</v>
      </c>
      <c r="DE32" s="2336">
        <v>61.545609672577619</v>
      </c>
      <c r="DF32" s="2336">
        <v>61.656262734373499</v>
      </c>
      <c r="DG32" s="2336">
        <v>61.765949720183286</v>
      </c>
      <c r="DH32" s="2336">
        <v>61.874676034843525</v>
      </c>
      <c r="DI32" s="2336">
        <v>61.982447103297304</v>
      </c>
      <c r="DJ32" s="2336">
        <v>62.089268369593256</v>
      </c>
      <c r="DK32" s="2336">
        <v>62.195145295904389</v>
      </c>
      <c r="DL32" s="2336">
        <v>62.300083361563615</v>
      </c>
      <c r="DM32" s="2336">
        <v>62.404088062114361</v>
      </c>
      <c r="DN32" s="2336">
        <v>62.507164908379814</v>
      </c>
      <c r="DO32" s="2336">
        <v>62.609319425544335</v>
      </c>
      <c r="DP32" s="2336">
        <v>62.71055715225171</v>
      </c>
      <c r="DQ32" s="2336">
        <v>62.810883639716785</v>
      </c>
      <c r="DR32" s="2336">
        <v>62.910304450850774</v>
      </c>
      <c r="DS32" s="2336">
        <v>63.008825159399613</v>
      </c>
      <c r="DT32" s="2336">
        <v>63.106451349096083</v>
      </c>
      <c r="DU32" s="2336">
        <v>63.20318861282248</v>
      </c>
    </row>
    <row r="33" spans="1:125">
      <c r="A33" s="909">
        <v>31</v>
      </c>
      <c r="B33" s="90"/>
      <c r="C33" s="90"/>
      <c r="D33" s="90"/>
      <c r="E33" s="90"/>
      <c r="F33" s="90"/>
      <c r="G33" s="90"/>
      <c r="H33" s="90"/>
      <c r="I33" s="90"/>
      <c r="J33" s="90"/>
      <c r="K33" s="90"/>
      <c r="L33" s="90"/>
      <c r="M33" s="90"/>
      <c r="N33" s="90"/>
      <c r="O33" s="90"/>
      <c r="P33" s="90"/>
      <c r="Q33" s="90"/>
      <c r="R33" s="90"/>
      <c r="S33" s="90"/>
      <c r="T33" s="90"/>
      <c r="U33" s="90"/>
      <c r="V33" s="739"/>
      <c r="W33" s="739">
        <v>48.66</v>
      </c>
      <c r="X33" s="739">
        <v>48.87</v>
      </c>
      <c r="Y33" s="2336">
        <v>49.073140685899645</v>
      </c>
      <c r="Z33" s="2336">
        <v>49.3227764858445</v>
      </c>
      <c r="AA33" s="2336">
        <v>49.474494079764511</v>
      </c>
      <c r="AB33" s="2336">
        <v>49.673560558042219</v>
      </c>
      <c r="AC33" s="2336">
        <v>49.89526785395504</v>
      </c>
      <c r="AD33" s="2336">
        <v>50.000857820769895</v>
      </c>
      <c r="AE33" s="2336">
        <v>50.215429307196665</v>
      </c>
      <c r="AF33" s="2336">
        <v>50.411732789946448</v>
      </c>
      <c r="AG33" s="2336">
        <v>50.5893578385298</v>
      </c>
      <c r="AH33" s="2336">
        <v>50.75021129362063</v>
      </c>
      <c r="AI33" s="2336">
        <v>50.91481528556443</v>
      </c>
      <c r="AJ33" s="2336">
        <v>51.17833532057962</v>
      </c>
      <c r="AK33" s="2336">
        <v>51.427499056095115</v>
      </c>
      <c r="AL33" s="2336">
        <v>51.709975379795488</v>
      </c>
      <c r="AM33" s="2336">
        <v>51.960676508635061</v>
      </c>
      <c r="AN33" s="2336">
        <v>52.158180813706302</v>
      </c>
      <c r="AO33" s="2336">
        <v>52.301240777837577</v>
      </c>
      <c r="AP33" s="2336">
        <v>52.419435401074075</v>
      </c>
      <c r="AQ33" s="2336">
        <v>52.455936845889994</v>
      </c>
      <c r="AR33" s="2336">
        <v>52.505319726108034</v>
      </c>
      <c r="AS33" s="2336">
        <v>52.5119825097362</v>
      </c>
      <c r="AT33" s="2336">
        <v>52.468332869684794</v>
      </c>
      <c r="AU33" s="2336">
        <v>52.503525277044943</v>
      </c>
      <c r="AV33" s="2336">
        <v>52.550520135810586</v>
      </c>
      <c r="AW33" s="2336">
        <v>52.780134014649661</v>
      </c>
      <c r="AX33" s="2336">
        <v>52.818446846595364</v>
      </c>
      <c r="AY33" s="2336">
        <v>52.962297010518519</v>
      </c>
      <c r="AZ33" s="2336">
        <v>53.077552502789906</v>
      </c>
      <c r="BA33" s="2336">
        <v>53.193988779354925</v>
      </c>
      <c r="BB33" s="2336">
        <v>53.315001448250875</v>
      </c>
      <c r="BC33" s="2336">
        <v>53.405493193768841</v>
      </c>
      <c r="BD33" s="2336">
        <v>53.499634921185567</v>
      </c>
      <c r="BE33" s="2336">
        <v>53.616535956428102</v>
      </c>
      <c r="BF33" s="2336">
        <v>53.732714718101356</v>
      </c>
      <c r="BG33" s="2336">
        <v>53.881094142465976</v>
      </c>
      <c r="BH33" s="2336">
        <v>54.061993955669578</v>
      </c>
      <c r="BI33" s="2336">
        <v>54.190088690367986</v>
      </c>
      <c r="BJ33" s="2336">
        <v>54.330935949281546</v>
      </c>
      <c r="BK33" s="2336">
        <v>54.481533712529163</v>
      </c>
      <c r="BL33" s="2336">
        <v>54.675109142653277</v>
      </c>
      <c r="BM33" s="2336">
        <v>54.862814364093133</v>
      </c>
      <c r="BN33" s="2336">
        <v>55.023040943162641</v>
      </c>
      <c r="BO33" s="2336">
        <v>55.15712303342454</v>
      </c>
      <c r="BP33" s="2336">
        <v>55.325038207419233</v>
      </c>
      <c r="BQ33" s="2336">
        <v>55.474037931200279</v>
      </c>
      <c r="BR33" s="2336">
        <v>55.621760089266438</v>
      </c>
      <c r="BS33" s="2336">
        <v>55.768806740290202</v>
      </c>
      <c r="BT33" s="2336">
        <v>55.911886388182452</v>
      </c>
      <c r="BU33" s="2336">
        <v>56.044609090648116</v>
      </c>
      <c r="BV33" s="2336">
        <v>56.179627498210145</v>
      </c>
      <c r="BW33" s="2336">
        <v>56.330860085236743</v>
      </c>
      <c r="BX33" s="2336">
        <v>56.458891146537191</v>
      </c>
      <c r="BY33" s="2336">
        <v>56.5943446140381</v>
      </c>
      <c r="BZ33" s="2336">
        <v>56.723195643151676</v>
      </c>
      <c r="CA33" s="2336">
        <v>56.850609738467604</v>
      </c>
      <c r="CB33" s="2336">
        <v>56.983857035603229</v>
      </c>
      <c r="CC33" s="2336">
        <v>57.11163846577675</v>
      </c>
      <c r="CD33" s="2336">
        <v>57.245590399783303</v>
      </c>
      <c r="CE33" s="2336">
        <v>57.368516099815871</v>
      </c>
      <c r="CF33" s="2336">
        <v>57.497733136911236</v>
      </c>
      <c r="CG33" s="2336">
        <v>57.62456006178958</v>
      </c>
      <c r="CH33" s="2336">
        <v>57.754512331552782</v>
      </c>
      <c r="CI33" s="2336">
        <v>57.888379628304023</v>
      </c>
      <c r="CJ33" s="2336">
        <v>58.012688671797278</v>
      </c>
      <c r="CK33" s="2336">
        <v>58.145358628915311</v>
      </c>
      <c r="CL33" s="2336">
        <v>58.271281855308594</v>
      </c>
      <c r="CM33" s="2336">
        <v>58.400724319219975</v>
      </c>
      <c r="CN33" s="2336">
        <v>58.530126360192902</v>
      </c>
      <c r="CO33" s="2336">
        <v>58.656296851450819</v>
      </c>
      <c r="CP33" s="2336">
        <v>58.782662191280075</v>
      </c>
      <c r="CQ33" s="2336">
        <v>58.907996440551067</v>
      </c>
      <c r="CR33" s="2336">
        <v>59.032302785128735</v>
      </c>
      <c r="CS33" s="2336">
        <v>59.155584848855106</v>
      </c>
      <c r="CT33" s="2336">
        <v>59.277846661954221</v>
      </c>
      <c r="CU33" s="2336">
        <v>59.399092610177767</v>
      </c>
      <c r="CV33" s="2336">
        <v>59.519327378841666</v>
      </c>
      <c r="CW33" s="2336">
        <v>59.638555894833594</v>
      </c>
      <c r="CX33" s="2336">
        <v>59.756783275909122</v>
      </c>
      <c r="CY33" s="2336">
        <v>59.874014782895635</v>
      </c>
      <c r="CZ33" s="2336">
        <v>59.990255773577289</v>
      </c>
      <c r="DA33" s="2336">
        <v>60.105511653680708</v>
      </c>
      <c r="DB33" s="2336">
        <v>60.219787826607053</v>
      </c>
      <c r="DC33" s="2336">
        <v>60.333083371807959</v>
      </c>
      <c r="DD33" s="2336">
        <v>60.445403452201312</v>
      </c>
      <c r="DE33" s="2336">
        <v>60.556753258071545</v>
      </c>
      <c r="DF33" s="2336">
        <v>60.667138005936849</v>
      </c>
      <c r="DG33" s="2336">
        <v>60.776562937440012</v>
      </c>
      <c r="DH33" s="2336">
        <v>60.885033318257676</v>
      </c>
      <c r="DI33" s="2336">
        <v>60.99255443703214</v>
      </c>
      <c r="DJ33" s="2336">
        <v>61.099131604319687</v>
      </c>
      <c r="DK33" s="2336">
        <v>61.204770151559373</v>
      </c>
      <c r="DL33" s="2336">
        <v>61.309475430059159</v>
      </c>
      <c r="DM33" s="2336">
        <v>61.413252809997651</v>
      </c>
      <c r="DN33" s="2336">
        <v>61.516107679445184</v>
      </c>
      <c r="DO33" s="2336">
        <v>61.618045443397648</v>
      </c>
      <c r="DP33" s="2336">
        <v>61.719071522827754</v>
      </c>
      <c r="DQ33" s="2336">
        <v>61.819191353750398</v>
      </c>
      <c r="DR33" s="2336">
        <v>61.918410386302256</v>
      </c>
      <c r="DS33" s="2336">
        <v>62.016734083834997</v>
      </c>
      <c r="DT33" s="2336">
        <v>62.114167922022972</v>
      </c>
      <c r="DU33" s="2336">
        <v>62.210717387982172</v>
      </c>
    </row>
    <row r="34" spans="1:125">
      <c r="A34" s="909">
        <v>32</v>
      </c>
      <c r="B34" s="90"/>
      <c r="C34" s="90"/>
      <c r="D34" s="90"/>
      <c r="E34" s="90"/>
      <c r="F34" s="90"/>
      <c r="G34" s="90"/>
      <c r="H34" s="90"/>
      <c r="I34" s="90"/>
      <c r="J34" s="90"/>
      <c r="K34" s="90"/>
      <c r="L34" s="90"/>
      <c r="M34" s="90"/>
      <c r="N34" s="90"/>
      <c r="O34" s="90"/>
      <c r="P34" s="90"/>
      <c r="Q34" s="90"/>
      <c r="R34" s="90"/>
      <c r="S34" s="90"/>
      <c r="T34" s="90"/>
      <c r="U34" s="90"/>
      <c r="V34" s="739"/>
      <c r="W34" s="739">
        <v>47.73</v>
      </c>
      <c r="X34" s="739">
        <v>47.93</v>
      </c>
      <c r="Y34" s="2336">
        <v>48.136006266424573</v>
      </c>
      <c r="Z34" s="2336">
        <v>48.383272950700999</v>
      </c>
      <c r="AA34" s="2336">
        <v>48.534061458932428</v>
      </c>
      <c r="AB34" s="2336">
        <v>48.728458092686168</v>
      </c>
      <c r="AC34" s="2336">
        <v>48.949517751061123</v>
      </c>
      <c r="AD34" s="2336">
        <v>49.062070936676264</v>
      </c>
      <c r="AE34" s="2336">
        <v>49.272102891702644</v>
      </c>
      <c r="AF34" s="2336">
        <v>49.463564466921206</v>
      </c>
      <c r="AG34" s="2336">
        <v>49.640339276622704</v>
      </c>
      <c r="AH34" s="2336">
        <v>49.798295270942951</v>
      </c>
      <c r="AI34" s="2336">
        <v>49.962816213600867</v>
      </c>
      <c r="AJ34" s="2336">
        <v>50.231315213745646</v>
      </c>
      <c r="AK34" s="2336">
        <v>50.469460608164184</v>
      </c>
      <c r="AL34" s="2336">
        <v>50.751599054338293</v>
      </c>
      <c r="AM34" s="2336">
        <v>51.004467997855578</v>
      </c>
      <c r="AN34" s="2336">
        <v>51.203063344420187</v>
      </c>
      <c r="AO34" s="2336">
        <v>51.3435257465216</v>
      </c>
      <c r="AP34" s="2336">
        <v>51.462718631816159</v>
      </c>
      <c r="AQ34" s="2336">
        <v>51.496790654856028</v>
      </c>
      <c r="AR34" s="2336">
        <v>51.543793240578182</v>
      </c>
      <c r="AS34" s="2336">
        <v>51.557547704203991</v>
      </c>
      <c r="AT34" s="2336">
        <v>51.510686079833405</v>
      </c>
      <c r="AU34" s="2336">
        <v>51.545957803730317</v>
      </c>
      <c r="AV34" s="2336">
        <v>51.591871132309095</v>
      </c>
      <c r="AW34" s="2336">
        <v>51.818693940326888</v>
      </c>
      <c r="AX34" s="2336">
        <v>51.854609441463481</v>
      </c>
      <c r="AY34" s="2336">
        <v>51.999661124805229</v>
      </c>
      <c r="AZ34" s="2336">
        <v>52.116256983880064</v>
      </c>
      <c r="BA34" s="2336">
        <v>52.229788344470286</v>
      </c>
      <c r="BB34" s="2336">
        <v>52.346378859359284</v>
      </c>
      <c r="BC34" s="2336">
        <v>52.43570379305995</v>
      </c>
      <c r="BD34" s="2336">
        <v>52.531386040201127</v>
      </c>
      <c r="BE34" s="2336">
        <v>52.648060988350565</v>
      </c>
      <c r="BF34" s="2336">
        <v>52.76671988872188</v>
      </c>
      <c r="BG34" s="2336">
        <v>52.910908753871517</v>
      </c>
      <c r="BH34" s="2336">
        <v>53.094029326301531</v>
      </c>
      <c r="BI34" s="2336">
        <v>53.221047381519732</v>
      </c>
      <c r="BJ34" s="2336">
        <v>53.358183963114989</v>
      </c>
      <c r="BK34" s="2336">
        <v>53.510848007712056</v>
      </c>
      <c r="BL34" s="2336">
        <v>53.700608365855445</v>
      </c>
      <c r="BM34" s="2336">
        <v>53.889515501872786</v>
      </c>
      <c r="BN34" s="2336">
        <v>54.05135852777186</v>
      </c>
      <c r="BO34" s="2336">
        <v>54.182274786841305</v>
      </c>
      <c r="BP34" s="2336">
        <v>54.348321668255736</v>
      </c>
      <c r="BQ34" s="2336">
        <v>54.494560037331297</v>
      </c>
      <c r="BR34" s="2336">
        <v>54.64433792580688</v>
      </c>
      <c r="BS34" s="2336">
        <v>54.790256877808659</v>
      </c>
      <c r="BT34" s="2336">
        <v>54.930871075397548</v>
      </c>
      <c r="BU34" s="2336">
        <v>55.065720536670227</v>
      </c>
      <c r="BV34" s="2336">
        <v>55.199355687977118</v>
      </c>
      <c r="BW34" s="2336">
        <v>55.348444146574316</v>
      </c>
      <c r="BX34" s="2336">
        <v>55.477452597044639</v>
      </c>
      <c r="BY34" s="2336">
        <v>55.610200394459056</v>
      </c>
      <c r="BZ34" s="2336">
        <v>55.744342347367827</v>
      </c>
      <c r="CA34" s="2336">
        <v>55.867743118845567</v>
      </c>
      <c r="CB34" s="2336">
        <v>56.000579252712626</v>
      </c>
      <c r="CC34" s="2336">
        <v>56.129673135068131</v>
      </c>
      <c r="CD34" s="2336">
        <v>56.260825922032083</v>
      </c>
      <c r="CE34" s="2336">
        <v>56.386504996282454</v>
      </c>
      <c r="CF34" s="2336">
        <v>56.513586060641451</v>
      </c>
      <c r="CG34" s="2336">
        <v>56.643599037475518</v>
      </c>
      <c r="CH34" s="2336">
        <v>56.772620637280276</v>
      </c>
      <c r="CI34" s="2336">
        <v>56.906288820110582</v>
      </c>
      <c r="CJ34" s="2336">
        <v>57.033496356660244</v>
      </c>
      <c r="CK34" s="2336">
        <v>57.161897837785666</v>
      </c>
      <c r="CL34" s="2336">
        <v>57.291024762015503</v>
      </c>
      <c r="CM34" s="2336">
        <v>57.4170515008351</v>
      </c>
      <c r="CN34" s="2336">
        <v>57.546604546917337</v>
      </c>
      <c r="CO34" s="2336">
        <v>57.673598951580772</v>
      </c>
      <c r="CP34" s="2336">
        <v>57.799568398727317</v>
      </c>
      <c r="CQ34" s="2336">
        <v>57.924515447613643</v>
      </c>
      <c r="CR34" s="2336">
        <v>58.048443104958189</v>
      </c>
      <c r="CS34" s="2336">
        <v>58.171354818878292</v>
      </c>
      <c r="CT34" s="2336">
        <v>58.293254447224939</v>
      </c>
      <c r="CU34" s="2336">
        <v>58.414146206655595</v>
      </c>
      <c r="CV34" s="2336">
        <v>58.534034616599996</v>
      </c>
      <c r="CW34" s="2336">
        <v>58.652924441199254</v>
      </c>
      <c r="CX34" s="2336">
        <v>58.770820638538332</v>
      </c>
      <c r="CY34" s="2336">
        <v>58.88772831278952</v>
      </c>
      <c r="CZ34" s="2336">
        <v>59.003652668039379</v>
      </c>
      <c r="DA34" s="2336">
        <v>59.118598959217898</v>
      </c>
      <c r="DB34" s="2336">
        <v>59.232566664933934</v>
      </c>
      <c r="DC34" s="2336">
        <v>59.345560765070033</v>
      </c>
      <c r="DD34" s="2336">
        <v>59.457586271064613</v>
      </c>
      <c r="DE34" s="2336">
        <v>59.568648224708539</v>
      </c>
      <c r="DF34" s="2336">
        <v>59.678751696963054</v>
      </c>
      <c r="DG34" s="2336">
        <v>59.787901786801768</v>
      </c>
      <c r="DH34" s="2336">
        <v>59.896103620071713</v>
      </c>
      <c r="DI34" s="2336">
        <v>60.00336234837723</v>
      </c>
      <c r="DJ34" s="2336">
        <v>60.109683147981002</v>
      </c>
      <c r="DK34" s="2336">
        <v>60.215071218726052</v>
      </c>
      <c r="DL34" s="2336">
        <v>60.319531782975503</v>
      </c>
      <c r="DM34" s="2336">
        <v>60.423070084568607</v>
      </c>
      <c r="DN34" s="2336">
        <v>60.52569138779652</v>
      </c>
      <c r="DO34" s="2336">
        <v>60.627400976391336</v>
      </c>
      <c r="DP34" s="2336">
        <v>60.728204152533245</v>
      </c>
      <c r="DQ34" s="2336">
        <v>60.828106235872148</v>
      </c>
      <c r="DR34" s="2336">
        <v>60.927112562564133</v>
      </c>
      <c r="DS34" s="2336">
        <v>61.025228484322078</v>
      </c>
      <c r="DT34" s="2336">
        <v>61.122459367481312</v>
      </c>
      <c r="DU34" s="2336">
        <v>61.218810592076984</v>
      </c>
    </row>
    <row r="35" spans="1:125">
      <c r="A35" s="909">
        <v>33</v>
      </c>
      <c r="B35" s="90"/>
      <c r="C35" s="90"/>
      <c r="D35" s="90"/>
      <c r="E35" s="90"/>
      <c r="F35" s="90"/>
      <c r="G35" s="90"/>
      <c r="H35" s="90"/>
      <c r="I35" s="90"/>
      <c r="J35" s="90"/>
      <c r="K35" s="90"/>
      <c r="L35" s="90"/>
      <c r="M35" s="90"/>
      <c r="N35" s="90"/>
      <c r="O35" s="90"/>
      <c r="P35" s="90"/>
      <c r="Q35" s="90"/>
      <c r="R35" s="90"/>
      <c r="S35" s="90"/>
      <c r="T35" s="90"/>
      <c r="U35" s="90"/>
      <c r="V35" s="739"/>
      <c r="W35" s="739">
        <v>46.8</v>
      </c>
      <c r="X35" s="739">
        <v>47</v>
      </c>
      <c r="Y35" s="2336">
        <v>47.202034514785034</v>
      </c>
      <c r="Z35" s="2336">
        <v>47.445899962216387</v>
      </c>
      <c r="AA35" s="2336">
        <v>47.597135112330683</v>
      </c>
      <c r="AB35" s="2336">
        <v>47.788045464600067</v>
      </c>
      <c r="AC35" s="2336">
        <v>48.004111366829903</v>
      </c>
      <c r="AD35" s="2336">
        <v>48.114448687920792</v>
      </c>
      <c r="AE35" s="2336">
        <v>48.327537393104457</v>
      </c>
      <c r="AF35" s="2336">
        <v>48.517110651651272</v>
      </c>
      <c r="AG35" s="2336">
        <v>48.690326925114157</v>
      </c>
      <c r="AH35" s="2336">
        <v>48.849978032276169</v>
      </c>
      <c r="AI35" s="2336">
        <v>49.014147949772862</v>
      </c>
      <c r="AJ35" s="2336">
        <v>49.279166175064915</v>
      </c>
      <c r="AK35" s="2336">
        <v>49.519311761303562</v>
      </c>
      <c r="AL35" s="2336">
        <v>49.796779263036804</v>
      </c>
      <c r="AM35" s="2336">
        <v>50.052141427189731</v>
      </c>
      <c r="AN35" s="2336">
        <v>50.246483008222881</v>
      </c>
      <c r="AO35" s="2336">
        <v>50.388534090614321</v>
      </c>
      <c r="AP35" s="2336">
        <v>50.506391529320332</v>
      </c>
      <c r="AQ35" s="2336">
        <v>50.541263958577396</v>
      </c>
      <c r="AR35" s="2336">
        <v>50.589455432688283</v>
      </c>
      <c r="AS35" s="2336">
        <v>50.600516571974367</v>
      </c>
      <c r="AT35" s="2336">
        <v>50.552719407462476</v>
      </c>
      <c r="AU35" s="2336">
        <v>50.588956472970835</v>
      </c>
      <c r="AV35" s="2336">
        <v>50.633756478758301</v>
      </c>
      <c r="AW35" s="2336">
        <v>50.859287153168644</v>
      </c>
      <c r="AX35" s="2336">
        <v>50.896024985406676</v>
      </c>
      <c r="AY35" s="2336">
        <v>51.037802979285132</v>
      </c>
      <c r="AZ35" s="2336">
        <v>51.152168243106509</v>
      </c>
      <c r="BA35" s="2336">
        <v>51.264160792659702</v>
      </c>
      <c r="BB35" s="2336">
        <v>51.38120787430055</v>
      </c>
      <c r="BC35" s="2336">
        <v>51.471418733420492</v>
      </c>
      <c r="BD35" s="2336">
        <v>51.563064369268673</v>
      </c>
      <c r="BE35" s="2336">
        <v>51.682725289787172</v>
      </c>
      <c r="BF35" s="2336">
        <v>51.800477134759213</v>
      </c>
      <c r="BG35" s="2336">
        <v>51.945832287979847</v>
      </c>
      <c r="BH35" s="2336">
        <v>52.127364353272014</v>
      </c>
      <c r="BI35" s="2336">
        <v>52.254967300695547</v>
      </c>
      <c r="BJ35" s="2336">
        <v>52.389064951745887</v>
      </c>
      <c r="BK35" s="2336">
        <v>52.54196997592355</v>
      </c>
      <c r="BL35" s="2336">
        <v>52.732139489993557</v>
      </c>
      <c r="BM35" s="2336">
        <v>52.915113705966945</v>
      </c>
      <c r="BN35" s="2336">
        <v>53.078208113708492</v>
      </c>
      <c r="BO35" s="2336">
        <v>53.205670987156076</v>
      </c>
      <c r="BP35" s="2336">
        <v>53.372063385319606</v>
      </c>
      <c r="BQ35" s="2336">
        <v>53.520603836538285</v>
      </c>
      <c r="BR35" s="2336">
        <v>53.666318746230239</v>
      </c>
      <c r="BS35" s="2336">
        <v>53.809803913982684</v>
      </c>
      <c r="BT35" s="2336">
        <v>53.950954244230523</v>
      </c>
      <c r="BU35" s="2336">
        <v>54.084194677519335</v>
      </c>
      <c r="BV35" s="2336">
        <v>54.219249834038706</v>
      </c>
      <c r="BW35" s="2336">
        <v>54.366873959591437</v>
      </c>
      <c r="BX35" s="2336">
        <v>54.495924391407819</v>
      </c>
      <c r="BY35" s="2336">
        <v>54.628695985887859</v>
      </c>
      <c r="BZ35" s="2336">
        <v>54.762426332016616</v>
      </c>
      <c r="CA35" s="2336">
        <v>54.887666358182713</v>
      </c>
      <c r="CB35" s="2336">
        <v>55.019651002292079</v>
      </c>
      <c r="CC35" s="2336">
        <v>55.147894613206425</v>
      </c>
      <c r="CD35" s="2336">
        <v>55.277361195900539</v>
      </c>
      <c r="CE35" s="2336">
        <v>55.405381412041955</v>
      </c>
      <c r="CF35" s="2336">
        <v>55.534551553926882</v>
      </c>
      <c r="CG35" s="2336">
        <v>55.662584772538828</v>
      </c>
      <c r="CH35" s="2336">
        <v>55.791130131572721</v>
      </c>
      <c r="CI35" s="2336">
        <v>55.924731778652109</v>
      </c>
      <c r="CJ35" s="2336">
        <v>56.052711936197568</v>
      </c>
      <c r="CK35" s="2336">
        <v>56.181429069456115</v>
      </c>
      <c r="CL35" s="2336">
        <v>56.307754786908198</v>
      </c>
      <c r="CM35" s="2336">
        <v>56.437761285468511</v>
      </c>
      <c r="CN35" s="2336">
        <v>56.565351634301209</v>
      </c>
      <c r="CO35" s="2336">
        <v>56.691924181576347</v>
      </c>
      <c r="CP35" s="2336">
        <v>56.817480858996262</v>
      </c>
      <c r="CQ35" s="2336">
        <v>56.942024042722672</v>
      </c>
      <c r="CR35" s="2336">
        <v>57.065556559787659</v>
      </c>
      <c r="CS35" s="2336">
        <v>57.188081681968377</v>
      </c>
      <c r="CT35" s="2336">
        <v>57.309603094053763</v>
      </c>
      <c r="CU35" s="2336">
        <v>57.430124842846418</v>
      </c>
      <c r="CV35" s="2336">
        <v>57.549651281059312</v>
      </c>
      <c r="CW35" s="2336">
        <v>57.668187009188379</v>
      </c>
      <c r="CX35" s="2336">
        <v>57.785736824683312</v>
      </c>
      <c r="CY35" s="2336">
        <v>57.902305674032675</v>
      </c>
      <c r="CZ35" s="2336">
        <v>58.017898606535162</v>
      </c>
      <c r="DA35" s="2336">
        <v>58.132515503341068</v>
      </c>
      <c r="DB35" s="2336">
        <v>58.246161154228695</v>
      </c>
      <c r="DC35" s="2336">
        <v>58.358840384746564</v>
      </c>
      <c r="DD35" s="2336">
        <v>58.470558054938977</v>
      </c>
      <c r="DE35" s="2336">
        <v>58.581319058096796</v>
      </c>
      <c r="DF35" s="2336">
        <v>58.691128319530037</v>
      </c>
      <c r="DG35" s="2336">
        <v>58.799990795364792</v>
      </c>
      <c r="DH35" s="2336">
        <v>58.907911471359647</v>
      </c>
      <c r="DI35" s="2336">
        <v>59.014895361745324</v>
      </c>
      <c r="DJ35" s="2336">
        <v>59.120947508081784</v>
      </c>
      <c r="DK35" s="2336">
        <v>59.226072978136813</v>
      </c>
      <c r="DL35" s="2336">
        <v>59.330276864782661</v>
      </c>
      <c r="DM35" s="2336">
        <v>59.433564284909473</v>
      </c>
      <c r="DN35" s="2336">
        <v>59.535940378358845</v>
      </c>
      <c r="DO35" s="2336">
        <v>59.637410306871075</v>
      </c>
      <c r="DP35" s="2336">
        <v>59.737979253050987</v>
      </c>
      <c r="DQ35" s="2336">
        <v>59.837652419348622</v>
      </c>
      <c r="DR35" s="2336">
        <v>59.936435027055282</v>
      </c>
      <c r="DS35" s="2336">
        <v>60.034332315314174</v>
      </c>
      <c r="DT35" s="2336">
        <v>60.131349540146459</v>
      </c>
      <c r="DU35" s="2336">
        <v>60.227491973489656</v>
      </c>
    </row>
    <row r="36" spans="1:125">
      <c r="A36" s="909">
        <v>34</v>
      </c>
      <c r="B36" s="90"/>
      <c r="C36" s="90"/>
      <c r="D36" s="90"/>
      <c r="E36" s="90"/>
      <c r="F36" s="90"/>
      <c r="G36" s="90"/>
      <c r="H36" s="90"/>
      <c r="I36" s="90"/>
      <c r="J36" s="90"/>
      <c r="K36" s="90"/>
      <c r="L36" s="90"/>
      <c r="M36" s="90"/>
      <c r="N36" s="90"/>
      <c r="O36" s="90"/>
      <c r="P36" s="90"/>
      <c r="Q36" s="90"/>
      <c r="R36" s="90"/>
      <c r="S36" s="90"/>
      <c r="T36" s="90"/>
      <c r="U36" s="90"/>
      <c r="V36" s="739"/>
      <c r="W36" s="739">
        <v>45.86</v>
      </c>
      <c r="X36" s="739">
        <v>46.07</v>
      </c>
      <c r="Y36" s="2336">
        <v>46.264095598686737</v>
      </c>
      <c r="Z36" s="2336">
        <v>46.505843714472825</v>
      </c>
      <c r="AA36" s="2336">
        <v>46.653770197999158</v>
      </c>
      <c r="AB36" s="2336">
        <v>46.847304074313122</v>
      </c>
      <c r="AC36" s="2336">
        <v>47.06223426262288</v>
      </c>
      <c r="AD36" s="2336">
        <v>47.169333499909129</v>
      </c>
      <c r="AE36" s="2336">
        <v>47.384376669982295</v>
      </c>
      <c r="AF36" s="2336">
        <v>47.569514139863948</v>
      </c>
      <c r="AG36" s="2336">
        <v>47.741141782009478</v>
      </c>
      <c r="AH36" s="2336">
        <v>47.902111407728334</v>
      </c>
      <c r="AI36" s="2336">
        <v>48.070642186077229</v>
      </c>
      <c r="AJ36" s="2336">
        <v>48.328249647299728</v>
      </c>
      <c r="AK36" s="2336">
        <v>48.566573316003364</v>
      </c>
      <c r="AL36" s="2336">
        <v>48.843621682179233</v>
      </c>
      <c r="AM36" s="2336">
        <v>49.101292231249424</v>
      </c>
      <c r="AN36" s="2336">
        <v>49.293789465931233</v>
      </c>
      <c r="AO36" s="2336">
        <v>49.436628401546457</v>
      </c>
      <c r="AP36" s="2336">
        <v>49.551280248507041</v>
      </c>
      <c r="AQ36" s="2336">
        <v>49.585527439802007</v>
      </c>
      <c r="AR36" s="2336">
        <v>49.634078964147911</v>
      </c>
      <c r="AS36" s="2336">
        <v>49.6449676307315</v>
      </c>
      <c r="AT36" s="2336">
        <v>49.60158859478792</v>
      </c>
      <c r="AU36" s="2336">
        <v>49.635308251114175</v>
      </c>
      <c r="AV36" s="2336">
        <v>49.679296859960395</v>
      </c>
      <c r="AW36" s="2336">
        <v>49.90092738470797</v>
      </c>
      <c r="AX36" s="2336">
        <v>49.932996056589758</v>
      </c>
      <c r="AY36" s="2336">
        <v>50.079533862990637</v>
      </c>
      <c r="AZ36" s="2336">
        <v>50.19012988373516</v>
      </c>
      <c r="BA36" s="2336">
        <v>50.302308928431621</v>
      </c>
      <c r="BB36" s="2336">
        <v>50.415325142044843</v>
      </c>
      <c r="BC36" s="2336">
        <v>50.506526500520039</v>
      </c>
      <c r="BD36" s="2336">
        <v>50.595932104488682</v>
      </c>
      <c r="BE36" s="2336">
        <v>50.718707969261985</v>
      </c>
      <c r="BF36" s="2336">
        <v>50.833485511110361</v>
      </c>
      <c r="BG36" s="2336">
        <v>50.983099311285109</v>
      </c>
      <c r="BH36" s="2336">
        <v>51.161889054511065</v>
      </c>
      <c r="BI36" s="2336">
        <v>51.2892214626971</v>
      </c>
      <c r="BJ36" s="2336">
        <v>51.426830949691073</v>
      </c>
      <c r="BK36" s="2336">
        <v>51.575470964996605</v>
      </c>
      <c r="BL36" s="2336">
        <v>51.762370560600907</v>
      </c>
      <c r="BM36" s="2336">
        <v>51.942764476346021</v>
      </c>
      <c r="BN36" s="2336">
        <v>52.104571345945935</v>
      </c>
      <c r="BO36" s="2336">
        <v>52.231906558879281</v>
      </c>
      <c r="BP36" s="2336">
        <v>52.39810422076215</v>
      </c>
      <c r="BQ36" s="2336">
        <v>52.543809114957817</v>
      </c>
      <c r="BR36" s="2336">
        <v>52.687449147346179</v>
      </c>
      <c r="BS36" s="2336">
        <v>52.831071729026682</v>
      </c>
      <c r="BT36" s="2336">
        <v>52.972826089002893</v>
      </c>
      <c r="BU36" s="2336">
        <v>53.104985869580865</v>
      </c>
      <c r="BV36" s="2336">
        <v>53.238036265524187</v>
      </c>
      <c r="BW36" s="2336">
        <v>53.390279776734126</v>
      </c>
      <c r="BX36" s="2336">
        <v>53.51511279169079</v>
      </c>
      <c r="BY36" s="2336">
        <v>53.648093368666416</v>
      </c>
      <c r="BZ36" s="2336">
        <v>53.780918748465965</v>
      </c>
      <c r="CA36" s="2336">
        <v>53.908956096906287</v>
      </c>
      <c r="CB36" s="2336">
        <v>54.041676519082998</v>
      </c>
      <c r="CC36" s="2336">
        <v>54.169798484766488</v>
      </c>
      <c r="CD36" s="2336">
        <v>54.297072960840296</v>
      </c>
      <c r="CE36" s="2336">
        <v>54.425170250037425</v>
      </c>
      <c r="CF36" s="2336">
        <v>54.554109403021435</v>
      </c>
      <c r="CG36" s="2336">
        <v>54.681926626409293</v>
      </c>
      <c r="CH36" s="2336">
        <v>54.812009466626051</v>
      </c>
      <c r="CI36" s="2336">
        <v>54.944011509703287</v>
      </c>
      <c r="CJ36" s="2336">
        <v>55.072736324596711</v>
      </c>
      <c r="CK36" s="2336">
        <v>55.199713836660408</v>
      </c>
      <c r="CL36" s="2336">
        <v>55.329870633185372</v>
      </c>
      <c r="CM36" s="2336">
        <v>55.458022543332248</v>
      </c>
      <c r="CN36" s="2336">
        <v>55.585164800301314</v>
      </c>
      <c r="CO36" s="2336">
        <v>55.711298718460469</v>
      </c>
      <c r="CP36" s="2336">
        <v>55.836426043353178</v>
      </c>
      <c r="CQ36" s="2336">
        <v>55.960548968351716</v>
      </c>
      <c r="CR36" s="2336">
        <v>56.083670141011659</v>
      </c>
      <c r="CS36" s="2336">
        <v>56.20579265688734</v>
      </c>
      <c r="CT36" s="2336">
        <v>56.326920027732726</v>
      </c>
      <c r="CU36" s="2336">
        <v>56.447056130434426</v>
      </c>
      <c r="CV36" s="2336">
        <v>56.566205150841256</v>
      </c>
      <c r="CW36" s="2336">
        <v>56.68437152557231</v>
      </c>
      <c r="CX36" s="2336">
        <v>56.801559891128313</v>
      </c>
      <c r="CY36" s="2336">
        <v>56.917775035920734</v>
      </c>
      <c r="CZ36" s="2336">
        <v>57.033017198098882</v>
      </c>
      <c r="DA36" s="2336">
        <v>57.147290970865015</v>
      </c>
      <c r="DB36" s="2336">
        <v>57.260600987409525</v>
      </c>
      <c r="DC36" s="2336">
        <v>57.37295191956963</v>
      </c>
      <c r="DD36" s="2336">
        <v>57.484348476512992</v>
      </c>
      <c r="DE36" s="2336">
        <v>57.594795403446845</v>
      </c>
      <c r="DF36" s="2336">
        <v>57.704297480349226</v>
      </c>
      <c r="DG36" s="2336">
        <v>57.812859520724615</v>
      </c>
      <c r="DH36" s="2336">
        <v>57.920486370379564</v>
      </c>
      <c r="DI36" s="2336">
        <v>58.027182906221654</v>
      </c>
      <c r="DJ36" s="2336">
        <v>58.132954035076331</v>
      </c>
      <c r="DK36" s="2336">
        <v>58.23780469252543</v>
      </c>
      <c r="DL36" s="2336">
        <v>58.341739841764138</v>
      </c>
      <c r="DM36" s="2336">
        <v>58.44476447247505</v>
      </c>
      <c r="DN36" s="2336">
        <v>58.546883599722626</v>
      </c>
      <c r="DO36" s="2336">
        <v>58.648102262861848</v>
      </c>
      <c r="DP36" s="2336">
        <v>58.748425524465539</v>
      </c>
      <c r="DQ36" s="2336">
        <v>58.847858469267209</v>
      </c>
      <c r="DR36" s="2336">
        <v>58.946406203119338</v>
      </c>
      <c r="DS36" s="2336">
        <v>59.044073851966836</v>
      </c>
      <c r="DT36" s="2336">
        <v>59.140866560836159</v>
      </c>
      <c r="DU36" s="2336">
        <v>59.236789492837211</v>
      </c>
    </row>
    <row r="37" spans="1:125">
      <c r="A37" s="909">
        <v>35</v>
      </c>
      <c r="B37" s="90"/>
      <c r="C37" s="90"/>
      <c r="D37" s="90"/>
      <c r="E37" s="90"/>
      <c r="F37" s="90"/>
      <c r="G37" s="90"/>
      <c r="H37" s="90"/>
      <c r="I37" s="90"/>
      <c r="J37" s="90"/>
      <c r="K37" s="90"/>
      <c r="L37" s="90"/>
      <c r="M37" s="90"/>
      <c r="N37" s="90"/>
      <c r="O37" s="90"/>
      <c r="P37" s="90"/>
      <c r="Q37" s="90"/>
      <c r="R37" s="90"/>
      <c r="S37" s="90"/>
      <c r="T37" s="90"/>
      <c r="U37" s="90"/>
      <c r="V37" s="739"/>
      <c r="W37" s="739">
        <v>44.94</v>
      </c>
      <c r="X37" s="739">
        <v>45.13</v>
      </c>
      <c r="Y37" s="2336">
        <v>45.330771276388575</v>
      </c>
      <c r="Z37" s="2336">
        <v>45.56999588977353</v>
      </c>
      <c r="AA37" s="2336">
        <v>45.716289307188987</v>
      </c>
      <c r="AB37" s="2336">
        <v>45.909568463996067</v>
      </c>
      <c r="AC37" s="2336">
        <v>46.118056607923954</v>
      </c>
      <c r="AD37" s="2336">
        <v>46.223475568796893</v>
      </c>
      <c r="AE37" s="2336">
        <v>46.442360850127336</v>
      </c>
      <c r="AF37" s="2336">
        <v>46.6249534729629</v>
      </c>
      <c r="AG37" s="2336">
        <v>46.796312384991367</v>
      </c>
      <c r="AH37" s="2336">
        <v>46.957953728987114</v>
      </c>
      <c r="AI37" s="2336">
        <v>47.12237167747378</v>
      </c>
      <c r="AJ37" s="2336">
        <v>47.380325184494545</v>
      </c>
      <c r="AK37" s="2336">
        <v>47.619931426781328</v>
      </c>
      <c r="AL37" s="2336">
        <v>47.894525325933706</v>
      </c>
      <c r="AM37" s="2336">
        <v>48.148067877158937</v>
      </c>
      <c r="AN37" s="2336">
        <v>48.342061247291134</v>
      </c>
      <c r="AO37" s="2336">
        <v>48.486567980034302</v>
      </c>
      <c r="AP37" s="2336">
        <v>48.600037899142556</v>
      </c>
      <c r="AQ37" s="2336">
        <v>48.632523688753309</v>
      </c>
      <c r="AR37" s="2336">
        <v>48.678687397930759</v>
      </c>
      <c r="AS37" s="2336">
        <v>48.694460238636054</v>
      </c>
      <c r="AT37" s="2336">
        <v>48.649969581136496</v>
      </c>
      <c r="AU37" s="2336">
        <v>48.675675841945974</v>
      </c>
      <c r="AV37" s="2336">
        <v>48.722873692510426</v>
      </c>
      <c r="AW37" s="2336">
        <v>48.94114852337853</v>
      </c>
      <c r="AX37" s="2336">
        <v>48.97378218039777</v>
      </c>
      <c r="AY37" s="2336">
        <v>49.119391147369882</v>
      </c>
      <c r="AZ37" s="2336">
        <v>49.225919474296965</v>
      </c>
      <c r="BA37" s="2336">
        <v>49.342840814630982</v>
      </c>
      <c r="BB37" s="2336">
        <v>49.45224338913718</v>
      </c>
      <c r="BC37" s="2336">
        <v>49.544516685258337</v>
      </c>
      <c r="BD37" s="2336">
        <v>49.631388260184082</v>
      </c>
      <c r="BE37" s="2336">
        <v>49.758826805248034</v>
      </c>
      <c r="BF37" s="2336">
        <v>49.871312846954261</v>
      </c>
      <c r="BG37" s="2336">
        <v>50.022732361327861</v>
      </c>
      <c r="BH37" s="2336">
        <v>50.200201966766798</v>
      </c>
      <c r="BI37" s="2336">
        <v>50.325096955900939</v>
      </c>
      <c r="BJ37" s="2336">
        <v>50.463517760438826</v>
      </c>
      <c r="BK37" s="2336">
        <v>50.609428487922642</v>
      </c>
      <c r="BL37" s="2336">
        <v>50.794635028414653</v>
      </c>
      <c r="BM37" s="2336">
        <v>50.972721287705454</v>
      </c>
      <c r="BN37" s="2336">
        <v>51.133081893984077</v>
      </c>
      <c r="BO37" s="2336">
        <v>51.258242683181216</v>
      </c>
      <c r="BP37" s="2336">
        <v>51.423047133477354</v>
      </c>
      <c r="BQ37" s="2336">
        <v>51.568835208669448</v>
      </c>
      <c r="BR37" s="2336">
        <v>51.712572805349069</v>
      </c>
      <c r="BS37" s="2336">
        <v>51.855901181697377</v>
      </c>
      <c r="BT37" s="2336">
        <v>51.993132600038571</v>
      </c>
      <c r="BU37" s="2336">
        <v>52.127910995258276</v>
      </c>
      <c r="BV37" s="2336">
        <v>52.258651435189563</v>
      </c>
      <c r="BW37" s="2336">
        <v>52.409985691845925</v>
      </c>
      <c r="BX37" s="2336">
        <v>52.537094682463305</v>
      </c>
      <c r="BY37" s="2336">
        <v>52.672467178577783</v>
      </c>
      <c r="BZ37" s="2336">
        <v>52.802414260060615</v>
      </c>
      <c r="CA37" s="2336">
        <v>52.931261231985197</v>
      </c>
      <c r="CB37" s="2336">
        <v>53.062484968935117</v>
      </c>
      <c r="CC37" s="2336">
        <v>53.188909014186798</v>
      </c>
      <c r="CD37" s="2336">
        <v>53.319433511078557</v>
      </c>
      <c r="CE37" s="2336">
        <v>53.447838616297894</v>
      </c>
      <c r="CF37" s="2336">
        <v>53.57419826649928</v>
      </c>
      <c r="CG37" s="2336">
        <v>53.704607659491529</v>
      </c>
      <c r="CH37" s="2336">
        <v>53.833007967444551</v>
      </c>
      <c r="CI37" s="2336">
        <v>53.964850411686861</v>
      </c>
      <c r="CJ37" s="2336">
        <v>54.093556071636449</v>
      </c>
      <c r="CK37" s="2336">
        <v>54.223044990350303</v>
      </c>
      <c r="CL37" s="2336">
        <v>54.351722859836869</v>
      </c>
      <c r="CM37" s="2336">
        <v>54.479400178770028</v>
      </c>
      <c r="CN37" s="2336">
        <v>54.606077659570893</v>
      </c>
      <c r="CO37" s="2336">
        <v>54.731756428338322</v>
      </c>
      <c r="CP37" s="2336">
        <v>54.85643804564981</v>
      </c>
      <c r="CQ37" s="2336">
        <v>54.980124523165081</v>
      </c>
      <c r="CR37" s="2336">
        <v>55.1028183299278</v>
      </c>
      <c r="CS37" s="2336">
        <v>55.22452238612474</v>
      </c>
      <c r="CT37" s="2336">
        <v>55.34524003122354</v>
      </c>
      <c r="CU37" s="2336">
        <v>55.46497497283891</v>
      </c>
      <c r="CV37" s="2336">
        <v>55.58373123049715</v>
      </c>
      <c r="CW37" s="2336">
        <v>55.701513077381875</v>
      </c>
      <c r="CX37" s="2336">
        <v>55.818324989388344</v>
      </c>
      <c r="CY37" s="2336">
        <v>55.934167470719068</v>
      </c>
      <c r="CZ37" s="2336">
        <v>56.049044912138733</v>
      </c>
      <c r="DA37" s="2336">
        <v>56.162961748601951</v>
      </c>
      <c r="DB37" s="2336">
        <v>56.275922457848125</v>
      </c>
      <c r="DC37" s="2336">
        <v>56.387931559022306</v>
      </c>
      <c r="DD37" s="2336">
        <v>56.498993611321268</v>
      </c>
      <c r="DE37" s="2336">
        <v>56.609113212665044</v>
      </c>
      <c r="DF37" s="2336">
        <v>56.718294998390732</v>
      </c>
      <c r="DG37" s="2336">
        <v>56.826543639971021</v>
      </c>
      <c r="DH37" s="2336">
        <v>56.933863843752626</v>
      </c>
      <c r="DI37" s="2336">
        <v>57.040260349718451</v>
      </c>
      <c r="DJ37" s="2336">
        <v>57.145737930267671</v>
      </c>
      <c r="DK37" s="2336">
        <v>57.250301389017814</v>
      </c>
      <c r="DL37" s="2336">
        <v>57.353955559625426</v>
      </c>
      <c r="DM37" s="2336">
        <v>57.456705304624165</v>
      </c>
      <c r="DN37" s="2336">
        <v>57.558555514283348</v>
      </c>
      <c r="DO37" s="2336">
        <v>57.659511105481194</v>
      </c>
      <c r="DP37" s="2336">
        <v>57.75957702059678</v>
      </c>
      <c r="DQ37" s="2336">
        <v>57.858758226417919</v>
      </c>
      <c r="DR37" s="2336">
        <v>57.957059713064666</v>
      </c>
      <c r="DS37" s="2336">
        <v>58.054486492928426</v>
      </c>
      <c r="DT37" s="2336">
        <v>58.151043599626817</v>
      </c>
      <c r="DU37" s="2336">
        <v>58.246736086971794</v>
      </c>
    </row>
    <row r="38" spans="1:125">
      <c r="A38" s="909">
        <v>36</v>
      </c>
      <c r="B38" s="90"/>
      <c r="C38" s="90"/>
      <c r="D38" s="90"/>
      <c r="E38" s="90"/>
      <c r="F38" s="90"/>
      <c r="G38" s="90"/>
      <c r="H38" s="90"/>
      <c r="I38" s="90"/>
      <c r="J38" s="90"/>
      <c r="K38" s="90"/>
      <c r="L38" s="90"/>
      <c r="M38" s="90"/>
      <c r="N38" s="90"/>
      <c r="O38" s="90"/>
      <c r="P38" s="90"/>
      <c r="Q38" s="90"/>
      <c r="R38" s="90"/>
      <c r="S38" s="90"/>
      <c r="T38" s="90"/>
      <c r="U38" s="90"/>
      <c r="V38" s="739"/>
      <c r="W38" s="739">
        <v>44</v>
      </c>
      <c r="X38" s="739">
        <v>44.2</v>
      </c>
      <c r="Y38" s="2336">
        <v>44.394540845464697</v>
      </c>
      <c r="Z38" s="2336">
        <v>44.636471032507586</v>
      </c>
      <c r="AA38" s="2336">
        <v>44.782513888346877</v>
      </c>
      <c r="AB38" s="2336">
        <v>44.974394120211372</v>
      </c>
      <c r="AC38" s="2336">
        <v>45.179881779156638</v>
      </c>
      <c r="AD38" s="2336">
        <v>45.285003987852569</v>
      </c>
      <c r="AE38" s="2336">
        <v>45.502029778936695</v>
      </c>
      <c r="AF38" s="2336">
        <v>45.682721766504123</v>
      </c>
      <c r="AG38" s="2336">
        <v>45.854821849088019</v>
      </c>
      <c r="AH38" s="2336">
        <v>46.0136664946587</v>
      </c>
      <c r="AI38" s="2336">
        <v>46.179366507926815</v>
      </c>
      <c r="AJ38" s="2336">
        <v>46.439364181633387</v>
      </c>
      <c r="AK38" s="2336">
        <v>46.675163141419731</v>
      </c>
      <c r="AL38" s="2336">
        <v>46.951582304679143</v>
      </c>
      <c r="AM38" s="2336">
        <v>47.195952957704272</v>
      </c>
      <c r="AN38" s="2336">
        <v>47.394208899662729</v>
      </c>
      <c r="AO38" s="2336">
        <v>47.536045120272227</v>
      </c>
      <c r="AP38" s="2336">
        <v>47.648822858917164</v>
      </c>
      <c r="AQ38" s="2336">
        <v>47.682657423238545</v>
      </c>
      <c r="AR38" s="2336">
        <v>47.731730605473594</v>
      </c>
      <c r="AS38" s="2336">
        <v>47.742751363012459</v>
      </c>
      <c r="AT38" s="2336">
        <v>47.698818540764947</v>
      </c>
      <c r="AU38" s="2336">
        <v>47.724224993575106</v>
      </c>
      <c r="AV38" s="2336">
        <v>47.768401035508063</v>
      </c>
      <c r="AW38" s="2336">
        <v>47.988471320567349</v>
      </c>
      <c r="AX38" s="2336">
        <v>48.018490192356872</v>
      </c>
      <c r="AY38" s="2336">
        <v>48.165777108067743</v>
      </c>
      <c r="AZ38" s="2336">
        <v>48.26285894380122</v>
      </c>
      <c r="BA38" s="2336">
        <v>48.381656238636289</v>
      </c>
      <c r="BB38" s="2336">
        <v>48.49088393191262</v>
      </c>
      <c r="BC38" s="2336">
        <v>48.583519060789527</v>
      </c>
      <c r="BD38" s="2336">
        <v>48.669863263765428</v>
      </c>
      <c r="BE38" s="2336">
        <v>48.79972765869725</v>
      </c>
      <c r="BF38" s="2336">
        <v>48.910878247524899</v>
      </c>
      <c r="BG38" s="2336">
        <v>49.062164351687763</v>
      </c>
      <c r="BH38" s="2336">
        <v>49.234455141600009</v>
      </c>
      <c r="BI38" s="2336">
        <v>49.363171996467088</v>
      </c>
      <c r="BJ38" s="2336">
        <v>49.502083568870333</v>
      </c>
      <c r="BK38" s="2336">
        <v>49.642300433636663</v>
      </c>
      <c r="BL38" s="2336">
        <v>49.82977675730401</v>
      </c>
      <c r="BM38" s="2336">
        <v>50.00327452974652</v>
      </c>
      <c r="BN38" s="2336">
        <v>50.161746841357967</v>
      </c>
      <c r="BO38" s="2336">
        <v>50.288130546483799</v>
      </c>
      <c r="BP38" s="2336">
        <v>50.451342637760803</v>
      </c>
      <c r="BQ38" s="2336">
        <v>50.597193102893577</v>
      </c>
      <c r="BR38" s="2336">
        <v>50.738598465925485</v>
      </c>
      <c r="BS38" s="2336">
        <v>50.879458161348381</v>
      </c>
      <c r="BT38" s="2336">
        <v>51.017692324222487</v>
      </c>
      <c r="BU38" s="2336">
        <v>51.151618022991002</v>
      </c>
      <c r="BV38" s="2336">
        <v>51.281318922199503</v>
      </c>
      <c r="BW38" s="2336">
        <v>51.431587757176821</v>
      </c>
      <c r="BX38" s="2336">
        <v>51.560742352842247</v>
      </c>
      <c r="BY38" s="2336">
        <v>51.691175221739172</v>
      </c>
      <c r="BZ38" s="2336">
        <v>51.826280984834469</v>
      </c>
      <c r="CA38" s="2336">
        <v>51.9545962999184</v>
      </c>
      <c r="CB38" s="2336">
        <v>52.083983269054862</v>
      </c>
      <c r="CC38" s="2336">
        <v>52.209232563013074</v>
      </c>
      <c r="CD38" s="2336">
        <v>52.342938729557069</v>
      </c>
      <c r="CE38" s="2336">
        <v>52.468885097314555</v>
      </c>
      <c r="CF38" s="2336">
        <v>52.596642753674217</v>
      </c>
      <c r="CG38" s="2336">
        <v>52.727872247872007</v>
      </c>
      <c r="CH38" s="2336">
        <v>52.860590147773337</v>
      </c>
      <c r="CI38" s="2336">
        <v>52.988432552487041</v>
      </c>
      <c r="CJ38" s="2336">
        <v>53.117407875440456</v>
      </c>
      <c r="CK38" s="2336">
        <v>53.246574859188463</v>
      </c>
      <c r="CL38" s="2336">
        <v>53.37475130806844</v>
      </c>
      <c r="CM38" s="2336">
        <v>53.50193735074069</v>
      </c>
      <c r="CN38" s="2336">
        <v>53.628133510198673</v>
      </c>
      <c r="CO38" s="2336">
        <v>53.753340726325568</v>
      </c>
      <c r="CP38" s="2336">
        <v>53.877560376651239</v>
      </c>
      <c r="CQ38" s="2336">
        <v>54.000794292910335</v>
      </c>
      <c r="CR38" s="2336">
        <v>54.123044767294779</v>
      </c>
      <c r="CS38" s="2336">
        <v>54.244314546160119</v>
      </c>
      <c r="CT38" s="2336">
        <v>54.364606798102692</v>
      </c>
      <c r="CU38" s="2336">
        <v>54.483925062761323</v>
      </c>
      <c r="CV38" s="2336">
        <v>54.602273194518965</v>
      </c>
      <c r="CW38" s="2336">
        <v>54.719655304188308</v>
      </c>
      <c r="CX38" s="2336">
        <v>54.836072030559869</v>
      </c>
      <c r="CY38" s="2336">
        <v>54.951527556684248</v>
      </c>
      <c r="CZ38" s="2336">
        <v>55.066026113970111</v>
      </c>
      <c r="DA38" s="2336">
        <v>55.179571980717633</v>
      </c>
      <c r="DB38" s="2336">
        <v>55.292169480680009</v>
      </c>
      <c r="DC38" s="2336">
        <v>55.403822981650954</v>
      </c>
      <c r="DD38" s="2336">
        <v>55.514536894077352</v>
      </c>
      <c r="DE38" s="2336">
        <v>55.624315669697388</v>
      </c>
      <c r="DF38" s="2336">
        <v>55.733163800201098</v>
      </c>
      <c r="DG38" s="2336">
        <v>55.841085815915541</v>
      </c>
      <c r="DH38" s="2336">
        <v>55.948086284510076</v>
      </c>
      <c r="DI38" s="2336">
        <v>56.054169809725337</v>
      </c>
      <c r="DJ38" s="2336">
        <v>56.15934103012043</v>
      </c>
      <c r="DK38" s="2336">
        <v>56.263604617841914</v>
      </c>
      <c r="DL38" s="2336">
        <v>56.366965277411829</v>
      </c>
      <c r="DM38" s="2336">
        <v>56.469427744533128</v>
      </c>
      <c r="DN38" s="2336">
        <v>56.57099678491565</v>
      </c>
      <c r="DO38" s="2336">
        <v>56.671677193117162</v>
      </c>
      <c r="DP38" s="2336">
        <v>56.771473791403103</v>
      </c>
      <c r="DQ38" s="2336">
        <v>56.870391428622497</v>
      </c>
      <c r="DR38" s="2336">
        <v>56.968434979099712</v>
      </c>
      <c r="DS38" s="2336">
        <v>57.065609341542</v>
      </c>
      <c r="DT38" s="2336">
        <v>57.161919437963029</v>
      </c>
      <c r="DU38" s="2336">
        <v>57.257370212619847</v>
      </c>
    </row>
    <row r="39" spans="1:125">
      <c r="A39" s="909">
        <v>37</v>
      </c>
      <c r="B39" s="90"/>
      <c r="C39" s="90"/>
      <c r="D39" s="90"/>
      <c r="E39" s="90"/>
      <c r="F39" s="90"/>
      <c r="G39" s="90"/>
      <c r="H39" s="90"/>
      <c r="I39" s="90"/>
      <c r="J39" s="90"/>
      <c r="K39" s="90"/>
      <c r="L39" s="90"/>
      <c r="M39" s="90"/>
      <c r="N39" s="90"/>
      <c r="O39" s="90"/>
      <c r="P39" s="90"/>
      <c r="Q39" s="90"/>
      <c r="R39" s="90"/>
      <c r="S39" s="90"/>
      <c r="T39" s="90"/>
      <c r="U39" s="90"/>
      <c r="V39" s="739"/>
      <c r="W39" s="739">
        <v>43.07</v>
      </c>
      <c r="X39" s="739">
        <v>43.27</v>
      </c>
      <c r="Y39" s="2336">
        <v>43.46597807774733</v>
      </c>
      <c r="Z39" s="2336">
        <v>43.703885589589703</v>
      </c>
      <c r="AA39" s="2336">
        <v>43.847423501087128</v>
      </c>
      <c r="AB39" s="2336">
        <v>44.033319015806534</v>
      </c>
      <c r="AC39" s="2336">
        <v>44.242801053154473</v>
      </c>
      <c r="AD39" s="2336">
        <v>44.346212173299328</v>
      </c>
      <c r="AE39" s="2336">
        <v>44.559345811401798</v>
      </c>
      <c r="AF39" s="2336">
        <v>44.743773892812783</v>
      </c>
      <c r="AG39" s="2336">
        <v>44.912964986919171</v>
      </c>
      <c r="AH39" s="2336">
        <v>45.070304274274569</v>
      </c>
      <c r="AI39" s="2336">
        <v>45.240840872459906</v>
      </c>
      <c r="AJ39" s="2336">
        <v>45.500456561066827</v>
      </c>
      <c r="AK39" s="2336">
        <v>45.732556408905751</v>
      </c>
      <c r="AL39" s="2336">
        <v>46.007250527517186</v>
      </c>
      <c r="AM39" s="2336">
        <v>46.247415630696594</v>
      </c>
      <c r="AN39" s="2336">
        <v>46.447614315994983</v>
      </c>
      <c r="AO39" s="2336">
        <v>46.589978884040725</v>
      </c>
      <c r="AP39" s="2336">
        <v>46.700221554613876</v>
      </c>
      <c r="AQ39" s="2336">
        <v>46.732100301783682</v>
      </c>
      <c r="AR39" s="2336">
        <v>46.781496306316825</v>
      </c>
      <c r="AS39" s="2336">
        <v>46.791905222865928</v>
      </c>
      <c r="AT39" s="2336">
        <v>46.748341633813055</v>
      </c>
      <c r="AU39" s="2336">
        <v>46.773593051413684</v>
      </c>
      <c r="AV39" s="2336">
        <v>46.820284994354104</v>
      </c>
      <c r="AW39" s="2336">
        <v>47.03463326161787</v>
      </c>
      <c r="AX39" s="2336">
        <v>47.064263819748042</v>
      </c>
      <c r="AY39" s="2336">
        <v>47.208221891011739</v>
      </c>
      <c r="AZ39" s="2336">
        <v>47.303387846196124</v>
      </c>
      <c r="BA39" s="2336">
        <v>47.423456171721618</v>
      </c>
      <c r="BB39" s="2336">
        <v>47.533906390048472</v>
      </c>
      <c r="BC39" s="2336">
        <v>47.627998249249124</v>
      </c>
      <c r="BD39" s="2336">
        <v>47.719460409536289</v>
      </c>
      <c r="BE39" s="2336">
        <v>47.843563652014097</v>
      </c>
      <c r="BF39" s="2336">
        <v>47.95338928016993</v>
      </c>
      <c r="BG39" s="2336">
        <v>48.102564896199205</v>
      </c>
      <c r="BH39" s="2336">
        <v>48.274293636810178</v>
      </c>
      <c r="BI39" s="2336">
        <v>48.399613699552894</v>
      </c>
      <c r="BJ39" s="2336">
        <v>48.539305276285155</v>
      </c>
      <c r="BK39" s="2336">
        <v>48.681494416486935</v>
      </c>
      <c r="BL39" s="2336">
        <v>48.862555251318078</v>
      </c>
      <c r="BM39" s="2336">
        <v>49.033858016443688</v>
      </c>
      <c r="BN39" s="2336">
        <v>49.193598357455173</v>
      </c>
      <c r="BO39" s="2336">
        <v>49.318898645021918</v>
      </c>
      <c r="BP39" s="2336">
        <v>49.482371458200213</v>
      </c>
      <c r="BQ39" s="2336">
        <v>49.623976838503793</v>
      </c>
      <c r="BR39" s="2336">
        <v>49.765062761812374</v>
      </c>
      <c r="BS39" s="2336">
        <v>49.90600779159103</v>
      </c>
      <c r="BT39" s="2336">
        <v>50.043007464391209</v>
      </c>
      <c r="BU39" s="2336">
        <v>50.174623359631191</v>
      </c>
      <c r="BV39" s="2336">
        <v>50.305485502120931</v>
      </c>
      <c r="BW39" s="2336">
        <v>50.456425468790684</v>
      </c>
      <c r="BX39" s="2336">
        <v>50.584099507236139</v>
      </c>
      <c r="BY39" s="2336">
        <v>50.716241879866615</v>
      </c>
      <c r="BZ39" s="2336">
        <v>50.848564677924074</v>
      </c>
      <c r="CA39" s="2336">
        <v>50.979863389747706</v>
      </c>
      <c r="CB39" s="2336">
        <v>51.106952606765688</v>
      </c>
      <c r="CC39" s="2336">
        <v>51.233032790519502</v>
      </c>
      <c r="CD39" s="2336">
        <v>51.366319703704704</v>
      </c>
      <c r="CE39" s="2336">
        <v>51.492108506717301</v>
      </c>
      <c r="CF39" s="2336">
        <v>51.62281863269726</v>
      </c>
      <c r="CG39" s="2336">
        <v>51.752519064487153</v>
      </c>
      <c r="CH39" s="2336">
        <v>51.884207662545457</v>
      </c>
      <c r="CI39" s="2336">
        <v>52.013096478066331</v>
      </c>
      <c r="CJ39" s="2336">
        <v>52.142714378820855</v>
      </c>
      <c r="CK39" s="2336">
        <v>52.271352636339827</v>
      </c>
      <c r="CL39" s="2336">
        <v>52.399010811991587</v>
      </c>
      <c r="CM39" s="2336">
        <v>52.525688844727</v>
      </c>
      <c r="CN39" s="2336">
        <v>52.651387070929459</v>
      </c>
      <c r="CO39" s="2336">
        <v>52.776106246933089</v>
      </c>
      <c r="CP39" s="2336">
        <v>52.899847569740182</v>
      </c>
      <c r="CQ39" s="2336">
        <v>53.022612693537937</v>
      </c>
      <c r="CR39" s="2336">
        <v>53.144403735905613</v>
      </c>
      <c r="CS39" s="2336">
        <v>53.26522327147125</v>
      </c>
      <c r="CT39" s="2336">
        <v>53.385074299931084</v>
      </c>
      <c r="CU39" s="2336">
        <v>53.503960194788803</v>
      </c>
      <c r="CV39" s="2336">
        <v>53.621884646996563</v>
      </c>
      <c r="CW39" s="2336">
        <v>53.738848257877798</v>
      </c>
      <c r="CX39" s="2336">
        <v>53.854854998014005</v>
      </c>
      <c r="CY39" s="2336">
        <v>53.969908890461937</v>
      </c>
      <c r="CZ39" s="2336">
        <v>54.084014009230401</v>
      </c>
      <c r="DA39" s="2336">
        <v>54.197174477784813</v>
      </c>
      <c r="DB39" s="2336">
        <v>54.309394467579693</v>
      </c>
      <c r="DC39" s="2336">
        <v>54.420678196617175</v>
      </c>
      <c r="DD39" s="2336">
        <v>54.531029928030392</v>
      </c>
      <c r="DE39" s="2336">
        <v>54.64045396869242</v>
      </c>
      <c r="DF39" s="2336">
        <v>54.748954667847471</v>
      </c>
      <c r="DG39" s="2336">
        <v>54.856536415766726</v>
      </c>
      <c r="DH39" s="2336">
        <v>54.963203642424297</v>
      </c>
      <c r="DI39" s="2336">
        <v>55.068960816196721</v>
      </c>
      <c r="DJ39" s="2336">
        <v>55.173812442580854</v>
      </c>
      <c r="DK39" s="2336">
        <v>55.277763062933523</v>
      </c>
      <c r="DL39" s="2336">
        <v>55.380817253230212</v>
      </c>
      <c r="DM39" s="2336">
        <v>55.482979622841277</v>
      </c>
      <c r="DN39" s="2336">
        <v>55.58425481332872</v>
      </c>
      <c r="DO39" s="2336">
        <v>55.684647497258148</v>
      </c>
      <c r="DP39" s="2336">
        <v>55.784162377029489</v>
      </c>
      <c r="DQ39" s="2336">
        <v>55.882804183724041</v>
      </c>
      <c r="DR39" s="2336">
        <v>55.980577675967403</v>
      </c>
      <c r="DS39" s="2336">
        <v>56.077487638808414</v>
      </c>
      <c r="DT39" s="2336">
        <v>56.173538882614103</v>
      </c>
      <c r="DU39" s="2336">
        <v>56.268736241978353</v>
      </c>
    </row>
    <row r="40" spans="1:125">
      <c r="A40" s="909">
        <v>38</v>
      </c>
      <c r="B40" s="90"/>
      <c r="C40" s="90"/>
      <c r="D40" s="90"/>
      <c r="E40" s="90"/>
      <c r="F40" s="90"/>
      <c r="G40" s="90"/>
      <c r="H40" s="90"/>
      <c r="I40" s="90"/>
      <c r="J40" s="90"/>
      <c r="K40" s="90"/>
      <c r="L40" s="90"/>
      <c r="M40" s="90"/>
      <c r="N40" s="90"/>
      <c r="O40" s="90"/>
      <c r="P40" s="90"/>
      <c r="Q40" s="90"/>
      <c r="R40" s="90"/>
      <c r="S40" s="90"/>
      <c r="T40" s="90"/>
      <c r="U40" s="90"/>
      <c r="V40" s="739"/>
      <c r="W40" s="739">
        <v>42.15</v>
      </c>
      <c r="X40" s="739">
        <v>42.34</v>
      </c>
      <c r="Y40" s="2336">
        <v>42.54011098709843</v>
      </c>
      <c r="Z40" s="2336">
        <v>42.774353034160228</v>
      </c>
      <c r="AA40" s="2336">
        <v>42.915880650149724</v>
      </c>
      <c r="AB40" s="2336">
        <v>43.096410751976315</v>
      </c>
      <c r="AC40" s="2336">
        <v>43.308762604390779</v>
      </c>
      <c r="AD40" s="2336">
        <v>43.415652693684621</v>
      </c>
      <c r="AE40" s="2336">
        <v>43.626695795520675</v>
      </c>
      <c r="AF40" s="2336">
        <v>43.803866237049483</v>
      </c>
      <c r="AG40" s="2336">
        <v>43.975783805936558</v>
      </c>
      <c r="AH40" s="2336">
        <v>44.136307135481125</v>
      </c>
      <c r="AI40" s="2336">
        <v>44.303944265500775</v>
      </c>
      <c r="AJ40" s="2336">
        <v>44.562412590533548</v>
      </c>
      <c r="AK40" s="2336">
        <v>44.794842240613001</v>
      </c>
      <c r="AL40" s="2336">
        <v>45.064429209050935</v>
      </c>
      <c r="AM40" s="2336">
        <v>45.302807254772823</v>
      </c>
      <c r="AN40" s="2336">
        <v>45.501772955826247</v>
      </c>
      <c r="AO40" s="2336">
        <v>45.643882668658577</v>
      </c>
      <c r="AP40" s="2336">
        <v>45.752914813268006</v>
      </c>
      <c r="AQ40" s="2336">
        <v>45.783295526130104</v>
      </c>
      <c r="AR40" s="2336">
        <v>45.835205920583554</v>
      </c>
      <c r="AS40" s="2336">
        <v>45.846944167706347</v>
      </c>
      <c r="AT40" s="2336">
        <v>45.802360887275789</v>
      </c>
      <c r="AU40" s="2336">
        <v>45.823545329810493</v>
      </c>
      <c r="AV40" s="2336">
        <v>45.8668531121914</v>
      </c>
      <c r="AW40" s="2336">
        <v>46.087401352154686</v>
      </c>
      <c r="AX40" s="2336">
        <v>46.109976151201487</v>
      </c>
      <c r="AY40" s="2336">
        <v>46.255100034970454</v>
      </c>
      <c r="AZ40" s="2336">
        <v>46.348136851773802</v>
      </c>
      <c r="BA40" s="2336">
        <v>46.466660812356672</v>
      </c>
      <c r="BB40" s="2336">
        <v>46.578698037244557</v>
      </c>
      <c r="BC40" s="2336">
        <v>46.67684917464274</v>
      </c>
      <c r="BD40" s="2336">
        <v>46.765512756932608</v>
      </c>
      <c r="BE40" s="2336">
        <v>46.89180450804286</v>
      </c>
      <c r="BF40" s="2336">
        <v>46.999377081071117</v>
      </c>
      <c r="BG40" s="2336">
        <v>47.143837640177097</v>
      </c>
      <c r="BH40" s="2336">
        <v>47.316323761430269</v>
      </c>
      <c r="BI40" s="2336">
        <v>47.442146213821296</v>
      </c>
      <c r="BJ40" s="2336">
        <v>47.577509921871453</v>
      </c>
      <c r="BK40" s="2336">
        <v>47.720020398331187</v>
      </c>
      <c r="BL40" s="2336">
        <v>47.896910632938805</v>
      </c>
      <c r="BM40" s="2336">
        <v>48.070174641087561</v>
      </c>
      <c r="BN40" s="2336">
        <v>48.227178681446354</v>
      </c>
      <c r="BO40" s="2336">
        <v>48.350510462180793</v>
      </c>
      <c r="BP40" s="2336">
        <v>48.510685950124241</v>
      </c>
      <c r="BQ40" s="2336">
        <v>48.653792808779677</v>
      </c>
      <c r="BR40" s="2336">
        <v>48.792812770454347</v>
      </c>
      <c r="BS40" s="2336">
        <v>48.933246543239022</v>
      </c>
      <c r="BT40" s="2336">
        <v>49.067932264061923</v>
      </c>
      <c r="BU40" s="2336">
        <v>49.2004977785111</v>
      </c>
      <c r="BV40" s="2336">
        <v>49.332638660550032</v>
      </c>
      <c r="BW40" s="2336">
        <v>49.483474101678766</v>
      </c>
      <c r="BX40" s="2336">
        <v>49.610122304962324</v>
      </c>
      <c r="BY40" s="2336">
        <v>49.740579931397285</v>
      </c>
      <c r="BZ40" s="2336">
        <v>49.872021950364527</v>
      </c>
      <c r="CA40" s="2336">
        <v>50.002215884688383</v>
      </c>
      <c r="CB40" s="2336">
        <v>50.131523758198291</v>
      </c>
      <c r="CC40" s="2336">
        <v>50.256523214459129</v>
      </c>
      <c r="CD40" s="2336">
        <v>50.390373564536752</v>
      </c>
      <c r="CE40" s="2336">
        <v>50.519062338451661</v>
      </c>
      <c r="CF40" s="2336">
        <v>50.649454644698523</v>
      </c>
      <c r="CG40" s="2336">
        <v>50.779996584748169</v>
      </c>
      <c r="CH40" s="2336">
        <v>50.910259288723552</v>
      </c>
      <c r="CI40" s="2336">
        <v>51.040288489736589</v>
      </c>
      <c r="CJ40" s="2336">
        <v>51.169349774837549</v>
      </c>
      <c r="CK40" s="2336">
        <v>51.297442159726728</v>
      </c>
      <c r="CL40" s="2336">
        <v>51.424565016577866</v>
      </c>
      <c r="CM40" s="2336">
        <v>51.550718098117592</v>
      </c>
      <c r="CN40" s="2336">
        <v>51.675901557440731</v>
      </c>
      <c r="CO40" s="2336">
        <v>51.800115970494716</v>
      </c>
      <c r="CP40" s="2336">
        <v>51.923362356761935</v>
      </c>
      <c r="CQ40" s="2336">
        <v>52.045642195739248</v>
      </c>
      <c r="CR40" s="2336">
        <v>52.166957433103548</v>
      </c>
      <c r="CS40" s="2336">
        <v>52.287310474322268</v>
      </c>
      <c r="CT40" s="2336">
        <v>52.406704152617515</v>
      </c>
      <c r="CU40" s="2336">
        <v>52.525141677645067</v>
      </c>
      <c r="CV40" s="2336">
        <v>52.642623399185013</v>
      </c>
      <c r="CW40" s="2336">
        <v>52.75915307105754</v>
      </c>
      <c r="CX40" s="2336">
        <v>52.874734503610043</v>
      </c>
      <c r="CY40" s="2336">
        <v>52.989371562140967</v>
      </c>
      <c r="CZ40" s="2336">
        <v>53.103068165352447</v>
      </c>
      <c r="DA40" s="2336">
        <v>53.215828283830369</v>
      </c>
      <c r="DB40" s="2336">
        <v>53.327655938552304</v>
      </c>
      <c r="DC40" s="2336">
        <v>53.43855519942106</v>
      </c>
      <c r="DD40" s="2336">
        <v>53.548530183823125</v>
      </c>
      <c r="DE40" s="2336">
        <v>53.657585055212294</v>
      </c>
      <c r="DF40" s="2336">
        <v>53.765724021715599</v>
      </c>
      <c r="DG40" s="2336">
        <v>53.872951334763563</v>
      </c>
      <c r="DH40" s="2336">
        <v>53.979271287740644</v>
      </c>
      <c r="DI40" s="2336">
        <v>54.084688214658989</v>
      </c>
      <c r="DJ40" s="2336">
        <v>54.189206488850573</v>
      </c>
      <c r="DK40" s="2336">
        <v>54.292830521681076</v>
      </c>
      <c r="DL40" s="2336">
        <v>54.395564761282628</v>
      </c>
      <c r="DM40" s="2336">
        <v>54.497413691304168</v>
      </c>
      <c r="DN40" s="2336">
        <v>54.598381829682332</v>
      </c>
      <c r="DO40" s="2336">
        <v>54.698473727427462</v>
      </c>
      <c r="DP40" s="2336">
        <v>54.797693967428465</v>
      </c>
      <c r="DQ40" s="2336">
        <v>54.896047163274005</v>
      </c>
      <c r="DR40" s="2336">
        <v>54.993537958089561</v>
      </c>
      <c r="DS40" s="2336">
        <v>55.090171023390681</v>
      </c>
      <c r="DT40" s="2336">
        <v>55.185951057952138</v>
      </c>
      <c r="DU40" s="2336">
        <v>55.280882786690988</v>
      </c>
    </row>
    <row r="41" spans="1:125">
      <c r="A41" s="909">
        <v>39</v>
      </c>
      <c r="B41" s="90"/>
      <c r="C41" s="90"/>
      <c r="D41" s="90"/>
      <c r="E41" s="90"/>
      <c r="F41" s="90"/>
      <c r="G41" s="90"/>
      <c r="H41" s="90"/>
      <c r="I41" s="90"/>
      <c r="J41" s="90"/>
      <c r="K41" s="90"/>
      <c r="L41" s="90"/>
      <c r="M41" s="90"/>
      <c r="N41" s="90"/>
      <c r="O41" s="90"/>
      <c r="P41" s="90"/>
      <c r="Q41" s="90"/>
      <c r="R41" s="90"/>
      <c r="S41" s="90"/>
      <c r="T41" s="90"/>
      <c r="U41" s="90"/>
      <c r="V41" s="739"/>
      <c r="W41" s="739">
        <v>41.22</v>
      </c>
      <c r="X41" s="739">
        <v>41.42</v>
      </c>
      <c r="Y41" s="2336">
        <v>41.609057717925488</v>
      </c>
      <c r="Z41" s="2336">
        <v>41.847778364418289</v>
      </c>
      <c r="AA41" s="2336">
        <v>41.985723352337146</v>
      </c>
      <c r="AB41" s="2336">
        <v>42.162830486352739</v>
      </c>
      <c r="AC41" s="2336">
        <v>42.37538153643932</v>
      </c>
      <c r="AD41" s="2336">
        <v>42.486236829994489</v>
      </c>
      <c r="AE41" s="2336">
        <v>42.696508017193345</v>
      </c>
      <c r="AF41" s="2336">
        <v>42.872920062961924</v>
      </c>
      <c r="AG41" s="2336">
        <v>43.047828564487311</v>
      </c>
      <c r="AH41" s="2336">
        <v>43.203862238487851</v>
      </c>
      <c r="AI41" s="2336">
        <v>43.37371512445629</v>
      </c>
      <c r="AJ41" s="2336">
        <v>43.627200173048259</v>
      </c>
      <c r="AK41" s="2336">
        <v>43.855332409699301</v>
      </c>
      <c r="AL41" s="2336">
        <v>44.12338016263633</v>
      </c>
      <c r="AM41" s="2336">
        <v>44.368416074936476</v>
      </c>
      <c r="AN41" s="2336">
        <v>44.560410031098684</v>
      </c>
      <c r="AO41" s="2336">
        <v>44.700228177636824</v>
      </c>
      <c r="AP41" s="2336">
        <v>44.806906730104693</v>
      </c>
      <c r="AQ41" s="2336">
        <v>44.839272687008879</v>
      </c>
      <c r="AR41" s="2336">
        <v>44.888492039879345</v>
      </c>
      <c r="AS41" s="2336">
        <v>44.900869886628136</v>
      </c>
      <c r="AT41" s="2336">
        <v>44.855551425105055</v>
      </c>
      <c r="AU41" s="2336">
        <v>44.879892216433191</v>
      </c>
      <c r="AV41" s="2336">
        <v>44.918572040001067</v>
      </c>
      <c r="AW41" s="2336">
        <v>45.139285612663066</v>
      </c>
      <c r="AX41" s="2336">
        <v>45.15775966586672</v>
      </c>
      <c r="AY41" s="2336">
        <v>45.304128488058566</v>
      </c>
      <c r="AZ41" s="2336">
        <v>45.3993374717368</v>
      </c>
      <c r="BA41" s="2336">
        <v>45.515348971939595</v>
      </c>
      <c r="BB41" s="2336">
        <v>45.628339262329618</v>
      </c>
      <c r="BC41" s="2336">
        <v>45.726287189525017</v>
      </c>
      <c r="BD41" s="2336">
        <v>45.814679429519231</v>
      </c>
      <c r="BE41" s="2336">
        <v>45.935428467426618</v>
      </c>
      <c r="BF41" s="2336">
        <v>46.044438029424533</v>
      </c>
      <c r="BG41" s="2336">
        <v>46.189857016154725</v>
      </c>
      <c r="BH41" s="2336">
        <v>46.359860548958167</v>
      </c>
      <c r="BI41" s="2336">
        <v>46.483095339346733</v>
      </c>
      <c r="BJ41" s="2336">
        <v>46.616878852122547</v>
      </c>
      <c r="BK41" s="2336">
        <v>46.760247868395474</v>
      </c>
      <c r="BL41" s="2336">
        <v>46.93576995515599</v>
      </c>
      <c r="BM41" s="2336">
        <v>47.10432397653414</v>
      </c>
      <c r="BN41" s="2336">
        <v>47.262005312184804</v>
      </c>
      <c r="BO41" s="2336">
        <v>47.384088414784173</v>
      </c>
      <c r="BP41" s="2336">
        <v>47.540027977381818</v>
      </c>
      <c r="BQ41" s="2336">
        <v>47.683039747861208</v>
      </c>
      <c r="BR41" s="2336">
        <v>47.819753176172888</v>
      </c>
      <c r="BS41" s="2336">
        <v>47.963044339905295</v>
      </c>
      <c r="BT41" s="2336">
        <v>48.097617672103219</v>
      </c>
      <c r="BU41" s="2336">
        <v>48.22677660488278</v>
      </c>
      <c r="BV41" s="2336">
        <v>48.362141262816372</v>
      </c>
      <c r="BW41" s="2336">
        <v>48.507671604556393</v>
      </c>
      <c r="BX41" s="2336">
        <v>48.639272358420733</v>
      </c>
      <c r="BY41" s="2336">
        <v>48.768668613463994</v>
      </c>
      <c r="BZ41" s="2336">
        <v>48.900662236318659</v>
      </c>
      <c r="CA41" s="2336">
        <v>49.030697667616082</v>
      </c>
      <c r="CB41" s="2336">
        <v>49.161858899850046</v>
      </c>
      <c r="CC41" s="2336">
        <v>49.287528089353316</v>
      </c>
      <c r="CD41" s="2336">
        <v>49.417539779353852</v>
      </c>
      <c r="CE41" s="2336">
        <v>49.546438579002135</v>
      </c>
      <c r="CF41" s="2336">
        <v>49.67750564229604</v>
      </c>
      <c r="CG41" s="2336">
        <v>49.809050583841106</v>
      </c>
      <c r="CH41" s="2336">
        <v>49.939450104505433</v>
      </c>
      <c r="CI41" s="2336">
        <v>50.068894214672838</v>
      </c>
      <c r="CJ41" s="2336">
        <v>50.197381423522359</v>
      </c>
      <c r="CK41" s="2336">
        <v>50.324910558824051</v>
      </c>
      <c r="CL41" s="2336">
        <v>50.451480807645147</v>
      </c>
      <c r="CM41" s="2336">
        <v>50.577091740402388</v>
      </c>
      <c r="CN41" s="2336">
        <v>50.70174333064724</v>
      </c>
      <c r="CO41" s="2336">
        <v>50.82543597752101</v>
      </c>
      <c r="CP41" s="2336">
        <v>50.948170526406464</v>
      </c>
      <c r="CQ41" s="2336">
        <v>51.069948285374259</v>
      </c>
      <c r="CR41" s="2336">
        <v>51.19077103131054</v>
      </c>
      <c r="CS41" s="2336">
        <v>51.310641003484562</v>
      </c>
      <c r="CT41" s="2336">
        <v>51.429560871459898</v>
      </c>
      <c r="CU41" s="2336">
        <v>51.547530471483896</v>
      </c>
      <c r="CV41" s="2336">
        <v>51.664553336755979</v>
      </c>
      <c r="CW41" s="2336">
        <v>51.780633060977017</v>
      </c>
      <c r="CX41" s="2336">
        <v>51.895773296723846</v>
      </c>
      <c r="CY41" s="2336">
        <v>52.009977753853697</v>
      </c>
      <c r="CZ41" s="2336">
        <v>52.12325019793699</v>
      </c>
      <c r="DA41" s="2336">
        <v>52.235594448717279</v>
      </c>
      <c r="DB41" s="2336">
        <v>52.347014378598686</v>
      </c>
      <c r="DC41" s="2336">
        <v>52.457513911158728</v>
      </c>
      <c r="DD41" s="2336">
        <v>52.567097019685733</v>
      </c>
      <c r="DE41" s="2336">
        <v>52.675767725741167</v>
      </c>
      <c r="DF41" s="2336">
        <v>52.783530097744084</v>
      </c>
      <c r="DG41" s="2336">
        <v>52.890388249579615</v>
      </c>
      <c r="DH41" s="2336">
        <v>52.996346339227578</v>
      </c>
      <c r="DI41" s="2336">
        <v>53.101408567414047</v>
      </c>
      <c r="DJ41" s="2336">
        <v>53.205579176281354</v>
      </c>
      <c r="DK41" s="2336">
        <v>53.308862448079509</v>
      </c>
      <c r="DL41" s="2336">
        <v>53.411262703876503</v>
      </c>
      <c r="DM41" s="2336">
        <v>53.512784302286022</v>
      </c>
      <c r="DN41" s="2336">
        <v>53.61343163821568</v>
      </c>
      <c r="DO41" s="2336">
        <v>53.713209141630195</v>
      </c>
      <c r="DP41" s="2336">
        <v>53.812121276333485</v>
      </c>
      <c r="DQ41" s="2336">
        <v>53.910172538766986</v>
      </c>
      <c r="DR41" s="2336">
        <v>54.007367456823772</v>
      </c>
      <c r="DS41" s="2336">
        <v>54.103710588678879</v>
      </c>
      <c r="DT41" s="2336">
        <v>54.199206521635567</v>
      </c>
      <c r="DU41" s="2336">
        <v>54.293859870985429</v>
      </c>
    </row>
    <row r="42" spans="1:125">
      <c r="A42" s="909">
        <v>40</v>
      </c>
      <c r="B42" s="90"/>
      <c r="C42" s="90"/>
      <c r="D42" s="90"/>
      <c r="E42" s="90"/>
      <c r="F42" s="90"/>
      <c r="G42" s="90"/>
      <c r="H42" s="90"/>
      <c r="I42" s="90"/>
      <c r="J42" s="90"/>
      <c r="K42" s="90"/>
      <c r="L42" s="90"/>
      <c r="M42" s="90"/>
      <c r="N42" s="90"/>
      <c r="O42" s="90"/>
      <c r="P42" s="90"/>
      <c r="Q42" s="90"/>
      <c r="R42" s="90"/>
      <c r="S42" s="90"/>
      <c r="T42" s="90"/>
      <c r="U42" s="90"/>
      <c r="V42" s="739"/>
      <c r="W42" s="739">
        <v>40.299999999999997</v>
      </c>
      <c r="X42" s="739">
        <v>40.5</v>
      </c>
      <c r="Y42" s="2336">
        <v>40.683419565956264</v>
      </c>
      <c r="Z42" s="2336">
        <v>40.916273287679715</v>
      </c>
      <c r="AA42" s="2336">
        <v>41.061294171162743</v>
      </c>
      <c r="AB42" s="2336">
        <v>41.2377315910365</v>
      </c>
      <c r="AC42" s="2336">
        <v>41.448716072934147</v>
      </c>
      <c r="AD42" s="2336">
        <v>41.555357207848502</v>
      </c>
      <c r="AE42" s="2336">
        <v>41.768962607023674</v>
      </c>
      <c r="AF42" s="2336">
        <v>41.948554995884699</v>
      </c>
      <c r="AG42" s="2336">
        <v>42.11674837460852</v>
      </c>
      <c r="AH42" s="2336">
        <v>42.273342943051524</v>
      </c>
      <c r="AI42" s="2336">
        <v>42.439679176591405</v>
      </c>
      <c r="AJ42" s="2336">
        <v>42.693807717896441</v>
      </c>
      <c r="AK42" s="2336">
        <v>42.921376129476762</v>
      </c>
      <c r="AL42" s="2336">
        <v>43.18508177316081</v>
      </c>
      <c r="AM42" s="2336">
        <v>43.428102522558738</v>
      </c>
      <c r="AN42" s="2336">
        <v>43.623908973647588</v>
      </c>
      <c r="AO42" s="2336">
        <v>43.759262113819133</v>
      </c>
      <c r="AP42" s="2336">
        <v>43.867332911473753</v>
      </c>
      <c r="AQ42" s="2336">
        <v>43.897895761225406</v>
      </c>
      <c r="AR42" s="2336">
        <v>43.94519075462081</v>
      </c>
      <c r="AS42" s="2336">
        <v>43.961364680026136</v>
      </c>
      <c r="AT42" s="2336">
        <v>43.909458451624893</v>
      </c>
      <c r="AU42" s="2336">
        <v>43.932823845262099</v>
      </c>
      <c r="AV42" s="2336">
        <v>43.973952553071115</v>
      </c>
      <c r="AW42" s="2336">
        <v>44.18931239304991</v>
      </c>
      <c r="AX42" s="2336">
        <v>44.211716847871415</v>
      </c>
      <c r="AY42" s="2336">
        <v>44.35415451632722</v>
      </c>
      <c r="AZ42" s="2336">
        <v>44.456576601382508</v>
      </c>
      <c r="BA42" s="2336">
        <v>44.565092674304992</v>
      </c>
      <c r="BB42" s="2336">
        <v>44.68147595292281</v>
      </c>
      <c r="BC42" s="2336">
        <v>44.776240176401949</v>
      </c>
      <c r="BD42" s="2336">
        <v>44.862600513248815</v>
      </c>
      <c r="BE42" s="2336">
        <v>44.9838424096829</v>
      </c>
      <c r="BF42" s="2336">
        <v>45.093059736035947</v>
      </c>
      <c r="BG42" s="2336">
        <v>45.235077062972927</v>
      </c>
      <c r="BH42" s="2336">
        <v>45.404807169950658</v>
      </c>
      <c r="BI42" s="2336">
        <v>45.526295995706576</v>
      </c>
      <c r="BJ42" s="2336">
        <v>45.66040170167733</v>
      </c>
      <c r="BK42" s="2336">
        <v>45.799295045421019</v>
      </c>
      <c r="BL42" s="2336">
        <v>45.9770825746631</v>
      </c>
      <c r="BM42" s="2336">
        <v>46.143192226442352</v>
      </c>
      <c r="BN42" s="2336">
        <v>46.298545865717017</v>
      </c>
      <c r="BO42" s="2336">
        <v>46.417808059517306</v>
      </c>
      <c r="BP42" s="2336">
        <v>46.57553213520368</v>
      </c>
      <c r="BQ42" s="2336">
        <v>46.716737378118275</v>
      </c>
      <c r="BR42" s="2336">
        <v>46.852552199963021</v>
      </c>
      <c r="BS42" s="2336">
        <v>46.99621981797366</v>
      </c>
      <c r="BT42" s="2336">
        <v>47.128539840755217</v>
      </c>
      <c r="BU42" s="2336">
        <v>47.258281805172594</v>
      </c>
      <c r="BV42" s="2336">
        <v>47.392801025587985</v>
      </c>
      <c r="BW42" s="2336">
        <v>47.539383307725522</v>
      </c>
      <c r="BX42" s="2336">
        <v>47.668941897275054</v>
      </c>
      <c r="BY42" s="2336">
        <v>47.798641775545249</v>
      </c>
      <c r="BZ42" s="2336">
        <v>47.928450201364996</v>
      </c>
      <c r="CA42" s="2336">
        <v>48.059941079190246</v>
      </c>
      <c r="CB42" s="2336">
        <v>48.192320514519828</v>
      </c>
      <c r="CC42" s="2336">
        <v>48.318442827319785</v>
      </c>
      <c r="CD42" s="2336">
        <v>48.449256946414692</v>
      </c>
      <c r="CE42" s="2336">
        <v>48.576651258460522</v>
      </c>
      <c r="CF42" s="2336">
        <v>48.709629816915033</v>
      </c>
      <c r="CG42" s="2336">
        <v>48.840357410157807</v>
      </c>
      <c r="CH42" s="2336">
        <v>48.970142795653743</v>
      </c>
      <c r="CI42" s="2336">
        <v>49.098984038046162</v>
      </c>
      <c r="CJ42" s="2336">
        <v>49.226879460573301</v>
      </c>
      <c r="CK42" s="2336">
        <v>49.353827707717066</v>
      </c>
      <c r="CL42" s="2336">
        <v>49.479827785898543</v>
      </c>
      <c r="CM42" s="2336">
        <v>49.604879087507889</v>
      </c>
      <c r="CN42" s="2336">
        <v>49.728981410663899</v>
      </c>
      <c r="CO42" s="2336">
        <v>49.852134981644319</v>
      </c>
      <c r="CP42" s="2336">
        <v>49.974340475510957</v>
      </c>
      <c r="CQ42" s="2336">
        <v>50.095599032526998</v>
      </c>
      <c r="CR42" s="2336">
        <v>50.215912264250328</v>
      </c>
      <c r="CS42" s="2336">
        <v>50.33528224706118</v>
      </c>
      <c r="CT42" s="2336">
        <v>50.453707997296419</v>
      </c>
      <c r="CU42" s="2336">
        <v>50.571192824087795</v>
      </c>
      <c r="CV42" s="2336">
        <v>50.687740100953491</v>
      </c>
      <c r="CW42" s="2336">
        <v>50.803353264127146</v>
      </c>
      <c r="CX42" s="2336">
        <v>50.918035810917765</v>
      </c>
      <c r="CY42" s="2336">
        <v>51.03179129809903</v>
      </c>
      <c r="CZ42" s="2336">
        <v>51.144623340326334</v>
      </c>
      <c r="DA42" s="2336">
        <v>51.256535608580911</v>
      </c>
      <c r="DB42" s="2336">
        <v>51.367531828640729</v>
      </c>
      <c r="DC42" s="2336">
        <v>51.477615779576581</v>
      </c>
      <c r="DD42" s="2336">
        <v>51.586791292272359</v>
      </c>
      <c r="DE42" s="2336">
        <v>51.695062247969915</v>
      </c>
      <c r="DF42" s="2336">
        <v>51.802432576835777</v>
      </c>
      <c r="DG42" s="2336">
        <v>51.908906256551496</v>
      </c>
      <c r="DH42" s="2336">
        <v>52.014487310924018</v>
      </c>
      <c r="DI42" s="2336">
        <v>52.119179808518631</v>
      </c>
      <c r="DJ42" s="2336">
        <v>52.222987861310145</v>
      </c>
      <c r="DK42" s="2336">
        <v>52.325915623355357</v>
      </c>
      <c r="DL42" s="2336">
        <v>52.427967289484023</v>
      </c>
      <c r="DM42" s="2336">
        <v>52.5291470940073</v>
      </c>
      <c r="DN42" s="2336">
        <v>52.629459309446347</v>
      </c>
      <c r="DO42" s="2336">
        <v>52.728908245275846</v>
      </c>
      <c r="DP42" s="2336">
        <v>52.827498246686233</v>
      </c>
      <c r="DQ42" s="2336">
        <v>52.925233693362053</v>
      </c>
      <c r="DR42" s="2336">
        <v>53.022118998276092</v>
      </c>
      <c r="DS42" s="2336">
        <v>53.118158606499527</v>
      </c>
      <c r="DT42" s="2336">
        <v>53.213356994027997</v>
      </c>
      <c r="DU42" s="2336">
        <v>53.307718666621426</v>
      </c>
    </row>
    <row r="43" spans="1:125">
      <c r="A43" s="909">
        <v>41</v>
      </c>
      <c r="B43" s="90"/>
      <c r="C43" s="90"/>
      <c r="D43" s="90"/>
      <c r="E43" s="90"/>
      <c r="F43" s="90"/>
      <c r="G43" s="90"/>
      <c r="H43" s="90"/>
      <c r="I43" s="90"/>
      <c r="J43" s="90"/>
      <c r="K43" s="90"/>
      <c r="L43" s="90"/>
      <c r="M43" s="90"/>
      <c r="N43" s="90"/>
      <c r="O43" s="90"/>
      <c r="P43" s="90"/>
      <c r="Q43" s="90"/>
      <c r="R43" s="90"/>
      <c r="S43" s="90"/>
      <c r="T43" s="90"/>
      <c r="U43" s="90"/>
      <c r="V43" s="739"/>
      <c r="W43" s="739">
        <v>39.380000000000003</v>
      </c>
      <c r="X43" s="739">
        <v>39.58</v>
      </c>
      <c r="Y43" s="2336">
        <v>39.764194188478356</v>
      </c>
      <c r="Z43" s="2336">
        <v>39.993654442269914</v>
      </c>
      <c r="AA43" s="2336">
        <v>40.135883753895946</v>
      </c>
      <c r="AB43" s="2336">
        <v>40.312955508162595</v>
      </c>
      <c r="AC43" s="2336">
        <v>40.520828880825469</v>
      </c>
      <c r="AD43" s="2336">
        <v>40.628783860127335</v>
      </c>
      <c r="AE43" s="2336">
        <v>40.848833541180333</v>
      </c>
      <c r="AF43" s="2336">
        <v>41.020287457623297</v>
      </c>
      <c r="AG43" s="2336">
        <v>41.185027893968801</v>
      </c>
      <c r="AH43" s="2336">
        <v>41.341422149749775</v>
      </c>
      <c r="AI43" s="2336">
        <v>41.511977774129804</v>
      </c>
      <c r="AJ43" s="2336">
        <v>41.760047750173179</v>
      </c>
      <c r="AK43" s="2336">
        <v>41.993197727355955</v>
      </c>
      <c r="AL43" s="2336">
        <v>42.253891369546658</v>
      </c>
      <c r="AM43" s="2336">
        <v>42.495108094167001</v>
      </c>
      <c r="AN43" s="2336">
        <v>42.689072820290988</v>
      </c>
      <c r="AO43" s="2336">
        <v>42.821377354657997</v>
      </c>
      <c r="AP43" s="2336">
        <v>42.929698348747188</v>
      </c>
      <c r="AQ43" s="2336">
        <v>42.959533190845868</v>
      </c>
      <c r="AR43" s="2336">
        <v>43.00684437119989</v>
      </c>
      <c r="AS43" s="2336">
        <v>43.023456654957073</v>
      </c>
      <c r="AT43" s="2336">
        <v>42.965913776752203</v>
      </c>
      <c r="AU43" s="2336">
        <v>42.991842813139819</v>
      </c>
      <c r="AV43" s="2336">
        <v>43.029858820330347</v>
      </c>
      <c r="AW43" s="2336">
        <v>43.245402274645443</v>
      </c>
      <c r="AX43" s="2336">
        <v>43.267931770942603</v>
      </c>
      <c r="AY43" s="2336">
        <v>43.411951165691463</v>
      </c>
      <c r="AZ43" s="2336">
        <v>43.514673597376046</v>
      </c>
      <c r="BA43" s="2336">
        <v>43.62039606003102</v>
      </c>
      <c r="BB43" s="2336">
        <v>43.735528872994912</v>
      </c>
      <c r="BC43" s="2336">
        <v>43.831128466664126</v>
      </c>
      <c r="BD43" s="2336">
        <v>43.917115848580544</v>
      </c>
      <c r="BE43" s="2336">
        <v>44.038492225944125</v>
      </c>
      <c r="BF43" s="2336">
        <v>44.144497718951705</v>
      </c>
      <c r="BG43" s="2336">
        <v>44.283193603980664</v>
      </c>
      <c r="BH43" s="2336">
        <v>44.452209100585286</v>
      </c>
      <c r="BI43" s="2336">
        <v>44.570037210677029</v>
      </c>
      <c r="BJ43" s="2336">
        <v>44.703526488209995</v>
      </c>
      <c r="BK43" s="2336">
        <v>44.84408973946968</v>
      </c>
      <c r="BL43" s="2336">
        <v>45.017383877138833</v>
      </c>
      <c r="BM43" s="2336">
        <v>45.181381374359688</v>
      </c>
      <c r="BN43" s="2336">
        <v>45.336795478830503</v>
      </c>
      <c r="BO43" s="2336">
        <v>45.45505380546615</v>
      </c>
      <c r="BP43" s="2336">
        <v>45.610416594160526</v>
      </c>
      <c r="BQ43" s="2336">
        <v>45.748410837795703</v>
      </c>
      <c r="BR43" s="2336">
        <v>45.886495659395216</v>
      </c>
      <c r="BS43" s="2336">
        <v>46.030323711264877</v>
      </c>
      <c r="BT43" s="2336">
        <v>46.160421808551476</v>
      </c>
      <c r="BU43" s="2336">
        <v>46.292127353058355</v>
      </c>
      <c r="BV43" s="2336">
        <v>46.424869353736895</v>
      </c>
      <c r="BW43" s="2336">
        <v>46.571810983156865</v>
      </c>
      <c r="BX43" s="2336">
        <v>46.698930763454108</v>
      </c>
      <c r="BY43" s="2336">
        <v>46.832546116017099</v>
      </c>
      <c r="BZ43" s="2336">
        <v>46.9620880726061</v>
      </c>
      <c r="CA43" s="2336">
        <v>47.092162614546375</v>
      </c>
      <c r="CB43" s="2336">
        <v>47.220369771269674</v>
      </c>
      <c r="CC43" s="2336">
        <v>47.349573401940084</v>
      </c>
      <c r="CD43" s="2336">
        <v>47.478077098982482</v>
      </c>
      <c r="CE43" s="2336">
        <v>47.612161287380822</v>
      </c>
      <c r="CF43" s="2336">
        <v>47.74317359854318</v>
      </c>
      <c r="CG43" s="2336">
        <v>47.873257481179046</v>
      </c>
      <c r="CH43" s="2336">
        <v>48.002410656439118</v>
      </c>
      <c r="CI43" s="2336">
        <v>48.130631005745173</v>
      </c>
      <c r="CJ43" s="2336">
        <v>48.257916671564558</v>
      </c>
      <c r="CK43" s="2336">
        <v>48.384266120071807</v>
      </c>
      <c r="CL43" s="2336">
        <v>48.509678181838964</v>
      </c>
      <c r="CM43" s="2336">
        <v>48.634152075847688</v>
      </c>
      <c r="CN43" s="2336">
        <v>48.757687429227488</v>
      </c>
      <c r="CO43" s="2336">
        <v>48.880284299665476</v>
      </c>
      <c r="CP43" s="2336">
        <v>49.001943196009158</v>
      </c>
      <c r="CQ43" s="2336">
        <v>49.122665094658579</v>
      </c>
      <c r="CR43" s="2336">
        <v>49.242451445628632</v>
      </c>
      <c r="CS43" s="2336">
        <v>49.361300100900884</v>
      </c>
      <c r="CT43" s="2336">
        <v>49.479214142513513</v>
      </c>
      <c r="CU43" s="2336">
        <v>49.596196720672644</v>
      </c>
      <c r="CV43" s="2336">
        <v>49.712251052042909</v>
      </c>
      <c r="CW43" s="2336">
        <v>49.827380418066632</v>
      </c>
      <c r="CX43" s="2336">
        <v>49.941588163313199</v>
      </c>
      <c r="CY43" s="2336">
        <v>50.054877693857406</v>
      </c>
      <c r="CZ43" s="2336">
        <v>50.167252475684961</v>
      </c>
      <c r="DA43" s="2336">
        <v>50.278716033124574</v>
      </c>
      <c r="DB43" s="2336">
        <v>50.389271947306398</v>
      </c>
      <c r="DC43" s="2336">
        <v>50.498923854645078</v>
      </c>
      <c r="DD43" s="2336">
        <v>50.607675445346807</v>
      </c>
      <c r="DE43" s="2336">
        <v>50.715530461940332</v>
      </c>
      <c r="DF43" s="2336">
        <v>50.822492697829531</v>
      </c>
      <c r="DG43" s="2336">
        <v>50.928565995869285</v>
      </c>
      <c r="DH43" s="2336">
        <v>51.033754246960953</v>
      </c>
      <c r="DI43" s="2336">
        <v>51.138061388670216</v>
      </c>
      <c r="DJ43" s="2336">
        <v>51.241491403862724</v>
      </c>
      <c r="DK43" s="2336">
        <v>51.34404831936083</v>
      </c>
      <c r="DL43" s="2336">
        <v>51.445736204618555</v>
      </c>
      <c r="DM43" s="2336">
        <v>51.546559170413779</v>
      </c>
      <c r="DN43" s="2336">
        <v>51.646521367560283</v>
      </c>
      <c r="DO43" s="2336">
        <v>51.745626985634644</v>
      </c>
      <c r="DP43" s="2336">
        <v>51.843880251721508</v>
      </c>
      <c r="DQ43" s="2336">
        <v>51.941285429174883</v>
      </c>
      <c r="DR43" s="2336">
        <v>52.03784681639501</v>
      </c>
      <c r="DS43" s="2336">
        <v>52.133568745621155</v>
      </c>
      <c r="DT43" s="2336">
        <v>52.22845558174005</v>
      </c>
      <c r="DU43" s="2336">
        <v>52.322511721108164</v>
      </c>
    </row>
    <row r="44" spans="1:125">
      <c r="A44" s="909">
        <v>42</v>
      </c>
      <c r="B44" s="90"/>
      <c r="C44" s="90"/>
      <c r="D44" s="90"/>
      <c r="E44" s="90"/>
      <c r="F44" s="90"/>
      <c r="G44" s="90"/>
      <c r="H44" s="90"/>
      <c r="I44" s="90"/>
      <c r="J44" s="90"/>
      <c r="K44" s="90"/>
      <c r="L44" s="90"/>
      <c r="M44" s="90"/>
      <c r="N44" s="90"/>
      <c r="O44" s="90"/>
      <c r="P44" s="90"/>
      <c r="Q44" s="90"/>
      <c r="R44" s="90"/>
      <c r="S44" s="90"/>
      <c r="T44" s="90"/>
      <c r="U44" s="90"/>
      <c r="V44" s="739"/>
      <c r="W44" s="739">
        <v>38.46</v>
      </c>
      <c r="X44" s="739">
        <v>38.659999999999997</v>
      </c>
      <c r="Y44" s="2336">
        <v>38.844624220306173</v>
      </c>
      <c r="Z44" s="2336">
        <v>39.073294210673502</v>
      </c>
      <c r="AA44" s="2336">
        <v>39.216042228396176</v>
      </c>
      <c r="AB44" s="2336">
        <v>39.391902763034288</v>
      </c>
      <c r="AC44" s="2336">
        <v>39.600314323913445</v>
      </c>
      <c r="AD44" s="2336">
        <v>39.712832331050251</v>
      </c>
      <c r="AE44" s="2336">
        <v>39.927769230483683</v>
      </c>
      <c r="AF44" s="2336">
        <v>40.09897930727773</v>
      </c>
      <c r="AG44" s="2336">
        <v>40.26361236699389</v>
      </c>
      <c r="AH44" s="2336">
        <v>40.412709207837878</v>
      </c>
      <c r="AI44" s="2336">
        <v>40.588988372364589</v>
      </c>
      <c r="AJ44" s="2336">
        <v>40.836730506151703</v>
      </c>
      <c r="AK44" s="2336">
        <v>41.067678585450686</v>
      </c>
      <c r="AL44" s="2336">
        <v>41.325701569863327</v>
      </c>
      <c r="AM44" s="2336">
        <v>41.561517801498894</v>
      </c>
      <c r="AN44" s="2336">
        <v>41.755189666178261</v>
      </c>
      <c r="AO44" s="2336">
        <v>41.885658253615333</v>
      </c>
      <c r="AP44" s="2336">
        <v>41.994214097253732</v>
      </c>
      <c r="AQ44" s="2336">
        <v>42.024793746999862</v>
      </c>
      <c r="AR44" s="2336">
        <v>42.071245864864828</v>
      </c>
      <c r="AS44" s="2336">
        <v>42.086396183682275</v>
      </c>
      <c r="AT44" s="2336">
        <v>42.026581580024505</v>
      </c>
      <c r="AU44" s="2336">
        <v>42.051786121763868</v>
      </c>
      <c r="AV44" s="2336">
        <v>42.085808725996365</v>
      </c>
      <c r="AW44" s="2336">
        <v>42.302606716392781</v>
      </c>
      <c r="AX44" s="2336">
        <v>42.330180656025789</v>
      </c>
      <c r="AY44" s="2336">
        <v>42.47070729512027</v>
      </c>
      <c r="AZ44" s="2336">
        <v>42.574071034808661</v>
      </c>
      <c r="BA44" s="2336">
        <v>42.681653229263766</v>
      </c>
      <c r="BB44" s="2336">
        <v>42.792709220680315</v>
      </c>
      <c r="BC44" s="2336">
        <v>42.891994746329146</v>
      </c>
      <c r="BD44" s="2336">
        <v>42.974793498431083</v>
      </c>
      <c r="BE44" s="2336">
        <v>43.093234845736326</v>
      </c>
      <c r="BF44" s="2336">
        <v>43.198377983585353</v>
      </c>
      <c r="BG44" s="2336">
        <v>43.335622552342869</v>
      </c>
      <c r="BH44" s="2336">
        <v>43.50173638575842</v>
      </c>
      <c r="BI44" s="2336">
        <v>43.619436474541907</v>
      </c>
      <c r="BJ44" s="2336">
        <v>43.752172595639784</v>
      </c>
      <c r="BK44" s="2336">
        <v>43.890367189245147</v>
      </c>
      <c r="BL44" s="2336">
        <v>44.061066820439493</v>
      </c>
      <c r="BM44" s="2336">
        <v>44.2212901297938</v>
      </c>
      <c r="BN44" s="2336">
        <v>44.374646487715538</v>
      </c>
      <c r="BO44" s="2336">
        <v>44.495804747228142</v>
      </c>
      <c r="BP44" s="2336">
        <v>44.648495481862469</v>
      </c>
      <c r="BQ44" s="2336">
        <v>44.784682523990178</v>
      </c>
      <c r="BR44" s="2336">
        <v>44.924882544347859</v>
      </c>
      <c r="BS44" s="2336">
        <v>45.065884379408033</v>
      </c>
      <c r="BT44" s="2336">
        <v>45.196919163091231</v>
      </c>
      <c r="BU44" s="2336">
        <v>45.326911011528637</v>
      </c>
      <c r="BV44" s="2336">
        <v>45.459781182029189</v>
      </c>
      <c r="BW44" s="2336">
        <v>45.60741238299893</v>
      </c>
      <c r="BX44" s="2336">
        <v>45.732762599937708</v>
      </c>
      <c r="BY44" s="2336">
        <v>45.866660422569119</v>
      </c>
      <c r="BZ44" s="2336">
        <v>45.995921035184686</v>
      </c>
      <c r="CA44" s="2336">
        <v>46.125097072314446</v>
      </c>
      <c r="CB44" s="2336">
        <v>46.253973331224039</v>
      </c>
      <c r="CC44" s="2336">
        <v>46.384643894566068</v>
      </c>
      <c r="CD44" s="2336">
        <v>46.516813699587857</v>
      </c>
      <c r="CE44" s="2336">
        <v>46.648066477672302</v>
      </c>
      <c r="CF44" s="2336">
        <v>46.778405024698664</v>
      </c>
      <c r="CG44" s="2336">
        <v>46.907826855243421</v>
      </c>
      <c r="CH44" s="2336">
        <v>47.03632951071971</v>
      </c>
      <c r="CI44" s="2336">
        <v>47.163910695011552</v>
      </c>
      <c r="CJ44" s="2336">
        <v>47.29056837530235</v>
      </c>
      <c r="CK44" s="2336">
        <v>47.416300844756329</v>
      </c>
      <c r="CL44" s="2336">
        <v>47.541106763208937</v>
      </c>
      <c r="CM44" s="2336">
        <v>47.664985181165704</v>
      </c>
      <c r="CN44" s="2336">
        <v>47.787935559523255</v>
      </c>
      <c r="CO44" s="2336">
        <v>47.909957791962732</v>
      </c>
      <c r="CP44" s="2336">
        <v>48.031052225534225</v>
      </c>
      <c r="CQ44" s="2336">
        <v>48.151219677027505</v>
      </c>
      <c r="CR44" s="2336">
        <v>48.270456471714695</v>
      </c>
      <c r="CS44" s="2336">
        <v>48.388765461956588</v>
      </c>
      <c r="CT44" s="2336">
        <v>48.506149571952562</v>
      </c>
      <c r="CU44" s="2336">
        <v>48.622611795992817</v>
      </c>
      <c r="CV44" s="2336">
        <v>48.738155196743719</v>
      </c>
      <c r="CW44" s="2336">
        <v>48.852782903561376</v>
      </c>
      <c r="CX44" s="2336">
        <v>48.966498110834479</v>
      </c>
      <c r="CY44" s="2336">
        <v>49.079304076355697</v>
      </c>
      <c r="CZ44" s="2336">
        <v>49.191204119719615</v>
      </c>
      <c r="DA44" s="2336">
        <v>49.302201620746601</v>
      </c>
      <c r="DB44" s="2336">
        <v>49.412300017932594</v>
      </c>
      <c r="DC44" s="2336">
        <v>49.521502806922975</v>
      </c>
      <c r="DD44" s="2336">
        <v>49.629813539009824</v>
      </c>
      <c r="DE44" s="2336">
        <v>49.737235819652831</v>
      </c>
      <c r="DF44" s="2336">
        <v>49.843773307021266</v>
      </c>
      <c r="DG44" s="2336">
        <v>49.949429710558668</v>
      </c>
      <c r="DH44" s="2336">
        <v>50.054208789567021</v>
      </c>
      <c r="DI44" s="2336">
        <v>50.158114351812614</v>
      </c>
      <c r="DJ44" s="2336">
        <v>50.261150252149584</v>
      </c>
      <c r="DK44" s="2336">
        <v>50.363320391163967</v>
      </c>
      <c r="DL44" s="2336">
        <v>50.464628713835893</v>
      </c>
      <c r="DM44" s="2336">
        <v>50.565079208218435</v>
      </c>
      <c r="DN44" s="2336">
        <v>50.66467590413626</v>
      </c>
      <c r="DO44" s="2336">
        <v>50.763422871898676</v>
      </c>
      <c r="DP44" s="2336">
        <v>50.861324221030898</v>
      </c>
      <c r="DQ44" s="2336">
        <v>50.958384099021089</v>
      </c>
      <c r="DR44" s="2336">
        <v>51.054606690082636</v>
      </c>
      <c r="DS44" s="2336">
        <v>51.149996213932305</v>
      </c>
      <c r="DT44" s="2336">
        <v>51.244556924583733</v>
      </c>
      <c r="DU44" s="2336">
        <v>51.338293109154591</v>
      </c>
    </row>
    <row r="45" spans="1:125">
      <c r="A45" s="909">
        <v>43</v>
      </c>
      <c r="B45" s="90"/>
      <c r="C45" s="90"/>
      <c r="D45" s="90"/>
      <c r="E45" s="90"/>
      <c r="F45" s="90"/>
      <c r="G45" s="90"/>
      <c r="H45" s="90"/>
      <c r="I45" s="90"/>
      <c r="J45" s="90"/>
      <c r="K45" s="90"/>
      <c r="L45" s="90"/>
      <c r="M45" s="90"/>
      <c r="N45" s="90"/>
      <c r="O45" s="90"/>
      <c r="P45" s="90"/>
      <c r="Q45" s="90"/>
      <c r="R45" s="90"/>
      <c r="S45" s="90"/>
      <c r="T45" s="90"/>
      <c r="U45" s="90"/>
      <c r="V45" s="739"/>
      <c r="W45" s="739">
        <v>37.549999999999997</v>
      </c>
      <c r="X45" s="739">
        <v>37.75</v>
      </c>
      <c r="Y45" s="2336">
        <v>37.9322383905197</v>
      </c>
      <c r="Z45" s="2336">
        <v>38.162621663309572</v>
      </c>
      <c r="AA45" s="2336">
        <v>38.304947709788394</v>
      </c>
      <c r="AB45" s="2336">
        <v>38.473757757591891</v>
      </c>
      <c r="AC45" s="2336">
        <v>38.691151789464847</v>
      </c>
      <c r="AD45" s="2336">
        <v>38.798011570562345</v>
      </c>
      <c r="AE45" s="2336">
        <v>39.014361531678546</v>
      </c>
      <c r="AF45" s="2336">
        <v>39.181732883556151</v>
      </c>
      <c r="AG45" s="2336">
        <v>39.34438683700769</v>
      </c>
      <c r="AH45" s="2336">
        <v>39.494313241522747</v>
      </c>
      <c r="AI45" s="2336">
        <v>39.666213450605142</v>
      </c>
      <c r="AJ45" s="2336">
        <v>39.920726627827349</v>
      </c>
      <c r="AK45" s="2336">
        <v>40.140478189716426</v>
      </c>
      <c r="AL45" s="2336">
        <v>40.396773147275027</v>
      </c>
      <c r="AM45" s="2336">
        <v>40.636550007772101</v>
      </c>
      <c r="AN45" s="2336">
        <v>40.823699639762573</v>
      </c>
      <c r="AO45" s="2336">
        <v>40.958848582461108</v>
      </c>
      <c r="AP45" s="2336">
        <v>41.06369072961914</v>
      </c>
      <c r="AQ45" s="2336">
        <v>41.094766324252546</v>
      </c>
      <c r="AR45" s="2336">
        <v>41.134763463524756</v>
      </c>
      <c r="AS45" s="2336">
        <v>41.150184066774443</v>
      </c>
      <c r="AT45" s="2336">
        <v>41.095835140818025</v>
      </c>
      <c r="AU45" s="2336">
        <v>41.115123356393745</v>
      </c>
      <c r="AV45" s="2336">
        <v>41.152736727193691</v>
      </c>
      <c r="AW45" s="2336">
        <v>41.365420366591877</v>
      </c>
      <c r="AX45" s="2336">
        <v>41.393375092890523</v>
      </c>
      <c r="AY45" s="2336">
        <v>41.534358959672886</v>
      </c>
      <c r="AZ45" s="2336">
        <v>41.639488708552008</v>
      </c>
      <c r="BA45" s="2336">
        <v>41.743519973517571</v>
      </c>
      <c r="BB45" s="2336">
        <v>41.854167858787768</v>
      </c>
      <c r="BC45" s="2336">
        <v>41.957625266274036</v>
      </c>
      <c r="BD45" s="2336">
        <v>42.03291696233287</v>
      </c>
      <c r="BE45" s="2336">
        <v>42.148107041811599</v>
      </c>
      <c r="BF45" s="2336">
        <v>42.253730769889508</v>
      </c>
      <c r="BG45" s="2336">
        <v>42.393793981470388</v>
      </c>
      <c r="BH45" s="2336">
        <v>42.554292955513056</v>
      </c>
      <c r="BI45" s="2336">
        <v>42.669455217330793</v>
      </c>
      <c r="BJ45" s="2336">
        <v>42.803626774729615</v>
      </c>
      <c r="BK45" s="2336">
        <v>42.936027463365022</v>
      </c>
      <c r="BL45" s="2336">
        <v>43.107734528941329</v>
      </c>
      <c r="BM45" s="2336">
        <v>43.267069606834845</v>
      </c>
      <c r="BN45" s="2336">
        <v>43.418991601416813</v>
      </c>
      <c r="BO45" s="2336">
        <v>43.540396589975138</v>
      </c>
      <c r="BP45" s="2336">
        <v>43.689329264845732</v>
      </c>
      <c r="BQ45" s="2336">
        <v>43.823059224762062</v>
      </c>
      <c r="BR45" s="2336">
        <v>43.965857348391722</v>
      </c>
      <c r="BS45" s="2336">
        <v>44.103602382887082</v>
      </c>
      <c r="BT45" s="2336">
        <v>44.236978861069993</v>
      </c>
      <c r="BU45" s="2336">
        <v>44.365206259927795</v>
      </c>
      <c r="BV45" s="2336">
        <v>44.497942577218765</v>
      </c>
      <c r="BW45" s="2336">
        <v>44.641274311201656</v>
      </c>
      <c r="BX45" s="2336">
        <v>44.771475820291322</v>
      </c>
      <c r="BY45" s="2336">
        <v>44.901544305247427</v>
      </c>
      <c r="BZ45" s="2336">
        <v>45.034579520825687</v>
      </c>
      <c r="CA45" s="2336">
        <v>45.160212538747828</v>
      </c>
      <c r="CB45" s="2336">
        <v>45.289570690816149</v>
      </c>
      <c r="CC45" s="2336">
        <v>45.423760639789769</v>
      </c>
      <c r="CD45" s="2336">
        <v>45.555208924251204</v>
      </c>
      <c r="CE45" s="2336">
        <v>45.685757412428138</v>
      </c>
      <c r="CF45" s="2336">
        <v>45.815403572023754</v>
      </c>
      <c r="CG45" s="2336">
        <v>45.944144742134426</v>
      </c>
      <c r="CH45" s="2336">
        <v>46.071978290585157</v>
      </c>
      <c r="CI45" s="2336">
        <v>46.198901749666248</v>
      </c>
      <c r="CJ45" s="2336">
        <v>46.324912917025337</v>
      </c>
      <c r="CK45" s="2336">
        <v>46.450009918375059</v>
      </c>
      <c r="CL45" s="2336">
        <v>46.574191248189059</v>
      </c>
      <c r="CM45" s="2336">
        <v>46.697455793691809</v>
      </c>
      <c r="CN45" s="2336">
        <v>46.819802854566397</v>
      </c>
      <c r="CO45" s="2336">
        <v>46.941232165335691</v>
      </c>
      <c r="CP45" s="2336">
        <v>47.061743915932205</v>
      </c>
      <c r="CQ45" s="2336">
        <v>47.181332550327149</v>
      </c>
      <c r="CR45" s="2336">
        <v>47.300000689083419</v>
      </c>
      <c r="CS45" s="2336">
        <v>47.417751028146476</v>
      </c>
      <c r="CT45" s="2336">
        <v>47.534586337066635</v>
      </c>
      <c r="CU45" s="2336">
        <v>47.65050945725109</v>
      </c>
      <c r="CV45" s="2336">
        <v>47.765523300248233</v>
      </c>
      <c r="CW45" s="2336">
        <v>47.879630846059399</v>
      </c>
      <c r="CX45" s="2336">
        <v>47.992835141479361</v>
      </c>
      <c r="CY45" s="2336">
        <v>48.105139298464536</v>
      </c>
      <c r="CZ45" s="2336">
        <v>48.216546492527094</v>
      </c>
      <c r="DA45" s="2336">
        <v>48.327059961154539</v>
      </c>
      <c r="DB45" s="2336">
        <v>48.436683002254384</v>
      </c>
      <c r="DC45" s="2336">
        <v>48.545418972622464</v>
      </c>
      <c r="DD45" s="2336">
        <v>48.653271286434062</v>
      </c>
      <c r="DE45" s="2336">
        <v>48.760243413758111</v>
      </c>
      <c r="DF45" s="2336">
        <v>48.866338879091948</v>
      </c>
      <c r="DG45" s="2336">
        <v>48.971561259918396</v>
      </c>
      <c r="DH45" s="2336">
        <v>49.075914185281633</v>
      </c>
      <c r="DI45" s="2336">
        <v>49.1794013343846</v>
      </c>
      <c r="DJ45" s="2336">
        <v>49.28202643520337</v>
      </c>
      <c r="DK45" s="2336">
        <v>49.383793263121817</v>
      </c>
      <c r="DL45" s="2336">
        <v>49.484705639583922</v>
      </c>
      <c r="DM45" s="2336">
        <v>49.584767430762447</v>
      </c>
      <c r="DN45" s="2336">
        <v>49.683982546246966</v>
      </c>
      <c r="DO45" s="2336">
        <v>49.782354937746028</v>
      </c>
      <c r="DP45" s="2336">
        <v>49.87988859780716</v>
      </c>
      <c r="DQ45" s="2336">
        <v>49.976587558552424</v>
      </c>
      <c r="DR45" s="2336">
        <v>50.072455890428856</v>
      </c>
      <c r="DS45" s="2336">
        <v>50.167497700974486</v>
      </c>
      <c r="DT45" s="2336">
        <v>50.261717133599561</v>
      </c>
      <c r="DU45" s="2336">
        <v>50.355118366381092</v>
      </c>
    </row>
    <row r="46" spans="1:125">
      <c r="A46" s="909">
        <v>44</v>
      </c>
      <c r="B46" s="90"/>
      <c r="C46" s="90"/>
      <c r="D46" s="90"/>
      <c r="E46" s="90"/>
      <c r="F46" s="90"/>
      <c r="G46" s="90"/>
      <c r="H46" s="90"/>
      <c r="I46" s="90"/>
      <c r="J46" s="90"/>
      <c r="K46" s="90"/>
      <c r="L46" s="90"/>
      <c r="M46" s="90"/>
      <c r="N46" s="90"/>
      <c r="O46" s="90"/>
      <c r="P46" s="90"/>
      <c r="Q46" s="90"/>
      <c r="R46" s="90"/>
      <c r="S46" s="90"/>
      <c r="T46" s="90"/>
      <c r="U46" s="90"/>
      <c r="V46" s="739"/>
      <c r="W46" s="739">
        <v>36.64</v>
      </c>
      <c r="X46" s="739">
        <v>36.840000000000003</v>
      </c>
      <c r="Y46" s="2336">
        <v>37.026146976041019</v>
      </c>
      <c r="Z46" s="2336">
        <v>37.255245064481755</v>
      </c>
      <c r="AA46" s="2336">
        <v>37.395961706482723</v>
      </c>
      <c r="AB46" s="2336">
        <v>37.570648192253842</v>
      </c>
      <c r="AC46" s="2336">
        <v>37.783851058145629</v>
      </c>
      <c r="AD46" s="2336">
        <v>37.883842533086543</v>
      </c>
      <c r="AE46" s="2336">
        <v>38.104852182172777</v>
      </c>
      <c r="AF46" s="2336">
        <v>38.271988016141066</v>
      </c>
      <c r="AG46" s="2336">
        <v>38.435147251313609</v>
      </c>
      <c r="AH46" s="2336">
        <v>38.581293019316121</v>
      </c>
      <c r="AI46" s="2336">
        <v>38.751870790970514</v>
      </c>
      <c r="AJ46" s="2336">
        <v>39.003070750582353</v>
      </c>
      <c r="AK46" s="2336">
        <v>39.22315416960533</v>
      </c>
      <c r="AL46" s="2336">
        <v>39.474870623162992</v>
      </c>
      <c r="AM46" s="2336">
        <v>39.713687493449669</v>
      </c>
      <c r="AN46" s="2336">
        <v>39.900420616344761</v>
      </c>
      <c r="AO46" s="2336">
        <v>40.030782110381026</v>
      </c>
      <c r="AP46" s="2336">
        <v>40.13364690983807</v>
      </c>
      <c r="AQ46" s="2336">
        <v>40.163352426078035</v>
      </c>
      <c r="AR46" s="2336">
        <v>40.201213941324418</v>
      </c>
      <c r="AS46" s="2336">
        <v>40.218101456849709</v>
      </c>
      <c r="AT46" s="2336">
        <v>40.168520388497299</v>
      </c>
      <c r="AU46" s="2336">
        <v>40.181131924226023</v>
      </c>
      <c r="AV46" s="2336">
        <v>40.219951235786077</v>
      </c>
      <c r="AW46" s="2336">
        <v>40.432978716046748</v>
      </c>
      <c r="AX46" s="2336">
        <v>40.459314434940893</v>
      </c>
      <c r="AY46" s="2336">
        <v>40.602862317335905</v>
      </c>
      <c r="AZ46" s="2336">
        <v>40.71005797143939</v>
      </c>
      <c r="BA46" s="2336">
        <v>40.807543046240028</v>
      </c>
      <c r="BB46" s="2336">
        <v>40.917516523596781</v>
      </c>
      <c r="BC46" s="2336">
        <v>41.021973788668276</v>
      </c>
      <c r="BD46" s="2336">
        <v>41.097512279028273</v>
      </c>
      <c r="BE46" s="2336">
        <v>41.213142384380397</v>
      </c>
      <c r="BF46" s="2336">
        <v>41.313090501882336</v>
      </c>
      <c r="BG46" s="2336">
        <v>41.450735322382897</v>
      </c>
      <c r="BH46" s="2336">
        <v>41.611257170021332</v>
      </c>
      <c r="BI46" s="2336">
        <v>41.72813231013901</v>
      </c>
      <c r="BJ46" s="2336">
        <v>41.857058869815233</v>
      </c>
      <c r="BK46" s="2336">
        <v>41.984972767689868</v>
      </c>
      <c r="BL46" s="2336">
        <v>42.160872512351958</v>
      </c>
      <c r="BM46" s="2336">
        <v>42.31280700446888</v>
      </c>
      <c r="BN46" s="2336">
        <v>42.464230010210507</v>
      </c>
      <c r="BO46" s="2336">
        <v>42.58503524169334</v>
      </c>
      <c r="BP46" s="2336">
        <v>42.734454969205842</v>
      </c>
      <c r="BQ46" s="2336">
        <v>42.866648773154125</v>
      </c>
      <c r="BR46" s="2336">
        <v>43.009057511280353</v>
      </c>
      <c r="BS46" s="2336">
        <v>43.145090245625873</v>
      </c>
      <c r="BT46" s="2336">
        <v>43.27772162605968</v>
      </c>
      <c r="BU46" s="2336">
        <v>43.404243027317982</v>
      </c>
      <c r="BV46" s="2336">
        <v>43.539588577044924</v>
      </c>
      <c r="BW46" s="2336">
        <v>43.679821190351085</v>
      </c>
      <c r="BX46" s="2336">
        <v>43.810297163927657</v>
      </c>
      <c r="BY46" s="2336">
        <v>43.941991992912392</v>
      </c>
      <c r="BZ46" s="2336">
        <v>44.073667455401477</v>
      </c>
      <c r="CA46" s="2336">
        <v>44.200876142210859</v>
      </c>
      <c r="CB46" s="2336">
        <v>44.333193836049546</v>
      </c>
      <c r="CC46" s="2336">
        <v>44.464791833265409</v>
      </c>
      <c r="CD46" s="2336">
        <v>44.595504536078835</v>
      </c>
      <c r="CE46" s="2336">
        <v>44.725329520420445</v>
      </c>
      <c r="CF46" s="2336">
        <v>44.854264083451746</v>
      </c>
      <c r="CG46" s="2336">
        <v>44.982305395255139</v>
      </c>
      <c r="CH46" s="2336">
        <v>45.109450656319588</v>
      </c>
      <c r="CI46" s="2336">
        <v>45.235697233391939</v>
      </c>
      <c r="CJ46" s="2336">
        <v>45.361042760441677</v>
      </c>
      <c r="CK46" s="2336">
        <v>45.48548520140168</v>
      </c>
      <c r="CL46" s="2336">
        <v>45.609022890874911</v>
      </c>
      <c r="CM46" s="2336">
        <v>45.731654558119388</v>
      </c>
      <c r="CN46" s="2336">
        <v>45.853379346746514</v>
      </c>
      <c r="CO46" s="2336">
        <v>45.974196837093821</v>
      </c>
      <c r="CP46" s="2336">
        <v>46.094099256529709</v>
      </c>
      <c r="CQ46" s="2336">
        <v>46.213088992107352</v>
      </c>
      <c r="CR46" s="2336">
        <v>46.331168509671301</v>
      </c>
      <c r="CS46" s="2336">
        <v>46.448340352052234</v>
      </c>
      <c r="CT46" s="2336">
        <v>46.56460713729372</v>
      </c>
      <c r="CU46" s="2336">
        <v>46.679971556907994</v>
      </c>
      <c r="CV46" s="2336">
        <v>46.794436374163176</v>
      </c>
      <c r="CW46" s="2336">
        <v>46.908004422397163</v>
      </c>
      <c r="CX46" s="2336">
        <v>47.020678603359435</v>
      </c>
      <c r="CY46" s="2336">
        <v>47.132461885579943</v>
      </c>
      <c r="CZ46" s="2336">
        <v>47.243357302763123</v>
      </c>
      <c r="DA46" s="2336">
        <v>47.353367952206668</v>
      </c>
      <c r="DB46" s="2336">
        <v>47.462496993244848</v>
      </c>
      <c r="DC46" s="2336">
        <v>47.570747645714626</v>
      </c>
      <c r="DD46" s="2336">
        <v>47.678123188444239</v>
      </c>
      <c r="DE46" s="2336">
        <v>47.784626957763955</v>
      </c>
      <c r="DF46" s="2336">
        <v>47.890262346037083</v>
      </c>
      <c r="DG46" s="2336">
        <v>47.995032800212563</v>
      </c>
      <c r="DH46" s="2336">
        <v>48.098941820395922</v>
      </c>
      <c r="DI46" s="2336">
        <v>48.20199295844121</v>
      </c>
      <c r="DJ46" s="2336">
        <v>48.304189816559393</v>
      </c>
      <c r="DK46" s="2336">
        <v>48.405536045946654</v>
      </c>
      <c r="DL46" s="2336">
        <v>48.506035345429787</v>
      </c>
      <c r="DM46" s="2336">
        <v>48.605691460127581</v>
      </c>
      <c r="DN46" s="2336">
        <v>48.704508180131107</v>
      </c>
      <c r="DO46" s="2336">
        <v>48.802489339197855</v>
      </c>
      <c r="DP46" s="2336">
        <v>48.899638813463156</v>
      </c>
      <c r="DQ46" s="2336">
        <v>48.995960520166932</v>
      </c>
      <c r="DR46" s="2336">
        <v>49.091458416394964</v>
      </c>
      <c r="DS46" s="2336">
        <v>49.186136497835406</v>
      </c>
      <c r="DT46" s="2336">
        <v>49.279998797550135</v>
      </c>
      <c r="DU46" s="2336">
        <v>49.373049384759256</v>
      </c>
    </row>
    <row r="47" spans="1:125">
      <c r="A47" s="909">
        <v>45</v>
      </c>
      <c r="B47" s="90"/>
      <c r="C47" s="90"/>
      <c r="D47" s="90"/>
      <c r="E47" s="90"/>
      <c r="F47" s="90"/>
      <c r="G47" s="90"/>
      <c r="H47" s="90"/>
      <c r="I47" s="90"/>
      <c r="J47" s="90"/>
      <c r="K47" s="90"/>
      <c r="L47" s="90"/>
      <c r="M47" s="90"/>
      <c r="N47" s="90"/>
      <c r="O47" s="90"/>
      <c r="P47" s="90"/>
      <c r="Q47" s="90"/>
      <c r="R47" s="90"/>
      <c r="S47" s="90"/>
      <c r="T47" s="90"/>
      <c r="U47" s="90"/>
      <c r="V47" s="739"/>
      <c r="W47" s="739">
        <v>35.74</v>
      </c>
      <c r="X47" s="739">
        <v>35.94</v>
      </c>
      <c r="Y47" s="2336">
        <v>36.121071691216393</v>
      </c>
      <c r="Z47" s="2336">
        <v>36.350475700371554</v>
      </c>
      <c r="AA47" s="2336">
        <v>36.496988821931666</v>
      </c>
      <c r="AB47" s="2336">
        <v>36.66828169719907</v>
      </c>
      <c r="AC47" s="2336">
        <v>36.878421566851252</v>
      </c>
      <c r="AD47" s="2336">
        <v>36.976535663568541</v>
      </c>
      <c r="AE47" s="2336">
        <v>37.2001007953886</v>
      </c>
      <c r="AF47" s="2336">
        <v>37.362617918081511</v>
      </c>
      <c r="AG47" s="2336">
        <v>37.527826228112339</v>
      </c>
      <c r="AH47" s="2336">
        <v>37.673222498064725</v>
      </c>
      <c r="AI47" s="2336">
        <v>37.84081673557435</v>
      </c>
      <c r="AJ47" s="2336">
        <v>38.093238175545565</v>
      </c>
      <c r="AK47" s="2336">
        <v>38.308144035655637</v>
      </c>
      <c r="AL47" s="2336">
        <v>38.554826761625094</v>
      </c>
      <c r="AM47" s="2336">
        <v>38.793907047759674</v>
      </c>
      <c r="AN47" s="2336">
        <v>38.979219043727596</v>
      </c>
      <c r="AO47" s="2336">
        <v>39.108236481090273</v>
      </c>
      <c r="AP47" s="2336">
        <v>39.204759075151671</v>
      </c>
      <c r="AQ47" s="2336">
        <v>39.237549330213341</v>
      </c>
      <c r="AR47" s="2336">
        <v>39.273878545759317</v>
      </c>
      <c r="AS47" s="2336">
        <v>39.293235312235559</v>
      </c>
      <c r="AT47" s="2336">
        <v>39.238827318672961</v>
      </c>
      <c r="AU47" s="2336">
        <v>39.255195643169898</v>
      </c>
      <c r="AV47" s="2336">
        <v>39.292694012109166</v>
      </c>
      <c r="AW47" s="2336">
        <v>39.503251208301293</v>
      </c>
      <c r="AX47" s="2336">
        <v>39.531919581164182</v>
      </c>
      <c r="AY47" s="2336">
        <v>39.676599516765847</v>
      </c>
      <c r="AZ47" s="2336">
        <v>39.780384034538045</v>
      </c>
      <c r="BA47" s="2336">
        <v>39.880488430619103</v>
      </c>
      <c r="BB47" s="2336">
        <v>39.984325975568403</v>
      </c>
      <c r="BC47" s="2336">
        <v>40.090184206293834</v>
      </c>
      <c r="BD47" s="2336">
        <v>40.160566330876421</v>
      </c>
      <c r="BE47" s="2336">
        <v>40.275603140771544</v>
      </c>
      <c r="BF47" s="2336">
        <v>40.376419767940945</v>
      </c>
      <c r="BG47" s="2336">
        <v>40.51002428688227</v>
      </c>
      <c r="BH47" s="2336">
        <v>40.672411860182862</v>
      </c>
      <c r="BI47" s="2336">
        <v>40.783598656828367</v>
      </c>
      <c r="BJ47" s="2336">
        <v>40.911870392350671</v>
      </c>
      <c r="BK47" s="2336">
        <v>41.03679784168402</v>
      </c>
      <c r="BL47" s="2336">
        <v>41.210550142587813</v>
      </c>
      <c r="BM47" s="2336">
        <v>41.357932150347096</v>
      </c>
      <c r="BN47" s="2336">
        <v>41.512741012426744</v>
      </c>
      <c r="BO47" s="2336">
        <v>41.634752423868413</v>
      </c>
      <c r="BP47" s="2336">
        <v>41.781008378152485</v>
      </c>
      <c r="BQ47" s="2336">
        <v>41.912797934499153</v>
      </c>
      <c r="BR47" s="2336">
        <v>42.053521558365567</v>
      </c>
      <c r="BS47" s="2336">
        <v>42.190516248195749</v>
      </c>
      <c r="BT47" s="2336">
        <v>42.320738954946769</v>
      </c>
      <c r="BU47" s="2336">
        <v>42.448394255599531</v>
      </c>
      <c r="BV47" s="2336">
        <v>42.582185477127815</v>
      </c>
      <c r="BW47" s="2336">
        <v>42.720439518239004</v>
      </c>
      <c r="BX47" s="2336">
        <v>42.851772825402904</v>
      </c>
      <c r="BY47" s="2336">
        <v>42.982734819076086</v>
      </c>
      <c r="BZ47" s="2336">
        <v>43.117960318065819</v>
      </c>
      <c r="CA47" s="2336">
        <v>43.245336655448781</v>
      </c>
      <c r="CB47" s="2336">
        <v>43.37703736056627</v>
      </c>
      <c r="CC47" s="2336">
        <v>43.507867184742395</v>
      </c>
      <c r="CD47" s="2336">
        <v>43.637823962404596</v>
      </c>
      <c r="CE47" s="2336">
        <v>43.766905104417965</v>
      </c>
      <c r="CF47" s="2336">
        <v>43.89510774400317</v>
      </c>
      <c r="CG47" s="2336">
        <v>44.022428888606136</v>
      </c>
      <c r="CH47" s="2336">
        <v>44.148865577548719</v>
      </c>
      <c r="CI47" s="2336">
        <v>44.274415018007261</v>
      </c>
      <c r="CJ47" s="2336">
        <v>44.39907468605967</v>
      </c>
      <c r="CK47" s="2336">
        <v>44.522842389465964</v>
      </c>
      <c r="CL47" s="2336">
        <v>44.645716308390718</v>
      </c>
      <c r="CM47" s="2336">
        <v>44.767695019387155</v>
      </c>
      <c r="CN47" s="2336">
        <v>44.888777515089551</v>
      </c>
      <c r="CO47" s="2336">
        <v>45.008953499120544</v>
      </c>
      <c r="CP47" s="2336">
        <v>45.128225123634031</v>
      </c>
      <c r="CQ47" s="2336">
        <v>45.246594622837868</v>
      </c>
      <c r="CR47" s="2336">
        <v>45.364064311166736</v>
      </c>
      <c r="CS47" s="2336">
        <v>45.48063658148623</v>
      </c>
      <c r="CT47" s="2336">
        <v>45.596313903328188</v>
      </c>
      <c r="CU47" s="2336">
        <v>45.711098821154025</v>
      </c>
      <c r="CV47" s="2336">
        <v>45.824993952648676</v>
      </c>
      <c r="CW47" s="2336">
        <v>45.93800198704043</v>
      </c>
      <c r="CX47" s="2336">
        <v>46.050125683447725</v>
      </c>
      <c r="CY47" s="2336">
        <v>46.161367869252388</v>
      </c>
      <c r="CZ47" s="2336">
        <v>46.271731438497113</v>
      </c>
      <c r="DA47" s="2336">
        <v>46.381219350307056</v>
      </c>
      <c r="DB47" s="2336">
        <v>46.489834627335107</v>
      </c>
      <c r="DC47" s="2336">
        <v>46.597580354229457</v>
      </c>
      <c r="DD47" s="2336">
        <v>46.704459676122738</v>
      </c>
      <c r="DE47" s="2336">
        <v>46.810475797142885</v>
      </c>
      <c r="DF47" s="2336">
        <v>46.915631978943459</v>
      </c>
      <c r="DG47" s="2336">
        <v>47.019931539255069</v>
      </c>
      <c r="DH47" s="2336">
        <v>47.123377850454439</v>
      </c>
      <c r="DI47" s="2336">
        <v>47.225974338154025</v>
      </c>
      <c r="DJ47" s="2336">
        <v>47.327724479807415</v>
      </c>
      <c r="DK47" s="2336">
        <v>47.428631803334213</v>
      </c>
      <c r="DL47" s="2336">
        <v>47.528699885761462</v>
      </c>
      <c r="DM47" s="2336">
        <v>47.627932351880567</v>
      </c>
      <c r="DN47" s="2336">
        <v>47.726332872922633</v>
      </c>
      <c r="DO47" s="2336">
        <v>47.823905165247268</v>
      </c>
      <c r="DP47" s="2336">
        <v>47.920652989048193</v>
      </c>
      <c r="DQ47" s="2336">
        <v>48.016580147073789</v>
      </c>
      <c r="DR47" s="2336">
        <v>48.111690483361706</v>
      </c>
      <c r="DS47" s="2336">
        <v>48.20598788198847</v>
      </c>
      <c r="DT47" s="2336">
        <v>48.299476265833405</v>
      </c>
      <c r="DU47" s="2336">
        <v>48.392159595355494</v>
      </c>
    </row>
    <row r="48" spans="1:125">
      <c r="A48" s="909">
        <v>46</v>
      </c>
      <c r="B48" s="90"/>
      <c r="C48" s="90"/>
      <c r="D48" s="90"/>
      <c r="E48" s="90"/>
      <c r="F48" s="90"/>
      <c r="G48" s="90"/>
      <c r="H48" s="90"/>
      <c r="I48" s="90"/>
      <c r="J48" s="90"/>
      <c r="K48" s="90"/>
      <c r="L48" s="90"/>
      <c r="M48" s="90"/>
      <c r="N48" s="90"/>
      <c r="O48" s="90"/>
      <c r="P48" s="90"/>
      <c r="Q48" s="90"/>
      <c r="R48" s="90"/>
      <c r="S48" s="90"/>
      <c r="T48" s="90"/>
      <c r="U48" s="90"/>
      <c r="V48" s="739"/>
      <c r="W48" s="739">
        <v>34.840000000000003</v>
      </c>
      <c r="X48" s="739">
        <v>35.04</v>
      </c>
      <c r="Y48" s="2336">
        <v>35.223555216322985</v>
      </c>
      <c r="Z48" s="2336">
        <v>35.456573992897269</v>
      </c>
      <c r="AA48" s="2336">
        <v>35.595019288362664</v>
      </c>
      <c r="AB48" s="2336">
        <v>35.764437395699851</v>
      </c>
      <c r="AC48" s="2336">
        <v>35.976171839757754</v>
      </c>
      <c r="AD48" s="2336">
        <v>36.079764678046473</v>
      </c>
      <c r="AE48" s="2336">
        <v>36.298009570924378</v>
      </c>
      <c r="AF48" s="2336">
        <v>36.456956339942614</v>
      </c>
      <c r="AG48" s="2336">
        <v>36.62140256036448</v>
      </c>
      <c r="AH48" s="2336">
        <v>36.770153539803076</v>
      </c>
      <c r="AI48" s="2336">
        <v>36.938614176624768</v>
      </c>
      <c r="AJ48" s="2336">
        <v>37.183099971067847</v>
      </c>
      <c r="AK48" s="2336">
        <v>37.397142706655536</v>
      </c>
      <c r="AL48" s="2336">
        <v>37.640188746644199</v>
      </c>
      <c r="AM48" s="2336">
        <v>37.878488272331268</v>
      </c>
      <c r="AN48" s="2336">
        <v>38.058746133835797</v>
      </c>
      <c r="AO48" s="2336">
        <v>38.188665864655526</v>
      </c>
      <c r="AP48" s="2336">
        <v>38.282277840539749</v>
      </c>
      <c r="AQ48" s="2336">
        <v>38.314834587770676</v>
      </c>
      <c r="AR48" s="2336">
        <v>38.353984869180806</v>
      </c>
      <c r="AS48" s="2336">
        <v>38.370492036423926</v>
      </c>
      <c r="AT48" s="2336">
        <v>38.316711203314554</v>
      </c>
      <c r="AU48" s="2336">
        <v>38.338588195021011</v>
      </c>
      <c r="AV48" s="2336">
        <v>38.368926984490585</v>
      </c>
      <c r="AW48" s="2336">
        <v>38.580550161309979</v>
      </c>
      <c r="AX48" s="2336">
        <v>38.610413393291893</v>
      </c>
      <c r="AY48" s="2336">
        <v>38.749648249771454</v>
      </c>
      <c r="AZ48" s="2336">
        <v>38.853998111881268</v>
      </c>
      <c r="BA48" s="2336">
        <v>38.954637164470803</v>
      </c>
      <c r="BB48" s="2336">
        <v>39.054529774246539</v>
      </c>
      <c r="BC48" s="2336">
        <v>39.158752484897171</v>
      </c>
      <c r="BD48" s="2336">
        <v>39.230059746227795</v>
      </c>
      <c r="BE48" s="2336">
        <v>39.342961866673257</v>
      </c>
      <c r="BF48" s="2336">
        <v>39.443054156026996</v>
      </c>
      <c r="BG48" s="2336">
        <v>39.576366295087652</v>
      </c>
      <c r="BH48" s="2336">
        <v>39.732579638347147</v>
      </c>
      <c r="BI48" s="2336">
        <v>39.844634648284263</v>
      </c>
      <c r="BJ48" s="2336">
        <v>39.972387064221792</v>
      </c>
      <c r="BK48" s="2336">
        <v>40.096703322999971</v>
      </c>
      <c r="BL48" s="2336">
        <v>40.266658152534752</v>
      </c>
      <c r="BM48" s="2336">
        <v>40.412099847036977</v>
      </c>
      <c r="BN48" s="2336">
        <v>40.56486774125942</v>
      </c>
      <c r="BO48" s="2336">
        <v>40.686775978711182</v>
      </c>
      <c r="BP48" s="2336">
        <v>40.827569070935098</v>
      </c>
      <c r="BQ48" s="2336">
        <v>40.962433549128697</v>
      </c>
      <c r="BR48" s="2336">
        <v>41.100925275100742</v>
      </c>
      <c r="BS48" s="2336">
        <v>41.235048212752559</v>
      </c>
      <c r="BT48" s="2336">
        <v>41.367742135996394</v>
      </c>
      <c r="BU48" s="2336">
        <v>41.495902176688183</v>
      </c>
      <c r="BV48" s="2336">
        <v>41.633526310451821</v>
      </c>
      <c r="BW48" s="2336">
        <v>41.763357170920479</v>
      </c>
      <c r="BX48" s="2336">
        <v>41.894794145354766</v>
      </c>
      <c r="BY48" s="2336">
        <v>42.030824405746721</v>
      </c>
      <c r="BZ48" s="2336">
        <v>42.160451441502516</v>
      </c>
      <c r="CA48" s="2336">
        <v>42.292206133320754</v>
      </c>
      <c r="CB48" s="2336">
        <v>42.423104127121441</v>
      </c>
      <c r="CC48" s="2336">
        <v>42.553143663763116</v>
      </c>
      <c r="CD48" s="2336">
        <v>42.682322418490344</v>
      </c>
      <c r="CE48" s="2336">
        <v>42.810637643664634</v>
      </c>
      <c r="CF48" s="2336">
        <v>42.938086314894335</v>
      </c>
      <c r="CG48" s="2336">
        <v>43.064665283100354</v>
      </c>
      <c r="CH48" s="2336">
        <v>43.190371432347753</v>
      </c>
      <c r="CI48" s="2336">
        <v>43.315201815964606</v>
      </c>
      <c r="CJ48" s="2336">
        <v>43.439153757681353</v>
      </c>
      <c r="CK48" s="2336">
        <v>43.562224914457893</v>
      </c>
      <c r="CL48" s="2336">
        <v>43.684413317226891</v>
      </c>
      <c r="CM48" s="2336">
        <v>43.805717394880524</v>
      </c>
      <c r="CN48" s="2336">
        <v>43.926124050808134</v>
      </c>
      <c r="CO48" s="2336">
        <v>44.045635201104325</v>
      </c>
      <c r="CP48" s="2336">
        <v>44.164252847024883</v>
      </c>
      <c r="CQ48" s="2336">
        <v>44.281979073142359</v>
      </c>
      <c r="CR48" s="2336">
        <v>44.398816045533131</v>
      </c>
      <c r="CS48" s="2336">
        <v>44.514766009994922</v>
      </c>
      <c r="CT48" s="2336">
        <v>44.629831290294376</v>
      </c>
      <c r="CU48" s="2336">
        <v>44.744014286441747</v>
      </c>
      <c r="CV48" s="2336">
        <v>44.857317472995419</v>
      </c>
      <c r="CW48" s="2336">
        <v>44.969743397391163</v>
      </c>
      <c r="CX48" s="2336">
        <v>45.081294678297731</v>
      </c>
      <c r="CY48" s="2336">
        <v>45.191974003997913</v>
      </c>
      <c r="CZ48" s="2336">
        <v>45.301784130793024</v>
      </c>
      <c r="DA48" s="2336">
        <v>45.410727881430716</v>
      </c>
      <c r="DB48" s="2336">
        <v>45.518808143555717</v>
      </c>
      <c r="DC48" s="2336">
        <v>45.626027868182057</v>
      </c>
      <c r="DD48" s="2336">
        <v>45.732390068186156</v>
      </c>
      <c r="DE48" s="2336">
        <v>45.837897816820949</v>
      </c>
      <c r="DF48" s="2336">
        <v>45.942554246248775</v>
      </c>
      <c r="DG48" s="2336">
        <v>46.046362546094649</v>
      </c>
      <c r="DH48" s="2336">
        <v>46.149325962016562</v>
      </c>
      <c r="DI48" s="2336">
        <v>46.251447794295785</v>
      </c>
      <c r="DJ48" s="2336">
        <v>46.352731396442245</v>
      </c>
      <c r="DK48" s="2336">
        <v>46.453180173818829</v>
      </c>
      <c r="DL48" s="2336">
        <v>46.55279758228172</v>
      </c>
      <c r="DM48" s="2336">
        <v>46.651587126835629</v>
      </c>
      <c r="DN48" s="2336">
        <v>46.749552360306929</v>
      </c>
      <c r="DO48" s="2336">
        <v>46.846696882029825</v>
      </c>
      <c r="DP48" s="2336">
        <v>46.94302433654871</v>
      </c>
      <c r="DQ48" s="2336">
        <v>47.038538412335157</v>
      </c>
      <c r="DR48" s="2336">
        <v>47.133242840518371</v>
      </c>
      <c r="DS48" s="2336">
        <v>47.227141393630305</v>
      </c>
      <c r="DT48" s="2336">
        <v>47.320237884364644</v>
      </c>
      <c r="DU48" s="2336">
        <v>47.412536164348374</v>
      </c>
    </row>
    <row r="49" spans="1:125">
      <c r="A49" s="909">
        <v>47</v>
      </c>
      <c r="B49" s="90"/>
      <c r="C49" s="90"/>
      <c r="D49" s="90"/>
      <c r="E49" s="90"/>
      <c r="F49" s="90"/>
      <c r="G49" s="90"/>
      <c r="H49" s="90"/>
      <c r="I49" s="90"/>
      <c r="J49" s="90"/>
      <c r="K49" s="90"/>
      <c r="L49" s="90"/>
      <c r="M49" s="90"/>
      <c r="N49" s="90"/>
      <c r="O49" s="90"/>
      <c r="P49" s="90"/>
      <c r="Q49" s="90"/>
      <c r="R49" s="90"/>
      <c r="S49" s="90"/>
      <c r="T49" s="90"/>
      <c r="U49" s="90"/>
      <c r="V49" s="739"/>
      <c r="W49" s="739">
        <v>33.950000000000003</v>
      </c>
      <c r="X49" s="739">
        <v>34.15</v>
      </c>
      <c r="Y49" s="2336">
        <v>34.340612307871517</v>
      </c>
      <c r="Z49" s="2336">
        <v>34.565486878428494</v>
      </c>
      <c r="AA49" s="2336">
        <v>34.706288899924949</v>
      </c>
      <c r="AB49" s="2336">
        <v>34.871567698568022</v>
      </c>
      <c r="AC49" s="2336">
        <v>35.080646845579757</v>
      </c>
      <c r="AD49" s="2336">
        <v>35.186659807470143</v>
      </c>
      <c r="AE49" s="2336">
        <v>35.401183102557006</v>
      </c>
      <c r="AF49" s="2336">
        <v>35.556697765904602</v>
      </c>
      <c r="AG49" s="2336">
        <v>35.7188290485593</v>
      </c>
      <c r="AH49" s="2336">
        <v>35.870587145814319</v>
      </c>
      <c r="AI49" s="2336">
        <v>36.035349721014818</v>
      </c>
      <c r="AJ49" s="2336">
        <v>36.275960276666325</v>
      </c>
      <c r="AK49" s="2336">
        <v>36.490352703660278</v>
      </c>
      <c r="AL49" s="2336">
        <v>36.730610262383479</v>
      </c>
      <c r="AM49" s="2336">
        <v>36.960556126922427</v>
      </c>
      <c r="AN49" s="2336">
        <v>37.145818381362403</v>
      </c>
      <c r="AO49" s="2336">
        <v>37.271407043798476</v>
      </c>
      <c r="AP49" s="2336">
        <v>37.366285970651951</v>
      </c>
      <c r="AQ49" s="2336">
        <v>37.399900461653722</v>
      </c>
      <c r="AR49" s="2336">
        <v>37.438281107850869</v>
      </c>
      <c r="AS49" s="2336">
        <v>37.445025314930355</v>
      </c>
      <c r="AT49" s="2336">
        <v>37.405435541163897</v>
      </c>
      <c r="AU49" s="2336">
        <v>37.424862248492886</v>
      </c>
      <c r="AV49" s="2336">
        <v>37.453466017015053</v>
      </c>
      <c r="AW49" s="2336">
        <v>37.658586733889422</v>
      </c>
      <c r="AX49" s="2336">
        <v>37.690162306653313</v>
      </c>
      <c r="AY49" s="2336">
        <v>37.827502565243456</v>
      </c>
      <c r="AZ49" s="2336">
        <v>37.930936907378801</v>
      </c>
      <c r="BA49" s="2336">
        <v>38.028209914582192</v>
      </c>
      <c r="BB49" s="2336">
        <v>38.12843576197325</v>
      </c>
      <c r="BC49" s="2336">
        <v>38.232106244850819</v>
      </c>
      <c r="BD49" s="2336">
        <v>38.302801416808805</v>
      </c>
      <c r="BE49" s="2336">
        <v>38.412013361540829</v>
      </c>
      <c r="BF49" s="2336">
        <v>38.515906909090788</v>
      </c>
      <c r="BG49" s="2336">
        <v>38.644504802485208</v>
      </c>
      <c r="BH49" s="2336">
        <v>38.79899235778813</v>
      </c>
      <c r="BI49" s="2336">
        <v>38.909735978830987</v>
      </c>
      <c r="BJ49" s="2336">
        <v>39.036033924384242</v>
      </c>
      <c r="BK49" s="2336">
        <v>39.156986592547455</v>
      </c>
      <c r="BL49" s="2336">
        <v>39.330657503604847</v>
      </c>
      <c r="BM49" s="2336">
        <v>39.470483993485502</v>
      </c>
      <c r="BN49" s="2336">
        <v>39.618188716760208</v>
      </c>
      <c r="BO49" s="2336">
        <v>39.741801965031669</v>
      </c>
      <c r="BP49" s="2336">
        <v>39.883777282394526</v>
      </c>
      <c r="BQ49" s="2336">
        <v>40.01357609432894</v>
      </c>
      <c r="BR49" s="2336">
        <v>40.154797307013837</v>
      </c>
      <c r="BS49" s="2336">
        <v>40.284311611126363</v>
      </c>
      <c r="BT49" s="2336">
        <v>40.419298862430331</v>
      </c>
      <c r="BU49" s="2336">
        <v>40.545179897602097</v>
      </c>
      <c r="BV49" s="2336">
        <v>40.681954385354281</v>
      </c>
      <c r="BW49" s="2336">
        <v>40.812872674230675</v>
      </c>
      <c r="BX49" s="2336">
        <v>40.946329146151392</v>
      </c>
      <c r="BY49" s="2336">
        <v>41.078847997764043</v>
      </c>
      <c r="BZ49" s="2336">
        <v>41.210605606745716</v>
      </c>
      <c r="CA49" s="2336">
        <v>41.341520340127033</v>
      </c>
      <c r="CB49" s="2336">
        <v>41.471590992934914</v>
      </c>
      <c r="CC49" s="2336">
        <v>41.600815653032512</v>
      </c>
      <c r="CD49" s="2336">
        <v>41.729191842851506</v>
      </c>
      <c r="CE49" s="2336">
        <v>41.856716662373856</v>
      </c>
      <c r="CF49" s="2336">
        <v>41.983386935492092</v>
      </c>
      <c r="CG49" s="2336">
        <v>42.10919936228904</v>
      </c>
      <c r="CH49" s="2336">
        <v>42.234150677066907</v>
      </c>
      <c r="CI49" s="2336">
        <v>42.358237784620634</v>
      </c>
      <c r="CJ49" s="2336">
        <v>42.481457861479882</v>
      </c>
      <c r="CK49" s="2336">
        <v>42.603808418789576</v>
      </c>
      <c r="CL49" s="2336">
        <v>42.725287343079003</v>
      </c>
      <c r="CM49" s="2336">
        <v>42.8458784917622</v>
      </c>
      <c r="CN49" s="2336">
        <v>42.965583543851118</v>
      </c>
      <c r="CO49" s="2336">
        <v>43.084404266460901</v>
      </c>
      <c r="CP49" s="2336">
        <v>43.202342512953692</v>
      </c>
      <c r="CQ49" s="2336">
        <v>43.319400221113504</v>
      </c>
      <c r="CR49" s="2336">
        <v>43.435579411351448</v>
      </c>
      <c r="CS49" s="2336">
        <v>43.550882184940342</v>
      </c>
      <c r="CT49" s="2336">
        <v>43.665310722278434</v>
      </c>
      <c r="CU49" s="2336">
        <v>43.778867281179217</v>
      </c>
      <c r="CV49" s="2336">
        <v>43.891554195190061</v>
      </c>
      <c r="CW49" s="2336">
        <v>44.003373871934649</v>
      </c>
      <c r="CX49" s="2336">
        <v>44.114328791480837</v>
      </c>
      <c r="CY49" s="2336">
        <v>44.224421504733101</v>
      </c>
      <c r="CZ49" s="2336">
        <v>44.33365463184743</v>
      </c>
      <c r="DA49" s="2336">
        <v>44.442030860668815</v>
      </c>
      <c r="DB49" s="2336">
        <v>44.54955294519074</v>
      </c>
      <c r="DC49" s="2336">
        <v>44.656223704035405</v>
      </c>
      <c r="DD49" s="2336">
        <v>44.762046018953967</v>
      </c>
      <c r="DE49" s="2336">
        <v>44.8670228333471</v>
      </c>
      <c r="DF49" s="2336">
        <v>44.971157150803563</v>
      </c>
      <c r="DG49" s="2336">
        <v>45.074452033658396</v>
      </c>
      <c r="DH49" s="2336">
        <v>45.176910601567556</v>
      </c>
      <c r="DI49" s="2336">
        <v>45.278536030101684</v>
      </c>
      <c r="DJ49" s="2336">
        <v>45.379331549354454</v>
      </c>
      <c r="DK49" s="2336">
        <v>45.479300442569205</v>
      </c>
      <c r="DL49" s="2336">
        <v>45.57844604478084</v>
      </c>
      <c r="DM49" s="2336">
        <v>45.676771741472244</v>
      </c>
      <c r="DN49" s="2336">
        <v>45.77428096724784</v>
      </c>
      <c r="DO49" s="2336">
        <v>45.870977204519704</v>
      </c>
      <c r="DP49" s="2336">
        <v>45.966863982209368</v>
      </c>
      <c r="DQ49" s="2336">
        <v>46.061944874463705</v>
      </c>
      <c r="DR49" s="2336">
        <v>46.156223499383643</v>
      </c>
      <c r="DS49" s="2336">
        <v>46.249703517767415</v>
      </c>
      <c r="DT49" s="2336">
        <v>46.342388631866761</v>
      </c>
      <c r="DU49" s="2336">
        <v>46.434282584155632</v>
      </c>
    </row>
    <row r="50" spans="1:125">
      <c r="A50" s="909">
        <v>48</v>
      </c>
      <c r="B50" s="90"/>
      <c r="C50" s="90"/>
      <c r="D50" s="90"/>
      <c r="E50" s="90"/>
      <c r="F50" s="90"/>
      <c r="G50" s="90"/>
      <c r="H50" s="90"/>
      <c r="I50" s="90"/>
      <c r="J50" s="90"/>
      <c r="K50" s="90"/>
      <c r="L50" s="90"/>
      <c r="M50" s="90"/>
      <c r="N50" s="90"/>
      <c r="O50" s="90"/>
      <c r="P50" s="90"/>
      <c r="Q50" s="90"/>
      <c r="R50" s="90"/>
      <c r="S50" s="90"/>
      <c r="T50" s="90"/>
      <c r="U50" s="90"/>
      <c r="V50" s="739"/>
      <c r="W50" s="739">
        <v>33.07</v>
      </c>
      <c r="X50" s="739">
        <v>33.270000000000003</v>
      </c>
      <c r="Y50" s="2336">
        <v>33.45558511010374</v>
      </c>
      <c r="Z50" s="2336">
        <v>33.677914336355734</v>
      </c>
      <c r="AA50" s="2336">
        <v>33.816706328651613</v>
      </c>
      <c r="AB50" s="2336">
        <v>33.985684313854811</v>
      </c>
      <c r="AC50" s="2336">
        <v>34.192127451573668</v>
      </c>
      <c r="AD50" s="2336">
        <v>34.295465140400232</v>
      </c>
      <c r="AE50" s="2336">
        <v>34.508756649774753</v>
      </c>
      <c r="AF50" s="2336">
        <v>34.665734872238509</v>
      </c>
      <c r="AG50" s="2336">
        <v>34.825214896975488</v>
      </c>
      <c r="AH50" s="2336">
        <v>34.977039915100768</v>
      </c>
      <c r="AI50" s="2336">
        <v>35.138413307577558</v>
      </c>
      <c r="AJ50" s="2336">
        <v>35.375803334230376</v>
      </c>
      <c r="AK50" s="2336">
        <v>35.585376907410918</v>
      </c>
      <c r="AL50" s="2336">
        <v>35.822666410143739</v>
      </c>
      <c r="AM50" s="2336">
        <v>36.045461822251447</v>
      </c>
      <c r="AN50" s="2336">
        <v>36.234320287156962</v>
      </c>
      <c r="AO50" s="2336">
        <v>36.357610140929822</v>
      </c>
      <c r="AP50" s="2336">
        <v>36.45252086236507</v>
      </c>
      <c r="AQ50" s="2336">
        <v>36.486472209569598</v>
      </c>
      <c r="AR50" s="2336">
        <v>36.522846226761402</v>
      </c>
      <c r="AS50" s="2336">
        <v>36.533041428787747</v>
      </c>
      <c r="AT50" s="2336">
        <v>36.493809748163919</v>
      </c>
      <c r="AU50" s="2336">
        <v>36.510341061637035</v>
      </c>
      <c r="AV50" s="2336">
        <v>36.539549270786679</v>
      </c>
      <c r="AW50" s="2336">
        <v>36.743075141696927</v>
      </c>
      <c r="AX50" s="2336">
        <v>36.772220375862631</v>
      </c>
      <c r="AY50" s="2336">
        <v>36.908337542570017</v>
      </c>
      <c r="AZ50" s="2336">
        <v>37.011197851284976</v>
      </c>
      <c r="BA50" s="2336">
        <v>37.104915504596669</v>
      </c>
      <c r="BB50" s="2336">
        <v>37.207050785183824</v>
      </c>
      <c r="BC50" s="2336">
        <v>37.306981238360066</v>
      </c>
      <c r="BD50" s="2336">
        <v>37.378223014677694</v>
      </c>
      <c r="BE50" s="2336">
        <v>37.486850975987878</v>
      </c>
      <c r="BF50" s="2336">
        <v>37.589070646538651</v>
      </c>
      <c r="BG50" s="2336">
        <v>37.715909455539197</v>
      </c>
      <c r="BH50" s="2336">
        <v>37.868026036459817</v>
      </c>
      <c r="BI50" s="2336">
        <v>37.97910025033552</v>
      </c>
      <c r="BJ50" s="2336">
        <v>38.104763440184264</v>
      </c>
      <c r="BK50" s="2336">
        <v>38.223399224308444</v>
      </c>
      <c r="BL50" s="2336">
        <v>38.39244331367216</v>
      </c>
      <c r="BM50" s="2336">
        <v>38.535277026408757</v>
      </c>
      <c r="BN50" s="2336">
        <v>38.68129337204433</v>
      </c>
      <c r="BO50" s="2336">
        <v>38.80464732118466</v>
      </c>
      <c r="BP50" s="2336">
        <v>38.940685612908034</v>
      </c>
      <c r="BQ50" s="2336">
        <v>39.07086581406449</v>
      </c>
      <c r="BR50" s="2336">
        <v>39.212257464248829</v>
      </c>
      <c r="BS50" s="2336">
        <v>39.338072451306296</v>
      </c>
      <c r="BT50" s="2336">
        <v>39.472012660419452</v>
      </c>
      <c r="BU50" s="2336">
        <v>39.599723056414966</v>
      </c>
      <c r="BV50" s="2336">
        <v>39.731503949269595</v>
      </c>
      <c r="BW50" s="2336">
        <v>39.864123476273299</v>
      </c>
      <c r="BX50" s="2336">
        <v>40.000893720534108</v>
      </c>
      <c r="BY50" s="2336">
        <v>40.132600038322785</v>
      </c>
      <c r="BZ50" s="2336">
        <v>40.263476827980604</v>
      </c>
      <c r="CA50" s="2336">
        <v>40.393523584164058</v>
      </c>
      <c r="CB50" s="2336">
        <v>40.522738955323213</v>
      </c>
      <c r="CC50" s="2336">
        <v>40.651120882366087</v>
      </c>
      <c r="CD50" s="2336">
        <v>40.778666740688571</v>
      </c>
      <c r="CE50" s="2336">
        <v>40.905373483428413</v>
      </c>
      <c r="CF50" s="2336">
        <v>41.031237788076247</v>
      </c>
      <c r="CG50" s="2336">
        <v>41.156256208988331</v>
      </c>
      <c r="CH50" s="2336">
        <v>41.280425335631662</v>
      </c>
      <c r="CI50" s="2336">
        <v>41.403741929026701</v>
      </c>
      <c r="CJ50" s="2336">
        <v>41.526203023103136</v>
      </c>
      <c r="CK50" s="2336">
        <v>41.647805987641036</v>
      </c>
      <c r="CL50" s="2336">
        <v>41.76853141476051</v>
      </c>
      <c r="CM50" s="2336">
        <v>41.888380745400305</v>
      </c>
      <c r="CN50" s="2336">
        <v>42.007355511371543</v>
      </c>
      <c r="CO50" s="2336">
        <v>42.125457333493138</v>
      </c>
      <c r="CP50" s="2336">
        <v>42.242687919759867</v>
      </c>
      <c r="CQ50" s="2336">
        <v>42.359049063540454</v>
      </c>
      <c r="CR50" s="2336">
        <v>42.474542641804817</v>
      </c>
      <c r="CS50" s="2336">
        <v>42.589170613379665</v>
      </c>
      <c r="CT50" s="2336">
        <v>42.702935017232086</v>
      </c>
      <c r="CU50" s="2336">
        <v>42.815837970778183</v>
      </c>
      <c r="CV50" s="2336">
        <v>42.92788166821947</v>
      </c>
      <c r="CW50" s="2336">
        <v>43.039068378902186</v>
      </c>
      <c r="CX50" s="2336">
        <v>43.149400445700842</v>
      </c>
      <c r="CY50" s="2336">
        <v>43.258880283425597</v>
      </c>
      <c r="CZ50" s="2336">
        <v>43.367510377251037</v>
      </c>
      <c r="DA50" s="2336">
        <v>43.475293281166614</v>
      </c>
      <c r="DB50" s="2336">
        <v>43.582231616448297</v>
      </c>
      <c r="DC50" s="2336">
        <v>43.688328070150007</v>
      </c>
      <c r="DD50" s="2336">
        <v>43.793585393614244</v>
      </c>
      <c r="DE50" s="2336">
        <v>43.898006401002228</v>
      </c>
      <c r="DF50" s="2336">
        <v>44.001593967841188</v>
      </c>
      <c r="DG50" s="2336">
        <v>44.104351029590639</v>
      </c>
      <c r="DH50" s="2336">
        <v>44.206280580224188</v>
      </c>
      <c r="DI50" s="2336">
        <v>44.307385670829781</v>
      </c>
      <c r="DJ50" s="2336">
        <v>44.407669408223938</v>
      </c>
      <c r="DK50" s="2336">
        <v>44.507134953583403</v>
      </c>
      <c r="DL50" s="2336">
        <v>44.60578552109147</v>
      </c>
      <c r="DM50" s="2336">
        <v>44.70362437659827</v>
      </c>
      <c r="DN50" s="2336">
        <v>44.800654836297362</v>
      </c>
      <c r="DO50" s="2336">
        <v>44.896880265414495</v>
      </c>
      <c r="DP50" s="2336">
        <v>44.992304076911282</v>
      </c>
      <c r="DQ50" s="2336">
        <v>45.08692973020252</v>
      </c>
      <c r="DR50" s="2336">
        <v>45.180760729885776</v>
      </c>
      <c r="DS50" s="2336">
        <v>45.273800624484778</v>
      </c>
      <c r="DT50" s="2336">
        <v>45.366053005205629</v>
      </c>
      <c r="DU50" s="2336">
        <v>45.457521504704609</v>
      </c>
    </row>
    <row r="51" spans="1:125">
      <c r="A51" s="909">
        <v>49</v>
      </c>
      <c r="B51" s="90"/>
      <c r="C51" s="90"/>
      <c r="D51" s="90"/>
      <c r="E51" s="90"/>
      <c r="F51" s="90"/>
      <c r="G51" s="90"/>
      <c r="H51" s="90"/>
      <c r="I51" s="90"/>
      <c r="J51" s="90"/>
      <c r="K51" s="90"/>
      <c r="L51" s="90"/>
      <c r="M51" s="90"/>
      <c r="N51" s="90"/>
      <c r="O51" s="90"/>
      <c r="P51" s="90"/>
      <c r="Q51" s="90"/>
      <c r="R51" s="90"/>
      <c r="S51" s="90"/>
      <c r="T51" s="90"/>
      <c r="U51" s="90"/>
      <c r="V51" s="739"/>
      <c r="W51" s="739">
        <v>32.200000000000003</v>
      </c>
      <c r="X51" s="739">
        <v>32.4</v>
      </c>
      <c r="Y51" s="2336">
        <v>32.582917187560703</v>
      </c>
      <c r="Z51" s="2336">
        <v>32.797671751911757</v>
      </c>
      <c r="AA51" s="2336">
        <v>32.93665309974002</v>
      </c>
      <c r="AB51" s="2336">
        <v>33.109626460856788</v>
      </c>
      <c r="AC51" s="2336">
        <v>33.308786717219895</v>
      </c>
      <c r="AD51" s="2336">
        <v>33.40930040399725</v>
      </c>
      <c r="AE51" s="2336">
        <v>33.62208455755453</v>
      </c>
      <c r="AF51" s="2336">
        <v>33.779219236846494</v>
      </c>
      <c r="AG51" s="2336">
        <v>33.932871959371553</v>
      </c>
      <c r="AH51" s="2336">
        <v>34.089921915853779</v>
      </c>
      <c r="AI51" s="2336">
        <v>34.240781133845218</v>
      </c>
      <c r="AJ51" s="2336">
        <v>34.475916278234862</v>
      </c>
      <c r="AK51" s="2336">
        <v>34.683795875272963</v>
      </c>
      <c r="AL51" s="2336">
        <v>34.919036743421358</v>
      </c>
      <c r="AM51" s="2336">
        <v>35.141734991412356</v>
      </c>
      <c r="AN51" s="2336">
        <v>35.330249792626375</v>
      </c>
      <c r="AO51" s="2336">
        <v>35.451083557115126</v>
      </c>
      <c r="AP51" s="2336">
        <v>35.544527666322189</v>
      </c>
      <c r="AQ51" s="2336">
        <v>35.580288257323033</v>
      </c>
      <c r="AR51" s="2336">
        <v>35.617889271236272</v>
      </c>
      <c r="AS51" s="2336">
        <v>35.627710026082489</v>
      </c>
      <c r="AT51" s="2336">
        <v>35.586388986335216</v>
      </c>
      <c r="AU51" s="2336">
        <v>35.604258398760805</v>
      </c>
      <c r="AV51" s="2336">
        <v>35.631494398025445</v>
      </c>
      <c r="AW51" s="2336">
        <v>35.833483815542429</v>
      </c>
      <c r="AX51" s="2336">
        <v>35.857782985644576</v>
      </c>
      <c r="AY51" s="2336">
        <v>35.993779557694992</v>
      </c>
      <c r="AZ51" s="2336">
        <v>36.09478062679532</v>
      </c>
      <c r="BA51" s="2336">
        <v>36.186756775572427</v>
      </c>
      <c r="BB51" s="2336">
        <v>36.28849793856736</v>
      </c>
      <c r="BC51" s="2336">
        <v>36.38940123798524</v>
      </c>
      <c r="BD51" s="2336">
        <v>36.456853762764055</v>
      </c>
      <c r="BE51" s="2336">
        <v>36.565250025428909</v>
      </c>
      <c r="BF51" s="2336">
        <v>36.66343129801178</v>
      </c>
      <c r="BG51" s="2336">
        <v>36.792414353247509</v>
      </c>
      <c r="BH51" s="2336">
        <v>36.936964599418246</v>
      </c>
      <c r="BI51" s="2336">
        <v>37.05045121161745</v>
      </c>
      <c r="BJ51" s="2336">
        <v>37.172902902609742</v>
      </c>
      <c r="BK51" s="2336">
        <v>37.292014200933295</v>
      </c>
      <c r="BL51" s="2336">
        <v>37.458396392880829</v>
      </c>
      <c r="BM51" s="2336">
        <v>37.60082387813187</v>
      </c>
      <c r="BN51" s="2336">
        <v>37.745643194756049</v>
      </c>
      <c r="BO51" s="2336">
        <v>37.865117880931962</v>
      </c>
      <c r="BP51" s="2336">
        <v>37.999516435187125</v>
      </c>
      <c r="BQ51" s="2336">
        <v>38.135493782759475</v>
      </c>
      <c r="BR51" s="2336">
        <v>38.273966844534435</v>
      </c>
      <c r="BS51" s="2336">
        <v>38.397315310865785</v>
      </c>
      <c r="BT51" s="2336">
        <v>38.529112730923913</v>
      </c>
      <c r="BU51" s="2336">
        <v>38.659566045646272</v>
      </c>
      <c r="BV51" s="2336">
        <v>38.793289550787044</v>
      </c>
      <c r="BW51" s="2336">
        <v>38.927018429840224</v>
      </c>
      <c r="BX51" s="2336">
        <v>39.058615263995534</v>
      </c>
      <c r="BY51" s="2336">
        <v>39.189395333991129</v>
      </c>
      <c r="BZ51" s="2336">
        <v>39.319358986677798</v>
      </c>
      <c r="CA51" s="2336">
        <v>39.448505576760375</v>
      </c>
      <c r="CB51" s="2336">
        <v>39.576833611722634</v>
      </c>
      <c r="CC51" s="2336">
        <v>39.704340890840292</v>
      </c>
      <c r="CD51" s="2336">
        <v>39.831024647533987</v>
      </c>
      <c r="CE51" s="2336">
        <v>39.95688169291909</v>
      </c>
      <c r="CF51" s="2336">
        <v>40.081908562689726</v>
      </c>
      <c r="CG51" s="2336">
        <v>40.20610166988569</v>
      </c>
      <c r="CH51" s="2336">
        <v>40.329457463373593</v>
      </c>
      <c r="CI51" s="2336">
        <v>40.451972564475469</v>
      </c>
      <c r="CJ51" s="2336">
        <v>40.573643868450105</v>
      </c>
      <c r="CK51" s="2336">
        <v>40.694448512132702</v>
      </c>
      <c r="CL51" s="2336">
        <v>40.814387697339356</v>
      </c>
      <c r="CM51" s="2336">
        <v>40.933462719342195</v>
      </c>
      <c r="CN51" s="2336">
        <v>41.051674965004175</v>
      </c>
      <c r="CO51" s="2336">
        <v>41.169025910944079</v>
      </c>
      <c r="CP51" s="2336">
        <v>41.28551712173293</v>
      </c>
      <c r="CQ51" s="2336">
        <v>41.401150248119222</v>
      </c>
      <c r="CR51" s="2336">
        <v>41.515927025282153</v>
      </c>
      <c r="CS51" s="2336">
        <v>41.629849271112057</v>
      </c>
      <c r="CT51" s="2336">
        <v>41.742918884517579</v>
      </c>
      <c r="CU51" s="2336">
        <v>41.855137843757021</v>
      </c>
      <c r="CV51" s="2336">
        <v>41.966508204796071</v>
      </c>
      <c r="CW51" s="2336">
        <v>42.077032099687642</v>
      </c>
      <c r="CX51" s="2336">
        <v>42.186711734974736</v>
      </c>
      <c r="CY51" s="2336">
        <v>42.295549390116179</v>
      </c>
      <c r="CZ51" s="2336">
        <v>42.403547415932735</v>
      </c>
      <c r="DA51" s="2336">
        <v>42.510708233074013</v>
      </c>
      <c r="DB51" s="2336">
        <v>42.617034330505426</v>
      </c>
      <c r="DC51" s="2336">
        <v>42.72252826401423</v>
      </c>
      <c r="DD51" s="2336">
        <v>42.827192654733722</v>
      </c>
      <c r="DE51" s="2336">
        <v>42.931030187686069</v>
      </c>
      <c r="DF51" s="2336">
        <v>43.034043610341577</v>
      </c>
      <c r="DG51" s="2336">
        <v>43.136235731195839</v>
      </c>
      <c r="DH51" s="2336">
        <v>43.237609418361892</v>
      </c>
      <c r="DI51" s="2336">
        <v>43.338167598179822</v>
      </c>
      <c r="DJ51" s="2336">
        <v>43.437913253839696</v>
      </c>
      <c r="DK51" s="2336">
        <v>43.536849424021078</v>
      </c>
      <c r="DL51" s="2336">
        <v>43.634979201546621</v>
      </c>
      <c r="DM51" s="2336">
        <v>43.732305732048694</v>
      </c>
      <c r="DN51" s="2336">
        <v>43.82883221265196</v>
      </c>
      <c r="DO51" s="2336">
        <v>43.924561890667086</v>
      </c>
      <c r="DP51" s="2336">
        <v>44.019498062299093</v>
      </c>
      <c r="DQ51" s="2336">
        <v>44.113644071368334</v>
      </c>
      <c r="DR51" s="2336">
        <v>44.207003308043511</v>
      </c>
      <c r="DS51" s="2336">
        <v>44.299579207587712</v>
      </c>
      <c r="DT51" s="2336">
        <v>44.391375249116642</v>
      </c>
      <c r="DU51" s="2336">
        <v>44.482394954368132</v>
      </c>
    </row>
    <row r="52" spans="1:125">
      <c r="A52" s="909">
        <v>50</v>
      </c>
      <c r="B52" s="90"/>
      <c r="C52" s="90"/>
      <c r="D52" s="90"/>
      <c r="E52" s="90"/>
      <c r="F52" s="90"/>
      <c r="G52" s="90"/>
      <c r="H52" s="90"/>
      <c r="I52" s="90"/>
      <c r="J52" s="90"/>
      <c r="K52" s="90"/>
      <c r="L52" s="90"/>
      <c r="M52" s="90"/>
      <c r="N52" s="90"/>
      <c r="O52" s="90"/>
      <c r="P52" s="90"/>
      <c r="Q52" s="90"/>
      <c r="R52" s="90"/>
      <c r="S52" s="90"/>
      <c r="T52" s="90"/>
      <c r="U52" s="90"/>
      <c r="V52" s="739"/>
      <c r="W52" s="739">
        <v>31.33</v>
      </c>
      <c r="X52" s="739">
        <v>31.53</v>
      </c>
      <c r="Y52" s="2336">
        <v>31.71058245229689</v>
      </c>
      <c r="Z52" s="2336">
        <v>31.920101663703406</v>
      </c>
      <c r="AA52" s="2336">
        <v>32.06201941434017</v>
      </c>
      <c r="AB52" s="2336">
        <v>32.231674866449303</v>
      </c>
      <c r="AC52" s="2336">
        <v>32.431430945727072</v>
      </c>
      <c r="AD52" s="2336">
        <v>32.529393984445498</v>
      </c>
      <c r="AE52" s="2336">
        <v>32.74405592016295</v>
      </c>
      <c r="AF52" s="2336">
        <v>32.892787196593986</v>
      </c>
      <c r="AG52" s="2336">
        <v>33.048914680638099</v>
      </c>
      <c r="AH52" s="2336">
        <v>33.202295635538078</v>
      </c>
      <c r="AI52" s="2336">
        <v>33.350433480065668</v>
      </c>
      <c r="AJ52" s="2336">
        <v>33.582028740112278</v>
      </c>
      <c r="AK52" s="2336">
        <v>33.783760418258161</v>
      </c>
      <c r="AL52" s="2336">
        <v>34.021957466679645</v>
      </c>
      <c r="AM52" s="2336">
        <v>34.241447664745401</v>
      </c>
      <c r="AN52" s="2336">
        <v>34.427551420236234</v>
      </c>
      <c r="AO52" s="2336">
        <v>34.547577506584453</v>
      </c>
      <c r="AP52" s="2336">
        <v>34.641047995450243</v>
      </c>
      <c r="AQ52" s="2336">
        <v>34.676112198763718</v>
      </c>
      <c r="AR52" s="2336">
        <v>34.712908530793484</v>
      </c>
      <c r="AS52" s="2336">
        <v>34.724634230021479</v>
      </c>
      <c r="AT52" s="2336">
        <v>34.678982092029713</v>
      </c>
      <c r="AU52" s="2336">
        <v>34.699959270200623</v>
      </c>
      <c r="AV52" s="2336">
        <v>34.728103159385213</v>
      </c>
      <c r="AW52" s="2336">
        <v>34.924336129758004</v>
      </c>
      <c r="AX52" s="2336">
        <v>34.946828705509716</v>
      </c>
      <c r="AY52" s="2336">
        <v>35.079597605947427</v>
      </c>
      <c r="AZ52" s="2336">
        <v>35.181491653188324</v>
      </c>
      <c r="BA52" s="2336">
        <v>35.272031102670539</v>
      </c>
      <c r="BB52" s="2336">
        <v>35.375164306954176</v>
      </c>
      <c r="BC52" s="2336">
        <v>35.478066143149974</v>
      </c>
      <c r="BD52" s="2336">
        <v>35.542330626215943</v>
      </c>
      <c r="BE52" s="2336">
        <v>35.648504225576652</v>
      </c>
      <c r="BF52" s="2336">
        <v>35.747090058673066</v>
      </c>
      <c r="BG52" s="2336">
        <v>35.868314894375999</v>
      </c>
      <c r="BH52" s="2336">
        <v>36.012661269359938</v>
      </c>
      <c r="BI52" s="2336">
        <v>36.129087646804003</v>
      </c>
      <c r="BJ52" s="2336">
        <v>36.247407633945699</v>
      </c>
      <c r="BK52" s="2336">
        <v>36.369462091467135</v>
      </c>
      <c r="BL52" s="2336">
        <v>36.532128121206682</v>
      </c>
      <c r="BM52" s="2336">
        <v>36.667792154769842</v>
      </c>
      <c r="BN52" s="2336">
        <v>36.812525433998751</v>
      </c>
      <c r="BO52" s="2336">
        <v>36.934799660882547</v>
      </c>
      <c r="BP52" s="2336">
        <v>37.067103223364271</v>
      </c>
      <c r="BQ52" s="2336">
        <v>37.20002103833378</v>
      </c>
      <c r="BR52" s="2336">
        <v>37.342732971550873</v>
      </c>
      <c r="BS52" s="2336">
        <v>37.45882771238977</v>
      </c>
      <c r="BT52" s="2336">
        <v>37.593383913620876</v>
      </c>
      <c r="BU52" s="2336">
        <v>37.72484509461102</v>
      </c>
      <c r="BV52" s="2336">
        <v>37.857681350609589</v>
      </c>
      <c r="BW52" s="2336">
        <v>37.989106254643353</v>
      </c>
      <c r="BX52" s="2336">
        <v>38.119726441156551</v>
      </c>
      <c r="BY52" s="2336">
        <v>38.249543291239476</v>
      </c>
      <c r="BZ52" s="2336">
        <v>38.378557018760254</v>
      </c>
      <c r="CA52" s="2336">
        <v>38.506766843682648</v>
      </c>
      <c r="CB52" s="2336">
        <v>38.634171137413048</v>
      </c>
      <c r="CC52" s="2336">
        <v>38.760767562192022</v>
      </c>
      <c r="CD52" s="2336">
        <v>38.886553213798379</v>
      </c>
      <c r="CE52" s="2336">
        <v>39.011524765421058</v>
      </c>
      <c r="CF52" s="2336">
        <v>39.135678614840643</v>
      </c>
      <c r="CG52" s="2336">
        <v>39.259011037473819</v>
      </c>
      <c r="CH52" s="2336">
        <v>39.381518345112511</v>
      </c>
      <c r="CI52" s="2336">
        <v>39.503197022756403</v>
      </c>
      <c r="CJ52" s="2336">
        <v>39.624020606839473</v>
      </c>
      <c r="CK52" s="2336">
        <v>39.743990058951127</v>
      </c>
      <c r="CL52" s="2336">
        <v>39.8631064365239</v>
      </c>
      <c r="CM52" s="2336">
        <v>39.981370890972414</v>
      </c>
      <c r="CN52" s="2336">
        <v>40.098784665863349</v>
      </c>
      <c r="CO52" s="2336">
        <v>40.215349095114156</v>
      </c>
      <c r="CP52" s="2336">
        <v>40.331065601221937</v>
      </c>
      <c r="CQ52" s="2336">
        <v>40.445935693519921</v>
      </c>
      <c r="CR52" s="2336">
        <v>40.559960966460636</v>
      </c>
      <c r="CS52" s="2336">
        <v>40.673143097925099</v>
      </c>
      <c r="CT52" s="2336">
        <v>40.785483847557558</v>
      </c>
      <c r="CU52" s="2336">
        <v>40.896985055123203</v>
      </c>
      <c r="CV52" s="2336">
        <v>41.007648638891148</v>
      </c>
      <c r="CW52" s="2336">
        <v>41.117476594038308</v>
      </c>
      <c r="CX52" s="2336">
        <v>41.226470991075331</v>
      </c>
      <c r="CY52" s="2336">
        <v>41.334633974294199</v>
      </c>
      <c r="CZ52" s="2336">
        <v>41.441967760235222</v>
      </c>
      <c r="DA52" s="2336">
        <v>41.548474636173744</v>
      </c>
      <c r="DB52" s="2336">
        <v>41.654156958625904</v>
      </c>
      <c r="DC52" s="2336">
        <v>41.759017151872534</v>
      </c>
      <c r="DD52" s="2336">
        <v>41.863057706500179</v>
      </c>
      <c r="DE52" s="2336">
        <v>41.966281177959843</v>
      </c>
      <c r="DF52" s="2336">
        <v>42.068690185141229</v>
      </c>
      <c r="DG52" s="2336">
        <v>42.170287408964064</v>
      </c>
      <c r="DH52" s="2336">
        <v>42.271075590983372</v>
      </c>
      <c r="DI52" s="2336">
        <v>42.371057532011555</v>
      </c>
      <c r="DJ52" s="2336">
        <v>42.470236090752806</v>
      </c>
      <c r="DK52" s="2336">
        <v>42.568614182453381</v>
      </c>
      <c r="DL52" s="2336">
        <v>42.666194777565146</v>
      </c>
      <c r="DM52" s="2336">
        <v>42.762980900421447</v>
      </c>
      <c r="DN52" s="2336">
        <v>42.858975627928032</v>
      </c>
      <c r="DO52" s="2336">
        <v>42.954182088264631</v>
      </c>
      <c r="DP52" s="2336">
        <v>43.048603459600216</v>
      </c>
      <c r="DQ52" s="2336">
        <v>43.142242968820405</v>
      </c>
      <c r="DR52" s="2336">
        <v>43.23510389026616</v>
      </c>
      <c r="DS52" s="2336">
        <v>43.327189544484867</v>
      </c>
      <c r="DT52" s="2336">
        <v>43.418503296993002</v>
      </c>
      <c r="DU52" s="2336">
        <v>43.50904855704951</v>
      </c>
    </row>
    <row r="53" spans="1:125">
      <c r="A53" s="909">
        <v>51</v>
      </c>
      <c r="B53" s="90"/>
      <c r="C53" s="90"/>
      <c r="D53" s="90"/>
      <c r="E53" s="90"/>
      <c r="F53" s="90"/>
      <c r="G53" s="90"/>
      <c r="H53" s="90"/>
      <c r="I53" s="90"/>
      <c r="J53" s="90"/>
      <c r="K53" s="90"/>
      <c r="L53" s="90"/>
      <c r="M53" s="90"/>
      <c r="N53" s="90"/>
      <c r="O53" s="90"/>
      <c r="P53" s="90"/>
      <c r="Q53" s="90"/>
      <c r="R53" s="90"/>
      <c r="S53" s="90"/>
      <c r="T53" s="90"/>
      <c r="U53" s="90"/>
      <c r="V53" s="739"/>
      <c r="W53" s="739">
        <v>30.47</v>
      </c>
      <c r="X53" s="739">
        <v>30.66</v>
      </c>
      <c r="Y53" s="2336">
        <v>30.841540435306644</v>
      </c>
      <c r="Z53" s="2336">
        <v>31.048177043240209</v>
      </c>
      <c r="AA53" s="2336">
        <v>31.1953552691933</v>
      </c>
      <c r="AB53" s="2336">
        <v>31.361820926878092</v>
      </c>
      <c r="AC53" s="2336">
        <v>31.556937556986725</v>
      </c>
      <c r="AD53" s="2336">
        <v>31.654666674764545</v>
      </c>
      <c r="AE53" s="2336">
        <v>31.864865970811614</v>
      </c>
      <c r="AF53" s="2336">
        <v>32.008858961439245</v>
      </c>
      <c r="AG53" s="2336">
        <v>32.167031334684424</v>
      </c>
      <c r="AH53" s="2336">
        <v>32.319921257645603</v>
      </c>
      <c r="AI53" s="2336">
        <v>32.469260178077171</v>
      </c>
      <c r="AJ53" s="2336">
        <v>32.691819524817355</v>
      </c>
      <c r="AK53" s="2336">
        <v>32.889955732598338</v>
      </c>
      <c r="AL53" s="2336">
        <v>33.133438515400861</v>
      </c>
      <c r="AM53" s="2336">
        <v>33.344785902300025</v>
      </c>
      <c r="AN53" s="2336">
        <v>33.530799059316728</v>
      </c>
      <c r="AO53" s="2336">
        <v>33.648358188455056</v>
      </c>
      <c r="AP53" s="2336">
        <v>33.742810179805666</v>
      </c>
      <c r="AQ53" s="2336">
        <v>33.77370981206932</v>
      </c>
      <c r="AR53" s="2336">
        <v>33.811102432015694</v>
      </c>
      <c r="AS53" s="2336">
        <v>33.82926087047241</v>
      </c>
      <c r="AT53" s="2336">
        <v>33.781659273450245</v>
      </c>
      <c r="AU53" s="2336">
        <v>33.799440188905486</v>
      </c>
      <c r="AV53" s="2336">
        <v>33.826907145418126</v>
      </c>
      <c r="AW53" s="2336">
        <v>34.018169683456328</v>
      </c>
      <c r="AX53" s="2336">
        <v>34.041077919083101</v>
      </c>
      <c r="AY53" s="2336">
        <v>34.170795371481347</v>
      </c>
      <c r="AZ53" s="2336">
        <v>34.270609522866565</v>
      </c>
      <c r="BA53" s="2336">
        <v>34.362755787628004</v>
      </c>
      <c r="BB53" s="2336">
        <v>34.463695326478287</v>
      </c>
      <c r="BC53" s="2336">
        <v>34.567423717363695</v>
      </c>
      <c r="BD53" s="2336">
        <v>34.626495861632478</v>
      </c>
      <c r="BE53" s="2336">
        <v>34.733815832379186</v>
      </c>
      <c r="BF53" s="2336">
        <v>34.835166404414117</v>
      </c>
      <c r="BG53" s="2336">
        <v>34.950293538760981</v>
      </c>
      <c r="BH53" s="2336">
        <v>35.096963250975691</v>
      </c>
      <c r="BI53" s="2336">
        <v>35.207442588795395</v>
      </c>
      <c r="BJ53" s="2336">
        <v>35.32536683135266</v>
      </c>
      <c r="BK53" s="2336">
        <v>35.449841509542878</v>
      </c>
      <c r="BL53" s="2336">
        <v>35.608448049969532</v>
      </c>
      <c r="BM53" s="2336">
        <v>35.741462456364893</v>
      </c>
      <c r="BN53" s="2336">
        <v>35.884065605287276</v>
      </c>
      <c r="BO53" s="2336">
        <v>36.007770976194159</v>
      </c>
      <c r="BP53" s="2336">
        <v>36.132528267307585</v>
      </c>
      <c r="BQ53" s="2336">
        <v>36.267240747343614</v>
      </c>
      <c r="BR53" s="2336">
        <v>36.411344478645873</v>
      </c>
      <c r="BS53" s="2336">
        <v>36.529473397548657</v>
      </c>
      <c r="BT53" s="2336">
        <v>36.660029129133065</v>
      </c>
      <c r="BU53" s="2336">
        <v>36.793354107522887</v>
      </c>
      <c r="BV53" s="2336">
        <v>36.924540324514687</v>
      </c>
      <c r="BW53" s="2336">
        <v>37.054933028018816</v>
      </c>
      <c r="BX53" s="2336">
        <v>37.18453480810436</v>
      </c>
      <c r="BY53" s="2336">
        <v>37.313346920434363</v>
      </c>
      <c r="BZ53" s="2336">
        <v>37.441369450774779</v>
      </c>
      <c r="CA53" s="2336">
        <v>37.568601488861056</v>
      </c>
      <c r="CB53" s="2336">
        <v>37.695041274203845</v>
      </c>
      <c r="CC53" s="2336">
        <v>37.820686335892226</v>
      </c>
      <c r="CD53" s="2336">
        <v>37.945533635679936</v>
      </c>
      <c r="CE53" s="2336">
        <v>38.06957971220826</v>
      </c>
      <c r="CF53" s="2336">
        <v>38.192820828512112</v>
      </c>
      <c r="CG53" s="2336">
        <v>38.315253125367697</v>
      </c>
      <c r="CH53" s="2336">
        <v>38.436872780313884</v>
      </c>
      <c r="CI53" s="2336">
        <v>38.557649649813271</v>
      </c>
      <c r="CJ53" s="2336">
        <v>38.677584454103233</v>
      </c>
      <c r="CK53" s="2336">
        <v>38.796678011442097</v>
      </c>
      <c r="CL53" s="2336">
        <v>38.914931236257374</v>
      </c>
      <c r="CM53" s="2336">
        <v>39.032345137325656</v>
      </c>
      <c r="CN53" s="2336">
        <v>39.148920815981953</v>
      </c>
      <c r="CO53" s="2336">
        <v>39.264659464356498</v>
      </c>
      <c r="CP53" s="2336">
        <v>39.379562363640389</v>
      </c>
      <c r="CQ53" s="2336">
        <v>39.493630882377374</v>
      </c>
      <c r="CR53" s="2336">
        <v>39.606866474781178</v>
      </c>
      <c r="CS53" s="2336">
        <v>39.719270679077454</v>
      </c>
      <c r="CT53" s="2336">
        <v>39.830845115870048</v>
      </c>
      <c r="CU53" s="2336">
        <v>39.941591486529028</v>
      </c>
      <c r="CV53" s="2336">
        <v>40.051511571602695</v>
      </c>
      <c r="CW53" s="2336">
        <v>40.160607229249401</v>
      </c>
      <c r="CX53" s="2336">
        <v>40.268880393690075</v>
      </c>
      <c r="CY53" s="2336">
        <v>40.376333073681479</v>
      </c>
      <c r="CZ53" s="2336">
        <v>40.482967351007574</v>
      </c>
      <c r="DA53" s="2336">
        <v>40.58878537898957</v>
      </c>
      <c r="DB53" s="2336">
        <v>40.693789381013936</v>
      </c>
      <c r="DC53" s="2336">
        <v>40.797981649077464</v>
      </c>
      <c r="DD53" s="2336">
        <v>40.901364542348496</v>
      </c>
      <c r="DE53" s="2336">
        <v>41.003940485744778</v>
      </c>
      <c r="DF53" s="2336">
        <v>41.105711968525917</v>
      </c>
      <c r="DG53" s="2336">
        <v>41.20668154290189</v>
      </c>
      <c r="DH53" s="2336">
        <v>41.306851822654608</v>
      </c>
      <c r="DI53" s="2336">
        <v>41.406225481775351</v>
      </c>
      <c r="DJ53" s="2336">
        <v>41.504805253113645</v>
      </c>
      <c r="DK53" s="2336">
        <v>41.602593927041148</v>
      </c>
      <c r="DL53" s="2336">
        <v>41.699594350127995</v>
      </c>
      <c r="DM53" s="2336">
        <v>41.795809423830512</v>
      </c>
      <c r="DN53" s="2336">
        <v>41.891242103193356</v>
      </c>
      <c r="DO53" s="2336">
        <v>41.985895395561407</v>
      </c>
      <c r="DP53" s="2336">
        <v>42.079772359304627</v>
      </c>
      <c r="DQ53" s="2336">
        <v>42.172876102554362</v>
      </c>
      <c r="DR53" s="2336">
        <v>42.265209781950112</v>
      </c>
      <c r="DS53" s="2336">
        <v>42.356776601398138</v>
      </c>
      <c r="DT53" s="2336">
        <v>42.447579810840857</v>
      </c>
      <c r="DU53" s="2336">
        <v>42.537622705036355</v>
      </c>
    </row>
    <row r="54" spans="1:125">
      <c r="A54" s="909">
        <v>52</v>
      </c>
      <c r="B54" s="90"/>
      <c r="C54" s="90"/>
      <c r="D54" s="90"/>
      <c r="E54" s="90"/>
      <c r="F54" s="90"/>
      <c r="G54" s="90"/>
      <c r="H54" s="90"/>
      <c r="I54" s="90"/>
      <c r="J54" s="90"/>
      <c r="K54" s="90"/>
      <c r="L54" s="90"/>
      <c r="M54" s="90"/>
      <c r="N54" s="90"/>
      <c r="O54" s="90"/>
      <c r="P54" s="90"/>
      <c r="Q54" s="90"/>
      <c r="R54" s="90"/>
      <c r="S54" s="90"/>
      <c r="T54" s="90"/>
      <c r="U54" s="90"/>
      <c r="V54" s="739"/>
      <c r="W54" s="739">
        <v>29.62</v>
      </c>
      <c r="X54" s="739">
        <v>29.8</v>
      </c>
      <c r="Y54" s="2336">
        <v>29.98253143464035</v>
      </c>
      <c r="Z54" s="2336">
        <v>30.184182062471773</v>
      </c>
      <c r="AA54" s="2336">
        <v>30.331224286625424</v>
      </c>
      <c r="AB54" s="2336">
        <v>30.489461461375093</v>
      </c>
      <c r="AC54" s="2336">
        <v>30.682557743687255</v>
      </c>
      <c r="AD54" s="2336">
        <v>30.784417209764587</v>
      </c>
      <c r="AE54" s="2336">
        <v>30.98798774611944</v>
      </c>
      <c r="AF54" s="2336">
        <v>31.141343841090933</v>
      </c>
      <c r="AG54" s="2336">
        <v>31.287963476382096</v>
      </c>
      <c r="AH54" s="2336">
        <v>31.436081901303314</v>
      </c>
      <c r="AI54" s="2336">
        <v>31.585612407193526</v>
      </c>
      <c r="AJ54" s="2336">
        <v>31.808691421634688</v>
      </c>
      <c r="AK54" s="2336">
        <v>32.001452669681193</v>
      </c>
      <c r="AL54" s="2336">
        <v>32.242902955743162</v>
      </c>
      <c r="AM54" s="2336">
        <v>32.451233252911635</v>
      </c>
      <c r="AN54" s="2336">
        <v>32.638010837113647</v>
      </c>
      <c r="AO54" s="2336">
        <v>32.757657086223659</v>
      </c>
      <c r="AP54" s="2336">
        <v>32.850058002087025</v>
      </c>
      <c r="AQ54" s="2336">
        <v>32.878685052013928</v>
      </c>
      <c r="AR54" s="2336">
        <v>32.916903198334587</v>
      </c>
      <c r="AS54" s="2336">
        <v>32.938090309685876</v>
      </c>
      <c r="AT54" s="2336">
        <v>32.890561082538078</v>
      </c>
      <c r="AU54" s="2336">
        <v>32.897416556763375</v>
      </c>
      <c r="AV54" s="2336">
        <v>32.929734235723281</v>
      </c>
      <c r="AW54" s="2336">
        <v>33.114130283736152</v>
      </c>
      <c r="AX54" s="2336">
        <v>33.138733262273654</v>
      </c>
      <c r="AY54" s="2336">
        <v>33.264882958253175</v>
      </c>
      <c r="AZ54" s="2336">
        <v>33.366908351181593</v>
      </c>
      <c r="BA54" s="2336">
        <v>33.459106141296836</v>
      </c>
      <c r="BB54" s="2336">
        <v>33.555198839708396</v>
      </c>
      <c r="BC54" s="2336">
        <v>33.655167966566474</v>
      </c>
      <c r="BD54" s="2336">
        <v>33.714911625666723</v>
      </c>
      <c r="BE54" s="2336">
        <v>33.823909335507636</v>
      </c>
      <c r="BF54" s="2336">
        <v>33.923735845271402</v>
      </c>
      <c r="BG54" s="2336">
        <v>34.033717151264021</v>
      </c>
      <c r="BH54" s="2336">
        <v>34.180576783699287</v>
      </c>
      <c r="BI54" s="2336">
        <v>34.293717317579301</v>
      </c>
      <c r="BJ54" s="2336">
        <v>34.410661311588122</v>
      </c>
      <c r="BK54" s="2336">
        <v>34.532485702565971</v>
      </c>
      <c r="BL54" s="2336">
        <v>34.691291627623443</v>
      </c>
      <c r="BM54" s="2336">
        <v>34.821528980768989</v>
      </c>
      <c r="BN54" s="2336">
        <v>34.960328351672878</v>
      </c>
      <c r="BO54" s="2336">
        <v>35.082517508567065</v>
      </c>
      <c r="BP54" s="2336">
        <v>35.209407528996827</v>
      </c>
      <c r="BQ54" s="2336">
        <v>35.342737699983878</v>
      </c>
      <c r="BR54" s="2336">
        <v>35.48333044010996</v>
      </c>
      <c r="BS54" s="2336">
        <v>35.602200924697328</v>
      </c>
      <c r="BT54" s="2336">
        <v>35.734514858427794</v>
      </c>
      <c r="BU54" s="2336">
        <v>35.865391248367686</v>
      </c>
      <c r="BV54" s="2336">
        <v>35.99548438722131</v>
      </c>
      <c r="BW54" s="2336">
        <v>36.124798224379184</v>
      </c>
      <c r="BX54" s="2336">
        <v>36.253335232838644</v>
      </c>
      <c r="BY54" s="2336">
        <v>36.381096547454284</v>
      </c>
      <c r="BZ54" s="2336">
        <v>36.508082130077419</v>
      </c>
      <c r="CA54" s="2336">
        <v>36.634290944019767</v>
      </c>
      <c r="CB54" s="2336">
        <v>36.759721100358391</v>
      </c>
      <c r="CC54" s="2336">
        <v>36.884369998187161</v>
      </c>
      <c r="CD54" s="2336">
        <v>37.008234468119625</v>
      </c>
      <c r="CE54" s="2336">
        <v>37.131310916894698</v>
      </c>
      <c r="CF54" s="2336">
        <v>37.253595475237162</v>
      </c>
      <c r="CG54" s="2336">
        <v>37.375084151536619</v>
      </c>
      <c r="CH54" s="2336">
        <v>37.495743144978448</v>
      </c>
      <c r="CI54" s="2336">
        <v>37.615572933326504</v>
      </c>
      <c r="CJ54" s="2336">
        <v>37.734574094316251</v>
      </c>
      <c r="CK54" s="2336">
        <v>37.852747303821225</v>
      </c>
      <c r="CL54" s="2336">
        <v>37.970093334048293</v>
      </c>
      <c r="CM54" s="2336">
        <v>38.086613051762917</v>
      </c>
      <c r="CN54" s="2336">
        <v>38.202307416542553</v>
      </c>
      <c r="CO54" s="2336">
        <v>38.317177479055928</v>
      </c>
      <c r="CP54" s="2336">
        <v>38.431224379369837</v>
      </c>
      <c r="CQ54" s="2336">
        <v>38.544449345280661</v>
      </c>
      <c r="CR54" s="2336">
        <v>38.656853690669969</v>
      </c>
      <c r="CS54" s="2336">
        <v>38.768438813883485</v>
      </c>
      <c r="CT54" s="2336">
        <v>38.879206196132984</v>
      </c>
      <c r="CU54" s="2336">
        <v>38.989157399918618</v>
      </c>
      <c r="CV54" s="2336">
        <v>39.098294067473944</v>
      </c>
      <c r="CW54" s="2336">
        <v>39.206617919229551</v>
      </c>
      <c r="CX54" s="2336">
        <v>39.314130752296037</v>
      </c>
      <c r="CY54" s="2336">
        <v>39.420834438966601</v>
      </c>
      <c r="CZ54" s="2336">
        <v>39.526730925236471</v>
      </c>
      <c r="DA54" s="2336">
        <v>39.631822229339882</v>
      </c>
      <c r="DB54" s="2336">
        <v>39.736110440303868</v>
      </c>
      <c r="DC54" s="2336">
        <v>39.839597716517986</v>
      </c>
      <c r="DD54" s="2336">
        <v>39.94228628431901</v>
      </c>
      <c r="DE54" s="2336">
        <v>40.044178436591366</v>
      </c>
      <c r="DF54" s="2336">
        <v>40.145276531380951</v>
      </c>
      <c r="DG54" s="2336">
        <v>40.245582990523978</v>
      </c>
      <c r="DH54" s="2336">
        <v>40.34510029828806</v>
      </c>
      <c r="DI54" s="2336">
        <v>40.443831000027892</v>
      </c>
      <c r="DJ54" s="2336">
        <v>40.541777700851704</v>
      </c>
      <c r="DK54" s="2336">
        <v>40.6389430643016</v>
      </c>
      <c r="DL54" s="2336">
        <v>40.735329811045496</v>
      </c>
      <c r="DM54" s="2336">
        <v>40.830940717579594</v>
      </c>
      <c r="DN54" s="2336">
        <v>40.925778614944328</v>
      </c>
      <c r="DO54" s="2336">
        <v>41.019846387449341</v>
      </c>
      <c r="DP54" s="2336">
        <v>41.11314697141043</v>
      </c>
      <c r="DQ54" s="2336">
        <v>41.205683353897321</v>
      </c>
      <c r="DR54" s="2336">
        <v>41.297458571491021</v>
      </c>
      <c r="DS54" s="2336">
        <v>41.388475709052315</v>
      </c>
      <c r="DT54" s="2336">
        <v>41.478737898500263</v>
      </c>
      <c r="DU54" s="2336">
        <v>41.568248317600109</v>
      </c>
    </row>
    <row r="55" spans="1:125">
      <c r="A55" s="909">
        <v>53</v>
      </c>
      <c r="B55" s="90"/>
      <c r="C55" s="90"/>
      <c r="D55" s="90"/>
      <c r="E55" s="90"/>
      <c r="F55" s="90"/>
      <c r="G55" s="90"/>
      <c r="H55" s="90"/>
      <c r="I55" s="90"/>
      <c r="J55" s="90"/>
      <c r="K55" s="90"/>
      <c r="L55" s="90"/>
      <c r="M55" s="90"/>
      <c r="N55" s="90"/>
      <c r="O55" s="90"/>
      <c r="P55" s="90"/>
      <c r="Q55" s="90"/>
      <c r="R55" s="90"/>
      <c r="S55" s="90"/>
      <c r="T55" s="90"/>
      <c r="U55" s="90"/>
      <c r="V55" s="739"/>
      <c r="W55" s="739">
        <v>28.76</v>
      </c>
      <c r="X55" s="739">
        <v>28.95</v>
      </c>
      <c r="Y55" s="2336">
        <v>29.127848920329583</v>
      </c>
      <c r="Z55" s="2336">
        <v>29.328441112331369</v>
      </c>
      <c r="AA55" s="2336">
        <v>29.469892877253276</v>
      </c>
      <c r="AB55" s="2336">
        <v>29.622300743220222</v>
      </c>
      <c r="AC55" s="2336">
        <v>29.817255187690101</v>
      </c>
      <c r="AD55" s="2336">
        <v>29.916732826432188</v>
      </c>
      <c r="AE55" s="2336">
        <v>30.120718230507538</v>
      </c>
      <c r="AF55" s="2336">
        <v>30.267015906613324</v>
      </c>
      <c r="AG55" s="2336">
        <v>30.413694490206812</v>
      </c>
      <c r="AH55" s="2336">
        <v>30.561340531563303</v>
      </c>
      <c r="AI55" s="2336">
        <v>30.709200451760406</v>
      </c>
      <c r="AJ55" s="2336">
        <v>30.924038759582732</v>
      </c>
      <c r="AK55" s="2336">
        <v>31.118929067990855</v>
      </c>
      <c r="AL55" s="2336">
        <v>31.357440420124135</v>
      </c>
      <c r="AM55" s="2336">
        <v>31.562776334218874</v>
      </c>
      <c r="AN55" s="2336">
        <v>31.752435928698077</v>
      </c>
      <c r="AO55" s="2336">
        <v>31.865350239064661</v>
      </c>
      <c r="AP55" s="2336">
        <v>31.959148930990676</v>
      </c>
      <c r="AQ55" s="2336">
        <v>31.993634023913167</v>
      </c>
      <c r="AR55" s="2336">
        <v>32.024694514636437</v>
      </c>
      <c r="AS55" s="2336">
        <v>32.047096347187455</v>
      </c>
      <c r="AT55" s="2336">
        <v>31.998564385886176</v>
      </c>
      <c r="AU55" s="2336">
        <v>32.003412775537306</v>
      </c>
      <c r="AV55" s="2336">
        <v>32.031214415319361</v>
      </c>
      <c r="AW55" s="2336">
        <v>32.216832106597735</v>
      </c>
      <c r="AX55" s="2336">
        <v>32.240901384061637</v>
      </c>
      <c r="AY55" s="2336">
        <v>32.365689518318398</v>
      </c>
      <c r="AZ55" s="2336">
        <v>32.467970710946922</v>
      </c>
      <c r="BA55" s="2336">
        <v>32.559050491488236</v>
      </c>
      <c r="BB55" s="2336">
        <v>32.651669249811441</v>
      </c>
      <c r="BC55" s="2336">
        <v>32.749009007395927</v>
      </c>
      <c r="BD55" s="2336">
        <v>32.805158116656671</v>
      </c>
      <c r="BE55" s="2336">
        <v>32.920112065342835</v>
      </c>
      <c r="BF55" s="2336">
        <v>33.015551957302065</v>
      </c>
      <c r="BG55" s="2336">
        <v>33.127509142034533</v>
      </c>
      <c r="BH55" s="2336">
        <v>33.273905600107817</v>
      </c>
      <c r="BI55" s="2336">
        <v>33.384462910045364</v>
      </c>
      <c r="BJ55" s="2336">
        <v>33.500532007622496</v>
      </c>
      <c r="BK55" s="2336">
        <v>33.619512856148113</v>
      </c>
      <c r="BL55" s="2336">
        <v>33.775934556336338</v>
      </c>
      <c r="BM55" s="2336">
        <v>33.904894419438257</v>
      </c>
      <c r="BN55" s="2336">
        <v>34.040023753081712</v>
      </c>
      <c r="BO55" s="2336">
        <v>34.162755135216734</v>
      </c>
      <c r="BP55" s="2336">
        <v>34.289761470720244</v>
      </c>
      <c r="BQ55" s="2336">
        <v>34.419178864679949</v>
      </c>
      <c r="BR55" s="2336">
        <v>34.555990224938235</v>
      </c>
      <c r="BS55" s="2336">
        <v>34.681640595274352</v>
      </c>
      <c r="BT55" s="2336">
        <v>34.81213152006719</v>
      </c>
      <c r="BU55" s="2336">
        <v>34.941848468587885</v>
      </c>
      <c r="BV55" s="2336">
        <v>35.070796849672774</v>
      </c>
      <c r="BW55" s="2336">
        <v>35.198980504982913</v>
      </c>
      <c r="BX55" s="2336">
        <v>35.326401794855705</v>
      </c>
      <c r="BY55" s="2336">
        <v>35.453061737240056</v>
      </c>
      <c r="BZ55" s="2336">
        <v>35.578960173522375</v>
      </c>
      <c r="CA55" s="2336">
        <v>35.704095943640681</v>
      </c>
      <c r="CB55" s="2336">
        <v>35.828467032933524</v>
      </c>
      <c r="CC55" s="2336">
        <v>35.952070712880236</v>
      </c>
      <c r="CD55" s="2336">
        <v>36.074903685058118</v>
      </c>
      <c r="CE55" s="2336">
        <v>36.196962226166058</v>
      </c>
      <c r="CF55" s="2336">
        <v>36.318242336272029</v>
      </c>
      <c r="CG55" s="2336">
        <v>36.438706715063233</v>
      </c>
      <c r="CH55" s="2336">
        <v>36.558355596719032</v>
      </c>
      <c r="CI55" s="2336">
        <v>36.677189317100286</v>
      </c>
      <c r="CJ55" s="2336">
        <v>36.79520831193782</v>
      </c>
      <c r="CK55" s="2336">
        <v>36.912413115052289</v>
      </c>
      <c r="CL55" s="2336">
        <v>37.028804356601292</v>
      </c>
      <c r="CM55" s="2336">
        <v>37.144382761354862</v>
      </c>
      <c r="CN55" s="2336">
        <v>37.259149146997636</v>
      </c>
      <c r="CO55" s="2336">
        <v>37.373104422455263</v>
      </c>
      <c r="CP55" s="2336">
        <v>37.486249586246963</v>
      </c>
      <c r="CQ55" s="2336">
        <v>37.598585724861152</v>
      </c>
      <c r="CR55" s="2336">
        <v>37.710114011153891</v>
      </c>
      <c r="CS55" s="2336">
        <v>37.820835702769074</v>
      </c>
      <c r="CT55" s="2336">
        <v>37.930752140580239</v>
      </c>
      <c r="CU55" s="2336">
        <v>38.039864747151363</v>
      </c>
      <c r="CV55" s="2336">
        <v>38.148175025219025</v>
      </c>
      <c r="CW55" s="2336">
        <v>38.25568455619176</v>
      </c>
      <c r="CX55" s="2336">
        <v>38.362394998667504</v>
      </c>
      <c r="CY55" s="2336">
        <v>38.468308086969351</v>
      </c>
      <c r="CZ55" s="2336">
        <v>38.573425629696757</v>
      </c>
      <c r="DA55" s="2336">
        <v>38.67774950829326</v>
      </c>
      <c r="DB55" s="2336">
        <v>38.781281675629543</v>
      </c>
      <c r="DC55" s="2336">
        <v>38.884024154601413</v>
      </c>
      <c r="DD55" s="2336">
        <v>38.985979036741526</v>
      </c>
      <c r="DE55" s="2336">
        <v>39.087148480845599</v>
      </c>
      <c r="DF55" s="2336">
        <v>39.187534711611043</v>
      </c>
      <c r="DG55" s="2336">
        <v>39.287140018289456</v>
      </c>
      <c r="DH55" s="2336">
        <v>39.385966753350168</v>
      </c>
      <c r="DI55" s="2336">
        <v>39.484017331157546</v>
      </c>
      <c r="DJ55" s="2336">
        <v>39.581294226657853</v>
      </c>
      <c r="DK55" s="2336">
        <v>39.677799974079086</v>
      </c>
      <c r="DL55" s="2336">
        <v>39.773537165641436</v>
      </c>
      <c r="DM55" s="2336">
        <v>39.868508450277268</v>
      </c>
      <c r="DN55" s="2336">
        <v>39.962716532363693</v>
      </c>
      <c r="DO55" s="2336">
        <v>40.056164170463262</v>
      </c>
      <c r="DP55" s="2336">
        <v>40.148854176075716</v>
      </c>
      <c r="DQ55" s="2336">
        <v>40.240789412399742</v>
      </c>
      <c r="DR55" s="2336">
        <v>40.33197279310339</v>
      </c>
      <c r="DS55" s="2336">
        <v>40.422407281104945</v>
      </c>
      <c r="DT55" s="2336">
        <v>40.512095887362875</v>
      </c>
      <c r="DU55" s="2336">
        <v>40.601041669674487</v>
      </c>
    </row>
    <row r="56" spans="1:125">
      <c r="A56" s="909">
        <v>54</v>
      </c>
      <c r="B56" s="90"/>
      <c r="C56" s="90"/>
      <c r="D56" s="90"/>
      <c r="E56" s="90"/>
      <c r="F56" s="90"/>
      <c r="G56" s="90"/>
      <c r="H56" s="90"/>
      <c r="I56" s="90"/>
      <c r="J56" s="90"/>
      <c r="K56" s="90"/>
      <c r="L56" s="90"/>
      <c r="M56" s="90"/>
      <c r="N56" s="90"/>
      <c r="O56" s="90"/>
      <c r="P56" s="90"/>
      <c r="Q56" s="90"/>
      <c r="R56" s="90"/>
      <c r="S56" s="90"/>
      <c r="T56" s="90"/>
      <c r="U56" s="90"/>
      <c r="V56" s="739"/>
      <c r="W56" s="739">
        <v>27.91</v>
      </c>
      <c r="X56" s="739">
        <v>28.1</v>
      </c>
      <c r="Y56" s="2336">
        <v>28.275976791523831</v>
      </c>
      <c r="Z56" s="2336">
        <v>28.46923828158555</v>
      </c>
      <c r="AA56" s="2336">
        <v>28.615256434834723</v>
      </c>
      <c r="AB56" s="2336">
        <v>28.767292442656156</v>
      </c>
      <c r="AC56" s="2336">
        <v>28.953533236417602</v>
      </c>
      <c r="AD56" s="2336">
        <v>29.058287736938922</v>
      </c>
      <c r="AE56" s="2336">
        <v>29.259655265138345</v>
      </c>
      <c r="AF56" s="2336">
        <v>29.401643488597848</v>
      </c>
      <c r="AG56" s="2336">
        <v>29.545626852420398</v>
      </c>
      <c r="AH56" s="2336">
        <v>29.689981454161298</v>
      </c>
      <c r="AI56" s="2336">
        <v>29.827567201277642</v>
      </c>
      <c r="AJ56" s="2336">
        <v>30.04982539120628</v>
      </c>
      <c r="AK56" s="2336">
        <v>30.242016757023734</v>
      </c>
      <c r="AL56" s="2336">
        <v>30.47475446339379</v>
      </c>
      <c r="AM56" s="2336">
        <v>30.68303193354048</v>
      </c>
      <c r="AN56" s="2336">
        <v>30.87099552529515</v>
      </c>
      <c r="AO56" s="2336">
        <v>30.981321088671514</v>
      </c>
      <c r="AP56" s="2336">
        <v>31.065892609836318</v>
      </c>
      <c r="AQ56" s="2336">
        <v>31.106079934174424</v>
      </c>
      <c r="AR56" s="2336">
        <v>31.138406696472309</v>
      </c>
      <c r="AS56" s="2336">
        <v>31.1568303032556</v>
      </c>
      <c r="AT56" s="2336">
        <v>31.109780003789623</v>
      </c>
      <c r="AU56" s="2336">
        <v>31.111702936896929</v>
      </c>
      <c r="AV56" s="2336">
        <v>31.143088762853122</v>
      </c>
      <c r="AW56" s="2336">
        <v>31.322906654666252</v>
      </c>
      <c r="AX56" s="2336">
        <v>31.347358286081004</v>
      </c>
      <c r="AY56" s="2336">
        <v>31.466717259850473</v>
      </c>
      <c r="AZ56" s="2336">
        <v>31.56711135756753</v>
      </c>
      <c r="BA56" s="2336">
        <v>31.659315364717425</v>
      </c>
      <c r="BB56" s="2336">
        <v>31.750021266767163</v>
      </c>
      <c r="BC56" s="2336">
        <v>31.844567104763343</v>
      </c>
      <c r="BD56" s="2336">
        <v>31.905653474802907</v>
      </c>
      <c r="BE56" s="2336">
        <v>32.017260217876469</v>
      </c>
      <c r="BF56" s="2336">
        <v>32.114269672991107</v>
      </c>
      <c r="BG56" s="2336">
        <v>32.226101936608053</v>
      </c>
      <c r="BH56" s="2336">
        <v>32.369737652692699</v>
      </c>
      <c r="BI56" s="2336">
        <v>32.482264589650988</v>
      </c>
      <c r="BJ56" s="2336">
        <v>32.595970915485175</v>
      </c>
      <c r="BK56" s="2336">
        <v>32.71401195280049</v>
      </c>
      <c r="BL56" s="2336">
        <v>32.866183300373365</v>
      </c>
      <c r="BM56" s="2336">
        <v>32.991272696790077</v>
      </c>
      <c r="BN56" s="2336">
        <v>33.126354660883266</v>
      </c>
      <c r="BO56" s="2336">
        <v>33.245120407102803</v>
      </c>
      <c r="BP56" s="2336">
        <v>33.375211772464418</v>
      </c>
      <c r="BQ56" s="2336">
        <v>33.503038959557017</v>
      </c>
      <c r="BR56" s="2336">
        <v>33.635197478160016</v>
      </c>
      <c r="BS56" s="2336">
        <v>33.765222654294597</v>
      </c>
      <c r="BT56" s="2336">
        <v>33.894482188780451</v>
      </c>
      <c r="BU56" s="2336">
        <v>34.022982959537941</v>
      </c>
      <c r="BV56" s="2336">
        <v>34.150730278138681</v>
      </c>
      <c r="BW56" s="2336">
        <v>34.277727882774499</v>
      </c>
      <c r="BX56" s="2336">
        <v>34.403978024784031</v>
      </c>
      <c r="BY56" s="2336">
        <v>34.529481608333811</v>
      </c>
      <c r="BZ56" s="2336">
        <v>34.654238356992742</v>
      </c>
      <c r="CA56" s="2336">
        <v>34.778246989555456</v>
      </c>
      <c r="CB56" s="2336">
        <v>34.901505367484468</v>
      </c>
      <c r="CC56" s="2336">
        <v>35.024010636183569</v>
      </c>
      <c r="CD56" s="2336">
        <v>35.145759369450936</v>
      </c>
      <c r="CE56" s="2336">
        <v>35.266747714958832</v>
      </c>
      <c r="CF56" s="2336">
        <v>35.386935184884223</v>
      </c>
      <c r="CG56" s="2336">
        <v>35.506321768733628</v>
      </c>
      <c r="CH56" s="2336">
        <v>35.62490755914191</v>
      </c>
      <c r="CI56" s="2336">
        <v>35.742692750094363</v>
      </c>
      <c r="CJ56" s="2336">
        <v>35.859677635175515</v>
      </c>
      <c r="CK56" s="2336">
        <v>35.975862605847567</v>
      </c>
      <c r="CL56" s="2336">
        <v>36.091248149754485</v>
      </c>
      <c r="CM56" s="2336">
        <v>36.205834849052771</v>
      </c>
      <c r="CN56" s="2336">
        <v>36.319623378767297</v>
      </c>
      <c r="CO56" s="2336">
        <v>36.432614505169759</v>
      </c>
      <c r="CP56" s="2336">
        <v>36.544809084181615</v>
      </c>
      <c r="CQ56" s="2336">
        <v>36.656208059798715</v>
      </c>
      <c r="CR56" s="2336">
        <v>36.76681246253694</v>
      </c>
      <c r="CS56" s="2336">
        <v>36.876623407898251</v>
      </c>
      <c r="CT56" s="2336">
        <v>36.985642094856736</v>
      </c>
      <c r="CU56" s="2336">
        <v>37.093869804362249</v>
      </c>
      <c r="CV56" s="2336">
        <v>37.201307897863884</v>
      </c>
      <c r="CW56" s="2336">
        <v>37.307957815849235</v>
      </c>
      <c r="CX56" s="2336">
        <v>37.413821076400346</v>
      </c>
      <c r="CY56" s="2336">
        <v>37.518899273766564</v>
      </c>
      <c r="CZ56" s="2336">
        <v>37.623194076951506</v>
      </c>
      <c r="DA56" s="2336">
        <v>37.726707228315192</v>
      </c>
      <c r="DB56" s="2336">
        <v>37.829440542190206</v>
      </c>
      <c r="DC56" s="2336">
        <v>37.931395903511543</v>
      </c>
      <c r="DD56" s="2336">
        <v>38.032575266458814</v>
      </c>
      <c r="DE56" s="2336">
        <v>38.132980653111936</v>
      </c>
      <c r="DF56" s="2336">
        <v>38.232614152117741</v>
      </c>
      <c r="DG56" s="2336">
        <v>38.331477917369554</v>
      </c>
      <c r="DH56" s="2336">
        <v>38.429574166696469</v>
      </c>
      <c r="DI56" s="2336">
        <v>38.52690518056535</v>
      </c>
      <c r="DJ56" s="2336">
        <v>38.623473300791289</v>
      </c>
      <c r="DK56" s="2336">
        <v>38.719280929259874</v>
      </c>
      <c r="DL56" s="2336">
        <v>38.814330526659141</v>
      </c>
      <c r="DM56" s="2336">
        <v>38.90862461121997</v>
      </c>
      <c r="DN56" s="2336">
        <v>39.00216575746807</v>
      </c>
      <c r="DO56" s="2336">
        <v>39.094956594983081</v>
      </c>
      <c r="DP56" s="2336">
        <v>39.186999807167815</v>
      </c>
      <c r="DQ56" s="2336">
        <v>39.278298130026627</v>
      </c>
      <c r="DR56" s="2336">
        <v>39.368854350951374</v>
      </c>
      <c r="DS56" s="2336">
        <v>39.458671307517143</v>
      </c>
      <c r="DT56" s="2336">
        <v>39.547751886286044</v>
      </c>
      <c r="DU56" s="2336">
        <v>39.636099021618968</v>
      </c>
    </row>
    <row r="57" spans="1:125">
      <c r="A57" s="909">
        <v>55</v>
      </c>
      <c r="B57" s="90"/>
      <c r="C57" s="90"/>
      <c r="D57" s="90"/>
      <c r="E57" s="90"/>
      <c r="F57" s="90"/>
      <c r="G57" s="90"/>
      <c r="H57" s="90"/>
      <c r="I57" s="90"/>
      <c r="J57" s="90"/>
      <c r="K57" s="90"/>
      <c r="L57" s="90"/>
      <c r="M57" s="90"/>
      <c r="N57" s="90"/>
      <c r="O57" s="90"/>
      <c r="P57" s="90"/>
      <c r="Q57" s="90"/>
      <c r="R57" s="90"/>
      <c r="S57" s="90"/>
      <c r="T57" s="90"/>
      <c r="U57" s="90"/>
      <c r="V57" s="739"/>
      <c r="W57" s="739">
        <v>27.07</v>
      </c>
      <c r="X57" s="739">
        <v>27.25</v>
      </c>
      <c r="Y57" s="2336">
        <v>27.423921658471933</v>
      </c>
      <c r="Z57" s="2336">
        <v>27.616943237325621</v>
      </c>
      <c r="AA57" s="2336">
        <v>27.760357559445055</v>
      </c>
      <c r="AB57" s="2336">
        <v>27.915743108174066</v>
      </c>
      <c r="AC57" s="2336">
        <v>28.101150602295284</v>
      </c>
      <c r="AD57" s="2336">
        <v>28.200770472833934</v>
      </c>
      <c r="AE57" s="2336">
        <v>28.393583258203694</v>
      </c>
      <c r="AF57" s="2336">
        <v>28.534820954929536</v>
      </c>
      <c r="AG57" s="2336">
        <v>28.681810446378915</v>
      </c>
      <c r="AH57" s="2336">
        <v>28.821678092440031</v>
      </c>
      <c r="AI57" s="2336">
        <v>28.962040956070222</v>
      </c>
      <c r="AJ57" s="2336">
        <v>29.183889055199479</v>
      </c>
      <c r="AK57" s="2336">
        <v>29.369347165770066</v>
      </c>
      <c r="AL57" s="2336">
        <v>29.603588004201246</v>
      </c>
      <c r="AM57" s="2336">
        <v>29.811419347768076</v>
      </c>
      <c r="AN57" s="2336">
        <v>29.987801835109916</v>
      </c>
      <c r="AO57" s="2336">
        <v>30.102394341526992</v>
      </c>
      <c r="AP57" s="2336">
        <v>30.184364464144025</v>
      </c>
      <c r="AQ57" s="2336">
        <v>30.222284523521605</v>
      </c>
      <c r="AR57" s="2336">
        <v>30.254845873643578</v>
      </c>
      <c r="AS57" s="2336">
        <v>30.266706544387048</v>
      </c>
      <c r="AT57" s="2336">
        <v>30.223944893414942</v>
      </c>
      <c r="AU57" s="2336">
        <v>30.226061175551315</v>
      </c>
      <c r="AV57" s="2336">
        <v>30.254519190892591</v>
      </c>
      <c r="AW57" s="2336">
        <v>30.434634454048819</v>
      </c>
      <c r="AX57" s="2336">
        <v>30.459310575448082</v>
      </c>
      <c r="AY57" s="2336">
        <v>30.570683523921158</v>
      </c>
      <c r="AZ57" s="2336">
        <v>30.672291587021654</v>
      </c>
      <c r="BA57" s="2336">
        <v>30.763490927958216</v>
      </c>
      <c r="BB57" s="2336">
        <v>30.851284169240333</v>
      </c>
      <c r="BC57" s="2336">
        <v>30.941359137747209</v>
      </c>
      <c r="BD57" s="2336">
        <v>31.006199072328357</v>
      </c>
      <c r="BE57" s="2336">
        <v>31.119487099026518</v>
      </c>
      <c r="BF57" s="2336">
        <v>31.219413695396621</v>
      </c>
      <c r="BG57" s="2336">
        <v>31.325187831007884</v>
      </c>
      <c r="BH57" s="2336">
        <v>31.469379704523963</v>
      </c>
      <c r="BI57" s="2336">
        <v>31.579905166354589</v>
      </c>
      <c r="BJ57" s="2336">
        <v>31.695095820647204</v>
      </c>
      <c r="BK57" s="2336">
        <v>31.811762359508787</v>
      </c>
      <c r="BL57" s="2336">
        <v>31.959677606495362</v>
      </c>
      <c r="BM57" s="2336">
        <v>32.084974862641886</v>
      </c>
      <c r="BN57" s="2336">
        <v>32.215462802985904</v>
      </c>
      <c r="BO57" s="2336">
        <v>32.335378439503017</v>
      </c>
      <c r="BP57" s="2336">
        <v>32.465058851417417</v>
      </c>
      <c r="BQ57" s="2336">
        <v>32.595643666227545</v>
      </c>
      <c r="BR57" s="2336">
        <v>32.725117817868878</v>
      </c>
      <c r="BS57" s="2336">
        <v>32.853833863790769</v>
      </c>
      <c r="BT57" s="2336">
        <v>32.981800071431721</v>
      </c>
      <c r="BU57" s="2336">
        <v>33.109023233029653</v>
      </c>
      <c r="BV57" s="2336">
        <v>33.235508567039304</v>
      </c>
      <c r="BW57" s="2336">
        <v>33.361259711634659</v>
      </c>
      <c r="BX57" s="2336">
        <v>33.486278811971438</v>
      </c>
      <c r="BY57" s="2336">
        <v>33.610566660681982</v>
      </c>
      <c r="BZ57" s="2336">
        <v>33.734122865266286</v>
      </c>
      <c r="CA57" s="2336">
        <v>33.856946024689123</v>
      </c>
      <c r="CB57" s="2336">
        <v>33.979033877469611</v>
      </c>
      <c r="CC57" s="2336">
        <v>34.100383443536352</v>
      </c>
      <c r="CD57" s="2336">
        <v>34.220991169221683</v>
      </c>
      <c r="CE57" s="2336">
        <v>34.340813836760134</v>
      </c>
      <c r="CF57" s="2336">
        <v>34.45985118989946</v>
      </c>
      <c r="CG57" s="2336">
        <v>34.578103076685188</v>
      </c>
      <c r="CH57" s="2336">
        <v>34.695569447719613</v>
      </c>
      <c r="CI57" s="2336">
        <v>34.812250354451479</v>
      </c>
      <c r="CJ57" s="2336">
        <v>34.928145947490698</v>
      </c>
      <c r="CK57" s="2336">
        <v>35.043256474950844</v>
      </c>
      <c r="CL57" s="2336">
        <v>35.157582280815539</v>
      </c>
      <c r="CM57" s="2336">
        <v>35.271123803329807</v>
      </c>
      <c r="CN57" s="2336">
        <v>35.383881573414683</v>
      </c>
      <c r="CO57" s="2336">
        <v>35.495856213102776</v>
      </c>
      <c r="CP57" s="2336">
        <v>35.607048433996624</v>
      </c>
      <c r="CQ57" s="2336">
        <v>35.717459035747034</v>
      </c>
      <c r="CR57" s="2336">
        <v>35.827088904550784</v>
      </c>
      <c r="CS57" s="2336">
        <v>35.935939011667166</v>
      </c>
      <c r="CT57" s="2336">
        <v>36.044010411952826</v>
      </c>
      <c r="CU57" s="2336">
        <v>36.151304242412706</v>
      </c>
      <c r="CV57" s="2336">
        <v>36.257821720769194</v>
      </c>
      <c r="CW57" s="2336">
        <v>36.363564144045618</v>
      </c>
      <c r="CX57" s="2336">
        <v>36.468532887164834</v>
      </c>
      <c r="CY57" s="2336">
        <v>36.572729401563272</v>
      </c>
      <c r="CZ57" s="2336">
        <v>36.676155213817687</v>
      </c>
      <c r="DA57" s="2336">
        <v>36.77881192428562</v>
      </c>
      <c r="DB57" s="2336">
        <v>36.880701205758463</v>
      </c>
      <c r="DC57" s="2336">
        <v>36.98182480212688</v>
      </c>
      <c r="DD57" s="2336">
        <v>37.082184527057208</v>
      </c>
      <c r="DE57" s="2336">
        <v>37.181782262680088</v>
      </c>
      <c r="DF57" s="2336">
        <v>37.280619958288682</v>
      </c>
      <c r="DG57" s="2336">
        <v>37.378699629048519</v>
      </c>
      <c r="DH57" s="2336">
        <v>37.476023354715984</v>
      </c>
      <c r="DI57" s="2336">
        <v>37.572593278368196</v>
      </c>
      <c r="DJ57" s="2336">
        <v>37.668411605140115</v>
      </c>
      <c r="DK57" s="2336">
        <v>37.763480600972485</v>
      </c>
      <c r="DL57" s="2336">
        <v>37.857802591368134</v>
      </c>
      <c r="DM57" s="2336">
        <v>37.951379960155741</v>
      </c>
      <c r="DN57" s="2336">
        <v>38.04421514826408</v>
      </c>
      <c r="DO57" s="2336">
        <v>38.136310652502317</v>
      </c>
      <c r="DP57" s="2336">
        <v>38.22766902434941</v>
      </c>
      <c r="DQ57" s="2336">
        <v>38.318292868751669</v>
      </c>
      <c r="DR57" s="2336">
        <v>38.408184842926929</v>
      </c>
      <c r="DS57" s="2336">
        <v>38.497347655177499</v>
      </c>
      <c r="DT57" s="2336">
        <v>38.585784063710285</v>
      </c>
      <c r="DU57" s="2336">
        <v>38.673496875463975</v>
      </c>
    </row>
    <row r="58" spans="1:125">
      <c r="A58" s="909">
        <v>56</v>
      </c>
      <c r="B58" s="90"/>
      <c r="C58" s="90"/>
      <c r="D58" s="90"/>
      <c r="E58" s="90"/>
      <c r="F58" s="90"/>
      <c r="G58" s="90"/>
      <c r="H58" s="90"/>
      <c r="I58" s="90"/>
      <c r="J58" s="90"/>
      <c r="K58" s="90"/>
      <c r="L58" s="90"/>
      <c r="M58" s="90"/>
      <c r="N58" s="90"/>
      <c r="O58" s="90"/>
      <c r="P58" s="90"/>
      <c r="Q58" s="90"/>
      <c r="R58" s="90"/>
      <c r="S58" s="90"/>
      <c r="T58" s="90"/>
      <c r="U58" s="90"/>
      <c r="V58" s="739"/>
      <c r="W58" s="739">
        <v>26.23</v>
      </c>
      <c r="X58" s="739">
        <v>26.4</v>
      </c>
      <c r="Y58" s="2336">
        <v>26.578558000484396</v>
      </c>
      <c r="Z58" s="2336">
        <v>26.773154798760327</v>
      </c>
      <c r="AA58" s="2336">
        <v>26.910076605139743</v>
      </c>
      <c r="AB58" s="2336">
        <v>27.068502656953164</v>
      </c>
      <c r="AC58" s="2336">
        <v>27.246640904043794</v>
      </c>
      <c r="AD58" s="2336">
        <v>27.344909207636267</v>
      </c>
      <c r="AE58" s="2336">
        <v>27.533596537404126</v>
      </c>
      <c r="AF58" s="2336">
        <v>27.678724549022185</v>
      </c>
      <c r="AG58" s="2336">
        <v>27.817104562847156</v>
      </c>
      <c r="AH58" s="2336">
        <v>27.95864721679234</v>
      </c>
      <c r="AI58" s="2336">
        <v>28.098011484431584</v>
      </c>
      <c r="AJ58" s="2336">
        <v>28.317841922769613</v>
      </c>
      <c r="AK58" s="2336">
        <v>28.505530897436888</v>
      </c>
      <c r="AL58" s="2336">
        <v>28.73627475721775</v>
      </c>
      <c r="AM58" s="2336">
        <v>28.943343480709004</v>
      </c>
      <c r="AN58" s="2336">
        <v>29.110249394659686</v>
      </c>
      <c r="AO58" s="2336">
        <v>29.223266057597762</v>
      </c>
      <c r="AP58" s="2336">
        <v>29.305852092411378</v>
      </c>
      <c r="AQ58" s="2336">
        <v>29.340718349897919</v>
      </c>
      <c r="AR58" s="2336">
        <v>29.369094400406976</v>
      </c>
      <c r="AS58" s="2336">
        <v>29.383098632982581</v>
      </c>
      <c r="AT58" s="2336">
        <v>29.340368585778972</v>
      </c>
      <c r="AU58" s="2336">
        <v>29.338615976869296</v>
      </c>
      <c r="AV58" s="2336">
        <v>29.372616183565455</v>
      </c>
      <c r="AW58" s="2336">
        <v>29.548095398488393</v>
      </c>
      <c r="AX58" s="2336">
        <v>29.570381526154932</v>
      </c>
      <c r="AY58" s="2336">
        <v>29.684874991194263</v>
      </c>
      <c r="AZ58" s="2336">
        <v>29.778499311030117</v>
      </c>
      <c r="BA58" s="2336">
        <v>29.872599977219565</v>
      </c>
      <c r="BB58" s="2336">
        <v>29.962654167528257</v>
      </c>
      <c r="BC58" s="2336">
        <v>30.047032641874516</v>
      </c>
      <c r="BD58" s="2336">
        <v>30.115981550845497</v>
      </c>
      <c r="BE58" s="2336">
        <v>30.228521217068348</v>
      </c>
      <c r="BF58" s="2336">
        <v>30.328654564439997</v>
      </c>
      <c r="BG58" s="2336">
        <v>30.433394351137199</v>
      </c>
      <c r="BH58" s="2336">
        <v>30.571670709078649</v>
      </c>
      <c r="BI58" s="2336">
        <v>30.681199359893387</v>
      </c>
      <c r="BJ58" s="2336">
        <v>30.80267064009568</v>
      </c>
      <c r="BK58" s="2336">
        <v>30.913605720311445</v>
      </c>
      <c r="BL58" s="2336">
        <v>31.061086101334894</v>
      </c>
      <c r="BM58" s="2336">
        <v>31.18218515453227</v>
      </c>
      <c r="BN58" s="2336">
        <v>31.31292568248719</v>
      </c>
      <c r="BO58" s="2336">
        <v>31.431807051184705</v>
      </c>
      <c r="BP58" s="2336">
        <v>31.563464265949232</v>
      </c>
      <c r="BQ58" s="2336">
        <v>31.692296198535832</v>
      </c>
      <c r="BR58" s="2336">
        <v>31.820376954689589</v>
      </c>
      <c r="BS58" s="2336">
        <v>31.947716072863134</v>
      </c>
      <c r="BT58" s="2336">
        <v>32.074321747403431</v>
      </c>
      <c r="BU58" s="2336">
        <v>32.200200688896558</v>
      </c>
      <c r="BV58" s="2336">
        <v>32.325358025918455</v>
      </c>
      <c r="BW58" s="2336">
        <v>32.449797299120043</v>
      </c>
      <c r="BX58" s="2336">
        <v>32.573520549293384</v>
      </c>
      <c r="BY58" s="2336">
        <v>32.696528458755374</v>
      </c>
      <c r="BZ58" s="2336">
        <v>32.818820519630236</v>
      </c>
      <c r="CA58" s="2336">
        <v>32.940395211291737</v>
      </c>
      <c r="CB58" s="2336">
        <v>33.061250149159342</v>
      </c>
      <c r="CC58" s="2336">
        <v>33.181382227188529</v>
      </c>
      <c r="CD58" s="2336">
        <v>33.300746092616095</v>
      </c>
      <c r="CE58" s="2336">
        <v>33.41934124227221</v>
      </c>
      <c r="CF58" s="2336">
        <v>33.53716727815101</v>
      </c>
      <c r="CG58" s="2336">
        <v>33.654223905720521</v>
      </c>
      <c r="CH58" s="2336">
        <v>33.770510932257224</v>
      </c>
      <c r="CI58" s="2336">
        <v>33.886028265209397</v>
      </c>
      <c r="CJ58" s="2336">
        <v>34.000775910583499</v>
      </c>
      <c r="CK58" s="2336">
        <v>34.114753971356571</v>
      </c>
      <c r="CL58" s="2336">
        <v>34.227962645910495</v>
      </c>
      <c r="CM58" s="2336">
        <v>34.340402226489395</v>
      </c>
      <c r="CN58" s="2336">
        <v>34.452073097678493</v>
      </c>
      <c r="CO58" s="2336">
        <v>34.562975734902061</v>
      </c>
      <c r="CP58" s="2336">
        <v>34.673110702942331</v>
      </c>
      <c r="CQ58" s="2336">
        <v>34.782478654476655</v>
      </c>
      <c r="CR58" s="2336">
        <v>34.891080328632214</v>
      </c>
      <c r="CS58" s="2336">
        <v>34.99891654955789</v>
      </c>
      <c r="CT58" s="2336">
        <v>35.105988225012666</v>
      </c>
      <c r="CU58" s="2336">
        <v>35.212296344968522</v>
      </c>
      <c r="CV58" s="2336">
        <v>35.317841980229773</v>
      </c>
      <c r="CW58" s="2336">
        <v>35.422626281065213</v>
      </c>
      <c r="CX58" s="2336">
        <v>35.526650475853678</v>
      </c>
      <c r="CY58" s="2336">
        <v>35.629915869743584</v>
      </c>
      <c r="CZ58" s="2336">
        <v>35.732423843323488</v>
      </c>
      <c r="DA58" s="2336">
        <v>35.834175851304948</v>
      </c>
      <c r="DB58" s="2336">
        <v>35.93517342121644</v>
      </c>
      <c r="DC58" s="2336">
        <v>36.035418152108178</v>
      </c>
      <c r="DD58" s="2336">
        <v>36.134911713266483</v>
      </c>
      <c r="DE58" s="2336">
        <v>36.233655842938965</v>
      </c>
      <c r="DF58" s="2336">
        <v>36.331652347067894</v>
      </c>
      <c r="DG58" s="2336">
        <v>36.428903098033864</v>
      </c>
      <c r="DH58" s="2336">
        <v>36.525410033406814</v>
      </c>
      <c r="DI58" s="2336">
        <v>36.621175154707053</v>
      </c>
      <c r="DJ58" s="2336">
        <v>36.716200526172337</v>
      </c>
      <c r="DK58" s="2336">
        <v>36.810488273534467</v>
      </c>
      <c r="DL58" s="2336">
        <v>36.904040582803091</v>
      </c>
      <c r="DM58" s="2336">
        <v>36.996859699055761</v>
      </c>
      <c r="DN58" s="2336">
        <v>37.088947925237299</v>
      </c>
      <c r="DO58" s="2336">
        <v>37.180307620964101</v>
      </c>
      <c r="DP58" s="2336">
        <v>37.270941201336434</v>
      </c>
      <c r="DQ58" s="2336">
        <v>37.360851135757834</v>
      </c>
      <c r="DR58" s="2336">
        <v>37.45003994676005</v>
      </c>
      <c r="DS58" s="2336">
        <v>37.538510208835696</v>
      </c>
      <c r="DT58" s="2336">
        <v>37.626264547277181</v>
      </c>
      <c r="DU58" s="2336">
        <v>37.713305637021634</v>
      </c>
    </row>
    <row r="59" spans="1:125">
      <c r="A59" s="909">
        <v>57</v>
      </c>
      <c r="B59" s="90"/>
      <c r="C59" s="90"/>
      <c r="D59" s="90"/>
      <c r="E59" s="90"/>
      <c r="F59" s="90"/>
      <c r="G59" s="90"/>
      <c r="H59" s="90"/>
      <c r="I59" s="90"/>
      <c r="J59" s="90"/>
      <c r="K59" s="90"/>
      <c r="L59" s="90"/>
      <c r="M59" s="90"/>
      <c r="N59" s="90"/>
      <c r="O59" s="90"/>
      <c r="P59" s="90"/>
      <c r="Q59" s="90"/>
      <c r="R59" s="90"/>
      <c r="S59" s="90"/>
      <c r="T59" s="90"/>
      <c r="U59" s="90"/>
      <c r="V59" s="739"/>
      <c r="W59" s="739">
        <v>25.39</v>
      </c>
      <c r="X59" s="739">
        <v>25.57</v>
      </c>
      <c r="Y59" s="2336">
        <v>25.740308091604238</v>
      </c>
      <c r="Z59" s="2336">
        <v>25.936509521968855</v>
      </c>
      <c r="AA59" s="2336">
        <v>26.071311979005873</v>
      </c>
      <c r="AB59" s="2336">
        <v>26.221551685739922</v>
      </c>
      <c r="AC59" s="2336">
        <v>26.405398869159917</v>
      </c>
      <c r="AD59" s="2336">
        <v>26.500638395881271</v>
      </c>
      <c r="AE59" s="2336">
        <v>26.679551417284337</v>
      </c>
      <c r="AF59" s="2336">
        <v>26.830960734849253</v>
      </c>
      <c r="AG59" s="2336">
        <v>26.962704037874083</v>
      </c>
      <c r="AH59" s="2336">
        <v>27.107537139251395</v>
      </c>
      <c r="AI59" s="2336">
        <v>27.2423631837333</v>
      </c>
      <c r="AJ59" s="2336">
        <v>27.458811801798866</v>
      </c>
      <c r="AK59" s="2336">
        <v>27.642722335863429</v>
      </c>
      <c r="AL59" s="2336">
        <v>27.870090469419093</v>
      </c>
      <c r="AM59" s="2336">
        <v>28.073801437802295</v>
      </c>
      <c r="AN59" s="2336">
        <v>28.235401375830023</v>
      </c>
      <c r="AO59" s="2336">
        <v>28.348829006619344</v>
      </c>
      <c r="AP59" s="2336">
        <v>28.428414277022313</v>
      </c>
      <c r="AQ59" s="2336">
        <v>28.464707401101723</v>
      </c>
      <c r="AR59" s="2336">
        <v>28.489253207325898</v>
      </c>
      <c r="AS59" s="2336">
        <v>28.504238916544093</v>
      </c>
      <c r="AT59" s="2336">
        <v>28.459325644537259</v>
      </c>
      <c r="AU59" s="2336">
        <v>28.460031084778482</v>
      </c>
      <c r="AV59" s="2336">
        <v>28.491671824878157</v>
      </c>
      <c r="AW59" s="2336">
        <v>28.664875059676056</v>
      </c>
      <c r="AX59" s="2336">
        <v>28.686112852200235</v>
      </c>
      <c r="AY59" s="2336">
        <v>28.799970552076051</v>
      </c>
      <c r="AZ59" s="2336">
        <v>28.893351227202235</v>
      </c>
      <c r="BA59" s="2336">
        <v>28.981974082839681</v>
      </c>
      <c r="BB59" s="2336">
        <v>29.076260935515393</v>
      </c>
      <c r="BC59" s="2336">
        <v>29.156143374640273</v>
      </c>
      <c r="BD59" s="2336">
        <v>29.230186157077789</v>
      </c>
      <c r="BE59" s="2336">
        <v>29.339534196265472</v>
      </c>
      <c r="BF59" s="2336">
        <v>29.443006656638243</v>
      </c>
      <c r="BG59" s="2336">
        <v>29.544090506117296</v>
      </c>
      <c r="BH59" s="2336">
        <v>29.680183046267189</v>
      </c>
      <c r="BI59" s="2336">
        <v>29.792069296918477</v>
      </c>
      <c r="BJ59" s="2336">
        <v>29.911384275073399</v>
      </c>
      <c r="BK59" s="2336">
        <v>30.025295095708358</v>
      </c>
      <c r="BL59" s="2336">
        <v>30.166822763547568</v>
      </c>
      <c r="BM59" s="2336">
        <v>30.285155436221189</v>
      </c>
      <c r="BN59" s="2336">
        <v>30.411516959964434</v>
      </c>
      <c r="BO59" s="2336">
        <v>30.539182230608066</v>
      </c>
      <c r="BP59" s="2336">
        <v>30.667273764651149</v>
      </c>
      <c r="BQ59" s="2336">
        <v>30.794620651555899</v>
      </c>
      <c r="BR59" s="2336">
        <v>30.921233580292849</v>
      </c>
      <c r="BS59" s="2336">
        <v>31.047122029803432</v>
      </c>
      <c r="BT59" s="2336">
        <v>31.172294125254602</v>
      </c>
      <c r="BU59" s="2336">
        <v>31.296756498609035</v>
      </c>
      <c r="BV59" s="2336">
        <v>31.420514190741745</v>
      </c>
      <c r="BW59" s="2336">
        <v>31.54357064616315</v>
      </c>
      <c r="BX59" s="2336">
        <v>31.665927801964472</v>
      </c>
      <c r="BY59" s="2336">
        <v>31.78758623017308</v>
      </c>
      <c r="BZ59" s="2336">
        <v>31.908545307009557</v>
      </c>
      <c r="CA59" s="2336">
        <v>32.028803391253156</v>
      </c>
      <c r="CB59" s="2336">
        <v>32.148357973810135</v>
      </c>
      <c r="CC59" s="2336">
        <v>32.267162294252529</v>
      </c>
      <c r="CD59" s="2336">
        <v>32.385215601166443</v>
      </c>
      <c r="CE59" s="2336">
        <v>32.50251724884815</v>
      </c>
      <c r="CF59" s="2336">
        <v>32.61906669566941</v>
      </c>
      <c r="CG59" s="2336">
        <v>32.734863502471491</v>
      </c>
      <c r="CH59" s="2336">
        <v>32.849907330981708</v>
      </c>
      <c r="CI59" s="2336">
        <v>32.964197942256789</v>
      </c>
      <c r="CJ59" s="2336">
        <v>33.077735195147149</v>
      </c>
      <c r="CK59" s="2336">
        <v>33.190519044785084</v>
      </c>
      <c r="CL59" s="2336">
        <v>33.302549541092986</v>
      </c>
      <c r="CM59" s="2336">
        <v>33.413826827312562</v>
      </c>
      <c r="CN59" s="2336">
        <v>33.524351138553548</v>
      </c>
      <c r="CO59" s="2336">
        <v>33.634122800359641</v>
      </c>
      <c r="CP59" s="2336">
        <v>33.743142227293383</v>
      </c>
      <c r="CQ59" s="2336">
        <v>33.85140992153741</v>
      </c>
      <c r="CR59" s="2336">
        <v>33.958926471511425</v>
      </c>
      <c r="CS59" s="2336">
        <v>34.06569255050438</v>
      </c>
      <c r="CT59" s="2336">
        <v>34.171708915321396</v>
      </c>
      <c r="CU59" s="2336">
        <v>34.276976404943468</v>
      </c>
      <c r="CV59" s="2336">
        <v>34.381495939201663</v>
      </c>
      <c r="CW59" s="2336">
        <v>34.485268517462544</v>
      </c>
      <c r="CX59" s="2336">
        <v>34.588295217325204</v>
      </c>
      <c r="CY59" s="2336">
        <v>34.690577193330597</v>
      </c>
      <c r="CZ59" s="2336">
        <v>34.792115675680272</v>
      </c>
      <c r="DA59" s="2336">
        <v>34.892911968965727</v>
      </c>
      <c r="DB59" s="2336">
        <v>34.992967450907251</v>
      </c>
      <c r="DC59" s="2336">
        <v>35.092283571102108</v>
      </c>
      <c r="DD59" s="2336">
        <v>35.19086184978071</v>
      </c>
      <c r="DE59" s="2336">
        <v>35.288703876572072</v>
      </c>
      <c r="DF59" s="2336">
        <v>35.385811309276022</v>
      </c>
      <c r="DG59" s="2336">
        <v>35.48218587264428</v>
      </c>
      <c r="DH59" s="2336">
        <v>35.577829357167332</v>
      </c>
      <c r="DI59" s="2336">
        <v>35.672743617870104</v>
      </c>
      <c r="DJ59" s="2336">
        <v>35.766930573112191</v>
      </c>
      <c r="DK59" s="2336">
        <v>35.860392203396366</v>
      </c>
      <c r="DL59" s="2336">
        <v>35.953130550182891</v>
      </c>
      <c r="DM59" s="2336">
        <v>36.045147714708939</v>
      </c>
      <c r="DN59" s="2336">
        <v>36.136445856815932</v>
      </c>
      <c r="DO59" s="2336">
        <v>36.227027193780778</v>
      </c>
      <c r="DP59" s="2336">
        <v>36.316893999153756</v>
      </c>
      <c r="DQ59" s="2336">
        <v>36.406048601602414</v>
      </c>
      <c r="DR59" s="2336">
        <v>36.494493383759881</v>
      </c>
      <c r="DS59" s="2336">
        <v>36.582230781079815</v>
      </c>
      <c r="DT59" s="2336">
        <v>36.669263280696441</v>
      </c>
      <c r="DU59" s="2336">
        <v>36.755593420289685</v>
      </c>
    </row>
    <row r="60" spans="1:125">
      <c r="A60" s="909">
        <v>58</v>
      </c>
      <c r="B60" s="90"/>
      <c r="C60" s="90"/>
      <c r="D60" s="90"/>
      <c r="E60" s="90"/>
      <c r="F60" s="90"/>
      <c r="G60" s="90"/>
      <c r="H60" s="90"/>
      <c r="I60" s="90"/>
      <c r="J60" s="90"/>
      <c r="K60" s="90"/>
      <c r="L60" s="90"/>
      <c r="M60" s="90"/>
      <c r="N60" s="90"/>
      <c r="O60" s="90"/>
      <c r="P60" s="90"/>
      <c r="Q60" s="90"/>
      <c r="R60" s="90"/>
      <c r="S60" s="90"/>
      <c r="T60" s="90"/>
      <c r="U60" s="90"/>
      <c r="V60" s="739"/>
      <c r="W60" s="739">
        <v>24.56</v>
      </c>
      <c r="X60" s="739">
        <v>24.74</v>
      </c>
      <c r="Y60" s="2336">
        <v>24.907405600753446</v>
      </c>
      <c r="Z60" s="2336">
        <v>25.103773469833438</v>
      </c>
      <c r="AA60" s="2336">
        <v>25.236498116573394</v>
      </c>
      <c r="AB60" s="2336">
        <v>25.37873545954174</v>
      </c>
      <c r="AC60" s="2336">
        <v>25.563814093923519</v>
      </c>
      <c r="AD60" s="2336">
        <v>25.655818082681254</v>
      </c>
      <c r="AE60" s="2336">
        <v>25.83491872241116</v>
      </c>
      <c r="AF60" s="2336">
        <v>25.977780141766011</v>
      </c>
      <c r="AG60" s="2336">
        <v>26.110943123937751</v>
      </c>
      <c r="AH60" s="2336">
        <v>26.259788957518097</v>
      </c>
      <c r="AI60" s="2336">
        <v>26.395810263871855</v>
      </c>
      <c r="AJ60" s="2336">
        <v>26.602626693204861</v>
      </c>
      <c r="AK60" s="2336">
        <v>26.783630857796858</v>
      </c>
      <c r="AL60" s="2336">
        <v>27.012944549193826</v>
      </c>
      <c r="AM60" s="2336">
        <v>27.206856667932747</v>
      </c>
      <c r="AN60" s="2336">
        <v>27.368807585996802</v>
      </c>
      <c r="AO60" s="2336">
        <v>27.479476858952047</v>
      </c>
      <c r="AP60" s="2336">
        <v>27.55625036890676</v>
      </c>
      <c r="AQ60" s="2336">
        <v>27.594082300162221</v>
      </c>
      <c r="AR60" s="2336">
        <v>27.615172905157483</v>
      </c>
      <c r="AS60" s="2336">
        <v>27.629007565328614</v>
      </c>
      <c r="AT60" s="2336">
        <v>27.588727536181953</v>
      </c>
      <c r="AU60" s="2336">
        <v>27.587404421925385</v>
      </c>
      <c r="AV60" s="2336">
        <v>27.616219396990932</v>
      </c>
      <c r="AW60" s="2336">
        <v>27.787252698056133</v>
      </c>
      <c r="AX60" s="2336">
        <v>27.807327612512829</v>
      </c>
      <c r="AY60" s="2336">
        <v>27.918512098749051</v>
      </c>
      <c r="AZ60" s="2336">
        <v>28.014328304467444</v>
      </c>
      <c r="BA60" s="2336">
        <v>28.100202641835804</v>
      </c>
      <c r="BB60" s="2336">
        <v>28.191553149310259</v>
      </c>
      <c r="BC60" s="2336">
        <v>28.270203374998985</v>
      </c>
      <c r="BD60" s="2336">
        <v>28.345751932053179</v>
      </c>
      <c r="BE60" s="2336">
        <v>28.456731860555298</v>
      </c>
      <c r="BF60" s="2336">
        <v>28.556411944352927</v>
      </c>
      <c r="BG60" s="2336">
        <v>28.662496922031394</v>
      </c>
      <c r="BH60" s="2336">
        <v>28.796505631275217</v>
      </c>
      <c r="BI60" s="2336">
        <v>28.910893925911719</v>
      </c>
      <c r="BJ60" s="2336">
        <v>29.024144174287677</v>
      </c>
      <c r="BK60" s="2336">
        <v>29.137786215028314</v>
      </c>
      <c r="BL60" s="2336">
        <v>29.2761556947606</v>
      </c>
      <c r="BM60" s="2336">
        <v>29.394638804314813</v>
      </c>
      <c r="BN60" s="2336">
        <v>29.523363637797988</v>
      </c>
      <c r="BO60" s="2336">
        <v>29.650608545695285</v>
      </c>
      <c r="BP60" s="2336">
        <v>29.777115121402577</v>
      </c>
      <c r="BQ60" s="2336">
        <v>29.902895116920888</v>
      </c>
      <c r="BR60" s="2336">
        <v>30.027959176379785</v>
      </c>
      <c r="BS60" s="2336">
        <v>30.152316723020043</v>
      </c>
      <c r="BT60" s="2336">
        <v>30.275975815662331</v>
      </c>
      <c r="BU60" s="2336">
        <v>30.398943009527461</v>
      </c>
      <c r="BV60" s="2336">
        <v>30.521223258756201</v>
      </c>
      <c r="BW60" s="2336">
        <v>30.642819911832646</v>
      </c>
      <c r="BX60" s="2336">
        <v>30.763734801492905</v>
      </c>
      <c r="BY60" s="2336">
        <v>30.883968388144229</v>
      </c>
      <c r="BZ60" s="2336">
        <v>31.003519930188354</v>
      </c>
      <c r="CA60" s="2336">
        <v>31.122387663396761</v>
      </c>
      <c r="CB60" s="2336">
        <v>31.240524277167626</v>
      </c>
      <c r="CC60" s="2336">
        <v>31.35792877027049</v>
      </c>
      <c r="CD60" s="2336">
        <v>31.474600247383705</v>
      </c>
      <c r="CE60" s="2336">
        <v>31.590537917529765</v>
      </c>
      <c r="CF60" s="2336">
        <v>31.70574109253392</v>
      </c>
      <c r="CG60" s="2336">
        <v>31.820209185509274</v>
      </c>
      <c r="CH60" s="2336">
        <v>31.933941709362188</v>
      </c>
      <c r="CI60" s="2336">
        <v>32.046938275322212</v>
      </c>
      <c r="CJ60" s="2336">
        <v>32.159198591490842</v>
      </c>
      <c r="CK60" s="2336">
        <v>32.27072246141195</v>
      </c>
      <c r="CL60" s="2336">
        <v>32.381509782660061</v>
      </c>
      <c r="CM60" s="2336">
        <v>32.49156054544757</v>
      </c>
      <c r="CN60" s="2336">
        <v>32.600874831249264</v>
      </c>
      <c r="CO60" s="2336">
        <v>32.709452811442006</v>
      </c>
      <c r="CP60" s="2336">
        <v>32.817294745961306</v>
      </c>
      <c r="CQ60" s="2336">
        <v>32.924400981972212</v>
      </c>
      <c r="CR60" s="2336">
        <v>33.030771952553856</v>
      </c>
      <c r="CS60" s="2336">
        <v>33.136408175397357</v>
      </c>
      <c r="CT60" s="2336">
        <v>33.241310251516332</v>
      </c>
      <c r="CU60" s="2336">
        <v>33.34547886396841</v>
      </c>
      <c r="CV60" s="2336">
        <v>33.448914776589262</v>
      </c>
      <c r="CW60" s="2336">
        <v>33.551618832735969</v>
      </c>
      <c r="CX60" s="2336">
        <v>33.65359195404023</v>
      </c>
      <c r="CY60" s="2336">
        <v>33.754835139172023</v>
      </c>
      <c r="CZ60" s="2336">
        <v>33.855349462610896</v>
      </c>
      <c r="DA60" s="2336">
        <v>33.955136073426083</v>
      </c>
      <c r="DB60" s="2336">
        <v>34.054196194064495</v>
      </c>
      <c r="DC60" s="2336">
        <v>34.152531119146303</v>
      </c>
      <c r="DD60" s="2336">
        <v>34.25014221426683</v>
      </c>
      <c r="DE60" s="2336">
        <v>34.347030914806226</v>
      </c>
      <c r="DF60" s="2336">
        <v>34.443198724744171</v>
      </c>
      <c r="DG60" s="2336">
        <v>34.538647215481973</v>
      </c>
      <c r="DH60" s="2336">
        <v>34.63337802466895</v>
      </c>
      <c r="DI60" s="2336">
        <v>34.727392855036058</v>
      </c>
      <c r="DJ60" s="2336">
        <v>34.82069347323268</v>
      </c>
      <c r="DK60" s="2336">
        <v>34.913281708670198</v>
      </c>
      <c r="DL60" s="2336">
        <v>35.00515945237008</v>
      </c>
      <c r="DM60" s="2336">
        <v>35.096328655815569</v>
      </c>
      <c r="DN60" s="2336">
        <v>35.18679132981007</v>
      </c>
      <c r="DO60" s="2336">
        <v>35.276549543338099</v>
      </c>
      <c r="DP60" s="2336">
        <v>35.365605422431507</v>
      </c>
      <c r="DQ60" s="2336">
        <v>35.45396114904073</v>
      </c>
      <c r="DR60" s="2336">
        <v>35.541618959908881</v>
      </c>
      <c r="DS60" s="2336">
        <v>35.628581145451619</v>
      </c>
      <c r="DT60" s="2336">
        <v>35.714850048640749</v>
      </c>
      <c r="DU60" s="2336">
        <v>35.800428063891871</v>
      </c>
    </row>
    <row r="61" spans="1:125">
      <c r="A61" s="909">
        <v>59</v>
      </c>
      <c r="B61" s="90"/>
      <c r="C61" s="90"/>
      <c r="D61" s="90"/>
      <c r="E61" s="90"/>
      <c r="F61" s="90"/>
      <c r="G61" s="90"/>
      <c r="H61" s="90"/>
      <c r="I61" s="90"/>
      <c r="J61" s="90"/>
      <c r="K61" s="90"/>
      <c r="L61" s="90"/>
      <c r="M61" s="90"/>
      <c r="N61" s="90"/>
      <c r="O61" s="90"/>
      <c r="P61" s="90"/>
      <c r="Q61" s="90"/>
      <c r="R61" s="90"/>
      <c r="S61" s="90"/>
      <c r="T61" s="90"/>
      <c r="U61" s="90"/>
      <c r="V61" s="739"/>
      <c r="W61" s="739">
        <v>23.74</v>
      </c>
      <c r="X61" s="739">
        <v>23.91</v>
      </c>
      <c r="Y61" s="2336">
        <v>24.085347142560064</v>
      </c>
      <c r="Z61" s="2336">
        <v>24.272153741017984</v>
      </c>
      <c r="AA61" s="2336">
        <v>24.401723880294373</v>
      </c>
      <c r="AB61" s="2336">
        <v>24.553978192783571</v>
      </c>
      <c r="AC61" s="2336">
        <v>24.727186466628762</v>
      </c>
      <c r="AD61" s="2336">
        <v>24.818475569957201</v>
      </c>
      <c r="AE61" s="2336">
        <v>24.99796005492373</v>
      </c>
      <c r="AF61" s="2336">
        <v>25.141645733749684</v>
      </c>
      <c r="AG61" s="2336">
        <v>25.272446612246487</v>
      </c>
      <c r="AH61" s="2336">
        <v>25.418284000265448</v>
      </c>
      <c r="AI61" s="2336">
        <v>25.552912525290804</v>
      </c>
      <c r="AJ61" s="2336">
        <v>25.756776867268734</v>
      </c>
      <c r="AK61" s="2336">
        <v>25.934772429779969</v>
      </c>
      <c r="AL61" s="2336">
        <v>26.152513726522784</v>
      </c>
      <c r="AM61" s="2336">
        <v>26.350781364479133</v>
      </c>
      <c r="AN61" s="2336">
        <v>26.50080497537947</v>
      </c>
      <c r="AO61" s="2336">
        <v>26.61343463067546</v>
      </c>
      <c r="AP61" s="2336">
        <v>26.682475738834832</v>
      </c>
      <c r="AQ61" s="2336">
        <v>26.724566830577945</v>
      </c>
      <c r="AR61" s="2336">
        <v>26.745841253777758</v>
      </c>
      <c r="AS61" s="2336">
        <v>26.756859216547866</v>
      </c>
      <c r="AT61" s="2336">
        <v>26.722981122862983</v>
      </c>
      <c r="AU61" s="2336">
        <v>26.721038058481103</v>
      </c>
      <c r="AV61" s="2336">
        <v>26.751052092259588</v>
      </c>
      <c r="AW61" s="2336">
        <v>26.909544486241735</v>
      </c>
      <c r="AX61" s="2336">
        <v>26.935234025041193</v>
      </c>
      <c r="AY61" s="2336">
        <v>27.042791303521735</v>
      </c>
      <c r="AZ61" s="2336">
        <v>27.137442056445021</v>
      </c>
      <c r="BA61" s="2336">
        <v>27.223700833607701</v>
      </c>
      <c r="BB61" s="2336">
        <v>27.314462771055499</v>
      </c>
      <c r="BC61" s="2336">
        <v>27.392374692244342</v>
      </c>
      <c r="BD61" s="2336">
        <v>27.468110015678299</v>
      </c>
      <c r="BE61" s="2336">
        <v>27.577672065054522</v>
      </c>
      <c r="BF61" s="2336">
        <v>27.679923877612897</v>
      </c>
      <c r="BG61" s="2336">
        <v>27.790740131331269</v>
      </c>
      <c r="BH61" s="2336">
        <v>27.917830502718687</v>
      </c>
      <c r="BI61" s="2336">
        <v>28.035396420905631</v>
      </c>
      <c r="BJ61" s="2336">
        <v>28.142099196761453</v>
      </c>
      <c r="BK61" s="2336">
        <v>28.258406076441791</v>
      </c>
      <c r="BL61" s="2336">
        <v>28.392668729167834</v>
      </c>
      <c r="BM61" s="2336">
        <v>28.516623533442665</v>
      </c>
      <c r="BN61" s="2336">
        <v>28.642906510611454</v>
      </c>
      <c r="BO61" s="2336">
        <v>28.768457389375662</v>
      </c>
      <c r="BP61" s="2336">
        <v>28.893288961070478</v>
      </c>
      <c r="BQ61" s="2336">
        <v>29.017412948888825</v>
      </c>
      <c r="BR61" s="2336">
        <v>29.140839955869282</v>
      </c>
      <c r="BS61" s="2336">
        <v>29.263579352218624</v>
      </c>
      <c r="BT61" s="2336">
        <v>29.385639132020636</v>
      </c>
      <c r="BU61" s="2336">
        <v>29.507025774335514</v>
      </c>
      <c r="BV61" s="2336">
        <v>29.627744146165938</v>
      </c>
      <c r="BW61" s="2336">
        <v>29.747797498650829</v>
      </c>
      <c r="BX61" s="2336">
        <v>29.86718755803118</v>
      </c>
      <c r="BY61" s="2336">
        <v>29.985914670235292</v>
      </c>
      <c r="BZ61" s="2336">
        <v>30.103977972370032</v>
      </c>
      <c r="CA61" s="2336">
        <v>30.221330587497633</v>
      </c>
      <c r="CB61" s="2336">
        <v>30.337971262671179</v>
      </c>
      <c r="CC61" s="2336">
        <v>30.453898850681611</v>
      </c>
      <c r="CD61" s="2336">
        <v>30.569112308571874</v>
      </c>
      <c r="CE61" s="2336">
        <v>30.683610696175531</v>
      </c>
      <c r="CF61" s="2336">
        <v>30.797393174676159</v>
      </c>
      <c r="CG61" s="2336">
        <v>30.91045900519094</v>
      </c>
      <c r="CH61" s="2336">
        <v>31.022807547372015</v>
      </c>
      <c r="CI61" s="2336">
        <v>31.13443825803013</v>
      </c>
      <c r="CJ61" s="2336">
        <v>31.245350689774646</v>
      </c>
      <c r="CK61" s="2336">
        <v>31.355544489672962</v>
      </c>
      <c r="CL61" s="2336">
        <v>31.465019397925353</v>
      </c>
      <c r="CM61" s="2336">
        <v>31.573775246556586</v>
      </c>
      <c r="CN61" s="2336">
        <v>31.681811958122481</v>
      </c>
      <c r="CO61" s="2336">
        <v>31.789129544429397</v>
      </c>
      <c r="CP61" s="2336">
        <v>31.895728105268439</v>
      </c>
      <c r="CQ61" s="2336">
        <v>32.001607827161713</v>
      </c>
      <c r="CR61" s="2336">
        <v>32.106768982120172</v>
      </c>
      <c r="CS61" s="2336">
        <v>32.211211926412574</v>
      </c>
      <c r="CT61" s="2336">
        <v>32.314937099345066</v>
      </c>
      <c r="CU61" s="2336">
        <v>32.417945022049587</v>
      </c>
      <c r="CV61" s="2336">
        <v>32.520236296282874</v>
      </c>
      <c r="CW61" s="2336">
        <v>32.621811603232672</v>
      </c>
      <c r="CX61" s="2336">
        <v>32.722671702331922</v>
      </c>
      <c r="CY61" s="2336">
        <v>32.822817430081365</v>
      </c>
      <c r="CZ61" s="2336">
        <v>32.922249698877962</v>
      </c>
      <c r="DA61" s="2336">
        <v>33.020969495850217</v>
      </c>
      <c r="DB61" s="2336">
        <v>33.118977881699536</v>
      </c>
      <c r="DC61" s="2336">
        <v>33.216275989547405</v>
      </c>
      <c r="DD61" s="2336">
        <v>33.312865023787076</v>
      </c>
      <c r="DE61" s="2336">
        <v>33.408746258941278</v>
      </c>
      <c r="DF61" s="2336">
        <v>33.503921038523394</v>
      </c>
      <c r="DG61" s="2336">
        <v>33.59839077390415</v>
      </c>
      <c r="DH61" s="2336">
        <v>33.692156943181153</v>
      </c>
      <c r="DI61" s="2336">
        <v>33.785221090053923</v>
      </c>
      <c r="DJ61" s="2336">
        <v>33.877584822700676</v>
      </c>
      <c r="DK61" s="2336">
        <v>33.969249812660195</v>
      </c>
      <c r="DL61" s="2336">
        <v>34.060217793716831</v>
      </c>
      <c r="DM61" s="2336">
        <v>34.150490560787624</v>
      </c>
      <c r="DN61" s="2336">
        <v>34.240069968814645</v>
      </c>
      <c r="DO61" s="2336">
        <v>34.328957931658529</v>
      </c>
      <c r="DP61" s="2336">
        <v>34.417156420995966</v>
      </c>
      <c r="DQ61" s="2336">
        <v>34.504667465220741</v>
      </c>
      <c r="DR61" s="2336">
        <v>34.591493148346501</v>
      </c>
      <c r="DS61" s="2336">
        <v>34.677635608913846</v>
      </c>
      <c r="DT61" s="2336">
        <v>34.763097038900064</v>
      </c>
      <c r="DU61" s="2336">
        <v>34.847879682631564</v>
      </c>
    </row>
    <row r="62" spans="1:125">
      <c r="A62" s="909">
        <v>60</v>
      </c>
      <c r="B62" s="90"/>
      <c r="C62" s="90"/>
      <c r="D62" s="90"/>
      <c r="E62" s="90"/>
      <c r="F62" s="90"/>
      <c r="G62" s="90"/>
      <c r="H62" s="90"/>
      <c r="I62" s="90"/>
      <c r="J62" s="90"/>
      <c r="K62" s="90"/>
      <c r="L62" s="90"/>
      <c r="M62" s="90"/>
      <c r="N62" s="90"/>
      <c r="O62" s="90"/>
      <c r="P62" s="90"/>
      <c r="Q62" s="90"/>
      <c r="R62" s="90"/>
      <c r="S62" s="90"/>
      <c r="T62" s="90"/>
      <c r="U62" s="90"/>
      <c r="V62" s="739"/>
      <c r="W62" s="739">
        <v>22.93</v>
      </c>
      <c r="X62" s="739">
        <v>23.1</v>
      </c>
      <c r="Y62" s="2336">
        <v>23.267736154173161</v>
      </c>
      <c r="Z62" s="2336">
        <v>23.44850095075471</v>
      </c>
      <c r="AA62" s="2336">
        <v>23.579899025938168</v>
      </c>
      <c r="AB62" s="2336">
        <v>23.726561438257729</v>
      </c>
      <c r="AC62" s="2336">
        <v>23.89221685036814</v>
      </c>
      <c r="AD62" s="2336">
        <v>23.988878492090155</v>
      </c>
      <c r="AE62" s="2336">
        <v>24.164150462187056</v>
      </c>
      <c r="AF62" s="2336">
        <v>24.310581772325222</v>
      </c>
      <c r="AG62" s="2336">
        <v>24.436757000151484</v>
      </c>
      <c r="AH62" s="2336">
        <v>24.58185807140536</v>
      </c>
      <c r="AI62" s="2336">
        <v>24.7177734135207</v>
      </c>
      <c r="AJ62" s="2336">
        <v>24.911042503749734</v>
      </c>
      <c r="AK62" s="2336">
        <v>25.09415416381389</v>
      </c>
      <c r="AL62" s="2336">
        <v>25.302010902368664</v>
      </c>
      <c r="AM62" s="2336">
        <v>25.497312126283305</v>
      </c>
      <c r="AN62" s="2336">
        <v>25.639438086208383</v>
      </c>
      <c r="AO62" s="2336">
        <v>25.750738701907729</v>
      </c>
      <c r="AP62" s="2336">
        <v>25.816620799089328</v>
      </c>
      <c r="AQ62" s="2336">
        <v>25.857000105490656</v>
      </c>
      <c r="AR62" s="2336">
        <v>25.875914509156747</v>
      </c>
      <c r="AS62" s="2336">
        <v>25.890333550349535</v>
      </c>
      <c r="AT62" s="2336">
        <v>25.854756055970061</v>
      </c>
      <c r="AU62" s="2336">
        <v>25.858048432023686</v>
      </c>
      <c r="AV62" s="2336">
        <v>25.885278628296746</v>
      </c>
      <c r="AW62" s="2336">
        <v>26.035610012702879</v>
      </c>
      <c r="AX62" s="2336">
        <v>26.061727333607216</v>
      </c>
      <c r="AY62" s="2336">
        <v>26.172422701645718</v>
      </c>
      <c r="AZ62" s="2336">
        <v>26.260983506716496</v>
      </c>
      <c r="BA62" s="2336">
        <v>26.350311880057614</v>
      </c>
      <c r="BB62" s="2336">
        <v>26.445601229499491</v>
      </c>
      <c r="BC62" s="2336">
        <v>26.524444062822145</v>
      </c>
      <c r="BD62" s="2336">
        <v>26.597829870794921</v>
      </c>
      <c r="BE62" s="2336">
        <v>26.713385214735393</v>
      </c>
      <c r="BF62" s="2336">
        <v>26.806824973851118</v>
      </c>
      <c r="BG62" s="2336">
        <v>26.920258113401299</v>
      </c>
      <c r="BH62" s="2336">
        <v>27.047507309425665</v>
      </c>
      <c r="BI62" s="2336">
        <v>27.161831223371948</v>
      </c>
      <c r="BJ62" s="2336">
        <v>27.267199493430756</v>
      </c>
      <c r="BK62" s="2336">
        <v>27.390102898359697</v>
      </c>
      <c r="BL62" s="2336">
        <v>27.519631824633567</v>
      </c>
      <c r="BM62" s="2336">
        <v>27.644827075382931</v>
      </c>
      <c r="BN62" s="2336">
        <v>27.769296908628558</v>
      </c>
      <c r="BO62" s="2336">
        <v>27.89305474615476</v>
      </c>
      <c r="BP62" s="2336">
        <v>28.016113368399449</v>
      </c>
      <c r="BQ62" s="2336">
        <v>28.138484473515447</v>
      </c>
      <c r="BR62" s="2336">
        <v>28.260178626001675</v>
      </c>
      <c r="BS62" s="2336">
        <v>28.381205144406451</v>
      </c>
      <c r="BT62" s="2336">
        <v>28.501571958307419</v>
      </c>
      <c r="BU62" s="2336">
        <v>28.621285469724228</v>
      </c>
      <c r="BV62" s="2336">
        <v>28.740350456580288</v>
      </c>
      <c r="BW62" s="2336">
        <v>28.858770069745869</v>
      </c>
      <c r="BX62" s="2336">
        <v>28.976545925165883</v>
      </c>
      <c r="BY62" s="2336">
        <v>29.093678249724977</v>
      </c>
      <c r="BZ62" s="2336">
        <v>29.210121716788485</v>
      </c>
      <c r="CA62" s="2336">
        <v>29.325874819392347</v>
      </c>
      <c r="CB62" s="2336">
        <v>29.440936155743916</v>
      </c>
      <c r="CC62" s="2336">
        <v>29.555304427827878</v>
      </c>
      <c r="CD62" s="2336">
        <v>29.66897844003433</v>
      </c>
      <c r="CE62" s="2336">
        <v>29.781957097808789</v>
      </c>
      <c r="CF62" s="2336">
        <v>29.894239406320274</v>
      </c>
      <c r="CG62" s="2336">
        <v>30.005824469151062</v>
      </c>
      <c r="CH62" s="2336">
        <v>30.11671148700157</v>
      </c>
      <c r="CI62" s="2336">
        <v>30.226899756415033</v>
      </c>
      <c r="CJ62" s="2336">
        <v>30.336388668515923</v>
      </c>
      <c r="CK62" s="2336">
        <v>30.445177707765335</v>
      </c>
      <c r="CL62" s="2336">
        <v>30.553266450729232</v>
      </c>
      <c r="CM62" s="2336">
        <v>30.660654564861069</v>
      </c>
      <c r="CN62" s="2336">
        <v>30.767341807296834</v>
      </c>
      <c r="CO62" s="2336">
        <v>30.873328023660687</v>
      </c>
      <c r="CP62" s="2336">
        <v>30.978613146882871</v>
      </c>
      <c r="CQ62" s="2336">
        <v>31.083197196027363</v>
      </c>
      <c r="CR62" s="2336">
        <v>31.187080275128753</v>
      </c>
      <c r="CS62" s="2336">
        <v>31.290262572038017</v>
      </c>
      <c r="CT62" s="2336">
        <v>31.392744357276545</v>
      </c>
      <c r="CU62" s="2336">
        <v>31.494525982896928</v>
      </c>
      <c r="CV62" s="2336">
        <v>31.595607881351988</v>
      </c>
      <c r="CW62" s="2336">
        <v>31.695990564369012</v>
      </c>
      <c r="CX62" s="2336">
        <v>31.795674621829736</v>
      </c>
      <c r="CY62" s="2336">
        <v>31.894660720656763</v>
      </c>
      <c r="CZ62" s="2336">
        <v>31.992949603703657</v>
      </c>
      <c r="DA62" s="2336">
        <v>32.090542088650032</v>
      </c>
      <c r="DB62" s="2336">
        <v>32.187439066900609</v>
      </c>
      <c r="DC62" s="2336">
        <v>32.283641502488258</v>
      </c>
      <c r="DD62" s="2336">
        <v>32.379150430979578</v>
      </c>
      <c r="DE62" s="2336">
        <v>32.473966958384665</v>
      </c>
      <c r="DF62" s="2336">
        <v>32.568092260068546</v>
      </c>
      <c r="DG62" s="2336">
        <v>32.661527579666313</v>
      </c>
      <c r="DH62" s="2336">
        <v>32.75427422799936</v>
      </c>
      <c r="DI62" s="2336">
        <v>32.84633358199541</v>
      </c>
      <c r="DJ62" s="2336">
        <v>32.937707083608601</v>
      </c>
      <c r="DK62" s="2336">
        <v>33.028396238743085</v>
      </c>
      <c r="DL62" s="2336">
        <v>33.118402616178031</v>
      </c>
      <c r="DM62" s="2336">
        <v>33.207727846493263</v>
      </c>
      <c r="DN62" s="2336">
        <v>33.296373620998587</v>
      </c>
      <c r="DO62" s="2336">
        <v>33.384341690662808</v>
      </c>
      <c r="DP62" s="2336">
        <v>33.471633865045149</v>
      </c>
      <c r="DQ62" s="2336">
        <v>33.55825201122893</v>
      </c>
      <c r="DR62" s="2336">
        <v>33.644198052755478</v>
      </c>
      <c r="DS62" s="2336">
        <v>33.729473968561024</v>
      </c>
      <c r="DT62" s="2336">
        <v>33.814081791914901</v>
      </c>
      <c r="DU62" s="2336">
        <v>33.898023609359207</v>
      </c>
    </row>
    <row r="63" spans="1:125">
      <c r="A63" s="909">
        <v>61</v>
      </c>
      <c r="B63" s="90"/>
      <c r="C63" s="90"/>
      <c r="D63" s="90"/>
      <c r="E63" s="90"/>
      <c r="F63" s="90"/>
      <c r="G63" s="90"/>
      <c r="H63" s="90"/>
      <c r="I63" s="90"/>
      <c r="J63" s="90"/>
      <c r="K63" s="90"/>
      <c r="L63" s="90"/>
      <c r="M63" s="90"/>
      <c r="N63" s="90"/>
      <c r="O63" s="90"/>
      <c r="P63" s="90"/>
      <c r="Q63" s="90"/>
      <c r="R63" s="90"/>
      <c r="S63" s="90"/>
      <c r="T63" s="90"/>
      <c r="U63" s="90"/>
      <c r="V63" s="739"/>
      <c r="W63" s="739">
        <v>22.12</v>
      </c>
      <c r="X63" s="739">
        <v>22.29</v>
      </c>
      <c r="Y63" s="2336">
        <v>22.456419228007061</v>
      </c>
      <c r="Z63" s="2336">
        <v>22.638844005020783</v>
      </c>
      <c r="AA63" s="2336">
        <v>22.766405898621663</v>
      </c>
      <c r="AB63" s="2336">
        <v>22.907975529725519</v>
      </c>
      <c r="AC63" s="2336">
        <v>23.069715593795546</v>
      </c>
      <c r="AD63" s="2336">
        <v>23.167162294837937</v>
      </c>
      <c r="AE63" s="2336">
        <v>23.33894648262855</v>
      </c>
      <c r="AF63" s="2336">
        <v>23.489213814542225</v>
      </c>
      <c r="AG63" s="2336">
        <v>23.60913350344812</v>
      </c>
      <c r="AH63" s="2336">
        <v>23.753264944362549</v>
      </c>
      <c r="AI63" s="2336">
        <v>23.883277624151212</v>
      </c>
      <c r="AJ63" s="2336">
        <v>24.075473359920036</v>
      </c>
      <c r="AK63" s="2336">
        <v>24.255640547430183</v>
      </c>
      <c r="AL63" s="2336">
        <v>24.4556792676659</v>
      </c>
      <c r="AM63" s="2336">
        <v>24.648779543754657</v>
      </c>
      <c r="AN63" s="2336">
        <v>24.785569093048487</v>
      </c>
      <c r="AO63" s="2336">
        <v>24.895321283566986</v>
      </c>
      <c r="AP63" s="2336">
        <v>24.956111526985783</v>
      </c>
      <c r="AQ63" s="2336">
        <v>24.992857732559123</v>
      </c>
      <c r="AR63" s="2336">
        <v>25.015768865492721</v>
      </c>
      <c r="AS63" s="2336">
        <v>25.024892506899139</v>
      </c>
      <c r="AT63" s="2336">
        <v>25.000981746250183</v>
      </c>
      <c r="AU63" s="2336">
        <v>24.995306634785791</v>
      </c>
      <c r="AV63" s="2336">
        <v>25.027189795351411</v>
      </c>
      <c r="AW63" s="2336">
        <v>25.17097974156399</v>
      </c>
      <c r="AX63" s="2336">
        <v>25.204108596269009</v>
      </c>
      <c r="AY63" s="2336">
        <v>25.306835623662945</v>
      </c>
      <c r="AZ63" s="2336">
        <v>25.401141144332289</v>
      </c>
      <c r="BA63" s="2336">
        <v>25.492269262418866</v>
      </c>
      <c r="BB63" s="2336">
        <v>25.58125873861556</v>
      </c>
      <c r="BC63" s="2336">
        <v>25.65916550589856</v>
      </c>
      <c r="BD63" s="2336">
        <v>25.743053583657758</v>
      </c>
      <c r="BE63" s="2336">
        <v>25.855343710199772</v>
      </c>
      <c r="BF63" s="2336">
        <v>25.947534628275292</v>
      </c>
      <c r="BG63" s="2336">
        <v>26.05882874842478</v>
      </c>
      <c r="BH63" s="2336">
        <v>26.182717916786281</v>
      </c>
      <c r="BI63" s="2336">
        <v>26.296958005011618</v>
      </c>
      <c r="BJ63" s="2336">
        <v>26.40651972319505</v>
      </c>
      <c r="BK63" s="2336">
        <v>26.533061840228275</v>
      </c>
      <c r="BL63" s="2336">
        <v>26.657031556636611</v>
      </c>
      <c r="BM63" s="2336">
        <v>26.780284490815081</v>
      </c>
      <c r="BN63" s="2336">
        <v>26.902833307389525</v>
      </c>
      <c r="BO63" s="2336">
        <v>27.024691435479927</v>
      </c>
      <c r="BP63" s="2336">
        <v>27.145871648574822</v>
      </c>
      <c r="BQ63" s="2336">
        <v>27.266385622344526</v>
      </c>
      <c r="BR63" s="2336">
        <v>27.386243883988747</v>
      </c>
      <c r="BS63" s="2336">
        <v>27.505455700367968</v>
      </c>
      <c r="BT63" s="2336">
        <v>27.624028935290742</v>
      </c>
      <c r="BU63" s="2336">
        <v>27.741969911279512</v>
      </c>
      <c r="BV63" s="2336">
        <v>27.859283313584207</v>
      </c>
      <c r="BW63" s="2336">
        <v>27.975972188163212</v>
      </c>
      <c r="BX63" s="2336">
        <v>28.092038035089562</v>
      </c>
      <c r="BY63" s="2336">
        <v>28.207438357643628</v>
      </c>
      <c r="BZ63" s="2336">
        <v>28.3221713921494</v>
      </c>
      <c r="CA63" s="2336">
        <v>28.436235479115499</v>
      </c>
      <c r="CB63" s="2336">
        <v>28.549629061946632</v>
      </c>
      <c r="CC63" s="2336">
        <v>28.66235068567487</v>
      </c>
      <c r="CD63" s="2336">
        <v>28.774398995710293</v>
      </c>
      <c r="CE63" s="2336">
        <v>28.885772736610637</v>
      </c>
      <c r="CF63" s="2336">
        <v>28.99647075086629</v>
      </c>
      <c r="CG63" s="2336">
        <v>29.106491977704088</v>
      </c>
      <c r="CH63" s="2336">
        <v>29.215835451903526</v>
      </c>
      <c r="CI63" s="2336">
        <v>29.324500302629897</v>
      </c>
      <c r="CJ63" s="2336">
        <v>29.432485752278573</v>
      </c>
      <c r="CK63" s="2336">
        <v>29.539791115333429</v>
      </c>
      <c r="CL63" s="2336">
        <v>29.646415797235505</v>
      </c>
      <c r="CM63" s="2336">
        <v>29.75235929326336</v>
      </c>
      <c r="CN63" s="2336">
        <v>29.857621187423259</v>
      </c>
      <c r="CO63" s="2336">
        <v>29.962201151347319</v>
      </c>
      <c r="CP63" s="2336">
        <v>30.066098943201389</v>
      </c>
      <c r="CQ63" s="2336">
        <v>30.169314406600169</v>
      </c>
      <c r="CR63" s="2336">
        <v>30.271847469529046</v>
      </c>
      <c r="CS63" s="2336">
        <v>30.373698143272325</v>
      </c>
      <c r="CT63" s="2336">
        <v>30.474866521347419</v>
      </c>
      <c r="CU63" s="2336">
        <v>30.575352778443289</v>
      </c>
      <c r="CV63" s="2336">
        <v>30.675157169364862</v>
      </c>
      <c r="CW63" s="2336">
        <v>30.774280027980314</v>
      </c>
      <c r="CX63" s="2336">
        <v>30.872721766171878</v>
      </c>
      <c r="CY63" s="2336">
        <v>30.970482872790811</v>
      </c>
      <c r="CZ63" s="2336">
        <v>31.067563912613881</v>
      </c>
      <c r="DA63" s="2336">
        <v>31.163965525302704</v>
      </c>
      <c r="DB63" s="2336">
        <v>31.259688424364928</v>
      </c>
      <c r="DC63" s="2336">
        <v>31.354733396117336</v>
      </c>
      <c r="DD63" s="2336">
        <v>31.449101298649467</v>
      </c>
      <c r="DE63" s="2336">
        <v>31.542793060789435</v>
      </c>
      <c r="DF63" s="2336">
        <v>31.63580968106946</v>
      </c>
      <c r="DG63" s="2336">
        <v>31.72815222669319</v>
      </c>
      <c r="DH63" s="2336">
        <v>31.819821832502257</v>
      </c>
      <c r="DI63" s="2336">
        <v>31.91081969994482</v>
      </c>
      <c r="DJ63" s="2336">
        <v>32.001147096042288</v>
      </c>
      <c r="DK63" s="2336">
        <v>32.090805352357911</v>
      </c>
      <c r="DL63" s="2336">
        <v>32.179795863965005</v>
      </c>
      <c r="DM63" s="2336">
        <v>32.268120088414108</v>
      </c>
      <c r="DN63" s="2336">
        <v>32.355779544702251</v>
      </c>
      <c r="DO63" s="2336">
        <v>32.442775812240249</v>
      </c>
      <c r="DP63" s="2336">
        <v>32.529110529820905</v>
      </c>
      <c r="DQ63" s="2336">
        <v>32.61478539458782</v>
      </c>
      <c r="DR63" s="2336">
        <v>32.699802161003092</v>
      </c>
      <c r="DS63" s="2336">
        <v>32.784162639816422</v>
      </c>
      <c r="DT63" s="2336">
        <v>32.867868697034204</v>
      </c>
      <c r="DU63" s="2336">
        <v>32.950922252888518</v>
      </c>
    </row>
    <row r="64" spans="1:125">
      <c r="A64" s="909">
        <v>62</v>
      </c>
      <c r="B64" s="90"/>
      <c r="C64" s="90"/>
      <c r="D64" s="90"/>
      <c r="E64" s="90"/>
      <c r="F64" s="90"/>
      <c r="G64" s="90"/>
      <c r="H64" s="90"/>
      <c r="I64" s="90"/>
      <c r="J64" s="90"/>
      <c r="K64" s="90"/>
      <c r="L64" s="90"/>
      <c r="M64" s="90"/>
      <c r="N64" s="90"/>
      <c r="O64" s="90"/>
      <c r="P64" s="90"/>
      <c r="Q64" s="90"/>
      <c r="R64" s="90"/>
      <c r="S64" s="90"/>
      <c r="T64" s="90"/>
      <c r="U64" s="90"/>
      <c r="V64" s="739"/>
      <c r="W64" s="739">
        <v>21.32</v>
      </c>
      <c r="X64" s="739">
        <v>21.48</v>
      </c>
      <c r="Y64" s="2336">
        <v>21.651334343781958</v>
      </c>
      <c r="Z64" s="2336">
        <v>21.834762927522547</v>
      </c>
      <c r="AA64" s="2336">
        <v>21.959533814201251</v>
      </c>
      <c r="AB64" s="2336">
        <v>22.09754417755093</v>
      </c>
      <c r="AC64" s="2336">
        <v>22.253753474877161</v>
      </c>
      <c r="AD64" s="2336">
        <v>22.360205795808486</v>
      </c>
      <c r="AE64" s="2336">
        <v>22.528550662784259</v>
      </c>
      <c r="AF64" s="2336">
        <v>22.674107907497049</v>
      </c>
      <c r="AG64" s="2336">
        <v>22.787215337651894</v>
      </c>
      <c r="AH64" s="2336">
        <v>22.934511897176971</v>
      </c>
      <c r="AI64" s="2336">
        <v>23.061456407391621</v>
      </c>
      <c r="AJ64" s="2336">
        <v>23.250140932232533</v>
      </c>
      <c r="AK64" s="2336">
        <v>23.41981253966032</v>
      </c>
      <c r="AL64" s="2336">
        <v>23.61312138004422</v>
      </c>
      <c r="AM64" s="2336">
        <v>23.79996908816117</v>
      </c>
      <c r="AN64" s="2336">
        <v>23.937582422722258</v>
      </c>
      <c r="AO64" s="2336">
        <v>24.04257406892139</v>
      </c>
      <c r="AP64" s="2336">
        <v>24.100173889417245</v>
      </c>
      <c r="AQ64" s="2336">
        <v>24.134667352741424</v>
      </c>
      <c r="AR64" s="2336">
        <v>24.154458912984797</v>
      </c>
      <c r="AS64" s="2336">
        <v>24.166342102207533</v>
      </c>
      <c r="AT64" s="2336">
        <v>24.148795915214155</v>
      </c>
      <c r="AU64" s="2336">
        <v>24.145384651353471</v>
      </c>
      <c r="AV64" s="2336">
        <v>24.173378211151306</v>
      </c>
      <c r="AW64" s="2336">
        <v>24.314943838295957</v>
      </c>
      <c r="AX64" s="2336">
        <v>24.344973486632604</v>
      </c>
      <c r="AY64" s="2336">
        <v>24.452521064583546</v>
      </c>
      <c r="AZ64" s="2336">
        <v>24.543470685460512</v>
      </c>
      <c r="BA64" s="2336">
        <v>24.634316886536912</v>
      </c>
      <c r="BB64" s="2336">
        <v>24.717444203696058</v>
      </c>
      <c r="BC64" s="2336">
        <v>24.805253360691914</v>
      </c>
      <c r="BD64" s="2336">
        <v>24.889188153203275</v>
      </c>
      <c r="BE64" s="2336">
        <v>24.999014724613414</v>
      </c>
      <c r="BF64" s="2336">
        <v>25.096261189122103</v>
      </c>
      <c r="BG64" s="2336">
        <v>25.203209552218016</v>
      </c>
      <c r="BH64" s="2336">
        <v>25.323274739280681</v>
      </c>
      <c r="BI64" s="2336">
        <v>25.437262274102903</v>
      </c>
      <c r="BJ64" s="2336">
        <v>25.557485446699857</v>
      </c>
      <c r="BK64" s="2336">
        <v>25.680081543936517</v>
      </c>
      <c r="BL64" s="2336">
        <v>25.801971282871865</v>
      </c>
      <c r="BM64" s="2336">
        <v>25.923166843826515</v>
      </c>
      <c r="BN64" s="2336">
        <v>26.043680911470311</v>
      </c>
      <c r="BO64" s="2336">
        <v>26.163526926400309</v>
      </c>
      <c r="BP64" s="2336">
        <v>26.282717657910769</v>
      </c>
      <c r="BQ64" s="2336">
        <v>26.401264760454978</v>
      </c>
      <c r="BR64" s="2336">
        <v>26.519178723791477</v>
      </c>
      <c r="BS64" s="2336">
        <v>26.636468761597552</v>
      </c>
      <c r="BT64" s="2336">
        <v>26.753142669105774</v>
      </c>
      <c r="BU64" s="2336">
        <v>26.869206685268303</v>
      </c>
      <c r="BV64" s="2336">
        <v>26.984665397385545</v>
      </c>
      <c r="BW64" s="2336">
        <v>27.099521740122928</v>
      </c>
      <c r="BX64" s="2336">
        <v>27.213737482071043</v>
      </c>
      <c r="BY64" s="2336">
        <v>27.327310599888666</v>
      </c>
      <c r="BZ64" s="2336">
        <v>27.440239172992825</v>
      </c>
      <c r="CA64" s="2336">
        <v>27.552521382388797</v>
      </c>
      <c r="CB64" s="2336">
        <v>27.664155509518729</v>
      </c>
      <c r="CC64" s="2336">
        <v>27.775139935127115</v>
      </c>
      <c r="CD64" s="2336">
        <v>27.885473138142487</v>
      </c>
      <c r="CE64" s="2336">
        <v>27.995153694575073</v>
      </c>
      <c r="CF64" s="2336">
        <v>28.10418027642682</v>
      </c>
      <c r="CG64" s="2336">
        <v>28.212551650617119</v>
      </c>
      <c r="CH64" s="2336">
        <v>28.320266677918035</v>
      </c>
      <c r="CI64" s="2336">
        <v>28.427324311903437</v>
      </c>
      <c r="CJ64" s="2336">
        <v>28.533723597906349</v>
      </c>
      <c r="CK64" s="2336">
        <v>28.639463671987563</v>
      </c>
      <c r="CL64" s="2336">
        <v>28.744543759911597</v>
      </c>
      <c r="CM64" s="2336">
        <v>28.848963176131463</v>
      </c>
      <c r="CN64" s="2336">
        <v>28.95272132278054</v>
      </c>
      <c r="CO64" s="2336">
        <v>29.055817688669535</v>
      </c>
      <c r="CP64" s="2336">
        <v>29.158251848290515</v>
      </c>
      <c r="CQ64" s="2336">
        <v>29.260023460825447</v>
      </c>
      <c r="CR64" s="2336">
        <v>29.361132269158794</v>
      </c>
      <c r="CS64" s="2336">
        <v>29.461578098893888</v>
      </c>
      <c r="CT64" s="2336">
        <v>29.561360857372673</v>
      </c>
      <c r="CU64" s="2336">
        <v>29.660480532697175</v>
      </c>
      <c r="CV64" s="2336">
        <v>29.75893719275442</v>
      </c>
      <c r="CW64" s="2336">
        <v>29.8567309842418</v>
      </c>
      <c r="CX64" s="2336">
        <v>29.953862131693487</v>
      </c>
      <c r="CY64" s="2336">
        <v>30.050330936508711</v>
      </c>
      <c r="CZ64" s="2336">
        <v>30.14613777597916</v>
      </c>
      <c r="DA64" s="2336">
        <v>30.241283102316938</v>
      </c>
      <c r="DB64" s="2336">
        <v>30.335767441682211</v>
      </c>
      <c r="DC64" s="2336">
        <v>30.429591393210462</v>
      </c>
      <c r="DD64" s="2336">
        <v>30.522755628038155</v>
      </c>
      <c r="DE64" s="2336">
        <v>30.615260888328489</v>
      </c>
      <c r="DF64" s="2336">
        <v>30.707107986294737</v>
      </c>
      <c r="DG64" s="2336">
        <v>30.798297803223416</v>
      </c>
      <c r="DH64" s="2336">
        <v>30.888831288494639</v>
      </c>
      <c r="DI64" s="2336">
        <v>30.978709458602527</v>
      </c>
      <c r="DJ64" s="2336">
        <v>31.067933396171874</v>
      </c>
      <c r="DK64" s="2336">
        <v>31.156504248974844</v>
      </c>
      <c r="DL64" s="2336">
        <v>31.244423228945475</v>
      </c>
      <c r="DM64" s="2336">
        <v>31.331691611191278</v>
      </c>
      <c r="DN64" s="2336">
        <v>31.418310733005274</v>
      </c>
      <c r="DO64" s="2336">
        <v>31.504281992874272</v>
      </c>
      <c r="DP64" s="2336">
        <v>31.589606849486465</v>
      </c>
      <c r="DQ64" s="2336">
        <v>31.674286820737969</v>
      </c>
      <c r="DR64" s="2336">
        <v>31.758323482736639</v>
      </c>
      <c r="DS64" s="2336">
        <v>31.841718468805755</v>
      </c>
      <c r="DT64" s="2336">
        <v>31.924473468486223</v>
      </c>
      <c r="DU64" s="2336">
        <v>32.006590226537163</v>
      </c>
    </row>
    <row r="65" spans="1:125">
      <c r="A65" s="909">
        <v>63</v>
      </c>
      <c r="B65" s="90"/>
      <c r="C65" s="90"/>
      <c r="D65" s="90"/>
      <c r="E65" s="90"/>
      <c r="F65" s="90"/>
      <c r="G65" s="90"/>
      <c r="H65" s="90"/>
      <c r="I65" s="90"/>
      <c r="J65" s="90"/>
      <c r="K65" s="90"/>
      <c r="L65" s="90"/>
      <c r="M65" s="90"/>
      <c r="N65" s="90"/>
      <c r="O65" s="90"/>
      <c r="P65" s="90"/>
      <c r="Q65" s="90"/>
      <c r="R65" s="90"/>
      <c r="S65" s="90"/>
      <c r="T65" s="90"/>
      <c r="U65" s="90"/>
      <c r="V65" s="739"/>
      <c r="W65" s="739">
        <v>20.54</v>
      </c>
      <c r="X65" s="739">
        <v>20.69</v>
      </c>
      <c r="Y65" s="2336">
        <v>20.854658559028916</v>
      </c>
      <c r="Z65" s="2336">
        <v>21.036262062563225</v>
      </c>
      <c r="AA65" s="2336">
        <v>21.162570202481763</v>
      </c>
      <c r="AB65" s="2336">
        <v>21.294560220077447</v>
      </c>
      <c r="AC65" s="2336">
        <v>21.453290365642314</v>
      </c>
      <c r="AD65" s="2336">
        <v>21.558740887545206</v>
      </c>
      <c r="AE65" s="2336">
        <v>21.722554415115741</v>
      </c>
      <c r="AF65" s="2336">
        <v>21.867956250850163</v>
      </c>
      <c r="AG65" s="2336">
        <v>21.972461362289209</v>
      </c>
      <c r="AH65" s="2336">
        <v>22.118725894394053</v>
      </c>
      <c r="AI65" s="2336">
        <v>22.244841318434325</v>
      </c>
      <c r="AJ65" s="2336">
        <v>22.423258441172841</v>
      </c>
      <c r="AK65" s="2336">
        <v>22.585964613206663</v>
      </c>
      <c r="AL65" s="2336">
        <v>22.775225509445654</v>
      </c>
      <c r="AM65" s="2336">
        <v>22.956837241860882</v>
      </c>
      <c r="AN65" s="2336">
        <v>23.091999745894583</v>
      </c>
      <c r="AO65" s="2336">
        <v>23.190694076591797</v>
      </c>
      <c r="AP65" s="2336">
        <v>23.2543331991548</v>
      </c>
      <c r="AQ65" s="2336">
        <v>23.281121754606577</v>
      </c>
      <c r="AR65" s="2336">
        <v>23.303053533115438</v>
      </c>
      <c r="AS65" s="2336">
        <v>23.315036383273021</v>
      </c>
      <c r="AT65" s="2336">
        <v>23.294101653448848</v>
      </c>
      <c r="AU65" s="2336">
        <v>23.296024738191242</v>
      </c>
      <c r="AV65" s="2336">
        <v>23.330348528037458</v>
      </c>
      <c r="AW65" s="2336">
        <v>23.463469560957655</v>
      </c>
      <c r="AX65" s="2336">
        <v>23.497201502938047</v>
      </c>
      <c r="AY65" s="2336">
        <v>23.597688001599991</v>
      </c>
      <c r="AZ65" s="2336">
        <v>23.698432575667752</v>
      </c>
      <c r="BA65" s="2336">
        <v>23.776592639154938</v>
      </c>
      <c r="BB65" s="2336">
        <v>23.865448122973373</v>
      </c>
      <c r="BC65" s="2336">
        <v>23.957379178660357</v>
      </c>
      <c r="BD65" s="2336">
        <v>24.034782527345293</v>
      </c>
      <c r="BE65" s="2336">
        <v>24.153362244520292</v>
      </c>
      <c r="BF65" s="2336">
        <v>24.247477939272574</v>
      </c>
      <c r="BG65" s="2336">
        <v>24.355088986636151</v>
      </c>
      <c r="BH65" s="2336">
        <v>24.474743421961882</v>
      </c>
      <c r="BI65" s="2336">
        <v>24.59332437804165</v>
      </c>
      <c r="BJ65" s="2336">
        <v>24.714391278562353</v>
      </c>
      <c r="BK65" s="2336">
        <v>24.834763638057243</v>
      </c>
      <c r="BL65" s="2336">
        <v>24.954453624949544</v>
      </c>
      <c r="BM65" s="2336">
        <v>25.07347345454528</v>
      </c>
      <c r="BN65" s="2336">
        <v>25.191835835334903</v>
      </c>
      <c r="BO65" s="2336">
        <v>25.309554222356454</v>
      </c>
      <c r="BP65" s="2336">
        <v>25.426641382210629</v>
      </c>
      <c r="BQ65" s="2336">
        <v>25.543108948062759</v>
      </c>
      <c r="BR65" s="2336">
        <v>25.658967370678802</v>
      </c>
      <c r="BS65" s="2336">
        <v>25.774225807581516</v>
      </c>
      <c r="BT65" s="2336">
        <v>25.888891981083457</v>
      </c>
      <c r="BU65" s="2336">
        <v>26.002972040900879</v>
      </c>
      <c r="BV65" s="2336">
        <v>26.116470469467153</v>
      </c>
      <c r="BW65" s="2336">
        <v>26.229354868213179</v>
      </c>
      <c r="BX65" s="2336">
        <v>26.341622951120836</v>
      </c>
      <c r="BY65" s="2336">
        <v>26.453272533049972</v>
      </c>
      <c r="BZ65" s="2336">
        <v>26.564301528701844</v>
      </c>
      <c r="CA65" s="2336">
        <v>26.6747079515983</v>
      </c>
      <c r="CB65" s="2336">
        <v>26.784489913076271</v>
      </c>
      <c r="CC65" s="2336">
        <v>26.893645621295789</v>
      </c>
      <c r="CD65" s="2336">
        <v>27.002173380260945</v>
      </c>
      <c r="CE65" s="2336">
        <v>27.11007158885354</v>
      </c>
      <c r="CF65" s="2336">
        <v>27.217338739875782</v>
      </c>
      <c r="CG65" s="2336">
        <v>27.323973419105617</v>
      </c>
      <c r="CH65" s="2336">
        <v>27.429974304358179</v>
      </c>
      <c r="CI65" s="2336">
        <v>27.535340164558086</v>
      </c>
      <c r="CJ65" s="2336">
        <v>27.640069858816801</v>
      </c>
      <c r="CK65" s="2336">
        <v>27.744162335518137</v>
      </c>
      <c r="CL65" s="2336">
        <v>27.847616631408048</v>
      </c>
      <c r="CM65" s="2336">
        <v>27.950431870690178</v>
      </c>
      <c r="CN65" s="2336">
        <v>28.052607264125555</v>
      </c>
      <c r="CO65" s="2336">
        <v>28.154142108134401</v>
      </c>
      <c r="CP65" s="2336">
        <v>28.255035783902098</v>
      </c>
      <c r="CQ65" s="2336">
        <v>28.355287756486796</v>
      </c>
      <c r="CR65" s="2336">
        <v>28.45489757392826</v>
      </c>
      <c r="CS65" s="2336">
        <v>28.553864866357667</v>
      </c>
      <c r="CT65" s="2336">
        <v>28.652189345108077</v>
      </c>
      <c r="CU65" s="2336">
        <v>28.749870801823917</v>
      </c>
      <c r="CV65" s="2336">
        <v>28.846909107571236</v>
      </c>
      <c r="CW65" s="2336">
        <v>28.943304211945833</v>
      </c>
      <c r="CX65" s="2336">
        <v>29.03905614217987</v>
      </c>
      <c r="CY65" s="2336">
        <v>29.134165002247791</v>
      </c>
      <c r="CZ65" s="2336">
        <v>29.228630971968943</v>
      </c>
      <c r="DA65" s="2336">
        <v>29.322454306108288</v>
      </c>
      <c r="DB65" s="2336">
        <v>29.415635333474444</v>
      </c>
      <c r="DC65" s="2336">
        <v>29.508174456015006</v>
      </c>
      <c r="DD65" s="2336">
        <v>29.600072147907976</v>
      </c>
      <c r="DE65" s="2336">
        <v>29.691328954651034</v>
      </c>
      <c r="DF65" s="2336">
        <v>29.781945492146214</v>
      </c>
      <c r="DG65" s="2336">
        <v>29.871922445782236</v>
      </c>
      <c r="DH65" s="2336">
        <v>29.961260569511936</v>
      </c>
      <c r="DI65" s="2336">
        <v>30.049960684927694</v>
      </c>
      <c r="DJ65" s="2336">
        <v>30.138023680331045</v>
      </c>
      <c r="DK65" s="2336">
        <v>30.225450509800435</v>
      </c>
      <c r="DL65" s="2336">
        <v>30.312242192254761</v>
      </c>
      <c r="DM65" s="2336">
        <v>30.398399810512174</v>
      </c>
      <c r="DN65" s="2336">
        <v>30.483924510347467</v>
      </c>
      <c r="DO65" s="2336">
        <v>30.568817499543872</v>
      </c>
      <c r="DP65" s="2336">
        <v>30.653080046942438</v>
      </c>
      <c r="DQ65" s="2336">
        <v>30.736713481488636</v>
      </c>
      <c r="DR65" s="2336">
        <v>30.819719191274494</v>
      </c>
      <c r="DS65" s="2336">
        <v>30.902098622579096</v>
      </c>
      <c r="DT65" s="2336">
        <v>30.983853278905837</v>
      </c>
      <c r="DU65" s="2336">
        <v>31.064984720016596</v>
      </c>
    </row>
    <row r="66" spans="1:125">
      <c r="A66" s="909">
        <v>64</v>
      </c>
      <c r="B66" s="90"/>
      <c r="C66" s="90"/>
      <c r="D66" s="90"/>
      <c r="E66" s="90"/>
      <c r="F66" s="90"/>
      <c r="G66" s="90"/>
      <c r="H66" s="90"/>
      <c r="I66" s="90"/>
      <c r="J66" s="90"/>
      <c r="K66" s="90"/>
      <c r="L66" s="90"/>
      <c r="M66" s="90"/>
      <c r="N66" s="90"/>
      <c r="O66" s="90"/>
      <c r="P66" s="90"/>
      <c r="Q66" s="90"/>
      <c r="R66" s="90"/>
      <c r="S66" s="90"/>
      <c r="T66" s="90"/>
      <c r="U66" s="90"/>
      <c r="V66" s="739"/>
      <c r="W66" s="739">
        <v>19.760000000000002</v>
      </c>
      <c r="X66" s="739">
        <v>19.91</v>
      </c>
      <c r="Y66" s="2336">
        <v>20.071678807410713</v>
      </c>
      <c r="Z66" s="2336">
        <v>20.24643283425138</v>
      </c>
      <c r="AA66" s="2336">
        <v>20.365548484574671</v>
      </c>
      <c r="AB66" s="2336">
        <v>20.504096374930352</v>
      </c>
      <c r="AC66" s="2336">
        <v>20.658013285822435</v>
      </c>
      <c r="AD66" s="2336">
        <v>20.766134521331576</v>
      </c>
      <c r="AE66" s="2336">
        <v>20.921870199334947</v>
      </c>
      <c r="AF66" s="2336">
        <v>21.068670612534856</v>
      </c>
      <c r="AG66" s="2336">
        <v>21.164427699805994</v>
      </c>
      <c r="AH66" s="2336">
        <v>21.312339767852762</v>
      </c>
      <c r="AI66" s="2336">
        <v>21.428196564724768</v>
      </c>
      <c r="AJ66" s="2336">
        <v>21.605110543071181</v>
      </c>
      <c r="AK66" s="2336">
        <v>21.757690546755732</v>
      </c>
      <c r="AL66" s="2336">
        <v>21.942689069790315</v>
      </c>
      <c r="AM66" s="2336">
        <v>22.114452372430051</v>
      </c>
      <c r="AN66" s="2336">
        <v>22.253024888038041</v>
      </c>
      <c r="AO66" s="2336">
        <v>22.348759474551269</v>
      </c>
      <c r="AP66" s="2336">
        <v>22.406832721566325</v>
      </c>
      <c r="AQ66" s="2336">
        <v>22.434292006092665</v>
      </c>
      <c r="AR66" s="2336">
        <v>22.451309733288625</v>
      </c>
      <c r="AS66" s="2336">
        <v>22.46513179355329</v>
      </c>
      <c r="AT66" s="2336">
        <v>22.449116168794639</v>
      </c>
      <c r="AU66" s="2336">
        <v>22.455348574550282</v>
      </c>
      <c r="AV66" s="2336">
        <v>22.487099085470994</v>
      </c>
      <c r="AW66" s="2336">
        <v>22.621412307127716</v>
      </c>
      <c r="AX66" s="2336">
        <v>22.657198433566329</v>
      </c>
      <c r="AY66" s="2336">
        <v>22.75555323232382</v>
      </c>
      <c r="AZ66" s="2336">
        <v>22.849179386915104</v>
      </c>
      <c r="BA66" s="2336">
        <v>22.9327599110349</v>
      </c>
      <c r="BB66" s="2336">
        <v>23.022892164397252</v>
      </c>
      <c r="BC66" s="2336">
        <v>23.113475075855618</v>
      </c>
      <c r="BD66" s="2336">
        <v>23.1979690613339</v>
      </c>
      <c r="BE66" s="2336">
        <v>23.3130248421534</v>
      </c>
      <c r="BF66" s="2336">
        <v>23.406461399206126</v>
      </c>
      <c r="BG66" s="2336">
        <v>23.518539759505661</v>
      </c>
      <c r="BH66" s="2336">
        <v>23.640802827686578</v>
      </c>
      <c r="BI66" s="2336">
        <v>23.760180843711677</v>
      </c>
      <c r="BJ66" s="2336">
        <v>23.878877356659</v>
      </c>
      <c r="BK66" s="2336">
        <v>23.996904729901136</v>
      </c>
      <c r="BL66" s="2336">
        <v>24.11427518608668</v>
      </c>
      <c r="BM66" s="2336">
        <v>24.231000979092787</v>
      </c>
      <c r="BN66" s="2336">
        <v>24.34709484381785</v>
      </c>
      <c r="BO66" s="2336">
        <v>24.462570251500622</v>
      </c>
      <c r="BP66" s="2336">
        <v>24.577439966291017</v>
      </c>
      <c r="BQ66" s="2336">
        <v>24.69171559867992</v>
      </c>
      <c r="BR66" s="2336">
        <v>24.805407557524376</v>
      </c>
      <c r="BS66" s="2336">
        <v>24.918524939813015</v>
      </c>
      <c r="BT66" s="2336">
        <v>25.031075389148032</v>
      </c>
      <c r="BU66" s="2336">
        <v>25.143064958864677</v>
      </c>
      <c r="BV66" s="2336">
        <v>25.254468733899166</v>
      </c>
      <c r="BW66" s="2336">
        <v>25.365284162748964</v>
      </c>
      <c r="BX66" s="2336">
        <v>25.475508792451695</v>
      </c>
      <c r="BY66" s="2336">
        <v>25.585140267695351</v>
      </c>
      <c r="BZ66" s="2336">
        <v>25.694176329942547</v>
      </c>
      <c r="CA66" s="2336">
        <v>25.802614816566916</v>
      </c>
      <c r="CB66" s="2336">
        <v>25.910453660001245</v>
      </c>
      <c r="CC66" s="2336">
        <v>26.017690886895654</v>
      </c>
      <c r="CD66" s="2336">
        <v>26.124324617285197</v>
      </c>
      <c r="CE66" s="2336">
        <v>26.230353063766643</v>
      </c>
      <c r="CF66" s="2336">
        <v>26.335774530680901</v>
      </c>
      <c r="CG66" s="2336">
        <v>26.440587413304577</v>
      </c>
      <c r="CH66" s="2336">
        <v>26.544790197044371</v>
      </c>
      <c r="CI66" s="2336">
        <v>26.648381456638862</v>
      </c>
      <c r="CJ66" s="2336">
        <v>26.751359855362075</v>
      </c>
      <c r="CK66" s="2336">
        <v>26.853724144231897</v>
      </c>
      <c r="CL66" s="2336">
        <v>26.955473161219587</v>
      </c>
      <c r="CM66" s="2336">
        <v>27.056605830461734</v>
      </c>
      <c r="CN66" s="2336">
        <v>27.157121161473317</v>
      </c>
      <c r="CO66" s="2336">
        <v>27.257018248359671</v>
      </c>
      <c r="CP66" s="2336">
        <v>27.35629626902961</v>
      </c>
      <c r="CQ66" s="2336">
        <v>27.454954484407089</v>
      </c>
      <c r="CR66" s="2336">
        <v>27.552992237641181</v>
      </c>
      <c r="CS66" s="2336">
        <v>27.650408953314052</v>
      </c>
      <c r="CT66" s="2336">
        <v>27.747204136646708</v>
      </c>
      <c r="CU66" s="2336">
        <v>27.843377372700946</v>
      </c>
      <c r="CV66" s="2336">
        <v>27.93892832557923</v>
      </c>
      <c r="CW66" s="2336">
        <v>28.033856737619761</v>
      </c>
      <c r="CX66" s="2336">
        <v>28.128162428587284</v>
      </c>
      <c r="CY66" s="2336">
        <v>28.221845294860582</v>
      </c>
      <c r="CZ66" s="2336">
        <v>28.314905308614097</v>
      </c>
      <c r="DA66" s="2336">
        <v>28.407342516994998</v>
      </c>
      <c r="DB66" s="2336">
        <v>28.499157041295216</v>
      </c>
      <c r="DC66" s="2336">
        <v>28.590349076118187</v>
      </c>
      <c r="DD66" s="2336">
        <v>28.680918888539395</v>
      </c>
      <c r="DE66" s="2336">
        <v>28.770866817262284</v>
      </c>
      <c r="DF66" s="2336">
        <v>28.860193271767418</v>
      </c>
      <c r="DG66" s="2336">
        <v>28.948898731456925</v>
      </c>
      <c r="DH66" s="2336">
        <v>29.036983744791847</v>
      </c>
      <c r="DI66" s="2336">
        <v>29.124448928425366</v>
      </c>
      <c r="DJ66" s="2336">
        <v>29.211294966328062</v>
      </c>
      <c r="DK66" s="2336">
        <v>29.29752260890924</v>
      </c>
      <c r="DL66" s="2336">
        <v>29.38313267213201</v>
      </c>
      <c r="DM66" s="2336">
        <v>29.468126036621697</v>
      </c>
      <c r="DN66" s="2336">
        <v>29.552503646770852</v>
      </c>
      <c r="DO66" s="2336">
        <v>29.636266509836773</v>
      </c>
      <c r="DP66" s="2336">
        <v>29.719415695034797</v>
      </c>
      <c r="DQ66" s="2336">
        <v>29.801952332626975</v>
      </c>
      <c r="DR66" s="2336">
        <v>29.883877613004582</v>
      </c>
      <c r="DS66" s="2336">
        <v>29.965192785767126</v>
      </c>
      <c r="DT66" s="2336">
        <v>30.04589915879664</v>
      </c>
      <c r="DU66" s="2336">
        <v>30.125998097327049</v>
      </c>
    </row>
    <row r="67" spans="1:125">
      <c r="A67" s="909">
        <v>65</v>
      </c>
      <c r="B67" s="90"/>
      <c r="C67" s="90"/>
      <c r="D67" s="90"/>
      <c r="E67" s="90"/>
      <c r="F67" s="90"/>
      <c r="G67" s="90"/>
      <c r="H67" s="90"/>
      <c r="I67" s="90"/>
      <c r="J67" s="90"/>
      <c r="K67" s="90"/>
      <c r="L67" s="90"/>
      <c r="M67" s="90"/>
      <c r="N67" s="90"/>
      <c r="O67" s="90"/>
      <c r="P67" s="90"/>
      <c r="Q67" s="90"/>
      <c r="R67" s="90"/>
      <c r="S67" s="90"/>
      <c r="T67" s="90"/>
      <c r="U67" s="90"/>
      <c r="V67" s="739"/>
      <c r="W67" s="739">
        <v>18.98</v>
      </c>
      <c r="X67" s="739">
        <v>19.13</v>
      </c>
      <c r="Y67" s="2336">
        <v>19.296193933966098</v>
      </c>
      <c r="Z67" s="2336">
        <v>19.457925422067348</v>
      </c>
      <c r="AA67" s="2336">
        <v>19.585959313416929</v>
      </c>
      <c r="AB67" s="2336">
        <v>19.724281972721741</v>
      </c>
      <c r="AC67" s="2336">
        <v>19.872627070175611</v>
      </c>
      <c r="AD67" s="2336">
        <v>19.977825259156951</v>
      </c>
      <c r="AE67" s="2336">
        <v>20.129597756165911</v>
      </c>
      <c r="AF67" s="2336">
        <v>20.272013706205229</v>
      </c>
      <c r="AG67" s="2336">
        <v>20.369111297157023</v>
      </c>
      <c r="AH67" s="2336">
        <v>20.506952858388058</v>
      </c>
      <c r="AI67" s="2336">
        <v>20.619804180562969</v>
      </c>
      <c r="AJ67" s="2336">
        <v>20.786123818470067</v>
      </c>
      <c r="AK67" s="2336">
        <v>20.93976656214096</v>
      </c>
      <c r="AL67" s="2336">
        <v>21.114124509179817</v>
      </c>
      <c r="AM67" s="2336">
        <v>21.280688503029953</v>
      </c>
      <c r="AN67" s="2336">
        <v>21.4178244146539</v>
      </c>
      <c r="AO67" s="2336">
        <v>21.506046228602539</v>
      </c>
      <c r="AP67" s="2336">
        <v>21.561263280424395</v>
      </c>
      <c r="AQ67" s="2336">
        <v>21.586429172852366</v>
      </c>
      <c r="AR67" s="2336">
        <v>21.604771935634332</v>
      </c>
      <c r="AS67" s="2336">
        <v>21.619082480074951</v>
      </c>
      <c r="AT67" s="2336">
        <v>21.61173795170922</v>
      </c>
      <c r="AU67" s="2336">
        <v>21.621388946542773</v>
      </c>
      <c r="AV67" s="2336">
        <v>21.654902791677358</v>
      </c>
      <c r="AW67" s="2336">
        <v>21.782660005814744</v>
      </c>
      <c r="AX67" s="2336">
        <v>21.829657242639232</v>
      </c>
      <c r="AY67" s="2336">
        <v>21.91637552093917</v>
      </c>
      <c r="AZ67" s="2336">
        <v>22.0145622399302</v>
      </c>
      <c r="BA67" s="2336">
        <v>22.097869129257116</v>
      </c>
      <c r="BB67" s="2336">
        <v>22.18851672203823</v>
      </c>
      <c r="BC67" s="2336">
        <v>22.284648671365254</v>
      </c>
      <c r="BD67" s="2336">
        <v>22.367367379839632</v>
      </c>
      <c r="BE67" s="2336">
        <v>22.477360091513262</v>
      </c>
      <c r="BF67" s="2336">
        <v>22.580267206132316</v>
      </c>
      <c r="BG67" s="2336">
        <v>22.699897055719042</v>
      </c>
      <c r="BH67" s="2336">
        <v>22.817426502824279</v>
      </c>
      <c r="BI67" s="2336">
        <v>22.934288731480027</v>
      </c>
      <c r="BJ67" s="2336">
        <v>23.050496252242716</v>
      </c>
      <c r="BK67" s="2336">
        <v>23.166061505564549</v>
      </c>
      <c r="BL67" s="2336">
        <v>23.280996772104938</v>
      </c>
      <c r="BM67" s="2336">
        <v>23.395314346778136</v>
      </c>
      <c r="BN67" s="2336">
        <v>23.50902699235591</v>
      </c>
      <c r="BO67" s="2336">
        <v>23.62214819692197</v>
      </c>
      <c r="BP67" s="2336">
        <v>23.734690721278614</v>
      </c>
      <c r="BQ67" s="2336">
        <v>23.84666615068949</v>
      </c>
      <c r="BR67" s="2336">
        <v>23.958084848000468</v>
      </c>
      <c r="BS67" s="2336">
        <v>24.068955844086243</v>
      </c>
      <c r="BT67" s="2336">
        <v>24.179286696838009</v>
      </c>
      <c r="BU67" s="2336">
        <v>24.289061618975676</v>
      </c>
      <c r="BV67" s="2336">
        <v>24.398277791271997</v>
      </c>
      <c r="BW67" s="2336">
        <v>24.506932490249529</v>
      </c>
      <c r="BX67" s="2336">
        <v>24.615023087452787</v>
      </c>
      <c r="BY67" s="2336">
        <v>24.722547048729833</v>
      </c>
      <c r="BZ67" s="2336">
        <v>24.829501933524163</v>
      </c>
      <c r="CA67" s="2336">
        <v>24.935885394175013</v>
      </c>
      <c r="CB67" s="2336">
        <v>25.041695175225605</v>
      </c>
      <c r="CC67" s="2336">
        <v>25.146929112737766</v>
      </c>
      <c r="CD67" s="2336">
        <v>25.251585133612256</v>
      </c>
      <c r="CE67" s="2336">
        <v>25.355661254914612</v>
      </c>
      <c r="CF67" s="2336">
        <v>25.459155583203042</v>
      </c>
      <c r="CG67" s="2336">
        <v>25.562066313861816</v>
      </c>
      <c r="CH67" s="2336">
        <v>25.664391730433962</v>
      </c>
      <c r="CI67" s="2336">
        <v>25.766130203957832</v>
      </c>
      <c r="CJ67" s="2336">
        <v>25.867280192301955</v>
      </c>
      <c r="CK67" s="2336">
        <v>25.967840239501346</v>
      </c>
      <c r="CL67" s="2336">
        <v>26.067808975091452</v>
      </c>
      <c r="CM67" s="2336">
        <v>26.16718511344126</v>
      </c>
      <c r="CN67" s="2336">
        <v>26.265967453084176</v>
      </c>
      <c r="CO67" s="2336">
        <v>26.364154876044537</v>
      </c>
      <c r="CP67" s="2336">
        <v>26.461746347162137</v>
      </c>
      <c r="CQ67" s="2336">
        <v>26.558740913412052</v>
      </c>
      <c r="CR67" s="2336">
        <v>26.655137703219747</v>
      </c>
      <c r="CS67" s="2336">
        <v>26.75093592577106</v>
      </c>
      <c r="CT67" s="2336">
        <v>26.846134870317005</v>
      </c>
      <c r="CU67" s="2336">
        <v>26.940733905471767</v>
      </c>
      <c r="CV67" s="2336">
        <v>27.034732478505791</v>
      </c>
      <c r="CW67" s="2336">
        <v>27.128130114631109</v>
      </c>
      <c r="CX67" s="2336">
        <v>27.220926416279706</v>
      </c>
      <c r="CY67" s="2336">
        <v>27.313121062375714</v>
      </c>
      <c r="CZ67" s="2336">
        <v>27.404713807599169</v>
      </c>
      <c r="DA67" s="2336">
        <v>27.495704481642409</v>
      </c>
      <c r="DB67" s="2336">
        <v>27.586092988458962</v>
      </c>
      <c r="DC67" s="2336">
        <v>27.675879305504548</v>
      </c>
      <c r="DD67" s="2336">
        <v>27.765063482969353</v>
      </c>
      <c r="DE67" s="2336">
        <v>27.85364564300335</v>
      </c>
      <c r="DF67" s="2336">
        <v>27.941625978932272</v>
      </c>
      <c r="DG67" s="2336">
        <v>28.029004754466705</v>
      </c>
      <c r="DH67" s="2336">
        <v>28.115782302901717</v>
      </c>
      <c r="DI67" s="2336">
        <v>28.201959026310107</v>
      </c>
      <c r="DJ67" s="2336">
        <v>28.287535394725502</v>
      </c>
      <c r="DK67" s="2336">
        <v>28.372511945319374</v>
      </c>
      <c r="DL67" s="2336">
        <v>28.456889281569698</v>
      </c>
      <c r="DM67" s="2336">
        <v>28.54066807242091</v>
      </c>
      <c r="DN67" s="2336">
        <v>28.623849051438395</v>
      </c>
      <c r="DO67" s="2336">
        <v>28.706433015953611</v>
      </c>
      <c r="DP67" s="2336">
        <v>28.788420826202977</v>
      </c>
      <c r="DQ67" s="2336">
        <v>28.869813404460334</v>
      </c>
      <c r="DR67" s="2336">
        <v>28.950611734161367</v>
      </c>
      <c r="DS67" s="2336">
        <v>29.030816859022774</v>
      </c>
      <c r="DT67" s="2336">
        <v>29.110429882154946</v>
      </c>
      <c r="DU67" s="2336">
        <v>29.189451965168047</v>
      </c>
    </row>
    <row r="68" spans="1:125">
      <c r="A68" s="909">
        <v>66</v>
      </c>
      <c r="B68" s="90"/>
      <c r="C68" s="90"/>
      <c r="D68" s="90"/>
      <c r="E68" s="90"/>
      <c r="F68" s="90"/>
      <c r="G68" s="90"/>
      <c r="H68" s="90"/>
      <c r="I68" s="90"/>
      <c r="J68" s="90"/>
      <c r="K68" s="90"/>
      <c r="L68" s="90"/>
      <c r="M68" s="90"/>
      <c r="N68" s="90"/>
      <c r="O68" s="90"/>
      <c r="P68" s="90"/>
      <c r="Q68" s="90"/>
      <c r="R68" s="90"/>
      <c r="S68" s="90"/>
      <c r="T68" s="90"/>
      <c r="U68" s="90"/>
      <c r="V68" s="739"/>
      <c r="W68" s="739">
        <v>18.23</v>
      </c>
      <c r="X68" s="739">
        <v>18.37</v>
      </c>
      <c r="Y68" s="2336">
        <v>18.524969506187009</v>
      </c>
      <c r="Z68" s="2336">
        <v>18.691842279041726</v>
      </c>
      <c r="AA68" s="2336">
        <v>18.818890520388301</v>
      </c>
      <c r="AB68" s="2336">
        <v>18.947824344586994</v>
      </c>
      <c r="AC68" s="2336">
        <v>19.091611814424809</v>
      </c>
      <c r="AD68" s="2336">
        <v>19.196908139697346</v>
      </c>
      <c r="AE68" s="2336">
        <v>19.34376200719683</v>
      </c>
      <c r="AF68" s="2336">
        <v>19.490121132431494</v>
      </c>
      <c r="AG68" s="2336">
        <v>19.578339177659529</v>
      </c>
      <c r="AH68" s="2336">
        <v>19.704061440019895</v>
      </c>
      <c r="AI68" s="2336">
        <v>19.818305389478564</v>
      </c>
      <c r="AJ68" s="2336">
        <v>19.975894523442342</v>
      </c>
      <c r="AK68" s="2336">
        <v>20.12012789970543</v>
      </c>
      <c r="AL68" s="2336">
        <v>20.293393242729902</v>
      </c>
      <c r="AM68" s="2336">
        <v>20.458605771032712</v>
      </c>
      <c r="AN68" s="2336">
        <v>20.586076372619956</v>
      </c>
      <c r="AO68" s="2336">
        <v>20.668147896479834</v>
      </c>
      <c r="AP68" s="2336">
        <v>20.717897022895574</v>
      </c>
      <c r="AQ68" s="2336">
        <v>20.748661231158941</v>
      </c>
      <c r="AR68" s="2336">
        <v>20.763297720618731</v>
      </c>
      <c r="AS68" s="2336">
        <v>20.789595224284351</v>
      </c>
      <c r="AT68" s="2336">
        <v>20.775936374202988</v>
      </c>
      <c r="AU68" s="2336">
        <v>20.788634411490833</v>
      </c>
      <c r="AV68" s="2336">
        <v>20.828123994634716</v>
      </c>
      <c r="AW68" s="2336">
        <v>20.954821099493589</v>
      </c>
      <c r="AX68" s="2336">
        <v>21.000780698845091</v>
      </c>
      <c r="AY68" s="2336">
        <v>21.091140001467487</v>
      </c>
      <c r="AZ68" s="2336">
        <v>21.187323478261305</v>
      </c>
      <c r="BA68" s="2336">
        <v>21.269249799846953</v>
      </c>
      <c r="BB68" s="2336">
        <v>21.362802865139216</v>
      </c>
      <c r="BC68" s="2336">
        <v>21.458048304870555</v>
      </c>
      <c r="BD68" s="2336">
        <v>21.546323327258083</v>
      </c>
      <c r="BE68" s="2336">
        <v>21.654712613100418</v>
      </c>
      <c r="BF68" s="2336">
        <v>21.770301029330245</v>
      </c>
      <c r="BG68" s="2336">
        <v>21.885827074498401</v>
      </c>
      <c r="BH68" s="2336">
        <v>22.000701489847859</v>
      </c>
      <c r="BI68" s="2336">
        <v>22.114936785806414</v>
      </c>
      <c r="BJ68" s="2336">
        <v>22.228545575245004</v>
      </c>
      <c r="BK68" s="2336">
        <v>22.341540380079508</v>
      </c>
      <c r="BL68" s="2336">
        <v>22.453933541863567</v>
      </c>
      <c r="BM68" s="2336">
        <v>22.565737398124902</v>
      </c>
      <c r="BN68" s="2336">
        <v>22.676964740107856</v>
      </c>
      <c r="BO68" s="2336">
        <v>22.787629072548221</v>
      </c>
      <c r="BP68" s="2336">
        <v>22.897743151175419</v>
      </c>
      <c r="BQ68" s="2336">
        <v>23.007318532652235</v>
      </c>
      <c r="BR68" s="2336">
        <v>23.116365528903287</v>
      </c>
      <c r="BS68" s="2336">
        <v>23.22489309831867</v>
      </c>
      <c r="BT68" s="2336">
        <v>23.332896132575605</v>
      </c>
      <c r="BU68" s="2336">
        <v>23.440371543522438</v>
      </c>
      <c r="BV68" s="2336">
        <v>23.547316335535918</v>
      </c>
      <c r="BW68" s="2336">
        <v>23.653727604964022</v>
      </c>
      <c r="BX68" s="2336">
        <v>23.759602539578594</v>
      </c>
      <c r="BY68" s="2336">
        <v>23.864938418033436</v>
      </c>
      <c r="BZ68" s="2336">
        <v>23.969732609328801</v>
      </c>
      <c r="CA68" s="2336">
        <v>24.073982572280329</v>
      </c>
      <c r="CB68" s="2336">
        <v>24.177685854992092</v>
      </c>
      <c r="CC68" s="2336">
        <v>24.280840094332142</v>
      </c>
      <c r="CD68" s="2336">
        <v>24.383443015409892</v>
      </c>
      <c r="CE68" s="2336">
        <v>24.485492431055302</v>
      </c>
      <c r="CF68" s="2336">
        <v>24.586986241296302</v>
      </c>
      <c r="CG68" s="2336">
        <v>24.68792243283799</v>
      </c>
      <c r="CH68" s="2336">
        <v>24.788299078537502</v>
      </c>
      <c r="CI68" s="2336">
        <v>24.88811433687907</v>
      </c>
      <c r="CJ68" s="2336">
        <v>24.987366451443801</v>
      </c>
      <c r="CK68" s="2336">
        <v>25.086053750377385</v>
      </c>
      <c r="CL68" s="2336">
        <v>25.18417464585189</v>
      </c>
      <c r="CM68" s="2336">
        <v>25.281727633523314</v>
      </c>
      <c r="CN68" s="2336">
        <v>25.378711291983485</v>
      </c>
      <c r="CO68" s="2336">
        <v>25.475124282204284</v>
      </c>
      <c r="CP68" s="2336">
        <v>25.570965346976497</v>
      </c>
      <c r="CQ68" s="2336">
        <v>25.666233310340825</v>
      </c>
      <c r="CR68" s="2336">
        <v>25.760927077010859</v>
      </c>
      <c r="CS68" s="2336">
        <v>25.855045631787949</v>
      </c>
      <c r="CT68" s="2336">
        <v>25.948588038967614</v>
      </c>
      <c r="CU68" s="2336">
        <v>26.041553441736255</v>
      </c>
      <c r="CV68" s="2336">
        <v>26.133941061559916</v>
      </c>
      <c r="CW68" s="2336">
        <v>26.225750197562338</v>
      </c>
      <c r="CX68" s="2336">
        <v>26.316980225893229</v>
      </c>
      <c r="CY68" s="2336">
        <v>26.407630599087469</v>
      </c>
      <c r="CZ68" s="2336">
        <v>26.497700845413181</v>
      </c>
      <c r="DA68" s="2336">
        <v>26.587190568209646</v>
      </c>
      <c r="DB68" s="2336">
        <v>26.676099445215115</v>
      </c>
      <c r="DC68" s="2336">
        <v>26.764427227884099</v>
      </c>
      <c r="DD68" s="2336">
        <v>26.852173740693356</v>
      </c>
      <c r="DE68" s="2336">
        <v>26.939338880438388</v>
      </c>
      <c r="DF68" s="2336">
        <v>27.025922615518262</v>
      </c>
      <c r="DG68" s="2336">
        <v>27.111924985210965</v>
      </c>
      <c r="DH68" s="2336">
        <v>27.197346098937121</v>
      </c>
      <c r="DI68" s="2336">
        <v>27.282186135514849</v>
      </c>
      <c r="DJ68" s="2336">
        <v>27.366445342402372</v>
      </c>
      <c r="DK68" s="2336">
        <v>27.450124034932252</v>
      </c>
      <c r="DL68" s="2336">
        <v>27.533222595535126</v>
      </c>
      <c r="DM68" s="2336">
        <v>27.615741472952628</v>
      </c>
      <c r="DN68" s="2336">
        <v>27.697681181442821</v>
      </c>
      <c r="DO68" s="2336">
        <v>27.779042299974208</v>
      </c>
      <c r="DP68" s="2336">
        <v>27.859825471411543</v>
      </c>
      <c r="DQ68" s="2336">
        <v>27.940031401693325</v>
      </c>
      <c r="DR68" s="2336">
        <v>28.01966085899933</v>
      </c>
      <c r="DS68" s="2336">
        <v>28.098714672911129</v>
      </c>
      <c r="DT68" s="2336">
        <v>28.177193733564216</v>
      </c>
      <c r="DU68" s="2336">
        <v>28.255098990791925</v>
      </c>
    </row>
    <row r="69" spans="1:125">
      <c r="A69" s="909">
        <v>67</v>
      </c>
      <c r="B69" s="90"/>
      <c r="C69" s="90"/>
      <c r="D69" s="90"/>
      <c r="E69" s="90"/>
      <c r="F69" s="90"/>
      <c r="G69" s="90"/>
      <c r="H69" s="90"/>
      <c r="I69" s="90"/>
      <c r="J69" s="90"/>
      <c r="K69" s="90"/>
      <c r="L69" s="90"/>
      <c r="M69" s="90"/>
      <c r="N69" s="90"/>
      <c r="O69" s="90"/>
      <c r="P69" s="90"/>
      <c r="Q69" s="90"/>
      <c r="R69" s="90"/>
      <c r="S69" s="90"/>
      <c r="T69" s="90"/>
      <c r="U69" s="90"/>
      <c r="V69" s="739"/>
      <c r="W69" s="739">
        <v>17.47</v>
      </c>
      <c r="X69" s="739">
        <v>17.61</v>
      </c>
      <c r="Y69" s="2336">
        <v>17.767989050943466</v>
      </c>
      <c r="Z69" s="2336">
        <v>17.93472064060045</v>
      </c>
      <c r="AA69" s="2336">
        <v>18.058160881659919</v>
      </c>
      <c r="AB69" s="2336">
        <v>18.179347325304541</v>
      </c>
      <c r="AC69" s="2336">
        <v>18.316567551713252</v>
      </c>
      <c r="AD69" s="2336">
        <v>18.423731421979486</v>
      </c>
      <c r="AE69" s="2336">
        <v>18.572061917584126</v>
      </c>
      <c r="AF69" s="2336">
        <v>18.702671159711002</v>
      </c>
      <c r="AG69" s="2336">
        <v>18.792328866649111</v>
      </c>
      <c r="AH69" s="2336">
        <v>18.916287674166991</v>
      </c>
      <c r="AI69" s="2336">
        <v>19.019064179936091</v>
      </c>
      <c r="AJ69" s="2336">
        <v>19.166320530020929</v>
      </c>
      <c r="AK69" s="2336">
        <v>19.317056129022269</v>
      </c>
      <c r="AL69" s="2336">
        <v>19.479647371374583</v>
      </c>
      <c r="AM69" s="2336">
        <v>19.6358380095221</v>
      </c>
      <c r="AN69" s="2336">
        <v>19.759137192875698</v>
      </c>
      <c r="AO69" s="2336">
        <v>19.83565412268123</v>
      </c>
      <c r="AP69" s="2336">
        <v>19.882543122113887</v>
      </c>
      <c r="AQ69" s="2336">
        <v>19.917365413602159</v>
      </c>
      <c r="AR69" s="2336">
        <v>19.934153835839357</v>
      </c>
      <c r="AS69" s="2336">
        <v>19.960329775959995</v>
      </c>
      <c r="AT69" s="2336">
        <v>19.953856773029084</v>
      </c>
      <c r="AU69" s="2336">
        <v>19.963233022534254</v>
      </c>
      <c r="AV69" s="2336">
        <v>20.016388329880204</v>
      </c>
      <c r="AW69" s="2336">
        <v>20.13543572824392</v>
      </c>
      <c r="AX69" s="2336">
        <v>20.183447135121096</v>
      </c>
      <c r="AY69" s="2336">
        <v>20.273457174842768</v>
      </c>
      <c r="AZ69" s="2336">
        <v>20.367203427317627</v>
      </c>
      <c r="BA69" s="2336">
        <v>20.452184052486878</v>
      </c>
      <c r="BB69" s="2336">
        <v>20.547210745688254</v>
      </c>
      <c r="BC69" s="2336">
        <v>20.637403552798272</v>
      </c>
      <c r="BD69" s="2336">
        <v>20.738565039661427</v>
      </c>
      <c r="BE69" s="2336">
        <v>20.851653646970998</v>
      </c>
      <c r="BF69" s="2336">
        <v>20.965028426066034</v>
      </c>
      <c r="BG69" s="2336">
        <v>21.077768268442348</v>
      </c>
      <c r="BH69" s="2336">
        <v>21.189885753489587</v>
      </c>
      <c r="BI69" s="2336">
        <v>21.301393521105172</v>
      </c>
      <c r="BJ69" s="2336">
        <v>21.412304291922617</v>
      </c>
      <c r="BK69" s="2336">
        <v>21.522630673236478</v>
      </c>
      <c r="BL69" s="2336">
        <v>21.632385069921224</v>
      </c>
      <c r="BM69" s="2336">
        <v>21.741579863257368</v>
      </c>
      <c r="BN69" s="2336">
        <v>21.85022787315468</v>
      </c>
      <c r="BO69" s="2336">
        <v>21.958342620437982</v>
      </c>
      <c r="BP69" s="2336">
        <v>22.065936853682274</v>
      </c>
      <c r="BQ69" s="2336">
        <v>22.173022097231602</v>
      </c>
      <c r="BR69" s="2336">
        <v>22.279608606851848</v>
      </c>
      <c r="BS69" s="2336">
        <v>22.385703378365083</v>
      </c>
      <c r="BT69" s="2336">
        <v>22.491303054874717</v>
      </c>
      <c r="BU69" s="2336">
        <v>22.59640436838135</v>
      </c>
      <c r="BV69" s="2336">
        <v>22.701004139410333</v>
      </c>
      <c r="BW69" s="2336">
        <v>22.80509927664211</v>
      </c>
      <c r="BX69" s="2336">
        <v>22.908686776548262</v>
      </c>
      <c r="BY69" s="2336">
        <v>23.011763723028977</v>
      </c>
      <c r="BZ69" s="2336">
        <v>23.114327287052848</v>
      </c>
      <c r="CA69" s="2336">
        <v>23.21637472629714</v>
      </c>
      <c r="CB69" s="2336">
        <v>23.317903384788206</v>
      </c>
      <c r="CC69" s="2336">
        <v>23.418910692540397</v>
      </c>
      <c r="CD69" s="2336">
        <v>23.519394165192963</v>
      </c>
      <c r="CE69" s="2336">
        <v>23.619351403644878</v>
      </c>
      <c r="CF69" s="2336">
        <v>23.718780093684025</v>
      </c>
      <c r="CG69" s="2336">
        <v>23.817678005614443</v>
      </c>
      <c r="CH69" s="2336">
        <v>23.91604299387544</v>
      </c>
      <c r="CI69" s="2336">
        <v>24.013872996657231</v>
      </c>
      <c r="CJ69" s="2336">
        <v>24.111166035507633</v>
      </c>
      <c r="CK69" s="2336">
        <v>24.207920214933097</v>
      </c>
      <c r="CL69" s="2336">
        <v>24.304133721990269</v>
      </c>
      <c r="CM69" s="2336">
        <v>24.399804825869804</v>
      </c>
      <c r="CN69" s="2336">
        <v>24.494931877471096</v>
      </c>
      <c r="CO69" s="2336">
        <v>24.589513308965881</v>
      </c>
      <c r="CP69" s="2336">
        <v>24.683547633353204</v>
      </c>
      <c r="CQ69" s="2336">
        <v>24.77703344400318</v>
      </c>
      <c r="CR69" s="2336">
        <v>24.869969414189526</v>
      </c>
      <c r="CS69" s="2336">
        <v>24.96235429661078</v>
      </c>
      <c r="CT69" s="2336">
        <v>25.054186922899934</v>
      </c>
      <c r="CU69" s="2336">
        <v>25.14546620312132</v>
      </c>
      <c r="CV69" s="2336">
        <v>25.236191125256472</v>
      </c>
      <c r="CW69" s="2336">
        <v>25.326360754676376</v>
      </c>
      <c r="CX69" s="2336">
        <v>25.415974233600988</v>
      </c>
      <c r="CY69" s="2336">
        <v>25.505030780546821</v>
      </c>
      <c r="CZ69" s="2336">
        <v>25.593529689760622</v>
      </c>
      <c r="DA69" s="2336">
        <v>25.681470330640142</v>
      </c>
      <c r="DB69" s="2336">
        <v>25.768852147142081</v>
      </c>
      <c r="DC69" s="2336">
        <v>25.855674657176902</v>
      </c>
      <c r="DD69" s="2336">
        <v>25.941937451989727</v>
      </c>
      <c r="DE69" s="2336">
        <v>26.027640195529241</v>
      </c>
      <c r="DF69" s="2336">
        <v>26.112782623802374</v>
      </c>
      <c r="DG69" s="2336">
        <v>26.197364544217169</v>
      </c>
      <c r="DH69" s="2336">
        <v>26.281385834911539</v>
      </c>
      <c r="DI69" s="2336">
        <v>26.364846444070938</v>
      </c>
      <c r="DJ69" s="2336">
        <v>26.447746389231398</v>
      </c>
      <c r="DK69" s="2336">
        <v>26.530085756572035</v>
      </c>
      <c r="DL69" s="2336">
        <v>26.611864700194829</v>
      </c>
      <c r="DM69" s="2336">
        <v>26.693083441391511</v>
      </c>
      <c r="DN69" s="2336">
        <v>26.773742267900815</v>
      </c>
      <c r="DO69" s="2336">
        <v>26.853841533152284</v>
      </c>
      <c r="DP69" s="2336">
        <v>26.933381655499932</v>
      </c>
      <c r="DQ69" s="2336">
        <v>27.012363117445592</v>
      </c>
      <c r="DR69" s="2336">
        <v>27.090786464850392</v>
      </c>
      <c r="DS69" s="2336">
        <v>27.168652306137432</v>
      </c>
      <c r="DT69" s="2336">
        <v>27.245961311484169</v>
      </c>
      <c r="DU69" s="2336">
        <v>27.322714212004897</v>
      </c>
    </row>
    <row r="70" spans="1:125">
      <c r="A70" s="909">
        <v>68</v>
      </c>
      <c r="B70" s="90"/>
      <c r="C70" s="90"/>
      <c r="D70" s="90"/>
      <c r="E70" s="90"/>
      <c r="F70" s="90"/>
      <c r="G70" s="90"/>
      <c r="H70" s="90"/>
      <c r="I70" s="90"/>
      <c r="J70" s="90"/>
      <c r="K70" s="90"/>
      <c r="L70" s="90"/>
      <c r="M70" s="90"/>
      <c r="N70" s="90"/>
      <c r="O70" s="90"/>
      <c r="P70" s="90"/>
      <c r="Q70" s="90"/>
      <c r="R70" s="90"/>
      <c r="S70" s="90"/>
      <c r="T70" s="90"/>
      <c r="U70" s="90"/>
      <c r="V70" s="739"/>
      <c r="W70" s="739">
        <v>16.73</v>
      </c>
      <c r="X70" s="739">
        <v>16.87</v>
      </c>
      <c r="Y70" s="2336">
        <v>17.025375710916386</v>
      </c>
      <c r="Z70" s="2336">
        <v>17.185669743179439</v>
      </c>
      <c r="AA70" s="2336">
        <v>17.301435472622035</v>
      </c>
      <c r="AB70" s="2336">
        <v>17.420511087675816</v>
      </c>
      <c r="AC70" s="2336">
        <v>17.555987723306551</v>
      </c>
      <c r="AD70" s="2336">
        <v>17.662800769741672</v>
      </c>
      <c r="AE70" s="2336">
        <v>17.797070784274439</v>
      </c>
      <c r="AF70" s="2336">
        <v>17.927444984879958</v>
      </c>
      <c r="AG70" s="2336">
        <v>18.011941706081544</v>
      </c>
      <c r="AH70" s="2336">
        <v>18.127730919941385</v>
      </c>
      <c r="AI70" s="2336">
        <v>18.225497201098211</v>
      </c>
      <c r="AJ70" s="2336">
        <v>18.369873445612804</v>
      </c>
      <c r="AK70" s="2336">
        <v>18.514272090501333</v>
      </c>
      <c r="AL70" s="2336">
        <v>18.668312402286887</v>
      </c>
      <c r="AM70" s="2336">
        <v>18.823432694092297</v>
      </c>
      <c r="AN70" s="2336">
        <v>18.935440593520294</v>
      </c>
      <c r="AO70" s="2336">
        <v>19.007210322316475</v>
      </c>
      <c r="AP70" s="2336">
        <v>19.058712130517893</v>
      </c>
      <c r="AQ70" s="2336">
        <v>19.095542141630411</v>
      </c>
      <c r="AR70" s="2336">
        <v>19.11093751186166</v>
      </c>
      <c r="AS70" s="2336">
        <v>19.138341999858714</v>
      </c>
      <c r="AT70" s="2336">
        <v>19.135309965368336</v>
      </c>
      <c r="AU70" s="2336">
        <v>19.151152390783313</v>
      </c>
      <c r="AV70" s="2336">
        <v>19.200960063700226</v>
      </c>
      <c r="AW70" s="2336">
        <v>19.32637168876569</v>
      </c>
      <c r="AX70" s="2336">
        <v>19.376627213692995</v>
      </c>
      <c r="AY70" s="2336">
        <v>19.460512886269754</v>
      </c>
      <c r="AZ70" s="2336">
        <v>19.558662012662936</v>
      </c>
      <c r="BA70" s="2336">
        <v>19.63965655138616</v>
      </c>
      <c r="BB70" s="2336">
        <v>19.734891042304209</v>
      </c>
      <c r="BC70" s="2336">
        <v>19.831473775023358</v>
      </c>
      <c r="BD70" s="2336">
        <v>19.943776300277026</v>
      </c>
      <c r="BE70" s="2336">
        <v>20.054857961433044</v>
      </c>
      <c r="BF70" s="2336">
        <v>20.165322172306539</v>
      </c>
      <c r="BG70" s="2336">
        <v>20.275181749055864</v>
      </c>
      <c r="BH70" s="2336">
        <v>20.384449432174044</v>
      </c>
      <c r="BI70" s="2336">
        <v>20.493137998190154</v>
      </c>
      <c r="BJ70" s="2336">
        <v>20.601260281147663</v>
      </c>
      <c r="BK70" s="2336">
        <v>20.708828977822346</v>
      </c>
      <c r="BL70" s="2336">
        <v>20.815856559014705</v>
      </c>
      <c r="BM70" s="2336">
        <v>20.922355451077404</v>
      </c>
      <c r="BN70" s="2336">
        <v>21.028338502976681</v>
      </c>
      <c r="BO70" s="2336">
        <v>21.133819251288095</v>
      </c>
      <c r="BP70" s="2336">
        <v>21.238810435563806</v>
      </c>
      <c r="BQ70" s="2336">
        <v>21.343323544307392</v>
      </c>
      <c r="BR70" s="2336">
        <v>21.447378983879638</v>
      </c>
      <c r="BS70" s="2336">
        <v>21.550973130355327</v>
      </c>
      <c r="BT70" s="2336">
        <v>21.654102444696829</v>
      </c>
      <c r="BU70" s="2336">
        <v>21.756763472570487</v>
      </c>
      <c r="BV70" s="2336">
        <v>21.858952844166435</v>
      </c>
      <c r="BW70" s="2336">
        <v>21.96066727401708</v>
      </c>
      <c r="BX70" s="2336">
        <v>22.061903560817125</v>
      </c>
      <c r="BY70" s="2336">
        <v>22.162658587241005</v>
      </c>
      <c r="BZ70" s="2336">
        <v>22.262929319758484</v>
      </c>
      <c r="CA70" s="2336">
        <v>22.362712808446783</v>
      </c>
      <c r="CB70" s="2336">
        <v>22.462006186798817</v>
      </c>
      <c r="CC70" s="2336">
        <v>22.560806671525953</v>
      </c>
      <c r="CD70" s="2336">
        <v>22.659111562354862</v>
      </c>
      <c r="CE70" s="2336">
        <v>22.756918241818422</v>
      </c>
      <c r="CF70" s="2336">
        <v>22.854224175037068</v>
      </c>
      <c r="CG70" s="2336">
        <v>22.951026909494555</v>
      </c>
      <c r="CH70" s="2336">
        <v>23.047324074801665</v>
      </c>
      <c r="CI70" s="2336">
        <v>23.143113382452864</v>
      </c>
      <c r="CJ70" s="2336">
        <v>23.238392625570334</v>
      </c>
      <c r="CK70" s="2336">
        <v>23.333159678638715</v>
      </c>
      <c r="CL70" s="2336">
        <v>23.427412497226822</v>
      </c>
      <c r="CM70" s="2336">
        <v>23.521149117698194</v>
      </c>
      <c r="CN70" s="2336">
        <v>23.614367656908975</v>
      </c>
      <c r="CO70" s="2336">
        <v>23.707066311891431</v>
      </c>
      <c r="CP70" s="2336">
        <v>23.799243359525356</v>
      </c>
      <c r="CQ70" s="2336">
        <v>23.890897156195091</v>
      </c>
      <c r="CR70" s="2336">
        <v>23.98202613743198</v>
      </c>
      <c r="CS70" s="2336">
        <v>24.072628817542462</v>
      </c>
      <c r="CT70" s="2336">
        <v>24.162703789221322</v>
      </c>
      <c r="CU70" s="2336">
        <v>24.252249723149227</v>
      </c>
      <c r="CV70" s="2336">
        <v>24.341265367576181</v>
      </c>
      <c r="CW70" s="2336">
        <v>24.429749547888409</v>
      </c>
      <c r="CX70" s="2336">
        <v>24.517701166159618</v>
      </c>
      <c r="CY70" s="2336">
        <v>24.605119200687476</v>
      </c>
      <c r="CZ70" s="2336">
        <v>24.692002705513392</v>
      </c>
      <c r="DA70" s="2336">
        <v>24.778350809926604</v>
      </c>
      <c r="DB70" s="2336">
        <v>24.864162717952823</v>
      </c>
      <c r="DC70" s="2336">
        <v>24.949437707827069</v>
      </c>
      <c r="DD70" s="2336">
        <v>25.034175131449988</v>
      </c>
      <c r="DE70" s="2336">
        <v>25.118374413829695</v>
      </c>
      <c r="DF70" s="2336">
        <v>25.202035052506883</v>
      </c>
      <c r="DG70" s="2336">
        <v>25.28515661696569</v>
      </c>
      <c r="DH70" s="2336">
        <v>25.367738748028103</v>
      </c>
      <c r="DI70" s="2336">
        <v>25.449781157234927</v>
      </c>
      <c r="DJ70" s="2336">
        <v>25.531283626209849</v>
      </c>
      <c r="DK70" s="2336">
        <v>25.612246006010722</v>
      </c>
      <c r="DL70" s="2336">
        <v>25.692668216465997</v>
      </c>
      <c r="DM70" s="2336">
        <v>25.772550245496067</v>
      </c>
      <c r="DN70" s="2336">
        <v>25.851892148422934</v>
      </c>
      <c r="DO70" s="2336">
        <v>25.930694047264364</v>
      </c>
      <c r="DP70" s="2336">
        <v>26.008956130015939</v>
      </c>
      <c r="DQ70" s="2336">
        <v>26.086678649920799</v>
      </c>
      <c r="DR70" s="2336">
        <v>26.163861924725676</v>
      </c>
      <c r="DS70" s="2336">
        <v>26.24050633592617</v>
      </c>
      <c r="DT70" s="2336">
        <v>26.316612328000044</v>
      </c>
      <c r="DU70" s="2336">
        <v>26.392180407628718</v>
      </c>
    </row>
    <row r="71" spans="1:125">
      <c r="A71" s="909">
        <v>69</v>
      </c>
      <c r="B71" s="90"/>
      <c r="C71" s="90"/>
      <c r="D71" s="90"/>
      <c r="E71" s="90"/>
      <c r="F71" s="90"/>
      <c r="G71" s="90"/>
      <c r="H71" s="90"/>
      <c r="I71" s="90"/>
      <c r="J71" s="90"/>
      <c r="K71" s="90"/>
      <c r="L71" s="90"/>
      <c r="M71" s="90"/>
      <c r="N71" s="90"/>
      <c r="O71" s="90"/>
      <c r="P71" s="90"/>
      <c r="Q71" s="90"/>
      <c r="R71" s="90"/>
      <c r="S71" s="90"/>
      <c r="T71" s="90"/>
      <c r="U71" s="90"/>
      <c r="V71" s="739"/>
      <c r="W71" s="739">
        <v>16.010000000000002</v>
      </c>
      <c r="X71" s="739">
        <v>16.14</v>
      </c>
      <c r="Y71" s="2336">
        <v>16.292434742447547</v>
      </c>
      <c r="Z71" s="2336">
        <v>16.441325285770542</v>
      </c>
      <c r="AA71" s="2336">
        <v>16.557134909788747</v>
      </c>
      <c r="AB71" s="2336">
        <v>16.669235908636967</v>
      </c>
      <c r="AC71" s="2336">
        <v>16.807474219125353</v>
      </c>
      <c r="AD71" s="2336">
        <v>16.904216468135058</v>
      </c>
      <c r="AE71" s="2336">
        <v>17.035274134149198</v>
      </c>
      <c r="AF71" s="2336">
        <v>17.158617040822087</v>
      </c>
      <c r="AG71" s="2336">
        <v>17.241287137020702</v>
      </c>
      <c r="AH71" s="2336">
        <v>17.342696531277671</v>
      </c>
      <c r="AI71" s="2336">
        <v>17.443608897330371</v>
      </c>
      <c r="AJ71" s="2336">
        <v>17.586892855012326</v>
      </c>
      <c r="AK71" s="2336">
        <v>17.714670221133169</v>
      </c>
      <c r="AL71" s="2336">
        <v>17.86101633407603</v>
      </c>
      <c r="AM71" s="2336">
        <v>18.012108400291904</v>
      </c>
      <c r="AN71" s="2336">
        <v>18.116823302153986</v>
      </c>
      <c r="AO71" s="2336">
        <v>18.194243494089992</v>
      </c>
      <c r="AP71" s="2336">
        <v>18.242508952662913</v>
      </c>
      <c r="AQ71" s="2336">
        <v>18.274725834250638</v>
      </c>
      <c r="AR71" s="2336">
        <v>18.300751881303469</v>
      </c>
      <c r="AS71" s="2336">
        <v>18.319977912721367</v>
      </c>
      <c r="AT71" s="2336">
        <v>18.331862472901747</v>
      </c>
      <c r="AU71" s="2336">
        <v>18.341684381588955</v>
      </c>
      <c r="AV71" s="2336">
        <v>18.403401396389786</v>
      </c>
      <c r="AW71" s="2336">
        <v>18.518555352947086</v>
      </c>
      <c r="AX71" s="2336">
        <v>18.576826032317339</v>
      </c>
      <c r="AY71" s="2336">
        <v>18.664808406122269</v>
      </c>
      <c r="AZ71" s="2336">
        <v>18.752095014335747</v>
      </c>
      <c r="BA71" s="2336">
        <v>18.834361831553874</v>
      </c>
      <c r="BB71" s="2336">
        <v>18.936751688375086</v>
      </c>
      <c r="BC71" s="2336">
        <v>19.046732026225428</v>
      </c>
      <c r="BD71" s="2336">
        <v>19.155383167548983</v>
      </c>
      <c r="BE71" s="2336">
        <v>19.263434758546001</v>
      </c>
      <c r="BF71" s="2336">
        <v>19.370900077221833</v>
      </c>
      <c r="BG71" s="2336">
        <v>19.477792139277295</v>
      </c>
      <c r="BH71" s="2336">
        <v>19.584123856177225</v>
      </c>
      <c r="BI71" s="2336">
        <v>19.689908149274327</v>
      </c>
      <c r="BJ71" s="2336">
        <v>19.795157972658423</v>
      </c>
      <c r="BK71" s="2336">
        <v>19.899886117634505</v>
      </c>
      <c r="BL71" s="2336">
        <v>20.004105124438954</v>
      </c>
      <c r="BM71" s="2336">
        <v>20.107827466694435</v>
      </c>
      <c r="BN71" s="2336">
        <v>20.211066023691856</v>
      </c>
      <c r="BO71" s="2336">
        <v>20.313834348307857</v>
      </c>
      <c r="BP71" s="2336">
        <v>20.416145170043425</v>
      </c>
      <c r="BQ71" s="2336">
        <v>20.518033539645941</v>
      </c>
      <c r="BR71" s="2336">
        <v>20.619495569544075</v>
      </c>
      <c r="BS71" s="2336">
        <v>20.720527452693528</v>
      </c>
      <c r="BT71" s="2336">
        <v>20.821125462590448</v>
      </c>
      <c r="BU71" s="2336">
        <v>20.921285953282389</v>
      </c>
      <c r="BV71" s="2336">
        <v>21.021005359378474</v>
      </c>
      <c r="BW71" s="2336">
        <v>21.120280196054203</v>
      </c>
      <c r="BX71" s="2336">
        <v>21.219107059053691</v>
      </c>
      <c r="BY71" s="2336">
        <v>21.317482624685269</v>
      </c>
      <c r="BZ71" s="2336">
        <v>21.415403649811257</v>
      </c>
      <c r="CA71" s="2336">
        <v>21.512866971830238</v>
      </c>
      <c r="CB71" s="2336">
        <v>21.609869508651563</v>
      </c>
      <c r="CC71" s="2336">
        <v>21.706408258660414</v>
      </c>
      <c r="CD71" s="2336">
        <v>21.802480300673114</v>
      </c>
      <c r="CE71" s="2336">
        <v>21.898082793882672</v>
      </c>
      <c r="CF71" s="2336">
        <v>21.993212977790968</v>
      </c>
      <c r="CG71" s="2336">
        <v>22.087868172131664</v>
      </c>
      <c r="CH71" s="2336">
        <v>22.182045776777315</v>
      </c>
      <c r="CI71" s="2336">
        <v>22.275743271635832</v>
      </c>
      <c r="CJ71" s="2336">
        <v>22.368958216530714</v>
      </c>
      <c r="CK71" s="2336">
        <v>22.461688251068438</v>
      </c>
      <c r="CL71" s="2336">
        <v>22.553931094489382</v>
      </c>
      <c r="CM71" s="2336">
        <v>22.645684545504057</v>
      </c>
      <c r="CN71" s="2336">
        <v>22.736946482113378</v>
      </c>
      <c r="CO71" s="2336">
        <v>22.827714861411181</v>
      </c>
      <c r="CP71" s="2336">
        <v>22.917987719371354</v>
      </c>
      <c r="CQ71" s="2336">
        <v>23.007763170617373</v>
      </c>
      <c r="CR71" s="2336">
        <v>23.097039408174101</v>
      </c>
      <c r="CS71" s="2336">
        <v>23.185814703202066</v>
      </c>
      <c r="CT71" s="2336">
        <v>23.274087404713892</v>
      </c>
      <c r="CU71" s="2336">
        <v>23.361855939271933</v>
      </c>
      <c r="CV71" s="2336">
        <v>23.449118810668939</v>
      </c>
      <c r="CW71" s="2336">
        <v>23.535874599589182</v>
      </c>
      <c r="CX71" s="2336">
        <v>23.622121963251132</v>
      </c>
      <c r="CY71" s="2336">
        <v>23.707859635032573</v>
      </c>
      <c r="CZ71" s="2336">
        <v>23.793086424076222</v>
      </c>
      <c r="DA71" s="2336">
        <v>23.87780121487701</v>
      </c>
      <c r="DB71" s="2336">
        <v>23.962002966851248</v>
      </c>
      <c r="DC71" s="2336">
        <v>24.045690713887364</v>
      </c>
      <c r="DD71" s="2336">
        <v>24.12886356387768</v>
      </c>
      <c r="DE71" s="2336">
        <v>24.211520698233119</v>
      </c>
      <c r="DF71" s="2336">
        <v>24.29366137137875</v>
      </c>
      <c r="DG71" s="2336">
        <v>24.375284910232789</v>
      </c>
      <c r="DH71" s="2336">
        <v>24.456390713666693</v>
      </c>
      <c r="DI71" s="2336">
        <v>24.536978251949563</v>
      </c>
      <c r="DJ71" s="2336">
        <v>24.617047066173424</v>
      </c>
      <c r="DK71" s="2336">
        <v>24.696596767663468</v>
      </c>
      <c r="DL71" s="2336">
        <v>24.775627037371365</v>
      </c>
      <c r="DM71" s="2336">
        <v>24.854137625251308</v>
      </c>
      <c r="DN71" s="2336">
        <v>24.932128349622385</v>
      </c>
      <c r="DO71" s="2336">
        <v>25.009599096513387</v>
      </c>
      <c r="DP71" s="2336">
        <v>25.086549818993522</v>
      </c>
      <c r="DQ71" s="2336">
        <v>25.162980536488973</v>
      </c>
      <c r="DR71" s="2336">
        <v>25.238891334083778</v>
      </c>
      <c r="DS71" s="2336">
        <v>25.314282361808154</v>
      </c>
      <c r="DT71" s="2336">
        <v>25.389153833913042</v>
      </c>
      <c r="DU71" s="2336">
        <v>25.463506028131064</v>
      </c>
    </row>
    <row r="72" spans="1:125">
      <c r="A72" s="909">
        <v>70</v>
      </c>
      <c r="B72" s="90"/>
      <c r="C72" s="90"/>
      <c r="D72" s="90"/>
      <c r="E72" s="90"/>
      <c r="F72" s="90"/>
      <c r="G72" s="90"/>
      <c r="H72" s="90"/>
      <c r="I72" s="90"/>
      <c r="J72" s="90"/>
      <c r="K72" s="90"/>
      <c r="L72" s="90"/>
      <c r="M72" s="90"/>
      <c r="N72" s="90"/>
      <c r="O72" s="90"/>
      <c r="P72" s="90"/>
      <c r="Q72" s="90"/>
      <c r="R72" s="90"/>
      <c r="S72" s="90"/>
      <c r="T72" s="90"/>
      <c r="U72" s="90"/>
      <c r="V72" s="739"/>
      <c r="W72" s="739">
        <v>15.3</v>
      </c>
      <c r="X72" s="739">
        <v>15.42</v>
      </c>
      <c r="Y72" s="2336">
        <v>15.564656814944017</v>
      </c>
      <c r="Z72" s="2336">
        <v>15.714266297397192</v>
      </c>
      <c r="AA72" s="2336">
        <v>15.822673573269281</v>
      </c>
      <c r="AB72" s="2336">
        <v>15.939183016057651</v>
      </c>
      <c r="AC72" s="2336">
        <v>16.067248456044499</v>
      </c>
      <c r="AD72" s="2336">
        <v>16.154037528950052</v>
      </c>
      <c r="AE72" s="2336">
        <v>16.276937952216105</v>
      </c>
      <c r="AF72" s="2336">
        <v>16.39615964694984</v>
      </c>
      <c r="AG72" s="2336">
        <v>16.471997406501934</v>
      </c>
      <c r="AH72" s="2336">
        <v>16.570606054296086</v>
      </c>
      <c r="AI72" s="2336">
        <v>16.667739375963389</v>
      </c>
      <c r="AJ72" s="2336">
        <v>16.804594747198333</v>
      </c>
      <c r="AK72" s="2336">
        <v>16.928912015068825</v>
      </c>
      <c r="AL72" s="2336">
        <v>17.062460511535097</v>
      </c>
      <c r="AM72" s="2336">
        <v>17.206359328624007</v>
      </c>
      <c r="AN72" s="2336">
        <v>17.315230146256106</v>
      </c>
      <c r="AO72" s="2336">
        <v>17.388546740821393</v>
      </c>
      <c r="AP72" s="2336">
        <v>17.431207181807881</v>
      </c>
      <c r="AQ72" s="2336">
        <v>17.463011996588403</v>
      </c>
      <c r="AR72" s="2336">
        <v>17.49346580843838</v>
      </c>
      <c r="AS72" s="2336">
        <v>17.515952142495571</v>
      </c>
      <c r="AT72" s="2336">
        <v>17.530241993581843</v>
      </c>
      <c r="AU72" s="2336">
        <v>17.543076531770335</v>
      </c>
      <c r="AV72" s="2336">
        <v>17.610874118568415</v>
      </c>
      <c r="AW72" s="2336">
        <v>17.725084160629056</v>
      </c>
      <c r="AX72" s="2336">
        <v>17.790179473022317</v>
      </c>
      <c r="AY72" s="2336">
        <v>17.874422519115363</v>
      </c>
      <c r="AZ72" s="2336">
        <v>17.957457119830799</v>
      </c>
      <c r="BA72" s="2336">
        <v>18.052698981189796</v>
      </c>
      <c r="BB72" s="2336">
        <v>18.16087806664078</v>
      </c>
      <c r="BC72" s="2336">
        <v>18.266963653736585</v>
      </c>
      <c r="BD72" s="2336">
        <v>18.372467552108382</v>
      </c>
      <c r="BE72" s="2336">
        <v>18.477403788404708</v>
      </c>
      <c r="BF72" s="2336">
        <v>18.581785887978473</v>
      </c>
      <c r="BG72" s="2336">
        <v>18.685627079941504</v>
      </c>
      <c r="BH72" s="2336">
        <v>18.78894045861048</v>
      </c>
      <c r="BI72" s="2336">
        <v>18.891739100273796</v>
      </c>
      <c r="BJ72" s="2336">
        <v>18.994036087543254</v>
      </c>
      <c r="BK72" s="2336">
        <v>19.095844313054194</v>
      </c>
      <c r="BL72" s="2336">
        <v>19.197176391658918</v>
      </c>
      <c r="BM72" s="2336">
        <v>19.298044848055667</v>
      </c>
      <c r="BN72" s="2336">
        <v>19.398462594709276</v>
      </c>
      <c r="BO72" s="2336">
        <v>19.498443202920729</v>
      </c>
      <c r="BP72" s="2336">
        <v>19.598037611192868</v>
      </c>
      <c r="BQ72" s="2336">
        <v>19.697241673418336</v>
      </c>
      <c r="BR72" s="2336">
        <v>19.796051319342109</v>
      </c>
      <c r="BS72" s="2336">
        <v>19.894462554772556</v>
      </c>
      <c r="BT72" s="2336">
        <v>19.992471461788899</v>
      </c>
      <c r="BU72" s="2336">
        <v>20.090074198942037</v>
      </c>
      <c r="BV72" s="2336">
        <v>20.187267001450742</v>
      </c>
      <c r="BW72" s="2336">
        <v>20.284046181388391</v>
      </c>
      <c r="BX72" s="2336">
        <v>20.380408127863276</v>
      </c>
      <c r="BY72" s="2336">
        <v>20.476349307188297</v>
      </c>
      <c r="BZ72" s="2336">
        <v>20.571866263040977</v>
      </c>
      <c r="CA72" s="2336">
        <v>20.666955616612128</v>
      </c>
      <c r="CB72" s="2336">
        <v>20.761614066742926</v>
      </c>
      <c r="CC72" s="2336">
        <v>20.855838390048756</v>
      </c>
      <c r="CD72" s="2336">
        <v>20.949625441029614</v>
      </c>
      <c r="CE72" s="2336">
        <v>21.042972152166993</v>
      </c>
      <c r="CF72" s="2336">
        <v>21.135875534003826</v>
      </c>
      <c r="CG72" s="2336">
        <v>21.228332675211487</v>
      </c>
      <c r="CH72" s="2336">
        <v>21.320340742637484</v>
      </c>
      <c r="CI72" s="2336">
        <v>21.41189698133898</v>
      </c>
      <c r="CJ72" s="2336">
        <v>21.502998714596583</v>
      </c>
      <c r="CK72" s="2336">
        <v>21.59364334391196</v>
      </c>
      <c r="CL72" s="2336">
        <v>21.683828348985543</v>
      </c>
      <c r="CM72" s="2336">
        <v>21.773551287676241</v>
      </c>
      <c r="CN72" s="2336">
        <v>21.862809795941974</v>
      </c>
      <c r="CO72" s="2336">
        <v>21.951601587759189</v>
      </c>
      <c r="CP72" s="2336">
        <v>22.039924455023829</v>
      </c>
      <c r="CQ72" s="2336">
        <v>22.127776267431624</v>
      </c>
      <c r="CR72" s="2336">
        <v>22.215154972337558</v>
      </c>
      <c r="CS72" s="2336">
        <v>22.302058594594801</v>
      </c>
      <c r="CT72" s="2336">
        <v>22.388485236372844</v>
      </c>
      <c r="CU72" s="2336">
        <v>22.474433076953936</v>
      </c>
      <c r="CV72" s="2336">
        <v>22.559900372509667</v>
      </c>
      <c r="CW72" s="2336">
        <v>22.644885455855221</v>
      </c>
      <c r="CX72" s="2336">
        <v>22.729386736182427</v>
      </c>
      <c r="CY72" s="2336">
        <v>22.81340269877251</v>
      </c>
      <c r="CZ72" s="2336">
        <v>22.896931904686738</v>
      </c>
      <c r="DA72" s="2336">
        <v>22.979972990436075</v>
      </c>
      <c r="DB72" s="2336">
        <v>23.062524667630171</v>
      </c>
      <c r="DC72" s="2336">
        <v>23.144585722605434</v>
      </c>
      <c r="DD72" s="2336">
        <v>23.226155016031647</v>
      </c>
      <c r="DE72" s="2336">
        <v>23.307231482499116</v>
      </c>
      <c r="DF72" s="2336">
        <v>23.387814130084287</v>
      </c>
      <c r="DG72" s="2336">
        <v>23.467902039896522</v>
      </c>
      <c r="DH72" s="2336">
        <v>23.547494365603608</v>
      </c>
      <c r="DI72" s="2336">
        <v>23.626590332939454</v>
      </c>
      <c r="DJ72" s="2336">
        <v>23.705189239190418</v>
      </c>
      <c r="DK72" s="2336">
        <v>23.783290452664463</v>
      </c>
      <c r="DL72" s="2336">
        <v>23.860893412141294</v>
      </c>
      <c r="DM72" s="2336">
        <v>23.937997626303176</v>
      </c>
      <c r="DN72" s="2336">
        <v>24.014602673150062</v>
      </c>
      <c r="DO72" s="2336">
        <v>24.09070819939522</v>
      </c>
      <c r="DP72" s="2336">
        <v>24.166313919844782</v>
      </c>
      <c r="DQ72" s="2336">
        <v>24.24141961676132</v>
      </c>
      <c r="DR72" s="2336">
        <v>24.316025139209863</v>
      </c>
      <c r="DS72" s="2336">
        <v>24.390130402389552</v>
      </c>
      <c r="DT72" s="2336">
        <v>24.463735386949782</v>
      </c>
      <c r="DU72" s="2336">
        <v>24.536840138290994</v>
      </c>
    </row>
    <row r="73" spans="1:125">
      <c r="A73" s="909">
        <v>71</v>
      </c>
      <c r="B73" s="90"/>
      <c r="C73" s="90"/>
      <c r="D73" s="90"/>
      <c r="E73" s="90"/>
      <c r="F73" s="90"/>
      <c r="G73" s="90"/>
      <c r="H73" s="90"/>
      <c r="I73" s="90"/>
      <c r="J73" s="90"/>
      <c r="K73" s="90"/>
      <c r="L73" s="90"/>
      <c r="M73" s="90"/>
      <c r="N73" s="90"/>
      <c r="O73" s="90"/>
      <c r="P73" s="90"/>
      <c r="Q73" s="90"/>
      <c r="R73" s="90"/>
      <c r="S73" s="90"/>
      <c r="T73" s="90"/>
      <c r="U73" s="90"/>
      <c r="V73" s="739"/>
      <c r="W73" s="739">
        <v>14.59</v>
      </c>
      <c r="X73" s="739">
        <v>14.71</v>
      </c>
      <c r="Y73" s="2336">
        <v>14.852183656736967</v>
      </c>
      <c r="Z73" s="2336">
        <v>14.99883259753822</v>
      </c>
      <c r="AA73" s="2336">
        <v>15.102837768860084</v>
      </c>
      <c r="AB73" s="2336">
        <v>15.210607418690737</v>
      </c>
      <c r="AC73" s="2336">
        <v>15.330598572371168</v>
      </c>
      <c r="AD73" s="2336">
        <v>15.41265519978908</v>
      </c>
      <c r="AE73" s="2336">
        <v>15.526987137557388</v>
      </c>
      <c r="AF73" s="2336">
        <v>15.645204702606769</v>
      </c>
      <c r="AG73" s="2336">
        <v>15.71405554336533</v>
      </c>
      <c r="AH73" s="2336">
        <v>15.814600112504435</v>
      </c>
      <c r="AI73" s="2336">
        <v>15.897918020222193</v>
      </c>
      <c r="AJ73" s="2336">
        <v>16.028825982357503</v>
      </c>
      <c r="AK73" s="2336">
        <v>16.141081050857665</v>
      </c>
      <c r="AL73" s="2336">
        <v>16.270665638373657</v>
      </c>
      <c r="AM73" s="2336">
        <v>16.410749470613446</v>
      </c>
      <c r="AN73" s="2336">
        <v>16.518291700071874</v>
      </c>
      <c r="AO73" s="2336">
        <v>16.585348299748841</v>
      </c>
      <c r="AP73" s="2336">
        <v>16.631932359117059</v>
      </c>
      <c r="AQ73" s="2336">
        <v>16.665987506042303</v>
      </c>
      <c r="AR73" s="2336">
        <v>16.702829125735263</v>
      </c>
      <c r="AS73" s="2336">
        <v>16.715684536761888</v>
      </c>
      <c r="AT73" s="2336">
        <v>16.741377178110852</v>
      </c>
      <c r="AU73" s="2336">
        <v>16.761923503522823</v>
      </c>
      <c r="AV73" s="2336">
        <v>16.839344974495958</v>
      </c>
      <c r="AW73" s="2336">
        <v>16.944979610978862</v>
      </c>
      <c r="AX73" s="2336">
        <v>17.008493512761302</v>
      </c>
      <c r="AY73" s="2336">
        <v>17.091148981148567</v>
      </c>
      <c r="AZ73" s="2336">
        <v>17.183198782417421</v>
      </c>
      <c r="BA73" s="2336">
        <v>17.28692106584797</v>
      </c>
      <c r="BB73" s="2336">
        <v>17.390305784161029</v>
      </c>
      <c r="BC73" s="2336">
        <v>17.49312611630625</v>
      </c>
      <c r="BD73" s="2336">
        <v>17.595397184497312</v>
      </c>
      <c r="BE73" s="2336">
        <v>17.697133323204646</v>
      </c>
      <c r="BF73" s="2336">
        <v>17.798348324612142</v>
      </c>
      <c r="BG73" s="2336">
        <v>17.899055648250993</v>
      </c>
      <c r="BH73" s="2336">
        <v>17.999268586138395</v>
      </c>
      <c r="BI73" s="2336">
        <v>18.099000382433502</v>
      </c>
      <c r="BJ73" s="2336">
        <v>18.198264259437121</v>
      </c>
      <c r="BK73" s="2336">
        <v>18.297073220467983</v>
      </c>
      <c r="BL73" s="2336">
        <v>18.395439962590483</v>
      </c>
      <c r="BM73" s="2336">
        <v>18.493377067692592</v>
      </c>
      <c r="BN73" s="2336">
        <v>18.590897486513704</v>
      </c>
      <c r="BO73" s="2336">
        <v>18.688068896217541</v>
      </c>
      <c r="BP73" s="2336">
        <v>18.784886898943185</v>
      </c>
      <c r="BQ73" s="2336">
        <v>18.88134716773591</v>
      </c>
      <c r="BR73" s="2336">
        <v>18.97744544695605</v>
      </c>
      <c r="BS73" s="2336">
        <v>19.073177552680281</v>
      </c>
      <c r="BT73" s="2336">
        <v>19.168539373095474</v>
      </c>
      <c r="BU73" s="2336">
        <v>19.263526868882117</v>
      </c>
      <c r="BV73" s="2336">
        <v>19.358136073589346</v>
      </c>
      <c r="BW73" s="2336">
        <v>19.452363093996766</v>
      </c>
      <c r="BX73" s="2336">
        <v>19.546204110466146</v>
      </c>
      <c r="BY73" s="2336">
        <v>19.639655377278746</v>
      </c>
      <c r="BZ73" s="2336">
        <v>19.732713222959404</v>
      </c>
      <c r="CA73" s="2336">
        <v>19.825374050585545</v>
      </c>
      <c r="CB73" s="2336">
        <v>19.917634338081058</v>
      </c>
      <c r="CC73" s="2336">
        <v>20.009490638493428</v>
      </c>
      <c r="CD73" s="2336">
        <v>20.100939580253801</v>
      </c>
      <c r="CE73" s="2336">
        <v>20.191977867420182</v>
      </c>
      <c r="CF73" s="2336">
        <v>20.282602279900129</v>
      </c>
      <c r="CG73" s="2336">
        <v>20.372809673657212</v>
      </c>
      <c r="CH73" s="2336">
        <v>20.462596980894766</v>
      </c>
      <c r="CI73" s="2336">
        <v>20.551961210222167</v>
      </c>
      <c r="CJ73" s="2336">
        <v>20.640899446798091</v>
      </c>
      <c r="CK73" s="2336">
        <v>20.729408852454455</v>
      </c>
      <c r="CL73" s="2336">
        <v>20.817486665797162</v>
      </c>
      <c r="CM73" s="2336">
        <v>20.905130202285836</v>
      </c>
      <c r="CN73" s="2336">
        <v>20.99233685429121</v>
      </c>
      <c r="CO73" s="2336">
        <v>21.079104091128531</v>
      </c>
      <c r="CP73" s="2336">
        <v>21.165429459069351</v>
      </c>
      <c r="CQ73" s="2336">
        <v>21.25131058132979</v>
      </c>
      <c r="CR73" s="2336">
        <v>21.336745158035001</v>
      </c>
      <c r="CS73" s="2336">
        <v>21.421730966160275</v>
      </c>
      <c r="CT73" s="2336">
        <v>21.506265859448607</v>
      </c>
      <c r="CU73" s="2336">
        <v>21.590347768303673</v>
      </c>
      <c r="CV73" s="2336">
        <v>21.673974699660388</v>
      </c>
      <c r="CW73" s="2336">
        <v>21.757144736830401</v>
      </c>
      <c r="CX73" s="2336">
        <v>21.83985603932376</v>
      </c>
      <c r="CY73" s="2336">
        <v>21.922106842647736</v>
      </c>
      <c r="CZ73" s="2336">
        <v>22.003895458081004</v>
      </c>
      <c r="DA73" s="2336">
        <v>22.085220272424355</v>
      </c>
      <c r="DB73" s="2336">
        <v>22.166079747728304</v>
      </c>
      <c r="DC73" s="2336">
        <v>22.246472420997389</v>
      </c>
      <c r="DD73" s="2336">
        <v>22.326396903870666</v>
      </c>
      <c r="DE73" s="2336">
        <v>22.405851882280434</v>
      </c>
      <c r="DF73" s="2336">
        <v>22.484836116087177</v>
      </c>
      <c r="DG73" s="2336">
        <v>22.563348438693406</v>
      </c>
      <c r="DH73" s="2336">
        <v>22.641387756634135</v>
      </c>
      <c r="DI73" s="2336">
        <v>22.718953049147306</v>
      </c>
      <c r="DJ73" s="2336">
        <v>22.796043367720856</v>
      </c>
      <c r="DK73" s="2336">
        <v>22.872657835620487</v>
      </c>
      <c r="DL73" s="2336">
        <v>22.948795647396448</v>
      </c>
      <c r="DM73" s="2336">
        <v>23.024456068368966</v>
      </c>
      <c r="DN73" s="2336">
        <v>23.099638434096164</v>
      </c>
      <c r="DO73" s="2336">
        <v>23.174342149820443</v>
      </c>
      <c r="DP73" s="2336">
        <v>23.248566689897054</v>
      </c>
      <c r="DQ73" s="2336">
        <v>23.322311597204799</v>
      </c>
      <c r="DR73" s="2336">
        <v>23.395576482537432</v>
      </c>
      <c r="DS73" s="2336">
        <v>23.468361023978954</v>
      </c>
      <c r="DT73" s="2336">
        <v>23.540664966261648</v>
      </c>
      <c r="DU73" s="2336">
        <v>23.612488120107137</v>
      </c>
    </row>
    <row r="74" spans="1:125">
      <c r="A74" s="909">
        <v>72</v>
      </c>
      <c r="B74" s="90"/>
      <c r="C74" s="90"/>
      <c r="D74" s="90"/>
      <c r="E74" s="90"/>
      <c r="F74" s="90"/>
      <c r="G74" s="90"/>
      <c r="H74" s="90"/>
      <c r="I74" s="90"/>
      <c r="J74" s="90"/>
      <c r="K74" s="90"/>
      <c r="L74" s="90"/>
      <c r="M74" s="90"/>
      <c r="N74" s="90"/>
      <c r="O74" s="90"/>
      <c r="P74" s="90"/>
      <c r="Q74" s="90"/>
      <c r="R74" s="90"/>
      <c r="S74" s="90"/>
      <c r="T74" s="90"/>
      <c r="U74" s="90"/>
      <c r="V74" s="739"/>
      <c r="W74" s="739">
        <v>13.9</v>
      </c>
      <c r="X74" s="739">
        <v>14.01</v>
      </c>
      <c r="Y74" s="2336">
        <v>14.14626704803293</v>
      </c>
      <c r="Z74" s="2336">
        <v>14.293084408786255</v>
      </c>
      <c r="AA74" s="2336">
        <v>14.388963947025665</v>
      </c>
      <c r="AB74" s="2336">
        <v>14.491789664200253</v>
      </c>
      <c r="AC74" s="2336">
        <v>14.608083939112564</v>
      </c>
      <c r="AD74" s="2336">
        <v>14.675701344097071</v>
      </c>
      <c r="AE74" s="2336">
        <v>14.782115860443195</v>
      </c>
      <c r="AF74" s="2336">
        <v>14.90423823268662</v>
      </c>
      <c r="AG74" s="2336">
        <v>14.970450716729001</v>
      </c>
      <c r="AH74" s="2336">
        <v>15.062213726579948</v>
      </c>
      <c r="AI74" s="2336">
        <v>15.138508377364385</v>
      </c>
      <c r="AJ74" s="2336">
        <v>15.260434910891078</v>
      </c>
      <c r="AK74" s="2336">
        <v>15.363938379701654</v>
      </c>
      <c r="AL74" s="2336">
        <v>15.487744514166664</v>
      </c>
      <c r="AM74" s="2336">
        <v>15.623707339610432</v>
      </c>
      <c r="AN74" s="2336">
        <v>15.727120415707867</v>
      </c>
      <c r="AO74" s="2336">
        <v>15.789967621940145</v>
      </c>
      <c r="AP74" s="2336">
        <v>15.842351508140823</v>
      </c>
      <c r="AQ74" s="2336">
        <v>15.876764036076299</v>
      </c>
      <c r="AR74" s="2336">
        <v>15.909439908239696</v>
      </c>
      <c r="AS74" s="2336">
        <v>15.936769389929434</v>
      </c>
      <c r="AT74" s="2336">
        <v>15.959311931004285</v>
      </c>
      <c r="AU74" s="2336">
        <v>15.995248055936406</v>
      </c>
      <c r="AV74" s="2336">
        <v>16.073099731767662</v>
      </c>
      <c r="AW74" s="2336">
        <v>16.1663791599787</v>
      </c>
      <c r="AX74" s="2336">
        <v>16.237074758671874</v>
      </c>
      <c r="AY74" s="2336">
        <v>16.326072650561155</v>
      </c>
      <c r="AZ74" s="2336">
        <v>16.425925605302595</v>
      </c>
      <c r="BA74" s="2336">
        <v>16.526512899932371</v>
      </c>
      <c r="BB74" s="2336">
        <v>16.626551222292658</v>
      </c>
      <c r="BC74" s="2336">
        <v>16.726056745509304</v>
      </c>
      <c r="BD74" s="2336">
        <v>16.825044995723324</v>
      </c>
      <c r="BE74" s="2336">
        <v>16.923530661295427</v>
      </c>
      <c r="BF74" s="2336">
        <v>17.021527844221847</v>
      </c>
      <c r="BG74" s="2336">
        <v>17.119050274766902</v>
      </c>
      <c r="BH74" s="2336">
        <v>17.216111480627966</v>
      </c>
      <c r="BI74" s="2336">
        <v>17.312724909737106</v>
      </c>
      <c r="BJ74" s="2336">
        <v>17.408903958050189</v>
      </c>
      <c r="BK74" s="2336">
        <v>17.504661771516769</v>
      </c>
      <c r="BL74" s="2336">
        <v>17.600011159380092</v>
      </c>
      <c r="BM74" s="2336">
        <v>17.694964789000824</v>
      </c>
      <c r="BN74" s="2336">
        <v>17.789606524107914</v>
      </c>
      <c r="BO74" s="2336">
        <v>17.883931740878488</v>
      </c>
      <c r="BP74" s="2336">
        <v>17.977935881067275</v>
      </c>
      <c r="BQ74" s="2336">
        <v>18.0716144526052</v>
      </c>
      <c r="BR74" s="2336">
        <v>18.164963030189188</v>
      </c>
      <c r="BS74" s="2336">
        <v>18.257977255861103</v>
      </c>
      <c r="BT74" s="2336">
        <v>18.350652839575837</v>
      </c>
      <c r="BU74" s="2336">
        <v>18.442985559755673</v>
      </c>
      <c r="BV74" s="2336">
        <v>18.534971263832912</v>
      </c>
      <c r="BW74" s="2336">
        <v>18.626605868775986</v>
      </c>
      <c r="BX74" s="2336">
        <v>18.717885361602203</v>
      </c>
      <c r="BY74" s="2336">
        <v>18.808805799872822</v>
      </c>
      <c r="BZ74" s="2336">
        <v>18.899363312171651</v>
      </c>
      <c r="CA74" s="2336">
        <v>18.989554098565407</v>
      </c>
      <c r="CB74" s="2336">
        <v>19.079374431045743</v>
      </c>
      <c r="CC74" s="2336">
        <v>19.16882065395135</v>
      </c>
      <c r="CD74" s="2336">
        <v>19.257889184369926</v>
      </c>
      <c r="CE74" s="2336">
        <v>19.346576512520155</v>
      </c>
      <c r="CF74" s="2336">
        <v>19.434879202110157</v>
      </c>
      <c r="CG74" s="2336">
        <v>19.522793890676667</v>
      </c>
      <c r="CH74" s="2336">
        <v>19.610317289898525</v>
      </c>
      <c r="CI74" s="2336">
        <v>19.697446185889753</v>
      </c>
      <c r="CJ74" s="2336">
        <v>19.784177439466717</v>
      </c>
      <c r="CK74" s="2336">
        <v>19.87050798639304</v>
      </c>
      <c r="CL74" s="2336">
        <v>19.956434837598568</v>
      </c>
      <c r="CM74" s="2336">
        <v>20.04195507937445</v>
      </c>
      <c r="CN74" s="2336">
        <v>20.12706587354316</v>
      </c>
      <c r="CO74" s="2336">
        <v>20.211764457601763</v>
      </c>
      <c r="CP74" s="2336">
        <v>20.296048144840981</v>
      </c>
      <c r="CQ74" s="2336">
        <v>20.379914324437941</v>
      </c>
      <c r="CR74" s="2336">
        <v>20.463360461522662</v>
      </c>
      <c r="CS74" s="2336">
        <v>20.5463840972185</v>
      </c>
      <c r="CT74" s="2336">
        <v>20.628982848656619</v>
      </c>
      <c r="CU74" s="2336">
        <v>20.711154408963282</v>
      </c>
      <c r="CV74" s="2336">
        <v>20.792896547222384</v>
      </c>
      <c r="CW74" s="2336">
        <v>20.874207108410385</v>
      </c>
      <c r="CX74" s="2336">
        <v>20.955084013305147</v>
      </c>
      <c r="CY74" s="2336">
        <v>21.035525258369514</v>
      </c>
      <c r="CZ74" s="2336">
        <v>21.115528915607992</v>
      </c>
      <c r="DA74" s="2336">
        <v>21.195093132397663</v>
      </c>
      <c r="DB74" s="2336">
        <v>21.274216131293816</v>
      </c>
      <c r="DC74" s="2336">
        <v>21.352896209810012</v>
      </c>
      <c r="DD74" s="2336">
        <v>21.431131740172251</v>
      </c>
      <c r="DE74" s="2336">
        <v>21.508921169049234</v>
      </c>
      <c r="DF74" s="2336">
        <v>21.586263017256758</v>
      </c>
      <c r="DG74" s="2336">
        <v>21.663155879438939</v>
      </c>
      <c r="DH74" s="2336">
        <v>21.739598423724107</v>
      </c>
      <c r="DI74" s="2336">
        <v>21.815589391358674</v>
      </c>
      <c r="DJ74" s="2336">
        <v>21.891127596315634</v>
      </c>
      <c r="DK74" s="2336">
        <v>21.966211924881939</v>
      </c>
      <c r="DL74" s="2336">
        <v>22.040841335222996</v>
      </c>
      <c r="DM74" s="2336">
        <v>22.115014856923928</v>
      </c>
      <c r="DN74" s="2336">
        <v>22.188731590511573</v>
      </c>
      <c r="DO74" s="2336">
        <v>22.261990706953153</v>
      </c>
      <c r="DP74" s="2336">
        <v>22.334791447135377</v>
      </c>
      <c r="DQ74" s="2336">
        <v>22.407133121323987</v>
      </c>
      <c r="DR74" s="2336">
        <v>22.479015108602326</v>
      </c>
      <c r="DS74" s="2336">
        <v>22.550436856292141</v>
      </c>
      <c r="DT74" s="2336">
        <v>22.621397879355492</v>
      </c>
      <c r="DU74" s="2336">
        <v>22.691897759778183</v>
      </c>
    </row>
    <row r="75" spans="1:125">
      <c r="A75" s="909">
        <v>73</v>
      </c>
      <c r="B75" s="90"/>
      <c r="C75" s="90"/>
      <c r="D75" s="90"/>
      <c r="E75" s="90"/>
      <c r="F75" s="90"/>
      <c r="G75" s="90"/>
      <c r="H75" s="90"/>
      <c r="I75" s="90"/>
      <c r="J75" s="90"/>
      <c r="K75" s="90"/>
      <c r="L75" s="90"/>
      <c r="M75" s="90"/>
      <c r="N75" s="90"/>
      <c r="O75" s="90"/>
      <c r="P75" s="90"/>
      <c r="Q75" s="90"/>
      <c r="R75" s="90"/>
      <c r="S75" s="90"/>
      <c r="T75" s="90"/>
      <c r="U75" s="90"/>
      <c r="V75" s="739"/>
      <c r="W75" s="739">
        <v>13.23</v>
      </c>
      <c r="X75" s="739">
        <v>13.32</v>
      </c>
      <c r="Y75" s="2336">
        <v>13.464532326124568</v>
      </c>
      <c r="Z75" s="2336">
        <v>13.595638830820063</v>
      </c>
      <c r="AA75" s="2336">
        <v>13.691569099994203</v>
      </c>
      <c r="AB75" s="2336">
        <v>13.787708367853755</v>
      </c>
      <c r="AC75" s="2336">
        <v>13.891366353948507</v>
      </c>
      <c r="AD75" s="2336">
        <v>13.951997551683979</v>
      </c>
      <c r="AE75" s="2336">
        <v>14.052044571216435</v>
      </c>
      <c r="AF75" s="2336">
        <v>14.176144205620909</v>
      </c>
      <c r="AG75" s="2336">
        <v>14.231315221693396</v>
      </c>
      <c r="AH75" s="2336">
        <v>14.313697613130776</v>
      </c>
      <c r="AI75" s="2336">
        <v>14.388375977007627</v>
      </c>
      <c r="AJ75" s="2336">
        <v>14.496749839272074</v>
      </c>
      <c r="AK75" s="2336">
        <v>14.603385069182387</v>
      </c>
      <c r="AL75" s="2336">
        <v>14.719678484386455</v>
      </c>
      <c r="AM75" s="2336">
        <v>14.847092291857257</v>
      </c>
      <c r="AN75" s="2336">
        <v>14.946526333417594</v>
      </c>
      <c r="AO75" s="2336">
        <v>15.01043313736502</v>
      </c>
      <c r="AP75" s="2336">
        <v>15.062827185001156</v>
      </c>
      <c r="AQ75" s="2336">
        <v>15.091361710486296</v>
      </c>
      <c r="AR75" s="2336">
        <v>15.137384681553053</v>
      </c>
      <c r="AS75" s="2336">
        <v>15.159580127686022</v>
      </c>
      <c r="AT75" s="2336">
        <v>15.195572289235962</v>
      </c>
      <c r="AU75" s="2336">
        <v>15.234034293815579</v>
      </c>
      <c r="AV75" s="2336">
        <v>15.311777299987682</v>
      </c>
      <c r="AW75" s="2336">
        <v>15.403984157597556</v>
      </c>
      <c r="AX75" s="2336">
        <v>15.482253651658617</v>
      </c>
      <c r="AY75" s="2336">
        <v>15.578941429843066</v>
      </c>
      <c r="AZ75" s="2336">
        <v>15.676649659810639</v>
      </c>
      <c r="BA75" s="2336">
        <v>15.773822792500605</v>
      </c>
      <c r="BB75" s="2336">
        <v>15.870477014716959</v>
      </c>
      <c r="BC75" s="2336">
        <v>15.966629020648348</v>
      </c>
      <c r="BD75" s="2336">
        <v>16.06229480322769</v>
      </c>
      <c r="BE75" s="2336">
        <v>16.157489463501989</v>
      </c>
      <c r="BF75" s="2336">
        <v>16.252227468582802</v>
      </c>
      <c r="BG75" s="2336">
        <v>16.346522871754438</v>
      </c>
      <c r="BH75" s="2336">
        <v>16.440389486043827</v>
      </c>
      <c r="BI75" s="2336">
        <v>16.53384101045782</v>
      </c>
      <c r="BJ75" s="2336">
        <v>16.626891059718325</v>
      </c>
      <c r="BK75" s="2336">
        <v>16.719552965221141</v>
      </c>
      <c r="BL75" s="2336">
        <v>16.811839688943991</v>
      </c>
      <c r="BM75" s="2336">
        <v>16.90385114564808</v>
      </c>
      <c r="BN75" s="2336">
        <v>16.995582518006501</v>
      </c>
      <c r="BO75" s="2336">
        <v>17.087029048570493</v>
      </c>
      <c r="BP75" s="2336">
        <v>17.178186040548876</v>
      </c>
      <c r="BQ75" s="2336">
        <v>17.26904885857536</v>
      </c>
      <c r="BR75" s="2336">
        <v>17.359612929464259</v>
      </c>
      <c r="BS75" s="2336">
        <v>17.449873742952466</v>
      </c>
      <c r="BT75" s="2336">
        <v>17.539826852427794</v>
      </c>
      <c r="BU75" s="2336">
        <v>17.629467875640703</v>
      </c>
      <c r="BV75" s="2336">
        <v>17.718792495401569</v>
      </c>
      <c r="BW75" s="2336">
        <v>17.807796460258558</v>
      </c>
      <c r="BX75" s="2336">
        <v>17.896475585159386</v>
      </c>
      <c r="BY75" s="2336">
        <v>17.984825752092664</v>
      </c>
      <c r="BZ75" s="2336">
        <v>18.072842910709973</v>
      </c>
      <c r="CA75" s="2336">
        <v>18.160523078926992</v>
      </c>
      <c r="CB75" s="2336">
        <v>18.247862343503595</v>
      </c>
      <c r="CC75" s="2336">
        <v>18.33485686060132</v>
      </c>
      <c r="CD75" s="2336">
        <v>18.421502856318039</v>
      </c>
      <c r="CE75" s="2336">
        <v>18.507796627200026</v>
      </c>
      <c r="CF75" s="2336">
        <v>18.593734540727851</v>
      </c>
      <c r="CG75" s="2336">
        <v>18.679313035780432</v>
      </c>
      <c r="CH75" s="2336">
        <v>18.76452862307082</v>
      </c>
      <c r="CI75" s="2336">
        <v>18.849377885559075</v>
      </c>
      <c r="CJ75" s="2336">
        <v>18.933857478836643</v>
      </c>
      <c r="CK75" s="2336">
        <v>19.017964131486121</v>
      </c>
      <c r="CL75" s="2336">
        <v>19.101694645412504</v>
      </c>
      <c r="CM75" s="2336">
        <v>19.185045896148193</v>
      </c>
      <c r="CN75" s="2336">
        <v>19.268014833130561</v>
      </c>
      <c r="CO75" s="2336">
        <v>19.35059847995036</v>
      </c>
      <c r="CP75" s="2336">
        <v>19.432793934573596</v>
      </c>
      <c r="CQ75" s="2336">
        <v>19.514598369534824</v>
      </c>
      <c r="CR75" s="2336">
        <v>19.596009032101875</v>
      </c>
      <c r="CS75" s="2336">
        <v>19.677023244412293</v>
      </c>
      <c r="CT75" s="2336">
        <v>19.757638403581598</v>
      </c>
      <c r="CU75" s="2336">
        <v>19.837851981782183</v>
      </c>
      <c r="CV75" s="2336">
        <v>19.917661526295287</v>
      </c>
      <c r="CW75" s="2336">
        <v>19.997064659533251</v>
      </c>
      <c r="CX75" s="2336">
        <v>20.076059079033566</v>
      </c>
      <c r="CY75" s="2336">
        <v>20.154642557425639</v>
      </c>
      <c r="CZ75" s="2336">
        <v>20.232812942368543</v>
      </c>
      <c r="DA75" s="2336">
        <v>20.310568156461077</v>
      </c>
      <c r="DB75" s="2336">
        <v>20.387906197124511</v>
      </c>
      <c r="DC75" s="2336">
        <v>20.464825136457826</v>
      </c>
      <c r="DD75" s="2336">
        <v>20.541323121065126</v>
      </c>
      <c r="DE75" s="2336">
        <v>20.61739837185727</v>
      </c>
      <c r="DF75" s="2336">
        <v>20.693049183825732</v>
      </c>
      <c r="DG75" s="2336">
        <v>20.768273925791512</v>
      </c>
      <c r="DH75" s="2336">
        <v>20.84307104012683</v>
      </c>
      <c r="DI75" s="2336">
        <v>20.917439042453054</v>
      </c>
      <c r="DJ75" s="2336">
        <v>20.991376521311512</v>
      </c>
      <c r="DK75" s="2336">
        <v>21.064882137811423</v>
      </c>
      <c r="DL75" s="2336">
        <v>21.137954625253247</v>
      </c>
      <c r="DM75" s="2336">
        <v>21.210592788727133</v>
      </c>
      <c r="DN75" s="2336">
        <v>21.282795504690455</v>
      </c>
      <c r="DO75" s="2336">
        <v>21.354561720520376</v>
      </c>
      <c r="DP75" s="2336">
        <v>21.425890454045263</v>
      </c>
      <c r="DQ75" s="2336">
        <v>21.49678079305496</v>
      </c>
      <c r="DR75" s="2336">
        <v>21.567231894788538</v>
      </c>
      <c r="DS75" s="2336">
        <v>21.637242985402768</v>
      </c>
      <c r="DT75" s="2336">
        <v>21.70681335942016</v>
      </c>
      <c r="DU75" s="2336">
        <v>21.775942379157119</v>
      </c>
    </row>
    <row r="76" spans="1:125">
      <c r="A76" s="909">
        <v>74</v>
      </c>
      <c r="B76" s="90"/>
      <c r="C76" s="90"/>
      <c r="D76" s="90"/>
      <c r="E76" s="90"/>
      <c r="F76" s="90"/>
      <c r="G76" s="90"/>
      <c r="H76" s="90"/>
      <c r="I76" s="90"/>
      <c r="J76" s="90"/>
      <c r="K76" s="90"/>
      <c r="L76" s="90"/>
      <c r="M76" s="90"/>
      <c r="N76" s="90"/>
      <c r="O76" s="90"/>
      <c r="P76" s="90"/>
      <c r="Q76" s="90"/>
      <c r="R76" s="90"/>
      <c r="S76" s="90"/>
      <c r="T76" s="90"/>
      <c r="U76" s="90"/>
      <c r="V76" s="739"/>
      <c r="W76" s="739">
        <v>12.56</v>
      </c>
      <c r="X76" s="739">
        <v>12.66</v>
      </c>
      <c r="Y76" s="2336">
        <v>12.781760755633769</v>
      </c>
      <c r="Z76" s="2336">
        <v>12.902368936427964</v>
      </c>
      <c r="AA76" s="2336">
        <v>13.003960964397246</v>
      </c>
      <c r="AB76" s="2336">
        <v>13.083642157792831</v>
      </c>
      <c r="AC76" s="2336">
        <v>13.182031430708971</v>
      </c>
      <c r="AD76" s="2336">
        <v>13.23855040517503</v>
      </c>
      <c r="AE76" s="2336">
        <v>13.340418260690926</v>
      </c>
      <c r="AF76" s="2336">
        <v>13.450860154480914</v>
      </c>
      <c r="AG76" s="2336">
        <v>13.504090329552419</v>
      </c>
      <c r="AH76" s="2336">
        <v>13.573361652392586</v>
      </c>
      <c r="AI76" s="2336">
        <v>13.641399948006919</v>
      </c>
      <c r="AJ76" s="2336">
        <v>13.747789692096577</v>
      </c>
      <c r="AK76" s="2336">
        <v>13.855544559715433</v>
      </c>
      <c r="AL76" s="2336">
        <v>13.957092820094919</v>
      </c>
      <c r="AM76" s="2336">
        <v>14.080199616155227</v>
      </c>
      <c r="AN76" s="2336">
        <v>14.178116156698257</v>
      </c>
      <c r="AO76" s="2336">
        <v>14.24124387823332</v>
      </c>
      <c r="AP76" s="2336">
        <v>14.287609706306426</v>
      </c>
      <c r="AQ76" s="2336">
        <v>14.322760075116401</v>
      </c>
      <c r="AR76" s="2336">
        <v>14.373635948194551</v>
      </c>
      <c r="AS76" s="2336">
        <v>14.397685297478349</v>
      </c>
      <c r="AT76" s="2336">
        <v>14.443400479746979</v>
      </c>
      <c r="AU76" s="2336">
        <v>14.489628133012078</v>
      </c>
      <c r="AV76" s="2336">
        <v>14.562055768899986</v>
      </c>
      <c r="AW76" s="2336">
        <v>14.656305680796452</v>
      </c>
      <c r="AX76" s="2336">
        <v>14.746851044309137</v>
      </c>
      <c r="AY76" s="2336">
        <v>14.841610567849036</v>
      </c>
      <c r="AZ76" s="2336">
        <v>14.935848320674239</v>
      </c>
      <c r="BA76" s="2336">
        <v>15.029578944145639</v>
      </c>
      <c r="BB76" s="2336">
        <v>15.12281926577152</v>
      </c>
      <c r="BC76" s="2336">
        <v>15.215586579282737</v>
      </c>
      <c r="BD76" s="2336">
        <v>15.307897418219492</v>
      </c>
      <c r="BE76" s="2336">
        <v>15.39976736548684</v>
      </c>
      <c r="BF76" s="2336">
        <v>15.491211318502472</v>
      </c>
      <c r="BG76" s="2336">
        <v>15.582243715329762</v>
      </c>
      <c r="BH76" s="2336">
        <v>15.672878713088219</v>
      </c>
      <c r="BI76" s="2336">
        <v>15.763130317960035</v>
      </c>
      <c r="BJ76" s="2336">
        <v>15.853012417050428</v>
      </c>
      <c r="BK76" s="2336">
        <v>15.942538578211632</v>
      </c>
      <c r="BL76" s="2336">
        <v>16.031825286533657</v>
      </c>
      <c r="BM76" s="2336">
        <v>16.120867567563145</v>
      </c>
      <c r="BN76" s="2336">
        <v>16.209660500711585</v>
      </c>
      <c r="BO76" s="2336">
        <v>16.298199220199557</v>
      </c>
      <c r="BP76" s="2336">
        <v>16.386478915990129</v>
      </c>
      <c r="BQ76" s="2336">
        <v>16.47449483470783</v>
      </c>
      <c r="BR76" s="2336">
        <v>16.562242280543728</v>
      </c>
      <c r="BS76" s="2336">
        <v>16.649716616144495</v>
      </c>
      <c r="BT76" s="2336">
        <v>16.736913263485519</v>
      </c>
      <c r="BU76" s="2336">
        <v>16.823827704725154</v>
      </c>
      <c r="BV76" s="2336">
        <v>16.910455483042181</v>
      </c>
      <c r="BW76" s="2336">
        <v>16.996792203451626</v>
      </c>
      <c r="BX76" s="2336">
        <v>17.08283353360223</v>
      </c>
      <c r="BY76" s="2336">
        <v>17.168575204551161</v>
      </c>
      <c r="BZ76" s="2336">
        <v>17.254013011517312</v>
      </c>
      <c r="CA76" s="2336">
        <v>17.339142814611339</v>
      </c>
      <c r="CB76" s="2336">
        <v>17.423960539542506</v>
      </c>
      <c r="CC76" s="2336">
        <v>17.508462178300679</v>
      </c>
      <c r="CD76" s="2336">
        <v>17.592643789813319</v>
      </c>
      <c r="CE76" s="2336">
        <v>17.676501500577729</v>
      </c>
      <c r="CF76" s="2336">
        <v>17.760031505264958</v>
      </c>
      <c r="CG76" s="2336">
        <v>17.843230067299736</v>
      </c>
      <c r="CH76" s="2336">
        <v>17.926093519410021</v>
      </c>
      <c r="CI76" s="2336">
        <v>18.008618264151529</v>
      </c>
      <c r="CJ76" s="2336">
        <v>18.090800774401714</v>
      </c>
      <c r="CK76" s="2336">
        <v>18.172637593827051</v>
      </c>
      <c r="CL76" s="2336">
        <v>18.254125337319774</v>
      </c>
      <c r="CM76" s="2336">
        <v>18.335260691406337</v>
      </c>
      <c r="CN76" s="2336">
        <v>18.416040414626487</v>
      </c>
      <c r="CO76" s="2336">
        <v>18.496461337881126</v>
      </c>
      <c r="CP76" s="2336">
        <v>18.576520364751737</v>
      </c>
      <c r="CQ76" s="2336">
        <v>18.656214471789305</v>
      </c>
      <c r="CR76" s="2336">
        <v>18.735540708772682</v>
      </c>
      <c r="CS76" s="2336">
        <v>18.814496198936844</v>
      </c>
      <c r="CT76" s="2336">
        <v>18.893078139171081</v>
      </c>
      <c r="CU76" s="2336">
        <v>18.971283800185923</v>
      </c>
      <c r="CV76" s="2336">
        <v>19.049110526651365</v>
      </c>
      <c r="CW76" s="2336">
        <v>19.126555737303566</v>
      </c>
      <c r="CX76" s="2336">
        <v>19.203616925021503</v>
      </c>
      <c r="CY76" s="2336">
        <v>19.280291656874581</v>
      </c>
      <c r="CZ76" s="2336">
        <v>19.35657757413955</v>
      </c>
      <c r="DA76" s="2336">
        <v>19.432472392287913</v>
      </c>
      <c r="DB76" s="2336">
        <v>19.507973900944332</v>
      </c>
      <c r="DC76" s="2336">
        <v>19.583079963815905</v>
      </c>
      <c r="DD76" s="2336">
        <v>19.657788518591857</v>
      </c>
      <c r="DE76" s="2336">
        <v>19.73209757681586</v>
      </c>
      <c r="DF76" s="2336">
        <v>19.806005223728945</v>
      </c>
      <c r="DG76" s="2336">
        <v>19.87950961808583</v>
      </c>
      <c r="DH76" s="2336">
        <v>19.952608991942473</v>
      </c>
      <c r="DI76" s="2336">
        <v>20.025301650418296</v>
      </c>
      <c r="DJ76" s="2336">
        <v>20.097585971429684</v>
      </c>
      <c r="DK76" s="2336">
        <v>20.169460405399136</v>
      </c>
      <c r="DL76" s="2336">
        <v>20.240923474938334</v>
      </c>
      <c r="DM76" s="2336">
        <v>20.311973774504722</v>
      </c>
      <c r="DN76" s="2336">
        <v>20.382609970035805</v>
      </c>
      <c r="DO76" s="2336">
        <v>20.452830798556963</v>
      </c>
      <c r="DP76" s="2336">
        <v>20.522635067766707</v>
      </c>
      <c r="DQ76" s="2336">
        <v>20.592021655599357</v>
      </c>
      <c r="DR76" s="2336">
        <v>20.660989509763795</v>
      </c>
      <c r="DS76" s="2336">
        <v>20.729537647261573</v>
      </c>
      <c r="DT76" s="2336">
        <v>20.797665153883248</v>
      </c>
      <c r="DU76" s="2336">
        <v>20.865371183683408</v>
      </c>
    </row>
    <row r="77" spans="1:125">
      <c r="A77" s="909">
        <v>75</v>
      </c>
      <c r="B77" s="90"/>
      <c r="C77" s="90"/>
      <c r="D77" s="90"/>
      <c r="E77" s="90"/>
      <c r="F77" s="90"/>
      <c r="G77" s="90"/>
      <c r="H77" s="90"/>
      <c r="I77" s="90"/>
      <c r="J77" s="90"/>
      <c r="K77" s="90"/>
      <c r="L77" s="90"/>
      <c r="M77" s="90"/>
      <c r="N77" s="90"/>
      <c r="O77" s="90"/>
      <c r="P77" s="90"/>
      <c r="Q77" s="90"/>
      <c r="R77" s="90"/>
      <c r="S77" s="90"/>
      <c r="T77" s="90"/>
      <c r="U77" s="90"/>
      <c r="V77" s="739"/>
      <c r="W77" s="739">
        <v>11.92</v>
      </c>
      <c r="X77" s="739">
        <v>12.01</v>
      </c>
      <c r="Y77" s="2336">
        <v>12.112245013834738</v>
      </c>
      <c r="Z77" s="2336">
        <v>12.231393243985963</v>
      </c>
      <c r="AA77" s="2336">
        <v>12.31454074717738</v>
      </c>
      <c r="AB77" s="2336">
        <v>12.389680293988356</v>
      </c>
      <c r="AC77" s="2336">
        <v>12.481873589317612</v>
      </c>
      <c r="AD77" s="2336">
        <v>12.545613306957137</v>
      </c>
      <c r="AE77" s="2336">
        <v>12.632158616541643</v>
      </c>
      <c r="AF77" s="2336">
        <v>12.735858675469421</v>
      </c>
      <c r="AG77" s="2336">
        <v>12.780001575671315</v>
      </c>
      <c r="AH77" s="2336">
        <v>12.842239146220916</v>
      </c>
      <c r="AI77" s="2336">
        <v>12.904762914700257</v>
      </c>
      <c r="AJ77" s="2336">
        <v>13.008884303658439</v>
      </c>
      <c r="AK77" s="2336">
        <v>13.108304421356486</v>
      </c>
      <c r="AL77" s="2336">
        <v>13.211220152986852</v>
      </c>
      <c r="AM77" s="2336">
        <v>13.328280696657876</v>
      </c>
      <c r="AN77" s="2336">
        <v>13.422139473635909</v>
      </c>
      <c r="AO77" s="2336">
        <v>13.475213599493731</v>
      </c>
      <c r="AP77" s="2336">
        <v>13.530529901817555</v>
      </c>
      <c r="AQ77" s="2336">
        <v>13.563893785273549</v>
      </c>
      <c r="AR77" s="2336">
        <v>13.621332798431064</v>
      </c>
      <c r="AS77" s="2336">
        <v>13.652150966315718</v>
      </c>
      <c r="AT77" s="2336">
        <v>13.698211124940054</v>
      </c>
      <c r="AU77" s="2336">
        <v>13.755002031757643</v>
      </c>
      <c r="AV77" s="2336">
        <v>13.831603290808967</v>
      </c>
      <c r="AW77" s="2336">
        <v>13.930330442005843</v>
      </c>
      <c r="AX77" s="2336">
        <v>14.022080007634836</v>
      </c>
      <c r="AY77" s="2336">
        <v>14.113322174042924</v>
      </c>
      <c r="AZ77" s="2336">
        <v>14.204068009815126</v>
      </c>
      <c r="BA77" s="2336">
        <v>14.29433290157106</v>
      </c>
      <c r="BB77" s="2336">
        <v>14.384134409185798</v>
      </c>
      <c r="BC77" s="2336">
        <v>14.473490514104533</v>
      </c>
      <c r="BD77" s="2336">
        <v>14.562418373280458</v>
      </c>
      <c r="BE77" s="2336">
        <v>14.650934128946639</v>
      </c>
      <c r="BF77" s="2336">
        <v>14.73905318173018</v>
      </c>
      <c r="BG77" s="2336">
        <v>14.826790423447871</v>
      </c>
      <c r="BH77" s="2336">
        <v>14.914160420863684</v>
      </c>
      <c r="BI77" s="2336">
        <v>15.0011775498528</v>
      </c>
      <c r="BJ77" s="2336">
        <v>15.087856029597289</v>
      </c>
      <c r="BK77" s="2336">
        <v>15.174329815220442</v>
      </c>
      <c r="BL77" s="2336">
        <v>15.26059381292292</v>
      </c>
      <c r="BM77" s="2336">
        <v>15.346642976526768</v>
      </c>
      <c r="BN77" s="2336">
        <v>15.432472308571914</v>
      </c>
      <c r="BO77" s="2336">
        <v>15.518076861397553</v>
      </c>
      <c r="BP77" s="2336">
        <v>15.603451738210941</v>
      </c>
      <c r="BQ77" s="2336">
        <v>15.688592094140011</v>
      </c>
      <c r="BR77" s="2336">
        <v>15.773493137270302</v>
      </c>
      <c r="BS77" s="2336">
        <v>15.858150129664159</v>
      </c>
      <c r="BT77" s="2336">
        <v>15.942558388362151</v>
      </c>
      <c r="BU77" s="2336">
        <v>16.026713286363925</v>
      </c>
      <c r="BV77" s="2336">
        <v>16.110610253590472</v>
      </c>
      <c r="BW77" s="2336">
        <v>16.19424477782297</v>
      </c>
      <c r="BX77" s="2336">
        <v>16.277612405621561</v>
      </c>
      <c r="BY77" s="2336">
        <v>16.360708743219604</v>
      </c>
      <c r="BZ77" s="2336">
        <v>16.443529457394767</v>
      </c>
      <c r="CA77" s="2336">
        <v>16.526070276315107</v>
      </c>
      <c r="CB77" s="2336">
        <v>16.608326990360272</v>
      </c>
      <c r="CC77" s="2336">
        <v>16.690295452916068</v>
      </c>
      <c r="CD77" s="2336">
        <v>16.771971581142363</v>
      </c>
      <c r="CE77" s="2336">
        <v>16.853351356714548</v>
      </c>
      <c r="CF77" s="2336">
        <v>16.934430826534889</v>
      </c>
      <c r="CG77" s="2336">
        <v>17.015206103418354</v>
      </c>
      <c r="CH77" s="2336">
        <v>17.095673366746276</v>
      </c>
      <c r="CI77" s="2336">
        <v>17.175828863093386</v>
      </c>
      <c r="CJ77" s="2336">
        <v>17.25566890682266</v>
      </c>
      <c r="CK77" s="2336">
        <v>17.3351898806518</v>
      </c>
      <c r="CL77" s="2336">
        <v>17.414388236187619</v>
      </c>
      <c r="CM77" s="2336">
        <v>17.493260494430452</v>
      </c>
      <c r="CN77" s="2336">
        <v>17.571803246247661</v>
      </c>
      <c r="CO77" s="2336">
        <v>17.650013152814292</v>
      </c>
      <c r="CP77" s="2336">
        <v>17.727886946023766</v>
      </c>
      <c r="CQ77" s="2336">
        <v>17.805421428866477</v>
      </c>
      <c r="CR77" s="2336">
        <v>17.882613475776328</v>
      </c>
      <c r="CS77" s="2336">
        <v>17.959460032945582</v>
      </c>
      <c r="CT77" s="2336">
        <v>18.035958118608153</v>
      </c>
      <c r="CU77" s="2336">
        <v>18.112104823290149</v>
      </c>
      <c r="CV77" s="2336">
        <v>18.187897310030163</v>
      </c>
      <c r="CW77" s="2336">
        <v>18.263332814566599</v>
      </c>
      <c r="CX77" s="2336">
        <v>18.338408645493509</v>
      </c>
      <c r="CY77" s="2336">
        <v>18.413122184385859</v>
      </c>
      <c r="CZ77" s="2336">
        <v>18.487470885892723</v>
      </c>
      <c r="DA77" s="2336">
        <v>18.561452277799493</v>
      </c>
      <c r="DB77" s="2336">
        <v>18.635063961059714</v>
      </c>
      <c r="DC77" s="2336">
        <v>18.708303609796346</v>
      </c>
      <c r="DD77" s="2336">
        <v>18.781168971272052</v>
      </c>
      <c r="DE77" s="2336">
        <v>18.853657865830755</v>
      </c>
      <c r="DF77" s="2336">
        <v>18.92576818680838</v>
      </c>
      <c r="DG77" s="2336">
        <v>18.997497900415709</v>
      </c>
      <c r="DH77" s="2336">
        <v>19.068845045591047</v>
      </c>
      <c r="DI77" s="2336">
        <v>19.139807733826277</v>
      </c>
      <c r="DJ77" s="2336">
        <v>19.210384148962852</v>
      </c>
      <c r="DK77" s="2336">
        <v>19.280572546962105</v>
      </c>
      <c r="DL77" s="2336">
        <v>19.350371255648223</v>
      </c>
      <c r="DM77" s="2336">
        <v>19.419778674423394</v>
      </c>
      <c r="DN77" s="2336">
        <v>19.488793273959448</v>
      </c>
      <c r="DO77" s="2336">
        <v>19.557413595861696</v>
      </c>
      <c r="DP77" s="2336">
        <v>19.625638252309006</v>
      </c>
      <c r="DQ77" s="2336">
        <v>19.693465925670012</v>
      </c>
      <c r="DR77" s="2336">
        <v>19.760895368094232</v>
      </c>
      <c r="DS77" s="2336">
        <v>19.827925401081242</v>
      </c>
      <c r="DT77" s="2336">
        <v>19.894554915026951</v>
      </c>
      <c r="DU77" s="2336">
        <v>19.960782868747323</v>
      </c>
    </row>
    <row r="78" spans="1:125">
      <c r="A78" s="909">
        <v>76</v>
      </c>
      <c r="B78" s="90"/>
      <c r="C78" s="90"/>
      <c r="D78" s="90"/>
      <c r="E78" s="90"/>
      <c r="F78" s="90"/>
      <c r="G78" s="90"/>
      <c r="H78" s="90"/>
      <c r="I78" s="90"/>
      <c r="J78" s="90"/>
      <c r="K78" s="90"/>
      <c r="L78" s="90"/>
      <c r="M78" s="90"/>
      <c r="N78" s="90"/>
      <c r="O78" s="90"/>
      <c r="P78" s="90"/>
      <c r="Q78" s="90"/>
      <c r="R78" s="90"/>
      <c r="S78" s="90"/>
      <c r="T78" s="90"/>
      <c r="U78" s="90"/>
      <c r="V78" s="739"/>
      <c r="W78" s="739">
        <v>11.28</v>
      </c>
      <c r="X78" s="739">
        <v>11.35</v>
      </c>
      <c r="Y78" s="2336">
        <v>11.461077836916095</v>
      </c>
      <c r="Z78" s="2336">
        <v>11.563736974096527</v>
      </c>
      <c r="AA78" s="2336">
        <v>11.639847568263404</v>
      </c>
      <c r="AB78" s="2336">
        <v>11.707187291319615</v>
      </c>
      <c r="AC78" s="2336">
        <v>11.815985799387166</v>
      </c>
      <c r="AD78" s="2336">
        <v>11.864039575207356</v>
      </c>
      <c r="AE78" s="2336">
        <v>11.928982750822636</v>
      </c>
      <c r="AF78" s="2336">
        <v>12.031260236185531</v>
      </c>
      <c r="AG78" s="2336">
        <v>12.068968738930453</v>
      </c>
      <c r="AH78" s="2336">
        <v>12.132200858003134</v>
      </c>
      <c r="AI78" s="2336">
        <v>12.192146898325214</v>
      </c>
      <c r="AJ78" s="2336">
        <v>12.28547160644808</v>
      </c>
      <c r="AK78" s="2336">
        <v>12.381090188542478</v>
      </c>
      <c r="AL78" s="2336">
        <v>12.481537663278619</v>
      </c>
      <c r="AM78" s="2336">
        <v>12.592674776425747</v>
      </c>
      <c r="AN78" s="2336">
        <v>12.672310001319664</v>
      </c>
      <c r="AO78" s="2336">
        <v>12.73240724945707</v>
      </c>
      <c r="AP78" s="2336">
        <v>12.779157065224007</v>
      </c>
      <c r="AQ78" s="2336">
        <v>12.821813846214079</v>
      </c>
      <c r="AR78" s="2336">
        <v>12.883490159495881</v>
      </c>
      <c r="AS78" s="2336">
        <v>12.917206749983976</v>
      </c>
      <c r="AT78" s="2336">
        <v>12.9654717605033</v>
      </c>
      <c r="AU78" s="2336">
        <v>13.035945321575189</v>
      </c>
      <c r="AV78" s="2336">
        <v>13.129801579147971</v>
      </c>
      <c r="AW78" s="2336">
        <v>13.218487542667912</v>
      </c>
      <c r="AX78" s="2336">
        <v>13.306683568700322</v>
      </c>
      <c r="AY78" s="2336">
        <v>13.394394739159004</v>
      </c>
      <c r="AZ78" s="2336">
        <v>13.481632935685894</v>
      </c>
      <c r="BA78" s="2336">
        <v>13.56841439240427</v>
      </c>
      <c r="BB78" s="2336">
        <v>13.654757503218264</v>
      </c>
      <c r="BC78" s="2336">
        <v>13.740681034889578</v>
      </c>
      <c r="BD78" s="2336">
        <v>13.826202859190156</v>
      </c>
      <c r="BE78" s="2336">
        <v>13.911339762939866</v>
      </c>
      <c r="BF78" s="2336">
        <v>13.996107729981238</v>
      </c>
      <c r="BG78" s="2336">
        <v>14.080522181379575</v>
      </c>
      <c r="BH78" s="2336">
        <v>14.164598165117566</v>
      </c>
      <c r="BI78" s="2336">
        <v>14.248350494870266</v>
      </c>
      <c r="BJ78" s="2336">
        <v>14.331931615483152</v>
      </c>
      <c r="BK78" s="2336">
        <v>14.415336351695521</v>
      </c>
      <c r="BL78" s="2336">
        <v>14.498559569504156</v>
      </c>
      <c r="BM78" s="2336">
        <v>14.581596177388652</v>
      </c>
      <c r="BN78" s="2336">
        <v>14.664441127526539</v>
      </c>
      <c r="BO78" s="2336">
        <v>14.747089416992102</v>
      </c>
      <c r="BP78" s="2336">
        <v>14.829536088941309</v>
      </c>
      <c r="BQ78" s="2336">
        <v>14.911776233779316</v>
      </c>
      <c r="BR78" s="2336">
        <v>14.993804990311034</v>
      </c>
      <c r="BS78" s="2336">
        <v>15.075617546872699</v>
      </c>
      <c r="BT78" s="2336">
        <v>15.15720914244438</v>
      </c>
      <c r="BU78" s="2336">
        <v>15.238575067740655</v>
      </c>
      <c r="BV78" s="2336">
        <v>15.319710666281452</v>
      </c>
      <c r="BW78" s="2336">
        <v>15.400611335438136</v>
      </c>
      <c r="BX78" s="2336">
        <v>15.481272527458357</v>
      </c>
      <c r="BY78" s="2336">
        <v>15.561689750465016</v>
      </c>
      <c r="BZ78" s="2336">
        <v>15.641858569430854</v>
      </c>
      <c r="CA78" s="2336">
        <v>15.721774607126751</v>
      </c>
      <c r="CB78" s="2336">
        <v>15.801433545043922</v>
      </c>
      <c r="CC78" s="2336">
        <v>15.880831124288177</v>
      </c>
      <c r="CD78" s="2336">
        <v>15.959963146446302</v>
      </c>
      <c r="CE78" s="2336">
        <v>16.038825474424755</v>
      </c>
      <c r="CF78" s="2336">
        <v>16.117414033256999</v>
      </c>
      <c r="CG78" s="2336">
        <v>16.195724810884098</v>
      </c>
      <c r="CH78" s="2336">
        <v>16.273753858901898</v>
      </c>
      <c r="CI78" s="2336">
        <v>16.351497293280389</v>
      </c>
      <c r="CJ78" s="2336">
        <v>16.428951295049622</v>
      </c>
      <c r="CK78" s="2336">
        <v>16.506112110956121</v>
      </c>
      <c r="CL78" s="2336">
        <v>16.582976054085893</v>
      </c>
      <c r="CM78" s="2336">
        <v>16.659539504456383</v>
      </c>
      <c r="CN78" s="2336">
        <v>16.735798909576257</v>
      </c>
      <c r="CO78" s="2336">
        <v>16.811750784971142</v>
      </c>
      <c r="CP78" s="2336">
        <v>16.887391714678284</v>
      </c>
      <c r="CQ78" s="2336">
        <v>16.962718351707895</v>
      </c>
      <c r="CR78" s="2336">
        <v>17.037727418471256</v>
      </c>
      <c r="CS78" s="2336">
        <v>17.112415707176027</v>
      </c>
      <c r="CT78" s="2336">
        <v>17.186780080188793</v>
      </c>
      <c r="CU78" s="2336">
        <v>17.260817470363701</v>
      </c>
      <c r="CV78" s="2336">
        <v>17.334524881339767</v>
      </c>
      <c r="CW78" s="2336">
        <v>17.407899387804008</v>
      </c>
      <c r="CX78" s="2336">
        <v>17.480938135721956</v>
      </c>
      <c r="CY78" s="2336">
        <v>17.553638342536523</v>
      </c>
      <c r="CZ78" s="2336">
        <v>17.625997297333598</v>
      </c>
      <c r="DA78" s="2336">
        <v>17.698012360975596</v>
      </c>
      <c r="DB78" s="2336">
        <v>17.769680966203484</v>
      </c>
      <c r="DC78" s="2336">
        <v>17.841000617707113</v>
      </c>
      <c r="DD78" s="2336">
        <v>17.911968892163529</v>
      </c>
      <c r="DE78" s="2336">
        <v>17.982583438245346</v>
      </c>
      <c r="DF78" s="2336">
        <v>18.052841976597328</v>
      </c>
      <c r="DG78" s="2336">
        <v>18.122742299783894</v>
      </c>
      <c r="DH78" s="2336">
        <v>18.192282272205372</v>
      </c>
      <c r="DI78" s="2336">
        <v>18.26145982998662</v>
      </c>
      <c r="DJ78" s="2336">
        <v>18.330272980834376</v>
      </c>
      <c r="DK78" s="2336">
        <v>18.398719803868001</v>
      </c>
      <c r="DL78" s="2336">
        <v>18.466798449421667</v>
      </c>
      <c r="DM78" s="2336">
        <v>18.534507138817787</v>
      </c>
      <c r="DN78" s="2336">
        <v>18.601844164115782</v>
      </c>
      <c r="DO78" s="2336">
        <v>18.66880788783202</v>
      </c>
      <c r="DP78" s="2336">
        <v>18.735396742634954</v>
      </c>
      <c r="DQ78" s="2336">
        <v>18.801609231015323</v>
      </c>
      <c r="DR78" s="2336">
        <v>18.867443924930242</v>
      </c>
      <c r="DS78" s="2336">
        <v>18.932899465424285</v>
      </c>
      <c r="DT78" s="2336">
        <v>18.997974562226652</v>
      </c>
      <c r="DU78" s="2336">
        <v>19.062667993324748</v>
      </c>
    </row>
    <row r="79" spans="1:125">
      <c r="A79" s="909">
        <v>77</v>
      </c>
      <c r="B79" s="90"/>
      <c r="C79" s="90"/>
      <c r="D79" s="90"/>
      <c r="E79" s="90"/>
      <c r="F79" s="90"/>
      <c r="G79" s="90"/>
      <c r="H79" s="90"/>
      <c r="I79" s="90"/>
      <c r="J79" s="90"/>
      <c r="K79" s="90"/>
      <c r="L79" s="90"/>
      <c r="M79" s="90"/>
      <c r="N79" s="90"/>
      <c r="O79" s="90"/>
      <c r="P79" s="90"/>
      <c r="Q79" s="90"/>
      <c r="R79" s="90"/>
      <c r="S79" s="90"/>
      <c r="T79" s="90"/>
      <c r="U79" s="90"/>
      <c r="V79" s="739"/>
      <c r="W79" s="739">
        <v>10.65</v>
      </c>
      <c r="X79" s="739">
        <v>10.73</v>
      </c>
      <c r="Y79" s="2336">
        <v>10.817760833674022</v>
      </c>
      <c r="Z79" s="2336">
        <v>10.910827303530112</v>
      </c>
      <c r="AA79" s="2336">
        <v>10.981490050790741</v>
      </c>
      <c r="AB79" s="2336">
        <v>11.050918253911204</v>
      </c>
      <c r="AC79" s="2336">
        <v>11.148817426253355</v>
      </c>
      <c r="AD79" s="2336">
        <v>11.190015441126377</v>
      </c>
      <c r="AE79" s="2336">
        <v>11.246505047925309</v>
      </c>
      <c r="AF79" s="2336">
        <v>11.333658526186099</v>
      </c>
      <c r="AG79" s="2336">
        <v>11.378504261488857</v>
      </c>
      <c r="AH79" s="2336">
        <v>11.432152073469402</v>
      </c>
      <c r="AI79" s="2336">
        <v>11.49265404273155</v>
      </c>
      <c r="AJ79" s="2336">
        <v>11.578527370935422</v>
      </c>
      <c r="AK79" s="2336">
        <v>11.668288774234826</v>
      </c>
      <c r="AL79" s="2336">
        <v>11.767569388138538</v>
      </c>
      <c r="AM79" s="2336">
        <v>11.861047278671464</v>
      </c>
      <c r="AN79" s="2336">
        <v>11.950573610419323</v>
      </c>
      <c r="AO79" s="2336">
        <v>12.000164885033312</v>
      </c>
      <c r="AP79" s="2336">
        <v>12.049675735466687</v>
      </c>
      <c r="AQ79" s="2336">
        <v>12.096588412906083</v>
      </c>
      <c r="AR79" s="2336">
        <v>12.14886194035725</v>
      </c>
      <c r="AS79" s="2336">
        <v>12.194007090551992</v>
      </c>
      <c r="AT79" s="2336">
        <v>12.258587554370472</v>
      </c>
      <c r="AU79" s="2336">
        <v>12.345372473613985</v>
      </c>
      <c r="AV79" s="2336">
        <v>12.430950178435651</v>
      </c>
      <c r="AW79" s="2336">
        <v>12.516060724134626</v>
      </c>
      <c r="AX79" s="2336">
        <v>12.600700647466466</v>
      </c>
      <c r="AY79" s="2336">
        <v>12.684875847519169</v>
      </c>
      <c r="AZ79" s="2336">
        <v>12.768599127658831</v>
      </c>
      <c r="BA79" s="2336">
        <v>12.851887682810363</v>
      </c>
      <c r="BB79" s="2336">
        <v>12.934760853417117</v>
      </c>
      <c r="BC79" s="2336">
        <v>13.017238299324926</v>
      </c>
      <c r="BD79" s="2336">
        <v>13.099338707730393</v>
      </c>
      <c r="BE79" s="2336">
        <v>13.181079603560807</v>
      </c>
      <c r="BF79" s="2336">
        <v>13.262477641347759</v>
      </c>
      <c r="BG79" s="2336">
        <v>13.34354885369374</v>
      </c>
      <c r="BH79" s="2336">
        <v>13.42430884759059</v>
      </c>
      <c r="BI79" s="2336">
        <v>13.504929612206542</v>
      </c>
      <c r="BJ79" s="2336">
        <v>13.585405928243942</v>
      </c>
      <c r="BK79" s="2336">
        <v>13.665732611283936</v>
      </c>
      <c r="BL79" s="2336">
        <v>13.745904513126256</v>
      </c>
      <c r="BM79" s="2336">
        <v>13.825916523113339</v>
      </c>
      <c r="BN79" s="2336">
        <v>13.905763569443481</v>
      </c>
      <c r="BO79" s="2336">
        <v>13.985440620466898</v>
      </c>
      <c r="BP79" s="2336">
        <v>14.064942685967113</v>
      </c>
      <c r="BQ79" s="2336">
        <v>14.144264818424091</v>
      </c>
      <c r="BR79" s="2336">
        <v>14.2234021142597</v>
      </c>
      <c r="BS79" s="2336">
        <v>14.302349715063311</v>
      </c>
      <c r="BT79" s="2336">
        <v>14.381102808797554</v>
      </c>
      <c r="BU79" s="2336">
        <v>14.459656630981453</v>
      </c>
      <c r="BV79" s="2336">
        <v>14.53800646585289</v>
      </c>
      <c r="BW79" s="2336">
        <v>14.616147647505516</v>
      </c>
      <c r="BX79" s="2336">
        <v>14.694075561003634</v>
      </c>
      <c r="BY79" s="2336">
        <v>14.77178564347035</v>
      </c>
      <c r="BZ79" s="2336">
        <v>14.849273385150587</v>
      </c>
      <c r="CA79" s="2336">
        <v>14.926534330446961</v>
      </c>
      <c r="CB79" s="2336">
        <v>15.003564078928784</v>
      </c>
      <c r="CC79" s="2336">
        <v>15.08035828631229</v>
      </c>
      <c r="CD79" s="2336">
        <v>15.156912665412221</v>
      </c>
      <c r="CE79" s="2336">
        <v>15.233222987064883</v>
      </c>
      <c r="CF79" s="2336">
        <v>15.309285081019057</v>
      </c>
      <c r="CG79" s="2336">
        <v>15.385094836799396</v>
      </c>
      <c r="CH79" s="2336">
        <v>15.460648204535566</v>
      </c>
      <c r="CI79" s="2336">
        <v>15.535941195762788</v>
      </c>
      <c r="CJ79" s="2336">
        <v>15.610969884188171</v>
      </c>
      <c r="CK79" s="2336">
        <v>15.68573040642667</v>
      </c>
      <c r="CL79" s="2336">
        <v>15.760218962702943</v>
      </c>
      <c r="CM79" s="2336">
        <v>15.834431817521274</v>
      </c>
      <c r="CN79" s="2336">
        <v>15.908365300302565</v>
      </c>
      <c r="CO79" s="2336">
        <v>15.982015805986526</v>
      </c>
      <c r="CP79" s="2336">
        <v>16.055379795601894</v>
      </c>
      <c r="CQ79" s="2336">
        <v>16.128453796802678</v>
      </c>
      <c r="CR79" s="2336">
        <v>16.201234404370236</v>
      </c>
      <c r="CS79" s="2336">
        <v>16.273718280681873</v>
      </c>
      <c r="CT79" s="2336">
        <v>16.345902156145772</v>
      </c>
      <c r="CU79" s="2336">
        <v>16.417782829601336</v>
      </c>
      <c r="CV79" s="2336">
        <v>16.489357168687327</v>
      </c>
      <c r="CW79" s="2336">
        <v>16.560622110175014</v>
      </c>
      <c r="CX79" s="2336">
        <v>16.63157466026799</v>
      </c>
      <c r="CY79" s="2336">
        <v>16.702211894869446</v>
      </c>
      <c r="CZ79" s="2336">
        <v>16.772530959815441</v>
      </c>
      <c r="DA79" s="2336">
        <v>16.842529071075273</v>
      </c>
      <c r="DB79" s="2336">
        <v>16.912203514919543</v>
      </c>
      <c r="DC79" s="2336">
        <v>16.98155164805571</v>
      </c>
      <c r="DD79" s="2336">
        <v>17.050570897730829</v>
      </c>
      <c r="DE79" s="2336">
        <v>17.119258761803497</v>
      </c>
      <c r="DF79" s="2336">
        <v>17.187612808783243</v>
      </c>
      <c r="DG79" s="2336">
        <v>17.255630677839978</v>
      </c>
      <c r="DH79" s="2336">
        <v>17.323310078781418</v>
      </c>
      <c r="DI79" s="2336">
        <v>17.390648792002011</v>
      </c>
      <c r="DJ79" s="2336">
        <v>17.457644668399777</v>
      </c>
      <c r="DK79" s="2336">
        <v>17.524295629265758</v>
      </c>
      <c r="DL79" s="2336">
        <v>17.590599666144012</v>
      </c>
      <c r="DM79" s="2336">
        <v>17.656554840662086</v>
      </c>
      <c r="DN79" s="2336">
        <v>17.72215928433592</v>
      </c>
      <c r="DO79" s="2336">
        <v>17.787411198345179</v>
      </c>
      <c r="DP79" s="2336">
        <v>17.852308853282864</v>
      </c>
      <c r="DQ79" s="2336">
        <v>17.916850588879196</v>
      </c>
      <c r="DR79" s="2336">
        <v>17.981034813698532</v>
      </c>
      <c r="DS79" s="2336">
        <v>18.044860004812421</v>
      </c>
      <c r="DT79" s="2336">
        <v>18.108324707447938</v>
      </c>
      <c r="DU79" s="2336">
        <v>18.171427534611553</v>
      </c>
    </row>
    <row r="80" spans="1:125">
      <c r="A80" s="909">
        <v>78</v>
      </c>
      <c r="B80" s="90"/>
      <c r="C80" s="90"/>
      <c r="D80" s="90"/>
      <c r="E80" s="90"/>
      <c r="F80" s="90"/>
      <c r="G80" s="90"/>
      <c r="H80" s="90"/>
      <c r="I80" s="90"/>
      <c r="J80" s="90"/>
      <c r="K80" s="90"/>
      <c r="L80" s="90"/>
      <c r="M80" s="90"/>
      <c r="N80" s="90"/>
      <c r="O80" s="90"/>
      <c r="P80" s="90"/>
      <c r="Q80" s="90"/>
      <c r="R80" s="90"/>
      <c r="S80" s="90"/>
      <c r="T80" s="90"/>
      <c r="U80" s="90"/>
      <c r="V80" s="739"/>
      <c r="W80" s="739">
        <v>10.039999999999999</v>
      </c>
      <c r="X80" s="739">
        <v>10.1</v>
      </c>
      <c r="Y80" s="2336">
        <v>10.182368744936012</v>
      </c>
      <c r="Z80" s="2336">
        <v>10.270720322377862</v>
      </c>
      <c r="AA80" s="2336">
        <v>10.344100875431641</v>
      </c>
      <c r="AB80" s="2336">
        <v>10.401007633333801</v>
      </c>
      <c r="AC80" s="2336">
        <v>10.484598577020103</v>
      </c>
      <c r="AD80" s="2336">
        <v>10.524383185928974</v>
      </c>
      <c r="AE80" s="2336">
        <v>10.57306893102858</v>
      </c>
      <c r="AF80" s="2336">
        <v>10.658195861752843</v>
      </c>
      <c r="AG80" s="2336">
        <v>10.703594614734358</v>
      </c>
      <c r="AH80" s="2336">
        <v>10.752674541126421</v>
      </c>
      <c r="AI80" s="2336">
        <v>10.802227282147063</v>
      </c>
      <c r="AJ80" s="2336">
        <v>10.88484131022474</v>
      </c>
      <c r="AK80" s="2336">
        <v>10.978490869554118</v>
      </c>
      <c r="AL80" s="2336">
        <v>11.058000084906364</v>
      </c>
      <c r="AM80" s="2336">
        <v>11.155220268776441</v>
      </c>
      <c r="AN80" s="2336">
        <v>11.231466121704139</v>
      </c>
      <c r="AO80" s="2336">
        <v>11.280786175644954</v>
      </c>
      <c r="AP80" s="2336">
        <v>11.334392747929071</v>
      </c>
      <c r="AQ80" s="2336">
        <v>11.377112206504837</v>
      </c>
      <c r="AR80" s="2336">
        <v>11.429087116044581</v>
      </c>
      <c r="AS80" s="2336">
        <v>11.500297812250244</v>
      </c>
      <c r="AT80" s="2336">
        <v>11.576954352365798</v>
      </c>
      <c r="AU80" s="2336">
        <v>11.659389476751723</v>
      </c>
      <c r="AV80" s="2336">
        <v>11.741386980630978</v>
      </c>
      <c r="AW80" s="2336">
        <v>11.82293313457934</v>
      </c>
      <c r="AX80" s="2336">
        <v>11.904025204187045</v>
      </c>
      <c r="AY80" s="2336">
        <v>11.984670014274098</v>
      </c>
      <c r="AZ80" s="2336">
        <v>12.06488141125285</v>
      </c>
      <c r="BA80" s="2336">
        <v>12.144677677275636</v>
      </c>
      <c r="BB80" s="2336">
        <v>12.224079224666832</v>
      </c>
      <c r="BC80" s="2336">
        <v>12.303106726111107</v>
      </c>
      <c r="BD80" s="2336">
        <v>12.381779795656207</v>
      </c>
      <c r="BE80" s="2336">
        <v>12.46011679954805</v>
      </c>
      <c r="BF80" s="2336">
        <v>12.538135159212761</v>
      </c>
      <c r="BG80" s="2336">
        <v>12.615851608994685</v>
      </c>
      <c r="BH80" s="2336">
        <v>12.693459059421636</v>
      </c>
      <c r="BI80" s="2336">
        <v>12.770952283876312</v>
      </c>
      <c r="BJ80" s="2336">
        <v>12.848326084340465</v>
      </c>
      <c r="BK80" s="2336">
        <v>12.925575292821696</v>
      </c>
      <c r="BL80" s="2336">
        <v>13.002694772771367</v>
      </c>
      <c r="BM80" s="2336">
        <v>13.07967942048648</v>
      </c>
      <c r="BN80" s="2336">
        <v>13.1565241665002</v>
      </c>
      <c r="BO80" s="2336">
        <v>13.233223976954932</v>
      </c>
      <c r="BP80" s="2336">
        <v>13.309773854960365</v>
      </c>
      <c r="BQ80" s="2336">
        <v>13.386168841932831</v>
      </c>
      <c r="BR80" s="2336">
        <v>13.462404018916658</v>
      </c>
      <c r="BS80" s="2336">
        <v>13.538474507885265</v>
      </c>
      <c r="BT80" s="2336">
        <v>13.614375473022024</v>
      </c>
      <c r="BU80" s="2336">
        <v>13.690102121978127</v>
      </c>
      <c r="BV80" s="2336">
        <v>13.76564970710939</v>
      </c>
      <c r="BW80" s="2336">
        <v>13.841013526687123</v>
      </c>
      <c r="BX80" s="2336">
        <v>13.916188926086596</v>
      </c>
      <c r="BY80" s="2336">
        <v>13.991171298948375</v>
      </c>
      <c r="BZ80" s="2336">
        <v>14.065956088314151</v>
      </c>
      <c r="CA80" s="2336">
        <v>14.14053878773502</v>
      </c>
      <c r="CB80" s="2336">
        <v>14.214914942352552</v>
      </c>
      <c r="CC80" s="2336">
        <v>14.28908014995063</v>
      </c>
      <c r="CD80" s="2336">
        <v>14.363030061978339</v>
      </c>
      <c r="CE80" s="2336">
        <v>14.436760384543883</v>
      </c>
      <c r="CF80" s="2336">
        <v>14.510266879375969</v>
      </c>
      <c r="CG80" s="2336">
        <v>14.583545364757333</v>
      </c>
      <c r="CH80" s="2336">
        <v>14.656591716423556</v>
      </c>
      <c r="CI80" s="2336">
        <v>14.729401868432952</v>
      </c>
      <c r="CJ80" s="2336">
        <v>14.801971814001776</v>
      </c>
      <c r="CK80" s="2336">
        <v>14.87429760630874</v>
      </c>
      <c r="CL80" s="2336">
        <v>14.946375359264954</v>
      </c>
      <c r="CM80" s="2336">
        <v>15.018201248251561</v>
      </c>
      <c r="CN80" s="2336">
        <v>15.089771510824047</v>
      </c>
      <c r="CO80" s="2336">
        <v>15.161082447381293</v>
      </c>
      <c r="CP80" s="2336">
        <v>15.232130421802264</v>
      </c>
      <c r="CQ80" s="2336">
        <v>15.302911862048294</v>
      </c>
      <c r="CR80" s="2336">
        <v>15.373423260730798</v>
      </c>
      <c r="CS80" s="2336">
        <v>15.443661175645003</v>
      </c>
      <c r="CT80" s="2336">
        <v>15.513622230269679</v>
      </c>
      <c r="CU80" s="2336">
        <v>15.583303114231713</v>
      </c>
      <c r="CV80" s="2336">
        <v>15.652700583738126</v>
      </c>
      <c r="CW80" s="2336">
        <v>15.721811461972596</v>
      </c>
      <c r="CX80" s="2336">
        <v>15.790632639458178</v>
      </c>
      <c r="CY80" s="2336">
        <v>15.859161074387034</v>
      </c>
      <c r="CZ80" s="2336">
        <v>15.927393792915653</v>
      </c>
      <c r="DA80" s="2336">
        <v>15.995327889426695</v>
      </c>
      <c r="DB80" s="2336">
        <v>16.062960526758044</v>
      </c>
      <c r="DC80" s="2336">
        <v>16.13028893639882</v>
      </c>
      <c r="DD80" s="2336">
        <v>16.19731041865208</v>
      </c>
      <c r="DE80" s="2336">
        <v>16.264022342766221</v>
      </c>
      <c r="DF80" s="2336">
        <v>16.330422147033257</v>
      </c>
      <c r="DG80" s="2336">
        <v>16.396507338856669</v>
      </c>
      <c r="DH80" s="2336">
        <v>16.462275494786638</v>
      </c>
      <c r="DI80" s="2336">
        <v>16.52772426052627</v>
      </c>
      <c r="DJ80" s="2336">
        <v>16.592851350905139</v>
      </c>
      <c r="DK80" s="2336">
        <v>16.657654549824883</v>
      </c>
      <c r="DL80" s="2336">
        <v>16.722131710174786</v>
      </c>
      <c r="DM80" s="2336">
        <v>16.786280753717193</v>
      </c>
      <c r="DN80" s="2336">
        <v>16.850099670946861</v>
      </c>
      <c r="DO80" s="2336">
        <v>16.913586520920017</v>
      </c>
      <c r="DP80" s="2336">
        <v>16.976739431057176</v>
      </c>
      <c r="DQ80" s="2336">
        <v>17.039556596919589</v>
      </c>
      <c r="DR80" s="2336">
        <v>17.102036281958068</v>
      </c>
      <c r="DS80" s="2336">
        <v>17.164176817237351</v>
      </c>
      <c r="DT80" s="2336">
        <v>17.225976601135109</v>
      </c>
      <c r="DU80" s="2336">
        <v>17.287434099015787</v>
      </c>
    </row>
    <row r="81" spans="1:125">
      <c r="A81" s="909">
        <v>79</v>
      </c>
      <c r="B81" s="90"/>
      <c r="C81" s="90"/>
      <c r="D81" s="90"/>
      <c r="E81" s="90"/>
      <c r="F81" s="90"/>
      <c r="G81" s="90"/>
      <c r="H81" s="90"/>
      <c r="I81" s="90"/>
      <c r="J81" s="90"/>
      <c r="K81" s="90"/>
      <c r="L81" s="90"/>
      <c r="M81" s="90"/>
      <c r="N81" s="90"/>
      <c r="O81" s="90"/>
      <c r="P81" s="90"/>
      <c r="Q81" s="90"/>
      <c r="R81" s="90"/>
      <c r="S81" s="90"/>
      <c r="T81" s="90"/>
      <c r="U81" s="90"/>
      <c r="V81" s="739"/>
      <c r="W81" s="739">
        <v>9.44</v>
      </c>
      <c r="X81" s="739">
        <v>9.48</v>
      </c>
      <c r="Y81" s="2336">
        <v>9.5674862938763514</v>
      </c>
      <c r="Z81" s="2336">
        <v>9.6621600056604358</v>
      </c>
      <c r="AA81" s="2336">
        <v>9.7160627942571463</v>
      </c>
      <c r="AB81" s="2336">
        <v>9.7651233782793216</v>
      </c>
      <c r="AC81" s="2336">
        <v>9.8364576582885768</v>
      </c>
      <c r="AD81" s="2336">
        <v>9.8691778853399903</v>
      </c>
      <c r="AE81" s="2336">
        <v>9.9247165103888531</v>
      </c>
      <c r="AF81" s="2336">
        <v>10.007775333833706</v>
      </c>
      <c r="AG81" s="2336">
        <v>10.042735585918319</v>
      </c>
      <c r="AH81" s="2336">
        <v>10.088018053287662</v>
      </c>
      <c r="AI81" s="2336">
        <v>10.137514727465483</v>
      </c>
      <c r="AJ81" s="2336">
        <v>10.219010377089106</v>
      </c>
      <c r="AK81" s="2336">
        <v>10.287322869275163</v>
      </c>
      <c r="AL81" s="2336">
        <v>10.377191013313208</v>
      </c>
      <c r="AM81" s="2336">
        <v>10.457893282932027</v>
      </c>
      <c r="AN81" s="2336">
        <v>10.53781224401582</v>
      </c>
      <c r="AO81" s="2336">
        <v>10.582491451954413</v>
      </c>
      <c r="AP81" s="2336">
        <v>10.631834974676707</v>
      </c>
      <c r="AQ81" s="2336">
        <v>10.673530500002448</v>
      </c>
      <c r="AR81" s="2336">
        <v>10.748618524849263</v>
      </c>
      <c r="AS81" s="2336">
        <v>10.824876419938562</v>
      </c>
      <c r="AT81" s="2336">
        <v>10.904140726448471</v>
      </c>
      <c r="AU81" s="2336">
        <v>10.983004102365582</v>
      </c>
      <c r="AV81" s="2336">
        <v>11.061441972352176</v>
      </c>
      <c r="AW81" s="2336">
        <v>11.139441148061026</v>
      </c>
      <c r="AX81" s="2336">
        <v>11.216999723570048</v>
      </c>
      <c r="AY81" s="2336">
        <v>11.294125573560132</v>
      </c>
      <c r="AZ81" s="2336">
        <v>11.370833726252988</v>
      </c>
      <c r="BA81" s="2336">
        <v>11.447143695476361</v>
      </c>
      <c r="BB81" s="2336">
        <v>11.523077108357263</v>
      </c>
      <c r="BC81" s="2336">
        <v>11.598655786582555</v>
      </c>
      <c r="BD81" s="2336">
        <v>11.673900397288071</v>
      </c>
      <c r="BE81" s="2336">
        <v>11.74883026451174</v>
      </c>
      <c r="BF81" s="2336">
        <v>11.823463684722846</v>
      </c>
      <c r="BG81" s="2336">
        <v>11.898016371677974</v>
      </c>
      <c r="BH81" s="2336">
        <v>11.972483127341793</v>
      </c>
      <c r="BI81" s="2336">
        <v>12.046858776185244</v>
      </c>
      <c r="BJ81" s="2336">
        <v>12.121138166682268</v>
      </c>
      <c r="BK81" s="2336">
        <v>12.19531617279382</v>
      </c>
      <c r="BL81" s="2336">
        <v>12.269387695443024</v>
      </c>
      <c r="BM81" s="2336">
        <v>12.343347663974198</v>
      </c>
      <c r="BN81" s="2336">
        <v>12.417191037600597</v>
      </c>
      <c r="BO81" s="2336">
        <v>12.49091280683461</v>
      </c>
      <c r="BP81" s="2336">
        <v>12.564507994902959</v>
      </c>
      <c r="BQ81" s="2336">
        <v>12.637971659143187</v>
      </c>
      <c r="BR81" s="2336">
        <v>12.711298892382109</v>
      </c>
      <c r="BS81" s="2336">
        <v>12.784484824294031</v>
      </c>
      <c r="BT81" s="2336">
        <v>12.857524622738696</v>
      </c>
      <c r="BU81" s="2336">
        <v>12.930413495076229</v>
      </c>
      <c r="BV81" s="2336">
        <v>13.003146689461047</v>
      </c>
      <c r="BW81" s="2336">
        <v>13.075719496109789</v>
      </c>
      <c r="BX81" s="2336">
        <v>13.148127248546855</v>
      </c>
      <c r="BY81" s="2336">
        <v>13.220365324822826</v>
      </c>
      <c r="BZ81" s="2336">
        <v>13.292429148707365</v>
      </c>
      <c r="CA81" s="2336">
        <v>13.364314190854552</v>
      </c>
      <c r="CB81" s="2336">
        <v>13.436015969941044</v>
      </c>
      <c r="CC81" s="2336">
        <v>13.507530053774959</v>
      </c>
      <c r="CD81" s="2336">
        <v>13.578852060375841</v>
      </c>
      <c r="CE81" s="2336">
        <v>13.64997765902562</v>
      </c>
      <c r="CF81" s="2336">
        <v>13.72090257128705</v>
      </c>
      <c r="CG81" s="2336">
        <v>13.791622571994285</v>
      </c>
      <c r="CH81" s="2336">
        <v>13.862133490208684</v>
      </c>
      <c r="CI81" s="2336">
        <v>13.932431210145738</v>
      </c>
      <c r="CJ81" s="2336">
        <v>14.002511672067239</v>
      </c>
      <c r="CK81" s="2336">
        <v>14.072370873142756</v>
      </c>
      <c r="CL81" s="2336">
        <v>14.142004868276496</v>
      </c>
      <c r="CM81" s="2336">
        <v>14.211409770901811</v>
      </c>
      <c r="CN81" s="2336">
        <v>14.28058175374237</v>
      </c>
      <c r="CO81" s="2336">
        <v>14.349517049537944</v>
      </c>
      <c r="CP81" s="2336">
        <v>14.41821195173786</v>
      </c>
      <c r="CQ81" s="2336">
        <v>14.486662815159912</v>
      </c>
      <c r="CR81" s="2336">
        <v>14.554866056614644</v>
      </c>
      <c r="CS81" s="2336">
        <v>14.622818155495578</v>
      </c>
      <c r="CT81" s="2336">
        <v>14.690515654335309</v>
      </c>
      <c r="CU81" s="2336">
        <v>14.757955159326384</v>
      </c>
      <c r="CV81" s="2336">
        <v>14.825133340809451</v>
      </c>
      <c r="CW81" s="2336">
        <v>14.892046933725837</v>
      </c>
      <c r="CX81" s="2336">
        <v>14.958692738036136</v>
      </c>
      <c r="CY81" s="2336">
        <v>15.025067619105707</v>
      </c>
      <c r="CZ81" s="2336">
        <v>15.091168508055436</v>
      </c>
      <c r="DA81" s="2336">
        <v>15.156992402078989</v>
      </c>
      <c r="DB81" s="2336">
        <v>15.22253636472708</v>
      </c>
      <c r="DC81" s="2336">
        <v>15.287797526158494</v>
      </c>
      <c r="DD81" s="2336">
        <v>15.352773083357558</v>
      </c>
      <c r="DE81" s="2336">
        <v>15.417460300320124</v>
      </c>
      <c r="DF81" s="2336">
        <v>15.481856508206169</v>
      </c>
      <c r="DG81" s="2336">
        <v>15.545959105461707</v>
      </c>
      <c r="DH81" s="2336">
        <v>15.609765557907821</v>
      </c>
      <c r="DI81" s="2336">
        <v>15.673273398800399</v>
      </c>
      <c r="DJ81" s="2336">
        <v>15.736480228856932</v>
      </c>
      <c r="DK81" s="2336">
        <v>15.799383716254962</v>
      </c>
      <c r="DL81" s="2336">
        <v>15.861981596600312</v>
      </c>
      <c r="DM81" s="2336">
        <v>15.92427167286472</v>
      </c>
      <c r="DN81" s="2336">
        <v>15.986251815297098</v>
      </c>
      <c r="DO81" s="2336">
        <v>16.047919961304142</v>
      </c>
      <c r="DP81" s="2336">
        <v>16.109274115304277</v>
      </c>
      <c r="DQ81" s="2336">
        <v>16.170312348554926</v>
      </c>
      <c r="DR81" s="2336">
        <v>16.231032798951652</v>
      </c>
      <c r="DS81" s="2336">
        <v>16.291433670802505</v>
      </c>
      <c r="DT81" s="2336">
        <v>16.351513234576529</v>
      </c>
      <c r="DU81" s="2336">
        <v>16.411269826626718</v>
      </c>
    </row>
    <row r="82" spans="1:125">
      <c r="A82" s="909">
        <v>80</v>
      </c>
      <c r="B82" s="90"/>
      <c r="C82" s="90"/>
      <c r="D82" s="90"/>
      <c r="E82" s="90"/>
      <c r="F82" s="90"/>
      <c r="G82" s="90"/>
      <c r="H82" s="90"/>
      <c r="I82" s="90"/>
      <c r="J82" s="90"/>
      <c r="K82" s="90"/>
      <c r="L82" s="90"/>
      <c r="M82" s="90"/>
      <c r="N82" s="90"/>
      <c r="O82" s="90"/>
      <c r="P82" s="90"/>
      <c r="Q82" s="90"/>
      <c r="R82" s="90"/>
      <c r="S82" s="90"/>
      <c r="T82" s="90"/>
      <c r="U82" s="90"/>
      <c r="V82" s="739"/>
      <c r="W82" s="739">
        <v>8.85</v>
      </c>
      <c r="X82" s="739">
        <v>8.89</v>
      </c>
      <c r="Y82" s="2336">
        <v>8.9767967879951307</v>
      </c>
      <c r="Z82" s="2336">
        <v>9.0571874101886003</v>
      </c>
      <c r="AA82" s="2336">
        <v>9.1075325067059616</v>
      </c>
      <c r="AB82" s="2336">
        <v>9.1456312535037387</v>
      </c>
      <c r="AC82" s="2336">
        <v>9.2029048847557373</v>
      </c>
      <c r="AD82" s="2336">
        <v>9.2379658189060034</v>
      </c>
      <c r="AE82" s="2336">
        <v>9.2935434603233418</v>
      </c>
      <c r="AF82" s="2336">
        <v>9.3674956630418933</v>
      </c>
      <c r="AG82" s="2336">
        <v>9.3990866142996534</v>
      </c>
      <c r="AH82" s="2336">
        <v>9.4392623181439088</v>
      </c>
      <c r="AI82" s="2336">
        <v>9.4999005273891211</v>
      </c>
      <c r="AJ82" s="2336">
        <v>9.5549762653962329</v>
      </c>
      <c r="AK82" s="2336">
        <v>9.6297591462918852</v>
      </c>
      <c r="AL82" s="2336">
        <v>9.7091274494387658</v>
      </c>
      <c r="AM82" s="2336">
        <v>9.7864416807640549</v>
      </c>
      <c r="AN82" s="2336">
        <v>9.8606699798544124</v>
      </c>
      <c r="AO82" s="2336">
        <v>9.8987435841521343</v>
      </c>
      <c r="AP82" s="2336">
        <v>9.9475015876744504</v>
      </c>
      <c r="AQ82" s="2336">
        <v>10.007654307079454</v>
      </c>
      <c r="AR82" s="2336">
        <v>10.090108246028208</v>
      </c>
      <c r="AS82" s="2336">
        <v>10.166174556937909</v>
      </c>
      <c r="AT82" s="2336">
        <v>10.241883541981283</v>
      </c>
      <c r="AU82" s="2336">
        <v>10.317199899796593</v>
      </c>
      <c r="AV82" s="2336">
        <v>10.392099314394208</v>
      </c>
      <c r="AW82" s="2336">
        <v>10.46656921768443</v>
      </c>
      <c r="AX82" s="2336">
        <v>10.540608649280868</v>
      </c>
      <c r="AY82" s="2336">
        <v>10.614226679738938</v>
      </c>
      <c r="AZ82" s="2336">
        <v>10.687439682257322</v>
      </c>
      <c r="BA82" s="2336">
        <v>10.760268571945574</v>
      </c>
      <c r="BB82" s="2336">
        <v>10.832736358166034</v>
      </c>
      <c r="BC82" s="2336">
        <v>10.904866170638137</v>
      </c>
      <c r="BD82" s="2336">
        <v>10.97667987646267</v>
      </c>
      <c r="BE82" s="2336">
        <v>11.048197892425922</v>
      </c>
      <c r="BF82" s="2336">
        <v>11.119661294219789</v>
      </c>
      <c r="BG82" s="2336">
        <v>11.191064947502909</v>
      </c>
      <c r="BH82" s="2336">
        <v>11.262403734616909</v>
      </c>
      <c r="BI82" s="2336">
        <v>11.333672556126789</v>
      </c>
      <c r="BJ82" s="2336">
        <v>11.404866332354315</v>
      </c>
      <c r="BK82" s="2336">
        <v>11.475980004898897</v>
      </c>
      <c r="BL82" s="2336">
        <v>11.547008538149925</v>
      </c>
      <c r="BM82" s="2336">
        <v>11.617946920783192</v>
      </c>
      <c r="BN82" s="2336">
        <v>11.688790167246342</v>
      </c>
      <c r="BO82" s="2336">
        <v>11.759533319227044</v>
      </c>
      <c r="BP82" s="2336">
        <v>11.830171447106464</v>
      </c>
      <c r="BQ82" s="2336">
        <v>11.900699651394284</v>
      </c>
      <c r="BR82" s="2336">
        <v>11.971113064146047</v>
      </c>
      <c r="BS82" s="2336">
        <v>12.041406850360527</v>
      </c>
      <c r="BT82" s="2336">
        <v>12.111576209357166</v>
      </c>
      <c r="BU82" s="2336">
        <v>12.181616376130801</v>
      </c>
      <c r="BV82" s="2336">
        <v>12.251522622685732</v>
      </c>
      <c r="BW82" s="2336">
        <v>12.321290259344059</v>
      </c>
      <c r="BX82" s="2336">
        <v>12.390914636032045</v>
      </c>
      <c r="BY82" s="2336">
        <v>12.460391143539635</v>
      </c>
      <c r="BZ82" s="2336">
        <v>12.529715214754816</v>
      </c>
      <c r="CA82" s="2336">
        <v>12.598882325870738</v>
      </c>
      <c r="CB82" s="2336">
        <v>12.667887997566018</v>
      </c>
      <c r="CC82" s="2336">
        <v>12.736727796156101</v>
      </c>
      <c r="CD82" s="2336">
        <v>12.805397334716028</v>
      </c>
      <c r="CE82" s="2336">
        <v>12.873892274174558</v>
      </c>
      <c r="CF82" s="2336">
        <v>12.942208324376095</v>
      </c>
      <c r="CG82" s="2336">
        <v>13.010341245115089</v>
      </c>
      <c r="CH82" s="2336">
        <v>13.078286847135987</v>
      </c>
      <c r="CI82" s="2336">
        <v>13.146040993104654</v>
      </c>
      <c r="CJ82" s="2336">
        <v>13.213599598545327</v>
      </c>
      <c r="CK82" s="2336">
        <v>13.280958632747236</v>
      </c>
      <c r="CL82" s="2336">
        <v>13.348114119636854</v>
      </c>
      <c r="CM82" s="2336">
        <v>13.415062138618151</v>
      </c>
      <c r="CN82" s="2336">
        <v>13.481798825379789</v>
      </c>
      <c r="CO82" s="2336">
        <v>13.548320372667197</v>
      </c>
      <c r="CP82" s="2336">
        <v>13.614623031022601</v>
      </c>
      <c r="CQ82" s="2336">
        <v>13.680703109490775</v>
      </c>
      <c r="CR82" s="2336">
        <v>13.746556976290421</v>
      </c>
      <c r="CS82" s="2336">
        <v>13.812181059451733</v>
      </c>
      <c r="CT82" s="2336">
        <v>13.877571847420032</v>
      </c>
      <c r="CU82" s="2336">
        <v>13.942725889624441</v>
      </c>
      <c r="CV82" s="2336">
        <v>14.007639797014001</v>
      </c>
      <c r="CW82" s="2336">
        <v>14.072310242558418</v>
      </c>
      <c r="CX82" s="2336">
        <v>14.136733961714979</v>
      </c>
      <c r="CY82" s="2336">
        <v>14.200907752862561</v>
      </c>
      <c r="CZ82" s="2336">
        <v>14.264828477701021</v>
      </c>
      <c r="DA82" s="2336">
        <v>14.328493061617211</v>
      </c>
      <c r="DB82" s="2336">
        <v>14.391898494018129</v>
      </c>
      <c r="DC82" s="2336">
        <v>14.455041828630895</v>
      </c>
      <c r="DD82" s="2336">
        <v>14.517920183769284</v>
      </c>
      <c r="DE82" s="2336">
        <v>14.580530742568802</v>
      </c>
      <c r="DF82" s="2336">
        <v>14.642870753188424</v>
      </c>
      <c r="DG82" s="2336">
        <v>14.704937528981686</v>
      </c>
      <c r="DH82" s="2336">
        <v>14.766728448634876</v>
      </c>
      <c r="DI82" s="2336">
        <v>14.828240956275955</v>
      </c>
      <c r="DJ82" s="2336">
        <v>14.88947256155045</v>
      </c>
      <c r="DK82" s="2336">
        <v>14.950420839669031</v>
      </c>
      <c r="DL82" s="2336">
        <v>15.011083431424698</v>
      </c>
      <c r="DM82" s="2336">
        <v>15.071458043179398</v>
      </c>
      <c r="DN82" s="2336">
        <v>15.131542446824069</v>
      </c>
      <c r="DO82" s="2336">
        <v>15.191334479707974</v>
      </c>
      <c r="DP82" s="2336">
        <v>15.250832044541209</v>
      </c>
      <c r="DQ82" s="2336">
        <v>15.310033109270353</v>
      </c>
      <c r="DR82" s="2336">
        <v>15.368935706925862</v>
      </c>
      <c r="DS82" s="2336">
        <v>15.427537935444432</v>
      </c>
      <c r="DT82" s="2336">
        <v>15.485837957465344</v>
      </c>
      <c r="DU82" s="2336">
        <v>15.543834000100963</v>
      </c>
    </row>
    <row r="83" spans="1:125">
      <c r="A83" s="909">
        <v>81</v>
      </c>
      <c r="B83" s="90"/>
      <c r="C83" s="90"/>
      <c r="D83" s="90"/>
      <c r="E83" s="90"/>
      <c r="F83" s="90"/>
      <c r="G83" s="90"/>
      <c r="H83" s="90"/>
      <c r="I83" s="90"/>
      <c r="J83" s="90"/>
      <c r="K83" s="90"/>
      <c r="L83" s="90"/>
      <c r="M83" s="90"/>
      <c r="N83" s="90"/>
      <c r="O83" s="90"/>
      <c r="P83" s="90"/>
      <c r="Q83" s="90"/>
      <c r="R83" s="90"/>
      <c r="S83" s="90"/>
      <c r="T83" s="90"/>
      <c r="U83" s="90"/>
      <c r="V83" s="739"/>
      <c r="W83" s="739">
        <v>8.2899999999999991</v>
      </c>
      <c r="X83" s="739">
        <v>8.34</v>
      </c>
      <c r="Y83" s="2336">
        <v>8.3993076501400132</v>
      </c>
      <c r="Z83" s="2336">
        <v>8.4710154895279342</v>
      </c>
      <c r="AA83" s="2336">
        <v>8.5155657205415753</v>
      </c>
      <c r="AB83" s="2336">
        <v>8.5508511965497505</v>
      </c>
      <c r="AC83" s="2336">
        <v>8.6017386485504854</v>
      </c>
      <c r="AD83" s="2336">
        <v>8.6348295290874457</v>
      </c>
      <c r="AE83" s="2336">
        <v>8.6780532853284011</v>
      </c>
      <c r="AF83" s="2336">
        <v>8.7462727819551027</v>
      </c>
      <c r="AG83" s="2336">
        <v>8.7764250853676486</v>
      </c>
      <c r="AH83" s="2336">
        <v>8.822093782165183</v>
      </c>
      <c r="AI83" s="2336">
        <v>8.8611597537650564</v>
      </c>
      <c r="AJ83" s="2336">
        <v>8.9274804041136822</v>
      </c>
      <c r="AK83" s="2336">
        <v>8.990372150273986</v>
      </c>
      <c r="AL83" s="2336">
        <v>9.0683032565238335</v>
      </c>
      <c r="AM83" s="2336">
        <v>9.1351268452111416</v>
      </c>
      <c r="AN83" s="2336">
        <v>9.1975461594181276</v>
      </c>
      <c r="AO83" s="2336">
        <v>9.2317265138861089</v>
      </c>
      <c r="AP83" s="2336">
        <v>9.303015127562638</v>
      </c>
      <c r="AQ83" s="2336">
        <v>9.3743820318961681</v>
      </c>
      <c r="AR83" s="2336">
        <v>9.4472198336321007</v>
      </c>
      <c r="AS83" s="2336">
        <v>9.5197499220101243</v>
      </c>
      <c r="AT83" s="2336">
        <v>9.5919271174321032</v>
      </c>
      <c r="AU83" s="2336">
        <v>9.6637159988296784</v>
      </c>
      <c r="AV83" s="2336">
        <v>9.7350925532655275</v>
      </c>
      <c r="AW83" s="2336">
        <v>9.8060449282736659</v>
      </c>
      <c r="AX83" s="2336">
        <v>9.8765732504675459</v>
      </c>
      <c r="AY83" s="2336">
        <v>9.9466879628436775</v>
      </c>
      <c r="AZ83" s="2336">
        <v>10.016406980716393</v>
      </c>
      <c r="BA83" s="2336">
        <v>10.085752825039457</v>
      </c>
      <c r="BB83" s="2336">
        <v>10.154750088856401</v>
      </c>
      <c r="BC83" s="2336">
        <v>10.223423400651509</v>
      </c>
      <c r="BD83" s="2336">
        <v>10.291796002960389</v>
      </c>
      <c r="BE83" s="2336">
        <v>10.360137800881395</v>
      </c>
      <c r="BF83" s="2336">
        <v>10.428443758194193</v>
      </c>
      <c r="BG83" s="2336">
        <v>10.496708849871727</v>
      </c>
      <c r="BH83" s="2336">
        <v>10.564928063645995</v>
      </c>
      <c r="BI83" s="2336">
        <v>10.633096401565089</v>
      </c>
      <c r="BJ83" s="2336">
        <v>10.701208881543769</v>
      </c>
      <c r="BK83" s="2336">
        <v>10.769260538901918</v>
      </c>
      <c r="BL83" s="2336">
        <v>10.837246427895014</v>
      </c>
      <c r="BM83" s="2336">
        <v>10.905161623229082</v>
      </c>
      <c r="BN83" s="2336">
        <v>10.973001221565282</v>
      </c>
      <c r="BO83" s="2336">
        <v>11.040760343007651</v>
      </c>
      <c r="BP83" s="2336">
        <v>11.108434132576749</v>
      </c>
      <c r="BQ83" s="2336">
        <v>11.176017761665358</v>
      </c>
      <c r="BR83" s="2336">
        <v>11.243506429477078</v>
      </c>
      <c r="BS83" s="2336">
        <v>11.310895364445507</v>
      </c>
      <c r="BT83" s="2336">
        <v>11.378179825634099</v>
      </c>
      <c r="BU83" s="2336">
        <v>11.445355104113872</v>
      </c>
      <c r="BV83" s="2336">
        <v>11.512416524321086</v>
      </c>
      <c r="BW83" s="2336">
        <v>11.579359445389754</v>
      </c>
      <c r="BX83" s="2336">
        <v>11.646179262462857</v>
      </c>
      <c r="BY83" s="2336">
        <v>11.712871407977309</v>
      </c>
      <c r="BZ83" s="2336">
        <v>11.779431352924371</v>
      </c>
      <c r="CA83" s="2336">
        <v>11.845854608083499</v>
      </c>
      <c r="CB83" s="2336">
        <v>11.91213672523001</v>
      </c>
      <c r="CC83" s="2336">
        <v>11.978273298314411</v>
      </c>
      <c r="CD83" s="2336">
        <v>12.044259964613818</v>
      </c>
      <c r="CE83" s="2336">
        <v>12.110092405855374</v>
      </c>
      <c r="CF83" s="2336">
        <v>12.175766349308056</v>
      </c>
      <c r="CG83" s="2336">
        <v>12.241277568847705</v>
      </c>
      <c r="CH83" s="2336">
        <v>12.306621885988131</v>
      </c>
      <c r="CI83" s="2336">
        <v>12.37179517088442</v>
      </c>
      <c r="CJ83" s="2336">
        <v>12.436793343302345</v>
      </c>
      <c r="CK83" s="2336">
        <v>12.5016123735581</v>
      </c>
      <c r="CL83" s="2336">
        <v>12.566248283424287</v>
      </c>
      <c r="CM83" s="2336">
        <v>12.630697147004494</v>
      </c>
      <c r="CN83" s="2336">
        <v>12.694955091575464</v>
      </c>
      <c r="CO83" s="2336">
        <v>12.759018298394675</v>
      </c>
      <c r="CP83" s="2336">
        <v>12.822883003476541</v>
      </c>
      <c r="CQ83" s="2336">
        <v>12.886545498334815</v>
      </c>
      <c r="CR83" s="2336">
        <v>12.950002130691294</v>
      </c>
      <c r="CS83" s="2336">
        <v>13.013249305151136</v>
      </c>
      <c r="CT83" s="2336">
        <v>13.076283483844891</v>
      </c>
      <c r="CU83" s="2336">
        <v>13.139101187036024</v>
      </c>
      <c r="CV83" s="2336">
        <v>13.201698993696397</v>
      </c>
      <c r="CW83" s="2336">
        <v>13.264073542046903</v>
      </c>
      <c r="CX83" s="2336">
        <v>13.326221530064712</v>
      </c>
      <c r="CY83" s="2336">
        <v>13.388139715958056</v>
      </c>
      <c r="CZ83" s="2336">
        <v>13.449824918606879</v>
      </c>
      <c r="DA83" s="2336">
        <v>13.511274017970461</v>
      </c>
      <c r="DB83" s="2336">
        <v>13.572483955462655</v>
      </c>
      <c r="DC83" s="2336">
        <v>13.633451734294272</v>
      </c>
      <c r="DD83" s="2336">
        <v>13.694174419782406</v>
      </c>
      <c r="DE83" s="2336">
        <v>13.754649139628638</v>
      </c>
      <c r="DF83" s="2336">
        <v>13.814873084164207</v>
      </c>
      <c r="DG83" s="2336">
        <v>13.874843506564874</v>
      </c>
      <c r="DH83" s="2336">
        <v>13.934557723033107</v>
      </c>
      <c r="DI83" s="2336">
        <v>13.994013112951299</v>
      </c>
      <c r="DJ83" s="2336">
        <v>14.05320711900214</v>
      </c>
      <c r="DK83" s="2336">
        <v>14.112137247260931</v>
      </c>
      <c r="DL83" s="2336">
        <v>14.17080106725769</v>
      </c>
      <c r="DM83" s="2336">
        <v>14.229196212008793</v>
      </c>
      <c r="DN83" s="2336">
        <v>14.287320378022283</v>
      </c>
      <c r="DO83" s="2336">
        <v>14.345171325272515</v>
      </c>
      <c r="DP83" s="2336">
        <v>14.402746877148092</v>
      </c>
      <c r="DQ83" s="2336">
        <v>14.460044920373049</v>
      </c>
      <c r="DR83" s="2336">
        <v>14.51706340489978</v>
      </c>
      <c r="DS83" s="2336">
        <v>14.573800343777014</v>
      </c>
      <c r="DT83" s="2336">
        <v>14.63025381299177</v>
      </c>
      <c r="DU83" s="2336">
        <v>14.686421951285425</v>
      </c>
    </row>
    <row r="84" spans="1:125">
      <c r="A84" s="909">
        <v>82</v>
      </c>
      <c r="B84" s="90"/>
      <c r="C84" s="90"/>
      <c r="D84" s="90"/>
      <c r="E84" s="90"/>
      <c r="F84" s="90"/>
      <c r="G84" s="90"/>
      <c r="H84" s="90"/>
      <c r="I84" s="90"/>
      <c r="J84" s="90"/>
      <c r="K84" s="90"/>
      <c r="L84" s="90"/>
      <c r="M84" s="90"/>
      <c r="N84" s="90"/>
      <c r="O84" s="90"/>
      <c r="P84" s="90"/>
      <c r="Q84" s="90"/>
      <c r="R84" s="90"/>
      <c r="S84" s="90"/>
      <c r="T84" s="90"/>
      <c r="U84" s="90"/>
      <c r="V84" s="739"/>
      <c r="W84" s="739">
        <v>7.76</v>
      </c>
      <c r="X84" s="739">
        <v>7.79</v>
      </c>
      <c r="Y84" s="2336">
        <v>7.839169803228387</v>
      </c>
      <c r="Z84" s="2336">
        <v>7.9030841606324005</v>
      </c>
      <c r="AA84" s="2336">
        <v>7.9418319864701976</v>
      </c>
      <c r="AB84" s="2336">
        <v>7.9745871801587702</v>
      </c>
      <c r="AC84" s="2336">
        <v>8.0217029086651515</v>
      </c>
      <c r="AD84" s="2336">
        <v>8.0452891202345143</v>
      </c>
      <c r="AE84" s="2336">
        <v>8.0827562086659768</v>
      </c>
      <c r="AF84" s="2336">
        <v>8.1493591825731606</v>
      </c>
      <c r="AG84" s="2336">
        <v>8.1859213320364219</v>
      </c>
      <c r="AH84" s="2336">
        <v>8.204356246896694</v>
      </c>
      <c r="AI84" s="2336">
        <v>8.2631298170592871</v>
      </c>
      <c r="AJ84" s="2336">
        <v>8.3137175234762779</v>
      </c>
      <c r="AK84" s="2336">
        <v>8.3755197041492799</v>
      </c>
      <c r="AL84" s="2336">
        <v>8.4436751592699633</v>
      </c>
      <c r="AM84" s="2336">
        <v>8.4995732873790946</v>
      </c>
      <c r="AN84" s="2336">
        <v>8.5496864886844808</v>
      </c>
      <c r="AO84" s="2336">
        <v>8.6087374845865998</v>
      </c>
      <c r="AP84" s="2336">
        <v>8.680354038411112</v>
      </c>
      <c r="AQ84" s="2336">
        <v>8.7499254218441926</v>
      </c>
      <c r="AR84" s="2336">
        <v>8.8192431526869175</v>
      </c>
      <c r="AS84" s="2336">
        <v>8.8882537184981807</v>
      </c>
      <c r="AT84" s="2336">
        <v>8.9569113430822487</v>
      </c>
      <c r="AU84" s="2336">
        <v>9.0251804722805655</v>
      </c>
      <c r="AV84" s="2336">
        <v>9.0930374498403932</v>
      </c>
      <c r="AW84" s="2336">
        <v>9.1604712571655043</v>
      </c>
      <c r="AX84" s="2336">
        <v>9.2274832835996481</v>
      </c>
      <c r="AY84" s="2336">
        <v>9.2940855638698814</v>
      </c>
      <c r="AZ84" s="2336">
        <v>9.3602977999347772</v>
      </c>
      <c r="BA84" s="2336">
        <v>9.4261443718280322</v>
      </c>
      <c r="BB84" s="2336">
        <v>9.4916517050026954</v>
      </c>
      <c r="BC84" s="2336">
        <v>9.5568461614391715</v>
      </c>
      <c r="BD84" s="2336">
        <v>9.6220311662920075</v>
      </c>
      <c r="BE84" s="2336">
        <v>9.6872018152739088</v>
      </c>
      <c r="BF84" s="2336">
        <v>9.7523532101984838</v>
      </c>
      <c r="BG84" s="2336">
        <v>9.8174804605483299</v>
      </c>
      <c r="BH84" s="2336">
        <v>9.8825786850384336</v>
      </c>
      <c r="BI84" s="2336">
        <v>9.9476430131713762</v>
      </c>
      <c r="BJ84" s="2336">
        <v>10.012668586786701</v>
      </c>
      <c r="BK84" s="2336">
        <v>10.077650561598713</v>
      </c>
      <c r="BL84" s="2336">
        <v>10.142584108727013</v>
      </c>
      <c r="BM84" s="2336">
        <v>10.207464416212058</v>
      </c>
      <c r="BN84" s="2336">
        <v>10.27228669052116</v>
      </c>
      <c r="BO84" s="2336">
        <v>10.33704615803822</v>
      </c>
      <c r="BP84" s="2336">
        <v>10.401738066540183</v>
      </c>
      <c r="BQ84" s="2336">
        <v>10.466357686656229</v>
      </c>
      <c r="BR84" s="2336">
        <v>10.530900313310635</v>
      </c>
      <c r="BS84" s="2336">
        <v>10.595361267147005</v>
      </c>
      <c r="BT84" s="2336">
        <v>10.659735895933993</v>
      </c>
      <c r="BU84" s="2336">
        <v>10.724019575949628</v>
      </c>
      <c r="BV84" s="2336">
        <v>10.788207713346521</v>
      </c>
      <c r="BW84" s="2336">
        <v>10.852295745492667</v>
      </c>
      <c r="BX84" s="2336">
        <v>10.916279142291856</v>
      </c>
      <c r="BY84" s="2336">
        <v>10.980153407478701</v>
      </c>
      <c r="BZ84" s="2336">
        <v>11.04391407988995</v>
      </c>
      <c r="CA84" s="2336">
        <v>11.107556734710155</v>
      </c>
      <c r="CB84" s="2336">
        <v>11.171076984692068</v>
      </c>
      <c r="CC84" s="2336">
        <v>11.234470481349549</v>
      </c>
      <c r="CD84" s="2336">
        <v>11.297732916123524</v>
      </c>
      <c r="CE84" s="2336">
        <v>11.360860021520825</v>
      </c>
      <c r="CF84" s="2336">
        <v>11.423847572222341</v>
      </c>
      <c r="CG84" s="2336">
        <v>11.486691386165315</v>
      </c>
      <c r="CH84" s="2336">
        <v>11.54938732559261</v>
      </c>
      <c r="CI84" s="2336">
        <v>11.611931298075127</v>
      </c>
      <c r="CJ84" s="2336">
        <v>11.674319257501216</v>
      </c>
      <c r="CK84" s="2336">
        <v>11.736547205037319</v>
      </c>
      <c r="CL84" s="2336">
        <v>11.798611190055787</v>
      </c>
      <c r="CM84" s="2336">
        <v>11.860507311032181</v>
      </c>
      <c r="CN84" s="2336">
        <v>11.922231716411053</v>
      </c>
      <c r="CO84" s="2336">
        <v>11.983780605438008</v>
      </c>
      <c r="CP84" s="2336">
        <v>12.045150228961283</v>
      </c>
      <c r="CQ84" s="2336">
        <v>12.106336890200398</v>
      </c>
      <c r="CR84" s="2336">
        <v>12.167336945481916</v>
      </c>
      <c r="CS84" s="2336">
        <v>12.228146804942712</v>
      </c>
      <c r="CT84" s="2336">
        <v>12.288762933200731</v>
      </c>
      <c r="CU84" s="2336">
        <v>12.349181849992059</v>
      </c>
      <c r="CV84" s="2336">
        <v>12.409400130776788</v>
      </c>
      <c r="CW84" s="2336">
        <v>12.469414407310747</v>
      </c>
      <c r="CX84" s="2336">
        <v>12.529221368184634</v>
      </c>
      <c r="CY84" s="2336">
        <v>12.588817759331443</v>
      </c>
      <c r="CZ84" s="2336">
        <v>12.648200384500448</v>
      </c>
      <c r="DA84" s="2336">
        <v>12.707366105698878</v>
      </c>
      <c r="DB84" s="2336">
        <v>12.766311843601873</v>
      </c>
      <c r="DC84" s="2336">
        <v>12.825034577930282</v>
      </c>
      <c r="DD84" s="2336">
        <v>12.883531347795982</v>
      </c>
      <c r="DE84" s="2336">
        <v>12.941799252016725</v>
      </c>
      <c r="DF84" s="2336">
        <v>12.999835449398544</v>
      </c>
      <c r="DG84" s="2336">
        <v>13.05763715898842</v>
      </c>
      <c r="DH84" s="2336">
        <v>13.115201660294783</v>
      </c>
      <c r="DI84" s="2336">
        <v>13.172526293479613</v>
      </c>
      <c r="DJ84" s="2336">
        <v>13.229608459518138</v>
      </c>
      <c r="DK84" s="2336">
        <v>13.286445620330984</v>
      </c>
      <c r="DL84" s="2336">
        <v>13.343035298886548</v>
      </c>
      <c r="DM84" s="2336">
        <v>13.3993750792733</v>
      </c>
      <c r="DN84" s="2336">
        <v>13.455462606746188</v>
      </c>
      <c r="DO84" s="2336">
        <v>13.511295587742715</v>
      </c>
      <c r="DP84" s="2336">
        <v>13.566871789872636</v>
      </c>
      <c r="DQ84" s="2336">
        <v>13.622189041881262</v>
      </c>
      <c r="DR84" s="2336">
        <v>13.677245233584758</v>
      </c>
      <c r="DS84" s="2336">
        <v>13.732038315780757</v>
      </c>
      <c r="DT84" s="2336">
        <v>13.786566300133197</v>
      </c>
      <c r="DU84" s="2336">
        <v>13.840827259031482</v>
      </c>
    </row>
    <row r="85" spans="1:125">
      <c r="A85" s="909">
        <v>83</v>
      </c>
      <c r="B85" s="90"/>
      <c r="C85" s="90"/>
      <c r="D85" s="90"/>
      <c r="E85" s="90"/>
      <c r="F85" s="90"/>
      <c r="G85" s="90"/>
      <c r="H85" s="90"/>
      <c r="I85" s="90"/>
      <c r="J85" s="90"/>
      <c r="K85" s="90"/>
      <c r="L85" s="90"/>
      <c r="M85" s="90"/>
      <c r="N85" s="90"/>
      <c r="O85" s="90"/>
      <c r="P85" s="90"/>
      <c r="Q85" s="90"/>
      <c r="R85" s="90"/>
      <c r="S85" s="90"/>
      <c r="T85" s="90"/>
      <c r="U85" s="90"/>
      <c r="V85" s="739"/>
      <c r="W85" s="739">
        <v>7.24</v>
      </c>
      <c r="X85" s="739">
        <v>7.25</v>
      </c>
      <c r="Y85" s="2336">
        <v>7.3012901856733237</v>
      </c>
      <c r="Z85" s="2336">
        <v>7.3493874557542354</v>
      </c>
      <c r="AA85" s="2336">
        <v>7.3924370832275734</v>
      </c>
      <c r="AB85" s="2336">
        <v>7.4315844249688405</v>
      </c>
      <c r="AC85" s="2336">
        <v>7.457196966376241</v>
      </c>
      <c r="AD85" s="2336">
        <v>7.4839085702739672</v>
      </c>
      <c r="AE85" s="2336">
        <v>7.5163236987888222</v>
      </c>
      <c r="AF85" s="2336">
        <v>7.5904318466734884</v>
      </c>
      <c r="AG85" s="2336">
        <v>7.5998560594468199</v>
      </c>
      <c r="AH85" s="2336">
        <v>7.6326545798326695</v>
      </c>
      <c r="AI85" s="2336">
        <v>7.6697629458587047</v>
      </c>
      <c r="AJ85" s="2336">
        <v>7.7334109999593172</v>
      </c>
      <c r="AK85" s="2336">
        <v>7.7811105284398527</v>
      </c>
      <c r="AL85" s="2336">
        <v>7.8367923697433053</v>
      </c>
      <c r="AM85" s="2336">
        <v>7.8807038379826917</v>
      </c>
      <c r="AN85" s="2336">
        <v>7.945033770545356</v>
      </c>
      <c r="AO85" s="2336">
        <v>8.0112089994485363</v>
      </c>
      <c r="AP85" s="2336">
        <v>8.0780842188080673</v>
      </c>
      <c r="AQ85" s="2336">
        <v>8.1441422366910015</v>
      </c>
      <c r="AR85" s="2336">
        <v>8.2099432923363924</v>
      </c>
      <c r="AS85" s="2336">
        <v>8.275432704325814</v>
      </c>
      <c r="AT85" s="2336">
        <v>8.3405639989973093</v>
      </c>
      <c r="AU85" s="2336">
        <v>8.4053014709423515</v>
      </c>
      <c r="AV85" s="2336">
        <v>8.469621888550483</v>
      </c>
      <c r="AW85" s="2336">
        <v>8.5335152178526634</v>
      </c>
      <c r="AX85" s="2336">
        <v>8.5969843350987141</v>
      </c>
      <c r="AY85" s="2336">
        <v>8.660043146254166</v>
      </c>
      <c r="AZ85" s="2336">
        <v>8.7227134510887296</v>
      </c>
      <c r="BA85" s="2336">
        <v>8.7850218102451372</v>
      </c>
      <c r="BB85" s="2336">
        <v>8.8469967965093659</v>
      </c>
      <c r="BC85" s="2336">
        <v>8.908981095062277</v>
      </c>
      <c r="BD85" s="2336">
        <v>8.9709699666215279</v>
      </c>
      <c r="BE85" s="2336">
        <v>9.0329586733736456</v>
      </c>
      <c r="BF85" s="2336">
        <v>9.0949424805251819</v>
      </c>
      <c r="BG85" s="2336">
        <v>9.1569166578502355</v>
      </c>
      <c r="BH85" s="2336">
        <v>9.2188764812339414</v>
      </c>
      <c r="BI85" s="2336">
        <v>9.2808172342082873</v>
      </c>
      <c r="BJ85" s="2336">
        <v>9.342734209482872</v>
      </c>
      <c r="BK85" s="2336">
        <v>9.4046227104646718</v>
      </c>
      <c r="BL85" s="2336">
        <v>9.4664780527713805</v>
      </c>
      <c r="BM85" s="2336">
        <v>9.5282955657304367</v>
      </c>
      <c r="BN85" s="2336">
        <v>9.5900705938693438</v>
      </c>
      <c r="BO85" s="2336">
        <v>9.651798498390523</v>
      </c>
      <c r="BP85" s="2336">
        <v>9.7134746586337375</v>
      </c>
      <c r="BQ85" s="2336">
        <v>9.775094473522115</v>
      </c>
      <c r="BR85" s="2336">
        <v>9.836653362992795</v>
      </c>
      <c r="BS85" s="2336">
        <v>9.8981467694098288</v>
      </c>
      <c r="BT85" s="2336">
        <v>9.9595701589595578</v>
      </c>
      <c r="BU85" s="2336">
        <v>10.020919023025561</v>
      </c>
      <c r="BV85" s="2336">
        <v>10.082188879545518</v>
      </c>
      <c r="BW85" s="2336">
        <v>10.143375274344622</v>
      </c>
      <c r="BX85" s="2336">
        <v>10.204473782449769</v>
      </c>
      <c r="BY85" s="2336">
        <v>10.26548000937929</v>
      </c>
      <c r="BZ85" s="2336">
        <v>10.326389592410157</v>
      </c>
      <c r="CA85" s="2336">
        <v>10.387198201820585</v>
      </c>
      <c r="CB85" s="2336">
        <v>10.447901542108486</v>
      </c>
      <c r="CC85" s="2336">
        <v>10.508495353183562</v>
      </c>
      <c r="CD85" s="2336">
        <v>10.568975411533573</v>
      </c>
      <c r="CE85" s="2336">
        <v>10.629337531364655</v>
      </c>
      <c r="CF85" s="2336">
        <v>10.689577565712042</v>
      </c>
      <c r="CG85" s="2336">
        <v>10.749691407526162</v>
      </c>
      <c r="CH85" s="2336">
        <v>10.809674990726796</v>
      </c>
      <c r="CI85" s="2336">
        <v>10.869524291231622</v>
      </c>
      <c r="CJ85" s="2336">
        <v>10.92923532795283</v>
      </c>
      <c r="CK85" s="2336">
        <v>10.988804163766218</v>
      </c>
      <c r="CL85" s="2336">
        <v>11.048226906448576</v>
      </c>
      <c r="CM85" s="2336">
        <v>11.107499709585719</v>
      </c>
      <c r="CN85" s="2336">
        <v>11.166618773450182</v>
      </c>
      <c r="CO85" s="2336">
        <v>11.225580345846296</v>
      </c>
      <c r="CP85" s="2336">
        <v>11.284380722925963</v>
      </c>
      <c r="CQ85" s="2336">
        <v>11.343016249972621</v>
      </c>
      <c r="CR85" s="2336">
        <v>11.40148332215345</v>
      </c>
      <c r="CS85" s="2336">
        <v>11.459778385240167</v>
      </c>
      <c r="CT85" s="2336">
        <v>11.517897936298443</v>
      </c>
      <c r="CU85" s="2336">
        <v>11.575838524344695</v>
      </c>
      <c r="CV85" s="2336">
        <v>11.633596750972744</v>
      </c>
      <c r="CW85" s="2336">
        <v>11.691169270947405</v>
      </c>
      <c r="CX85" s="2336">
        <v>11.748552792766475</v>
      </c>
      <c r="CY85" s="2336">
        <v>11.805744079192078</v>
      </c>
      <c r="CZ85" s="2336">
        <v>11.86273994774953</v>
      </c>
      <c r="DA85" s="2336">
        <v>11.919537271194878</v>
      </c>
      <c r="DB85" s="2336">
        <v>11.976132977951684</v>
      </c>
      <c r="DC85" s="2336">
        <v>12.032524052516571</v>
      </c>
      <c r="DD85" s="2336">
        <v>12.088707535833192</v>
      </c>
      <c r="DE85" s="2336">
        <v>12.14468052563665</v>
      </c>
      <c r="DF85" s="2336">
        <v>12.200440176766266</v>
      </c>
      <c r="DG85" s="2336">
        <v>12.255983701449532</v>
      </c>
      <c r="DH85" s="2336">
        <v>12.311308369554615</v>
      </c>
      <c r="DI85" s="2336">
        <v>12.366411508815332</v>
      </c>
      <c r="DJ85" s="2336">
        <v>12.421290505024402</v>
      </c>
      <c r="DK85" s="2336">
        <v>12.475942802199926</v>
      </c>
      <c r="DL85" s="2336">
        <v>12.53036590272278</v>
      </c>
      <c r="DM85" s="2336">
        <v>12.58455736744458</v>
      </c>
      <c r="DN85" s="2336">
        <v>12.63851481577046</v>
      </c>
      <c r="DO85" s="2336">
        <v>12.692235925712056</v>
      </c>
      <c r="DP85" s="2336">
        <v>12.745718433914762</v>
      </c>
      <c r="DQ85" s="2336">
        <v>12.798960135659117</v>
      </c>
      <c r="DR85" s="2336">
        <v>12.851958884834724</v>
      </c>
      <c r="DS85" s="2336">
        <v>12.904712593889979</v>
      </c>
      <c r="DT85" s="2336">
        <v>12.957219233756504</v>
      </c>
      <c r="DU85" s="2336">
        <v>13.009476833748318</v>
      </c>
    </row>
    <row r="86" spans="1:125">
      <c r="A86" s="909">
        <v>84</v>
      </c>
      <c r="B86" s="90"/>
      <c r="C86" s="90"/>
      <c r="D86" s="90"/>
      <c r="E86" s="90"/>
      <c r="F86" s="90"/>
      <c r="G86" s="90"/>
      <c r="H86" s="90"/>
      <c r="I86" s="90"/>
      <c r="J86" s="90"/>
      <c r="K86" s="90"/>
      <c r="L86" s="90"/>
      <c r="M86" s="90"/>
      <c r="N86" s="90"/>
      <c r="O86" s="90"/>
      <c r="P86" s="90"/>
      <c r="Q86" s="90"/>
      <c r="R86" s="90"/>
      <c r="S86" s="90"/>
      <c r="T86" s="90"/>
      <c r="U86" s="90"/>
      <c r="V86" s="739"/>
      <c r="W86" s="739">
        <v>6.74</v>
      </c>
      <c r="X86" s="739">
        <v>6.74</v>
      </c>
      <c r="Y86" s="2336">
        <v>6.7807505247870319</v>
      </c>
      <c r="Z86" s="2336">
        <v>6.8271642185723618</v>
      </c>
      <c r="AA86" s="2336">
        <v>6.8779622878497833</v>
      </c>
      <c r="AB86" s="2336">
        <v>6.8984832687796809</v>
      </c>
      <c r="AC86" s="2336">
        <v>6.9229365698999539</v>
      </c>
      <c r="AD86" s="2336">
        <v>6.9425537013695315</v>
      </c>
      <c r="AE86" s="2336">
        <v>6.984419027528153</v>
      </c>
      <c r="AF86" s="2336">
        <v>7.0283869097614486</v>
      </c>
      <c r="AG86" s="2336">
        <v>7.0533582667987424</v>
      </c>
      <c r="AH86" s="2336">
        <v>7.0691078943119461</v>
      </c>
      <c r="AI86" s="2336">
        <v>7.1129306411034543</v>
      </c>
      <c r="AJ86" s="2336">
        <v>7.1676845766186092</v>
      </c>
      <c r="AK86" s="2336">
        <v>7.2014970979658131</v>
      </c>
      <c r="AL86" s="2336">
        <v>7.2479586084274388</v>
      </c>
      <c r="AM86" s="2336">
        <v>7.3104940505770353</v>
      </c>
      <c r="AN86" s="2336">
        <v>7.3722755376118325</v>
      </c>
      <c r="AO86" s="2336">
        <v>7.4355508760210194</v>
      </c>
      <c r="AP86" s="2336">
        <v>7.4989433610559297</v>
      </c>
      <c r="AQ86" s="2336">
        <v>7.5614765265585726</v>
      </c>
      <c r="AR86" s="2336">
        <v>7.6237438069878669</v>
      </c>
      <c r="AS86" s="2336">
        <v>7.685689124713134</v>
      </c>
      <c r="AT86" s="2336">
        <v>7.7472651765490488</v>
      </c>
      <c r="AU86" s="2336">
        <v>7.8084360819166916</v>
      </c>
      <c r="AV86" s="2336">
        <v>7.8691791221569911</v>
      </c>
      <c r="AW86" s="2336">
        <v>7.9294854437795781</v>
      </c>
      <c r="AX86" s="2336">
        <v>7.9893597007714563</v>
      </c>
      <c r="AY86" s="2336">
        <v>8.0488180322974685</v>
      </c>
      <c r="AZ86" s="2336">
        <v>8.1078847380005215</v>
      </c>
      <c r="BA86" s="2336">
        <v>8.1665889734853145</v>
      </c>
      <c r="BB86" s="2336">
        <v>8.2253185617133511</v>
      </c>
      <c r="BC86" s="2336">
        <v>8.2840689601050777</v>
      </c>
      <c r="BD86" s="2336">
        <v>8.342835623455251</v>
      </c>
      <c r="BE86" s="2336">
        <v>8.4016140054478399</v>
      </c>
      <c r="BF86" s="2336">
        <v>8.4603995601693676</v>
      </c>
      <c r="BG86" s="2336">
        <v>8.5191877436191668</v>
      </c>
      <c r="BH86" s="2336">
        <v>8.5779740152161743</v>
      </c>
      <c r="BI86" s="2336">
        <v>8.63675383929864</v>
      </c>
      <c r="BJ86" s="2336">
        <v>8.6955226866195261</v>
      </c>
      <c r="BK86" s="2336">
        <v>8.7542760358315128</v>
      </c>
      <c r="BL86" s="2336">
        <v>8.8130093749664891</v>
      </c>
      <c r="BM86" s="2336">
        <v>8.8717182029013699</v>
      </c>
      <c r="BN86" s="2336">
        <v>8.9303980308161695</v>
      </c>
      <c r="BO86" s="2336">
        <v>8.9890443836374434</v>
      </c>
      <c r="BP86" s="2336">
        <v>9.0476528014702193</v>
      </c>
      <c r="BQ86" s="2336">
        <v>9.106218841014508</v>
      </c>
      <c r="BR86" s="2336">
        <v>9.1647380769674207</v>
      </c>
      <c r="BS86" s="2336">
        <v>9.2232061034085984</v>
      </c>
      <c r="BT86" s="2336">
        <v>9.2816185351691676</v>
      </c>
      <c r="BU86" s="2336">
        <v>9.339971009181367</v>
      </c>
      <c r="BV86" s="2336">
        <v>9.398259185811261</v>
      </c>
      <c r="BW86" s="2336">
        <v>9.4564787501690866</v>
      </c>
      <c r="BX86" s="2336">
        <v>9.514625413401669</v>
      </c>
      <c r="BY86" s="2336">
        <v>9.5726949139615254</v>
      </c>
      <c r="BZ86" s="2336">
        <v>9.6306830188547021</v>
      </c>
      <c r="CA86" s="2336">
        <v>9.6885855248652817</v>
      </c>
      <c r="CB86" s="2336">
        <v>9.7463982597570347</v>
      </c>
      <c r="CC86" s="2336">
        <v>9.804117083449988</v>
      </c>
      <c r="CD86" s="2336">
        <v>9.861737889172506</v>
      </c>
      <c r="CE86" s="2336">
        <v>9.9192566045887904</v>
      </c>
      <c r="CF86" s="2336">
        <v>9.9766691928980613</v>
      </c>
      <c r="CG86" s="2336">
        <v>10.033971653910559</v>
      </c>
      <c r="CH86" s="2336">
        <v>10.091160025092906</v>
      </c>
      <c r="CI86" s="2336">
        <v>10.148230382589308</v>
      </c>
      <c r="CJ86" s="2336">
        <v>10.205178842212144</v>
      </c>
      <c r="CK86" s="2336">
        <v>10.26200156040648</v>
      </c>
      <c r="CL86" s="2336">
        <v>10.318694735184252</v>
      </c>
      <c r="CM86" s="2336">
        <v>10.375254607030465</v>
      </c>
      <c r="CN86" s="2336">
        <v>10.431677459780513</v>
      </c>
      <c r="CO86" s="2336">
        <v>10.487959621466182</v>
      </c>
      <c r="CP86" s="2336">
        <v>10.544097465133817</v>
      </c>
      <c r="CQ86" s="2336">
        <v>10.600087409632039</v>
      </c>
      <c r="CR86" s="2336">
        <v>10.655925920369066</v>
      </c>
      <c r="CS86" s="2336">
        <v>10.711609510039979</v>
      </c>
      <c r="CT86" s="2336">
        <v>10.767134739324005</v>
      </c>
      <c r="CU86" s="2336">
        <v>10.822498217550475</v>
      </c>
      <c r="CV86" s="2336">
        <v>10.877696603336007</v>
      </c>
      <c r="CW86" s="2336">
        <v>10.932726605189924</v>
      </c>
      <c r="CX86" s="2336">
        <v>10.987584982089357</v>
      </c>
      <c r="CY86" s="2336">
        <v>11.042268544025024</v>
      </c>
      <c r="CZ86" s="2336">
        <v>11.09677415251574</v>
      </c>
      <c r="DA86" s="2336">
        <v>11.151098721092888</v>
      </c>
      <c r="DB86" s="2336">
        <v>11.205239215755316</v>
      </c>
      <c r="DC86" s="2336">
        <v>11.259192655394251</v>
      </c>
      <c r="DD86" s="2336">
        <v>11.312956112187749</v>
      </c>
      <c r="DE86" s="2336">
        <v>11.366526711966788</v>
      </c>
      <c r="DF86" s="2336">
        <v>11.419901634550826</v>
      </c>
      <c r="DG86" s="2336">
        <v>11.473078114055651</v>
      </c>
      <c r="DH86" s="2336">
        <v>11.526053439170836</v>
      </c>
      <c r="DI86" s="2336">
        <v>11.57882495341075</v>
      </c>
      <c r="DJ86" s="2336">
        <v>11.631390055334817</v>
      </c>
      <c r="DK86" s="2336">
        <v>11.683746198742028</v>
      </c>
      <c r="DL86" s="2336">
        <v>11.735890892837338</v>
      </c>
      <c r="DM86" s="2336">
        <v>11.787821702369504</v>
      </c>
      <c r="DN86" s="2336">
        <v>11.839536247744718</v>
      </c>
      <c r="DO86" s="2336">
        <v>11.891032205111268</v>
      </c>
      <c r="DP86" s="2336">
        <v>11.94230730641929</v>
      </c>
      <c r="DQ86" s="2336">
        <v>11.993359339455528</v>
      </c>
      <c r="DR86" s="2336">
        <v>12.04418614785134</v>
      </c>
      <c r="DS86" s="2336">
        <v>12.094785631067278</v>
      </c>
      <c r="DT86" s="2336">
        <v>12.145155744353092</v>
      </c>
      <c r="DU86" s="2336">
        <v>12.195294498683134</v>
      </c>
    </row>
    <row r="87" spans="1:125">
      <c r="A87" s="909">
        <v>85</v>
      </c>
      <c r="B87" s="90"/>
      <c r="C87" s="90"/>
      <c r="D87" s="90"/>
      <c r="E87" s="90"/>
      <c r="F87" s="90"/>
      <c r="G87" s="90"/>
      <c r="H87" s="90"/>
      <c r="I87" s="90"/>
      <c r="J87" s="90"/>
      <c r="K87" s="90"/>
      <c r="L87" s="90"/>
      <c r="M87" s="90"/>
      <c r="N87" s="90"/>
      <c r="O87" s="90"/>
      <c r="P87" s="90"/>
      <c r="Q87" s="90"/>
      <c r="R87" s="90"/>
      <c r="S87" s="90"/>
      <c r="T87" s="90"/>
      <c r="U87" s="90"/>
      <c r="V87" s="739"/>
      <c r="W87" s="739">
        <v>6.25</v>
      </c>
      <c r="X87" s="739">
        <v>6.24</v>
      </c>
      <c r="Y87" s="2336">
        <v>6.2823724671849694</v>
      </c>
      <c r="Z87" s="2336">
        <v>6.3411033764208593</v>
      </c>
      <c r="AA87" s="2336">
        <v>6.3777320629930241</v>
      </c>
      <c r="AB87" s="2336">
        <v>6.3918653648046737</v>
      </c>
      <c r="AC87" s="2336">
        <v>6.4090330020994122</v>
      </c>
      <c r="AD87" s="2336">
        <v>6.4458625052049081</v>
      </c>
      <c r="AE87" s="2336">
        <v>6.4526115040626895</v>
      </c>
      <c r="AF87" s="2336">
        <v>6.5137577359631997</v>
      </c>
      <c r="AG87" s="2336">
        <v>6.5171548325827731</v>
      </c>
      <c r="AH87" s="2336">
        <v>6.5399497929035757</v>
      </c>
      <c r="AI87" s="2336">
        <v>6.5810838578597126</v>
      </c>
      <c r="AJ87" s="2336">
        <v>6.6189334050159685</v>
      </c>
      <c r="AK87" s="2336">
        <v>6.6441546063763841</v>
      </c>
      <c r="AL87" s="2336">
        <v>6.7096648610437306</v>
      </c>
      <c r="AM87" s="2336">
        <v>6.7675678603323268</v>
      </c>
      <c r="AN87" s="2336">
        <v>6.8272174770428258</v>
      </c>
      <c r="AO87" s="2336">
        <v>6.8869946104388449</v>
      </c>
      <c r="AP87" s="2336">
        <v>6.946893796146143</v>
      </c>
      <c r="AQ87" s="2336">
        <v>7.0058777480713426</v>
      </c>
      <c r="AR87" s="2336">
        <v>7.0645803117693609</v>
      </c>
      <c r="AS87" s="2336">
        <v>7.122943718124005</v>
      </c>
      <c r="AT87" s="2336">
        <v>7.1809196640369697</v>
      </c>
      <c r="AU87" s="2336">
        <v>7.2384720646110319</v>
      </c>
      <c r="AV87" s="2336">
        <v>7.2955788309756127</v>
      </c>
      <c r="AW87" s="2336">
        <v>7.3522325462521092</v>
      </c>
      <c r="AX87" s="2336">
        <v>7.4084400207140515</v>
      </c>
      <c r="AY87" s="2336">
        <v>7.4642200962356107</v>
      </c>
      <c r="AZ87" s="2336">
        <v>7.51960009218545</v>
      </c>
      <c r="BA87" s="2336">
        <v>7.575018600140929</v>
      </c>
      <c r="BB87" s="2336">
        <v>7.630471303258525</v>
      </c>
      <c r="BC87" s="2336">
        <v>7.6859538786033825</v>
      </c>
      <c r="BD87" s="2336">
        <v>7.741461998610534</v>
      </c>
      <c r="BE87" s="2336">
        <v>7.7969913325458355</v>
      </c>
      <c r="BF87" s="2336">
        <v>7.8525375479657527</v>
      </c>
      <c r="BG87" s="2336">
        <v>7.9080963121744787</v>
      </c>
      <c r="BH87" s="2336">
        <v>7.963663293678148</v>
      </c>
      <c r="BI87" s="2336">
        <v>8.0192341636324294</v>
      </c>
      <c r="BJ87" s="2336">
        <v>8.0748045972865317</v>
      </c>
      <c r="BK87" s="2336">
        <v>8.1303702754173788</v>
      </c>
      <c r="BL87" s="2336">
        <v>8.185926885759141</v>
      </c>
      <c r="BM87" s="2336">
        <v>8.2414701244197026</v>
      </c>
      <c r="BN87" s="2336">
        <v>8.2969956972904004</v>
      </c>
      <c r="BO87" s="2336">
        <v>8.3524993214418615</v>
      </c>
      <c r="BP87" s="2336">
        <v>8.4079767265093999</v>
      </c>
      <c r="BQ87" s="2336">
        <v>8.4634236560638865</v>
      </c>
      <c r="BR87" s="2336">
        <v>8.5188358689693295</v>
      </c>
      <c r="BS87" s="2336">
        <v>8.5742091407247916</v>
      </c>
      <c r="BT87" s="2336">
        <v>8.6295392647910401</v>
      </c>
      <c r="BU87" s="2336">
        <v>8.6848220538989409</v>
      </c>
      <c r="BV87" s="2336">
        <v>8.7400533413422536</v>
      </c>
      <c r="BW87" s="2336">
        <v>8.7952289822492098</v>
      </c>
      <c r="BX87" s="2336">
        <v>8.8503448548375463</v>
      </c>
      <c r="BY87" s="2336">
        <v>8.9053968616474748</v>
      </c>
      <c r="BZ87" s="2336">
        <v>8.9603809307547877</v>
      </c>
      <c r="CA87" s="2336">
        <v>9.015293016961996</v>
      </c>
      <c r="CB87" s="2336">
        <v>9.0701291029680515</v>
      </c>
      <c r="CC87" s="2336">
        <v>9.1248852005144148</v>
      </c>
      <c r="CD87" s="2336">
        <v>9.1795573515081017</v>
      </c>
      <c r="CE87" s="2336">
        <v>9.2341416291216873</v>
      </c>
      <c r="CF87" s="2336">
        <v>9.2886341388664224</v>
      </c>
      <c r="CG87" s="2336">
        <v>9.3430310196438029</v>
      </c>
      <c r="CH87" s="2336">
        <v>9.3973284447679468</v>
      </c>
      <c r="CI87" s="2336">
        <v>9.4515226229654772</v>
      </c>
      <c r="CJ87" s="2336">
        <v>9.5056097993462778</v>
      </c>
      <c r="CK87" s="2336">
        <v>9.5595862563498439</v>
      </c>
      <c r="CL87" s="2336">
        <v>9.6134483146628131</v>
      </c>
      <c r="CM87" s="2336">
        <v>9.6671923341101991</v>
      </c>
      <c r="CN87" s="2336">
        <v>9.7208147145193049</v>
      </c>
      <c r="CO87" s="2336">
        <v>9.7743118965539075</v>
      </c>
      <c r="CP87" s="2336">
        <v>9.8276803625222833</v>
      </c>
      <c r="CQ87" s="2336">
        <v>9.8809166371563215</v>
      </c>
      <c r="CR87" s="2336">
        <v>9.934017288361904</v>
      </c>
      <c r="CS87" s="2336">
        <v>9.986978927940795</v>
      </c>
      <c r="CT87" s="2336">
        <v>10.039798212284142</v>
      </c>
      <c r="CU87" s="2336">
        <v>10.092471843036238</v>
      </c>
      <c r="CV87" s="2336">
        <v>10.144996567731109</v>
      </c>
      <c r="CW87" s="2336">
        <v>10.197369180398859</v>
      </c>
      <c r="CX87" s="2336">
        <v>10.24958652214327</v>
      </c>
      <c r="CY87" s="2336">
        <v>10.301645481691589</v>
      </c>
      <c r="CZ87" s="2336">
        <v>10.353542995914612</v>
      </c>
      <c r="DA87" s="2336">
        <v>10.405276050318154</v>
      </c>
      <c r="DB87" s="2336">
        <v>10.456841679506489</v>
      </c>
      <c r="DC87" s="2336">
        <v>10.508236967617224</v>
      </c>
      <c r="DD87" s="2336">
        <v>10.559459048727161</v>
      </c>
      <c r="DE87" s="2336">
        <v>10.610505107231221</v>
      </c>
      <c r="DF87" s="2336">
        <v>10.661372378192183</v>
      </c>
      <c r="DG87" s="2336">
        <v>10.712058147664141</v>
      </c>
      <c r="DH87" s="2336">
        <v>10.762559752986837</v>
      </c>
      <c r="DI87" s="2336">
        <v>10.812874583054901</v>
      </c>
      <c r="DJ87" s="2336">
        <v>10.863000078557613</v>
      </c>
      <c r="DK87" s="2336">
        <v>10.91293373219413</v>
      </c>
      <c r="DL87" s="2336">
        <v>10.962673088861898</v>
      </c>
      <c r="DM87" s="2336">
        <v>11.012215745817594</v>
      </c>
      <c r="DN87" s="2336">
        <v>11.061559352815124</v>
      </c>
      <c r="DO87" s="2336">
        <v>11.110701612215694</v>
      </c>
      <c r="DP87" s="2336">
        <v>11.159640279074114</v>
      </c>
      <c r="DQ87" s="2336">
        <v>11.208373161201152</v>
      </c>
      <c r="DR87" s="2336">
        <v>11.256898119200164</v>
      </c>
      <c r="DS87" s="2336">
        <v>11.305213066481301</v>
      </c>
      <c r="DT87" s="2336">
        <v>11.353315969252094</v>
      </c>
      <c r="DU87" s="2336">
        <v>11.401204846484349</v>
      </c>
    </row>
    <row r="88" spans="1:125">
      <c r="A88" s="909">
        <v>86</v>
      </c>
      <c r="B88" s="90"/>
      <c r="C88" s="90"/>
      <c r="D88" s="90"/>
      <c r="E88" s="90"/>
      <c r="F88" s="90"/>
      <c r="G88" s="90"/>
      <c r="H88" s="90"/>
      <c r="I88" s="90"/>
      <c r="J88" s="90"/>
      <c r="K88" s="90"/>
      <c r="L88" s="90"/>
      <c r="M88" s="90"/>
      <c r="N88" s="90"/>
      <c r="O88" s="90"/>
      <c r="P88" s="90"/>
      <c r="Q88" s="90"/>
      <c r="R88" s="90"/>
      <c r="S88" s="90"/>
      <c r="T88" s="90"/>
      <c r="U88" s="90"/>
      <c r="V88" s="739"/>
      <c r="W88" s="739">
        <v>5.78</v>
      </c>
      <c r="X88" s="739">
        <v>5.78</v>
      </c>
      <c r="Y88" s="2336">
        <v>5.8303207958812768</v>
      </c>
      <c r="Z88" s="2336">
        <v>5.8671698629544204</v>
      </c>
      <c r="AA88" s="2336">
        <v>5.9005022551455255</v>
      </c>
      <c r="AB88" s="2336">
        <v>5.9145776658881646</v>
      </c>
      <c r="AC88" s="2336">
        <v>5.9382590627346836</v>
      </c>
      <c r="AD88" s="2336">
        <v>5.9422113230050648</v>
      </c>
      <c r="AE88" s="2336">
        <v>5.9656273761521632</v>
      </c>
      <c r="AF88" s="2336">
        <v>6.0063319968946445</v>
      </c>
      <c r="AG88" s="2336">
        <v>6.026740871895341</v>
      </c>
      <c r="AH88" s="2336">
        <v>6.0419482182007247</v>
      </c>
      <c r="AI88" s="2336">
        <v>6.0588163304658194</v>
      </c>
      <c r="AJ88" s="2336">
        <v>6.0882829488178887</v>
      </c>
      <c r="AK88" s="2336">
        <v>6.1437078484144996</v>
      </c>
      <c r="AL88" s="2336">
        <v>6.2003184620216079</v>
      </c>
      <c r="AM88" s="2336">
        <v>6.2563239512992226</v>
      </c>
      <c r="AN88" s="2336">
        <v>6.3124636306095434</v>
      </c>
      <c r="AO88" s="2336">
        <v>6.3687323679830756</v>
      </c>
      <c r="AP88" s="2336">
        <v>6.4251249833168558</v>
      </c>
      <c r="AQ88" s="2336">
        <v>6.4805292001573394</v>
      </c>
      <c r="AR88" s="2336">
        <v>6.5356287492777163</v>
      </c>
      <c r="AS88" s="2336">
        <v>6.5903637902249379</v>
      </c>
      <c r="AT88" s="2336">
        <v>6.6446848040727762</v>
      </c>
      <c r="AU88" s="2336">
        <v>6.6985554700658874</v>
      </c>
      <c r="AV88" s="2336">
        <v>6.7519544871894368</v>
      </c>
      <c r="AW88" s="2336">
        <v>6.804876213224512</v>
      </c>
      <c r="AX88" s="2336">
        <v>6.8573301099904285</v>
      </c>
      <c r="AY88" s="2336">
        <v>6.9093383330177787</v>
      </c>
      <c r="AZ88" s="2336">
        <v>6.9613952011068676</v>
      </c>
      <c r="BA88" s="2336">
        <v>7.0134966479784966</v>
      </c>
      <c r="BB88" s="2336">
        <v>7.0656385985190315</v>
      </c>
      <c r="BC88" s="2336">
        <v>7.1178169701729344</v>
      </c>
      <c r="BD88" s="2336">
        <v>7.1700276743354809</v>
      </c>
      <c r="BE88" s="2336">
        <v>7.2222666177452881</v>
      </c>
      <c r="BF88" s="2336">
        <v>7.2745297038759649</v>
      </c>
      <c r="BG88" s="2336">
        <v>7.3268128343253691</v>
      </c>
      <c r="BH88" s="2336">
        <v>7.3791119102023695</v>
      </c>
      <c r="BI88" s="2336">
        <v>7.431422833507324</v>
      </c>
      <c r="BJ88" s="2336">
        <v>7.4837415085096053</v>
      </c>
      <c r="BK88" s="2336">
        <v>7.5360638431157296</v>
      </c>
      <c r="BL88" s="2336">
        <v>7.5883857502336447</v>
      </c>
      <c r="BM88" s="2336">
        <v>7.6407031491245023</v>
      </c>
      <c r="BN88" s="2336">
        <v>7.693011966748605</v>
      </c>
      <c r="BO88" s="2336">
        <v>7.7453081390982073</v>
      </c>
      <c r="BP88" s="2336">
        <v>7.7975876125208323</v>
      </c>
      <c r="BQ88" s="2336">
        <v>7.8498463450289702</v>
      </c>
      <c r="BR88" s="2336">
        <v>7.9020803075975516</v>
      </c>
      <c r="BS88" s="2336">
        <v>7.9542854854468201</v>
      </c>
      <c r="BT88" s="2336">
        <v>8.0064578793110854</v>
      </c>
      <c r="BU88" s="2336">
        <v>8.0585935066903502</v>
      </c>
      <c r="BV88" s="2336">
        <v>8.1106884030876891</v>
      </c>
      <c r="BW88" s="2336">
        <v>8.1627386232265557</v>
      </c>
      <c r="BX88" s="2336">
        <v>8.2147402422530149</v>
      </c>
      <c r="BY88" s="2336">
        <v>8.2666893569171993</v>
      </c>
      <c r="BZ88" s="2336">
        <v>8.3185820867363809</v>
      </c>
      <c r="CA88" s="2336">
        <v>8.370414575137481</v>
      </c>
      <c r="CB88" s="2336">
        <v>8.4221829905797652</v>
      </c>
      <c r="CC88" s="2336">
        <v>8.4738835276553015</v>
      </c>
      <c r="CD88" s="2336">
        <v>8.5255124081680567</v>
      </c>
      <c r="CE88" s="2336">
        <v>8.5770658821915582</v>
      </c>
      <c r="CF88" s="2336">
        <v>8.6285402291012065</v>
      </c>
      <c r="CG88" s="2336">
        <v>8.6799317585868501</v>
      </c>
      <c r="CH88" s="2336">
        <v>8.7312368116376966</v>
      </c>
      <c r="CI88" s="2336">
        <v>8.7824517615065609</v>
      </c>
      <c r="CJ88" s="2336">
        <v>8.8335730146466442</v>
      </c>
      <c r="CK88" s="2336">
        <v>8.8845970116256883</v>
      </c>
      <c r="CL88" s="2336">
        <v>8.935520228013031</v>
      </c>
      <c r="CM88" s="2336">
        <v>8.9863391752421808</v>
      </c>
      <c r="CN88" s="2336">
        <v>9.0370504014478481</v>
      </c>
      <c r="CO88" s="2336">
        <v>9.0876504922749817</v>
      </c>
      <c r="CP88" s="2336">
        <v>9.1381360716635189</v>
      </c>
      <c r="CQ88" s="2336">
        <v>9.1885038026059984</v>
      </c>
      <c r="CR88" s="2336">
        <v>9.2387503878782198</v>
      </c>
      <c r="CS88" s="2336">
        <v>9.2888725707432513</v>
      </c>
      <c r="CT88" s="2336">
        <v>9.3388671356288331</v>
      </c>
      <c r="CU88" s="2336">
        <v>9.3887309087768251</v>
      </c>
      <c r="CV88" s="2336">
        <v>9.438460758867306</v>
      </c>
      <c r="CW88" s="2336">
        <v>9.4880535976141829</v>
      </c>
      <c r="CX88" s="2336">
        <v>9.5375063803338236</v>
      </c>
      <c r="CY88" s="2336">
        <v>9.5868161064876816</v>
      </c>
      <c r="CZ88" s="2336">
        <v>9.635979820196912</v>
      </c>
      <c r="DA88" s="2336">
        <v>9.6849946107301204</v>
      </c>
      <c r="DB88" s="2336">
        <v>9.7338576129648242</v>
      </c>
      <c r="DC88" s="2336">
        <v>9.7825660078220213</v>
      </c>
      <c r="DD88" s="2336">
        <v>9.8311170226734124</v>
      </c>
      <c r="DE88" s="2336">
        <v>9.8795079317233707</v>
      </c>
      <c r="DF88" s="2336">
        <v>9.9277360563633312</v>
      </c>
      <c r="DG88" s="2336">
        <v>9.9757987655015423</v>
      </c>
      <c r="DH88" s="2336">
        <v>10.023693475865219</v>
      </c>
      <c r="DI88" s="2336">
        <v>10.071417652279242</v>
      </c>
      <c r="DJ88" s="2336">
        <v>10.11896880791682</v>
      </c>
      <c r="DK88" s="2336">
        <v>10.166344504527187</v>
      </c>
      <c r="DL88" s="2336">
        <v>10.213542352637925</v>
      </c>
      <c r="DM88" s="2336">
        <v>10.260560011731254</v>
      </c>
      <c r="DN88" s="2336">
        <v>10.307395190398806</v>
      </c>
      <c r="DO88" s="2336">
        <v>10.354045646469848</v>
      </c>
      <c r="DP88" s="2336">
        <v>10.40050918711704</v>
      </c>
      <c r="DQ88" s="2336">
        <v>10.446783668939631</v>
      </c>
      <c r="DR88" s="2336">
        <v>10.492866998022141</v>
      </c>
      <c r="DS88" s="2336">
        <v>10.538757129971875</v>
      </c>
      <c r="DT88" s="2336">
        <v>10.584452069934068</v>
      </c>
      <c r="DU88" s="2336">
        <v>10.629949872584431</v>
      </c>
    </row>
    <row r="89" spans="1:125">
      <c r="A89" s="909">
        <v>87</v>
      </c>
      <c r="B89" s="90"/>
      <c r="C89" s="90"/>
      <c r="D89" s="90"/>
      <c r="E89" s="90"/>
      <c r="F89" s="90"/>
      <c r="G89" s="90"/>
      <c r="H89" s="90"/>
      <c r="I89" s="90"/>
      <c r="J89" s="90"/>
      <c r="K89" s="90"/>
      <c r="L89" s="90"/>
      <c r="M89" s="90"/>
      <c r="N89" s="90"/>
      <c r="O89" s="90"/>
      <c r="P89" s="90"/>
      <c r="Q89" s="90"/>
      <c r="R89" s="90"/>
      <c r="S89" s="90"/>
      <c r="T89" s="90"/>
      <c r="U89" s="90"/>
      <c r="V89" s="739"/>
      <c r="W89" s="739">
        <v>5.35</v>
      </c>
      <c r="X89" s="739">
        <v>5.36</v>
      </c>
      <c r="Y89" s="2336">
        <v>5.3882090945537637</v>
      </c>
      <c r="Z89" s="2336">
        <v>5.4202123004880889</v>
      </c>
      <c r="AA89" s="2336">
        <v>5.4541038378069651</v>
      </c>
      <c r="AB89" s="2336">
        <v>5.4752493584044934</v>
      </c>
      <c r="AC89" s="2336">
        <v>5.4699376851554504</v>
      </c>
      <c r="AD89" s="2336">
        <v>5.4940529699923442</v>
      </c>
      <c r="AE89" s="2336">
        <v>5.4914331137610057</v>
      </c>
      <c r="AF89" s="2336">
        <v>5.5371382492764596</v>
      </c>
      <c r="AG89" s="2336">
        <v>5.5562719577166462</v>
      </c>
      <c r="AH89" s="2336">
        <v>5.5576949425735416</v>
      </c>
      <c r="AI89" s="2336">
        <v>5.5652533087289866</v>
      </c>
      <c r="AJ89" s="2336">
        <v>5.6172185210313081</v>
      </c>
      <c r="AK89" s="2336">
        <v>5.6727050916662645</v>
      </c>
      <c r="AL89" s="2336">
        <v>5.7250623094425075</v>
      </c>
      <c r="AM89" s="2336">
        <v>5.7775566168404096</v>
      </c>
      <c r="AN89" s="2336">
        <v>5.8301832244819307</v>
      </c>
      <c r="AO89" s="2336">
        <v>5.8829372948497367</v>
      </c>
      <c r="AP89" s="2336">
        <v>5.9358139443530238</v>
      </c>
      <c r="AQ89" s="2336">
        <v>5.9876073302320325</v>
      </c>
      <c r="AR89" s="2336">
        <v>6.0390635289350572</v>
      </c>
      <c r="AS89" s="2336">
        <v>6.0901201452344038</v>
      </c>
      <c r="AT89" s="2336">
        <v>6.140726176449621</v>
      </c>
      <c r="AU89" s="2336">
        <v>6.1908450388176322</v>
      </c>
      <c r="AV89" s="2336">
        <v>6.240456438151516</v>
      </c>
      <c r="AW89" s="2336">
        <v>6.2895569580365107</v>
      </c>
      <c r="AX89" s="2336">
        <v>6.3381593642954526</v>
      </c>
      <c r="AY89" s="2336">
        <v>6.3868174302629592</v>
      </c>
      <c r="AZ89" s="2336">
        <v>6.4355273593009388</v>
      </c>
      <c r="BA89" s="2336">
        <v>6.4842853440023092</v>
      </c>
      <c r="BB89" s="2336">
        <v>6.5330875674984519</v>
      </c>
      <c r="BC89" s="2336">
        <v>6.581930204770762</v>
      </c>
      <c r="BD89" s="2336">
        <v>6.6308094239621349</v>
      </c>
      <c r="BE89" s="2336">
        <v>6.679721387688212</v>
      </c>
      <c r="BF89" s="2336">
        <v>6.7286622543477721</v>
      </c>
      <c r="BG89" s="2336">
        <v>6.7776281794308311</v>
      </c>
      <c r="BH89" s="2336">
        <v>6.8266153168244683</v>
      </c>
      <c r="BI89" s="2336">
        <v>6.8756198201125436</v>
      </c>
      <c r="BJ89" s="2336">
        <v>6.924637843872941</v>
      </c>
      <c r="BK89" s="2336">
        <v>6.973665544965673</v>
      </c>
      <c r="BL89" s="2336">
        <v>7.0226990838178862</v>
      </c>
      <c r="BM89" s="2336">
        <v>7.0717346256966875</v>
      </c>
      <c r="BN89" s="2336">
        <v>7.1207683419770254</v>
      </c>
      <c r="BO89" s="2336">
        <v>7.1697964113970043</v>
      </c>
      <c r="BP89" s="2336">
        <v>7.2188150213046507</v>
      </c>
      <c r="BQ89" s="2336">
        <v>7.2678203688918481</v>
      </c>
      <c r="BR89" s="2336">
        <v>7.3168086624170767</v>
      </c>
      <c r="BS89" s="2336">
        <v>7.3657761224145313</v>
      </c>
      <c r="BT89" s="2336">
        <v>7.414718982890256</v>
      </c>
      <c r="BU89" s="2336">
        <v>7.4636334925022325</v>
      </c>
      <c r="BV89" s="2336">
        <v>7.5125159157275458</v>
      </c>
      <c r="BW89" s="2336">
        <v>7.5613625340106241</v>
      </c>
      <c r="BX89" s="2336">
        <v>7.6101696468978615</v>
      </c>
      <c r="BY89" s="2336">
        <v>7.6589335731527761</v>
      </c>
      <c r="BZ89" s="2336">
        <v>7.7076506518542578</v>
      </c>
      <c r="CA89" s="2336">
        <v>7.7563172434757188</v>
      </c>
      <c r="CB89" s="2336">
        <v>7.8049297309460171</v>
      </c>
      <c r="CC89" s="2336">
        <v>7.853484520689678</v>
      </c>
      <c r="CD89" s="2336">
        <v>7.9019780436474081</v>
      </c>
      <c r="CE89" s="2336">
        <v>7.9504067562768732</v>
      </c>
      <c r="CF89" s="2336">
        <v>7.9987671415297266</v>
      </c>
      <c r="CG89" s="2336">
        <v>8.0470557098108095</v>
      </c>
      <c r="CH89" s="2336">
        <v>8.0952689999112835</v>
      </c>
      <c r="CI89" s="2336">
        <v>8.1434035799230529</v>
      </c>
      <c r="CJ89" s="2336">
        <v>8.191456048127435</v>
      </c>
      <c r="CK89" s="2336">
        <v>8.2394230338631615</v>
      </c>
      <c r="CL89" s="2336">
        <v>8.2873011983690823</v>
      </c>
      <c r="CM89" s="2336">
        <v>8.3350872356043162</v>
      </c>
      <c r="CN89" s="2336">
        <v>8.382777873044839</v>
      </c>
      <c r="CO89" s="2336">
        <v>8.4303698724538503</v>
      </c>
      <c r="CP89" s="2336">
        <v>8.4778600306299658</v>
      </c>
      <c r="CQ89" s="2336">
        <v>8.5252451801301472</v>
      </c>
      <c r="CR89" s="2336">
        <v>8.5725221899676338</v>
      </c>
      <c r="CS89" s="2336">
        <v>8.6196879662852393</v>
      </c>
      <c r="CT89" s="2336">
        <v>8.6667394530039505</v>
      </c>
      <c r="CU89" s="2336">
        <v>8.7136736324455928</v>
      </c>
      <c r="CV89" s="2336">
        <v>8.7604875259321133</v>
      </c>
      <c r="CW89" s="2336">
        <v>8.8071781943583147</v>
      </c>
      <c r="CX89" s="2336">
        <v>8.8537427387395979</v>
      </c>
      <c r="CY89" s="2336">
        <v>8.9001783007356448</v>
      </c>
      <c r="CZ89" s="2336">
        <v>8.9464820631480393</v>
      </c>
      <c r="DA89" s="2336">
        <v>8.9926512503929441</v>
      </c>
      <c r="DB89" s="2336">
        <v>9.0386831289494314</v>
      </c>
      <c r="DC89" s="2336">
        <v>9.0845750077828153</v>
      </c>
      <c r="DD89" s="2336">
        <v>9.1303242387425172</v>
      </c>
      <c r="DE89" s="2336">
        <v>9.1759282169365743</v>
      </c>
      <c r="DF89" s="2336">
        <v>9.2213843810803837</v>
      </c>
      <c r="DG89" s="2336">
        <v>9.266690213822681</v>
      </c>
      <c r="DH89" s="2336">
        <v>9.3118432420456738</v>
      </c>
      <c r="DI89" s="2336">
        <v>9.35684103714358</v>
      </c>
      <c r="DJ89" s="2336">
        <v>9.4016812152747828</v>
      </c>
      <c r="DK89" s="2336">
        <v>9.4463614375928433</v>
      </c>
      <c r="DL89" s="2336">
        <v>9.4908794104538057</v>
      </c>
      <c r="DM89" s="2336">
        <v>9.5352328855990951</v>
      </c>
      <c r="DN89" s="2336">
        <v>9.579419660318635</v>
      </c>
      <c r="DO89" s="2336">
        <v>9.6234375775889411</v>
      </c>
      <c r="DP89" s="2336">
        <v>9.6672845261903628</v>
      </c>
      <c r="DQ89" s="2336">
        <v>9.7109584408033172</v>
      </c>
      <c r="DR89" s="2336">
        <v>9.7544573020814767</v>
      </c>
      <c r="DS89" s="2336">
        <v>9.7977791367053193</v>
      </c>
      <c r="DT89" s="2336">
        <v>9.8409220174147194</v>
      </c>
      <c r="DU89" s="2336">
        <v>9.8838840630203286</v>
      </c>
    </row>
    <row r="90" spans="1:125">
      <c r="A90" s="909">
        <v>88</v>
      </c>
      <c r="B90" s="90"/>
      <c r="C90" s="90"/>
      <c r="D90" s="90"/>
      <c r="E90" s="90"/>
      <c r="F90" s="90"/>
      <c r="G90" s="90"/>
      <c r="H90" s="90"/>
      <c r="I90" s="90"/>
      <c r="J90" s="90"/>
      <c r="K90" s="90"/>
      <c r="L90" s="90"/>
      <c r="M90" s="90"/>
      <c r="N90" s="90"/>
      <c r="O90" s="90"/>
      <c r="P90" s="90"/>
      <c r="Q90" s="90"/>
      <c r="R90" s="90"/>
      <c r="S90" s="90"/>
      <c r="T90" s="90"/>
      <c r="U90" s="90"/>
      <c r="V90" s="739"/>
      <c r="W90" s="739">
        <v>4.97</v>
      </c>
      <c r="X90" s="739">
        <v>4.95</v>
      </c>
      <c r="Y90" s="2336">
        <v>4.9721195963142542</v>
      </c>
      <c r="Z90" s="2336">
        <v>5.0051560090124241</v>
      </c>
      <c r="AA90" s="2336">
        <v>5.0518897132500884</v>
      </c>
      <c r="AB90" s="2336">
        <v>5.0315541102646897</v>
      </c>
      <c r="AC90" s="2336">
        <v>5.0508004939173734</v>
      </c>
      <c r="AD90" s="2336">
        <v>5.0495428126111888</v>
      </c>
      <c r="AE90" s="2336">
        <v>5.0513959016783989</v>
      </c>
      <c r="AF90" s="2336">
        <v>5.0920462458937239</v>
      </c>
      <c r="AG90" s="2336">
        <v>5.101763098372305</v>
      </c>
      <c r="AH90" s="2336">
        <v>5.0983183814033524</v>
      </c>
      <c r="AI90" s="2336">
        <v>5.1372540954195527</v>
      </c>
      <c r="AJ90" s="2336">
        <v>5.1855039355411927</v>
      </c>
      <c r="AK90" s="2336">
        <v>5.2342288406138389</v>
      </c>
      <c r="AL90" s="2336">
        <v>5.283089991487401</v>
      </c>
      <c r="AM90" s="2336">
        <v>5.3320829437212662</v>
      </c>
      <c r="AN90" s="2336">
        <v>5.3812032060614534</v>
      </c>
      <c r="AO90" s="2336">
        <v>5.4304462423684319</v>
      </c>
      <c r="AP90" s="2336">
        <v>5.4798074735748354</v>
      </c>
      <c r="AQ90" s="2336">
        <v>5.5279631123080071</v>
      </c>
      <c r="AR90" s="2336">
        <v>5.5757380035829565</v>
      </c>
      <c r="AS90" s="2336">
        <v>5.6230665895663874</v>
      </c>
      <c r="AT90" s="2336">
        <v>5.6698960597510855</v>
      </c>
      <c r="AU90" s="2336">
        <v>5.7161895578929984</v>
      </c>
      <c r="AV90" s="2336">
        <v>5.7619281064880008</v>
      </c>
      <c r="AW90" s="2336">
        <v>5.8071111238010742</v>
      </c>
      <c r="AX90" s="2336">
        <v>5.8523536876308366</v>
      </c>
      <c r="AY90" s="2336">
        <v>5.8976522830981857</v>
      </c>
      <c r="AZ90" s="2336">
        <v>5.943003383481547</v>
      </c>
      <c r="BA90" s="2336">
        <v>5.9884034514331974</v>
      </c>
      <c r="BB90" s="2336">
        <v>6.0338489401954014</v>
      </c>
      <c r="BC90" s="2336">
        <v>6.0793362948203145</v>
      </c>
      <c r="BD90" s="2336">
        <v>6.1248619533893631</v>
      </c>
      <c r="BE90" s="2336">
        <v>6.1704223482320621</v>
      </c>
      <c r="BF90" s="2336">
        <v>6.216013907143811</v>
      </c>
      <c r="BG90" s="2336">
        <v>6.2616330546012593</v>
      </c>
      <c r="BH90" s="2336">
        <v>6.307276212975478</v>
      </c>
      <c r="BI90" s="2336">
        <v>6.3529398037389093</v>
      </c>
      <c r="BJ90" s="2336">
        <v>6.3986202486702517</v>
      </c>
      <c r="BK90" s="2336">
        <v>6.4443139710502066</v>
      </c>
      <c r="BL90" s="2336">
        <v>6.490017396854781</v>
      </c>
      <c r="BM90" s="2336">
        <v>6.5357269559365321</v>
      </c>
      <c r="BN90" s="2336">
        <v>6.5814390832016656</v>
      </c>
      <c r="BO90" s="2336">
        <v>6.627150219774995</v>
      </c>
      <c r="BP90" s="2336">
        <v>6.6728568141571589</v>
      </c>
      <c r="BQ90" s="2336">
        <v>6.7185553233697188</v>
      </c>
      <c r="BR90" s="2336">
        <v>6.7642422140899612</v>
      </c>
      <c r="BS90" s="2336">
        <v>6.8099139637729893</v>
      </c>
      <c r="BT90" s="2336">
        <v>6.8555670617618869</v>
      </c>
      <c r="BU90" s="2336">
        <v>6.9011980103828323</v>
      </c>
      <c r="BV90" s="2336">
        <v>6.9468033260285837</v>
      </c>
      <c r="BW90" s="2336">
        <v>6.9923795402240936</v>
      </c>
      <c r="BX90" s="2336">
        <v>7.0379232006799723</v>
      </c>
      <c r="BY90" s="2336">
        <v>7.0834308723277255</v>
      </c>
      <c r="BZ90" s="2336">
        <v>7.1288991383395413</v>
      </c>
      <c r="CA90" s="2336">
        <v>7.1743246011304516</v>
      </c>
      <c r="CB90" s="2336">
        <v>7.2197038833438238</v>
      </c>
      <c r="CC90" s="2336">
        <v>7.2650336288177018</v>
      </c>
      <c r="CD90" s="2336">
        <v>7.3103105035330911</v>
      </c>
      <c r="CE90" s="2336">
        <v>7.3555311965442511</v>
      </c>
      <c r="CF90" s="2336">
        <v>7.4006924208868297</v>
      </c>
      <c r="CG90" s="2336">
        <v>7.4457909144701597</v>
      </c>
      <c r="CH90" s="2336">
        <v>7.490823440945066</v>
      </c>
      <c r="CI90" s="2336">
        <v>7.5357867905550409</v>
      </c>
      <c r="CJ90" s="2336">
        <v>7.5806777809633656</v>
      </c>
      <c r="CK90" s="2336">
        <v>7.6254932580616517</v>
      </c>
      <c r="CL90" s="2336">
        <v>7.6702300967549064</v>
      </c>
      <c r="CM90" s="2336">
        <v>7.7148852017261031</v>
      </c>
      <c r="CN90" s="2336">
        <v>7.7594555081791841</v>
      </c>
      <c r="CO90" s="2336">
        <v>7.8039379825578008</v>
      </c>
      <c r="CP90" s="2336">
        <v>7.8483296232440143</v>
      </c>
      <c r="CQ90" s="2336">
        <v>7.8926274612337419</v>
      </c>
      <c r="CR90" s="2336">
        <v>7.9368285607893014</v>
      </c>
      <c r="CS90" s="2336">
        <v>7.9809300200693842</v>
      </c>
      <c r="CT90" s="2336">
        <v>8.0249289717364523</v>
      </c>
      <c r="CU90" s="2336">
        <v>8.0688225835402623</v>
      </c>
      <c r="CV90" s="2336">
        <v>8.1126080588801806</v>
      </c>
      <c r="CW90" s="2336">
        <v>8.15628263734299</v>
      </c>
      <c r="CX90" s="2336">
        <v>8.1998435952178355</v>
      </c>
      <c r="CY90" s="2336">
        <v>8.2432882459892465</v>
      </c>
      <c r="CZ90" s="2336">
        <v>8.2866139408061397</v>
      </c>
      <c r="DA90" s="2336">
        <v>8.3298180689280059</v>
      </c>
      <c r="DB90" s="2336">
        <v>8.3728980581488397</v>
      </c>
      <c r="DC90" s="2336">
        <v>8.4158513751981197</v>
      </c>
      <c r="DD90" s="2336">
        <v>8.4586755261184052</v>
      </c>
      <c r="DE90" s="2336">
        <v>8.5013680566216046</v>
      </c>
      <c r="DF90" s="2336">
        <v>8.5439265524215031</v>
      </c>
      <c r="DG90" s="2336">
        <v>8.586348639545573</v>
      </c>
      <c r="DH90" s="2336">
        <v>8.6286319846228672</v>
      </c>
      <c r="DI90" s="2336">
        <v>8.6707742951523681</v>
      </c>
      <c r="DJ90" s="2336">
        <v>8.7127733197468089</v>
      </c>
      <c r="DK90" s="2336">
        <v>8.7546268483573364</v>
      </c>
      <c r="DL90" s="2336">
        <v>8.7963327124763655</v>
      </c>
      <c r="DM90" s="2336">
        <v>8.8378887853178281</v>
      </c>
      <c r="DN90" s="2336">
        <v>8.8792929819795798</v>
      </c>
      <c r="DO90" s="2336">
        <v>8.9205432595825087</v>
      </c>
      <c r="DP90" s="2336">
        <v>8.9616376173906023</v>
      </c>
      <c r="DQ90" s="2336">
        <v>9.0025740969117791</v>
      </c>
      <c r="DR90" s="2336">
        <v>9.043350781977356</v>
      </c>
      <c r="DS90" s="2336">
        <v>9.0839657988035576</v>
      </c>
      <c r="DT90" s="2336">
        <v>9.1244173160337514</v>
      </c>
      <c r="DU90" s="2336">
        <v>9.1647035447610392</v>
      </c>
    </row>
    <row r="91" spans="1:125">
      <c r="A91" s="909">
        <v>89</v>
      </c>
      <c r="B91" s="90"/>
      <c r="C91" s="90"/>
      <c r="D91" s="90"/>
      <c r="E91" s="90"/>
      <c r="F91" s="90"/>
      <c r="G91" s="90"/>
      <c r="H91" s="90"/>
      <c r="I91" s="90"/>
      <c r="J91" s="90"/>
      <c r="K91" s="90"/>
      <c r="L91" s="90"/>
      <c r="M91" s="90"/>
      <c r="N91" s="90"/>
      <c r="O91" s="90"/>
      <c r="P91" s="90"/>
      <c r="Q91" s="90"/>
      <c r="R91" s="90"/>
      <c r="S91" s="90"/>
      <c r="T91" s="90"/>
      <c r="U91" s="90"/>
      <c r="V91" s="739"/>
      <c r="W91" s="739">
        <v>4.59</v>
      </c>
      <c r="X91" s="739">
        <v>4.5599999999999996</v>
      </c>
      <c r="Y91" s="2336">
        <v>4.5811591573872947</v>
      </c>
      <c r="Z91" s="2336">
        <v>4.642404004186532</v>
      </c>
      <c r="AA91" s="2336">
        <v>4.6423196723920999</v>
      </c>
      <c r="AB91" s="2336">
        <v>4.6417036509278899</v>
      </c>
      <c r="AC91" s="2336">
        <v>4.6279777628910486</v>
      </c>
      <c r="AD91" s="2336">
        <v>4.6455134564475102</v>
      </c>
      <c r="AE91" s="2336">
        <v>4.6439168556024901</v>
      </c>
      <c r="AF91" s="2336">
        <v>4.6679057019784889</v>
      </c>
      <c r="AG91" s="2336">
        <v>4.6629528478617788</v>
      </c>
      <c r="AH91" s="2336">
        <v>4.6944166405032588</v>
      </c>
      <c r="AI91" s="2336">
        <v>4.737718030106242</v>
      </c>
      <c r="AJ91" s="2336">
        <v>4.782852165417026</v>
      </c>
      <c r="AK91" s="2336">
        <v>4.8281180939054869</v>
      </c>
      <c r="AL91" s="2336">
        <v>4.8735117109582395</v>
      </c>
      <c r="AM91" s="2336">
        <v>4.9190288677967313</v>
      </c>
      <c r="AN91" s="2336">
        <v>4.9646653732584491</v>
      </c>
      <c r="AO91" s="2336">
        <v>5.0104169956089448</v>
      </c>
      <c r="AP91" s="2336">
        <v>5.056279464378072</v>
      </c>
      <c r="AQ91" s="2336">
        <v>5.1007790173475032</v>
      </c>
      <c r="AR91" s="2336">
        <v>5.1448409605917185</v>
      </c>
      <c r="AS91" s="2336">
        <v>5.1883958200283447</v>
      </c>
      <c r="AT91" s="2336">
        <v>5.231388597802348</v>
      </c>
      <c r="AU91" s="2336">
        <v>5.2737821968664518</v>
      </c>
      <c r="AV91" s="2336">
        <v>5.3155594021079162</v>
      </c>
      <c r="AW91" s="2336">
        <v>5.3573969918052455</v>
      </c>
      <c r="AX91" s="2336">
        <v>5.3992917376471752</v>
      </c>
      <c r="AY91" s="2336">
        <v>5.441240399286321</v>
      </c>
      <c r="AZ91" s="2336">
        <v>5.4832397254512957</v>
      </c>
      <c r="BA91" s="2336">
        <v>5.5252864550642968</v>
      </c>
      <c r="BB91" s="2336">
        <v>5.5673773183574182</v>
      </c>
      <c r="BC91" s="2336">
        <v>5.6095090379922627</v>
      </c>
      <c r="BD91" s="2336">
        <v>5.6516783301782976</v>
      </c>
      <c r="BE91" s="2336">
        <v>5.6938819057901169</v>
      </c>
      <c r="BF91" s="2336">
        <v>5.7361164714833359</v>
      </c>
      <c r="BG91" s="2336">
        <v>5.7783787308077024</v>
      </c>
      <c r="BH91" s="2336">
        <v>5.8206653853179242</v>
      </c>
      <c r="BI91" s="2336">
        <v>5.8629731356779606</v>
      </c>
      <c r="BJ91" s="2336">
        <v>5.9052986827635117</v>
      </c>
      <c r="BK91" s="2336">
        <v>5.9476387287551757</v>
      </c>
      <c r="BL91" s="2336">
        <v>5.9899899782297155</v>
      </c>
      <c r="BM91" s="2336">
        <v>6.0323491392391704</v>
      </c>
      <c r="BN91" s="2336">
        <v>6.0747129243865494</v>
      </c>
      <c r="BO91" s="2336">
        <v>6.1170780518896279</v>
      </c>
      <c r="BP91" s="2336">
        <v>6.1594412466377255</v>
      </c>
      <c r="BQ91" s="2336">
        <v>6.2017992412369205</v>
      </c>
      <c r="BR91" s="2336">
        <v>6.2441487770457904</v>
      </c>
      <c r="BS91" s="2336">
        <v>6.2864866051992259</v>
      </c>
      <c r="BT91" s="2336">
        <v>6.3288094876213181</v>
      </c>
      <c r="BU91" s="2336">
        <v>6.3711141980240349</v>
      </c>
      <c r="BV91" s="2336">
        <v>6.4133975228955693</v>
      </c>
      <c r="BW91" s="2336">
        <v>6.4556562624717104</v>
      </c>
      <c r="BX91" s="2336">
        <v>6.4978872316965415</v>
      </c>
      <c r="BY91" s="2336">
        <v>6.5400872611660334</v>
      </c>
      <c r="BZ91" s="2336">
        <v>6.5822531980576358</v>
      </c>
      <c r="CA91" s="2336">
        <v>6.6243819070436318</v>
      </c>
      <c r="CB91" s="2336">
        <v>6.6664702711893797</v>
      </c>
      <c r="CC91" s="2336">
        <v>6.7085151928339002</v>
      </c>
      <c r="CD91" s="2336">
        <v>6.7505135944540244</v>
      </c>
      <c r="CE91" s="2336">
        <v>6.7924624195123258</v>
      </c>
      <c r="CF91" s="2336">
        <v>6.8343586332844017</v>
      </c>
      <c r="CG91" s="2336">
        <v>6.8761992236723604</v>
      </c>
      <c r="CH91" s="2336">
        <v>6.9179812019953673</v>
      </c>
      <c r="CI91" s="2336">
        <v>6.9597016037656614</v>
      </c>
      <c r="CJ91" s="2336">
        <v>7.0013574894422268</v>
      </c>
      <c r="CK91" s="2336">
        <v>7.042945945167979</v>
      </c>
      <c r="CL91" s="2336">
        <v>7.084464083485349</v>
      </c>
      <c r="CM91" s="2336">
        <v>7.1259090440334276</v>
      </c>
      <c r="CN91" s="2336">
        <v>7.1672779942256435</v>
      </c>
      <c r="CO91" s="2336">
        <v>7.2085681299050801</v>
      </c>
      <c r="CP91" s="2336">
        <v>7.2497766759820212</v>
      </c>
      <c r="CQ91" s="2336">
        <v>7.2909008870502845</v>
      </c>
      <c r="CR91" s="2336">
        <v>7.3319380479827911</v>
      </c>
      <c r="CS91" s="2336">
        <v>7.3728854745067149</v>
      </c>
      <c r="CT91" s="2336">
        <v>7.4137405137582455</v>
      </c>
      <c r="CU91" s="2336">
        <v>7.4545005448156063</v>
      </c>
      <c r="CV91" s="2336">
        <v>7.4951629792131271</v>
      </c>
      <c r="CW91" s="2336">
        <v>7.535725261432952</v>
      </c>
      <c r="CX91" s="2336">
        <v>7.5761848693760703</v>
      </c>
      <c r="CY91" s="2336">
        <v>7.6165393148136893</v>
      </c>
      <c r="CZ91" s="2336">
        <v>7.6567861438167375</v>
      </c>
      <c r="DA91" s="2336">
        <v>7.6969229371647518</v>
      </c>
      <c r="DB91" s="2336">
        <v>7.7369473107347275</v>
      </c>
      <c r="DC91" s="2336">
        <v>7.7768569158692182</v>
      </c>
      <c r="DD91" s="2336">
        <v>7.8166494397231547</v>
      </c>
      <c r="DE91" s="2336">
        <v>7.8563226055916049</v>
      </c>
      <c r="DF91" s="2336">
        <v>7.8958741732158719</v>
      </c>
      <c r="DG91" s="2336">
        <v>7.9353019390710662</v>
      </c>
      <c r="DH91" s="2336">
        <v>7.9746037366318276</v>
      </c>
      <c r="DI91" s="2336">
        <v>8.0137774366207051</v>
      </c>
      <c r="DJ91" s="2336">
        <v>8.05282094723397</v>
      </c>
      <c r="DK91" s="2336">
        <v>8.0917322143504382</v>
      </c>
      <c r="DL91" s="2336">
        <v>8.1305092217204997</v>
      </c>
      <c r="DM91" s="2336">
        <v>8.1691499911345034</v>
      </c>
      <c r="DN91" s="2336">
        <v>8.2076525825754025</v>
      </c>
      <c r="DO91" s="2336">
        <v>8.2460150943499659</v>
      </c>
      <c r="DP91" s="2336">
        <v>8.2842356632029084</v>
      </c>
      <c r="DQ91" s="2336">
        <v>8.3223124644137609</v>
      </c>
      <c r="DR91" s="2336">
        <v>8.3602437118741424</v>
      </c>
      <c r="DS91" s="2336">
        <v>8.3980276581490099</v>
      </c>
      <c r="DT91" s="2336">
        <v>8.4356625945204069</v>
      </c>
      <c r="DU91" s="2336">
        <v>8.4731468510133343</v>
      </c>
    </row>
    <row r="92" spans="1:125">
      <c r="A92" s="909">
        <v>90</v>
      </c>
      <c r="B92" s="90"/>
      <c r="C92" s="90"/>
      <c r="D92" s="90"/>
      <c r="E92" s="90"/>
      <c r="F92" s="90"/>
      <c r="G92" s="90"/>
      <c r="H92" s="90"/>
      <c r="I92" s="90"/>
      <c r="J92" s="90"/>
      <c r="K92" s="90"/>
      <c r="L92" s="90"/>
      <c r="M92" s="90"/>
      <c r="N92" s="90"/>
      <c r="O92" s="90"/>
      <c r="P92" s="90"/>
      <c r="Q92" s="90"/>
      <c r="R92" s="90"/>
      <c r="S92" s="90"/>
      <c r="T92" s="90"/>
      <c r="U92" s="90"/>
      <c r="V92" s="739"/>
      <c r="W92" s="739">
        <v>4.24</v>
      </c>
      <c r="X92" s="739">
        <v>4.21</v>
      </c>
      <c r="Y92" s="2336">
        <v>4.2463917752761935</v>
      </c>
      <c r="Z92" s="2336">
        <v>4.2578546285444991</v>
      </c>
      <c r="AA92" s="2336">
        <v>4.2926253508805798</v>
      </c>
      <c r="AB92" s="2336">
        <v>4.254711871261355</v>
      </c>
      <c r="AC92" s="2336">
        <v>4.2478689071662652</v>
      </c>
      <c r="AD92" s="2336">
        <v>4.2635139989782624</v>
      </c>
      <c r="AE92" s="2336">
        <v>4.254095860037399</v>
      </c>
      <c r="AF92" s="2336">
        <v>4.2580617629598505</v>
      </c>
      <c r="AG92" s="2336">
        <v>4.2866334904247765</v>
      </c>
      <c r="AH92" s="2336">
        <v>4.3272661281861211</v>
      </c>
      <c r="AI92" s="2336">
        <v>4.3688756469075587</v>
      </c>
      <c r="AJ92" s="2336">
        <v>4.4106091095442537</v>
      </c>
      <c r="AK92" s="2336">
        <v>4.4524627409894268</v>
      </c>
      <c r="AL92" s="2336">
        <v>4.4944327258549182</v>
      </c>
      <c r="AM92" s="2336">
        <v>4.5365152101020447</v>
      </c>
      <c r="AN92" s="2336">
        <v>4.578706302699139</v>
      </c>
      <c r="AO92" s="2336">
        <v>4.6210020773043272</v>
      </c>
      <c r="AP92" s="2336">
        <v>4.6633985739664867</v>
      </c>
      <c r="AQ92" s="2336">
        <v>4.7042296083055817</v>
      </c>
      <c r="AR92" s="2336">
        <v>4.7445498725828132</v>
      </c>
      <c r="AS92" s="2336">
        <v>4.7842850484761454</v>
      </c>
      <c r="AT92" s="2336">
        <v>4.8233775202192914</v>
      </c>
      <c r="AU92" s="2336">
        <v>4.8617900609655598</v>
      </c>
      <c r="AV92" s="2336">
        <v>4.9002609350523976</v>
      </c>
      <c r="AW92" s="2336">
        <v>4.9387871992749304</v>
      </c>
      <c r="AX92" s="2336">
        <v>4.9773658990298904</v>
      </c>
      <c r="AY92" s="2336">
        <v>5.01599406932666</v>
      </c>
      <c r="AZ92" s="2336">
        <v>5.0546687357950297</v>
      </c>
      <c r="BA92" s="2336">
        <v>5.0933869156976961</v>
      </c>
      <c r="BB92" s="2336">
        <v>5.1321456189401564</v>
      </c>
      <c r="BC92" s="2336">
        <v>5.1709418490833272</v>
      </c>
      <c r="BD92" s="2336">
        <v>5.2097726043539883</v>
      </c>
      <c r="BE92" s="2336">
        <v>5.2486348786534709</v>
      </c>
      <c r="BF92" s="2336">
        <v>5.2875256625644438</v>
      </c>
      <c r="BG92" s="2336">
        <v>5.3264419443544719</v>
      </c>
      <c r="BH92" s="2336">
        <v>5.3653807109770284</v>
      </c>
      <c r="BI92" s="2336">
        <v>5.4043389490655134</v>
      </c>
      <c r="BJ92" s="2336">
        <v>5.4433136459256533</v>
      </c>
      <c r="BK92" s="2336">
        <v>5.482301790518167</v>
      </c>
      <c r="BL92" s="2336">
        <v>5.5213003744400639</v>
      </c>
      <c r="BM92" s="2336">
        <v>5.5603063928934855</v>
      </c>
      <c r="BN92" s="2336">
        <v>5.5993168456518241</v>
      </c>
      <c r="BO92" s="2336">
        <v>5.6383287380140006</v>
      </c>
      <c r="BP92" s="2336">
        <v>5.6773390817524056</v>
      </c>
      <c r="BQ92" s="2336">
        <v>5.7163448960496819</v>
      </c>
      <c r="BR92" s="2336">
        <v>5.7553432084267966</v>
      </c>
      <c r="BS92" s="2336">
        <v>5.7943310556598524</v>
      </c>
      <c r="BT92" s="2336">
        <v>5.8333054846868908</v>
      </c>
      <c r="BU92" s="2336">
        <v>5.8722635535012406</v>
      </c>
      <c r="BV92" s="2336">
        <v>5.9112023320357654</v>
      </c>
      <c r="BW92" s="2336">
        <v>5.9501189030309227</v>
      </c>
      <c r="BX92" s="2336">
        <v>5.9890103628935965</v>
      </c>
      <c r="BY92" s="2336">
        <v>6.0278738225398421</v>
      </c>
      <c r="BZ92" s="2336">
        <v>6.066706408225035</v>
      </c>
      <c r="CA92" s="2336">
        <v>6.1055052623590971</v>
      </c>
      <c r="CB92" s="2336">
        <v>6.1442675443081338</v>
      </c>
      <c r="CC92" s="2336">
        <v>6.1829904311798218</v>
      </c>
      <c r="CD92" s="2336">
        <v>6.2216711185939806</v>
      </c>
      <c r="CE92" s="2336">
        <v>6.2603068214386122</v>
      </c>
      <c r="CF92" s="2336">
        <v>6.2988947746067812</v>
      </c>
      <c r="CG92" s="2336">
        <v>6.3374322337217261</v>
      </c>
      <c r="CH92" s="2336">
        <v>6.3759164758405076</v>
      </c>
      <c r="CI92" s="2336">
        <v>6.4143448001452406</v>
      </c>
      <c r="CJ92" s="2336">
        <v>6.4527145286136429</v>
      </c>
      <c r="CK92" s="2336">
        <v>6.4910230066752153</v>
      </c>
      <c r="CL92" s="2336">
        <v>6.5292676038476154</v>
      </c>
      <c r="CM92" s="2336">
        <v>6.5674457143567144</v>
      </c>
      <c r="CN92" s="2336">
        <v>6.6055547577392248</v>
      </c>
      <c r="CO92" s="2336">
        <v>6.6435921794249051</v>
      </c>
      <c r="CP92" s="2336">
        <v>6.6815554513032414</v>
      </c>
      <c r="CQ92" s="2336">
        <v>6.7194420722709953</v>
      </c>
      <c r="CR92" s="2336">
        <v>6.757249568761118</v>
      </c>
      <c r="CS92" s="2336">
        <v>6.7949754952534178</v>
      </c>
      <c r="CT92" s="2336">
        <v>6.8326174347670641</v>
      </c>
      <c r="CU92" s="2336">
        <v>6.870172999333473</v>
      </c>
      <c r="CV92" s="2336">
        <v>6.9076398304525908</v>
      </c>
      <c r="CW92" s="2336">
        <v>6.9450155995289382</v>
      </c>
      <c r="CX92" s="2336">
        <v>6.9822980082892281</v>
      </c>
      <c r="CY92" s="2336">
        <v>7.0194847891826333</v>
      </c>
      <c r="CZ92" s="2336">
        <v>7.0565737057613784</v>
      </c>
      <c r="DA92" s="2336">
        <v>7.0935625530429576</v>
      </c>
      <c r="DB92" s="2336">
        <v>7.1304491578546081</v>
      </c>
      <c r="DC92" s="2336">
        <v>7.1672313791592677</v>
      </c>
      <c r="DD92" s="2336">
        <v>7.2039071083624533</v>
      </c>
      <c r="DE92" s="2336">
        <v>7.2404742696023758</v>
      </c>
      <c r="DF92" s="2336">
        <v>7.2769308200205556</v>
      </c>
      <c r="DG92" s="2336">
        <v>7.3132747500161992</v>
      </c>
      <c r="DH92" s="2336">
        <v>7.3495040834808423</v>
      </c>
      <c r="DI92" s="2336">
        <v>7.3856168780179434</v>
      </c>
      <c r="DJ92" s="2336">
        <v>7.4216112251419561</v>
      </c>
      <c r="DK92" s="2336">
        <v>7.4574852504626623</v>
      </c>
      <c r="DL92" s="2336">
        <v>7.4932371138518343</v>
      </c>
      <c r="DM92" s="2336">
        <v>7.5288650095912768</v>
      </c>
      <c r="DN92" s="2336">
        <v>7.564367166507366</v>
      </c>
      <c r="DO92" s="2336">
        <v>7.5997418480860697</v>
      </c>
      <c r="DP92" s="2336">
        <v>7.634987352573015</v>
      </c>
      <c r="DQ92" s="2336">
        <v>7.6701020130583117</v>
      </c>
      <c r="DR92" s="2336">
        <v>7.7050841975436946</v>
      </c>
      <c r="DS92" s="2336">
        <v>7.7399323089956598</v>
      </c>
      <c r="DT92" s="2336">
        <v>7.7746447853830185</v>
      </c>
      <c r="DU92" s="2336">
        <v>7.8092200996984245</v>
      </c>
    </row>
    <row r="93" spans="1:125">
      <c r="A93" s="909">
        <v>91</v>
      </c>
      <c r="B93" s="90"/>
      <c r="C93" s="90"/>
      <c r="D93" s="90"/>
      <c r="E93" s="90"/>
      <c r="F93" s="90"/>
      <c r="G93" s="90"/>
      <c r="H93" s="90"/>
      <c r="I93" s="90"/>
      <c r="J93" s="90"/>
      <c r="K93" s="90"/>
      <c r="L93" s="90"/>
      <c r="M93" s="90"/>
      <c r="N93" s="90"/>
      <c r="O93" s="90"/>
      <c r="P93" s="90"/>
      <c r="Q93" s="90"/>
      <c r="R93" s="90"/>
      <c r="S93" s="90"/>
      <c r="T93" s="90"/>
      <c r="U93" s="90"/>
      <c r="V93" s="739"/>
      <c r="W93" s="739">
        <v>3.93</v>
      </c>
      <c r="X93" s="739">
        <v>3.9</v>
      </c>
      <c r="Y93" s="2336">
        <v>3.8848813470990504</v>
      </c>
      <c r="Z93" s="2336">
        <v>3.9456498543081699</v>
      </c>
      <c r="AA93" s="2336">
        <v>3.9460627379008764</v>
      </c>
      <c r="AB93" s="2336">
        <v>3.9140583658214116</v>
      </c>
      <c r="AC93" s="2336">
        <v>3.9012464126595066</v>
      </c>
      <c r="AD93" s="2336">
        <v>3.9007478348897804</v>
      </c>
      <c r="AE93" s="2336">
        <v>3.8815888605718798</v>
      </c>
      <c r="AF93" s="2336">
        <v>3.9183583600436598</v>
      </c>
      <c r="AG93" s="2336">
        <v>3.9519241628660025</v>
      </c>
      <c r="AH93" s="2336">
        <v>3.9900917969333882</v>
      </c>
      <c r="AI93" s="2336">
        <v>4.0283723929962347</v>
      </c>
      <c r="AJ93" s="2336">
        <v>4.0667624934673077</v>
      </c>
      <c r="AK93" s="2336">
        <v>4.1052586054266094</v>
      </c>
      <c r="AL93" s="2336">
        <v>4.1438572021048374</v>
      </c>
      <c r="AM93" s="2336">
        <v>4.1825547243818368</v>
      </c>
      <c r="AN93" s="2336">
        <v>4.2213475823060662</v>
      </c>
      <c r="AO93" s="2336">
        <v>4.2602321566338635</v>
      </c>
      <c r="AP93" s="2336">
        <v>4.2992048003808128</v>
      </c>
      <c r="AQ93" s="2336">
        <v>4.3363497315839448</v>
      </c>
      <c r="AR93" s="2336">
        <v>4.372890255715193</v>
      </c>
      <c r="AS93" s="2336">
        <v>4.4087460661703819</v>
      </c>
      <c r="AT93" s="2336">
        <v>4.4438564570855394</v>
      </c>
      <c r="AU93" s="2336">
        <v>4.4790204671528606</v>
      </c>
      <c r="AV93" s="2336">
        <v>4.5142354325741207</v>
      </c>
      <c r="AW93" s="2336">
        <v>4.5494986795405641</v>
      </c>
      <c r="AX93" s="2336">
        <v>4.5848075251269602</v>
      </c>
      <c r="AY93" s="2336">
        <v>4.6201592781955707</v>
      </c>
      <c r="AZ93" s="2336">
        <v>4.6555512402948045</v>
      </c>
      <c r="BA93" s="2336">
        <v>4.6909807065619198</v>
      </c>
      <c r="BB93" s="2336">
        <v>4.7264449666216244</v>
      </c>
      <c r="BC93" s="2336">
        <v>4.7619413054868431</v>
      </c>
      <c r="BD93" s="2336">
        <v>4.7974670044562995</v>
      </c>
      <c r="BE93" s="2336">
        <v>4.8330193420095844</v>
      </c>
      <c r="BF93" s="2336">
        <v>4.868595594699757</v>
      </c>
      <c r="BG93" s="2336">
        <v>4.9041930380421812</v>
      </c>
      <c r="BH93" s="2336">
        <v>4.9398089474005431</v>
      </c>
      <c r="BI93" s="2336">
        <v>4.9754405988652586</v>
      </c>
      <c r="BJ93" s="2336">
        <v>5.0110852701304749</v>
      </c>
      <c r="BK93" s="2336">
        <v>5.0467402413607809</v>
      </c>
      <c r="BL93" s="2336">
        <v>5.0824027960571181</v>
      </c>
      <c r="BM93" s="2336">
        <v>5.1180702219097469</v>
      </c>
      <c r="BN93" s="2336">
        <v>5.1537398116492188</v>
      </c>
      <c r="BO93" s="2336">
        <v>5.1894088638854363</v>
      </c>
      <c r="BP93" s="2336">
        <v>5.2250746839410329</v>
      </c>
      <c r="BQ93" s="2336">
        <v>5.2607345846739086</v>
      </c>
      <c r="BR93" s="2336">
        <v>5.2963858872917635</v>
      </c>
      <c r="BS93" s="2336">
        <v>5.3320259221559736</v>
      </c>
      <c r="BT93" s="2336">
        <v>5.3676520295763321</v>
      </c>
      <c r="BU93" s="2336">
        <v>5.4032615605929779</v>
      </c>
      <c r="BV93" s="2336">
        <v>5.4388518777504604</v>
      </c>
      <c r="BW93" s="2336">
        <v>5.474420355856263</v>
      </c>
      <c r="BX93" s="2336">
        <v>5.5099643827315594</v>
      </c>
      <c r="BY93" s="2336">
        <v>5.5454813599467938</v>
      </c>
      <c r="BZ93" s="2336">
        <v>5.5809687035460183</v>
      </c>
      <c r="CA93" s="2336">
        <v>5.6164238447575761</v>
      </c>
      <c r="CB93" s="2336">
        <v>5.6518442306926637</v>
      </c>
      <c r="CC93" s="2336">
        <v>5.6872273250289718</v>
      </c>
      <c r="CD93" s="2336">
        <v>5.7225706086810861</v>
      </c>
      <c r="CE93" s="2336">
        <v>5.7578715804580325</v>
      </c>
      <c r="CF93" s="2336">
        <v>5.7931277577030036</v>
      </c>
      <c r="CG93" s="2336">
        <v>5.8283366769234117</v>
      </c>
      <c r="CH93" s="2336">
        <v>5.8634958944007911</v>
      </c>
      <c r="CI93" s="2336">
        <v>5.898602986790463</v>
      </c>
      <c r="CJ93" s="2336">
        <v>5.9336555517020306</v>
      </c>
      <c r="CK93" s="2336">
        <v>5.9686512082676604</v>
      </c>
      <c r="CL93" s="2336">
        <v>6.0035875976922668</v>
      </c>
      <c r="CM93" s="2336">
        <v>6.0384623837894766</v>
      </c>
      <c r="CN93" s="2336">
        <v>6.0732732535021903</v>
      </c>
      <c r="CO93" s="2336">
        <v>6.1080179174045632</v>
      </c>
      <c r="CP93" s="2336">
        <v>6.1426941101907442</v>
      </c>
      <c r="CQ93" s="2336">
        <v>6.1772995911465038</v>
      </c>
      <c r="CR93" s="2336">
        <v>6.2118321446043261</v>
      </c>
      <c r="CS93" s="2336">
        <v>6.2462895803824185</v>
      </c>
      <c r="CT93" s="2336">
        <v>6.2806697342077547</v>
      </c>
      <c r="CU93" s="2336">
        <v>6.3149704681215955</v>
      </c>
      <c r="CV93" s="2336">
        <v>6.3491896708707598</v>
      </c>
      <c r="CW93" s="2336">
        <v>6.3833252582807525</v>
      </c>
      <c r="CX93" s="2336">
        <v>6.4173751736127045</v>
      </c>
      <c r="CY93" s="2336">
        <v>6.4513373879052871</v>
      </c>
      <c r="CZ93" s="2336">
        <v>6.4852099002991057</v>
      </c>
      <c r="DA93" s="2336">
        <v>6.5189907383449919</v>
      </c>
      <c r="DB93" s="2336">
        <v>6.5526779582968313</v>
      </c>
      <c r="DC93" s="2336">
        <v>6.5862696453881266</v>
      </c>
      <c r="DD93" s="2336">
        <v>6.6197639140916653</v>
      </c>
      <c r="DE93" s="2336">
        <v>6.653158908364774</v>
      </c>
      <c r="DF93" s="2336">
        <v>6.6864528018772047</v>
      </c>
      <c r="DG93" s="2336">
        <v>6.7196437982251327</v>
      </c>
      <c r="DH93" s="2336">
        <v>6.7527301311275103</v>
      </c>
      <c r="DI93" s="2336">
        <v>6.7857100646097397</v>
      </c>
      <c r="DJ93" s="2336">
        <v>6.8185818931688456</v>
      </c>
      <c r="DK93" s="2336">
        <v>6.8513439419262339</v>
      </c>
      <c r="DL93" s="2336">
        <v>6.8839945667649163</v>
      </c>
      <c r="DM93" s="2336">
        <v>6.9165321544501568</v>
      </c>
      <c r="DN93" s="2336">
        <v>6.9489551227389272</v>
      </c>
      <c r="DO93" s="2336">
        <v>6.9812619204717956</v>
      </c>
      <c r="DP93" s="2336">
        <v>7.0134510276519926</v>
      </c>
      <c r="DQ93" s="2336">
        <v>7.0455209555113507</v>
      </c>
      <c r="DR93" s="2336">
        <v>7.0774702465605097</v>
      </c>
      <c r="DS93" s="2336">
        <v>7.109297474627172</v>
      </c>
      <c r="DT93" s="2336">
        <v>7.1410012448807905</v>
      </c>
      <c r="DU93" s="2336">
        <v>7.1725801938430784</v>
      </c>
    </row>
    <row r="94" spans="1:125">
      <c r="A94" s="909">
        <v>92</v>
      </c>
      <c r="B94" s="90"/>
      <c r="C94" s="90"/>
      <c r="D94" s="90"/>
      <c r="E94" s="90"/>
      <c r="F94" s="90"/>
      <c r="G94" s="90"/>
      <c r="H94" s="90"/>
      <c r="I94" s="90"/>
      <c r="J94" s="90"/>
      <c r="K94" s="90"/>
      <c r="L94" s="90"/>
      <c r="M94" s="90"/>
      <c r="N94" s="90"/>
      <c r="O94" s="90"/>
      <c r="P94" s="90"/>
      <c r="Q94" s="90"/>
      <c r="R94" s="90"/>
      <c r="S94" s="90"/>
      <c r="T94" s="90"/>
      <c r="U94" s="90"/>
      <c r="V94" s="739"/>
      <c r="W94" s="739">
        <v>3.66</v>
      </c>
      <c r="X94" s="739">
        <v>3.58</v>
      </c>
      <c r="Y94" s="2336">
        <v>3.6000735881867367</v>
      </c>
      <c r="Z94" s="2336">
        <v>3.6243353685405557</v>
      </c>
      <c r="AA94" s="2336">
        <v>3.6542541200505085</v>
      </c>
      <c r="AB94" s="2336">
        <v>3.6048386054484647</v>
      </c>
      <c r="AC94" s="2336">
        <v>3.5615076672813237</v>
      </c>
      <c r="AD94" s="2336">
        <v>3.5531480220392671</v>
      </c>
      <c r="AE94" s="2336">
        <v>3.567289034005702</v>
      </c>
      <c r="AF94" s="2336">
        <v>3.6094702787298396</v>
      </c>
      <c r="AG94" s="2336">
        <v>3.6442851677247639</v>
      </c>
      <c r="AH94" s="2336">
        <v>3.6791992132563269</v>
      </c>
      <c r="AI94" s="2336">
        <v>3.7142092656767751</v>
      </c>
      <c r="AJ94" s="2336">
        <v>3.7493121457716052</v>
      </c>
      <c r="AK94" s="2336">
        <v>3.7845046460796876</v>
      </c>
      <c r="AL94" s="2336">
        <v>3.8197835322361988</v>
      </c>
      <c r="AM94" s="2336">
        <v>3.8551455443237157</v>
      </c>
      <c r="AN94" s="2336">
        <v>3.8905873982391692</v>
      </c>
      <c r="AO94" s="2336">
        <v>3.9261057870756719</v>
      </c>
      <c r="AP94" s="2336">
        <v>3.9616973825106059</v>
      </c>
      <c r="AQ94" s="2336">
        <v>3.9951183847225464</v>
      </c>
      <c r="AR94" s="2336">
        <v>4.0278149094479394</v>
      </c>
      <c r="AS94" s="2336">
        <v>4.0596992484118122</v>
      </c>
      <c r="AT94" s="2336">
        <v>4.0916301071219427</v>
      </c>
      <c r="AU94" s="2336">
        <v>4.1236050937118334</v>
      </c>
      <c r="AV94" s="2336">
        <v>4.155621808282441</v>
      </c>
      <c r="AW94" s="2336">
        <v>4.1876778436935798</v>
      </c>
      <c r="AX94" s="2336">
        <v>4.2197707863478566</v>
      </c>
      <c r="AY94" s="2336">
        <v>4.2518982169845501</v>
      </c>
      <c r="AZ94" s="2336">
        <v>4.2840577114659677</v>
      </c>
      <c r="BA94" s="2336">
        <v>4.3162468415673576</v>
      </c>
      <c r="BB94" s="2336">
        <v>4.3484631757611201</v>
      </c>
      <c r="BC94" s="2336">
        <v>4.3807042800028109</v>
      </c>
      <c r="BD94" s="2336">
        <v>4.4129677185128937</v>
      </c>
      <c r="BE94" s="2336">
        <v>4.4452510545552828</v>
      </c>
      <c r="BF94" s="2336">
        <v>4.477551851212886</v>
      </c>
      <c r="BG94" s="2336">
        <v>4.5098676721588475</v>
      </c>
      <c r="BH94" s="2336">
        <v>4.5421960824247769</v>
      </c>
      <c r="BI94" s="2336">
        <v>4.5745346491606709</v>
      </c>
      <c r="BJ94" s="2336">
        <v>4.6068809423937678</v>
      </c>
      <c r="BK94" s="2336">
        <v>4.6392325357764177</v>
      </c>
      <c r="BL94" s="2336">
        <v>4.6715870073339198</v>
      </c>
      <c r="BM94" s="2336">
        <v>4.7039419401986908</v>
      </c>
      <c r="BN94" s="2336">
        <v>4.7362949233433902</v>
      </c>
      <c r="BO94" s="2336">
        <v>4.7686435523018709</v>
      </c>
      <c r="BP94" s="2336">
        <v>4.8009854298852215</v>
      </c>
      <c r="BQ94" s="2336">
        <v>4.8333181668871665</v>
      </c>
      <c r="BR94" s="2336">
        <v>4.8656393827822271</v>
      </c>
      <c r="BS94" s="2336">
        <v>4.8979467064137507</v>
      </c>
      <c r="BT94" s="2336">
        <v>4.9302377766736942</v>
      </c>
      <c r="BU94" s="2336">
        <v>4.962510243170148</v>
      </c>
      <c r="BV94" s="2336">
        <v>4.9947617668882822</v>
      </c>
      <c r="BW94" s="2336">
        <v>5.0269900208362612</v>
      </c>
      <c r="BX94" s="2336">
        <v>5.059192690684915</v>
      </c>
      <c r="BY94" s="2336">
        <v>5.0913674753930174</v>
      </c>
      <c r="BZ94" s="2336">
        <v>5.1235120878226876</v>
      </c>
      <c r="CA94" s="2336">
        <v>5.1556242553423228</v>
      </c>
      <c r="CB94" s="2336">
        <v>5.1877017204188505</v>
      </c>
      <c r="CC94" s="2336">
        <v>5.2197422411963315</v>
      </c>
      <c r="CD94" s="2336">
        <v>5.2517435920628355</v>
      </c>
      <c r="CE94" s="2336">
        <v>5.2837035642061148</v>
      </c>
      <c r="CF94" s="2336">
        <v>5.3156199661526804</v>
      </c>
      <c r="CG94" s="2336">
        <v>5.347490624299339</v>
      </c>
      <c r="CH94" s="2336">
        <v>5.3793133834257292</v>
      </c>
      <c r="CI94" s="2336">
        <v>5.411086107198825</v>
      </c>
      <c r="CJ94" s="2336">
        <v>5.4428066786596672</v>
      </c>
      <c r="CK94" s="2336">
        <v>5.4744730007000149</v>
      </c>
      <c r="CL94" s="2336">
        <v>5.5060829965225286</v>
      </c>
      <c r="CM94" s="2336">
        <v>5.5376346100887677</v>
      </c>
      <c r="CN94" s="2336">
        <v>5.5691258065537745</v>
      </c>
      <c r="CO94" s="2336">
        <v>5.6005545726838184</v>
      </c>
      <c r="CP94" s="2336">
        <v>5.631918917263163</v>
      </c>
      <c r="CQ94" s="2336">
        <v>5.6632168714856608</v>
      </c>
      <c r="CR94" s="2336">
        <v>5.6944464893318623</v>
      </c>
      <c r="CS94" s="2336">
        <v>5.7256058479321403</v>
      </c>
      <c r="CT94" s="2336">
        <v>5.7566930479159897</v>
      </c>
      <c r="CU94" s="2336">
        <v>5.7877062137458459</v>
      </c>
      <c r="CV94" s="2336">
        <v>5.8186434940389606</v>
      </c>
      <c r="CW94" s="2336">
        <v>5.8495030618731665</v>
      </c>
      <c r="CX94" s="2336">
        <v>5.8802831150786359</v>
      </c>
      <c r="CY94" s="2336">
        <v>5.910981876516904</v>
      </c>
      <c r="CZ94" s="2336">
        <v>5.9415975943444694</v>
      </c>
      <c r="DA94" s="2336">
        <v>5.9721285422625119</v>
      </c>
      <c r="DB94" s="2336">
        <v>6.0025730197533909</v>
      </c>
      <c r="DC94" s="2336">
        <v>6.0329293523030874</v>
      </c>
      <c r="DD94" s="2336">
        <v>6.0631958916088902</v>
      </c>
      <c r="DE94" s="2336">
        <v>6.0933710157749763</v>
      </c>
      <c r="DF94" s="2336">
        <v>6.123453129492721</v>
      </c>
      <c r="DG94" s="2336">
        <v>6.1534406642094446</v>
      </c>
      <c r="DH94" s="2336">
        <v>6.1833320782815484</v>
      </c>
      <c r="DI94" s="2336">
        <v>6.2131258571173529</v>
      </c>
      <c r="DJ94" s="2336">
        <v>6.2428205133033714</v>
      </c>
      <c r="DK94" s="2336">
        <v>6.2724145867205179</v>
      </c>
      <c r="DL94" s="2336">
        <v>6.3019066446468752</v>
      </c>
      <c r="DM94" s="2336">
        <v>6.3312952818459074</v>
      </c>
      <c r="DN94" s="2336">
        <v>6.3605791206457996</v>
      </c>
      <c r="DO94" s="2336">
        <v>6.389756811003112</v>
      </c>
      <c r="DP94" s="2336">
        <v>6.4188270305558008</v>
      </c>
      <c r="DQ94" s="2336">
        <v>6.4477884846651801</v>
      </c>
      <c r="DR94" s="2336">
        <v>6.4766399064440803</v>
      </c>
      <c r="DS94" s="2336">
        <v>6.5053800567751612</v>
      </c>
      <c r="DT94" s="2336">
        <v>6.5340077243176005</v>
      </c>
      <c r="DU94" s="2336">
        <v>6.5625217255015249</v>
      </c>
    </row>
    <row r="95" spans="1:125">
      <c r="A95" s="909">
        <v>93</v>
      </c>
      <c r="B95" s="90"/>
      <c r="C95" s="90"/>
      <c r="D95" s="90"/>
      <c r="E95" s="90"/>
      <c r="F95" s="90"/>
      <c r="G95" s="90"/>
      <c r="H95" s="90"/>
      <c r="I95" s="90"/>
      <c r="J95" s="90"/>
      <c r="K95" s="90"/>
      <c r="L95" s="90"/>
      <c r="M95" s="90"/>
      <c r="N95" s="90"/>
      <c r="O95" s="90"/>
      <c r="P95" s="90"/>
      <c r="Q95" s="90"/>
      <c r="R95" s="90"/>
      <c r="S95" s="90"/>
      <c r="T95" s="90"/>
      <c r="U95" s="90"/>
      <c r="V95" s="739"/>
      <c r="W95" s="739">
        <v>3.38</v>
      </c>
      <c r="X95" s="739">
        <v>3.32</v>
      </c>
      <c r="Y95" s="2336">
        <v>3.2973836590533137</v>
      </c>
      <c r="Z95" s="2336">
        <v>3.3611320423816498</v>
      </c>
      <c r="AA95" s="2336">
        <v>3.3898356545946555</v>
      </c>
      <c r="AB95" s="2336">
        <v>3.3041483402725915</v>
      </c>
      <c r="AC95" s="2336">
        <v>3.2519229168104822</v>
      </c>
      <c r="AD95" s="2336">
        <v>3.2700728781348443</v>
      </c>
      <c r="AE95" s="2336">
        <v>3.2978051060771221</v>
      </c>
      <c r="AF95" s="2336">
        <v>3.329349462667023</v>
      </c>
      <c r="AG95" s="2336">
        <v>3.3609767335394203</v>
      </c>
      <c r="AH95" s="2336">
        <v>3.3926840736999924</v>
      </c>
      <c r="AI95" s="2336">
        <v>3.4244686147892982</v>
      </c>
      <c r="AJ95" s="2336">
        <v>3.4563274662447485</v>
      </c>
      <c r="AK95" s="2336">
        <v>3.4882577164714235</v>
      </c>
      <c r="AL95" s="2336">
        <v>3.5202564340319538</v>
      </c>
      <c r="AM95" s="2336">
        <v>3.552320668838064</v>
      </c>
      <c r="AN95" s="2336">
        <v>3.5844474533536594</v>
      </c>
      <c r="AO95" s="2336">
        <v>3.6166338038086665</v>
      </c>
      <c r="AP95" s="2336">
        <v>3.6488767214137261</v>
      </c>
      <c r="AQ95" s="2336">
        <v>3.6784946821344562</v>
      </c>
      <c r="AR95" s="2336">
        <v>3.707233019235086</v>
      </c>
      <c r="AS95" s="2336">
        <v>3.7360087220315981</v>
      </c>
      <c r="AT95" s="2336">
        <v>3.7648196638512128</v>
      </c>
      <c r="AU95" s="2336">
        <v>3.7936637123671408</v>
      </c>
      <c r="AV95" s="2336">
        <v>3.8225387302778948</v>
      </c>
      <c r="AW95" s="2336">
        <v>3.8514425759897737</v>
      </c>
      <c r="AX95" s="2336">
        <v>3.8803731042891423</v>
      </c>
      <c r="AY95" s="2336">
        <v>3.9093281670252957</v>
      </c>
      <c r="AZ95" s="2336">
        <v>3.9383056137834314</v>
      </c>
      <c r="BA95" s="2336">
        <v>3.9673032925610197</v>
      </c>
      <c r="BB95" s="2336">
        <v>3.9963190504368691</v>
      </c>
      <c r="BC95" s="2336">
        <v>4.0253507342418535</v>
      </c>
      <c r="BD95" s="2336">
        <v>4.0543961912244297</v>
      </c>
      <c r="BE95" s="2336">
        <v>4.0834532697123187</v>
      </c>
      <c r="BF95" s="2336">
        <v>4.1125198197707995</v>
      </c>
      <c r="BG95" s="2336">
        <v>4.1415936938562643</v>
      </c>
      <c r="BH95" s="2336">
        <v>4.1706727474666918</v>
      </c>
      <c r="BI95" s="2336">
        <v>4.1997548397830942</v>
      </c>
      <c r="BJ95" s="2336">
        <v>4.228837834310462</v>
      </c>
      <c r="BK95" s="2336">
        <v>4.2579195995069297</v>
      </c>
      <c r="BL95" s="2336">
        <v>4.2869980094139244</v>
      </c>
      <c r="BM95" s="2336">
        <v>4.3160709442717815</v>
      </c>
      <c r="BN95" s="2336">
        <v>4.3451362911354821</v>
      </c>
      <c r="BO95" s="2336">
        <v>4.3741919444778574</v>
      </c>
      <c r="BP95" s="2336">
        <v>4.4032358067887811</v>
      </c>
      <c r="BQ95" s="2336">
        <v>4.4322657891638846</v>
      </c>
      <c r="BR95" s="2336">
        <v>4.4612798118868406</v>
      </c>
      <c r="BS95" s="2336">
        <v>4.4902758050020344</v>
      </c>
      <c r="BT95" s="2336">
        <v>4.5192517088799171</v>
      </c>
      <c r="BU95" s="2336">
        <v>4.5482054747705769</v>
      </c>
      <c r="BV95" s="2336">
        <v>4.5771350653521026</v>
      </c>
      <c r="BW95" s="2336">
        <v>4.6060384552643017</v>
      </c>
      <c r="BX95" s="2336">
        <v>4.6349136316377795</v>
      </c>
      <c r="BY95" s="2336">
        <v>4.6637585946093161</v>
      </c>
      <c r="BZ95" s="2336">
        <v>4.6925713578287196</v>
      </c>
      <c r="CA95" s="2336">
        <v>4.7213499489543462</v>
      </c>
      <c r="CB95" s="2336">
        <v>4.7500924101393753</v>
      </c>
      <c r="CC95" s="2336">
        <v>4.7787967985056081</v>
      </c>
      <c r="CD95" s="2336">
        <v>4.8074611866070276</v>
      </c>
      <c r="CE95" s="2336">
        <v>4.8360836628837864</v>
      </c>
      <c r="CF95" s="2336">
        <v>4.8646623321006599</v>
      </c>
      <c r="CG95" s="2336">
        <v>4.8931953157801713</v>
      </c>
      <c r="CH95" s="2336">
        <v>4.9216807526176476</v>
      </c>
      <c r="CI95" s="2336">
        <v>4.9501167988905239</v>
      </c>
      <c r="CJ95" s="2336">
        <v>4.9785016288510748</v>
      </c>
      <c r="CK95" s="2336">
        <v>5.0068334351112203</v>
      </c>
      <c r="CL95" s="2336">
        <v>5.0351104290123452</v>
      </c>
      <c r="CM95" s="2336">
        <v>5.0633308409849276</v>
      </c>
      <c r="CN95" s="2336">
        <v>5.0914929208966768</v>
      </c>
      <c r="CO95" s="2336">
        <v>5.1195949383854087</v>
      </c>
      <c r="CP95" s="2336">
        <v>5.1476351831832048</v>
      </c>
      <c r="CQ95" s="2336">
        <v>5.1756119654272306</v>
      </c>
      <c r="CR95" s="2336">
        <v>5.2035236159580114</v>
      </c>
      <c r="CS95" s="2336">
        <v>5.2313684866057448</v>
      </c>
      <c r="CT95" s="2336">
        <v>5.2591449504648473</v>
      </c>
      <c r="CU95" s="2336">
        <v>5.2868514021549391</v>
      </c>
      <c r="CV95" s="2336">
        <v>5.3144862580721659</v>
      </c>
      <c r="CW95" s="2336">
        <v>5.3420479566262857</v>
      </c>
      <c r="CX95" s="2336">
        <v>5.36953495846587</v>
      </c>
      <c r="CY95" s="2336">
        <v>5.3969457466929809</v>
      </c>
      <c r="CZ95" s="2336">
        <v>5.4242788270644189</v>
      </c>
      <c r="DA95" s="2336">
        <v>5.4515327281811983</v>
      </c>
      <c r="DB95" s="2336">
        <v>5.4787060016670104</v>
      </c>
      <c r="DC95" s="2336">
        <v>5.5057972223347127</v>
      </c>
      <c r="DD95" s="2336">
        <v>5.5328049883401089</v>
      </c>
      <c r="DE95" s="2336">
        <v>5.5597279213258872</v>
      </c>
      <c r="DF95" s="2336">
        <v>5.5865646665522544</v>
      </c>
      <c r="DG95" s="2336">
        <v>5.6133138930182813</v>
      </c>
      <c r="DH95" s="2336">
        <v>5.6399742935695727</v>
      </c>
      <c r="DI95" s="2336">
        <v>5.666544584997963</v>
      </c>
      <c r="DJ95" s="2336">
        <v>5.69302350812647</v>
      </c>
      <c r="DK95" s="2336">
        <v>5.7194098278864915</v>
      </c>
      <c r="DL95" s="2336">
        <v>5.7457023333835737</v>
      </c>
      <c r="DM95" s="2336">
        <v>5.7718998379505457</v>
      </c>
      <c r="DN95" s="2336">
        <v>5.7980011791940766</v>
      </c>
      <c r="DO95" s="2336">
        <v>5.8240052190273346</v>
      </c>
      <c r="DP95" s="2336">
        <v>5.8499108436941176</v>
      </c>
      <c r="DQ95" s="2336">
        <v>5.8757169637839821</v>
      </c>
      <c r="DR95" s="2336">
        <v>5.9014225142353895</v>
      </c>
      <c r="DS95" s="2336">
        <v>5.9270264543310702</v>
      </c>
      <c r="DT95" s="2336">
        <v>5.9525277676836739</v>
      </c>
      <c r="DU95" s="2336">
        <v>5.9779254622109841</v>
      </c>
    </row>
    <row r="96" spans="1:125">
      <c r="A96" s="909">
        <v>94</v>
      </c>
      <c r="B96" s="90"/>
      <c r="C96" s="90"/>
      <c r="D96" s="90"/>
      <c r="E96" s="90"/>
      <c r="F96" s="90"/>
      <c r="G96" s="90"/>
      <c r="H96" s="90"/>
      <c r="I96" s="90"/>
      <c r="J96" s="90"/>
      <c r="K96" s="90"/>
      <c r="L96" s="90"/>
      <c r="M96" s="90"/>
      <c r="N96" s="90"/>
      <c r="O96" s="90"/>
      <c r="P96" s="90"/>
      <c r="Q96" s="90"/>
      <c r="R96" s="90"/>
      <c r="S96" s="90"/>
      <c r="T96" s="90"/>
      <c r="U96" s="90"/>
      <c r="V96" s="739"/>
      <c r="W96" s="739">
        <v>3.17</v>
      </c>
      <c r="X96" s="739">
        <v>3.05</v>
      </c>
      <c r="Y96" s="2336">
        <v>3.0505342250368241</v>
      </c>
      <c r="Z96" s="2336">
        <v>3.121291179224857</v>
      </c>
      <c r="AA96" s="2336">
        <v>3.1448233156308762</v>
      </c>
      <c r="AB96" s="2336">
        <v>3.0109384815744722</v>
      </c>
      <c r="AC96" s="2336">
        <v>2.9945379460467274</v>
      </c>
      <c r="AD96" s="2336">
        <v>3.0150975097273722</v>
      </c>
      <c r="AE96" s="2336">
        <v>3.0434274419223457</v>
      </c>
      <c r="AF96" s="2336">
        <v>3.0718221946345659</v>
      </c>
      <c r="AG96" s="2336">
        <v>3.100279232005219</v>
      </c>
      <c r="AH96" s="2336">
        <v>3.1287960009698028</v>
      </c>
      <c r="AI96" s="2336">
        <v>3.157369932264618</v>
      </c>
      <c r="AJ96" s="2336">
        <v>3.1859984414383202</v>
      </c>
      <c r="AK96" s="2336">
        <v>3.2146789298669951</v>
      </c>
      <c r="AL96" s="2336">
        <v>3.2434087857859044</v>
      </c>
      <c r="AM96" s="2336">
        <v>3.2721853853166438</v>
      </c>
      <c r="AN96" s="2336">
        <v>3.3010060935024828</v>
      </c>
      <c r="AO96" s="2336">
        <v>3.3298682653513083</v>
      </c>
      <c r="AP96" s="2336">
        <v>3.3587692468743531</v>
      </c>
      <c r="AQ96" s="2336">
        <v>3.3844329718219708</v>
      </c>
      <c r="AR96" s="2336">
        <v>3.4101232709693194</v>
      </c>
      <c r="AS96" s="2336">
        <v>3.4358382787480721</v>
      </c>
      <c r="AT96" s="2336">
        <v>3.4615761264660252</v>
      </c>
      <c r="AU96" s="2336">
        <v>3.4873349428789013</v>
      </c>
      <c r="AV96" s="2336">
        <v>3.5131128547629662</v>
      </c>
      <c r="AW96" s="2336">
        <v>3.5389079874903735</v>
      </c>
      <c r="AX96" s="2336">
        <v>3.5647184655912931</v>
      </c>
      <c r="AY96" s="2336">
        <v>3.5905424133281043</v>
      </c>
      <c r="AZ96" s="2336">
        <v>3.6163779552570912</v>
      </c>
      <c r="BA96" s="2336">
        <v>3.6422232167938584</v>
      </c>
      <c r="BB96" s="2336">
        <v>3.6680763247697721</v>
      </c>
      <c r="BC96" s="2336">
        <v>3.6939354079903399</v>
      </c>
      <c r="BD96" s="2336">
        <v>3.7197985977874803</v>
      </c>
      <c r="BE96" s="2336">
        <v>3.7456640285674738</v>
      </c>
      <c r="BF96" s="2336">
        <v>3.7715298383553204</v>
      </c>
      <c r="BG96" s="2336">
        <v>3.7973941693340323</v>
      </c>
      <c r="BH96" s="2336">
        <v>3.8232551683809857</v>
      </c>
      <c r="BI96" s="2336">
        <v>3.849110987594452</v>
      </c>
      <c r="BJ96" s="2336">
        <v>3.874959784820533</v>
      </c>
      <c r="BK96" s="2336">
        <v>3.9007997241673458</v>
      </c>
      <c r="BL96" s="2336">
        <v>3.9266289765216187</v>
      </c>
      <c r="BM96" s="2336">
        <v>3.952445720049603</v>
      </c>
      <c r="BN96" s="2336">
        <v>3.9782481406996419</v>
      </c>
      <c r="BO96" s="2336">
        <v>4.0040344326916948</v>
      </c>
      <c r="BP96" s="2336">
        <v>4.0298027990039147</v>
      </c>
      <c r="BQ96" s="2336">
        <v>4.05555145184886</v>
      </c>
      <c r="BR96" s="2336">
        <v>4.0812786131441712</v>
      </c>
      <c r="BS96" s="2336">
        <v>4.106982514974141</v>
      </c>
      <c r="BT96" s="2336">
        <v>4.1326614000449355</v>
      </c>
      <c r="BU96" s="2336">
        <v>4.1583135221284255</v>
      </c>
      <c r="BV96" s="2336">
        <v>4.1839371465023341</v>
      </c>
      <c r="BW96" s="2336">
        <v>4.2095305503758889</v>
      </c>
      <c r="BX96" s="2336">
        <v>4.2350920233126459</v>
      </c>
      <c r="BY96" s="2336">
        <v>4.260619867640103</v>
      </c>
      <c r="BZ96" s="2336">
        <v>4.286112398852195</v>
      </c>
      <c r="CA96" s="2336">
        <v>4.3115679460014888</v>
      </c>
      <c r="CB96" s="2336">
        <v>4.3369848520835976</v>
      </c>
      <c r="CC96" s="2336">
        <v>4.3623614744101493</v>
      </c>
      <c r="CD96" s="2336">
        <v>4.3876961849729899</v>
      </c>
      <c r="CE96" s="2336">
        <v>4.4129873708003986</v>
      </c>
      <c r="CF96" s="2336">
        <v>4.4382334342986649</v>
      </c>
      <c r="CG96" s="2336">
        <v>4.4634327935906226</v>
      </c>
      <c r="CH96" s="2336">
        <v>4.4885838828367772</v>
      </c>
      <c r="CI96" s="2336">
        <v>4.5136851525530508</v>
      </c>
      <c r="CJ96" s="2336">
        <v>4.5387350699129225</v>
      </c>
      <c r="CK96" s="2336">
        <v>4.5637321190438147</v>
      </c>
      <c r="CL96" s="2336">
        <v>4.5886748013097751</v>
      </c>
      <c r="CM96" s="2336">
        <v>4.6135616355859277</v>
      </c>
      <c r="CN96" s="2336">
        <v>4.6383911585232491</v>
      </c>
      <c r="CO96" s="2336">
        <v>4.6631619247994758</v>
      </c>
      <c r="CP96" s="2336">
        <v>4.6878725073635232</v>
      </c>
      <c r="CQ96" s="2336">
        <v>4.7125214976682583</v>
      </c>
      <c r="CR96" s="2336">
        <v>4.7371075058925394</v>
      </c>
      <c r="CS96" s="2336">
        <v>4.7616291611532047</v>
      </c>
      <c r="CT96" s="2336">
        <v>4.7860851117072363</v>
      </c>
      <c r="CU96" s="2336">
        <v>4.8104740251421356</v>
      </c>
      <c r="CV96" s="2336">
        <v>4.8347945885588368</v>
      </c>
      <c r="CW96" s="2336">
        <v>4.8590455087420921</v>
      </c>
      <c r="CX96" s="2336">
        <v>4.8832255123209736</v>
      </c>
      <c r="CY96" s="2336">
        <v>4.9073333459209616</v>
      </c>
      <c r="CZ96" s="2336">
        <v>4.9313677763044357</v>
      </c>
      <c r="DA96" s="2336">
        <v>4.9553275905013949</v>
      </c>
      <c r="DB96" s="2336">
        <v>4.9792115959312344</v>
      </c>
      <c r="DC96" s="2336">
        <v>5.0030186205145215</v>
      </c>
      <c r="DD96" s="2336">
        <v>5.0267475127739445</v>
      </c>
      <c r="DE96" s="2336">
        <v>5.050397141927597</v>
      </c>
      <c r="DF96" s="2336">
        <v>5.0739663979707563</v>
      </c>
      <c r="DG96" s="2336">
        <v>5.0974541917505736</v>
      </c>
      <c r="DH96" s="2336">
        <v>5.12085945502883</v>
      </c>
      <c r="DI96" s="2336">
        <v>5.1441811405389961</v>
      </c>
      <c r="DJ96" s="2336">
        <v>5.1674182220301592</v>
      </c>
      <c r="DK96" s="2336">
        <v>5.1905696943054638</v>
      </c>
      <c r="DL96" s="2336">
        <v>5.2136345732509772</v>
      </c>
      <c r="DM96" s="2336">
        <v>5.2366118958536836</v>
      </c>
      <c r="DN96" s="2336">
        <v>5.25950072021518</v>
      </c>
      <c r="DO96" s="2336">
        <v>5.2823001255530393</v>
      </c>
      <c r="DP96" s="2336">
        <v>5.3050092121956958</v>
      </c>
      <c r="DQ96" s="2336">
        <v>5.3276271015702701</v>
      </c>
      <c r="DR96" s="2336">
        <v>5.3501529361800948</v>
      </c>
      <c r="DS96" s="2336">
        <v>5.3725858795764445</v>
      </c>
      <c r="DT96" s="2336">
        <v>5.3949251163223426</v>
      </c>
      <c r="DU96" s="2336">
        <v>5.4171698519476417</v>
      </c>
    </row>
    <row r="97" spans="1:125">
      <c r="A97" s="909">
        <v>95</v>
      </c>
      <c r="B97" s="90"/>
      <c r="C97" s="90"/>
      <c r="D97" s="90"/>
      <c r="E97" s="90"/>
      <c r="F97" s="90"/>
      <c r="G97" s="90"/>
      <c r="H97" s="90"/>
      <c r="I97" s="90"/>
      <c r="J97" s="90"/>
      <c r="K97" s="90"/>
      <c r="L97" s="90"/>
      <c r="M97" s="90"/>
      <c r="N97" s="90"/>
      <c r="O97" s="90"/>
      <c r="P97" s="90"/>
      <c r="Q97" s="90"/>
      <c r="R97" s="90"/>
      <c r="S97" s="90"/>
      <c r="T97" s="90"/>
      <c r="U97" s="90"/>
      <c r="V97" s="739"/>
      <c r="W97" s="739">
        <v>2.94</v>
      </c>
      <c r="X97" s="739">
        <v>2.83</v>
      </c>
      <c r="Y97" s="2336">
        <v>2.8163772609005093</v>
      </c>
      <c r="Z97" s="2336">
        <v>2.8791546412773159</v>
      </c>
      <c r="AA97" s="2336">
        <v>2.9000142391178261</v>
      </c>
      <c r="AB97" s="2336">
        <v>2.7812095818769809</v>
      </c>
      <c r="AC97" s="2336">
        <v>2.7666352096419704</v>
      </c>
      <c r="AD97" s="2336">
        <v>2.7849047698230391</v>
      </c>
      <c r="AE97" s="2336">
        <v>2.8100672289981259</v>
      </c>
      <c r="AF97" s="2336">
        <v>2.8352734358378004</v>
      </c>
      <c r="AG97" s="2336">
        <v>2.8605211572585389</v>
      </c>
      <c r="AH97" s="2336">
        <v>2.8858081495760035</v>
      </c>
      <c r="AI97" s="2336">
        <v>2.9111321593663186</v>
      </c>
      <c r="AJ97" s="2336">
        <v>2.9364909243275181</v>
      </c>
      <c r="AK97" s="2336">
        <v>2.9618821741396686</v>
      </c>
      <c r="AL97" s="2336">
        <v>2.9873036313409047</v>
      </c>
      <c r="AM97" s="2336">
        <v>3.0127530121925075</v>
      </c>
      <c r="AN97" s="2336">
        <v>3.0382280275498581</v>
      </c>
      <c r="AO97" s="2336">
        <v>3.0637263837388264</v>
      </c>
      <c r="AP97" s="2336">
        <v>3.0892457834230411</v>
      </c>
      <c r="AQ97" s="2336">
        <v>3.1118956778528153</v>
      </c>
      <c r="AR97" s="2336">
        <v>3.1345587108304338</v>
      </c>
      <c r="AS97" s="2336">
        <v>3.1572332755079571</v>
      </c>
      <c r="AT97" s="2336">
        <v>3.1799177648022448</v>
      </c>
      <c r="AU97" s="2336">
        <v>3.202610571866312</v>
      </c>
      <c r="AV97" s="2336">
        <v>3.22531009056096</v>
      </c>
      <c r="AW97" s="2336">
        <v>3.2480147159291661</v>
      </c>
      <c r="AX97" s="2336">
        <v>3.2707228446536947</v>
      </c>
      <c r="AY97" s="2336">
        <v>3.2934328755293509</v>
      </c>
      <c r="AZ97" s="2336">
        <v>3.3161432099196753</v>
      </c>
      <c r="BA97" s="2336">
        <v>3.3388522522182331</v>
      </c>
      <c r="BB97" s="2336">
        <v>3.3615584102990721</v>
      </c>
      <c r="BC97" s="2336">
        <v>3.3842600959698679</v>
      </c>
      <c r="BD97" s="2336">
        <v>3.4069557254180336</v>
      </c>
      <c r="BE97" s="2336">
        <v>3.4296437196521699</v>
      </c>
      <c r="BF97" s="2336">
        <v>3.4523225049398563</v>
      </c>
      <c r="BG97" s="2336">
        <v>3.4749905132401446</v>
      </c>
      <c r="BH97" s="2336">
        <v>3.4976461826334564</v>
      </c>
      <c r="BI97" s="2336">
        <v>3.5202879577407113</v>
      </c>
      <c r="BJ97" s="2336">
        <v>3.5429142901441613</v>
      </c>
      <c r="BK97" s="2336">
        <v>3.5655236387942097</v>
      </c>
      <c r="BL97" s="2336">
        <v>3.5881144704205536</v>
      </c>
      <c r="BM97" s="2336">
        <v>3.6106852599260923</v>
      </c>
      <c r="BN97" s="2336">
        <v>3.6332344907844574</v>
      </c>
      <c r="BO97" s="2336">
        <v>3.655760655423733</v>
      </c>
      <c r="BP97" s="2336">
        <v>3.6782622556084998</v>
      </c>
      <c r="BQ97" s="2336">
        <v>3.7007378028115125</v>
      </c>
      <c r="BR97" s="2336">
        <v>3.7231858185808306</v>
      </c>
      <c r="BS97" s="2336">
        <v>3.7456048348982787</v>
      </c>
      <c r="BT97" s="2336">
        <v>3.7679933945325921</v>
      </c>
      <c r="BU97" s="2336">
        <v>3.7903500513814188</v>
      </c>
      <c r="BV97" s="2336">
        <v>3.8126733708113014</v>
      </c>
      <c r="BW97" s="2336">
        <v>3.834961929983066</v>
      </c>
      <c r="BX97" s="2336">
        <v>3.8572143181763652</v>
      </c>
      <c r="BY97" s="2336">
        <v>3.879429137101297</v>
      </c>
      <c r="BZ97" s="2336">
        <v>3.9016050012043082</v>
      </c>
      <c r="CA97" s="2336">
        <v>3.9237405379647545</v>
      </c>
      <c r="CB97" s="2336">
        <v>3.9458343881850921</v>
      </c>
      <c r="CC97" s="2336">
        <v>3.9678852062705379</v>
      </c>
      <c r="CD97" s="2336">
        <v>3.9898916605013581</v>
      </c>
      <c r="CE97" s="2336">
        <v>4.0118524332987553</v>
      </c>
      <c r="CF97" s="2336">
        <v>4.0337662214766938</v>
      </c>
      <c r="CG97" s="2336">
        <v>4.0556317364931589</v>
      </c>
      <c r="CH97" s="2336">
        <v>4.0774477046842854</v>
      </c>
      <c r="CI97" s="2336">
        <v>4.0992128674975765</v>
      </c>
      <c r="CJ97" s="2336">
        <v>4.1209259817102089</v>
      </c>
      <c r="CK97" s="2336">
        <v>4.1425858196437595</v>
      </c>
      <c r="CL97" s="2336">
        <v>4.1641911693662879</v>
      </c>
      <c r="CM97" s="2336">
        <v>4.185740834888068</v>
      </c>
      <c r="CN97" s="2336">
        <v>4.2072336363493523</v>
      </c>
      <c r="CO97" s="2336">
        <v>4.2286684101954144</v>
      </c>
      <c r="CP97" s="2336">
        <v>4.2500440093473069</v>
      </c>
      <c r="CQ97" s="2336">
        <v>4.2713593033624875</v>
      </c>
      <c r="CR97" s="2336">
        <v>4.2926131785863451</v>
      </c>
      <c r="CS97" s="2336">
        <v>4.3138045382954795</v>
      </c>
      <c r="CT97" s="2336">
        <v>4.3349323028329199</v>
      </c>
      <c r="CU97" s="2336">
        <v>4.355995409733155</v>
      </c>
      <c r="CV97" s="2336">
        <v>4.3769928138418219</v>
      </c>
      <c r="CW97" s="2336">
        <v>4.3979234874243494</v>
      </c>
      <c r="CX97" s="2336">
        <v>4.4187864202665565</v>
      </c>
      <c r="CY97" s="2336">
        <v>4.439580619768849</v>
      </c>
      <c r="CZ97" s="2336">
        <v>4.4603051110304452</v>
      </c>
      <c r="DA97" s="2336">
        <v>4.4809589369256564</v>
      </c>
      <c r="DB97" s="2336">
        <v>4.5015411581731781</v>
      </c>
      <c r="DC97" s="2336">
        <v>4.5220508533971655</v>
      </c>
      <c r="DD97" s="2336">
        <v>4.5424871191791878</v>
      </c>
      <c r="DE97" s="2336">
        <v>4.5628490701045603</v>
      </c>
      <c r="DF97" s="2336">
        <v>4.5831358387987793</v>
      </c>
      <c r="DG97" s="2336">
        <v>4.6033465759589367</v>
      </c>
      <c r="DH97" s="2336">
        <v>4.6234804503747302</v>
      </c>
      <c r="DI97" s="2336">
        <v>4.6435366489459753</v>
      </c>
      <c r="DJ97" s="2336">
        <v>4.6635143766883385</v>
      </c>
      <c r="DK97" s="2336">
        <v>4.6834128567357478</v>
      </c>
      <c r="DL97" s="2336">
        <v>4.7032313303349387</v>
      </c>
      <c r="DM97" s="2336">
        <v>4.7229690568306708</v>
      </c>
      <c r="DN97" s="2336">
        <v>4.7426253136488441</v>
      </c>
      <c r="DO97" s="2336">
        <v>4.7621993962686311</v>
      </c>
      <c r="DP97" s="2336">
        <v>4.7816906181900469</v>
      </c>
      <c r="DQ97" s="2336">
        <v>4.8010983108962835</v>
      </c>
      <c r="DR97" s="2336">
        <v>4.8204218238072167</v>
      </c>
      <c r="DS97" s="2336">
        <v>4.8396605242289992</v>
      </c>
      <c r="DT97" s="2336">
        <v>4.8588137972973762</v>
      </c>
      <c r="DU97" s="2336">
        <v>4.8778810459138038</v>
      </c>
    </row>
    <row r="98" spans="1:125">
      <c r="A98" s="909">
        <v>96</v>
      </c>
      <c r="B98" s="90"/>
      <c r="C98" s="90"/>
      <c r="D98" s="90"/>
      <c r="E98" s="90"/>
      <c r="F98" s="90"/>
      <c r="G98" s="90"/>
      <c r="H98" s="90"/>
      <c r="I98" s="90"/>
      <c r="J98" s="90"/>
      <c r="K98" s="90"/>
      <c r="L98" s="90"/>
      <c r="M98" s="90"/>
      <c r="N98" s="90"/>
      <c r="O98" s="90"/>
      <c r="P98" s="90"/>
      <c r="Q98" s="90"/>
      <c r="R98" s="90"/>
      <c r="S98" s="90"/>
      <c r="T98" s="90"/>
      <c r="U98" s="90"/>
      <c r="V98" s="739"/>
      <c r="W98" s="739">
        <v>2.74</v>
      </c>
      <c r="X98" s="739">
        <v>2.64</v>
      </c>
      <c r="Y98" s="2336">
        <v>2.6070867537734319</v>
      </c>
      <c r="Z98" s="2336">
        <v>2.663072352515309</v>
      </c>
      <c r="AA98" s="2336">
        <v>2.6816597910522484</v>
      </c>
      <c r="AB98" s="2336">
        <v>2.5756930635271638</v>
      </c>
      <c r="AC98" s="2336">
        <v>2.5626761850965996</v>
      </c>
      <c r="AD98" s="2336">
        <v>2.5789927532140045</v>
      </c>
      <c r="AE98" s="2336">
        <v>2.6014555137011093</v>
      </c>
      <c r="AF98" s="2336">
        <v>2.623945944764265</v>
      </c>
      <c r="AG98" s="2336">
        <v>2.6464620799595084</v>
      </c>
      <c r="AH98" s="2336">
        <v>2.6690019470393138</v>
      </c>
      <c r="AI98" s="2336">
        <v>2.6915635686890673</v>
      </c>
      <c r="AJ98" s="2336">
        <v>2.7141449632597339</v>
      </c>
      <c r="AK98" s="2336">
        <v>2.7367441454952055</v>
      </c>
      <c r="AL98" s="2336">
        <v>2.7593591272774214</v>
      </c>
      <c r="AM98" s="2336">
        <v>2.7819879183540817</v>
      </c>
      <c r="AN98" s="2336">
        <v>2.8046285270716327</v>
      </c>
      <c r="AO98" s="2336">
        <v>2.8272789611131239</v>
      </c>
      <c r="AP98" s="2336">
        <v>2.8499372282223172</v>
      </c>
      <c r="AQ98" s="2336">
        <v>2.8700386680917545</v>
      </c>
      <c r="AR98" s="2336">
        <v>2.8901433147836451</v>
      </c>
      <c r="AS98" s="2336">
        <v>2.9102497811201991</v>
      </c>
      <c r="AT98" s="2336">
        <v>2.930356681653107</v>
      </c>
      <c r="AU98" s="2336">
        <v>2.9504626330526844</v>
      </c>
      <c r="AV98" s="2336">
        <v>2.9705662544973821</v>
      </c>
      <c r="AW98" s="2336">
        <v>2.9906661680669218</v>
      </c>
      <c r="AX98" s="2336">
        <v>3.010760999114293</v>
      </c>
      <c r="AY98" s="2336">
        <v>3.030849376656795</v>
      </c>
      <c r="AZ98" s="2336">
        <v>3.0509299337477827</v>
      </c>
      <c r="BA98" s="2336">
        <v>3.0710013078548699</v>
      </c>
      <c r="BB98" s="2336">
        <v>3.091062141225176</v>
      </c>
      <c r="BC98" s="2336">
        <v>3.1111110812548342</v>
      </c>
      <c r="BD98" s="2336">
        <v>3.131146780850584</v>
      </c>
      <c r="BE98" s="2336">
        <v>3.1511678987865981</v>
      </c>
      <c r="BF98" s="2336">
        <v>3.1711731000579055</v>
      </c>
      <c r="BG98" s="2336">
        <v>3.1911610562284687</v>
      </c>
      <c r="BH98" s="2336">
        <v>3.211130445777385</v>
      </c>
      <c r="BI98" s="2336">
        <v>3.2310799544331683</v>
      </c>
      <c r="BJ98" s="2336">
        <v>3.25100827551171</v>
      </c>
      <c r="BK98" s="2336">
        <v>3.2709141102385284</v>
      </c>
      <c r="BL98" s="2336">
        <v>3.2907961680780877</v>
      </c>
      <c r="BM98" s="2336">
        <v>3.3106531670436778</v>
      </c>
      <c r="BN98" s="2336">
        <v>3.3304838340136498</v>
      </c>
      <c r="BO98" s="2336">
        <v>3.3502869050326534</v>
      </c>
      <c r="BP98" s="2336">
        <v>3.3700611256128505</v>
      </c>
      <c r="BQ98" s="2336">
        <v>3.3898052510245749</v>
      </c>
      <c r="BR98" s="2336">
        <v>3.4095180465836012</v>
      </c>
      <c r="BS98" s="2336">
        <v>3.4291982879300962</v>
      </c>
      <c r="BT98" s="2336">
        <v>3.4488447613033877</v>
      </c>
      <c r="BU98" s="2336">
        <v>3.468456263805574</v>
      </c>
      <c r="BV98" s="2336">
        <v>3.4880316036650791</v>
      </c>
      <c r="BW98" s="2336">
        <v>3.5075696004850232</v>
      </c>
      <c r="BX98" s="2336">
        <v>3.5270690854930731</v>
      </c>
      <c r="BY98" s="2336">
        <v>3.5465289017782564</v>
      </c>
      <c r="BZ98" s="2336">
        <v>3.565947904523493</v>
      </c>
      <c r="CA98" s="2336">
        <v>3.5853249612295377</v>
      </c>
      <c r="CB98" s="2336">
        <v>3.6046589519339327</v>
      </c>
      <c r="CC98" s="2336">
        <v>3.6239487694200609</v>
      </c>
      <c r="CD98" s="2336">
        <v>3.6431933194201092</v>
      </c>
      <c r="CE98" s="2336">
        <v>3.6623915208131326</v>
      </c>
      <c r="CF98" s="2336">
        <v>3.681542305809161</v>
      </c>
      <c r="CG98" s="2336">
        <v>3.7006446201354048</v>
      </c>
      <c r="CH98" s="2336">
        <v>3.7196974232049516</v>
      </c>
      <c r="CI98" s="2336">
        <v>3.7386996882871881</v>
      </c>
      <c r="CJ98" s="2336">
        <v>3.757650402663439</v>
      </c>
      <c r="CK98" s="2336">
        <v>3.776548567781195</v>
      </c>
      <c r="CL98" s="2336">
        <v>3.7953931993962988</v>
      </c>
      <c r="CM98" s="2336">
        <v>3.8141833277104951</v>
      </c>
      <c r="CN98" s="2336">
        <v>3.8329179975024816</v>
      </c>
      <c r="CO98" s="2336">
        <v>3.8515962682468712</v>
      </c>
      <c r="CP98" s="2336">
        <v>3.8702172142310034</v>
      </c>
      <c r="CQ98" s="2336">
        <v>3.8887799246627375</v>
      </c>
      <c r="CR98" s="2336">
        <v>3.9072835037704507</v>
      </c>
      <c r="CS98" s="2336">
        <v>3.9257270708962499</v>
      </c>
      <c r="CT98" s="2336">
        <v>3.9441097605826205</v>
      </c>
      <c r="CU98" s="2336">
        <v>3.9624307226500268</v>
      </c>
      <c r="CV98" s="2336">
        <v>3.9806891222710954</v>
      </c>
      <c r="CW98" s="2336">
        <v>3.9988841400347699</v>
      </c>
      <c r="CX98" s="2336">
        <v>4.0170149720039019</v>
      </c>
      <c r="CY98" s="2336">
        <v>4.0350808297681731</v>
      </c>
      <c r="CZ98" s="2336">
        <v>4.0530809404882175</v>
      </c>
      <c r="DA98" s="2336">
        <v>4.0710145469332657</v>
      </c>
      <c r="DB98" s="2336">
        <v>4.088880907513416</v>
      </c>
      <c r="DC98" s="2336">
        <v>4.1066792963050833</v>
      </c>
      <c r="DD98" s="2336">
        <v>4.1244090030685818</v>
      </c>
      <c r="DE98" s="2336">
        <v>4.1420693332618539</v>
      </c>
      <c r="DF98" s="2336">
        <v>4.1596596080453985</v>
      </c>
      <c r="DG98" s="2336">
        <v>4.17717916428398</v>
      </c>
      <c r="DH98" s="2336">
        <v>4.1946273545389419</v>
      </c>
      <c r="DI98" s="2336">
        <v>4.2120035470589778</v>
      </c>
      <c r="DJ98" s="2336">
        <v>4.2293071257598918</v>
      </c>
      <c r="DK98" s="2336">
        <v>4.2465374902029751</v>
      </c>
      <c r="DL98" s="2336">
        <v>4.2636940555667779</v>
      </c>
      <c r="DM98" s="2336">
        <v>4.2807762526106021</v>
      </c>
      <c r="DN98" s="2336">
        <v>4.2977835276378835</v>
      </c>
      <c r="DO98" s="2336">
        <v>4.3147153424493734</v>
      </c>
      <c r="DP98" s="2336">
        <v>4.3315711742933427</v>
      </c>
      <c r="DQ98" s="2336">
        <v>4.348350515812033</v>
      </c>
      <c r="DR98" s="2336">
        <v>4.3650528749802602</v>
      </c>
      <c r="DS98" s="2336">
        <v>4.3816777750416751</v>
      </c>
      <c r="DT98" s="2336">
        <v>4.3982247544399913</v>
      </c>
      <c r="DU98" s="2336">
        <v>4.4146933667441139</v>
      </c>
    </row>
    <row r="99" spans="1:125">
      <c r="A99" s="909">
        <v>97</v>
      </c>
      <c r="B99" s="90"/>
      <c r="C99" s="90"/>
      <c r="D99" s="90"/>
      <c r="E99" s="90"/>
      <c r="F99" s="90"/>
      <c r="G99" s="90"/>
      <c r="H99" s="90"/>
      <c r="I99" s="90"/>
      <c r="J99" s="90"/>
      <c r="K99" s="90"/>
      <c r="L99" s="90"/>
      <c r="M99" s="90"/>
      <c r="N99" s="90"/>
      <c r="O99" s="90"/>
      <c r="P99" s="90"/>
      <c r="Q99" s="90"/>
      <c r="R99" s="90"/>
      <c r="S99" s="90"/>
      <c r="T99" s="90"/>
      <c r="U99" s="90"/>
      <c r="V99" s="739"/>
      <c r="W99" s="739">
        <v>2.5499999999999998</v>
      </c>
      <c r="X99" s="739">
        <v>2.46</v>
      </c>
      <c r="Y99" s="2336">
        <v>2.4206850375424351</v>
      </c>
      <c r="Z99" s="2336">
        <v>2.4708967698366671</v>
      </c>
      <c r="AA99" s="2336">
        <v>2.487554567143496</v>
      </c>
      <c r="AB99" s="2336">
        <v>2.3925036310887755</v>
      </c>
      <c r="AC99" s="2336">
        <v>2.3808132696057815</v>
      </c>
      <c r="AD99" s="2336">
        <v>2.3954665531040065</v>
      </c>
      <c r="AE99" s="2336">
        <v>2.4156313514271699</v>
      </c>
      <c r="AF99" s="2336">
        <v>2.435811594315811</v>
      </c>
      <c r="AG99" s="2336">
        <v>2.4560055466897874</v>
      </c>
      <c r="AH99" s="2336">
        <v>2.4762114711139014</v>
      </c>
      <c r="AI99" s="2336">
        <v>2.4964276284301343</v>
      </c>
      <c r="AJ99" s="2336">
        <v>2.516652278382336</v>
      </c>
      <c r="AK99" s="2336">
        <v>2.5368836802317798</v>
      </c>
      <c r="AL99" s="2336">
        <v>2.5571200933953424</v>
      </c>
      <c r="AM99" s="2336">
        <v>2.5773597780585971</v>
      </c>
      <c r="AN99" s="2336">
        <v>2.5976009957951294</v>
      </c>
      <c r="AO99" s="2336">
        <v>2.61784201019166</v>
      </c>
      <c r="AP99" s="2336">
        <v>2.6380810874541898</v>
      </c>
      <c r="AQ99" s="2336">
        <v>2.6560288891202157</v>
      </c>
      <c r="AR99" s="2336">
        <v>2.673972600567637</v>
      </c>
      <c r="AS99" s="2336">
        <v>2.6919110195654419</v>
      </c>
      <c r="AT99" s="2336">
        <v>2.7098429469208356</v>
      </c>
      <c r="AU99" s="2336">
        <v>2.7277671868018047</v>
      </c>
      <c r="AV99" s="2336">
        <v>2.7456825470607313</v>
      </c>
      <c r="AW99" s="2336">
        <v>2.7635878395633315</v>
      </c>
      <c r="AX99" s="2336">
        <v>2.7814818804905572</v>
      </c>
      <c r="AY99" s="2336">
        <v>2.799363490666356</v>
      </c>
      <c r="AZ99" s="2336">
        <v>2.8172314958610301</v>
      </c>
      <c r="BA99" s="2336">
        <v>2.8350847271040829</v>
      </c>
      <c r="BB99" s="2336">
        <v>2.8529220209812922</v>
      </c>
      <c r="BC99" s="2336">
        <v>2.8707422199385566</v>
      </c>
      <c r="BD99" s="2336">
        <v>2.8885441725767382</v>
      </c>
      <c r="BE99" s="2336">
        <v>2.9063267339417318</v>
      </c>
      <c r="BF99" s="2336">
        <v>2.9240887658116193</v>
      </c>
      <c r="BG99" s="2336">
        <v>2.9418291369784724</v>
      </c>
      <c r="BH99" s="2336">
        <v>2.9595467235293516</v>
      </c>
      <c r="BI99" s="2336">
        <v>2.9772404091137243</v>
      </c>
      <c r="BJ99" s="2336">
        <v>2.9949090852173552</v>
      </c>
      <c r="BK99" s="2336">
        <v>3.0125516514179829</v>
      </c>
      <c r="BL99" s="2336">
        <v>3.0301670156518759</v>
      </c>
      <c r="BM99" s="2336">
        <v>3.0477540944576558</v>
      </c>
      <c r="BN99" s="2336">
        <v>3.0653118132301982</v>
      </c>
      <c r="BO99" s="2336">
        <v>3.0828391064576164</v>
      </c>
      <c r="BP99" s="2336">
        <v>3.1003349179603523</v>
      </c>
      <c r="BQ99" s="2336">
        <v>3.1177982011191441</v>
      </c>
      <c r="BR99" s="2336">
        <v>3.1352279191009478</v>
      </c>
      <c r="BS99" s="2336">
        <v>3.1526230450767025</v>
      </c>
      <c r="BT99" s="2336">
        <v>3.1699825624361515</v>
      </c>
      <c r="BU99" s="2336">
        <v>3.187305464991077</v>
      </c>
      <c r="BV99" s="2336">
        <v>3.204590757180847</v>
      </c>
      <c r="BW99" s="2336">
        <v>3.2218374542614807</v>
      </c>
      <c r="BX99" s="2336">
        <v>3.2390445824990084</v>
      </c>
      <c r="BY99" s="2336">
        <v>3.2562111793491293</v>
      </c>
      <c r="BZ99" s="2336">
        <v>3.273336293634082</v>
      </c>
      <c r="CA99" s="2336">
        <v>3.2904189857114288</v>
      </c>
      <c r="CB99" s="2336">
        <v>3.3074583276392349</v>
      </c>
      <c r="CC99" s="2336">
        <v>3.3244534033316251</v>
      </c>
      <c r="CD99" s="2336">
        <v>3.3414033087094399</v>
      </c>
      <c r="CE99" s="2336">
        <v>3.3583071518474714</v>
      </c>
      <c r="CF99" s="2336">
        <v>3.3751640531072251</v>
      </c>
      <c r="CG99" s="2336">
        <v>3.3919731452748465</v>
      </c>
      <c r="CH99" s="2336">
        <v>3.4087335736803168</v>
      </c>
      <c r="CI99" s="2336">
        <v>3.4254444963213668</v>
      </c>
      <c r="CJ99" s="2336">
        <v>3.4421050839720353</v>
      </c>
      <c r="CK99" s="2336">
        <v>3.4587145202921512</v>
      </c>
      <c r="CL99" s="2336">
        <v>3.4752720019248278</v>
      </c>
      <c r="CM99" s="2336">
        <v>3.4917767385909819</v>
      </c>
      <c r="CN99" s="2336">
        <v>3.5082279531785874</v>
      </c>
      <c r="CO99" s="2336">
        <v>3.5246248818199772</v>
      </c>
      <c r="CP99" s="2336">
        <v>3.5409667739691337</v>
      </c>
      <c r="CQ99" s="2336">
        <v>3.5572528924707263</v>
      </c>
      <c r="CR99" s="2336">
        <v>3.573482513622344</v>
      </c>
      <c r="CS99" s="2336">
        <v>3.5896549272311504</v>
      </c>
      <c r="CT99" s="2336">
        <v>3.6057694366652266</v>
      </c>
      <c r="CU99" s="2336">
        <v>3.6218253588966034</v>
      </c>
      <c r="CV99" s="2336">
        <v>3.6378220245427286</v>
      </c>
      <c r="CW99" s="2336">
        <v>3.6537587778984375</v>
      </c>
      <c r="CX99" s="2336">
        <v>3.6696349769625871</v>
      </c>
      <c r="CY99" s="2336">
        <v>3.6854499934615541</v>
      </c>
      <c r="CZ99" s="2336">
        <v>3.7012032128647063</v>
      </c>
      <c r="DA99" s="2336">
        <v>3.7168940343945658</v>
      </c>
      <c r="DB99" s="2336">
        <v>3.7325218710329735</v>
      </c>
      <c r="DC99" s="2336">
        <v>3.7480861495215034</v>
      </c>
      <c r="DD99" s="2336">
        <v>3.7635863103548846</v>
      </c>
      <c r="DE99" s="2336">
        <v>3.7790218077721502</v>
      </c>
      <c r="DF99" s="2336">
        <v>3.7943921097396509</v>
      </c>
      <c r="DG99" s="2336">
        <v>3.8096966979324791</v>
      </c>
      <c r="DH99" s="2336">
        <v>3.8249350677070355</v>
      </c>
      <c r="DI99" s="2336">
        <v>3.8401067280739003</v>
      </c>
      <c r="DJ99" s="2336">
        <v>3.8552112016599174</v>
      </c>
      <c r="DK99" s="2336">
        <v>3.870248024670726</v>
      </c>
      <c r="DL99" s="2336">
        <v>3.8852167468475849</v>
      </c>
      <c r="DM99" s="2336">
        <v>3.9001169314165289</v>
      </c>
      <c r="DN99" s="2336">
        <v>3.9149481550393648</v>
      </c>
      <c r="DO99" s="2336">
        <v>3.929710007754676</v>
      </c>
      <c r="DP99" s="2336">
        <v>3.9444020929172683</v>
      </c>
      <c r="DQ99" s="2336">
        <v>3.9590240271350901</v>
      </c>
      <c r="DR99" s="2336">
        <v>3.9735754401988324</v>
      </c>
      <c r="DS99" s="2336">
        <v>3.9880559750106044</v>
      </c>
      <c r="DT99" s="2336">
        <v>4.0024652875084747</v>
      </c>
      <c r="DU99" s="2336">
        <v>4.0168030465856761</v>
      </c>
    </row>
    <row r="100" spans="1:125">
      <c r="A100" s="909">
        <v>98</v>
      </c>
      <c r="B100" s="90"/>
      <c r="C100" s="90"/>
      <c r="D100" s="90"/>
      <c r="E100" s="90"/>
      <c r="F100" s="90"/>
      <c r="G100" s="90"/>
      <c r="H100" s="90"/>
      <c r="I100" s="90"/>
      <c r="J100" s="90"/>
      <c r="K100" s="90"/>
      <c r="L100" s="90"/>
      <c r="M100" s="90"/>
      <c r="N100" s="90"/>
      <c r="O100" s="90"/>
      <c r="P100" s="90"/>
      <c r="Q100" s="90"/>
      <c r="R100" s="90"/>
      <c r="S100" s="90"/>
      <c r="T100" s="90"/>
      <c r="U100" s="90"/>
      <c r="V100" s="739"/>
      <c r="W100" s="739">
        <v>2.39</v>
      </c>
      <c r="X100" s="739">
        <v>2.31</v>
      </c>
      <c r="Y100" s="2336">
        <v>2.2552326312486262</v>
      </c>
      <c r="Z100" s="2336">
        <v>2.3005397736378916</v>
      </c>
      <c r="AA100" s="2336">
        <v>2.3155599551605457</v>
      </c>
      <c r="AB100" s="2336">
        <v>2.2297828877393782</v>
      </c>
      <c r="AC100" s="2336">
        <v>2.2192212093578787</v>
      </c>
      <c r="AD100" s="2336">
        <v>2.232459326701612</v>
      </c>
      <c r="AE100" s="2336">
        <v>2.2506699254336895</v>
      </c>
      <c r="AF100" s="2336">
        <v>2.2688866878039535</v>
      </c>
      <c r="AG100" s="2336">
        <v>2.2871080770317334</v>
      </c>
      <c r="AH100" s="2336">
        <v>2.3053325564375911</v>
      </c>
      <c r="AI100" s="2336">
        <v>2.3235585899911797</v>
      </c>
      <c r="AJ100" s="2336">
        <v>2.3417846428472808</v>
      </c>
      <c r="AK100" s="2336">
        <v>2.3600091818683513</v>
      </c>
      <c r="AL100" s="2336">
        <v>2.3782306761785241</v>
      </c>
      <c r="AM100" s="2336">
        <v>2.3964475976820085</v>
      </c>
      <c r="AN100" s="2336">
        <v>2.414658421590433</v>
      </c>
      <c r="AO100" s="2336">
        <v>2.4328616269585206</v>
      </c>
      <c r="AP100" s="2336">
        <v>2.4510556971938771</v>
      </c>
      <c r="AQ100" s="2336">
        <v>2.4671838563595747</v>
      </c>
      <c r="AR100" s="2336">
        <v>2.4833025887767897</v>
      </c>
      <c r="AS100" s="2336">
        <v>2.4994108468328387</v>
      </c>
      <c r="AT100" s="2336">
        <v>2.515507586807368</v>
      </c>
      <c r="AU100" s="2336">
        <v>2.5315917691413965</v>
      </c>
      <c r="AV100" s="2336">
        <v>2.5476623587087013</v>
      </c>
      <c r="AW100" s="2336">
        <v>2.5637183250953335</v>
      </c>
      <c r="AX100" s="2336">
        <v>2.5797586428434869</v>
      </c>
      <c r="AY100" s="2336">
        <v>2.595782291731604</v>
      </c>
      <c r="AZ100" s="2336">
        <v>2.6117882570226074</v>
      </c>
      <c r="BA100" s="2336">
        <v>2.6277755297262511</v>
      </c>
      <c r="BB100" s="2336">
        <v>2.643743106841602</v>
      </c>
      <c r="BC100" s="2336">
        <v>2.6596899916100876</v>
      </c>
      <c r="BD100" s="2336">
        <v>2.6756151937579515</v>
      </c>
      <c r="BE100" s="2336">
        <v>2.6915177297339188</v>
      </c>
      <c r="BF100" s="2336">
        <v>2.7073966229446387</v>
      </c>
      <c r="BG100" s="2336">
        <v>2.723250903984705</v>
      </c>
      <c r="BH100" s="2336">
        <v>2.7390796108673556</v>
      </c>
      <c r="BI100" s="2336">
        <v>2.7548817892390511</v>
      </c>
      <c r="BJ100" s="2336">
        <v>2.7706564926044441</v>
      </c>
      <c r="BK100" s="2336">
        <v>2.7864027825293256</v>
      </c>
      <c r="BL100" s="2336">
        <v>2.8021197288598207</v>
      </c>
      <c r="BM100" s="2336">
        <v>2.8178064099137985</v>
      </c>
      <c r="BN100" s="2336">
        <v>2.8334619126875542</v>
      </c>
      <c r="BO100" s="2336">
        <v>2.8490853330425057</v>
      </c>
      <c r="BP100" s="2336">
        <v>2.8646757758967913</v>
      </c>
      <c r="BQ100" s="2336">
        <v>2.8802323554045905</v>
      </c>
      <c r="BR100" s="2336">
        <v>2.8957541951350305</v>
      </c>
      <c r="BS100" s="2336">
        <v>2.9112404282427775</v>
      </c>
      <c r="BT100" s="2336">
        <v>2.9266901976371011</v>
      </c>
      <c r="BU100" s="2336">
        <v>2.9421026561383288</v>
      </c>
      <c r="BV100" s="2336">
        <v>2.9574769666396006</v>
      </c>
      <c r="BW100" s="2336">
        <v>2.9728123022498254</v>
      </c>
      <c r="BX100" s="2336">
        <v>2.9881078464445192</v>
      </c>
      <c r="BY100" s="2336">
        <v>3.003362793201505</v>
      </c>
      <c r="BZ100" s="2336">
        <v>3.0185763471354714</v>
      </c>
      <c r="CA100" s="2336">
        <v>3.0337477236246575</v>
      </c>
      <c r="CB100" s="2336">
        <v>3.0488761489353773</v>
      </c>
      <c r="CC100" s="2336">
        <v>3.0639608603367754</v>
      </c>
      <c r="CD100" s="2336">
        <v>3.0790011062118321</v>
      </c>
      <c r="CE100" s="2336">
        <v>3.0939961461664791</v>
      </c>
      <c r="CF100" s="2336">
        <v>3.1089452511229094</v>
      </c>
      <c r="CG100" s="2336">
        <v>3.1238477034218564</v>
      </c>
      <c r="CH100" s="2336">
        <v>3.1387027969037478</v>
      </c>
      <c r="CI100" s="2336">
        <v>3.1535098369982562</v>
      </c>
      <c r="CJ100" s="2336">
        <v>3.168268140797029</v>
      </c>
      <c r="CK100" s="2336">
        <v>3.182977037130025</v>
      </c>
      <c r="CL100" s="2336">
        <v>3.1976358666292883</v>
      </c>
      <c r="CM100" s="2336">
        <v>3.2122439817914503</v>
      </c>
      <c r="CN100" s="2336">
        <v>3.2268007470360534</v>
      </c>
      <c r="CO100" s="2336">
        <v>3.2413055387514271</v>
      </c>
      <c r="CP100" s="2336">
        <v>3.2557577453429372</v>
      </c>
      <c r="CQ100" s="2336">
        <v>3.2701567672733498</v>
      </c>
      <c r="CR100" s="2336">
        <v>3.2845020170971164</v>
      </c>
      <c r="CS100" s="2336">
        <v>3.2987929194901042</v>
      </c>
      <c r="CT100" s="2336">
        <v>3.3130289112750653</v>
      </c>
      <c r="CU100" s="2336">
        <v>3.3272094414391558</v>
      </c>
      <c r="CV100" s="2336">
        <v>3.3413339711517858</v>
      </c>
      <c r="CW100" s="2336">
        <v>3.3554019737730369</v>
      </c>
      <c r="CX100" s="2336">
        <v>3.3694129348577424</v>
      </c>
      <c r="CY100" s="2336">
        <v>3.3833663521579145</v>
      </c>
      <c r="CZ100" s="2336">
        <v>3.397261735617497</v>
      </c>
      <c r="DA100" s="2336">
        <v>3.4110986073627725</v>
      </c>
      <c r="DB100" s="2336">
        <v>3.4248765016899867</v>
      </c>
      <c r="DC100" s="2336">
        <v>3.4385949650480256</v>
      </c>
      <c r="DD100" s="2336">
        <v>3.4522535560146412</v>
      </c>
      <c r="DE100" s="2336">
        <v>3.4658518452719003</v>
      </c>
      <c r="DF100" s="2336">
        <v>3.4793894155737521</v>
      </c>
      <c r="DG100" s="2336">
        <v>3.4928658617135993</v>
      </c>
      <c r="DH100" s="2336">
        <v>3.5062807904830633</v>
      </c>
      <c r="DI100" s="2336">
        <v>3.5196338206329814</v>
      </c>
      <c r="DJ100" s="2336">
        <v>3.5329245828232283</v>
      </c>
      <c r="DK100" s="2336">
        <v>3.5461527195748777</v>
      </c>
      <c r="DL100" s="2336">
        <v>3.5593178852172538</v>
      </c>
      <c r="DM100" s="2336">
        <v>3.5724197458275047</v>
      </c>
      <c r="DN100" s="2336">
        <v>3.5854579791740635</v>
      </c>
      <c r="DO100" s="2336">
        <v>3.5984322746497992</v>
      </c>
      <c r="DP100" s="2336">
        <v>3.6113423332049064</v>
      </c>
      <c r="DQ100" s="2336">
        <v>3.6241878672783745</v>
      </c>
      <c r="DR100" s="2336">
        <v>3.6369686007222386</v>
      </c>
      <c r="DS100" s="2336">
        <v>3.6496842687262485</v>
      </c>
      <c r="DT100" s="2336">
        <v>3.6623346177390763</v>
      </c>
      <c r="DU100" s="2336">
        <v>3.674919405384609</v>
      </c>
    </row>
    <row r="101" spans="1:125">
      <c r="A101" s="909">
        <v>99</v>
      </c>
      <c r="B101" s="90"/>
      <c r="C101" s="90"/>
      <c r="D101" s="90"/>
      <c r="E101" s="90"/>
      <c r="F101" s="90"/>
      <c r="G101" s="90"/>
      <c r="H101" s="90"/>
      <c r="I101" s="90"/>
      <c r="J101" s="90"/>
      <c r="K101" s="90"/>
      <c r="L101" s="90"/>
      <c r="M101" s="90"/>
      <c r="N101" s="90"/>
      <c r="O101" s="90"/>
      <c r="P101" s="90"/>
      <c r="Q101" s="90"/>
      <c r="R101" s="90"/>
      <c r="S101" s="90"/>
      <c r="T101" s="90"/>
      <c r="U101" s="90"/>
      <c r="V101" s="739"/>
      <c r="W101" s="739">
        <v>2.2400000000000002</v>
      </c>
      <c r="X101" s="739">
        <v>2.17</v>
      </c>
      <c r="Y101" s="2336">
        <v>2.1088468957688571</v>
      </c>
      <c r="Z101" s="2336">
        <v>2.149989299136335</v>
      </c>
      <c r="AA101" s="2336">
        <v>2.1636200285317333</v>
      </c>
      <c r="AB101" s="2336">
        <v>2.0857190009469955</v>
      </c>
      <c r="AC101" s="2336">
        <v>2.0761171573816073</v>
      </c>
      <c r="AD101" s="2336">
        <v>2.0881518590584083</v>
      </c>
      <c r="AE101" s="2336">
        <v>2.1047013911328172</v>
      </c>
      <c r="AF101" s="2336">
        <v>2.1212500364742786</v>
      </c>
      <c r="AG101" s="2336">
        <v>2.1377964264046176</v>
      </c>
      <c r="AH101" s="2336">
        <v>2.1543391940875227</v>
      </c>
      <c r="AI101" s="2336">
        <v>2.1708769750110481</v>
      </c>
      <c r="AJ101" s="2336">
        <v>2.1874084074524691</v>
      </c>
      <c r="AK101" s="2336">
        <v>2.2039321329237147</v>
      </c>
      <c r="AL101" s="2336">
        <v>2.2204467966631252</v>
      </c>
      <c r="AM101" s="2336">
        <v>2.2369510480757575</v>
      </c>
      <c r="AN101" s="2336">
        <v>2.2534435411877265</v>
      </c>
      <c r="AO101" s="2336">
        <v>2.269922935113498</v>
      </c>
      <c r="AP101" s="2336">
        <v>2.2863878944870719</v>
      </c>
      <c r="AQ101" s="2336">
        <v>2.3009781509475409</v>
      </c>
      <c r="AR101" s="2336">
        <v>2.3155550831144902</v>
      </c>
      <c r="AS101" s="2336">
        <v>2.3301177718500123</v>
      </c>
      <c r="AT101" s="2336">
        <v>2.3446653024596134</v>
      </c>
      <c r="AU101" s="2336">
        <v>2.3591967649182584</v>
      </c>
      <c r="AV101" s="2336">
        <v>2.3737112541009373</v>
      </c>
      <c r="AW101" s="2336">
        <v>2.3882078700257257</v>
      </c>
      <c r="AX101" s="2336">
        <v>2.4026857180480747</v>
      </c>
      <c r="AY101" s="2336">
        <v>2.4171439091073084</v>
      </c>
      <c r="AZ101" s="2336">
        <v>2.4315815599298176</v>
      </c>
      <c r="BA101" s="2336">
        <v>2.4459977932534476</v>
      </c>
      <c r="BB101" s="2336">
        <v>2.4603917380257663</v>
      </c>
      <c r="BC101" s="2336">
        <v>2.4747625296186104</v>
      </c>
      <c r="BD101" s="2336">
        <v>2.4891093100295532</v>
      </c>
      <c r="BE101" s="2336">
        <v>2.5034312280784805</v>
      </c>
      <c r="BF101" s="2336">
        <v>2.5177274396028602</v>
      </c>
      <c r="BG101" s="2336">
        <v>2.5319971076473675</v>
      </c>
      <c r="BH101" s="2336">
        <v>2.5462394026562429</v>
      </c>
      <c r="BI101" s="2336">
        <v>2.5604535026455419</v>
      </c>
      <c r="BJ101" s="2336">
        <v>2.5746385933914664</v>
      </c>
      <c r="BK101" s="2336">
        <v>2.5887938685907419</v>
      </c>
      <c r="BL101" s="2336">
        <v>2.6029185300450335</v>
      </c>
      <c r="BM101" s="2336">
        <v>2.6170117878097883</v>
      </c>
      <c r="BN101" s="2336">
        <v>2.6310728603658098</v>
      </c>
      <c r="BO101" s="2336">
        <v>2.6451009747659904</v>
      </c>
      <c r="BP101" s="2336">
        <v>2.6590953667907926</v>
      </c>
      <c r="BQ101" s="2336">
        <v>2.6730552810894102</v>
      </c>
      <c r="BR101" s="2336">
        <v>2.6869799713226015</v>
      </c>
      <c r="BS101" s="2336">
        <v>2.700868700296597</v>
      </c>
      <c r="BT101" s="2336">
        <v>2.7147207400972206</v>
      </c>
      <c r="BU101" s="2336">
        <v>2.7285353722094978</v>
      </c>
      <c r="BV101" s="2336">
        <v>2.7423118876465549</v>
      </c>
      <c r="BW101" s="2336">
        <v>2.7560495870559096</v>
      </c>
      <c r="BX101" s="2336">
        <v>2.7697477808384896</v>
      </c>
      <c r="BY101" s="2336">
        <v>2.7834057892499469</v>
      </c>
      <c r="BZ101" s="2336">
        <v>2.7970229425028079</v>
      </c>
      <c r="CA101" s="2336">
        <v>2.810598580860598</v>
      </c>
      <c r="CB101" s="2336">
        <v>2.8241320547314319</v>
      </c>
      <c r="CC101" s="2336">
        <v>2.8376227247511498</v>
      </c>
      <c r="CD101" s="2336">
        <v>2.8510699618638813</v>
      </c>
      <c r="CE101" s="2336">
        <v>2.8644731474024412</v>
      </c>
      <c r="CF101" s="2336">
        <v>2.8778316731504856</v>
      </c>
      <c r="CG101" s="2336">
        <v>2.8911449414186312</v>
      </c>
      <c r="CH101" s="2336">
        <v>2.904412365095459</v>
      </c>
      <c r="CI101" s="2336">
        <v>2.9176333677117054</v>
      </c>
      <c r="CJ101" s="2336">
        <v>2.9308073834849817</v>
      </c>
      <c r="CK101" s="2336">
        <v>2.94393385737142</v>
      </c>
      <c r="CL101" s="2336">
        <v>2.957012245103396</v>
      </c>
      <c r="CM101" s="2336">
        <v>2.9700420132278627</v>
      </c>
      <c r="CN101" s="2336">
        <v>2.9830226391415269</v>
      </c>
      <c r="CO101" s="2336">
        <v>2.995953611112296</v>
      </c>
      <c r="CP101" s="2336">
        <v>3.008834428305958</v>
      </c>
      <c r="CQ101" s="2336">
        <v>3.0216646008049501</v>
      </c>
      <c r="CR101" s="2336">
        <v>3.0344436496215019</v>
      </c>
      <c r="CS101" s="2336">
        <v>3.0471711067071237</v>
      </c>
      <c r="CT101" s="2336">
        <v>3.0598465149587741</v>
      </c>
      <c r="CU101" s="2336">
        <v>3.0724694282170111</v>
      </c>
      <c r="CV101" s="2336">
        <v>3.0850394112666093</v>
      </c>
      <c r="CW101" s="2336">
        <v>3.0975560398272628</v>
      </c>
      <c r="CX101" s="2336">
        <v>3.1100189005408048</v>
      </c>
      <c r="CY101" s="2336">
        <v>3.1224275909583121</v>
      </c>
      <c r="CZ101" s="2336">
        <v>3.13478171951947</v>
      </c>
      <c r="DA101" s="2336">
        <v>3.1470809055283855</v>
      </c>
      <c r="DB101" s="2336">
        <v>3.1593247791277825</v>
      </c>
      <c r="DC101" s="2336">
        <v>3.171512981268831</v>
      </c>
      <c r="DD101" s="2336">
        <v>3.1836451636747118</v>
      </c>
      <c r="DE101" s="2336">
        <v>3.195720988804998</v>
      </c>
      <c r="DF101" s="2336">
        <v>3.207740129811929</v>
      </c>
      <c r="DG101" s="2336">
        <v>3.2197022704984128</v>
      </c>
      <c r="DH101" s="2336">
        <v>3.2316071052667441</v>
      </c>
      <c r="DI101" s="2336">
        <v>3.2434543390717345</v>
      </c>
      <c r="DJ101" s="2336">
        <v>3.2552436873615807</v>
      </c>
      <c r="DK101" s="2336">
        <v>3.2669748760232165</v>
      </c>
      <c r="DL101" s="2336">
        <v>3.2786476413228725</v>
      </c>
      <c r="DM101" s="2336">
        <v>3.2902617298388876</v>
      </c>
      <c r="DN101" s="2336">
        <v>3.3018168984008178</v>
      </c>
      <c r="DO101" s="2336">
        <v>3.3133129140172226</v>
      </c>
      <c r="DP101" s="2336">
        <v>3.3247495538045695</v>
      </c>
      <c r="DQ101" s="2336">
        <v>3.3361266049157328</v>
      </c>
      <c r="DR101" s="2336">
        <v>3.3474438644609545</v>
      </c>
      <c r="DS101" s="2336">
        <v>3.3587011394306221</v>
      </c>
      <c r="DT101" s="2336">
        <v>3.369898246615052</v>
      </c>
      <c r="DU101" s="2336">
        <v>3.3810350125194768</v>
      </c>
    </row>
    <row r="102" spans="1:125">
      <c r="A102" s="909">
        <v>100</v>
      </c>
      <c r="B102" s="90"/>
      <c r="C102" s="90"/>
      <c r="D102" s="90"/>
      <c r="E102" s="90"/>
      <c r="F102" s="90"/>
      <c r="G102" s="90"/>
      <c r="H102" s="90"/>
      <c r="I102" s="90"/>
      <c r="J102" s="90"/>
      <c r="K102" s="90"/>
      <c r="L102" s="90"/>
      <c r="M102" s="90"/>
      <c r="N102" s="90"/>
      <c r="O102" s="90"/>
      <c r="P102" s="90"/>
      <c r="Q102" s="90"/>
      <c r="R102" s="90"/>
      <c r="S102" s="90"/>
      <c r="T102" s="90"/>
      <c r="U102" s="90"/>
      <c r="V102" s="739"/>
      <c r="W102" s="739">
        <v>2.11</v>
      </c>
      <c r="X102" s="739">
        <v>2.04</v>
      </c>
      <c r="Y102" s="2336">
        <v>1.979717439255861</v>
      </c>
      <c r="Z102" s="2336">
        <v>2.0173225892485971</v>
      </c>
      <c r="AA102" s="2336">
        <v>2.0297740279966843</v>
      </c>
      <c r="AB102" s="2336">
        <v>1.9585632046254127</v>
      </c>
      <c r="AC102" s="2336">
        <v>1.9497776075211992</v>
      </c>
      <c r="AD102" s="2336">
        <v>1.9607889536356442</v>
      </c>
      <c r="AE102" s="2336">
        <v>1.9759264840384294</v>
      </c>
      <c r="AF102" s="2336">
        <v>1.9910577434461489</v>
      </c>
      <c r="AG102" s="2336">
        <v>2.0061815041479512</v>
      </c>
      <c r="AH102" s="2336">
        <v>2.0212965415172723</v>
      </c>
      <c r="AI102" s="2336">
        <v>2.0364016344476141</v>
      </c>
      <c r="AJ102" s="2336">
        <v>2.051495565761646</v>
      </c>
      <c r="AK102" s="2336">
        <v>2.0665771225918461</v>
      </c>
      <c r="AL102" s="2336">
        <v>2.0816450968322155</v>
      </c>
      <c r="AM102" s="2336">
        <v>2.0966982855131393</v>
      </c>
      <c r="AN102" s="2336">
        <v>2.11173549119906</v>
      </c>
      <c r="AO102" s="2336">
        <v>2.126755522406873</v>
      </c>
      <c r="AP102" s="2336">
        <v>2.1417571939720466</v>
      </c>
      <c r="AQ102" s="2336">
        <v>2.1550464412010673</v>
      </c>
      <c r="AR102" s="2336">
        <v>2.1683195009349947</v>
      </c>
      <c r="AS102" s="2336">
        <v>2.181575560203739</v>
      </c>
      <c r="AT102" s="2336">
        <v>2.1948138108448352</v>
      </c>
      <c r="AU102" s="2336">
        <v>2.208033449694554</v>
      </c>
      <c r="AV102" s="2336">
        <v>2.2212336787870002</v>
      </c>
      <c r="AW102" s="2336">
        <v>2.234413705572583</v>
      </c>
      <c r="AX102" s="2336">
        <v>2.2475727430670305</v>
      </c>
      <c r="AY102" s="2336">
        <v>2.2607100100777338</v>
      </c>
      <c r="AZ102" s="2336">
        <v>2.2738247313687561</v>
      </c>
      <c r="BA102" s="2336">
        <v>2.2869161378580491</v>
      </c>
      <c r="BB102" s="2336">
        <v>2.299983466778726</v>
      </c>
      <c r="BC102" s="2336">
        <v>2.3130259618654048</v>
      </c>
      <c r="BD102" s="2336">
        <v>2.3260428735234888</v>
      </c>
      <c r="BE102" s="2336">
        <v>2.339033458993248</v>
      </c>
      <c r="BF102" s="2336">
        <v>2.3519969825138984</v>
      </c>
      <c r="BG102" s="2336">
        <v>2.3649327154814972</v>
      </c>
      <c r="BH102" s="2336">
        <v>2.3778399366125726</v>
      </c>
      <c r="BI102" s="2336">
        <v>2.3907179320812904</v>
      </c>
      <c r="BJ102" s="2336">
        <v>2.4035659956812676</v>
      </c>
      <c r="BK102" s="2336">
        <v>2.4163834289500881</v>
      </c>
      <c r="BL102" s="2336">
        <v>2.4291695413295478</v>
      </c>
      <c r="BM102" s="2336">
        <v>2.4419236502781709</v>
      </c>
      <c r="BN102" s="2336">
        <v>2.4546450814175804</v>
      </c>
      <c r="BO102" s="2336">
        <v>2.4673331686463387</v>
      </c>
      <c r="BP102" s="2336">
        <v>2.4799872542681034</v>
      </c>
      <c r="BQ102" s="2336">
        <v>2.4926066891020633</v>
      </c>
      <c r="BR102" s="2336">
        <v>2.5051908325978793</v>
      </c>
      <c r="BS102" s="2336">
        <v>2.5177390529404704</v>
      </c>
      <c r="BT102" s="2336">
        <v>2.5302507271572834</v>
      </c>
      <c r="BU102" s="2336">
        <v>2.5427252412078434</v>
      </c>
      <c r="BV102" s="2336">
        <v>2.5551619900882483</v>
      </c>
      <c r="BW102" s="2336">
        <v>2.5675603779069549</v>
      </c>
      <c r="BX102" s="2336">
        <v>2.5799198179801919</v>
      </c>
      <c r="BY102" s="2336">
        <v>2.5922397329054396</v>
      </c>
      <c r="BZ102" s="2336">
        <v>2.6045195546383137</v>
      </c>
      <c r="CA102" s="2336">
        <v>2.6167587245607828</v>
      </c>
      <c r="CB102" s="2336">
        <v>2.6289566935508901</v>
      </c>
      <c r="CC102" s="2336">
        <v>2.6411129220405614</v>
      </c>
      <c r="CD102" s="2336">
        <v>2.6532268800721943</v>
      </c>
      <c r="CE102" s="2336">
        <v>2.665298047357191</v>
      </c>
      <c r="CF102" s="2336">
        <v>2.6773259133122154</v>
      </c>
      <c r="CG102" s="2336">
        <v>2.6893099771163635</v>
      </c>
      <c r="CH102" s="2336">
        <v>2.7012497477368891</v>
      </c>
      <c r="CI102" s="2336">
        <v>2.7131447439747243</v>
      </c>
      <c r="CJ102" s="2336">
        <v>2.7249944944861797</v>
      </c>
      <c r="CK102" s="2336">
        <v>2.7367985378160045</v>
      </c>
      <c r="CL102" s="2336">
        <v>2.7485564224140533</v>
      </c>
      <c r="CM102" s="2336">
        <v>2.7602677066548771</v>
      </c>
      <c r="CN102" s="2336">
        <v>2.7719319588551921</v>
      </c>
      <c r="CO102" s="2336">
        <v>2.783548757275268</v>
      </c>
      <c r="CP102" s="2336">
        <v>2.7951176901292709</v>
      </c>
      <c r="CQ102" s="2336">
        <v>2.8066383555871841</v>
      </c>
      <c r="CR102" s="2336">
        <v>2.8181103617713146</v>
      </c>
      <c r="CS102" s="2336">
        <v>2.8295333267499516</v>
      </c>
      <c r="CT102" s="2336">
        <v>2.8409068785286369</v>
      </c>
      <c r="CU102" s="2336">
        <v>2.8522306550328342</v>
      </c>
      <c r="CV102" s="2336">
        <v>2.8635043040957124</v>
      </c>
      <c r="CW102" s="2336">
        <v>2.8747274834348233</v>
      </c>
      <c r="CX102" s="2336">
        <v>2.8858998606260968</v>
      </c>
      <c r="CY102" s="2336">
        <v>2.8970211130794623</v>
      </c>
      <c r="CZ102" s="2336">
        <v>2.9080909280061791</v>
      </c>
      <c r="DA102" s="2336">
        <v>2.9191090023832995</v>
      </c>
      <c r="DB102" s="2336">
        <v>2.9300750429177467</v>
      </c>
      <c r="DC102" s="2336">
        <v>2.9409887660063965</v>
      </c>
      <c r="DD102" s="2336">
        <v>2.951849897689713</v>
      </c>
      <c r="DE102" s="2336">
        <v>2.9626581736080553</v>
      </c>
      <c r="DF102" s="2336">
        <v>2.9734133389490962</v>
      </c>
      <c r="DG102" s="2336">
        <v>2.984115148399014</v>
      </c>
      <c r="DH102" s="2336">
        <v>2.994763366083264</v>
      </c>
      <c r="DI102" s="2336">
        <v>3.0053577655144665</v>
      </c>
      <c r="DJ102" s="2336">
        <v>3.0158981295260396</v>
      </c>
      <c r="DK102" s="2336">
        <v>3.0263842502129714</v>
      </c>
      <c r="DL102" s="2336">
        <v>3.0368159288678225</v>
      </c>
      <c r="DM102" s="2336">
        <v>3.0471929759081928</v>
      </c>
      <c r="DN102" s="2336">
        <v>3.0575152108135004</v>
      </c>
      <c r="DO102" s="2336">
        <v>3.0677824620486205</v>
      </c>
      <c r="DP102" s="2336">
        <v>3.0779945669901738</v>
      </c>
      <c r="DQ102" s="2336">
        <v>3.088151371853507</v>
      </c>
      <c r="DR102" s="2336">
        <v>3.0982527316112503</v>
      </c>
      <c r="DS102" s="2336">
        <v>3.1082985099153388</v>
      </c>
      <c r="DT102" s="2336">
        <v>3.1182885790163097</v>
      </c>
      <c r="DU102" s="2336">
        <v>3.128222819677617</v>
      </c>
    </row>
    <row r="103" spans="1:125">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1"/>
      <c r="BG103" s="91"/>
      <c r="BH103" s="91"/>
      <c r="BI103" s="91"/>
      <c r="BJ103" s="91"/>
      <c r="BK103" s="91"/>
      <c r="BL103" s="91"/>
      <c r="BM103" s="91"/>
      <c r="BN103" s="91"/>
      <c r="BO103" s="91"/>
      <c r="BP103" s="91"/>
      <c r="BQ103" s="91"/>
      <c r="BR103" s="91"/>
      <c r="BS103" s="91"/>
      <c r="BT103" s="91"/>
      <c r="BU103" s="91"/>
      <c r="BV103" s="91"/>
      <c r="BW103" s="91"/>
      <c r="BX103" s="91"/>
      <c r="BY103" s="91"/>
      <c r="BZ103" s="91"/>
      <c r="CA103" s="91"/>
      <c r="CB103" s="91"/>
      <c r="CC103" s="91"/>
      <c r="CD103" s="91"/>
      <c r="CE103" s="91"/>
      <c r="CF103" s="91"/>
      <c r="CG103" s="91"/>
      <c r="CH103" s="91"/>
      <c r="CI103" s="91"/>
      <c r="CJ103" s="91"/>
      <c r="CK103" s="91"/>
      <c r="CL103" s="91"/>
      <c r="CM103" s="91"/>
      <c r="CN103" s="91"/>
      <c r="CO103" s="91"/>
      <c r="CP103" s="91"/>
      <c r="CQ103" s="91"/>
      <c r="CR103" s="91"/>
      <c r="CS103" s="91"/>
      <c r="CT103" s="91"/>
      <c r="CU103" s="91"/>
      <c r="CV103" s="91"/>
      <c r="CW103" s="91"/>
      <c r="CX103" s="91"/>
      <c r="CY103" s="91"/>
      <c r="CZ103" s="91"/>
      <c r="DA103" s="91"/>
      <c r="DB103" s="91"/>
      <c r="DC103" s="91"/>
      <c r="DD103" s="91"/>
      <c r="DE103" s="91"/>
      <c r="DF103" s="91"/>
      <c r="DG103" s="91"/>
      <c r="DH103" s="91"/>
      <c r="DI103" s="91"/>
      <c r="DJ103" s="91"/>
      <c r="DK103" s="91"/>
      <c r="DL103" s="91"/>
      <c r="DM103" s="91"/>
      <c r="DN103" s="91"/>
      <c r="DO103" s="91"/>
    </row>
    <row r="104" spans="1:125">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c r="BK104" s="91"/>
      <c r="BL104" s="91"/>
      <c r="BM104" s="91"/>
      <c r="BN104" s="91"/>
      <c r="BO104" s="91"/>
      <c r="BP104" s="91"/>
      <c r="BQ104" s="91"/>
      <c r="BR104" s="91"/>
      <c r="BS104" s="91"/>
      <c r="BT104" s="91"/>
      <c r="BU104" s="91"/>
      <c r="BV104" s="91"/>
      <c r="BW104" s="91"/>
      <c r="BX104" s="91"/>
      <c r="BY104" s="91"/>
      <c r="BZ104" s="91"/>
      <c r="CA104" s="91"/>
      <c r="CB104" s="91"/>
      <c r="CC104" s="91"/>
      <c r="CD104" s="91"/>
      <c r="CE104" s="91"/>
      <c r="CF104" s="91"/>
      <c r="CG104" s="91"/>
      <c r="CH104" s="91"/>
      <c r="CI104" s="91"/>
      <c r="CJ104" s="91"/>
      <c r="CK104" s="91"/>
      <c r="CL104" s="91"/>
      <c r="CM104" s="91"/>
      <c r="CN104" s="91"/>
      <c r="CO104" s="91"/>
      <c r="CP104" s="91"/>
      <c r="CQ104" s="91"/>
      <c r="CR104" s="91"/>
      <c r="CS104" s="91"/>
      <c r="CT104" s="91"/>
      <c r="CU104" s="91"/>
      <c r="CV104" s="91"/>
      <c r="CW104" s="91"/>
      <c r="CX104" s="91"/>
      <c r="CY104" s="91"/>
      <c r="CZ104" s="91"/>
      <c r="DA104" s="91"/>
      <c r="DB104" s="91"/>
      <c r="DC104" s="91"/>
      <c r="DD104" s="91"/>
      <c r="DE104" s="91"/>
      <c r="DF104" s="91"/>
      <c r="DG104" s="91"/>
      <c r="DH104" s="91"/>
      <c r="DI104" s="91"/>
      <c r="DJ104" s="91"/>
      <c r="DK104" s="91"/>
      <c r="DL104" s="91"/>
      <c r="DM104" s="91"/>
      <c r="DN104" s="91"/>
      <c r="DO104" s="91"/>
    </row>
    <row r="105" spans="1:125">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c r="BI105" s="91"/>
      <c r="BJ105" s="91"/>
      <c r="BK105" s="91"/>
      <c r="BL105" s="91"/>
      <c r="BM105" s="91"/>
      <c r="BN105" s="91"/>
      <c r="BO105" s="91"/>
      <c r="BP105" s="91"/>
      <c r="BQ105" s="91"/>
      <c r="BR105" s="91"/>
      <c r="BS105" s="91"/>
      <c r="BT105" s="91"/>
      <c r="BU105" s="91"/>
      <c r="BV105" s="91"/>
      <c r="BW105" s="91"/>
      <c r="BX105" s="91"/>
      <c r="BY105" s="91"/>
      <c r="BZ105" s="91"/>
      <c r="CA105" s="91"/>
      <c r="CB105" s="91"/>
      <c r="CC105" s="91"/>
      <c r="CD105" s="91"/>
      <c r="CE105" s="91"/>
      <c r="CF105" s="91"/>
      <c r="CG105" s="91"/>
      <c r="CH105" s="91"/>
      <c r="CI105" s="91"/>
      <c r="CJ105" s="91"/>
      <c r="CK105" s="91"/>
      <c r="CL105" s="91"/>
      <c r="CM105" s="91"/>
      <c r="CN105" s="91"/>
      <c r="CO105" s="91"/>
      <c r="CP105" s="91"/>
      <c r="CQ105" s="91"/>
      <c r="CR105" s="91"/>
      <c r="CS105" s="91"/>
      <c r="CT105" s="91"/>
      <c r="CU105" s="91"/>
      <c r="CV105" s="91"/>
      <c r="CW105" s="91"/>
      <c r="CX105" s="91"/>
      <c r="CY105" s="91"/>
      <c r="CZ105" s="91"/>
      <c r="DA105" s="91"/>
      <c r="DB105" s="91"/>
      <c r="DC105" s="91"/>
      <c r="DD105" s="91"/>
      <c r="DE105" s="91"/>
      <c r="DF105" s="91"/>
      <c r="DG105" s="91"/>
      <c r="DH105" s="91"/>
      <c r="DI105" s="91"/>
      <c r="DJ105" s="91"/>
      <c r="DK105" s="91"/>
      <c r="DL105" s="91"/>
      <c r="DM105" s="91"/>
      <c r="DN105" s="91"/>
      <c r="DO105" s="91"/>
    </row>
    <row r="106" spans="1:125">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91"/>
      <c r="BI106" s="91"/>
      <c r="BJ106" s="91"/>
      <c r="BK106" s="91"/>
      <c r="BL106" s="91"/>
      <c r="BM106" s="91"/>
      <c r="BN106" s="91"/>
      <c r="BO106" s="91"/>
      <c r="BP106" s="91"/>
      <c r="BQ106" s="91"/>
      <c r="BR106" s="91"/>
      <c r="BS106" s="91"/>
      <c r="BT106" s="91"/>
      <c r="BU106" s="91"/>
      <c r="BV106" s="91"/>
      <c r="BW106" s="91"/>
      <c r="BX106" s="91"/>
      <c r="BY106" s="91"/>
      <c r="BZ106" s="91"/>
      <c r="CA106" s="91"/>
      <c r="CB106" s="91"/>
      <c r="CC106" s="91"/>
      <c r="CD106" s="91"/>
      <c r="CE106" s="91"/>
      <c r="CF106" s="91"/>
      <c r="CG106" s="91"/>
      <c r="CH106" s="91"/>
      <c r="CI106" s="91"/>
      <c r="CJ106" s="91"/>
      <c r="CK106" s="91"/>
      <c r="CL106" s="91"/>
      <c r="CM106" s="91"/>
      <c r="CN106" s="91"/>
      <c r="CO106" s="91"/>
      <c r="CP106" s="91"/>
      <c r="CQ106" s="91"/>
      <c r="CR106" s="91"/>
      <c r="CS106" s="91"/>
      <c r="CT106" s="91"/>
      <c r="CU106" s="91"/>
      <c r="CV106" s="91"/>
      <c r="CW106" s="91"/>
      <c r="CX106" s="91"/>
      <c r="CY106" s="91"/>
      <c r="CZ106" s="91"/>
      <c r="DA106" s="91"/>
      <c r="DB106" s="91"/>
      <c r="DC106" s="91"/>
      <c r="DD106" s="91"/>
      <c r="DE106" s="91"/>
      <c r="DF106" s="91"/>
      <c r="DG106" s="91"/>
      <c r="DH106" s="91"/>
      <c r="DI106" s="91"/>
      <c r="DJ106" s="91"/>
      <c r="DK106" s="91"/>
      <c r="DL106" s="91"/>
      <c r="DM106" s="91"/>
      <c r="DN106" s="91"/>
      <c r="DO106" s="91"/>
    </row>
    <row r="107" spans="1:125">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c r="BP107" s="91"/>
      <c r="BQ107" s="91"/>
      <c r="BR107" s="91"/>
      <c r="BS107" s="91"/>
      <c r="BT107" s="91"/>
      <c r="BU107" s="91"/>
      <c r="BV107" s="91"/>
      <c r="BW107" s="91"/>
      <c r="BX107" s="91"/>
      <c r="BY107" s="91"/>
      <c r="BZ107" s="91"/>
      <c r="CA107" s="91"/>
      <c r="CB107" s="91"/>
      <c r="CC107" s="91"/>
      <c r="CD107" s="91"/>
      <c r="CE107" s="91"/>
      <c r="CF107" s="91"/>
      <c r="CG107" s="91"/>
      <c r="CH107" s="91"/>
      <c r="CI107" s="91"/>
      <c r="CJ107" s="91"/>
      <c r="CK107" s="91"/>
      <c r="CL107" s="91"/>
      <c r="CM107" s="91"/>
      <c r="CN107" s="91"/>
      <c r="CO107" s="91"/>
      <c r="CP107" s="91"/>
      <c r="CQ107" s="91"/>
      <c r="CR107" s="91"/>
      <c r="CS107" s="91"/>
      <c r="CT107" s="91"/>
      <c r="CU107" s="91"/>
      <c r="CV107" s="91"/>
      <c r="CW107" s="91"/>
      <c r="CX107" s="91"/>
      <c r="CY107" s="91"/>
      <c r="CZ107" s="91"/>
      <c r="DA107" s="91"/>
      <c r="DB107" s="91"/>
      <c r="DC107" s="91"/>
      <c r="DD107" s="91"/>
      <c r="DE107" s="91"/>
      <c r="DF107" s="91"/>
      <c r="DG107" s="91"/>
      <c r="DH107" s="91"/>
      <c r="DI107" s="91"/>
      <c r="DJ107" s="91"/>
      <c r="DK107" s="91"/>
      <c r="DL107" s="91"/>
      <c r="DM107" s="91"/>
      <c r="DN107" s="91"/>
      <c r="DO107" s="91"/>
    </row>
    <row r="108" spans="1:125">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1"/>
      <c r="BJ108" s="91"/>
      <c r="BK108" s="91"/>
      <c r="BL108" s="91"/>
      <c r="BM108" s="91"/>
      <c r="BN108" s="91"/>
      <c r="BO108" s="91"/>
      <c r="BP108" s="91"/>
      <c r="BQ108" s="91"/>
      <c r="BR108" s="91"/>
      <c r="BS108" s="91"/>
      <c r="BT108" s="91"/>
      <c r="BU108" s="91"/>
      <c r="BV108" s="91"/>
      <c r="BW108" s="91"/>
      <c r="BX108" s="91"/>
      <c r="BY108" s="91"/>
      <c r="BZ108" s="91"/>
      <c r="CA108" s="91"/>
      <c r="CB108" s="91"/>
      <c r="CC108" s="91"/>
      <c r="CD108" s="91"/>
      <c r="CE108" s="91"/>
      <c r="CF108" s="91"/>
      <c r="CG108" s="91"/>
      <c r="CH108" s="91"/>
      <c r="CI108" s="91"/>
      <c r="CJ108" s="91"/>
      <c r="CK108" s="91"/>
      <c r="CL108" s="91"/>
      <c r="CM108" s="91"/>
      <c r="CN108" s="91"/>
      <c r="CO108" s="91"/>
      <c r="CP108" s="91"/>
      <c r="CQ108" s="91"/>
      <c r="CR108" s="91"/>
      <c r="CS108" s="91"/>
      <c r="CT108" s="91"/>
      <c r="CU108" s="91"/>
      <c r="CV108" s="91"/>
      <c r="CW108" s="91"/>
      <c r="CX108" s="91"/>
      <c r="CY108" s="91"/>
      <c r="CZ108" s="91"/>
      <c r="DA108" s="91"/>
      <c r="DB108" s="91"/>
      <c r="DC108" s="91"/>
      <c r="DD108" s="91"/>
      <c r="DE108" s="91"/>
      <c r="DF108" s="91"/>
      <c r="DG108" s="91"/>
      <c r="DH108" s="91"/>
      <c r="DI108" s="91"/>
      <c r="DJ108" s="91"/>
      <c r="DK108" s="91"/>
      <c r="DL108" s="91"/>
      <c r="DM108" s="91"/>
      <c r="DN108" s="91"/>
      <c r="DO108" s="91"/>
    </row>
    <row r="109" spans="1:125">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1"/>
      <c r="BU109" s="91"/>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c r="CV109" s="91"/>
      <c r="CW109" s="91"/>
      <c r="CX109" s="91"/>
      <c r="CY109" s="91"/>
      <c r="CZ109" s="91"/>
      <c r="DA109" s="91"/>
      <c r="DB109" s="91"/>
      <c r="DC109" s="91"/>
      <c r="DD109" s="91"/>
      <c r="DE109" s="91"/>
      <c r="DF109" s="91"/>
      <c r="DG109" s="91"/>
      <c r="DH109" s="91"/>
      <c r="DI109" s="91"/>
      <c r="DJ109" s="91"/>
      <c r="DK109" s="91"/>
      <c r="DL109" s="91"/>
      <c r="DM109" s="91"/>
      <c r="DN109" s="91"/>
      <c r="DO109" s="91"/>
    </row>
    <row r="110" spans="1:125">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1"/>
      <c r="BJ110" s="91"/>
      <c r="BK110" s="91"/>
      <c r="BL110" s="91"/>
      <c r="BM110" s="91"/>
      <c r="BN110" s="91"/>
      <c r="BO110" s="91"/>
      <c r="BP110" s="91"/>
      <c r="BQ110" s="91"/>
      <c r="BR110" s="91"/>
      <c r="BS110" s="91"/>
      <c r="BT110" s="91"/>
      <c r="BU110" s="91"/>
      <c r="BV110" s="91"/>
      <c r="BW110" s="91"/>
      <c r="BX110" s="91"/>
      <c r="BY110" s="91"/>
      <c r="BZ110" s="91"/>
      <c r="CA110" s="91"/>
      <c r="CB110" s="91"/>
      <c r="CC110" s="91"/>
      <c r="CD110" s="91"/>
      <c r="CE110" s="91"/>
      <c r="CF110" s="91"/>
      <c r="CG110" s="91"/>
      <c r="CH110" s="91"/>
      <c r="CI110" s="91"/>
      <c r="CJ110" s="91"/>
      <c r="CK110" s="91"/>
      <c r="CL110" s="91"/>
      <c r="CM110" s="91"/>
      <c r="CN110" s="91"/>
      <c r="CO110" s="91"/>
      <c r="CP110" s="91"/>
      <c r="CQ110" s="91"/>
      <c r="CR110" s="91"/>
      <c r="CS110" s="91"/>
      <c r="CT110" s="91"/>
      <c r="CU110" s="91"/>
      <c r="CV110" s="91"/>
      <c r="CW110" s="91"/>
      <c r="CX110" s="91"/>
      <c r="CY110" s="91"/>
      <c r="CZ110" s="91"/>
      <c r="DA110" s="91"/>
      <c r="DB110" s="91"/>
      <c r="DC110" s="91"/>
      <c r="DD110" s="91"/>
      <c r="DE110" s="91"/>
      <c r="DF110" s="91"/>
      <c r="DG110" s="91"/>
      <c r="DH110" s="91"/>
      <c r="DI110" s="91"/>
      <c r="DJ110" s="91"/>
      <c r="DK110" s="91"/>
      <c r="DL110" s="91"/>
      <c r="DM110" s="91"/>
      <c r="DN110" s="91"/>
      <c r="DO110" s="91"/>
    </row>
    <row r="111" spans="1:125">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1"/>
      <c r="BJ111" s="91"/>
      <c r="BK111" s="91"/>
      <c r="BL111" s="91"/>
      <c r="BM111" s="91"/>
      <c r="BN111" s="91"/>
      <c r="BO111" s="91"/>
      <c r="BP111" s="91"/>
      <c r="BQ111" s="91"/>
      <c r="BR111" s="91"/>
      <c r="BS111" s="91"/>
      <c r="BT111" s="91"/>
      <c r="BU111" s="91"/>
      <c r="BV111" s="91"/>
      <c r="BW111" s="91"/>
      <c r="BX111" s="91"/>
      <c r="BY111" s="91"/>
      <c r="BZ111" s="91"/>
      <c r="CA111" s="91"/>
      <c r="CB111" s="91"/>
      <c r="CC111" s="91"/>
      <c r="CD111" s="91"/>
      <c r="CE111" s="91"/>
      <c r="CF111" s="91"/>
      <c r="CG111" s="91"/>
      <c r="CH111" s="91"/>
      <c r="CI111" s="91"/>
      <c r="CJ111" s="91"/>
      <c r="CK111" s="91"/>
      <c r="CL111" s="91"/>
      <c r="CM111" s="91"/>
      <c r="CN111" s="91"/>
      <c r="CO111" s="91"/>
      <c r="CP111" s="91"/>
      <c r="CQ111" s="91"/>
      <c r="CR111" s="91"/>
      <c r="CS111" s="91"/>
      <c r="CT111" s="91"/>
      <c r="CU111" s="91"/>
      <c r="CV111" s="91"/>
      <c r="CW111" s="91"/>
      <c r="CX111" s="91"/>
      <c r="CY111" s="91"/>
      <c r="CZ111" s="91"/>
      <c r="DA111" s="91"/>
      <c r="DB111" s="91"/>
      <c r="DC111" s="91"/>
      <c r="DD111" s="91"/>
      <c r="DE111" s="91"/>
      <c r="DF111" s="91"/>
      <c r="DG111" s="91"/>
      <c r="DH111" s="91"/>
      <c r="DI111" s="91"/>
      <c r="DJ111" s="91"/>
      <c r="DK111" s="91"/>
      <c r="DL111" s="91"/>
      <c r="DM111" s="91"/>
      <c r="DN111" s="91"/>
      <c r="DO111" s="91"/>
    </row>
    <row r="112" spans="1:125">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91"/>
      <c r="DA112" s="91"/>
      <c r="DB112" s="91"/>
      <c r="DC112" s="91"/>
      <c r="DD112" s="91"/>
      <c r="DE112" s="91"/>
      <c r="DF112" s="91"/>
      <c r="DG112" s="91"/>
      <c r="DH112" s="91"/>
      <c r="DI112" s="91"/>
      <c r="DJ112" s="91"/>
      <c r="DK112" s="91"/>
      <c r="DL112" s="91"/>
      <c r="DM112" s="91"/>
      <c r="DN112" s="91"/>
      <c r="DO112" s="91"/>
    </row>
    <row r="113" spans="2:119">
      <c r="B113" s="91"/>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1"/>
      <c r="BG113" s="91"/>
      <c r="BH113" s="91"/>
      <c r="BI113" s="91"/>
      <c r="BJ113" s="91"/>
      <c r="BK113" s="91"/>
      <c r="BL113" s="91"/>
      <c r="BM113" s="91"/>
      <c r="BN113" s="91"/>
      <c r="BO113" s="91"/>
      <c r="BP113" s="91"/>
      <c r="BQ113" s="91"/>
      <c r="BR113" s="91"/>
      <c r="BS113" s="91"/>
      <c r="BT113" s="91"/>
      <c r="BU113" s="91"/>
      <c r="BV113" s="91"/>
      <c r="BW113" s="91"/>
      <c r="BX113" s="91"/>
      <c r="BY113" s="91"/>
      <c r="BZ113" s="91"/>
      <c r="CA113" s="91"/>
      <c r="CB113" s="91"/>
      <c r="CC113" s="91"/>
      <c r="CD113" s="91"/>
      <c r="CE113" s="91"/>
      <c r="CF113" s="91"/>
      <c r="CG113" s="91"/>
      <c r="CH113" s="91"/>
      <c r="CI113" s="91"/>
      <c r="CJ113" s="91"/>
      <c r="CK113" s="91"/>
      <c r="CL113" s="91"/>
      <c r="CM113" s="91"/>
      <c r="CN113" s="91"/>
      <c r="CO113" s="91"/>
      <c r="CP113" s="91"/>
      <c r="CQ113" s="91"/>
      <c r="CR113" s="91"/>
      <c r="CS113" s="91"/>
      <c r="CT113" s="91"/>
      <c r="CU113" s="91"/>
      <c r="CV113" s="91"/>
      <c r="CW113" s="91"/>
      <c r="CX113" s="91"/>
      <c r="CY113" s="91"/>
      <c r="CZ113" s="91"/>
      <c r="DA113" s="91"/>
      <c r="DB113" s="91"/>
      <c r="DC113" s="91"/>
      <c r="DD113" s="91"/>
      <c r="DE113" s="91"/>
      <c r="DF113" s="91"/>
      <c r="DG113" s="91"/>
      <c r="DH113" s="91"/>
      <c r="DI113" s="91"/>
      <c r="DJ113" s="91"/>
      <c r="DK113" s="91"/>
      <c r="DL113" s="91"/>
      <c r="DM113" s="91"/>
      <c r="DN113" s="91"/>
      <c r="DO113" s="91"/>
    </row>
    <row r="114" spans="2:119">
      <c r="B114" s="91"/>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91"/>
      <c r="BL114" s="91"/>
      <c r="BM114" s="91"/>
      <c r="BN114" s="91"/>
      <c r="BO114" s="91"/>
      <c r="BP114" s="91"/>
      <c r="BQ114" s="91"/>
      <c r="BR114" s="91"/>
      <c r="BS114" s="91"/>
      <c r="BT114" s="91"/>
      <c r="BU114" s="91"/>
      <c r="BV114" s="91"/>
      <c r="BW114" s="91"/>
      <c r="BX114" s="91"/>
      <c r="BY114" s="91"/>
      <c r="BZ114" s="91"/>
      <c r="CA114" s="91"/>
      <c r="CB114" s="91"/>
      <c r="CC114" s="91"/>
      <c r="CD114" s="91"/>
      <c r="CE114" s="91"/>
      <c r="CF114" s="91"/>
      <c r="CG114" s="91"/>
      <c r="CH114" s="91"/>
      <c r="CI114" s="91"/>
      <c r="CJ114" s="91"/>
      <c r="CK114" s="91"/>
      <c r="CL114" s="91"/>
      <c r="CM114" s="91"/>
      <c r="CN114" s="91"/>
      <c r="CO114" s="91"/>
      <c r="CP114" s="91"/>
      <c r="CQ114" s="91"/>
      <c r="CR114" s="91"/>
      <c r="CS114" s="91"/>
      <c r="CT114" s="91"/>
      <c r="CU114" s="91"/>
      <c r="CV114" s="91"/>
      <c r="CW114" s="91"/>
      <c r="CX114" s="91"/>
      <c r="CY114" s="91"/>
      <c r="CZ114" s="91"/>
      <c r="DA114" s="91"/>
      <c r="DB114" s="91"/>
      <c r="DC114" s="91"/>
      <c r="DD114" s="91"/>
      <c r="DE114" s="91"/>
      <c r="DF114" s="91"/>
      <c r="DG114" s="91"/>
      <c r="DH114" s="91"/>
      <c r="DI114" s="91"/>
      <c r="DJ114" s="91"/>
      <c r="DK114" s="91"/>
      <c r="DL114" s="91"/>
      <c r="DM114" s="91"/>
      <c r="DN114" s="91"/>
      <c r="DO114" s="91"/>
    </row>
    <row r="115" spans="2:119">
      <c r="B115" s="91"/>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91"/>
      <c r="BB115" s="91"/>
      <c r="BC115" s="91"/>
      <c r="BD115" s="91"/>
      <c r="BE115" s="91"/>
      <c r="BF115" s="91"/>
      <c r="BG115" s="91"/>
      <c r="BH115" s="91"/>
      <c r="BI115" s="91"/>
      <c r="BJ115" s="91"/>
      <c r="BK115" s="91"/>
      <c r="BL115" s="91"/>
      <c r="BM115" s="91"/>
      <c r="BN115" s="91"/>
      <c r="BO115" s="91"/>
      <c r="BP115" s="91"/>
      <c r="BQ115" s="91"/>
      <c r="BR115" s="91"/>
      <c r="BS115" s="91"/>
      <c r="BT115" s="91"/>
      <c r="BU115" s="91"/>
      <c r="BV115" s="91"/>
      <c r="BW115" s="91"/>
      <c r="BX115" s="91"/>
      <c r="BY115" s="91"/>
      <c r="BZ115" s="91"/>
      <c r="CA115" s="91"/>
      <c r="CB115" s="91"/>
      <c r="CC115" s="91"/>
      <c r="CD115" s="91"/>
      <c r="CE115" s="91"/>
      <c r="CF115" s="91"/>
      <c r="CG115" s="91"/>
      <c r="CH115" s="91"/>
      <c r="CI115" s="91"/>
      <c r="CJ115" s="91"/>
      <c r="CK115" s="91"/>
      <c r="CL115" s="91"/>
      <c r="CM115" s="91"/>
      <c r="CN115" s="91"/>
      <c r="CO115" s="91"/>
      <c r="CP115" s="91"/>
      <c r="CQ115" s="91"/>
      <c r="CR115" s="91"/>
      <c r="CS115" s="91"/>
      <c r="CT115" s="91"/>
      <c r="CU115" s="91"/>
      <c r="CV115" s="91"/>
      <c r="CW115" s="91"/>
      <c r="CX115" s="91"/>
      <c r="CY115" s="91"/>
      <c r="CZ115" s="91"/>
      <c r="DA115" s="91"/>
      <c r="DB115" s="91"/>
      <c r="DC115" s="91"/>
      <c r="DD115" s="91"/>
      <c r="DE115" s="91"/>
      <c r="DF115" s="91"/>
      <c r="DG115" s="91"/>
      <c r="DH115" s="91"/>
      <c r="DI115" s="91"/>
      <c r="DJ115" s="91"/>
      <c r="DK115" s="91"/>
      <c r="DL115" s="91"/>
      <c r="DM115" s="91"/>
      <c r="DN115" s="91"/>
      <c r="DO115" s="91"/>
    </row>
    <row r="117" spans="2:119">
      <c r="N117" t="e">
        <v>#NAME?</v>
      </c>
    </row>
  </sheetData>
  <sheetProtection formatColumns="0" autoFilter="0"/>
  <phoneticPr fontId="61" type="noConversion"/>
  <hyperlinks>
    <hyperlink ref="A1"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62030FF6-E3A6-47A0-9CAB-C1DAD624040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1"/>
  <dimension ref="A1:DU124"/>
  <sheetViews>
    <sheetView workbookViewId="0">
      <pane xSplit="1" ySplit="1" topLeftCell="CU62" activePane="bottomRight" state="frozen"/>
      <selection pane="topRight" activeCell="B1" sqref="B1"/>
      <selection pane="bottomLeft" activeCell="A2" sqref="A2"/>
      <selection pane="bottomRight" activeCell="Y2" sqref="Y2:DU102"/>
    </sheetView>
  </sheetViews>
  <sheetFormatPr baseColWidth="10" defaultColWidth="11.125" defaultRowHeight="14.25"/>
  <cols>
    <col min="1" max="1" width="5.5" style="25" customWidth="1"/>
    <col min="2" max="71" width="7.625" customWidth="1"/>
    <col min="72" max="72" width="7.625" style="34" customWidth="1"/>
    <col min="73" max="119" width="7.625" customWidth="1"/>
  </cols>
  <sheetData>
    <row r="1" spans="1:125" s="25" customFormat="1">
      <c r="A1" s="907"/>
      <c r="B1" s="907">
        <v>1900</v>
      </c>
      <c r="C1" s="907">
        <v>1901</v>
      </c>
      <c r="D1" s="907">
        <v>1902</v>
      </c>
      <c r="E1" s="907">
        <v>1903</v>
      </c>
      <c r="F1" s="907">
        <v>1904</v>
      </c>
      <c r="G1" s="907">
        <v>1905</v>
      </c>
      <c r="H1" s="907">
        <v>1906</v>
      </c>
      <c r="I1" s="907">
        <v>1907</v>
      </c>
      <c r="J1" s="907">
        <v>1908</v>
      </c>
      <c r="K1" s="907">
        <v>1909</v>
      </c>
      <c r="L1" s="907">
        <v>1910</v>
      </c>
      <c r="M1" s="907">
        <v>1911</v>
      </c>
      <c r="N1" s="907">
        <v>1912</v>
      </c>
      <c r="O1" s="907">
        <v>1913</v>
      </c>
      <c r="P1" s="907">
        <v>1914</v>
      </c>
      <c r="Q1" s="907">
        <v>1915</v>
      </c>
      <c r="R1" s="907">
        <v>1916</v>
      </c>
      <c r="S1" s="907">
        <v>1917</v>
      </c>
      <c r="T1" s="907">
        <v>1918</v>
      </c>
      <c r="U1" s="907">
        <v>1919</v>
      </c>
      <c r="V1" s="907">
        <v>1920</v>
      </c>
      <c r="W1" s="907">
        <v>1921</v>
      </c>
      <c r="X1" s="907">
        <v>1922</v>
      </c>
      <c r="Y1" s="907">
        <v>1923</v>
      </c>
      <c r="Z1" s="907">
        <v>1924</v>
      </c>
      <c r="AA1" s="907">
        <v>1925</v>
      </c>
      <c r="AB1" s="907">
        <v>1926</v>
      </c>
      <c r="AC1" s="907">
        <v>1927</v>
      </c>
      <c r="AD1" s="907">
        <v>1928</v>
      </c>
      <c r="AE1" s="907">
        <v>1929</v>
      </c>
      <c r="AF1" s="907">
        <v>1930</v>
      </c>
      <c r="AG1" s="907">
        <v>1931</v>
      </c>
      <c r="AH1" s="907">
        <v>1932</v>
      </c>
      <c r="AI1" s="907">
        <v>1933</v>
      </c>
      <c r="AJ1" s="907">
        <v>1934</v>
      </c>
      <c r="AK1" s="907">
        <v>1935</v>
      </c>
      <c r="AL1" s="907">
        <v>1936</v>
      </c>
      <c r="AM1" s="907">
        <v>1937</v>
      </c>
      <c r="AN1" s="907">
        <v>1938</v>
      </c>
      <c r="AO1" s="907">
        <v>1939</v>
      </c>
      <c r="AP1" s="907">
        <v>1940</v>
      </c>
      <c r="AQ1" s="907">
        <v>1941</v>
      </c>
      <c r="AR1" s="907">
        <v>1942</v>
      </c>
      <c r="AS1" s="907">
        <v>1943</v>
      </c>
      <c r="AT1" s="907">
        <v>1944</v>
      </c>
      <c r="AU1" s="907">
        <v>1945</v>
      </c>
      <c r="AV1" s="907">
        <v>1946</v>
      </c>
      <c r="AW1" s="907">
        <v>1947</v>
      </c>
      <c r="AX1" s="907">
        <v>1948</v>
      </c>
      <c r="AY1" s="907">
        <v>1949</v>
      </c>
      <c r="AZ1" s="907">
        <v>1950</v>
      </c>
      <c r="BA1" s="907">
        <v>1951</v>
      </c>
      <c r="BB1" s="907">
        <v>1952</v>
      </c>
      <c r="BC1" s="907">
        <v>1953</v>
      </c>
      <c r="BD1" s="907">
        <v>1954</v>
      </c>
      <c r="BE1" s="907">
        <v>1955</v>
      </c>
      <c r="BF1" s="907">
        <v>1956</v>
      </c>
      <c r="BG1" s="907">
        <v>1957</v>
      </c>
      <c r="BH1" s="907">
        <v>1958</v>
      </c>
      <c r="BI1" s="907">
        <v>1959</v>
      </c>
      <c r="BJ1" s="907">
        <v>1960</v>
      </c>
      <c r="BK1" s="907">
        <v>1961</v>
      </c>
      <c r="BL1" s="907">
        <v>1962</v>
      </c>
      <c r="BM1" s="907">
        <v>1963</v>
      </c>
      <c r="BN1" s="907">
        <v>1964</v>
      </c>
      <c r="BO1" s="907">
        <v>1965</v>
      </c>
      <c r="BP1" s="907">
        <v>1966</v>
      </c>
      <c r="BQ1" s="907">
        <v>1967</v>
      </c>
      <c r="BR1" s="907">
        <v>1968</v>
      </c>
      <c r="BS1" s="907">
        <v>1969</v>
      </c>
      <c r="BT1" s="907">
        <v>1970</v>
      </c>
      <c r="BU1" s="907">
        <v>1971</v>
      </c>
      <c r="BV1" s="907">
        <v>1972</v>
      </c>
      <c r="BW1" s="907">
        <v>1973</v>
      </c>
      <c r="BX1" s="907">
        <v>1974</v>
      </c>
      <c r="BY1" s="907">
        <v>1975</v>
      </c>
      <c r="BZ1" s="907">
        <v>1976</v>
      </c>
      <c r="CA1" s="907">
        <v>1977</v>
      </c>
      <c r="CB1" s="907">
        <v>1978</v>
      </c>
      <c r="CC1" s="907">
        <v>1979</v>
      </c>
      <c r="CD1" s="907">
        <v>1980</v>
      </c>
      <c r="CE1" s="907">
        <v>1981</v>
      </c>
      <c r="CF1" s="907">
        <v>1982</v>
      </c>
      <c r="CG1" s="907">
        <v>1983</v>
      </c>
      <c r="CH1" s="907">
        <v>1984</v>
      </c>
      <c r="CI1" s="907">
        <v>1985</v>
      </c>
      <c r="CJ1" s="907">
        <v>1986</v>
      </c>
      <c r="CK1" s="907">
        <v>1987</v>
      </c>
      <c r="CL1" s="907">
        <v>1988</v>
      </c>
      <c r="CM1" s="907">
        <v>1989</v>
      </c>
      <c r="CN1" s="907">
        <v>1990</v>
      </c>
      <c r="CO1" s="907">
        <v>1991</v>
      </c>
      <c r="CP1" s="907">
        <v>1992</v>
      </c>
      <c r="CQ1" s="907">
        <v>1993</v>
      </c>
      <c r="CR1" s="907">
        <v>1994</v>
      </c>
      <c r="CS1" s="907">
        <v>1995</v>
      </c>
      <c r="CT1" s="907">
        <v>1996</v>
      </c>
      <c r="CU1" s="907">
        <v>1997</v>
      </c>
      <c r="CV1" s="907">
        <v>1998</v>
      </c>
      <c r="CW1" s="907">
        <v>1999</v>
      </c>
      <c r="CX1" s="907">
        <v>2000</v>
      </c>
      <c r="CY1" s="907">
        <v>2001</v>
      </c>
      <c r="CZ1" s="907">
        <v>2002</v>
      </c>
      <c r="DA1" s="907">
        <v>2003</v>
      </c>
      <c r="DB1" s="907">
        <v>2004</v>
      </c>
      <c r="DC1" s="907">
        <v>2005</v>
      </c>
      <c r="DD1" s="907">
        <v>2006</v>
      </c>
      <c r="DE1" s="907">
        <v>2007</v>
      </c>
      <c r="DF1" s="907">
        <v>2008</v>
      </c>
      <c r="DG1" s="907">
        <v>2009</v>
      </c>
      <c r="DH1" s="907">
        <v>2010</v>
      </c>
      <c r="DI1" s="907">
        <v>2011</v>
      </c>
      <c r="DJ1" s="907">
        <v>2012</v>
      </c>
      <c r="DK1" s="907">
        <v>2013</v>
      </c>
      <c r="DL1" s="907">
        <v>2014</v>
      </c>
      <c r="DM1" s="907">
        <v>2015</v>
      </c>
      <c r="DN1" s="907">
        <v>2016</v>
      </c>
      <c r="DO1" s="907">
        <v>2017</v>
      </c>
      <c r="DP1" s="907">
        <v>2018</v>
      </c>
      <c r="DQ1" s="907">
        <v>2019</v>
      </c>
      <c r="DR1" s="907">
        <v>2020</v>
      </c>
      <c r="DS1" s="907">
        <v>2021</v>
      </c>
      <c r="DT1" s="907">
        <v>2022</v>
      </c>
      <c r="DU1" s="907">
        <v>2023</v>
      </c>
    </row>
    <row r="2" spans="1:125" s="127" customFormat="1" ht="12.75">
      <c r="A2" s="908">
        <v>0</v>
      </c>
      <c r="B2" s="905"/>
      <c r="C2" s="905"/>
      <c r="D2" s="905"/>
      <c r="E2" s="905"/>
      <c r="F2" s="905"/>
      <c r="G2" s="905"/>
      <c r="H2" s="905"/>
      <c r="I2" s="905"/>
      <c r="J2" s="905"/>
      <c r="K2" s="905"/>
      <c r="L2" s="905"/>
      <c r="M2" s="905"/>
      <c r="N2" s="905"/>
      <c r="O2" s="905"/>
      <c r="P2" s="905"/>
      <c r="Q2" s="905"/>
      <c r="R2" s="905"/>
      <c r="S2" s="905"/>
      <c r="T2" s="905"/>
      <c r="U2" s="905"/>
      <c r="V2" s="905"/>
      <c r="W2" s="905"/>
      <c r="X2" s="905"/>
      <c r="Y2" s="905">
        <v>62.502925008576327</v>
      </c>
      <c r="Z2" s="905">
        <v>64.35389395423789</v>
      </c>
      <c r="AA2" s="905">
        <v>64.79300100014558</v>
      </c>
      <c r="AB2" s="905">
        <v>65.402016747250087</v>
      </c>
      <c r="AC2" s="905">
        <v>66.126101366234423</v>
      </c>
      <c r="AD2" s="905">
        <v>66.85897466599387</v>
      </c>
      <c r="AE2" s="905">
        <v>66.904880396472294</v>
      </c>
      <c r="AF2" s="905">
        <v>68.009918991527584</v>
      </c>
      <c r="AG2" s="905">
        <v>68.520915498489018</v>
      </c>
      <c r="AH2" s="905">
        <v>68.933874193591208</v>
      </c>
      <c r="AI2" s="905">
        <v>69.360631265300569</v>
      </c>
      <c r="AJ2" s="905">
        <v>70.558925290417065</v>
      </c>
      <c r="AK2" s="905">
        <v>70.737163343919221</v>
      </c>
      <c r="AL2" s="905">
        <v>71.255085297594604</v>
      </c>
      <c r="AM2" s="905">
        <v>71.718768078624237</v>
      </c>
      <c r="AN2" s="905">
        <v>72.259045410058008</v>
      </c>
      <c r="AO2" s="905">
        <v>72.360477072619162</v>
      </c>
      <c r="AP2" s="905">
        <v>72.567486569029711</v>
      </c>
      <c r="AQ2" s="905">
        <v>72.708348440169814</v>
      </c>
      <c r="AR2" s="905">
        <v>72.865336959416538</v>
      </c>
      <c r="AS2" s="905">
        <v>72.422328862546067</v>
      </c>
      <c r="AT2" s="905">
        <v>71.822198248414566</v>
      </c>
      <c r="AU2" s="905">
        <v>70.84810788751723</v>
      </c>
      <c r="AV2" s="905">
        <v>71.177264833078368</v>
      </c>
      <c r="AW2" s="905">
        <v>71.672702899332208</v>
      </c>
      <c r="AX2" s="905">
        <v>73.481021527460484</v>
      </c>
      <c r="AY2" s="905">
        <v>75.017033238147818</v>
      </c>
      <c r="AZ2" s="905">
        <v>75.11732618915363</v>
      </c>
      <c r="BA2" s="905">
        <v>75.226036227643149</v>
      </c>
      <c r="BB2" s="905">
        <v>75.86685892055641</v>
      </c>
      <c r="BC2" s="905">
        <v>76.153986717199302</v>
      </c>
      <c r="BD2" s="905">
        <v>76.575621893468508</v>
      </c>
      <c r="BE2" s="905">
        <v>76.772962954389129</v>
      </c>
      <c r="BF2" s="905">
        <v>77.210439702327619</v>
      </c>
      <c r="BG2" s="905">
        <v>77.428773747102355</v>
      </c>
      <c r="BH2" s="905">
        <v>77.852497379564895</v>
      </c>
      <c r="BI2" s="905">
        <v>78.139363662817857</v>
      </c>
      <c r="BJ2" s="905">
        <v>78.453303870737969</v>
      </c>
      <c r="BK2" s="905">
        <v>78.861128081838558</v>
      </c>
      <c r="BL2" s="905">
        <v>79.323388852327867</v>
      </c>
      <c r="BM2" s="905">
        <v>79.740568226436437</v>
      </c>
      <c r="BN2" s="905">
        <v>80.139855910858074</v>
      </c>
      <c r="BO2" s="905">
        <v>80.471336652057502</v>
      </c>
      <c r="BP2" s="905">
        <v>80.755216140804961</v>
      </c>
      <c r="BQ2" s="905">
        <v>81.008813050742418</v>
      </c>
      <c r="BR2" s="905">
        <v>81.25187919021775</v>
      </c>
      <c r="BS2" s="905">
        <v>81.393779941528408</v>
      </c>
      <c r="BT2" s="905">
        <v>81.619359376429415</v>
      </c>
      <c r="BU2" s="905">
        <v>81.81121546821656</v>
      </c>
      <c r="BV2" s="905">
        <v>82.059999168329313</v>
      </c>
      <c r="BW2" s="905">
        <v>82.274215627785338</v>
      </c>
      <c r="BX2" s="905">
        <v>82.529411169157214</v>
      </c>
      <c r="BY2" s="905">
        <v>82.795517774251124</v>
      </c>
      <c r="BZ2" s="905">
        <v>83.16614280242527</v>
      </c>
      <c r="CA2" s="905">
        <v>83.455833763945549</v>
      </c>
      <c r="CB2" s="905">
        <v>83.672900078400019</v>
      </c>
      <c r="CC2" s="905">
        <v>83.935640505815684</v>
      </c>
      <c r="CD2" s="905">
        <v>84.172908869117194</v>
      </c>
      <c r="CE2" s="905">
        <v>84.392586237411763</v>
      </c>
      <c r="CF2" s="905">
        <v>84.651358643749091</v>
      </c>
      <c r="CG2" s="905">
        <v>84.879640118403856</v>
      </c>
      <c r="CH2" s="905">
        <v>85.097134534092135</v>
      </c>
      <c r="CI2" s="905">
        <v>85.348920404235571</v>
      </c>
      <c r="CJ2" s="905">
        <v>85.524346113267711</v>
      </c>
      <c r="CK2" s="905">
        <v>85.725046323031933</v>
      </c>
      <c r="CL2" s="905">
        <v>85.971305700740615</v>
      </c>
      <c r="CM2" s="905">
        <v>86.150110541831452</v>
      </c>
      <c r="CN2" s="905">
        <v>86.358838245638736</v>
      </c>
      <c r="CO2" s="905">
        <v>86.563094316961497</v>
      </c>
      <c r="CP2" s="905">
        <v>86.762348343036024</v>
      </c>
      <c r="CQ2" s="905">
        <v>86.955542541688246</v>
      </c>
      <c r="CR2" s="905">
        <v>87.11530271990901</v>
      </c>
      <c r="CS2" s="905">
        <v>87.308714223663401</v>
      </c>
      <c r="CT2" s="905">
        <v>87.47161630839318</v>
      </c>
      <c r="CU2" s="905">
        <v>87.640741058503721</v>
      </c>
      <c r="CV2" s="905">
        <v>87.792291797096624</v>
      </c>
      <c r="CW2" s="905">
        <v>87.947526246146424</v>
      </c>
      <c r="CX2" s="905">
        <v>88.121183810279149</v>
      </c>
      <c r="CY2" s="905">
        <v>88.260036186776773</v>
      </c>
      <c r="CZ2" s="905">
        <v>88.402993646163594</v>
      </c>
      <c r="DA2" s="905">
        <v>88.537926933989155</v>
      </c>
      <c r="DB2" s="905">
        <v>88.704970566185125</v>
      </c>
      <c r="DC2" s="905">
        <v>88.854796704506299</v>
      </c>
      <c r="DD2" s="905">
        <v>88.994040832060733</v>
      </c>
      <c r="DE2" s="905">
        <v>89.136231995631704</v>
      </c>
      <c r="DF2" s="905">
        <v>89.306165301600771</v>
      </c>
      <c r="DG2" s="905">
        <v>89.43439487241335</v>
      </c>
      <c r="DH2" s="905">
        <v>89.575455897099914</v>
      </c>
      <c r="DI2" s="905">
        <v>89.696820915866766</v>
      </c>
      <c r="DJ2" s="905">
        <v>89.853089869076356</v>
      </c>
      <c r="DK2" s="905">
        <v>89.990863310759806</v>
      </c>
      <c r="DL2" s="905">
        <v>90.112910345482533</v>
      </c>
      <c r="DM2" s="905">
        <v>90.236191883919162</v>
      </c>
      <c r="DN2" s="905">
        <v>90.355340398759381</v>
      </c>
      <c r="DO2" s="905">
        <v>90.496498063005788</v>
      </c>
      <c r="DP2" s="905">
        <v>90.634105427934117</v>
      </c>
      <c r="DQ2" s="905">
        <v>90.755050106653172</v>
      </c>
      <c r="DR2" s="905">
        <v>90.888907775285617</v>
      </c>
      <c r="DS2" s="905">
        <v>91.010056956235189</v>
      </c>
      <c r="DT2" s="905">
        <v>91.142545609211538</v>
      </c>
      <c r="DU2" s="905">
        <v>91.273329723534445</v>
      </c>
    </row>
    <row r="3" spans="1:125" s="127" customFormat="1" ht="12.75">
      <c r="A3" s="908">
        <v>1</v>
      </c>
      <c r="B3" s="905"/>
      <c r="C3" s="905"/>
      <c r="D3" s="905"/>
      <c r="E3" s="905"/>
      <c r="F3" s="905"/>
      <c r="G3" s="905"/>
      <c r="H3" s="905"/>
      <c r="I3" s="905"/>
      <c r="J3" s="905"/>
      <c r="K3" s="905"/>
      <c r="L3" s="905"/>
      <c r="M3" s="905"/>
      <c r="N3" s="905"/>
      <c r="O3" s="905"/>
      <c r="P3" s="905"/>
      <c r="Q3" s="905"/>
      <c r="R3" s="905"/>
      <c r="S3" s="905"/>
      <c r="T3" s="905"/>
      <c r="U3" s="905"/>
      <c r="V3" s="905"/>
      <c r="W3" s="905"/>
      <c r="X3" s="905"/>
      <c r="Y3" s="905">
        <v>70.878417117573434</v>
      </c>
      <c r="Z3" s="905">
        <v>71.11448389201388</v>
      </c>
      <c r="AA3" s="905">
        <v>71.322687667074476</v>
      </c>
      <c r="AB3" s="905">
        <v>71.721800190683581</v>
      </c>
      <c r="AC3" s="905">
        <v>72.12126717825798</v>
      </c>
      <c r="AD3" s="905">
        <v>72.327650585718487</v>
      </c>
      <c r="AE3" s="905">
        <v>72.86007418013584</v>
      </c>
      <c r="AF3" s="905">
        <v>73.200502306342585</v>
      </c>
      <c r="AG3" s="905">
        <v>73.507435494994752</v>
      </c>
      <c r="AH3" s="905">
        <v>73.796613097745791</v>
      </c>
      <c r="AI3" s="905">
        <v>74.0554674088132</v>
      </c>
      <c r="AJ3" s="905">
        <v>74.499371617754321</v>
      </c>
      <c r="AK3" s="905">
        <v>74.860048529360526</v>
      </c>
      <c r="AL3" s="905">
        <v>75.245005760449558</v>
      </c>
      <c r="AM3" s="905">
        <v>75.600376601445703</v>
      </c>
      <c r="AN3" s="905">
        <v>75.855299560823113</v>
      </c>
      <c r="AO3" s="905">
        <v>76.065880535455463</v>
      </c>
      <c r="AP3" s="905">
        <v>76.286966787421761</v>
      </c>
      <c r="AQ3" s="905">
        <v>76.437769064616901</v>
      </c>
      <c r="AR3" s="905">
        <v>76.606319008745274</v>
      </c>
      <c r="AS3" s="905">
        <v>76.640105871974185</v>
      </c>
      <c r="AT3" s="905">
        <v>76.761935943949766</v>
      </c>
      <c r="AU3" s="905">
        <v>76.998434378448508</v>
      </c>
      <c r="AV3" s="905">
        <v>77.257735475245028</v>
      </c>
      <c r="AW3" s="905">
        <v>77.803777349145122</v>
      </c>
      <c r="AX3" s="905">
        <v>78.248921577839894</v>
      </c>
      <c r="AY3" s="905">
        <v>78.388266093904832</v>
      </c>
      <c r="AZ3" s="905">
        <v>78.494151284049579</v>
      </c>
      <c r="BA3" s="905">
        <v>78.608974946408694</v>
      </c>
      <c r="BB3" s="905">
        <v>78.755708657671292</v>
      </c>
      <c r="BC3" s="905">
        <v>78.896081661280419</v>
      </c>
      <c r="BD3" s="905">
        <v>79.026379235031584</v>
      </c>
      <c r="BE3" s="905">
        <v>79.190348380756717</v>
      </c>
      <c r="BF3" s="905">
        <v>79.383203938182163</v>
      </c>
      <c r="BG3" s="905">
        <v>79.555057798055657</v>
      </c>
      <c r="BH3" s="905">
        <v>79.813069603532057</v>
      </c>
      <c r="BI3" s="905">
        <v>80.005004377966429</v>
      </c>
      <c r="BJ3" s="905">
        <v>80.228179609353717</v>
      </c>
      <c r="BK3" s="905">
        <v>80.439569814028985</v>
      </c>
      <c r="BL3" s="905">
        <v>80.713326254413317</v>
      </c>
      <c r="BM3" s="905">
        <v>80.983417473235875</v>
      </c>
      <c r="BN3" s="905">
        <v>81.194874995139656</v>
      </c>
      <c r="BO3" s="905">
        <v>81.421090975782107</v>
      </c>
      <c r="BP3" s="905">
        <v>81.648142088307594</v>
      </c>
      <c r="BQ3" s="905">
        <v>81.865365399495005</v>
      </c>
      <c r="BR3" s="905">
        <v>82.054987245128672</v>
      </c>
      <c r="BS3" s="905">
        <v>82.25972630869191</v>
      </c>
      <c r="BT3" s="905">
        <v>82.466704010480328</v>
      </c>
      <c r="BU3" s="905">
        <v>82.620811258397168</v>
      </c>
      <c r="BV3" s="905">
        <v>82.82733594259966</v>
      </c>
      <c r="BW3" s="905">
        <v>83.012575806413679</v>
      </c>
      <c r="BX3" s="905">
        <v>83.195313187221785</v>
      </c>
      <c r="BY3" s="905">
        <v>83.369244712069502</v>
      </c>
      <c r="BZ3" s="905">
        <v>83.536276315460555</v>
      </c>
      <c r="CA3" s="905">
        <v>83.70119405496385</v>
      </c>
      <c r="CB3" s="905">
        <v>83.872075418728016</v>
      </c>
      <c r="CC3" s="905">
        <v>84.04488911966672</v>
      </c>
      <c r="CD3" s="905">
        <v>84.232657021463609</v>
      </c>
      <c r="CE3" s="905">
        <v>84.394063007920977</v>
      </c>
      <c r="CF3" s="905">
        <v>84.575670514425354</v>
      </c>
      <c r="CG3" s="905">
        <v>84.749581861811208</v>
      </c>
      <c r="CH3" s="905">
        <v>84.922700374681654</v>
      </c>
      <c r="CI3" s="905">
        <v>85.126738693804413</v>
      </c>
      <c r="CJ3" s="905">
        <v>85.266986433872916</v>
      </c>
      <c r="CK3" s="905">
        <v>85.442419027795765</v>
      </c>
      <c r="CL3" s="905">
        <v>85.62749609610843</v>
      </c>
      <c r="CM3" s="905">
        <v>85.793342034453062</v>
      </c>
      <c r="CN3" s="905">
        <v>85.96809890156058</v>
      </c>
      <c r="CO3" s="905">
        <v>86.129419303809513</v>
      </c>
      <c r="CP3" s="905">
        <v>86.28808126152633</v>
      </c>
      <c r="CQ3" s="905">
        <v>86.445020430613084</v>
      </c>
      <c r="CR3" s="905">
        <v>86.594462517089113</v>
      </c>
      <c r="CS3" s="905">
        <v>86.76360453525001</v>
      </c>
      <c r="CT3" s="905">
        <v>86.908093387288545</v>
      </c>
      <c r="CU3" s="905">
        <v>87.059424303911157</v>
      </c>
      <c r="CV3" s="905">
        <v>87.197769804633026</v>
      </c>
      <c r="CW3" s="905">
        <v>87.342197710450151</v>
      </c>
      <c r="CX3" s="905">
        <v>87.496946208122495</v>
      </c>
      <c r="CY3" s="905">
        <v>87.634602773956686</v>
      </c>
      <c r="CZ3" s="905">
        <v>87.774792948723388</v>
      </c>
      <c r="DA3" s="905">
        <v>87.915240730690982</v>
      </c>
      <c r="DB3" s="905">
        <v>88.06433348352607</v>
      </c>
      <c r="DC3" s="905">
        <v>88.194437605487423</v>
      </c>
      <c r="DD3" s="905">
        <v>88.336682200970444</v>
      </c>
      <c r="DE3" s="905">
        <v>88.477724781053226</v>
      </c>
      <c r="DF3" s="905">
        <v>88.617769996702179</v>
      </c>
      <c r="DG3" s="905">
        <v>88.748064926720701</v>
      </c>
      <c r="DH3" s="905">
        <v>88.884862674375228</v>
      </c>
      <c r="DI3" s="905">
        <v>89.01605698855785</v>
      </c>
      <c r="DJ3" s="905">
        <v>89.145581573980053</v>
      </c>
      <c r="DK3" s="905">
        <v>89.28100461097938</v>
      </c>
      <c r="DL3" s="905">
        <v>89.406560524323766</v>
      </c>
      <c r="DM3" s="905">
        <v>89.531644426413322</v>
      </c>
      <c r="DN3" s="905">
        <v>89.662568085950269</v>
      </c>
      <c r="DO3" s="905">
        <v>89.791207365897293</v>
      </c>
      <c r="DP3" s="905">
        <v>89.919517251412373</v>
      </c>
      <c r="DQ3" s="905">
        <v>90.042930025743004</v>
      </c>
      <c r="DR3" s="905">
        <v>90.161611384662308</v>
      </c>
      <c r="DS3" s="905">
        <v>90.285942124291921</v>
      </c>
      <c r="DT3" s="905">
        <v>90.407050018879531</v>
      </c>
      <c r="DU3" s="905">
        <v>90.526921626240892</v>
      </c>
    </row>
    <row r="4" spans="1:125" s="127" customFormat="1" ht="12.75">
      <c r="A4" s="908">
        <v>2</v>
      </c>
      <c r="B4" s="905"/>
      <c r="C4" s="905"/>
      <c r="D4" s="905"/>
      <c r="E4" s="905"/>
      <c r="F4" s="905"/>
      <c r="G4" s="905"/>
      <c r="H4" s="905"/>
      <c r="I4" s="905"/>
      <c r="J4" s="905"/>
      <c r="K4" s="905"/>
      <c r="L4" s="905"/>
      <c r="M4" s="905"/>
      <c r="N4" s="905"/>
      <c r="O4" s="905"/>
      <c r="P4" s="905"/>
      <c r="Q4" s="905"/>
      <c r="R4" s="905"/>
      <c r="S4" s="905"/>
      <c r="T4" s="905"/>
      <c r="U4" s="905"/>
      <c r="V4" s="905"/>
      <c r="W4" s="905"/>
      <c r="X4" s="905"/>
      <c r="Y4" s="905">
        <v>70.988689644478683</v>
      </c>
      <c r="Z4" s="905">
        <v>71.228466420227591</v>
      </c>
      <c r="AA4" s="905">
        <v>71.439968303965301</v>
      </c>
      <c r="AB4" s="905">
        <v>71.755873187055968</v>
      </c>
      <c r="AC4" s="905">
        <v>71.965015075191445</v>
      </c>
      <c r="AD4" s="905">
        <v>72.231628208449536</v>
      </c>
      <c r="AE4" s="905">
        <v>72.55749384382375</v>
      </c>
      <c r="AF4" s="905">
        <v>72.874698419561895</v>
      </c>
      <c r="AG4" s="905">
        <v>73.149674781725892</v>
      </c>
      <c r="AH4" s="905">
        <v>73.44142747529466</v>
      </c>
      <c r="AI4" s="905">
        <v>73.70257215951888</v>
      </c>
      <c r="AJ4" s="905">
        <v>74.07501065473825</v>
      </c>
      <c r="AK4" s="905">
        <v>74.420430602724352</v>
      </c>
      <c r="AL4" s="905">
        <v>74.793334861986807</v>
      </c>
      <c r="AM4" s="905">
        <v>75.116878747413182</v>
      </c>
      <c r="AN4" s="905">
        <v>75.384463221738386</v>
      </c>
      <c r="AO4" s="905">
        <v>75.596512152559797</v>
      </c>
      <c r="AP4" s="905">
        <v>75.81917487197552</v>
      </c>
      <c r="AQ4" s="905">
        <v>75.971071753280796</v>
      </c>
      <c r="AR4" s="905">
        <v>76.194750524913374</v>
      </c>
      <c r="AS4" s="905">
        <v>76.309801496336576</v>
      </c>
      <c r="AT4" s="905">
        <v>76.568358063409448</v>
      </c>
      <c r="AU4" s="905">
        <v>76.762627061905619</v>
      </c>
      <c r="AV4" s="905">
        <v>77.024528294209361</v>
      </c>
      <c r="AW4" s="905">
        <v>77.423642312385283</v>
      </c>
      <c r="AX4" s="905">
        <v>77.550902517903353</v>
      </c>
      <c r="AY4" s="905">
        <v>77.690777882174018</v>
      </c>
      <c r="AZ4" s="905">
        <v>77.797055065181667</v>
      </c>
      <c r="BA4" s="905">
        <v>77.889211702322427</v>
      </c>
      <c r="BB4" s="905">
        <v>78.020017440943661</v>
      </c>
      <c r="BC4" s="905">
        <v>78.132790990091337</v>
      </c>
      <c r="BD4" s="905">
        <v>78.272508162845355</v>
      </c>
      <c r="BE4" s="905">
        <v>78.419083962106043</v>
      </c>
      <c r="BF4" s="905">
        <v>78.614500604532225</v>
      </c>
      <c r="BG4" s="905">
        <v>78.762973902380651</v>
      </c>
      <c r="BH4" s="905">
        <v>79.024770520801724</v>
      </c>
      <c r="BI4" s="905">
        <v>79.195382376678111</v>
      </c>
      <c r="BJ4" s="905">
        <v>79.409990366520532</v>
      </c>
      <c r="BK4" s="905">
        <v>79.614805092265613</v>
      </c>
      <c r="BL4" s="905">
        <v>79.87544854952651</v>
      </c>
      <c r="BM4" s="905">
        <v>80.128074977257711</v>
      </c>
      <c r="BN4" s="905">
        <v>80.341206379077462</v>
      </c>
      <c r="BO4" s="905">
        <v>80.559837835100524</v>
      </c>
      <c r="BP4" s="905">
        <v>80.783430693361083</v>
      </c>
      <c r="BQ4" s="905">
        <v>80.992520373152161</v>
      </c>
      <c r="BR4" s="905">
        <v>81.193847980001124</v>
      </c>
      <c r="BS4" s="905">
        <v>81.381785814060621</v>
      </c>
      <c r="BT4" s="905">
        <v>81.578914015922436</v>
      </c>
      <c r="BU4" s="905">
        <v>81.727011862166847</v>
      </c>
      <c r="BV4" s="905">
        <v>81.92519619105731</v>
      </c>
      <c r="BW4" s="905">
        <v>82.110835987297179</v>
      </c>
      <c r="BX4" s="905">
        <v>82.292519726179066</v>
      </c>
      <c r="BY4" s="905">
        <v>82.457090182354889</v>
      </c>
      <c r="BZ4" s="905">
        <v>82.621304065414051</v>
      </c>
      <c r="CA4" s="905">
        <v>82.785354492671658</v>
      </c>
      <c r="CB4" s="905">
        <v>82.952579581902967</v>
      </c>
      <c r="CC4" s="905">
        <v>83.12254272763235</v>
      </c>
      <c r="CD4" s="905">
        <v>83.308611639518261</v>
      </c>
      <c r="CE4" s="905">
        <v>83.469943493292035</v>
      </c>
      <c r="CF4" s="905">
        <v>83.646496814433817</v>
      </c>
      <c r="CG4" s="905">
        <v>83.816969848991292</v>
      </c>
      <c r="CH4" s="905">
        <v>83.990732375475744</v>
      </c>
      <c r="CI4" s="905">
        <v>84.185516904170385</v>
      </c>
      <c r="CJ4" s="905">
        <v>84.329712848928693</v>
      </c>
      <c r="CK4" s="905">
        <v>84.49913683425072</v>
      </c>
      <c r="CL4" s="905">
        <v>84.681244633494401</v>
      </c>
      <c r="CM4" s="905">
        <v>84.847731954395556</v>
      </c>
      <c r="CN4" s="905">
        <v>85.017889935509075</v>
      </c>
      <c r="CO4" s="905">
        <v>85.174567581673443</v>
      </c>
      <c r="CP4" s="905">
        <v>85.333189925127044</v>
      </c>
      <c r="CQ4" s="905">
        <v>85.49047949208861</v>
      </c>
      <c r="CR4" s="905">
        <v>85.636881951240355</v>
      </c>
      <c r="CS4" s="905">
        <v>85.798376260851867</v>
      </c>
      <c r="CT4" s="905">
        <v>85.948711266898258</v>
      </c>
      <c r="CU4" s="905">
        <v>86.095380606407957</v>
      </c>
      <c r="CV4" s="905">
        <v>86.230896039743385</v>
      </c>
      <c r="CW4" s="905">
        <v>86.37863249491626</v>
      </c>
      <c r="CX4" s="905">
        <v>86.530543682372851</v>
      </c>
      <c r="CY4" s="905">
        <v>86.670976605021664</v>
      </c>
      <c r="CZ4" s="905">
        <v>86.808459420378455</v>
      </c>
      <c r="DA4" s="905">
        <v>86.945931129911145</v>
      </c>
      <c r="DB4" s="905">
        <v>87.090122713372438</v>
      </c>
      <c r="DC4" s="905">
        <v>87.224425363548306</v>
      </c>
      <c r="DD4" s="905">
        <v>87.36387916725144</v>
      </c>
      <c r="DE4" s="905">
        <v>87.503437961596603</v>
      </c>
      <c r="DF4" s="905">
        <v>87.643279890798595</v>
      </c>
      <c r="DG4" s="905">
        <v>87.776316249167309</v>
      </c>
      <c r="DH4" s="905">
        <v>87.906531600478417</v>
      </c>
      <c r="DI4" s="905">
        <v>88.040085592385765</v>
      </c>
      <c r="DJ4" s="905">
        <v>88.169164678553898</v>
      </c>
      <c r="DK4" s="905">
        <v>88.30258138375541</v>
      </c>
      <c r="DL4" s="905">
        <v>88.430447810659473</v>
      </c>
      <c r="DM4" s="905">
        <v>88.55503134975767</v>
      </c>
      <c r="DN4" s="905">
        <v>88.686202282158035</v>
      </c>
      <c r="DO4" s="905">
        <v>88.8128564069753</v>
      </c>
      <c r="DP4" s="905">
        <v>88.938742181407946</v>
      </c>
      <c r="DQ4" s="905">
        <v>89.060616058324584</v>
      </c>
      <c r="DR4" s="905">
        <v>89.181286265133082</v>
      </c>
      <c r="DS4" s="905">
        <v>89.302928394167139</v>
      </c>
      <c r="DT4" s="905">
        <v>89.42334945332351</v>
      </c>
      <c r="DU4" s="905">
        <v>89.542561859762884</v>
      </c>
    </row>
    <row r="5" spans="1:125" s="127" customFormat="1" ht="12.75">
      <c r="A5" s="908">
        <v>3</v>
      </c>
      <c r="B5" s="905"/>
      <c r="C5" s="905"/>
      <c r="D5" s="905"/>
      <c r="E5" s="905"/>
      <c r="F5" s="905"/>
      <c r="G5" s="905"/>
      <c r="H5" s="905"/>
      <c r="I5" s="905"/>
      <c r="J5" s="905"/>
      <c r="K5" s="905"/>
      <c r="L5" s="905"/>
      <c r="M5" s="905"/>
      <c r="N5" s="905"/>
      <c r="O5" s="905"/>
      <c r="P5" s="905"/>
      <c r="Q5" s="905"/>
      <c r="R5" s="905"/>
      <c r="S5" s="905"/>
      <c r="T5" s="905"/>
      <c r="U5" s="905"/>
      <c r="V5" s="905"/>
      <c r="W5" s="905"/>
      <c r="X5" s="905"/>
      <c r="Y5" s="905">
        <v>70.416707172333759</v>
      </c>
      <c r="Z5" s="905">
        <v>70.657933028575215</v>
      </c>
      <c r="AA5" s="905">
        <v>70.897838726291596</v>
      </c>
      <c r="AB5" s="905">
        <v>71.16251665356009</v>
      </c>
      <c r="AC5" s="905">
        <v>71.429654886716804</v>
      </c>
      <c r="AD5" s="905">
        <v>71.615181467617575</v>
      </c>
      <c r="AE5" s="905">
        <v>71.888648587257734</v>
      </c>
      <c r="AF5" s="905">
        <v>72.181941488601495</v>
      </c>
      <c r="AG5" s="905">
        <v>72.458095703595433</v>
      </c>
      <c r="AH5" s="905">
        <v>72.751102789949186</v>
      </c>
      <c r="AI5" s="905">
        <v>73.064601302685219</v>
      </c>
      <c r="AJ5" s="905">
        <v>73.45790087343498</v>
      </c>
      <c r="AK5" s="905">
        <v>73.763738759124976</v>
      </c>
      <c r="AL5" s="905">
        <v>74.115990723623554</v>
      </c>
      <c r="AM5" s="905">
        <v>74.463096019542917</v>
      </c>
      <c r="AN5" s="905">
        <v>74.731927459387336</v>
      </c>
      <c r="AO5" s="905">
        <v>74.944951732813792</v>
      </c>
      <c r="AP5" s="905">
        <v>75.168666797125184</v>
      </c>
      <c r="AQ5" s="905">
        <v>75.356500063937347</v>
      </c>
      <c r="AR5" s="905">
        <v>75.634420175998528</v>
      </c>
      <c r="AS5" s="905">
        <v>75.838847196573028</v>
      </c>
      <c r="AT5" s="905">
        <v>75.970421371835585</v>
      </c>
      <c r="AU5" s="905">
        <v>76.165723690628198</v>
      </c>
      <c r="AV5" s="905">
        <v>76.288205657608216</v>
      </c>
      <c r="AW5" s="905">
        <v>76.600880319144721</v>
      </c>
      <c r="AX5" s="905">
        <v>76.728440669777314</v>
      </c>
      <c r="AY5" s="905">
        <v>76.868632594731594</v>
      </c>
      <c r="AZ5" s="905">
        <v>76.934190782955795</v>
      </c>
      <c r="BA5" s="905">
        <v>77.021176563371228</v>
      </c>
      <c r="BB5" s="905">
        <v>77.149395650171343</v>
      </c>
      <c r="BC5" s="905">
        <v>77.260099011894226</v>
      </c>
      <c r="BD5" s="905">
        <v>77.387412934693955</v>
      </c>
      <c r="BE5" s="905">
        <v>77.535481262384593</v>
      </c>
      <c r="BF5" s="905">
        <v>77.719519543699903</v>
      </c>
      <c r="BG5" s="905">
        <v>77.873257227846267</v>
      </c>
      <c r="BH5" s="905">
        <v>78.126094746764849</v>
      </c>
      <c r="BI5" s="905">
        <v>78.292378492490599</v>
      </c>
      <c r="BJ5" s="905">
        <v>78.50912079951857</v>
      </c>
      <c r="BK5" s="905">
        <v>78.705826653593519</v>
      </c>
      <c r="BL5" s="905">
        <v>78.959129038791573</v>
      </c>
      <c r="BM5" s="905">
        <v>79.209554058785201</v>
      </c>
      <c r="BN5" s="905">
        <v>79.423805789667853</v>
      </c>
      <c r="BO5" s="905">
        <v>79.632606150461555</v>
      </c>
      <c r="BP5" s="905">
        <v>79.857600091378529</v>
      </c>
      <c r="BQ5" s="905">
        <v>80.070733285791135</v>
      </c>
      <c r="BR5" s="905">
        <v>80.26430908828884</v>
      </c>
      <c r="BS5" s="905">
        <v>80.452048787537223</v>
      </c>
      <c r="BT5" s="905">
        <v>80.642426703829443</v>
      </c>
      <c r="BU5" s="905">
        <v>80.790814915324432</v>
      </c>
      <c r="BV5" s="905">
        <v>80.991042405753433</v>
      </c>
      <c r="BW5" s="905">
        <v>81.170407941228902</v>
      </c>
      <c r="BX5" s="905">
        <v>81.348450007140883</v>
      </c>
      <c r="BY5" s="905">
        <v>81.510919524516837</v>
      </c>
      <c r="BZ5" s="905">
        <v>81.674851203110094</v>
      </c>
      <c r="CA5" s="905">
        <v>81.835256011842034</v>
      </c>
      <c r="CB5" s="905">
        <v>81.999325071901922</v>
      </c>
      <c r="CC5" s="905">
        <v>82.170303854258734</v>
      </c>
      <c r="CD5" s="905">
        <v>82.350810122094913</v>
      </c>
      <c r="CE5" s="905">
        <v>82.509385958199175</v>
      </c>
      <c r="CF5" s="905">
        <v>82.685303475547215</v>
      </c>
      <c r="CG5" s="905">
        <v>82.854913041370025</v>
      </c>
      <c r="CH5" s="905">
        <v>83.027458384397647</v>
      </c>
      <c r="CI5" s="905">
        <v>83.221158721729807</v>
      </c>
      <c r="CJ5" s="905">
        <v>83.368204006449758</v>
      </c>
      <c r="CK5" s="905">
        <v>83.532371265147916</v>
      </c>
      <c r="CL5" s="905">
        <v>83.713898888519537</v>
      </c>
      <c r="CM5" s="905">
        <v>83.880204795005412</v>
      </c>
      <c r="CN5" s="905">
        <v>84.043533055662863</v>
      </c>
      <c r="CO5" s="905">
        <v>84.202621371617198</v>
      </c>
      <c r="CP5" s="905">
        <v>84.362192071013453</v>
      </c>
      <c r="CQ5" s="905">
        <v>84.516421410191413</v>
      </c>
      <c r="CR5" s="905">
        <v>84.65884576893572</v>
      </c>
      <c r="CS5" s="905">
        <v>84.821526545953247</v>
      </c>
      <c r="CT5" s="905">
        <v>84.97184760035347</v>
      </c>
      <c r="CU5" s="905">
        <v>85.116828398517555</v>
      </c>
      <c r="CV5" s="905">
        <v>85.253000541508271</v>
      </c>
      <c r="CW5" s="905">
        <v>85.398443004935672</v>
      </c>
      <c r="CX5" s="905">
        <v>85.545772603761378</v>
      </c>
      <c r="CY5" s="905">
        <v>85.689083772726292</v>
      </c>
      <c r="CZ5" s="905">
        <v>85.825739022715467</v>
      </c>
      <c r="DA5" s="905">
        <v>85.962383917839276</v>
      </c>
      <c r="DB5" s="905">
        <v>86.104821481076144</v>
      </c>
      <c r="DC5" s="905">
        <v>86.241647653729629</v>
      </c>
      <c r="DD5" s="905">
        <v>86.380019803572694</v>
      </c>
      <c r="DE5" s="905">
        <v>86.51780649285169</v>
      </c>
      <c r="DF5" s="905">
        <v>86.657815896701791</v>
      </c>
      <c r="DG5" s="905">
        <v>86.790477017996551</v>
      </c>
      <c r="DH5" s="905">
        <v>86.919596866702477</v>
      </c>
      <c r="DI5" s="905">
        <v>87.048815310362158</v>
      </c>
      <c r="DJ5" s="905">
        <v>87.181328671964451</v>
      </c>
      <c r="DK5" s="905">
        <v>87.315666592114368</v>
      </c>
      <c r="DL5" s="905">
        <v>87.443012529604104</v>
      </c>
      <c r="DM5" s="905">
        <v>87.567382916153576</v>
      </c>
      <c r="DN5" s="905">
        <v>87.698704039029906</v>
      </c>
      <c r="DO5" s="905">
        <v>87.82386819124352</v>
      </c>
      <c r="DP5" s="905">
        <v>87.94772891385297</v>
      </c>
      <c r="DQ5" s="905">
        <v>88.071240608688043</v>
      </c>
      <c r="DR5" s="905">
        <v>88.193603799205874</v>
      </c>
      <c r="DS5" s="905">
        <v>88.314753550661834</v>
      </c>
      <c r="DT5" s="905">
        <v>88.434701807273825</v>
      </c>
      <c r="DU5" s="905">
        <v>88.553460214633787</v>
      </c>
    </row>
    <row r="6" spans="1:125" s="127" customFormat="1" ht="12.75">
      <c r="A6" s="908">
        <v>4</v>
      </c>
      <c r="B6" s="905"/>
      <c r="C6" s="905"/>
      <c r="D6" s="905"/>
      <c r="E6" s="905"/>
      <c r="F6" s="905"/>
      <c r="G6" s="905"/>
      <c r="H6" s="905"/>
      <c r="I6" s="905"/>
      <c r="J6" s="905"/>
      <c r="K6" s="905"/>
      <c r="L6" s="905"/>
      <c r="M6" s="905"/>
      <c r="N6" s="905"/>
      <c r="O6" s="905"/>
      <c r="P6" s="905"/>
      <c r="Q6" s="905"/>
      <c r="R6" s="905"/>
      <c r="S6" s="905"/>
      <c r="T6" s="905"/>
      <c r="U6" s="905"/>
      <c r="V6" s="905"/>
      <c r="W6" s="905"/>
      <c r="X6" s="905"/>
      <c r="Y6" s="905">
        <v>69.684818696097793</v>
      </c>
      <c r="Z6" s="905">
        <v>69.943860560723238</v>
      </c>
      <c r="AA6" s="905">
        <v>70.173887469649998</v>
      </c>
      <c r="AB6" s="905">
        <v>70.478275773783594</v>
      </c>
      <c r="AC6" s="905">
        <v>70.711588463191688</v>
      </c>
      <c r="AD6" s="905">
        <v>70.858168079856711</v>
      </c>
      <c r="AE6" s="905">
        <v>71.113951914997713</v>
      </c>
      <c r="AF6" s="905">
        <v>71.40817402930027</v>
      </c>
      <c r="AG6" s="905">
        <v>71.68521122163034</v>
      </c>
      <c r="AH6" s="905">
        <v>72.016777628026858</v>
      </c>
      <c r="AI6" s="905">
        <v>72.345117840436643</v>
      </c>
      <c r="AJ6" s="905">
        <v>72.709892154052497</v>
      </c>
      <c r="AK6" s="905">
        <v>73.000422788750512</v>
      </c>
      <c r="AL6" s="905">
        <v>73.370156346489239</v>
      </c>
      <c r="AM6" s="905">
        <v>73.718482823470623</v>
      </c>
      <c r="AN6" s="905">
        <v>73.988247745477082</v>
      </c>
      <c r="AO6" s="905">
        <v>74.201999438396456</v>
      </c>
      <c r="AP6" s="905">
        <v>74.452388776525069</v>
      </c>
      <c r="AQ6" s="905">
        <v>74.679928703376305</v>
      </c>
      <c r="AR6" s="905">
        <v>75.024408438505787</v>
      </c>
      <c r="AS6" s="905">
        <v>75.129619527939354</v>
      </c>
      <c r="AT6" s="905">
        <v>75.261733449153297</v>
      </c>
      <c r="AU6" s="905">
        <v>75.35626549445999</v>
      </c>
      <c r="AV6" s="905">
        <v>75.423638196632552</v>
      </c>
      <c r="AW6" s="905">
        <v>75.736881168784123</v>
      </c>
      <c r="AX6" s="905">
        <v>75.864676207168941</v>
      </c>
      <c r="AY6" s="905">
        <v>75.967882006608022</v>
      </c>
      <c r="AZ6" s="905">
        <v>76.029897664337426</v>
      </c>
      <c r="BA6" s="905">
        <v>76.108297417977667</v>
      </c>
      <c r="BB6" s="905">
        <v>76.235610632570669</v>
      </c>
      <c r="BC6" s="905">
        <v>76.344381394961573</v>
      </c>
      <c r="BD6" s="905">
        <v>76.469942522834842</v>
      </c>
      <c r="BE6" s="905">
        <v>76.607727834398844</v>
      </c>
      <c r="BF6" s="905">
        <v>76.798450649933557</v>
      </c>
      <c r="BG6" s="905">
        <v>76.948384974038945</v>
      </c>
      <c r="BH6" s="905">
        <v>77.200509492264501</v>
      </c>
      <c r="BI6" s="905">
        <v>77.360027517610106</v>
      </c>
      <c r="BJ6" s="905">
        <v>77.573719793543816</v>
      </c>
      <c r="BK6" s="905">
        <v>77.767128054342848</v>
      </c>
      <c r="BL6" s="905">
        <v>78.021015785776086</v>
      </c>
      <c r="BM6" s="905">
        <v>78.272815663853862</v>
      </c>
      <c r="BN6" s="905">
        <v>78.484257046294402</v>
      </c>
      <c r="BO6" s="905">
        <v>78.691523492295232</v>
      </c>
      <c r="BP6" s="905">
        <v>78.917665720651655</v>
      </c>
      <c r="BQ6" s="905">
        <v>79.129135482057919</v>
      </c>
      <c r="BR6" s="905">
        <v>79.322057870988004</v>
      </c>
      <c r="BS6" s="905">
        <v>79.508693147702928</v>
      </c>
      <c r="BT6" s="905">
        <v>79.69306151436767</v>
      </c>
      <c r="BU6" s="905">
        <v>79.841201616780239</v>
      </c>
      <c r="BV6" s="905">
        <v>80.037957385478052</v>
      </c>
      <c r="BW6" s="905">
        <v>80.217185970982172</v>
      </c>
      <c r="BX6" s="905">
        <v>80.392968776084928</v>
      </c>
      <c r="BY6" s="905">
        <v>80.554473130932706</v>
      </c>
      <c r="BZ6" s="905">
        <v>80.715624746558561</v>
      </c>
      <c r="CA6" s="905">
        <v>80.874598613133458</v>
      </c>
      <c r="CB6" s="905">
        <v>81.036789480416388</v>
      </c>
      <c r="CC6" s="905">
        <v>81.207076235697997</v>
      </c>
      <c r="CD6" s="905">
        <v>81.381876514761487</v>
      </c>
      <c r="CE6" s="905">
        <v>81.540322409739971</v>
      </c>
      <c r="CF6" s="905">
        <v>81.712897155203081</v>
      </c>
      <c r="CG6" s="905">
        <v>81.882298582044811</v>
      </c>
      <c r="CH6" s="905">
        <v>82.053219524486622</v>
      </c>
      <c r="CI6" s="905">
        <v>82.248444010847678</v>
      </c>
      <c r="CJ6" s="905">
        <v>82.394407581971876</v>
      </c>
      <c r="CK6" s="905">
        <v>82.56196021639721</v>
      </c>
      <c r="CL6" s="905">
        <v>82.738362264501518</v>
      </c>
      <c r="CM6" s="905">
        <v>82.90338622163182</v>
      </c>
      <c r="CN6" s="905">
        <v>83.064948081193521</v>
      </c>
      <c r="CO6" s="905">
        <v>83.221598789857595</v>
      </c>
      <c r="CP6" s="905">
        <v>83.381691509567929</v>
      </c>
      <c r="CQ6" s="905">
        <v>83.534593905639156</v>
      </c>
      <c r="CR6" s="905">
        <v>83.675245736472675</v>
      </c>
      <c r="CS6" s="905">
        <v>83.83770146805324</v>
      </c>
      <c r="CT6" s="905">
        <v>83.987191877763863</v>
      </c>
      <c r="CU6" s="905">
        <v>84.133133310109685</v>
      </c>
      <c r="CV6" s="905">
        <v>84.269611042027137</v>
      </c>
      <c r="CW6" s="905">
        <v>84.414973128813386</v>
      </c>
      <c r="CX6" s="905">
        <v>84.559986013124714</v>
      </c>
      <c r="CY6" s="905">
        <v>84.702785388800351</v>
      </c>
      <c r="CZ6" s="905">
        <v>84.837678063752321</v>
      </c>
      <c r="DA6" s="905">
        <v>84.974856621773199</v>
      </c>
      <c r="DB6" s="905">
        <v>85.117867506894953</v>
      </c>
      <c r="DC6" s="905">
        <v>85.254117349359433</v>
      </c>
      <c r="DD6" s="905">
        <v>85.390061055055327</v>
      </c>
      <c r="DE6" s="905">
        <v>85.52987074552351</v>
      </c>
      <c r="DF6" s="905">
        <v>85.666832615920853</v>
      </c>
      <c r="DG6" s="905">
        <v>85.802235742317748</v>
      </c>
      <c r="DH6" s="905">
        <v>85.929908905941943</v>
      </c>
      <c r="DI6" s="905">
        <v>86.059975868252351</v>
      </c>
      <c r="DJ6" s="905">
        <v>86.191643687579386</v>
      </c>
      <c r="DK6" s="905">
        <v>86.324886935408628</v>
      </c>
      <c r="DL6" s="905">
        <v>86.451133783809411</v>
      </c>
      <c r="DM6" s="905">
        <v>86.578086351546133</v>
      </c>
      <c r="DN6" s="905">
        <v>86.707529130147748</v>
      </c>
      <c r="DO6" s="905">
        <v>86.833100465307808</v>
      </c>
      <c r="DP6" s="905">
        <v>86.957427429582268</v>
      </c>
      <c r="DQ6" s="905">
        <v>87.080630871439979</v>
      </c>
      <c r="DR6" s="905">
        <v>87.202623662056965</v>
      </c>
      <c r="DS6" s="905">
        <v>87.323417536526534</v>
      </c>
      <c r="DT6" s="905">
        <v>87.443023874945794</v>
      </c>
      <c r="DU6" s="905">
        <v>87.561453780367287</v>
      </c>
    </row>
    <row r="7" spans="1:125" s="127" customFormat="1" ht="12.75">
      <c r="A7" s="908">
        <v>5</v>
      </c>
      <c r="B7" s="905"/>
      <c r="C7" s="905"/>
      <c r="D7" s="905"/>
      <c r="E7" s="905"/>
      <c r="F7" s="905"/>
      <c r="G7" s="905"/>
      <c r="H7" s="905"/>
      <c r="I7" s="905"/>
      <c r="J7" s="905"/>
      <c r="K7" s="905"/>
      <c r="L7" s="905"/>
      <c r="M7" s="905"/>
      <c r="N7" s="905"/>
      <c r="O7" s="905"/>
      <c r="P7" s="905"/>
      <c r="Q7" s="905"/>
      <c r="R7" s="905"/>
      <c r="S7" s="905"/>
      <c r="T7" s="905"/>
      <c r="U7" s="905"/>
      <c r="V7" s="905"/>
      <c r="W7" s="905"/>
      <c r="X7" s="905"/>
      <c r="Y7" s="905">
        <v>68.90626641154185</v>
      </c>
      <c r="Z7" s="905">
        <v>69.163310706918026</v>
      </c>
      <c r="AA7" s="905">
        <v>69.424628638773129</v>
      </c>
      <c r="AB7" s="905">
        <v>69.707805557773696</v>
      </c>
      <c r="AC7" s="905">
        <v>69.90956984369106</v>
      </c>
      <c r="AD7" s="905">
        <v>70.041453341614087</v>
      </c>
      <c r="AE7" s="905">
        <v>70.297899901856425</v>
      </c>
      <c r="AF7" s="905">
        <v>70.592890215634398</v>
      </c>
      <c r="AG7" s="905">
        <v>70.901145517055426</v>
      </c>
      <c r="AH7" s="905">
        <v>71.245123777297465</v>
      </c>
      <c r="AI7" s="905">
        <v>71.549800501231928</v>
      </c>
      <c r="AJ7" s="905">
        <v>71.902282386518209</v>
      </c>
      <c r="AK7" s="905">
        <v>72.206724297093331</v>
      </c>
      <c r="AL7" s="905">
        <v>72.577514466991701</v>
      </c>
      <c r="AM7" s="905">
        <v>72.926845426520657</v>
      </c>
      <c r="AN7" s="905">
        <v>73.197381121604366</v>
      </c>
      <c r="AO7" s="905">
        <v>73.432776283885943</v>
      </c>
      <c r="AP7" s="905">
        <v>73.715653887140391</v>
      </c>
      <c r="AQ7" s="905">
        <v>73.997073479816478</v>
      </c>
      <c r="AR7" s="905">
        <v>74.225426396541707</v>
      </c>
      <c r="AS7" s="905">
        <v>74.330925158842518</v>
      </c>
      <c r="AT7" s="905">
        <v>74.393395686677451</v>
      </c>
      <c r="AU7" s="905">
        <v>74.460802985930087</v>
      </c>
      <c r="AV7" s="905">
        <v>74.528270469471494</v>
      </c>
      <c r="AW7" s="905">
        <v>74.841959212014842</v>
      </c>
      <c r="AX7" s="905">
        <v>74.94334077514651</v>
      </c>
      <c r="AY7" s="905">
        <v>75.04444745499049</v>
      </c>
      <c r="AZ7" s="905">
        <v>75.102357773682783</v>
      </c>
      <c r="BA7" s="905">
        <v>75.172295364483176</v>
      </c>
      <c r="BB7" s="905">
        <v>75.300177438703258</v>
      </c>
      <c r="BC7" s="905">
        <v>75.409831058093602</v>
      </c>
      <c r="BD7" s="905">
        <v>75.531969790178991</v>
      </c>
      <c r="BE7" s="905">
        <v>75.668056165875811</v>
      </c>
      <c r="BF7" s="905">
        <v>75.856762483226007</v>
      </c>
      <c r="BG7" s="905">
        <v>76.006596066273516</v>
      </c>
      <c r="BH7" s="905">
        <v>76.250718952996067</v>
      </c>
      <c r="BI7" s="905">
        <v>76.413911671855246</v>
      </c>
      <c r="BJ7" s="905">
        <v>76.626835961621396</v>
      </c>
      <c r="BK7" s="905">
        <v>76.820424144969905</v>
      </c>
      <c r="BL7" s="905">
        <v>77.072629302607311</v>
      </c>
      <c r="BM7" s="905">
        <v>77.326610731033298</v>
      </c>
      <c r="BN7" s="905">
        <v>77.535797922810218</v>
      </c>
      <c r="BO7" s="905">
        <v>77.744890544715375</v>
      </c>
      <c r="BP7" s="905">
        <v>77.967729154332176</v>
      </c>
      <c r="BQ7" s="905">
        <v>78.176365092162541</v>
      </c>
      <c r="BR7" s="905">
        <v>78.370066584823462</v>
      </c>
      <c r="BS7" s="905">
        <v>78.55018272814425</v>
      </c>
      <c r="BT7" s="905">
        <v>78.734537781299082</v>
      </c>
      <c r="BU7" s="905">
        <v>78.883445714032788</v>
      </c>
      <c r="BV7" s="905">
        <v>79.076665861229898</v>
      </c>
      <c r="BW7" s="905">
        <v>79.255547021396296</v>
      </c>
      <c r="BX7" s="905">
        <v>79.429271738787804</v>
      </c>
      <c r="BY7" s="905">
        <v>79.591092105997632</v>
      </c>
      <c r="BZ7" s="905">
        <v>79.747677895224939</v>
      </c>
      <c r="CA7" s="905">
        <v>79.903955442922836</v>
      </c>
      <c r="CB7" s="905">
        <v>80.065519670322772</v>
      </c>
      <c r="CC7" s="905">
        <v>80.232477689506936</v>
      </c>
      <c r="CD7" s="905">
        <v>80.407679601328823</v>
      </c>
      <c r="CE7" s="905">
        <v>80.565031447480038</v>
      </c>
      <c r="CF7" s="905">
        <v>80.736788442026864</v>
      </c>
      <c r="CG7" s="905">
        <v>80.902962840256379</v>
      </c>
      <c r="CH7" s="905">
        <v>81.075630701132013</v>
      </c>
      <c r="CI7" s="905">
        <v>81.269131678760829</v>
      </c>
      <c r="CJ7" s="905">
        <v>81.415113196076476</v>
      </c>
      <c r="CK7" s="905">
        <v>81.581857848142505</v>
      </c>
      <c r="CL7" s="905">
        <v>81.757576507356845</v>
      </c>
      <c r="CM7" s="905">
        <v>81.921242122921996</v>
      </c>
      <c r="CN7" s="905">
        <v>82.082311500427735</v>
      </c>
      <c r="CO7" s="905">
        <v>82.23746587108154</v>
      </c>
      <c r="CP7" s="905">
        <v>82.395966267766482</v>
      </c>
      <c r="CQ7" s="905">
        <v>82.548735929928768</v>
      </c>
      <c r="CR7" s="905">
        <v>82.688548985677016</v>
      </c>
      <c r="CS7" s="905">
        <v>82.850591425349648</v>
      </c>
      <c r="CT7" s="905">
        <v>82.999667787512294</v>
      </c>
      <c r="CU7" s="905">
        <v>83.143806269054181</v>
      </c>
      <c r="CV7" s="905">
        <v>83.281322585149454</v>
      </c>
      <c r="CW7" s="905">
        <v>83.425995822620848</v>
      </c>
      <c r="CX7" s="905">
        <v>83.571574222154851</v>
      </c>
      <c r="CY7" s="905">
        <v>83.712667098771718</v>
      </c>
      <c r="CZ7" s="905">
        <v>83.847875210090237</v>
      </c>
      <c r="DA7" s="905">
        <v>83.986329121659537</v>
      </c>
      <c r="DB7" s="905">
        <v>84.128480590956599</v>
      </c>
      <c r="DC7" s="905">
        <v>84.26490082193672</v>
      </c>
      <c r="DD7" s="905">
        <v>84.400742505329589</v>
      </c>
      <c r="DE7" s="905">
        <v>84.539592645100896</v>
      </c>
      <c r="DF7" s="905">
        <v>84.675849328858845</v>
      </c>
      <c r="DG7" s="905">
        <v>84.809776395925923</v>
      </c>
      <c r="DH7" s="905">
        <v>84.939135760661401</v>
      </c>
      <c r="DI7" s="905">
        <v>85.069315219618844</v>
      </c>
      <c r="DJ7" s="905">
        <v>85.200320093629514</v>
      </c>
      <c r="DK7" s="905">
        <v>85.332593715244968</v>
      </c>
      <c r="DL7" s="905">
        <v>85.460747637366126</v>
      </c>
      <c r="DM7" s="905">
        <v>85.587368613648749</v>
      </c>
      <c r="DN7" s="905">
        <v>85.715998956570289</v>
      </c>
      <c r="DO7" s="905">
        <v>85.840811007086387</v>
      </c>
      <c r="DP7" s="905">
        <v>85.964933801207309</v>
      </c>
      <c r="DQ7" s="905">
        <v>86.087845495880529</v>
      </c>
      <c r="DR7" s="905">
        <v>86.209557803905312</v>
      </c>
      <c r="DS7" s="905">
        <v>86.330082029858957</v>
      </c>
      <c r="DT7" s="905">
        <v>86.449429139500069</v>
      </c>
      <c r="DU7" s="905">
        <v>86.567609837135535</v>
      </c>
    </row>
    <row r="8" spans="1:125" s="127" customFormat="1" ht="12.75">
      <c r="A8" s="908">
        <v>6</v>
      </c>
      <c r="B8" s="905"/>
      <c r="C8" s="905"/>
      <c r="D8" s="905"/>
      <c r="E8" s="905"/>
      <c r="F8" s="905"/>
      <c r="G8" s="905"/>
      <c r="H8" s="905"/>
      <c r="I8" s="905"/>
      <c r="J8" s="905"/>
      <c r="K8" s="905"/>
      <c r="L8" s="905"/>
      <c r="M8" s="905"/>
      <c r="N8" s="905"/>
      <c r="O8" s="905"/>
      <c r="P8" s="905"/>
      <c r="Q8" s="905"/>
      <c r="R8" s="905"/>
      <c r="S8" s="905"/>
      <c r="T8" s="905"/>
      <c r="U8" s="905"/>
      <c r="V8" s="905"/>
      <c r="W8" s="905"/>
      <c r="X8" s="905"/>
      <c r="Y8" s="905">
        <v>68.081754109005814</v>
      </c>
      <c r="Z8" s="905">
        <v>68.36384557791412</v>
      </c>
      <c r="AA8" s="905">
        <v>68.618616645984872</v>
      </c>
      <c r="AB8" s="905">
        <v>68.875282072578528</v>
      </c>
      <c r="AC8" s="905">
        <v>69.064752344492888</v>
      </c>
      <c r="AD8" s="905">
        <v>69.196926591755414</v>
      </c>
      <c r="AE8" s="905">
        <v>69.453944232296024</v>
      </c>
      <c r="AF8" s="905">
        <v>69.775324112985771</v>
      </c>
      <c r="AG8" s="905">
        <v>70.094102146782831</v>
      </c>
      <c r="AH8" s="905">
        <v>70.418049022582778</v>
      </c>
      <c r="AI8" s="905">
        <v>70.712207233871325</v>
      </c>
      <c r="AJ8" s="905">
        <v>71.076550688414471</v>
      </c>
      <c r="AK8" s="905">
        <v>71.381738587863651</v>
      </c>
      <c r="AL8" s="905">
        <v>71.753437065172434</v>
      </c>
      <c r="AM8" s="905">
        <v>72.103630312926015</v>
      </c>
      <c r="AN8" s="905">
        <v>72.392621281523873</v>
      </c>
      <c r="AO8" s="905">
        <v>72.655436678227289</v>
      </c>
      <c r="AP8" s="905">
        <v>72.984060877381495</v>
      </c>
      <c r="AQ8" s="905">
        <v>73.146511239110566</v>
      </c>
      <c r="AR8" s="905">
        <v>73.375361921558962</v>
      </c>
      <c r="AS8" s="905">
        <v>73.428878527910626</v>
      </c>
      <c r="AT8" s="905">
        <v>73.474423531014693</v>
      </c>
      <c r="AU8" s="905">
        <v>73.541904678154339</v>
      </c>
      <c r="AV8" s="905">
        <v>73.609446735682596</v>
      </c>
      <c r="AW8" s="905">
        <v>73.904325853796507</v>
      </c>
      <c r="AX8" s="905">
        <v>74.002362090872396</v>
      </c>
      <c r="AY8" s="905">
        <v>74.106119930466889</v>
      </c>
      <c r="AZ8" s="905">
        <v>74.160199655649265</v>
      </c>
      <c r="BA8" s="905">
        <v>74.228326992141945</v>
      </c>
      <c r="BB8" s="905">
        <v>74.35668730551707</v>
      </c>
      <c r="BC8" s="905">
        <v>74.457845984441121</v>
      </c>
      <c r="BD8" s="905">
        <v>74.58075503574122</v>
      </c>
      <c r="BE8" s="905">
        <v>74.719053036818849</v>
      </c>
      <c r="BF8" s="905">
        <v>74.905219929610624</v>
      </c>
      <c r="BG8" s="905">
        <v>75.054079846002523</v>
      </c>
      <c r="BH8" s="905">
        <v>75.296239353619882</v>
      </c>
      <c r="BI8" s="905">
        <v>75.457669658466102</v>
      </c>
      <c r="BJ8" s="905">
        <v>75.671340563712562</v>
      </c>
      <c r="BK8" s="905">
        <v>75.867104899416432</v>
      </c>
      <c r="BL8" s="905">
        <v>76.119536826557379</v>
      </c>
      <c r="BM8" s="905">
        <v>76.370018845449863</v>
      </c>
      <c r="BN8" s="905">
        <v>76.584875577891935</v>
      </c>
      <c r="BO8" s="905">
        <v>76.789728914542636</v>
      </c>
      <c r="BP8" s="905">
        <v>77.010901538417272</v>
      </c>
      <c r="BQ8" s="905">
        <v>77.217458906842552</v>
      </c>
      <c r="BR8" s="905">
        <v>77.409702115275877</v>
      </c>
      <c r="BS8" s="905">
        <v>77.591422112149502</v>
      </c>
      <c r="BT8" s="905">
        <v>77.771648824230596</v>
      </c>
      <c r="BU8" s="905">
        <v>77.919303148052251</v>
      </c>
      <c r="BV8" s="905">
        <v>78.10820766363743</v>
      </c>
      <c r="BW8" s="905">
        <v>78.289792709048783</v>
      </c>
      <c r="BX8" s="905">
        <v>78.459429483458564</v>
      </c>
      <c r="BY8" s="905">
        <v>78.621075991022508</v>
      </c>
      <c r="BZ8" s="905">
        <v>78.777301933795215</v>
      </c>
      <c r="CA8" s="905">
        <v>78.929287901019791</v>
      </c>
      <c r="CB8" s="905">
        <v>79.088467998756556</v>
      </c>
      <c r="CC8" s="905">
        <v>79.256927382601035</v>
      </c>
      <c r="CD8" s="905">
        <v>79.427115126237226</v>
      </c>
      <c r="CE8" s="905">
        <v>79.585261677654529</v>
      </c>
      <c r="CF8" s="905">
        <v>79.757400110336846</v>
      </c>
      <c r="CG8" s="905">
        <v>79.922570508433509</v>
      </c>
      <c r="CH8" s="905">
        <v>80.095638488062065</v>
      </c>
      <c r="CI8" s="905">
        <v>80.288833317197287</v>
      </c>
      <c r="CJ8" s="905">
        <v>80.434377126294606</v>
      </c>
      <c r="CK8" s="905">
        <v>80.59718194307635</v>
      </c>
      <c r="CL8" s="905">
        <v>80.770910259479109</v>
      </c>
      <c r="CM8" s="905">
        <v>80.937312693797139</v>
      </c>
      <c r="CN8" s="905">
        <v>81.096274180428097</v>
      </c>
      <c r="CO8" s="905">
        <v>81.247752734620406</v>
      </c>
      <c r="CP8" s="905">
        <v>81.406827104053747</v>
      </c>
      <c r="CQ8" s="905">
        <v>81.557844355494638</v>
      </c>
      <c r="CR8" s="905">
        <v>81.697806388165787</v>
      </c>
      <c r="CS8" s="905">
        <v>81.860185654539947</v>
      </c>
      <c r="CT8" s="905">
        <v>82.009971164675022</v>
      </c>
      <c r="CU8" s="905">
        <v>82.154955434233273</v>
      </c>
      <c r="CV8" s="905">
        <v>82.292585759566975</v>
      </c>
      <c r="CW8" s="905">
        <v>82.435798532739682</v>
      </c>
      <c r="CX8" s="905">
        <v>82.579952281330051</v>
      </c>
      <c r="CY8" s="905">
        <v>82.721807355392372</v>
      </c>
      <c r="CZ8" s="905">
        <v>82.857073692222045</v>
      </c>
      <c r="DA8" s="905">
        <v>82.994143781445203</v>
      </c>
      <c r="DB8" s="905">
        <v>83.136977097697411</v>
      </c>
      <c r="DC8" s="905">
        <v>83.274286893205215</v>
      </c>
      <c r="DD8" s="905">
        <v>83.411045775949958</v>
      </c>
      <c r="DE8" s="905">
        <v>83.54828642699664</v>
      </c>
      <c r="DF8" s="905">
        <v>83.682661434049749</v>
      </c>
      <c r="DG8" s="905">
        <v>83.816602931442716</v>
      </c>
      <c r="DH8" s="905">
        <v>83.946674358756525</v>
      </c>
      <c r="DI8" s="905">
        <v>84.077997902026794</v>
      </c>
      <c r="DJ8" s="905">
        <v>84.207705838312606</v>
      </c>
      <c r="DK8" s="905">
        <v>84.339255648242343</v>
      </c>
      <c r="DL8" s="905">
        <v>84.467524376278789</v>
      </c>
      <c r="DM8" s="905">
        <v>84.594857987574386</v>
      </c>
      <c r="DN8" s="905">
        <v>84.722001824656019</v>
      </c>
      <c r="DO8" s="905">
        <v>84.847097896424216</v>
      </c>
      <c r="DP8" s="905">
        <v>84.970980187844447</v>
      </c>
      <c r="DQ8" s="905">
        <v>85.093660513830656</v>
      </c>
      <c r="DR8" s="905">
        <v>85.215150244128779</v>
      </c>
      <c r="DS8" s="905">
        <v>85.335460352907802</v>
      </c>
      <c r="DT8" s="905">
        <v>85.454601487715692</v>
      </c>
      <c r="DU8" s="905">
        <v>85.572584046414406</v>
      </c>
    </row>
    <row r="9" spans="1:125" s="127" customFormat="1" ht="12.75">
      <c r="A9" s="908">
        <v>7</v>
      </c>
      <c r="B9" s="905"/>
      <c r="C9" s="905"/>
      <c r="D9" s="905"/>
      <c r="E9" s="905"/>
      <c r="F9" s="905"/>
      <c r="G9" s="905"/>
      <c r="H9" s="905"/>
      <c r="I9" s="905"/>
      <c r="J9" s="905"/>
      <c r="K9" s="905"/>
      <c r="L9" s="905"/>
      <c r="M9" s="905"/>
      <c r="N9" s="905"/>
      <c r="O9" s="905"/>
      <c r="P9" s="905"/>
      <c r="Q9" s="905"/>
      <c r="R9" s="905"/>
      <c r="S9" s="905"/>
      <c r="T9" s="905"/>
      <c r="U9" s="905"/>
      <c r="V9" s="905"/>
      <c r="W9" s="905"/>
      <c r="X9" s="905"/>
      <c r="Y9" s="905">
        <v>67.252875200811118</v>
      </c>
      <c r="Z9" s="905">
        <v>67.538084887861871</v>
      </c>
      <c r="AA9" s="905">
        <v>67.768999517788487</v>
      </c>
      <c r="AB9" s="905">
        <v>68.014749531713193</v>
      </c>
      <c r="AC9" s="905">
        <v>68.204597586116208</v>
      </c>
      <c r="AD9" s="905">
        <v>68.337037066680779</v>
      </c>
      <c r="AE9" s="905">
        <v>68.617669299447641</v>
      </c>
      <c r="AF9" s="905">
        <v>68.948505735400971</v>
      </c>
      <c r="AG9" s="905">
        <v>69.249291411278719</v>
      </c>
      <c r="AH9" s="905">
        <v>69.56385973554508</v>
      </c>
      <c r="AI9" s="905">
        <v>69.868562071532722</v>
      </c>
      <c r="AJ9" s="905">
        <v>70.233722704206656</v>
      </c>
      <c r="AK9" s="905">
        <v>70.539593208711466</v>
      </c>
      <c r="AL9" s="905">
        <v>70.912122798028633</v>
      </c>
      <c r="AM9" s="905">
        <v>71.279092410122502</v>
      </c>
      <c r="AN9" s="905">
        <v>71.592885244185325</v>
      </c>
      <c r="AO9" s="905">
        <v>71.896763296891066</v>
      </c>
      <c r="AP9" s="905">
        <v>72.102973734759303</v>
      </c>
      <c r="AQ9" s="905">
        <v>72.265710269835807</v>
      </c>
      <c r="AR9" s="905">
        <v>72.453306648926571</v>
      </c>
      <c r="AS9" s="905">
        <v>72.495714646479968</v>
      </c>
      <c r="AT9" s="905">
        <v>72.541309231740712</v>
      </c>
      <c r="AU9" s="905">
        <v>72.608852172037828</v>
      </c>
      <c r="AV9" s="905">
        <v>72.661994496244972</v>
      </c>
      <c r="AW9" s="905">
        <v>72.954237755221754</v>
      </c>
      <c r="AX9" s="905">
        <v>73.051267250608916</v>
      </c>
      <c r="AY9" s="905">
        <v>73.153542226103042</v>
      </c>
      <c r="AZ9" s="905">
        <v>73.208638640208022</v>
      </c>
      <c r="BA9" s="905">
        <v>73.273321470769588</v>
      </c>
      <c r="BB9" s="905">
        <v>73.397683111590581</v>
      </c>
      <c r="BC9" s="905">
        <v>73.498363481816611</v>
      </c>
      <c r="BD9" s="905">
        <v>73.625154865897002</v>
      </c>
      <c r="BE9" s="905">
        <v>73.761510409676731</v>
      </c>
      <c r="BF9" s="905">
        <v>73.944831279976427</v>
      </c>
      <c r="BG9" s="905">
        <v>74.095689103315351</v>
      </c>
      <c r="BH9" s="905">
        <v>74.336069704409311</v>
      </c>
      <c r="BI9" s="905">
        <v>74.497282733437913</v>
      </c>
      <c r="BJ9" s="905">
        <v>74.711524202287677</v>
      </c>
      <c r="BK9" s="905">
        <v>74.909261615443242</v>
      </c>
      <c r="BL9" s="905">
        <v>75.162599998016773</v>
      </c>
      <c r="BM9" s="905">
        <v>75.411772728985369</v>
      </c>
      <c r="BN9" s="905">
        <v>75.62588307129289</v>
      </c>
      <c r="BO9" s="905">
        <v>75.832816969277161</v>
      </c>
      <c r="BP9" s="905">
        <v>76.052482788426289</v>
      </c>
      <c r="BQ9" s="905">
        <v>76.252723629829148</v>
      </c>
      <c r="BR9" s="905">
        <v>76.444630330454928</v>
      </c>
      <c r="BS9" s="905">
        <v>76.625533249101267</v>
      </c>
      <c r="BT9" s="905">
        <v>76.80448766391136</v>
      </c>
      <c r="BU9" s="905">
        <v>76.951074459880815</v>
      </c>
      <c r="BV9" s="905">
        <v>77.137983956348847</v>
      </c>
      <c r="BW9" s="905">
        <v>77.317667865810904</v>
      </c>
      <c r="BX9" s="905">
        <v>77.484175851393786</v>
      </c>
      <c r="BY9" s="905">
        <v>77.646164266588954</v>
      </c>
      <c r="BZ9" s="905">
        <v>77.801029501794773</v>
      </c>
      <c r="CA9" s="905">
        <v>77.949842306225804</v>
      </c>
      <c r="CB9" s="905">
        <v>78.108238673170547</v>
      </c>
      <c r="CC9" s="905">
        <v>78.277014258838136</v>
      </c>
      <c r="CD9" s="905">
        <v>78.444815628298159</v>
      </c>
      <c r="CE9" s="905">
        <v>78.602317156861176</v>
      </c>
      <c r="CF9" s="905">
        <v>78.776778027854732</v>
      </c>
      <c r="CG9" s="905">
        <v>78.938218857765861</v>
      </c>
      <c r="CH9" s="905">
        <v>79.112421478094831</v>
      </c>
      <c r="CI9" s="905">
        <v>79.304060596287769</v>
      </c>
      <c r="CJ9" s="905">
        <v>79.449984718908397</v>
      </c>
      <c r="CK9" s="905">
        <v>79.610002893013771</v>
      </c>
      <c r="CL9" s="905">
        <v>79.783639553857995</v>
      </c>
      <c r="CM9" s="905">
        <v>79.950673459962417</v>
      </c>
      <c r="CN9" s="905">
        <v>80.108619281449947</v>
      </c>
      <c r="CO9" s="905">
        <v>80.258382993922481</v>
      </c>
      <c r="CP9" s="905">
        <v>80.416780831200185</v>
      </c>
      <c r="CQ9" s="905">
        <v>80.568056250217225</v>
      </c>
      <c r="CR9" s="905">
        <v>80.709701125737482</v>
      </c>
      <c r="CS9" s="905">
        <v>80.869087148348186</v>
      </c>
      <c r="CT9" s="905">
        <v>81.020158582350831</v>
      </c>
      <c r="CU9" s="905">
        <v>81.162147017344196</v>
      </c>
      <c r="CV9" s="905">
        <v>81.30164894091547</v>
      </c>
      <c r="CW9" s="905">
        <v>81.445086624299378</v>
      </c>
      <c r="CX9" s="905">
        <v>81.586174696837674</v>
      </c>
      <c r="CY9" s="905">
        <v>81.729235408971888</v>
      </c>
      <c r="CZ9" s="905">
        <v>81.865628692929903</v>
      </c>
      <c r="DA9" s="905">
        <v>82.00090919744396</v>
      </c>
      <c r="DB9" s="905">
        <v>82.145950194322069</v>
      </c>
      <c r="DC9" s="905">
        <v>82.281303007957277</v>
      </c>
      <c r="DD9" s="905">
        <v>82.416767076688984</v>
      </c>
      <c r="DE9" s="905">
        <v>82.555020336669003</v>
      </c>
      <c r="DF9" s="905">
        <v>82.6884702543598</v>
      </c>
      <c r="DG9" s="905">
        <v>82.823204409849893</v>
      </c>
      <c r="DH9" s="905">
        <v>82.954827290514956</v>
      </c>
      <c r="DI9" s="905">
        <v>83.085119237516835</v>
      </c>
      <c r="DJ9" s="905">
        <v>83.215756407356395</v>
      </c>
      <c r="DK9" s="905">
        <v>83.345393546300841</v>
      </c>
      <c r="DL9" s="905">
        <v>83.472817427201164</v>
      </c>
      <c r="DM9" s="905">
        <v>83.601412627613257</v>
      </c>
      <c r="DN9" s="905">
        <v>83.72751910319333</v>
      </c>
      <c r="DO9" s="905">
        <v>83.852407592492199</v>
      </c>
      <c r="DP9" s="905">
        <v>83.976090049980954</v>
      </c>
      <c r="DQ9" s="905">
        <v>84.098578004839368</v>
      </c>
      <c r="DR9" s="905">
        <v>84.219882551400644</v>
      </c>
      <c r="DS9" s="905">
        <v>84.340014398384824</v>
      </c>
      <c r="DT9" s="905">
        <v>84.458983937509743</v>
      </c>
      <c r="DU9" s="905">
        <v>84.576801320092855</v>
      </c>
    </row>
    <row r="10" spans="1:125" s="127" customFormat="1" ht="12.75">
      <c r="A10" s="908">
        <v>8</v>
      </c>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v>66.386182394289719</v>
      </c>
      <c r="Z10" s="905">
        <v>66.651811108829577</v>
      </c>
      <c r="AA10" s="905">
        <v>66.89224753788946</v>
      </c>
      <c r="AB10" s="905">
        <v>67.138446046979652</v>
      </c>
      <c r="AC10" s="905">
        <v>67.328629862465704</v>
      </c>
      <c r="AD10" s="905">
        <v>67.486090146698913</v>
      </c>
      <c r="AE10" s="905">
        <v>67.760510226133803</v>
      </c>
      <c r="AF10" s="905">
        <v>68.078324498269779</v>
      </c>
      <c r="AG10" s="905">
        <v>68.376064453413107</v>
      </c>
      <c r="AH10" s="905">
        <v>68.69814249931062</v>
      </c>
      <c r="AI10" s="905">
        <v>69.003442704248386</v>
      </c>
      <c r="AJ10" s="905">
        <v>69.369318326473902</v>
      </c>
      <c r="AK10" s="905">
        <v>69.675786126463322</v>
      </c>
      <c r="AL10" s="905">
        <v>70.06276444957453</v>
      </c>
      <c r="AM10" s="905">
        <v>70.451229251368801</v>
      </c>
      <c r="AN10" s="905">
        <v>70.800470486064953</v>
      </c>
      <c r="AO10" s="905">
        <v>70.995967994191489</v>
      </c>
      <c r="AP10" s="905">
        <v>71.2024787730398</v>
      </c>
      <c r="AQ10" s="905">
        <v>71.344031782624072</v>
      </c>
      <c r="AR10" s="905">
        <v>71.509338914081582</v>
      </c>
      <c r="AS10" s="905">
        <v>71.551780731863573</v>
      </c>
      <c r="AT10" s="905">
        <v>71.59742299115689</v>
      </c>
      <c r="AU10" s="905">
        <v>71.653284756789745</v>
      </c>
      <c r="AV10" s="905">
        <v>71.705173496692197</v>
      </c>
      <c r="AW10" s="905">
        <v>71.996916658255387</v>
      </c>
      <c r="AX10" s="905">
        <v>72.091941682017719</v>
      </c>
      <c r="AY10" s="905">
        <v>72.194790001240733</v>
      </c>
      <c r="AZ10" s="905">
        <v>72.250626377222375</v>
      </c>
      <c r="BA10" s="905">
        <v>72.311644836494011</v>
      </c>
      <c r="BB10" s="905">
        <v>72.439834567501691</v>
      </c>
      <c r="BC10" s="905">
        <v>72.533513256540232</v>
      </c>
      <c r="BD10" s="905">
        <v>72.662612149635294</v>
      </c>
      <c r="BE10" s="905">
        <v>72.798918843717217</v>
      </c>
      <c r="BF10" s="905">
        <v>72.981628317342341</v>
      </c>
      <c r="BG10" s="905">
        <v>73.128128684689841</v>
      </c>
      <c r="BH10" s="905">
        <v>73.373098787182698</v>
      </c>
      <c r="BI10" s="905">
        <v>73.534269659661192</v>
      </c>
      <c r="BJ10" s="905">
        <v>73.750066169670248</v>
      </c>
      <c r="BK10" s="905">
        <v>73.943439442517302</v>
      </c>
      <c r="BL10" s="905">
        <v>74.199230374000479</v>
      </c>
      <c r="BM10" s="905">
        <v>74.449582624632797</v>
      </c>
      <c r="BN10" s="905">
        <v>74.660806700627887</v>
      </c>
      <c r="BO10" s="905">
        <v>74.868945951939111</v>
      </c>
      <c r="BP10" s="905">
        <v>75.085832891976082</v>
      </c>
      <c r="BQ10" s="905">
        <v>75.284409463987913</v>
      </c>
      <c r="BR10" s="905">
        <v>75.476857509708793</v>
      </c>
      <c r="BS10" s="905">
        <v>75.654940620695712</v>
      </c>
      <c r="BT10" s="905">
        <v>75.833611089167249</v>
      </c>
      <c r="BU10" s="905">
        <v>75.978226049665338</v>
      </c>
      <c r="BV10" s="905">
        <v>76.165000686864005</v>
      </c>
      <c r="BW10" s="905">
        <v>76.343433016180484</v>
      </c>
      <c r="BX10" s="905">
        <v>76.508519723658765</v>
      </c>
      <c r="BY10" s="905">
        <v>76.669111826331033</v>
      </c>
      <c r="BZ10" s="905">
        <v>76.820004341121091</v>
      </c>
      <c r="CA10" s="905">
        <v>76.968705705874243</v>
      </c>
      <c r="CB10" s="905">
        <v>77.126979777260686</v>
      </c>
      <c r="CC10" s="905">
        <v>77.294439564830697</v>
      </c>
      <c r="CD10" s="905">
        <v>77.46040498671853</v>
      </c>
      <c r="CE10" s="905">
        <v>77.620969074854216</v>
      </c>
      <c r="CF10" s="905">
        <v>77.792984717088871</v>
      </c>
      <c r="CG10" s="905">
        <v>77.955780059792147</v>
      </c>
      <c r="CH10" s="905">
        <v>78.124981764447739</v>
      </c>
      <c r="CI10" s="905">
        <v>78.316209663633359</v>
      </c>
      <c r="CJ10" s="905">
        <v>78.462961090609468</v>
      </c>
      <c r="CK10" s="905">
        <v>78.622478338556135</v>
      </c>
      <c r="CL10" s="905">
        <v>78.795386701206013</v>
      </c>
      <c r="CM10" s="905">
        <v>78.959742733108385</v>
      </c>
      <c r="CN10" s="905">
        <v>79.118526287785926</v>
      </c>
      <c r="CO10" s="905">
        <v>79.268190412658157</v>
      </c>
      <c r="CP10" s="905">
        <v>79.427229145710442</v>
      </c>
      <c r="CQ10" s="905">
        <v>79.576177775873305</v>
      </c>
      <c r="CR10" s="905">
        <v>79.716651213086877</v>
      </c>
      <c r="CS10" s="905">
        <v>79.878347090019844</v>
      </c>
      <c r="CT10" s="905">
        <v>80.029295381004374</v>
      </c>
      <c r="CU10" s="905">
        <v>80.168909110967235</v>
      </c>
      <c r="CV10" s="905">
        <v>80.309745689480238</v>
      </c>
      <c r="CW10" s="905">
        <v>80.452124272738985</v>
      </c>
      <c r="CX10" s="905">
        <v>80.593762109512198</v>
      </c>
      <c r="CY10" s="905">
        <v>80.735635199926634</v>
      </c>
      <c r="CZ10" s="905">
        <v>80.87340747258429</v>
      </c>
      <c r="DA10" s="905">
        <v>81.006246433133384</v>
      </c>
      <c r="DB10" s="905">
        <v>81.152500607492584</v>
      </c>
      <c r="DC10" s="905">
        <v>81.290048396039069</v>
      </c>
      <c r="DD10" s="905">
        <v>81.421730717880223</v>
      </c>
      <c r="DE10" s="905">
        <v>81.560562715967336</v>
      </c>
      <c r="DF10" s="905">
        <v>81.693771979544863</v>
      </c>
      <c r="DG10" s="905">
        <v>81.828361420164214</v>
      </c>
      <c r="DH10" s="905">
        <v>81.960271134099202</v>
      </c>
      <c r="DI10" s="905">
        <v>82.09164364941779</v>
      </c>
      <c r="DJ10" s="905">
        <v>82.221380620566038</v>
      </c>
      <c r="DK10" s="905">
        <v>82.350678107217519</v>
      </c>
      <c r="DL10" s="905">
        <v>82.479345648396475</v>
      </c>
      <c r="DM10" s="905">
        <v>82.606487512120964</v>
      </c>
      <c r="DN10" s="905">
        <v>82.732406276867863</v>
      </c>
      <c r="DO10" s="905">
        <v>82.85711393866103</v>
      </c>
      <c r="DP10" s="905">
        <v>82.980622202891752</v>
      </c>
      <c r="DQ10" s="905">
        <v>83.10294235847438</v>
      </c>
      <c r="DR10" s="905">
        <v>83.224085267989153</v>
      </c>
      <c r="DS10" s="905">
        <v>83.34406141662717</v>
      </c>
      <c r="DT10" s="905">
        <v>83.462880980523181</v>
      </c>
      <c r="DU10" s="905">
        <v>83.580553903088202</v>
      </c>
    </row>
    <row r="11" spans="1:125" s="127" customFormat="1" ht="12.75">
      <c r="A11" s="908">
        <v>9</v>
      </c>
      <c r="B11" s="905"/>
      <c r="C11" s="905"/>
      <c r="D11" s="905"/>
      <c r="E11" s="905"/>
      <c r="F11" s="905"/>
      <c r="G11" s="905"/>
      <c r="H11" s="905"/>
      <c r="I11" s="905"/>
      <c r="J11" s="905"/>
      <c r="K11" s="905"/>
      <c r="L11" s="905"/>
      <c r="M11" s="905"/>
      <c r="N11" s="905"/>
      <c r="O11" s="905"/>
      <c r="P11" s="905"/>
      <c r="Q11" s="905"/>
      <c r="R11" s="905"/>
      <c r="S11" s="905"/>
      <c r="T11" s="905"/>
      <c r="U11" s="905"/>
      <c r="V11" s="905"/>
      <c r="W11" s="905"/>
      <c r="X11" s="905"/>
      <c r="Y11" s="905">
        <v>65.483540438618036</v>
      </c>
      <c r="Z11" s="905">
        <v>65.757387670351179</v>
      </c>
      <c r="AA11" s="905">
        <v>65.998211683317038</v>
      </c>
      <c r="AB11" s="905">
        <v>66.244801324278995</v>
      </c>
      <c r="AC11" s="905">
        <v>66.456500921348578</v>
      </c>
      <c r="AD11" s="905">
        <v>66.608416129555962</v>
      </c>
      <c r="AE11" s="905">
        <v>66.871606731059842</v>
      </c>
      <c r="AF11" s="905">
        <v>67.186885346100738</v>
      </c>
      <c r="AG11" s="905">
        <v>67.491028315824451</v>
      </c>
      <c r="AH11" s="905">
        <v>67.813662327374558</v>
      </c>
      <c r="AI11" s="905">
        <v>68.119485259289689</v>
      </c>
      <c r="AJ11" s="905">
        <v>68.485985783428362</v>
      </c>
      <c r="AK11" s="905">
        <v>68.804716325766748</v>
      </c>
      <c r="AL11" s="905">
        <v>69.210137320585034</v>
      </c>
      <c r="AM11" s="905">
        <v>69.629153565226716</v>
      </c>
      <c r="AN11" s="905">
        <v>69.888715271402702</v>
      </c>
      <c r="AO11" s="905">
        <v>70.084456101768211</v>
      </c>
      <c r="AP11" s="905">
        <v>70.272172923577358</v>
      </c>
      <c r="AQ11" s="905">
        <v>70.392245557902385</v>
      </c>
      <c r="AR11" s="905">
        <v>70.55767861077635</v>
      </c>
      <c r="AS11" s="905">
        <v>70.600149863082493</v>
      </c>
      <c r="AT11" s="905">
        <v>70.635159019048317</v>
      </c>
      <c r="AU11" s="905">
        <v>70.690047914249362</v>
      </c>
      <c r="AV11" s="905">
        <v>70.741196466866597</v>
      </c>
      <c r="AW11" s="905">
        <v>71.029383064060653</v>
      </c>
      <c r="AX11" s="905">
        <v>71.127012740143499</v>
      </c>
      <c r="AY11" s="905">
        <v>71.230212812308508</v>
      </c>
      <c r="AZ11" s="905">
        <v>71.282442163044081</v>
      </c>
      <c r="BA11" s="905">
        <v>71.345297114689316</v>
      </c>
      <c r="BB11" s="905">
        <v>71.472207244848477</v>
      </c>
      <c r="BC11" s="905">
        <v>71.568342392009527</v>
      </c>
      <c r="BD11" s="905">
        <v>71.695755604005086</v>
      </c>
      <c r="BE11" s="905">
        <v>71.831126715752248</v>
      </c>
      <c r="BF11" s="905">
        <v>72.012362578214635</v>
      </c>
      <c r="BG11" s="905">
        <v>72.159947317352334</v>
      </c>
      <c r="BH11" s="905">
        <v>72.406105622468615</v>
      </c>
      <c r="BI11" s="905">
        <v>72.567841980736219</v>
      </c>
      <c r="BJ11" s="905">
        <v>72.782794229889362</v>
      </c>
      <c r="BK11" s="905">
        <v>72.975454768371876</v>
      </c>
      <c r="BL11" s="905">
        <v>73.233735883962069</v>
      </c>
      <c r="BM11" s="905">
        <v>73.481652866092105</v>
      </c>
      <c r="BN11" s="905">
        <v>73.691590828090824</v>
      </c>
      <c r="BO11" s="905">
        <v>73.894932863735164</v>
      </c>
      <c r="BP11" s="905">
        <v>74.112825649853534</v>
      </c>
      <c r="BQ11" s="905">
        <v>74.311292824630073</v>
      </c>
      <c r="BR11" s="905">
        <v>74.500564153745245</v>
      </c>
      <c r="BS11" s="905">
        <v>74.679511030653416</v>
      </c>
      <c r="BT11" s="905">
        <v>74.859859110203814</v>
      </c>
      <c r="BU11" s="905">
        <v>75.001466705517856</v>
      </c>
      <c r="BV11" s="905">
        <v>75.187538748490852</v>
      </c>
      <c r="BW11" s="905">
        <v>75.363249725047396</v>
      </c>
      <c r="BX11" s="905">
        <v>75.527797976997419</v>
      </c>
      <c r="BY11" s="905">
        <v>75.687119857410849</v>
      </c>
      <c r="BZ11" s="905">
        <v>75.837335639654285</v>
      </c>
      <c r="CA11" s="905">
        <v>75.98673850719625</v>
      </c>
      <c r="CB11" s="905">
        <v>76.144039630726667</v>
      </c>
      <c r="CC11" s="905">
        <v>76.308713726850257</v>
      </c>
      <c r="CD11" s="905">
        <v>76.475670804696051</v>
      </c>
      <c r="CE11" s="905">
        <v>76.640476932258309</v>
      </c>
      <c r="CF11" s="905">
        <v>76.808198078283795</v>
      </c>
      <c r="CG11" s="905">
        <v>76.970218774455475</v>
      </c>
      <c r="CH11" s="905">
        <v>77.136480596810486</v>
      </c>
      <c r="CI11" s="905">
        <v>77.327644987974281</v>
      </c>
      <c r="CJ11" s="905">
        <v>77.473167155785859</v>
      </c>
      <c r="CK11" s="905">
        <v>77.633086120034108</v>
      </c>
      <c r="CL11" s="905">
        <v>77.803632197442369</v>
      </c>
      <c r="CM11" s="905">
        <v>77.969483203845783</v>
      </c>
      <c r="CN11" s="905">
        <v>78.127572694505815</v>
      </c>
      <c r="CO11" s="905">
        <v>78.27850565629916</v>
      </c>
      <c r="CP11" s="905">
        <v>78.434673008622497</v>
      </c>
      <c r="CQ11" s="905">
        <v>78.583636800857704</v>
      </c>
      <c r="CR11" s="905">
        <v>78.724695414713366</v>
      </c>
      <c r="CS11" s="905">
        <v>78.889132622868232</v>
      </c>
      <c r="CT11" s="905">
        <v>79.036553868551536</v>
      </c>
      <c r="CU11" s="905">
        <v>79.176175617322059</v>
      </c>
      <c r="CV11" s="905">
        <v>79.316223556745186</v>
      </c>
      <c r="CW11" s="905">
        <v>79.46002917134436</v>
      </c>
      <c r="CX11" s="905">
        <v>79.599133461974162</v>
      </c>
      <c r="CY11" s="905">
        <v>79.741280589190268</v>
      </c>
      <c r="CZ11" s="905">
        <v>79.88111067053606</v>
      </c>
      <c r="DA11" s="905">
        <v>80.013622173779837</v>
      </c>
      <c r="DB11" s="905">
        <v>80.159227347808709</v>
      </c>
      <c r="DC11" s="905">
        <v>80.2940631404432</v>
      </c>
      <c r="DD11" s="905">
        <v>80.427098790707575</v>
      </c>
      <c r="DE11" s="905">
        <v>80.567222911225315</v>
      </c>
      <c r="DF11" s="905">
        <v>80.699569196010046</v>
      </c>
      <c r="DG11" s="905">
        <v>80.835343562193742</v>
      </c>
      <c r="DH11" s="905">
        <v>80.966311672333717</v>
      </c>
      <c r="DI11" s="905">
        <v>81.096609190299773</v>
      </c>
      <c r="DJ11" s="905">
        <v>81.226604078834384</v>
      </c>
      <c r="DK11" s="905">
        <v>81.356045487445087</v>
      </c>
      <c r="DL11" s="905">
        <v>81.484237870243959</v>
      </c>
      <c r="DM11" s="905">
        <v>81.611201865754367</v>
      </c>
      <c r="DN11" s="905">
        <v>81.7369491683761</v>
      </c>
      <c r="DO11" s="905">
        <v>81.861491546724807</v>
      </c>
      <c r="DP11" s="905">
        <v>81.984840486670763</v>
      </c>
      <c r="DQ11" s="905">
        <v>82.107007065223186</v>
      </c>
      <c r="DR11" s="905">
        <v>82.228001940418039</v>
      </c>
      <c r="DS11" s="905">
        <v>82.347835400019392</v>
      </c>
      <c r="DT11" s="905">
        <v>82.466517429617141</v>
      </c>
      <c r="DU11" s="905">
        <v>82.584057788731755</v>
      </c>
    </row>
    <row r="12" spans="1:125" s="127" customFormat="1" ht="12.75">
      <c r="A12" s="908">
        <v>10</v>
      </c>
      <c r="B12" s="905"/>
      <c r="C12" s="905"/>
      <c r="D12" s="905"/>
      <c r="E12" s="905"/>
      <c r="F12" s="905"/>
      <c r="G12" s="905"/>
      <c r="H12" s="905"/>
      <c r="I12" s="905"/>
      <c r="J12" s="905"/>
      <c r="K12" s="905"/>
      <c r="L12" s="905"/>
      <c r="M12" s="905"/>
      <c r="N12" s="905"/>
      <c r="O12" s="905"/>
      <c r="P12" s="905"/>
      <c r="Q12" s="905"/>
      <c r="R12" s="905"/>
      <c r="S12" s="905"/>
      <c r="T12" s="905"/>
      <c r="U12" s="905"/>
      <c r="V12" s="905"/>
      <c r="W12" s="905"/>
      <c r="X12" s="905"/>
      <c r="Y12" s="905">
        <v>64.5739375126673</v>
      </c>
      <c r="Z12" s="905">
        <v>64.848163649615387</v>
      </c>
      <c r="AA12" s="905">
        <v>65.089326094268046</v>
      </c>
      <c r="AB12" s="905">
        <v>65.354449361510575</v>
      </c>
      <c r="AC12" s="905">
        <v>65.561481259201599</v>
      </c>
      <c r="AD12" s="905">
        <v>65.703589109521019</v>
      </c>
      <c r="AE12" s="905">
        <v>65.964536725037192</v>
      </c>
      <c r="AF12" s="905">
        <v>66.285324534633475</v>
      </c>
      <c r="AG12" s="905">
        <v>66.589923116980259</v>
      </c>
      <c r="AH12" s="905">
        <v>66.913042692014329</v>
      </c>
      <c r="AI12" s="905">
        <v>67.219322103853969</v>
      </c>
      <c r="AJ12" s="905">
        <v>67.596423010417993</v>
      </c>
      <c r="AK12" s="905">
        <v>67.930832823335393</v>
      </c>
      <c r="AL12" s="905">
        <v>68.36243664784979</v>
      </c>
      <c r="AM12" s="905">
        <v>68.712087601393819</v>
      </c>
      <c r="AN12" s="905">
        <v>68.971965474413196</v>
      </c>
      <c r="AO12" s="905">
        <v>69.150004412960797</v>
      </c>
      <c r="AP12" s="905">
        <v>69.316119384627683</v>
      </c>
      <c r="AQ12" s="905">
        <v>69.436275276552522</v>
      </c>
      <c r="AR12" s="905">
        <v>69.601827265652602</v>
      </c>
      <c r="AS12" s="905">
        <v>69.636740224824479</v>
      </c>
      <c r="AT12" s="905">
        <v>69.669383048321777</v>
      </c>
      <c r="AU12" s="905">
        <v>69.722136401330289</v>
      </c>
      <c r="AV12" s="905">
        <v>69.774424483865161</v>
      </c>
      <c r="AW12" s="905">
        <v>70.062913060946826</v>
      </c>
      <c r="AX12" s="905">
        <v>70.15881995684299</v>
      </c>
      <c r="AY12" s="905">
        <v>70.262269413265813</v>
      </c>
      <c r="AZ12" s="905">
        <v>70.313229830567039</v>
      </c>
      <c r="BA12" s="905">
        <v>70.374363442255643</v>
      </c>
      <c r="BB12" s="905">
        <v>70.502816535664323</v>
      </c>
      <c r="BC12" s="905">
        <v>70.596445207618018</v>
      </c>
      <c r="BD12" s="905">
        <v>70.725279980229942</v>
      </c>
      <c r="BE12" s="905">
        <v>70.859828783380834</v>
      </c>
      <c r="BF12" s="905">
        <v>71.040261519326492</v>
      </c>
      <c r="BG12" s="905">
        <v>71.188472832273447</v>
      </c>
      <c r="BH12" s="905">
        <v>71.435204313002288</v>
      </c>
      <c r="BI12" s="905">
        <v>71.596966382368734</v>
      </c>
      <c r="BJ12" s="905">
        <v>71.812668628867542</v>
      </c>
      <c r="BK12" s="905">
        <v>72.003839971705133</v>
      </c>
      <c r="BL12" s="905">
        <v>72.261329136160654</v>
      </c>
      <c r="BM12" s="905">
        <v>72.509255189639617</v>
      </c>
      <c r="BN12" s="905">
        <v>72.716436472985606</v>
      </c>
      <c r="BO12" s="905">
        <v>72.917230446978223</v>
      </c>
      <c r="BP12" s="905">
        <v>73.136153794096316</v>
      </c>
      <c r="BQ12" s="905">
        <v>73.33260747417124</v>
      </c>
      <c r="BR12" s="905">
        <v>73.524526221355913</v>
      </c>
      <c r="BS12" s="905">
        <v>73.701169557637414</v>
      </c>
      <c r="BT12" s="905">
        <v>73.880290194266649</v>
      </c>
      <c r="BU12" s="905">
        <v>74.019844028019179</v>
      </c>
      <c r="BV12" s="905">
        <v>74.205504241841354</v>
      </c>
      <c r="BW12" s="905">
        <v>74.379633784031228</v>
      </c>
      <c r="BX12" s="905">
        <v>74.546069853786946</v>
      </c>
      <c r="BY12" s="905">
        <v>74.704243849595429</v>
      </c>
      <c r="BZ12" s="905">
        <v>74.851441106745767</v>
      </c>
      <c r="CA12" s="905">
        <v>75.00122044650594</v>
      </c>
      <c r="CB12" s="905">
        <v>75.159323768306393</v>
      </c>
      <c r="CC12" s="905">
        <v>75.32338786327837</v>
      </c>
      <c r="CD12" s="905">
        <v>75.487092029754308</v>
      </c>
      <c r="CE12" s="905">
        <v>75.654427406488423</v>
      </c>
      <c r="CF12" s="905">
        <v>75.820013433995001</v>
      </c>
      <c r="CG12" s="905">
        <v>75.980905810900438</v>
      </c>
      <c r="CH12" s="905">
        <v>76.146521969332298</v>
      </c>
      <c r="CI12" s="905">
        <v>76.339240778788309</v>
      </c>
      <c r="CJ12" s="905">
        <v>76.482494574129134</v>
      </c>
      <c r="CK12" s="905">
        <v>76.642933006979774</v>
      </c>
      <c r="CL12" s="905">
        <v>76.81182451981249</v>
      </c>
      <c r="CM12" s="905">
        <v>76.977243863973598</v>
      </c>
      <c r="CN12" s="905">
        <v>77.136357995104561</v>
      </c>
      <c r="CO12" s="905">
        <v>77.287397917329955</v>
      </c>
      <c r="CP12" s="905">
        <v>77.442207338469842</v>
      </c>
      <c r="CQ12" s="905">
        <v>77.589946936911446</v>
      </c>
      <c r="CR12" s="905">
        <v>77.731967431621442</v>
      </c>
      <c r="CS12" s="905">
        <v>77.895286833676039</v>
      </c>
      <c r="CT12" s="905">
        <v>78.043207495659757</v>
      </c>
      <c r="CU12" s="905">
        <v>78.182566477501339</v>
      </c>
      <c r="CV12" s="905">
        <v>78.322437246631154</v>
      </c>
      <c r="CW12" s="905">
        <v>78.465520702444252</v>
      </c>
      <c r="CX12" s="905">
        <v>78.604826663773594</v>
      </c>
      <c r="CY12" s="905">
        <v>78.74775097374274</v>
      </c>
      <c r="CZ12" s="905">
        <v>78.886667924309634</v>
      </c>
      <c r="DA12" s="905">
        <v>79.019793165999886</v>
      </c>
      <c r="DB12" s="905">
        <v>79.166095257960279</v>
      </c>
      <c r="DC12" s="905">
        <v>79.299354458940456</v>
      </c>
      <c r="DD12" s="905">
        <v>79.432874112824123</v>
      </c>
      <c r="DE12" s="905">
        <v>79.572457794748971</v>
      </c>
      <c r="DF12" s="905">
        <v>79.704927954845104</v>
      </c>
      <c r="DG12" s="905">
        <v>79.84057893701231</v>
      </c>
      <c r="DH12" s="905">
        <v>79.971595606115088</v>
      </c>
      <c r="DI12" s="905">
        <v>80.101863422291586</v>
      </c>
      <c r="DJ12" s="905">
        <v>80.231725520057608</v>
      </c>
      <c r="DK12" s="905">
        <v>80.360975044355897</v>
      </c>
      <c r="DL12" s="905">
        <v>80.488991273506429</v>
      </c>
      <c r="DM12" s="905">
        <v>80.615785345658438</v>
      </c>
      <c r="DN12" s="905">
        <v>80.741368738278013</v>
      </c>
      <c r="DO12" s="905">
        <v>80.865753010433338</v>
      </c>
      <c r="DP12" s="905">
        <v>80.988949445570142</v>
      </c>
      <c r="DQ12" s="905">
        <v>81.110968925155973</v>
      </c>
      <c r="DR12" s="905">
        <v>81.231821918342689</v>
      </c>
      <c r="DS12" s="905">
        <v>81.351518530452779</v>
      </c>
      <c r="DT12" s="905">
        <v>81.470068570869358</v>
      </c>
      <c r="DU12" s="905">
        <v>81.587481628939543</v>
      </c>
    </row>
    <row r="13" spans="1:125" s="127" customFormat="1" ht="12.75">
      <c r="A13" s="908">
        <v>11</v>
      </c>
      <c r="B13" s="905"/>
      <c r="C13" s="905"/>
      <c r="D13" s="905"/>
      <c r="E13" s="905"/>
      <c r="F13" s="905"/>
      <c r="G13" s="905"/>
      <c r="H13" s="905"/>
      <c r="I13" s="905"/>
      <c r="J13" s="905"/>
      <c r="K13" s="905"/>
      <c r="L13" s="905"/>
      <c r="M13" s="905"/>
      <c r="N13" s="905"/>
      <c r="O13" s="905"/>
      <c r="P13" s="905"/>
      <c r="Q13" s="905"/>
      <c r="R13" s="905"/>
      <c r="S13" s="905"/>
      <c r="T13" s="905"/>
      <c r="U13" s="905"/>
      <c r="V13" s="905"/>
      <c r="W13" s="905"/>
      <c r="X13" s="905"/>
      <c r="Y13" s="905">
        <v>63.652851678983083</v>
      </c>
      <c r="Z13" s="905">
        <v>63.927413891866799</v>
      </c>
      <c r="AA13" s="905">
        <v>64.184710238782685</v>
      </c>
      <c r="AB13" s="905">
        <v>64.445860398574595</v>
      </c>
      <c r="AC13" s="905">
        <v>64.644422094525908</v>
      </c>
      <c r="AD13" s="905">
        <v>64.78441499234259</v>
      </c>
      <c r="AE13" s="905">
        <v>65.050087785786985</v>
      </c>
      <c r="AF13" s="905">
        <v>65.37129650903421</v>
      </c>
      <c r="AG13" s="905">
        <v>65.676298727642148</v>
      </c>
      <c r="AH13" s="905">
        <v>65.99984835623934</v>
      </c>
      <c r="AI13" s="905">
        <v>66.315265907505108</v>
      </c>
      <c r="AJ13" s="905">
        <v>66.706092877211731</v>
      </c>
      <c r="AK13" s="905">
        <v>67.063139554853166</v>
      </c>
      <c r="AL13" s="905">
        <v>67.441719149232625</v>
      </c>
      <c r="AM13" s="905">
        <v>67.791795196066815</v>
      </c>
      <c r="AN13" s="905">
        <v>68.034786566007398</v>
      </c>
      <c r="AO13" s="905">
        <v>68.189797641453168</v>
      </c>
      <c r="AP13" s="905">
        <v>68.35601406285366</v>
      </c>
      <c r="AQ13" s="905">
        <v>68.47624725546882</v>
      </c>
      <c r="AR13" s="905">
        <v>68.635330006179231</v>
      </c>
      <c r="AS13" s="905">
        <v>68.667050309425292</v>
      </c>
      <c r="AT13" s="905">
        <v>68.698869727291566</v>
      </c>
      <c r="AU13" s="905">
        <v>68.750728206137069</v>
      </c>
      <c r="AV13" s="905">
        <v>68.80319748309762</v>
      </c>
      <c r="AW13" s="905">
        <v>69.093529189429134</v>
      </c>
      <c r="AX13" s="905">
        <v>69.184986860575322</v>
      </c>
      <c r="AY13" s="905">
        <v>69.289385427598077</v>
      </c>
      <c r="AZ13" s="905">
        <v>69.337485570567409</v>
      </c>
      <c r="BA13" s="905">
        <v>69.401147251477667</v>
      </c>
      <c r="BB13" s="905">
        <v>69.52730690417215</v>
      </c>
      <c r="BC13" s="905">
        <v>69.619759447535699</v>
      </c>
      <c r="BD13" s="905">
        <v>69.752938473443564</v>
      </c>
      <c r="BE13" s="905">
        <v>69.886545992039572</v>
      </c>
      <c r="BF13" s="905">
        <v>70.067167327590226</v>
      </c>
      <c r="BG13" s="905">
        <v>70.215670164744779</v>
      </c>
      <c r="BH13" s="905">
        <v>70.463022437502076</v>
      </c>
      <c r="BI13" s="905">
        <v>70.626632191894558</v>
      </c>
      <c r="BJ13" s="905">
        <v>70.839609996763585</v>
      </c>
      <c r="BK13" s="905">
        <v>71.030765560464658</v>
      </c>
      <c r="BL13" s="905">
        <v>71.285771790303485</v>
      </c>
      <c r="BM13" s="905">
        <v>71.531047806409816</v>
      </c>
      <c r="BN13" s="905">
        <v>71.735779627019809</v>
      </c>
      <c r="BO13" s="905">
        <v>71.938585630739723</v>
      </c>
      <c r="BP13" s="905">
        <v>72.156017693178001</v>
      </c>
      <c r="BQ13" s="905">
        <v>72.351617736365142</v>
      </c>
      <c r="BR13" s="905">
        <v>72.542659246300374</v>
      </c>
      <c r="BS13" s="905">
        <v>72.719399474448224</v>
      </c>
      <c r="BT13" s="905">
        <v>72.900214120466956</v>
      </c>
      <c r="BU13" s="905">
        <v>73.035527989340977</v>
      </c>
      <c r="BV13" s="905">
        <v>73.220056521029818</v>
      </c>
      <c r="BW13" s="905">
        <v>73.394216786133327</v>
      </c>
      <c r="BX13" s="905">
        <v>73.559406566004299</v>
      </c>
      <c r="BY13" s="905">
        <v>73.717758158268822</v>
      </c>
      <c r="BZ13" s="905">
        <v>73.866326269134689</v>
      </c>
      <c r="CA13" s="905">
        <v>74.013588194350604</v>
      </c>
      <c r="CB13" s="905">
        <v>74.170928063195447</v>
      </c>
      <c r="CC13" s="905">
        <v>74.336469392039447</v>
      </c>
      <c r="CD13" s="905">
        <v>74.499110348563448</v>
      </c>
      <c r="CE13" s="905">
        <v>74.665328289999337</v>
      </c>
      <c r="CF13" s="905">
        <v>74.831826344481172</v>
      </c>
      <c r="CG13" s="905">
        <v>74.992546464383508</v>
      </c>
      <c r="CH13" s="905">
        <v>75.155503082211908</v>
      </c>
      <c r="CI13" s="905">
        <v>75.349150753509917</v>
      </c>
      <c r="CJ13" s="905">
        <v>75.491278270652586</v>
      </c>
      <c r="CK13" s="905">
        <v>75.65217049070867</v>
      </c>
      <c r="CL13" s="905">
        <v>75.81956257743596</v>
      </c>
      <c r="CM13" s="905">
        <v>75.98567281241759</v>
      </c>
      <c r="CN13" s="905">
        <v>76.143905160321964</v>
      </c>
      <c r="CO13" s="905">
        <v>76.294151425352908</v>
      </c>
      <c r="CP13" s="905">
        <v>76.450000165658267</v>
      </c>
      <c r="CQ13" s="905">
        <v>76.595731543169919</v>
      </c>
      <c r="CR13" s="905">
        <v>76.739142756531294</v>
      </c>
      <c r="CS13" s="905">
        <v>76.901024859075761</v>
      </c>
      <c r="CT13" s="905">
        <v>77.04871242843214</v>
      </c>
      <c r="CU13" s="905">
        <v>77.18981352372225</v>
      </c>
      <c r="CV13" s="905">
        <v>77.328564991191257</v>
      </c>
      <c r="CW13" s="905">
        <v>77.471803921301259</v>
      </c>
      <c r="CX13" s="905">
        <v>77.611623637704696</v>
      </c>
      <c r="CY13" s="905">
        <v>77.752738806892125</v>
      </c>
      <c r="CZ13" s="905">
        <v>77.891764801351854</v>
      </c>
      <c r="DA13" s="905">
        <v>78.024258987931518</v>
      </c>
      <c r="DB13" s="905">
        <v>78.171128164103777</v>
      </c>
      <c r="DC13" s="905">
        <v>78.305281692214152</v>
      </c>
      <c r="DD13" s="905">
        <v>78.438112904654446</v>
      </c>
      <c r="DE13" s="905">
        <v>78.577397642099484</v>
      </c>
      <c r="DF13" s="905">
        <v>78.710471616004384</v>
      </c>
      <c r="DG13" s="905">
        <v>78.845424597959635</v>
      </c>
      <c r="DH13" s="905">
        <v>78.975587901111936</v>
      </c>
      <c r="DI13" s="905">
        <v>79.10659302442113</v>
      </c>
      <c r="DJ13" s="905">
        <v>79.236898417759477</v>
      </c>
      <c r="DK13" s="905">
        <v>79.365966275902878</v>
      </c>
      <c r="DL13" s="905">
        <v>79.493807147770781</v>
      </c>
      <c r="DM13" s="905">
        <v>79.620431956082825</v>
      </c>
      <c r="DN13" s="905">
        <v>79.745851970072096</v>
      </c>
      <c r="DO13" s="905">
        <v>79.8700785475217</v>
      </c>
      <c r="DP13" s="905">
        <v>79.99312277729625</v>
      </c>
      <c r="DQ13" s="905">
        <v>80.11499535276451</v>
      </c>
      <c r="DR13" s="905">
        <v>80.235706561254617</v>
      </c>
      <c r="DS13" s="905">
        <v>80.355266332342723</v>
      </c>
      <c r="DT13" s="905">
        <v>80.473684305551984</v>
      </c>
      <c r="DU13" s="905">
        <v>80.590969906070455</v>
      </c>
    </row>
    <row r="14" spans="1:125" s="127" customFormat="1" ht="12.75">
      <c r="A14" s="908">
        <v>12</v>
      </c>
      <c r="B14" s="905"/>
      <c r="C14" s="905"/>
      <c r="D14" s="905"/>
      <c r="E14" s="905"/>
      <c r="F14" s="905"/>
      <c r="G14" s="905"/>
      <c r="H14" s="905"/>
      <c r="I14" s="905"/>
      <c r="J14" s="905"/>
      <c r="K14" s="905"/>
      <c r="L14" s="905"/>
      <c r="M14" s="905"/>
      <c r="N14" s="905"/>
      <c r="O14" s="905"/>
      <c r="P14" s="905"/>
      <c r="Q14" s="905"/>
      <c r="R14" s="905"/>
      <c r="S14" s="905"/>
      <c r="T14" s="905"/>
      <c r="U14" s="905"/>
      <c r="V14" s="905"/>
      <c r="W14" s="905"/>
      <c r="X14" s="905"/>
      <c r="Y14" s="905">
        <v>62.723996923702956</v>
      </c>
      <c r="Z14" s="905">
        <v>63.013084430645392</v>
      </c>
      <c r="AA14" s="905">
        <v>63.266812367610719</v>
      </c>
      <c r="AB14" s="905">
        <v>63.520429855240586</v>
      </c>
      <c r="AC14" s="905">
        <v>63.717159080444766</v>
      </c>
      <c r="AD14" s="905">
        <v>63.861260440120084</v>
      </c>
      <c r="AE14" s="905">
        <v>64.12724863735238</v>
      </c>
      <c r="AF14" s="905">
        <v>64.448842955674678</v>
      </c>
      <c r="AG14" s="905">
        <v>64.754215061406867</v>
      </c>
      <c r="AH14" s="905">
        <v>65.086000271505227</v>
      </c>
      <c r="AI14" s="905">
        <v>65.413660096329707</v>
      </c>
      <c r="AJ14" s="905">
        <v>65.824908676806203</v>
      </c>
      <c r="AK14" s="905">
        <v>66.139236488714786</v>
      </c>
      <c r="AL14" s="905">
        <v>66.518256954707255</v>
      </c>
      <c r="AM14" s="905">
        <v>66.852212673252069</v>
      </c>
      <c r="AN14" s="905">
        <v>67.073254535673698</v>
      </c>
      <c r="AO14" s="905">
        <v>67.228351812286732</v>
      </c>
      <c r="AP14" s="905">
        <v>67.394668083294874</v>
      </c>
      <c r="AQ14" s="905">
        <v>67.509379895033831</v>
      </c>
      <c r="AR14" s="905">
        <v>67.664279099136692</v>
      </c>
      <c r="AS14" s="905">
        <v>67.696768463856131</v>
      </c>
      <c r="AT14" s="905">
        <v>67.727953663427684</v>
      </c>
      <c r="AU14" s="905">
        <v>67.780732405343358</v>
      </c>
      <c r="AV14" s="905">
        <v>67.829163435673109</v>
      </c>
      <c r="AW14" s="905">
        <v>68.120287464926619</v>
      </c>
      <c r="AX14" s="905">
        <v>68.210817992981873</v>
      </c>
      <c r="AY14" s="905">
        <v>68.314249878247466</v>
      </c>
      <c r="AZ14" s="905">
        <v>68.364349172257477</v>
      </c>
      <c r="BA14" s="905">
        <v>68.424631074466006</v>
      </c>
      <c r="BB14" s="905">
        <v>68.550824897906537</v>
      </c>
      <c r="BC14" s="905">
        <v>68.644625626781078</v>
      </c>
      <c r="BD14" s="905">
        <v>68.779261156877197</v>
      </c>
      <c r="BE14" s="905">
        <v>68.911866959463225</v>
      </c>
      <c r="BF14" s="905">
        <v>69.094101691830019</v>
      </c>
      <c r="BG14" s="905">
        <v>69.238851629844063</v>
      </c>
      <c r="BH14" s="905">
        <v>69.486983994321207</v>
      </c>
      <c r="BI14" s="905">
        <v>69.650573820847626</v>
      </c>
      <c r="BJ14" s="905">
        <v>69.862389531382917</v>
      </c>
      <c r="BK14" s="905">
        <v>70.05370123664926</v>
      </c>
      <c r="BL14" s="905">
        <v>70.306361505367931</v>
      </c>
      <c r="BM14" s="905">
        <v>70.551176851422298</v>
      </c>
      <c r="BN14" s="905">
        <v>70.757251326495492</v>
      </c>
      <c r="BO14" s="905">
        <v>70.960012462562432</v>
      </c>
      <c r="BP14" s="905">
        <v>71.175286243139496</v>
      </c>
      <c r="BQ14" s="905">
        <v>71.370377811940898</v>
      </c>
      <c r="BR14" s="905">
        <v>71.55949810554668</v>
      </c>
      <c r="BS14" s="905">
        <v>71.737492342523865</v>
      </c>
      <c r="BT14" s="905">
        <v>71.918976239568934</v>
      </c>
      <c r="BU14" s="905">
        <v>72.051373467250002</v>
      </c>
      <c r="BV14" s="905">
        <v>72.234458507845716</v>
      </c>
      <c r="BW14" s="905">
        <v>72.406672002383516</v>
      </c>
      <c r="BX14" s="905">
        <v>72.573812945645997</v>
      </c>
      <c r="BY14" s="905">
        <v>72.728831100219452</v>
      </c>
      <c r="BZ14" s="905">
        <v>72.881388360341248</v>
      </c>
      <c r="CA14" s="905">
        <v>73.024491693358129</v>
      </c>
      <c r="CB14" s="905">
        <v>73.184887775720966</v>
      </c>
      <c r="CC14" s="905">
        <v>73.350727921264621</v>
      </c>
      <c r="CD14" s="905">
        <v>73.511107528457401</v>
      </c>
      <c r="CE14" s="905">
        <v>73.676403352698458</v>
      </c>
      <c r="CF14" s="905">
        <v>73.844593889949905</v>
      </c>
      <c r="CG14" s="905">
        <v>74.00358393247808</v>
      </c>
      <c r="CH14" s="905">
        <v>74.165007382586907</v>
      </c>
      <c r="CI14" s="905">
        <v>74.357275896122928</v>
      </c>
      <c r="CJ14" s="905">
        <v>74.50029075105526</v>
      </c>
      <c r="CK14" s="905">
        <v>74.661080395267874</v>
      </c>
      <c r="CL14" s="905">
        <v>74.828764919686833</v>
      </c>
      <c r="CM14" s="905">
        <v>74.993913629295577</v>
      </c>
      <c r="CN14" s="905">
        <v>75.153127737284407</v>
      </c>
      <c r="CO14" s="905">
        <v>75.302908445042021</v>
      </c>
      <c r="CP14" s="905">
        <v>75.459391637401467</v>
      </c>
      <c r="CQ14" s="905">
        <v>75.603963092148945</v>
      </c>
      <c r="CR14" s="905">
        <v>75.747036901980337</v>
      </c>
      <c r="CS14" s="905">
        <v>75.906886108301592</v>
      </c>
      <c r="CT14" s="905">
        <v>76.056117747980466</v>
      </c>
      <c r="CU14" s="905">
        <v>76.196020368727346</v>
      </c>
      <c r="CV14" s="905">
        <v>76.335574860485195</v>
      </c>
      <c r="CW14" s="905">
        <v>76.476934248959012</v>
      </c>
      <c r="CX14" s="905">
        <v>76.618310956433589</v>
      </c>
      <c r="CY14" s="905">
        <v>76.757401319882177</v>
      </c>
      <c r="CZ14" s="905">
        <v>76.896736514380578</v>
      </c>
      <c r="DA14" s="905">
        <v>77.030696751801514</v>
      </c>
      <c r="DB14" s="905">
        <v>77.17759034124478</v>
      </c>
      <c r="DC14" s="905">
        <v>77.311136959625543</v>
      </c>
      <c r="DD14" s="905">
        <v>77.44440127558552</v>
      </c>
      <c r="DE14" s="905">
        <v>77.583426435644654</v>
      </c>
      <c r="DF14" s="905">
        <v>77.716001161788228</v>
      </c>
      <c r="DG14" s="905">
        <v>77.849665287932751</v>
      </c>
      <c r="DH14" s="905">
        <v>77.980873552764578</v>
      </c>
      <c r="DI14" s="905">
        <v>78.112225467162688</v>
      </c>
      <c r="DJ14" s="905">
        <v>78.242336477889637</v>
      </c>
      <c r="DK14" s="905">
        <v>78.37121658068159</v>
      </c>
      <c r="DL14" s="905">
        <v>78.498876102574116</v>
      </c>
      <c r="DM14" s="905">
        <v>78.625325751660398</v>
      </c>
      <c r="DN14" s="905">
        <v>78.750576589572546</v>
      </c>
      <c r="DO14" s="905">
        <v>78.874639773279284</v>
      </c>
      <c r="DP14" s="905">
        <v>78.997526197382001</v>
      </c>
      <c r="DQ14" s="905">
        <v>79.119246367325076</v>
      </c>
      <c r="DR14" s="905">
        <v>79.239810388653325</v>
      </c>
      <c r="DS14" s="905">
        <v>79.359228015111938</v>
      </c>
      <c r="DT14" s="905">
        <v>79.4775087161633</v>
      </c>
      <c r="DU14" s="905">
        <v>79.594661752527543</v>
      </c>
    </row>
    <row r="15" spans="1:125" s="127" customFormat="1" ht="12.75">
      <c r="A15" s="908">
        <v>13</v>
      </c>
      <c r="B15" s="905"/>
      <c r="C15" s="905"/>
      <c r="D15" s="905"/>
      <c r="E15" s="905"/>
      <c r="F15" s="905"/>
      <c r="G15" s="905"/>
      <c r="H15" s="905"/>
      <c r="I15" s="905"/>
      <c r="J15" s="905"/>
      <c r="K15" s="905"/>
      <c r="L15" s="905"/>
      <c r="M15" s="905"/>
      <c r="N15" s="905"/>
      <c r="O15" s="905"/>
      <c r="P15" s="905"/>
      <c r="Q15" s="905"/>
      <c r="R15" s="905"/>
      <c r="S15" s="905"/>
      <c r="T15" s="905"/>
      <c r="U15" s="905"/>
      <c r="V15" s="905"/>
      <c r="W15" s="905"/>
      <c r="X15" s="905"/>
      <c r="Y15" s="905">
        <v>61.810840420887985</v>
      </c>
      <c r="Z15" s="905">
        <v>62.100329606084912</v>
      </c>
      <c r="AA15" s="905">
        <v>62.348129479898112</v>
      </c>
      <c r="AB15" s="905">
        <v>62.595764217688796</v>
      </c>
      <c r="AC15" s="905">
        <v>62.799048637525843</v>
      </c>
      <c r="AD15" s="905">
        <v>62.943331889871914</v>
      </c>
      <c r="AE15" s="905">
        <v>63.209662585472948</v>
      </c>
      <c r="AF15" s="905">
        <v>63.531675021734827</v>
      </c>
      <c r="AG15" s="905">
        <v>63.845782884157202</v>
      </c>
      <c r="AH15" s="905">
        <v>64.190621169672909</v>
      </c>
      <c r="AI15" s="905">
        <v>64.539889159715628</v>
      </c>
      <c r="AJ15" s="905">
        <v>64.897711866912687</v>
      </c>
      <c r="AK15" s="905">
        <v>65.212396530812669</v>
      </c>
      <c r="AL15" s="905">
        <v>65.57388588787633</v>
      </c>
      <c r="AM15" s="905">
        <v>65.891014157100386</v>
      </c>
      <c r="AN15" s="905">
        <v>66.112186473092635</v>
      </c>
      <c r="AO15" s="905">
        <v>66.267372459422148</v>
      </c>
      <c r="AP15" s="905">
        <v>66.425616731219165</v>
      </c>
      <c r="AQ15" s="905">
        <v>66.5393873563537</v>
      </c>
      <c r="AR15" s="905">
        <v>66.691569884315541</v>
      </c>
      <c r="AS15" s="905">
        <v>66.724931453606501</v>
      </c>
      <c r="AT15" s="905">
        <v>66.755536864828144</v>
      </c>
      <c r="AU15" s="905">
        <v>66.807426187025158</v>
      </c>
      <c r="AV15" s="905">
        <v>66.855783064531153</v>
      </c>
      <c r="AW15" s="905">
        <v>67.146235820796022</v>
      </c>
      <c r="AX15" s="905">
        <v>67.233303097814769</v>
      </c>
      <c r="AY15" s="905">
        <v>67.339874289066273</v>
      </c>
      <c r="AZ15" s="905">
        <v>67.388449664217845</v>
      </c>
      <c r="BA15" s="905">
        <v>67.45095659373618</v>
      </c>
      <c r="BB15" s="905">
        <v>67.576267336964392</v>
      </c>
      <c r="BC15" s="905">
        <v>67.670900190942589</v>
      </c>
      <c r="BD15" s="905">
        <v>67.8044527304925</v>
      </c>
      <c r="BE15" s="905">
        <v>67.936162751653342</v>
      </c>
      <c r="BF15" s="905">
        <v>68.115936268699585</v>
      </c>
      <c r="BG15" s="905">
        <v>68.263949941548105</v>
      </c>
      <c r="BH15" s="905">
        <v>68.513878028917858</v>
      </c>
      <c r="BI15" s="905">
        <v>68.674422045840828</v>
      </c>
      <c r="BJ15" s="905">
        <v>68.887769507181929</v>
      </c>
      <c r="BK15" s="905">
        <v>69.073804595966322</v>
      </c>
      <c r="BL15" s="905">
        <v>69.327769630697844</v>
      </c>
      <c r="BM15" s="905">
        <v>69.572656699144886</v>
      </c>
      <c r="BN15" s="905">
        <v>69.779033836068123</v>
      </c>
      <c r="BO15" s="905">
        <v>69.980182746775526</v>
      </c>
      <c r="BP15" s="905">
        <v>70.193983192122502</v>
      </c>
      <c r="BQ15" s="905">
        <v>70.387833027759584</v>
      </c>
      <c r="BR15" s="905">
        <v>70.577314930415099</v>
      </c>
      <c r="BS15" s="905">
        <v>70.753324490615768</v>
      </c>
      <c r="BT15" s="905">
        <v>70.934814936505603</v>
      </c>
      <c r="BU15" s="905">
        <v>71.066506535839409</v>
      </c>
      <c r="BV15" s="905">
        <v>71.247627470435901</v>
      </c>
      <c r="BW15" s="905">
        <v>71.420703955077727</v>
      </c>
      <c r="BX15" s="905">
        <v>71.586557085340104</v>
      </c>
      <c r="BY15" s="905">
        <v>71.742017007268316</v>
      </c>
      <c r="BZ15" s="905">
        <v>71.893502387474342</v>
      </c>
      <c r="CA15" s="905">
        <v>72.036028440070083</v>
      </c>
      <c r="CB15" s="905">
        <v>72.196464854002954</v>
      </c>
      <c r="CC15" s="905">
        <v>72.363467090477428</v>
      </c>
      <c r="CD15" s="905">
        <v>72.523544628393878</v>
      </c>
      <c r="CE15" s="905">
        <v>72.688540638765886</v>
      </c>
      <c r="CF15" s="905">
        <v>72.854070893551523</v>
      </c>
      <c r="CG15" s="905">
        <v>73.012992127458773</v>
      </c>
      <c r="CH15" s="905">
        <v>73.175643854518</v>
      </c>
      <c r="CI15" s="905">
        <v>73.366291336202281</v>
      </c>
      <c r="CJ15" s="905">
        <v>73.5101894387778</v>
      </c>
      <c r="CK15" s="905">
        <v>73.67022431020709</v>
      </c>
      <c r="CL15" s="905">
        <v>73.838552266076221</v>
      </c>
      <c r="CM15" s="905">
        <v>74.003821509980369</v>
      </c>
      <c r="CN15" s="905">
        <v>74.161114102761019</v>
      </c>
      <c r="CO15" s="905">
        <v>74.309747670704894</v>
      </c>
      <c r="CP15" s="905">
        <v>74.467672843949316</v>
      </c>
      <c r="CQ15" s="905">
        <v>74.612158021540139</v>
      </c>
      <c r="CR15" s="905">
        <v>74.754873408074531</v>
      </c>
      <c r="CS15" s="905">
        <v>74.914140223748376</v>
      </c>
      <c r="CT15" s="905">
        <v>75.061920339953645</v>
      </c>
      <c r="CU15" s="905">
        <v>75.202858908262243</v>
      </c>
      <c r="CV15" s="905">
        <v>75.34307435534916</v>
      </c>
      <c r="CW15" s="905">
        <v>75.484658428989235</v>
      </c>
      <c r="CX15" s="905">
        <v>75.624020648702682</v>
      </c>
      <c r="CY15" s="905">
        <v>75.763296390990448</v>
      </c>
      <c r="CZ15" s="905">
        <v>75.903525991304292</v>
      </c>
      <c r="DA15" s="905">
        <v>76.036986832597933</v>
      </c>
      <c r="DB15" s="905">
        <v>76.182380562341748</v>
      </c>
      <c r="DC15" s="905">
        <v>76.317056039722544</v>
      </c>
      <c r="DD15" s="905">
        <v>76.451220135497465</v>
      </c>
      <c r="DE15" s="905">
        <v>76.588500701031634</v>
      </c>
      <c r="DF15" s="905">
        <v>76.72170206065482</v>
      </c>
      <c r="DG15" s="905">
        <v>76.854834000739373</v>
      </c>
      <c r="DH15" s="905">
        <v>76.987214098448419</v>
      </c>
      <c r="DI15" s="905">
        <v>77.118350998007571</v>
      </c>
      <c r="DJ15" s="905">
        <v>77.248254189665971</v>
      </c>
      <c r="DK15" s="905">
        <v>77.376933433005519</v>
      </c>
      <c r="DL15" s="905">
        <v>77.504398826462136</v>
      </c>
      <c r="DM15" s="905">
        <v>77.630660856854178</v>
      </c>
      <c r="DN15" s="905">
        <v>77.755730371634741</v>
      </c>
      <c r="DO15" s="905">
        <v>77.879618320451442</v>
      </c>
      <c r="DP15" s="905">
        <v>78.002335397207418</v>
      </c>
      <c r="DQ15" s="905">
        <v>78.123891913061186</v>
      </c>
      <c r="DR15" s="905">
        <v>78.244297785488627</v>
      </c>
      <c r="DS15" s="905">
        <v>78.363562586196963</v>
      </c>
      <c r="DT15" s="905">
        <v>78.481695608461692</v>
      </c>
      <c r="DU15" s="905">
        <v>78.598706349206353</v>
      </c>
    </row>
    <row r="16" spans="1:125" s="127" customFormat="1" ht="12.75">
      <c r="A16" s="908">
        <v>14</v>
      </c>
      <c r="B16" s="905"/>
      <c r="C16" s="905"/>
      <c r="D16" s="905"/>
      <c r="E16" s="905"/>
      <c r="F16" s="905"/>
      <c r="G16" s="905"/>
      <c r="H16" s="905"/>
      <c r="I16" s="905"/>
      <c r="J16" s="905"/>
      <c r="K16" s="905"/>
      <c r="L16" s="905"/>
      <c r="M16" s="905"/>
      <c r="N16" s="905"/>
      <c r="O16" s="905"/>
      <c r="P16" s="905"/>
      <c r="Q16" s="905"/>
      <c r="R16" s="905"/>
      <c r="S16" s="905"/>
      <c r="T16" s="905"/>
      <c r="U16" s="905"/>
      <c r="V16" s="905"/>
      <c r="W16" s="905"/>
      <c r="X16" s="905"/>
      <c r="Y16" s="905">
        <v>60.902477333634984</v>
      </c>
      <c r="Z16" s="905">
        <v>61.183432955482729</v>
      </c>
      <c r="AA16" s="905">
        <v>61.425978114689329</v>
      </c>
      <c r="AB16" s="905">
        <v>61.679537087238863</v>
      </c>
      <c r="AC16" s="905">
        <v>61.883088863657917</v>
      </c>
      <c r="AD16" s="905">
        <v>62.02756331612575</v>
      </c>
      <c r="AE16" s="905">
        <v>62.294251820606306</v>
      </c>
      <c r="AF16" s="905">
        <v>62.625214902564018</v>
      </c>
      <c r="AG16" s="905">
        <v>62.952634205944598</v>
      </c>
      <c r="AH16" s="905">
        <v>63.319592164762597</v>
      </c>
      <c r="AI16" s="905">
        <v>63.612932112956649</v>
      </c>
      <c r="AJ16" s="905">
        <v>63.971171743893322</v>
      </c>
      <c r="AK16" s="905">
        <v>64.268240785719541</v>
      </c>
      <c r="AL16" s="905">
        <v>64.615770211182237</v>
      </c>
      <c r="AM16" s="905">
        <v>64.93311015701866</v>
      </c>
      <c r="AN16" s="905">
        <v>65.154426287186581</v>
      </c>
      <c r="AO16" s="905">
        <v>65.301006706926643</v>
      </c>
      <c r="AP16" s="905">
        <v>65.457885414628606</v>
      </c>
      <c r="AQ16" s="905">
        <v>65.568405045177627</v>
      </c>
      <c r="AR16" s="905">
        <v>65.721153242688302</v>
      </c>
      <c r="AS16" s="905">
        <v>65.753771891566345</v>
      </c>
      <c r="AT16" s="905">
        <v>65.783551949665622</v>
      </c>
      <c r="AU16" s="905">
        <v>65.835577059064917</v>
      </c>
      <c r="AV16" s="905">
        <v>65.883295322442876</v>
      </c>
      <c r="AW16" s="905">
        <v>66.17387114663957</v>
      </c>
      <c r="AX16" s="905">
        <v>66.262372212564003</v>
      </c>
      <c r="AY16" s="905">
        <v>66.364340137728263</v>
      </c>
      <c r="AZ16" s="905">
        <v>66.413528293243203</v>
      </c>
      <c r="BA16" s="905">
        <v>66.475448340720945</v>
      </c>
      <c r="BB16" s="905">
        <v>66.60276636274169</v>
      </c>
      <c r="BC16" s="905">
        <v>66.696740379405966</v>
      </c>
      <c r="BD16" s="905">
        <v>66.830366070680597</v>
      </c>
      <c r="BE16" s="905">
        <v>66.961752718880092</v>
      </c>
      <c r="BF16" s="905">
        <v>67.141772866966704</v>
      </c>
      <c r="BG16" s="905">
        <v>67.29010437975694</v>
      </c>
      <c r="BH16" s="905">
        <v>67.53957269696366</v>
      </c>
      <c r="BI16" s="905">
        <v>67.698619519356583</v>
      </c>
      <c r="BJ16" s="905">
        <v>67.910205160705615</v>
      </c>
      <c r="BK16" s="905">
        <v>68.096275013777628</v>
      </c>
      <c r="BL16" s="905">
        <v>68.349006307104503</v>
      </c>
      <c r="BM16" s="905">
        <v>68.593949434046863</v>
      </c>
      <c r="BN16" s="905">
        <v>68.800630129766702</v>
      </c>
      <c r="BO16" s="905">
        <v>68.999521533002252</v>
      </c>
      <c r="BP16" s="905">
        <v>69.214442405620218</v>
      </c>
      <c r="BQ16" s="905">
        <v>69.405653757370587</v>
      </c>
      <c r="BR16" s="905">
        <v>69.594277518383677</v>
      </c>
      <c r="BS16" s="905">
        <v>69.770641005954587</v>
      </c>
      <c r="BT16" s="905">
        <v>69.95189852868873</v>
      </c>
      <c r="BU16" s="905">
        <v>70.082924796978645</v>
      </c>
      <c r="BV16" s="905">
        <v>70.262905755999796</v>
      </c>
      <c r="BW16" s="905">
        <v>70.43554786437673</v>
      </c>
      <c r="BX16" s="905">
        <v>70.600193937781484</v>
      </c>
      <c r="BY16" s="905">
        <v>70.755453561407961</v>
      </c>
      <c r="BZ16" s="905">
        <v>70.908382271028941</v>
      </c>
      <c r="CA16" s="905">
        <v>71.048581715010727</v>
      </c>
      <c r="CB16" s="905">
        <v>71.209029873468239</v>
      </c>
      <c r="CC16" s="905">
        <v>71.375956730340633</v>
      </c>
      <c r="CD16" s="905">
        <v>71.536719489832109</v>
      </c>
      <c r="CE16" s="905">
        <v>71.700391753505556</v>
      </c>
      <c r="CF16" s="905">
        <v>71.86578240195729</v>
      </c>
      <c r="CG16" s="905">
        <v>72.022883012876065</v>
      </c>
      <c r="CH16" s="905">
        <v>72.189310533394021</v>
      </c>
      <c r="CI16" s="905">
        <v>72.375864723908961</v>
      </c>
      <c r="CJ16" s="905">
        <v>72.519919151667537</v>
      </c>
      <c r="CK16" s="905">
        <v>72.680905957483077</v>
      </c>
      <c r="CL16" s="905">
        <v>72.850389979610398</v>
      </c>
      <c r="CM16" s="905">
        <v>73.012580931526728</v>
      </c>
      <c r="CN16" s="905">
        <v>73.167957015454462</v>
      </c>
      <c r="CO16" s="905">
        <v>73.317756166434052</v>
      </c>
      <c r="CP16" s="905">
        <v>73.478094163709144</v>
      </c>
      <c r="CQ16" s="905">
        <v>73.620392537771721</v>
      </c>
      <c r="CR16" s="905">
        <v>73.761756019459028</v>
      </c>
      <c r="CS16" s="905">
        <v>73.921450760082536</v>
      </c>
      <c r="CT16" s="905">
        <v>74.069178377100513</v>
      </c>
      <c r="CU16" s="905">
        <v>74.208945967629944</v>
      </c>
      <c r="CV16" s="905">
        <v>74.353393111624797</v>
      </c>
      <c r="CW16" s="905">
        <v>74.490776850879783</v>
      </c>
      <c r="CX16" s="905">
        <v>74.630371106057339</v>
      </c>
      <c r="CY16" s="905">
        <v>74.769426449771245</v>
      </c>
      <c r="CZ16" s="905">
        <v>74.911488814143695</v>
      </c>
      <c r="DA16" s="905">
        <v>75.044262477459682</v>
      </c>
      <c r="DB16" s="905">
        <v>75.188771416457911</v>
      </c>
      <c r="DC16" s="905">
        <v>75.32396720940929</v>
      </c>
      <c r="DD16" s="905">
        <v>75.457646825265925</v>
      </c>
      <c r="DE16" s="905">
        <v>75.59532411671276</v>
      </c>
      <c r="DF16" s="905">
        <v>75.728807369891626</v>
      </c>
      <c r="DG16" s="905">
        <v>75.862186679690382</v>
      </c>
      <c r="DH16" s="905">
        <v>75.994321800350292</v>
      </c>
      <c r="DI16" s="905">
        <v>76.125221769137767</v>
      </c>
      <c r="DJ16" s="905">
        <v>76.25489581752845</v>
      </c>
      <c r="DK16" s="905">
        <v>76.383353454421382</v>
      </c>
      <c r="DL16" s="905">
        <v>76.510604535423099</v>
      </c>
      <c r="DM16" s="905">
        <v>76.636659312143109</v>
      </c>
      <c r="DN16" s="905">
        <v>76.761528404213237</v>
      </c>
      <c r="DO16" s="905">
        <v>76.885222540603067</v>
      </c>
      <c r="DP16" s="905">
        <v>77.007752201438649</v>
      </c>
      <c r="DQ16" s="905">
        <v>77.129127490787084</v>
      </c>
      <c r="DR16" s="905">
        <v>77.24935812551945</v>
      </c>
      <c r="DS16" s="905">
        <v>77.368453483035992</v>
      </c>
      <c r="DT16" s="905">
        <v>77.486423227742122</v>
      </c>
      <c r="DU16" s="905">
        <v>77.603276064936352</v>
      </c>
    </row>
    <row r="17" spans="1:125" s="127" customFormat="1" ht="12.75">
      <c r="A17" s="908">
        <v>15</v>
      </c>
      <c r="B17" s="905"/>
      <c r="C17" s="905"/>
      <c r="D17" s="905"/>
      <c r="E17" s="905"/>
      <c r="F17" s="905"/>
      <c r="G17" s="905"/>
      <c r="H17" s="905"/>
      <c r="I17" s="905"/>
      <c r="J17" s="905"/>
      <c r="K17" s="905"/>
      <c r="L17" s="905"/>
      <c r="M17" s="905"/>
      <c r="N17" s="905"/>
      <c r="O17" s="905"/>
      <c r="P17" s="905"/>
      <c r="Q17" s="905"/>
      <c r="R17" s="905"/>
      <c r="S17" s="905"/>
      <c r="T17" s="905"/>
      <c r="U17" s="905"/>
      <c r="V17" s="905"/>
      <c r="W17" s="905"/>
      <c r="X17" s="905"/>
      <c r="Y17" s="905">
        <v>59.991003550341119</v>
      </c>
      <c r="Z17" s="905">
        <v>60.267201683495081</v>
      </c>
      <c r="AA17" s="905">
        <v>60.515272564566438</v>
      </c>
      <c r="AB17" s="905">
        <v>60.769201698021334</v>
      </c>
      <c r="AC17" s="905">
        <v>60.973041228313107</v>
      </c>
      <c r="AD17" s="905">
        <v>61.117722133383481</v>
      </c>
      <c r="AE17" s="905">
        <v>61.3938686443298</v>
      </c>
      <c r="AF17" s="905">
        <v>61.739049618134807</v>
      </c>
      <c r="AG17" s="905">
        <v>62.090015107971062</v>
      </c>
      <c r="AH17" s="905">
        <v>62.400705955979092</v>
      </c>
      <c r="AI17" s="905">
        <v>62.694433738902568</v>
      </c>
      <c r="AJ17" s="905">
        <v>63.033221852446275</v>
      </c>
      <c r="AK17" s="905">
        <v>63.314652426865102</v>
      </c>
      <c r="AL17" s="905">
        <v>63.662438788395846</v>
      </c>
      <c r="AM17" s="905">
        <v>63.980018195589544</v>
      </c>
      <c r="AN17" s="905">
        <v>64.191962661315273</v>
      </c>
      <c r="AO17" s="905">
        <v>64.334392616858452</v>
      </c>
      <c r="AP17" s="905">
        <v>64.49036391557236</v>
      </c>
      <c r="AQ17" s="905">
        <v>64.601200690438773</v>
      </c>
      <c r="AR17" s="905">
        <v>64.753320200803287</v>
      </c>
      <c r="AS17" s="905">
        <v>64.788661840814939</v>
      </c>
      <c r="AT17" s="905">
        <v>64.818730409575508</v>
      </c>
      <c r="AU17" s="905">
        <v>64.865434983916344</v>
      </c>
      <c r="AV17" s="905">
        <v>64.910910476282808</v>
      </c>
      <c r="AW17" s="905">
        <v>65.203150456178818</v>
      </c>
      <c r="AX17" s="905">
        <v>65.292493301332513</v>
      </c>
      <c r="AY17" s="905">
        <v>65.391789934794346</v>
      </c>
      <c r="AZ17" s="905">
        <v>65.443667764332133</v>
      </c>
      <c r="BA17" s="905">
        <v>65.506086684134033</v>
      </c>
      <c r="BB17" s="905">
        <v>65.633216050151375</v>
      </c>
      <c r="BC17" s="905">
        <v>65.727424800703744</v>
      </c>
      <c r="BD17" s="905">
        <v>65.858572389818008</v>
      </c>
      <c r="BE17" s="905">
        <v>65.993410617671813</v>
      </c>
      <c r="BF17" s="905">
        <v>66.171194805377326</v>
      </c>
      <c r="BG17" s="905">
        <v>66.320166372955583</v>
      </c>
      <c r="BH17" s="905">
        <v>66.566562526254842</v>
      </c>
      <c r="BI17" s="905">
        <v>66.724413940633411</v>
      </c>
      <c r="BJ17" s="905">
        <v>66.936795070872392</v>
      </c>
      <c r="BK17" s="905">
        <v>67.124303154623249</v>
      </c>
      <c r="BL17" s="905">
        <v>67.373204340833013</v>
      </c>
      <c r="BM17" s="905">
        <v>67.619702672262946</v>
      </c>
      <c r="BN17" s="905">
        <v>67.824343875020986</v>
      </c>
      <c r="BO17" s="905">
        <v>68.023208691186937</v>
      </c>
      <c r="BP17" s="905">
        <v>68.237221327062144</v>
      </c>
      <c r="BQ17" s="905">
        <v>68.425534355358167</v>
      </c>
      <c r="BR17" s="905">
        <v>68.615206832787209</v>
      </c>
      <c r="BS17" s="905">
        <v>68.788430458134115</v>
      </c>
      <c r="BT17" s="905">
        <v>68.969860816746873</v>
      </c>
      <c r="BU17" s="905">
        <v>69.100800522655334</v>
      </c>
      <c r="BV17" s="905">
        <v>69.27892104474887</v>
      </c>
      <c r="BW17" s="905">
        <v>69.452619117951002</v>
      </c>
      <c r="BX17" s="905">
        <v>69.615259740329037</v>
      </c>
      <c r="BY17" s="905">
        <v>69.769729693106996</v>
      </c>
      <c r="BZ17" s="905">
        <v>69.92879331686764</v>
      </c>
      <c r="CA17" s="905">
        <v>70.061735108743761</v>
      </c>
      <c r="CB17" s="905">
        <v>70.223666446406526</v>
      </c>
      <c r="CC17" s="905">
        <v>70.39003707796445</v>
      </c>
      <c r="CD17" s="905">
        <v>70.550613620173777</v>
      </c>
      <c r="CE17" s="905">
        <v>70.714900691992668</v>
      </c>
      <c r="CF17" s="905">
        <v>70.879086618429127</v>
      </c>
      <c r="CG17" s="905">
        <v>71.035641718766811</v>
      </c>
      <c r="CH17" s="905">
        <v>71.20270889813915</v>
      </c>
      <c r="CI17" s="905">
        <v>71.388510819384379</v>
      </c>
      <c r="CJ17" s="905">
        <v>71.533007716761801</v>
      </c>
      <c r="CK17" s="905">
        <v>71.692354691847314</v>
      </c>
      <c r="CL17" s="905">
        <v>71.861840181584228</v>
      </c>
      <c r="CM17" s="905">
        <v>72.022895116936269</v>
      </c>
      <c r="CN17" s="905">
        <v>72.178377840566156</v>
      </c>
      <c r="CO17" s="905">
        <v>72.328106085238147</v>
      </c>
      <c r="CP17" s="905">
        <v>72.488257186161519</v>
      </c>
      <c r="CQ17" s="905">
        <v>72.629642769021928</v>
      </c>
      <c r="CR17" s="905">
        <v>72.773588426935902</v>
      </c>
      <c r="CS17" s="905">
        <v>72.930127543639486</v>
      </c>
      <c r="CT17" s="905">
        <v>73.078827082787924</v>
      </c>
      <c r="CU17" s="905">
        <v>73.216547321725471</v>
      </c>
      <c r="CV17" s="905">
        <v>73.360909055978738</v>
      </c>
      <c r="CW17" s="905">
        <v>73.498915892887226</v>
      </c>
      <c r="CX17" s="905">
        <v>73.639497570380584</v>
      </c>
      <c r="CY17" s="905">
        <v>73.777111078477134</v>
      </c>
      <c r="CZ17" s="905">
        <v>73.919488315069003</v>
      </c>
      <c r="DA17" s="905">
        <v>74.053138997478442</v>
      </c>
      <c r="DB17" s="905">
        <v>74.196838578159372</v>
      </c>
      <c r="DC17" s="905">
        <v>74.331640162221873</v>
      </c>
      <c r="DD17" s="905">
        <v>74.467074122803382</v>
      </c>
      <c r="DE17" s="905">
        <v>74.603201280356814</v>
      </c>
      <c r="DF17" s="905">
        <v>74.73753860019275</v>
      </c>
      <c r="DG17" s="905">
        <v>74.870632098377101</v>
      </c>
      <c r="DH17" s="905">
        <v>75.002490619673893</v>
      </c>
      <c r="DI17" s="905">
        <v>75.133122911082253</v>
      </c>
      <c r="DJ17" s="905">
        <v>75.262537922674341</v>
      </c>
      <c r="DK17" s="905">
        <v>75.39074489055912</v>
      </c>
      <c r="DL17" s="905">
        <v>75.517753405920871</v>
      </c>
      <c r="DM17" s="905">
        <v>75.643573464073043</v>
      </c>
      <c r="DN17" s="905">
        <v>75.768215436234669</v>
      </c>
      <c r="DO17" s="905">
        <v>75.891689810588588</v>
      </c>
      <c r="DP17" s="905">
        <v>76.014006833843155</v>
      </c>
      <c r="DQ17" s="905">
        <v>76.135176383791261</v>
      </c>
      <c r="DR17" s="905">
        <v>76.255207957965183</v>
      </c>
      <c r="DS17" s="905">
        <v>76.374111554507579</v>
      </c>
      <c r="DT17" s="905">
        <v>76.491895730045428</v>
      </c>
      <c r="DU17" s="905">
        <v>76.608568994082447</v>
      </c>
    </row>
    <row r="18" spans="1:125" s="127" customFormat="1" ht="12.75">
      <c r="A18" s="908">
        <v>16</v>
      </c>
      <c r="B18" s="905"/>
      <c r="C18" s="905"/>
      <c r="D18" s="905"/>
      <c r="E18" s="905"/>
      <c r="F18" s="905"/>
      <c r="G18" s="905"/>
      <c r="H18" s="905"/>
      <c r="I18" s="905"/>
      <c r="J18" s="905"/>
      <c r="K18" s="905"/>
      <c r="L18" s="905"/>
      <c r="M18" s="905"/>
      <c r="N18" s="905"/>
      <c r="O18" s="905"/>
      <c r="P18" s="905"/>
      <c r="Q18" s="905"/>
      <c r="R18" s="905"/>
      <c r="S18" s="905"/>
      <c r="T18" s="905"/>
      <c r="U18" s="905"/>
      <c r="V18" s="905"/>
      <c r="W18" s="905"/>
      <c r="X18" s="905"/>
      <c r="Y18" s="905">
        <v>59.084474860317187</v>
      </c>
      <c r="Z18" s="905">
        <v>59.366194646062837</v>
      </c>
      <c r="AA18" s="905">
        <v>59.614683533473475</v>
      </c>
      <c r="AB18" s="905">
        <v>59.869030323031609</v>
      </c>
      <c r="AC18" s="905">
        <v>60.073185734522021</v>
      </c>
      <c r="AD18" s="905">
        <v>60.228151369716954</v>
      </c>
      <c r="AE18" s="905">
        <v>60.519954578131909</v>
      </c>
      <c r="AF18" s="905">
        <v>60.895963117810794</v>
      </c>
      <c r="AG18" s="905">
        <v>61.18518129694651</v>
      </c>
      <c r="AH18" s="905">
        <v>61.496368430506877</v>
      </c>
      <c r="AI18" s="905">
        <v>61.767210070564879</v>
      </c>
      <c r="AJ18" s="905">
        <v>62.086434685082935</v>
      </c>
      <c r="AK18" s="905">
        <v>62.36810959595681</v>
      </c>
      <c r="AL18" s="905">
        <v>62.716196955353062</v>
      </c>
      <c r="AM18" s="905">
        <v>63.024028370074909</v>
      </c>
      <c r="AN18" s="905">
        <v>63.23186369915841</v>
      </c>
      <c r="AO18" s="905">
        <v>63.376132423203401</v>
      </c>
      <c r="AP18" s="905">
        <v>63.530820248175893</v>
      </c>
      <c r="AQ18" s="905">
        <v>63.643224658192707</v>
      </c>
      <c r="AR18" s="905">
        <v>63.793476394425397</v>
      </c>
      <c r="AS18" s="905">
        <v>63.82688211227407</v>
      </c>
      <c r="AT18" s="905">
        <v>63.855039649813094</v>
      </c>
      <c r="AU18" s="905">
        <v>63.899641926416777</v>
      </c>
      <c r="AV18" s="905">
        <v>63.946992379857932</v>
      </c>
      <c r="AW18" s="905">
        <v>64.237867896602637</v>
      </c>
      <c r="AX18" s="905">
        <v>64.326635783607628</v>
      </c>
      <c r="AY18" s="905">
        <v>64.424658616396371</v>
      </c>
      <c r="AZ18" s="905">
        <v>64.477087521591969</v>
      </c>
      <c r="BA18" s="905">
        <v>64.539175175839063</v>
      </c>
      <c r="BB18" s="905">
        <v>64.667082063374011</v>
      </c>
      <c r="BC18" s="905">
        <v>64.762385380410905</v>
      </c>
      <c r="BD18" s="905">
        <v>64.894817121249929</v>
      </c>
      <c r="BE18" s="905">
        <v>65.032451537215195</v>
      </c>
      <c r="BF18" s="905">
        <v>65.208138857679216</v>
      </c>
      <c r="BG18" s="905">
        <v>65.356380462684328</v>
      </c>
      <c r="BH18" s="905">
        <v>65.600092454237142</v>
      </c>
      <c r="BI18" s="905">
        <v>65.759118568164851</v>
      </c>
      <c r="BJ18" s="905">
        <v>65.972178974321622</v>
      </c>
      <c r="BK18" s="905">
        <v>66.160510812797597</v>
      </c>
      <c r="BL18" s="905">
        <v>66.40935732261218</v>
      </c>
      <c r="BM18" s="905">
        <v>66.652418258302248</v>
      </c>
      <c r="BN18" s="905">
        <v>66.856111091876244</v>
      </c>
      <c r="BO18" s="905">
        <v>67.054037250180556</v>
      </c>
      <c r="BP18" s="905">
        <v>67.267518492214293</v>
      </c>
      <c r="BQ18" s="905">
        <v>67.451685913733513</v>
      </c>
      <c r="BR18" s="905">
        <v>67.641794094050709</v>
      </c>
      <c r="BS18" s="905">
        <v>67.811669318923066</v>
      </c>
      <c r="BT18" s="905">
        <v>67.993099324714791</v>
      </c>
      <c r="BU18" s="905">
        <v>68.123297746667845</v>
      </c>
      <c r="BV18" s="905">
        <v>68.301274487125852</v>
      </c>
      <c r="BW18" s="905">
        <v>68.473055136189714</v>
      </c>
      <c r="BX18" s="905">
        <v>68.635382591927055</v>
      </c>
      <c r="BY18" s="905">
        <v>68.791702574468786</v>
      </c>
      <c r="BZ18" s="905">
        <v>68.947025696894201</v>
      </c>
      <c r="CA18" s="905">
        <v>69.081827623930792</v>
      </c>
      <c r="CB18" s="905">
        <v>69.243177256616605</v>
      </c>
      <c r="CC18" s="905">
        <v>69.410174180762681</v>
      </c>
      <c r="CD18" s="905">
        <v>69.571801888891969</v>
      </c>
      <c r="CE18" s="905">
        <v>69.730889936405191</v>
      </c>
      <c r="CF18" s="905">
        <v>69.895997388151542</v>
      </c>
      <c r="CG18" s="905">
        <v>70.053321956523163</v>
      </c>
      <c r="CH18" s="905">
        <v>70.218087833545695</v>
      </c>
      <c r="CI18" s="905">
        <v>70.402236226832656</v>
      </c>
      <c r="CJ18" s="905">
        <v>70.548220282780761</v>
      </c>
      <c r="CK18" s="905">
        <v>70.706934597088974</v>
      </c>
      <c r="CL18" s="905">
        <v>70.877014022366865</v>
      </c>
      <c r="CM18" s="905">
        <v>71.03622469252258</v>
      </c>
      <c r="CN18" s="905">
        <v>71.190131490633689</v>
      </c>
      <c r="CO18" s="905">
        <v>71.339132889412753</v>
      </c>
      <c r="CP18" s="905">
        <v>71.50052915399003</v>
      </c>
      <c r="CQ18" s="905">
        <v>71.642356556378843</v>
      </c>
      <c r="CR18" s="905">
        <v>71.786724760236268</v>
      </c>
      <c r="CS18" s="905">
        <v>71.940644268976186</v>
      </c>
      <c r="CT18" s="905">
        <v>72.086524850340027</v>
      </c>
      <c r="CU18" s="905">
        <v>72.227835017908461</v>
      </c>
      <c r="CV18" s="905">
        <v>72.371627426574321</v>
      </c>
      <c r="CW18" s="905">
        <v>72.508344534607474</v>
      </c>
      <c r="CX18" s="905">
        <v>72.64979995007036</v>
      </c>
      <c r="CY18" s="905">
        <v>72.787301344807915</v>
      </c>
      <c r="CZ18" s="905">
        <v>72.929431695423077</v>
      </c>
      <c r="DA18" s="905">
        <v>73.064496811308402</v>
      </c>
      <c r="DB18" s="905">
        <v>73.205977660702814</v>
      </c>
      <c r="DC18" s="905">
        <v>73.340393042262235</v>
      </c>
      <c r="DD18" s="905">
        <v>73.478456198736453</v>
      </c>
      <c r="DE18" s="905">
        <v>73.613697724632573</v>
      </c>
      <c r="DF18" s="905">
        <v>73.747697476323395</v>
      </c>
      <c r="DG18" s="905">
        <v>73.880464082618261</v>
      </c>
      <c r="DH18" s="905">
        <v>74.012006058817292</v>
      </c>
      <c r="DI18" s="905">
        <v>74.142331832237915</v>
      </c>
      <c r="DJ18" s="905">
        <v>74.271450042824284</v>
      </c>
      <c r="DK18" s="905">
        <v>74.399369625849374</v>
      </c>
      <c r="DL18" s="905">
        <v>74.526099880695796</v>
      </c>
      <c r="DM18" s="905">
        <v>74.651650519656201</v>
      </c>
      <c r="DN18" s="905">
        <v>74.77603163945318</v>
      </c>
      <c r="DO18" s="905">
        <v>74.899253462022301</v>
      </c>
      <c r="DP18" s="905">
        <v>75.021325975797794</v>
      </c>
      <c r="DQ18" s="905">
        <v>75.142258808030249</v>
      </c>
      <c r="DR18" s="905">
        <v>75.262062503641431</v>
      </c>
      <c r="DS18" s="905">
        <v>75.380745436608493</v>
      </c>
      <c r="DT18" s="905">
        <v>75.498315940180191</v>
      </c>
      <c r="DU18" s="905">
        <v>75.614782307177421</v>
      </c>
    </row>
    <row r="19" spans="1:125" s="127" customFormat="1" ht="12.75">
      <c r="A19" s="908">
        <v>17</v>
      </c>
      <c r="B19" s="905"/>
      <c r="C19" s="905"/>
      <c r="D19" s="905"/>
      <c r="E19" s="905"/>
      <c r="F19" s="905"/>
      <c r="G19" s="905"/>
      <c r="H19" s="905"/>
      <c r="I19" s="905"/>
      <c r="J19" s="905"/>
      <c r="K19" s="905"/>
      <c r="L19" s="905"/>
      <c r="M19" s="905"/>
      <c r="N19" s="905"/>
      <c r="O19" s="905"/>
      <c r="P19" s="905"/>
      <c r="Q19" s="905"/>
      <c r="R19" s="905"/>
      <c r="S19" s="905"/>
      <c r="T19" s="905"/>
      <c r="U19" s="905"/>
      <c r="V19" s="905"/>
      <c r="W19" s="905"/>
      <c r="X19" s="905"/>
      <c r="Y19" s="905">
        <v>58.194695803589923</v>
      </c>
      <c r="Z19" s="905">
        <v>58.476938491907788</v>
      </c>
      <c r="AA19" s="905">
        <v>58.725906893012535</v>
      </c>
      <c r="AB19" s="905">
        <v>58.980727360479932</v>
      </c>
      <c r="AC19" s="905">
        <v>59.196459073943288</v>
      </c>
      <c r="AD19" s="905">
        <v>59.368618393588022</v>
      </c>
      <c r="AE19" s="905">
        <v>59.699112438219302</v>
      </c>
      <c r="AF19" s="905">
        <v>60.005985020782589</v>
      </c>
      <c r="AG19" s="905">
        <v>60.295744754146973</v>
      </c>
      <c r="AH19" s="905">
        <v>60.580481396215056</v>
      </c>
      <c r="AI19" s="905">
        <v>60.826627408416414</v>
      </c>
      <c r="AJ19" s="905">
        <v>61.146170287951342</v>
      </c>
      <c r="AK19" s="905">
        <v>61.428123855819635</v>
      </c>
      <c r="AL19" s="905">
        <v>61.767872400181375</v>
      </c>
      <c r="AM19" s="905">
        <v>62.071855351284981</v>
      </c>
      <c r="AN19" s="905">
        <v>62.277576277688858</v>
      </c>
      <c r="AO19" s="905">
        <v>62.4203129440778</v>
      </c>
      <c r="AP19" s="905">
        <v>62.575185438648106</v>
      </c>
      <c r="AQ19" s="905">
        <v>62.691355026270699</v>
      </c>
      <c r="AR19" s="905">
        <v>62.838419011932473</v>
      </c>
      <c r="AS19" s="905">
        <v>62.873705203866606</v>
      </c>
      <c r="AT19" s="905">
        <v>62.900459089328308</v>
      </c>
      <c r="AU19" s="905">
        <v>62.943055498033594</v>
      </c>
      <c r="AV19" s="905">
        <v>62.992518170141061</v>
      </c>
      <c r="AW19" s="905">
        <v>63.282829956255775</v>
      </c>
      <c r="AX19" s="905">
        <v>63.372661883286852</v>
      </c>
      <c r="AY19" s="905">
        <v>63.470656713783484</v>
      </c>
      <c r="AZ19" s="905">
        <v>63.52607043622811</v>
      </c>
      <c r="BA19" s="905">
        <v>63.590232038644501</v>
      </c>
      <c r="BB19" s="905">
        <v>63.713692633727391</v>
      </c>
      <c r="BC19" s="905">
        <v>63.816103499767365</v>
      </c>
      <c r="BD19" s="905">
        <v>63.948303535823669</v>
      </c>
      <c r="BE19" s="905">
        <v>64.09008982175294</v>
      </c>
      <c r="BF19" s="905">
        <v>64.262816926063991</v>
      </c>
      <c r="BG19" s="905">
        <v>64.407395503473296</v>
      </c>
      <c r="BH19" s="905">
        <v>64.653324955859617</v>
      </c>
      <c r="BI19" s="905">
        <v>64.811098888233474</v>
      </c>
      <c r="BJ19" s="905">
        <v>65.025008443612506</v>
      </c>
      <c r="BK19" s="905">
        <v>65.21344422392518</v>
      </c>
      <c r="BL19" s="905">
        <v>65.456715686290948</v>
      </c>
      <c r="BM19" s="905">
        <v>65.700303727890741</v>
      </c>
      <c r="BN19" s="905">
        <v>65.900447091365578</v>
      </c>
      <c r="BO19" s="905">
        <v>66.094083561885839</v>
      </c>
      <c r="BP19" s="905">
        <v>66.308407827945388</v>
      </c>
      <c r="BQ19" s="905">
        <v>66.490493649237266</v>
      </c>
      <c r="BR19" s="905">
        <v>66.675714200772859</v>
      </c>
      <c r="BS19" s="905">
        <v>66.841864122947527</v>
      </c>
      <c r="BT19" s="905">
        <v>67.024688801382169</v>
      </c>
      <c r="BU19" s="905">
        <v>67.151930679087769</v>
      </c>
      <c r="BV19" s="905">
        <v>67.329891739398022</v>
      </c>
      <c r="BW19" s="905">
        <v>67.499173962228994</v>
      </c>
      <c r="BX19" s="905">
        <v>67.6629759807292</v>
      </c>
      <c r="BY19" s="905">
        <v>67.821134418470251</v>
      </c>
      <c r="BZ19" s="905">
        <v>67.97264195479039</v>
      </c>
      <c r="CA19" s="905">
        <v>68.111008772577236</v>
      </c>
      <c r="CB19" s="905">
        <v>68.270815144180972</v>
      </c>
      <c r="CC19" s="905">
        <v>68.437555429414232</v>
      </c>
      <c r="CD19" s="905">
        <v>68.599407825006125</v>
      </c>
      <c r="CE19" s="905">
        <v>68.756326491405929</v>
      </c>
      <c r="CF19" s="905">
        <v>68.91744331010068</v>
      </c>
      <c r="CG19" s="905">
        <v>69.075535058812505</v>
      </c>
      <c r="CH19" s="905">
        <v>69.240227845514326</v>
      </c>
      <c r="CI19" s="905">
        <v>69.424944856392088</v>
      </c>
      <c r="CJ19" s="905">
        <v>69.569143613054678</v>
      </c>
      <c r="CK19" s="905">
        <v>69.726422396933344</v>
      </c>
      <c r="CL19" s="905">
        <v>69.894379461312326</v>
      </c>
      <c r="CM19" s="905">
        <v>70.052035911096553</v>
      </c>
      <c r="CN19" s="905">
        <v>70.207420029007153</v>
      </c>
      <c r="CO19" s="905">
        <v>70.355193047329152</v>
      </c>
      <c r="CP19" s="905">
        <v>70.515757176871006</v>
      </c>
      <c r="CQ19" s="905">
        <v>70.656309307952398</v>
      </c>
      <c r="CR19" s="905">
        <v>70.802211036725254</v>
      </c>
      <c r="CS19" s="905">
        <v>70.953026141364631</v>
      </c>
      <c r="CT19" s="905">
        <v>71.099754472368247</v>
      </c>
      <c r="CU19" s="905">
        <v>71.242870755730195</v>
      </c>
      <c r="CV19" s="905">
        <v>71.385605091414959</v>
      </c>
      <c r="CW19" s="905">
        <v>71.523266680785298</v>
      </c>
      <c r="CX19" s="905">
        <v>71.663536655299069</v>
      </c>
      <c r="CY19" s="905">
        <v>71.802000012295963</v>
      </c>
      <c r="CZ19" s="905">
        <v>71.941777958685776</v>
      </c>
      <c r="DA19" s="905">
        <v>72.077109924145475</v>
      </c>
      <c r="DB19" s="905">
        <v>72.217994050422348</v>
      </c>
      <c r="DC19" s="905">
        <v>72.354982057165813</v>
      </c>
      <c r="DD19" s="905">
        <v>72.491063064452277</v>
      </c>
      <c r="DE19" s="905">
        <v>72.62590630005343</v>
      </c>
      <c r="DF19" s="905">
        <v>72.759520119539459</v>
      </c>
      <c r="DG19" s="905">
        <v>72.891912778331417</v>
      </c>
      <c r="DH19" s="905">
        <v>73.023092429156719</v>
      </c>
      <c r="DI19" s="905">
        <v>73.153067147285256</v>
      </c>
      <c r="DJ19" s="905">
        <v>73.281845230908317</v>
      </c>
      <c r="DK19" s="905">
        <v>73.409435283566665</v>
      </c>
      <c r="DL19" s="905">
        <v>73.535846282662106</v>
      </c>
      <c r="DM19" s="905">
        <v>73.661087627992089</v>
      </c>
      <c r="DN19" s="905">
        <v>73.785169112999398</v>
      </c>
      <c r="DO19" s="905">
        <v>73.90810066526042</v>
      </c>
      <c r="DP19" s="905">
        <v>74.029891987472624</v>
      </c>
      <c r="DQ19" s="905">
        <v>74.15055441072343</v>
      </c>
      <c r="DR19" s="905">
        <v>74.270096088198216</v>
      </c>
      <c r="DS19" s="905">
        <v>74.388525139690074</v>
      </c>
      <c r="DT19" s="905">
        <v>74.505849651698526</v>
      </c>
      <c r="DU19" s="905">
        <v>74.622077677524231</v>
      </c>
    </row>
    <row r="20" spans="1:125" s="127" customFormat="1" ht="12.75">
      <c r="A20" s="908">
        <v>18</v>
      </c>
      <c r="B20" s="905"/>
      <c r="C20" s="905"/>
      <c r="D20" s="905"/>
      <c r="E20" s="905"/>
      <c r="F20" s="905"/>
      <c r="G20" s="905"/>
      <c r="H20" s="905"/>
      <c r="I20" s="905"/>
      <c r="J20" s="905"/>
      <c r="K20" s="905"/>
      <c r="L20" s="905"/>
      <c r="M20" s="905"/>
      <c r="N20" s="905"/>
      <c r="O20" s="905"/>
      <c r="P20" s="905"/>
      <c r="Q20" s="905"/>
      <c r="R20" s="905"/>
      <c r="S20" s="905"/>
      <c r="T20" s="905"/>
      <c r="U20" s="905"/>
      <c r="V20" s="905"/>
      <c r="W20" s="905"/>
      <c r="X20" s="905"/>
      <c r="Y20" s="905">
        <v>57.306162762914127</v>
      </c>
      <c r="Z20" s="905">
        <v>57.588944285722633</v>
      </c>
      <c r="AA20" s="905">
        <v>57.838404832229671</v>
      </c>
      <c r="AB20" s="905">
        <v>58.105036632031108</v>
      </c>
      <c r="AC20" s="905">
        <v>58.338242324457539</v>
      </c>
      <c r="AD20" s="905">
        <v>58.57358321344627</v>
      </c>
      <c r="AE20" s="905">
        <v>58.824454381615467</v>
      </c>
      <c r="AF20" s="905">
        <v>59.131980422164204</v>
      </c>
      <c r="AG20" s="905">
        <v>59.390446367982832</v>
      </c>
      <c r="AH20" s="905">
        <v>59.646385629478978</v>
      </c>
      <c r="AI20" s="905">
        <v>59.892812814747046</v>
      </c>
      <c r="AJ20" s="905">
        <v>60.212717206518917</v>
      </c>
      <c r="AK20" s="905">
        <v>60.485740060897122</v>
      </c>
      <c r="AL20" s="905">
        <v>60.821637399462539</v>
      </c>
      <c r="AM20" s="905">
        <v>61.12134610081683</v>
      </c>
      <c r="AN20" s="905">
        <v>61.329763048920697</v>
      </c>
      <c r="AO20" s="905">
        <v>61.469448979538889</v>
      </c>
      <c r="AP20" s="905">
        <v>61.625447198132882</v>
      </c>
      <c r="AQ20" s="905">
        <v>61.741967217944662</v>
      </c>
      <c r="AR20" s="905">
        <v>61.888025209326081</v>
      </c>
      <c r="AS20" s="905">
        <v>61.924472664636852</v>
      </c>
      <c r="AT20" s="905">
        <v>61.953267857432451</v>
      </c>
      <c r="AU20" s="905">
        <v>61.990316511923155</v>
      </c>
      <c r="AV20" s="905">
        <v>62.048018770303152</v>
      </c>
      <c r="AW20" s="905">
        <v>62.331387696849347</v>
      </c>
      <c r="AX20" s="905">
        <v>62.425473482107364</v>
      </c>
      <c r="AY20" s="905">
        <v>62.525950968119588</v>
      </c>
      <c r="AZ20" s="905">
        <v>62.581002938017036</v>
      </c>
      <c r="BA20" s="905">
        <v>62.648696683756491</v>
      </c>
      <c r="BB20" s="905">
        <v>62.774781089856191</v>
      </c>
      <c r="BC20" s="905">
        <v>62.877020409211468</v>
      </c>
      <c r="BD20" s="905">
        <v>63.010518513996928</v>
      </c>
      <c r="BE20" s="905">
        <v>63.151290337440031</v>
      </c>
      <c r="BF20" s="905">
        <v>63.317810639029688</v>
      </c>
      <c r="BG20" s="905">
        <v>63.465265193797237</v>
      </c>
      <c r="BH20" s="905">
        <v>63.714261951623847</v>
      </c>
      <c r="BI20" s="905">
        <v>63.872209789105028</v>
      </c>
      <c r="BJ20" s="905">
        <v>64.08300660821935</v>
      </c>
      <c r="BK20" s="905">
        <v>64.266356379767132</v>
      </c>
      <c r="BL20" s="905">
        <v>64.510078393316334</v>
      </c>
      <c r="BM20" s="905">
        <v>64.751642316497566</v>
      </c>
      <c r="BN20" s="905">
        <v>64.951424862084934</v>
      </c>
      <c r="BO20" s="905">
        <v>65.141793050216592</v>
      </c>
      <c r="BP20" s="905">
        <v>65.351900986129351</v>
      </c>
      <c r="BQ20" s="905">
        <v>65.531023378292858</v>
      </c>
      <c r="BR20" s="905">
        <v>65.714345441269927</v>
      </c>
      <c r="BS20" s="905">
        <v>65.877914750024729</v>
      </c>
      <c r="BT20" s="905">
        <v>66.059134633983987</v>
      </c>
      <c r="BU20" s="905">
        <v>66.185720934214061</v>
      </c>
      <c r="BV20" s="905">
        <v>66.362626217867103</v>
      </c>
      <c r="BW20" s="905">
        <v>66.53340805295835</v>
      </c>
      <c r="BX20" s="905">
        <v>66.698558780992499</v>
      </c>
      <c r="BY20" s="905">
        <v>66.854718098741984</v>
      </c>
      <c r="BZ20" s="905">
        <v>67.003046556871226</v>
      </c>
      <c r="CA20" s="905">
        <v>67.143851729446368</v>
      </c>
      <c r="CB20" s="905">
        <v>67.303421704561032</v>
      </c>
      <c r="CC20" s="905">
        <v>67.466089824443856</v>
      </c>
      <c r="CD20" s="905">
        <v>67.628600466622444</v>
      </c>
      <c r="CE20" s="905">
        <v>67.787662852717858</v>
      </c>
      <c r="CF20" s="905">
        <v>67.947693220266004</v>
      </c>
      <c r="CG20" s="905">
        <v>68.100163098450906</v>
      </c>
      <c r="CH20" s="905">
        <v>68.265427215222346</v>
      </c>
      <c r="CI20" s="905">
        <v>68.450549579858773</v>
      </c>
      <c r="CJ20" s="905">
        <v>68.593433669414708</v>
      </c>
      <c r="CK20" s="905">
        <v>68.74738590848763</v>
      </c>
      <c r="CL20" s="905">
        <v>68.914347579431904</v>
      </c>
      <c r="CM20" s="905">
        <v>69.071267632168627</v>
      </c>
      <c r="CN20" s="905">
        <v>69.22369662154631</v>
      </c>
      <c r="CO20" s="905">
        <v>69.37374894376417</v>
      </c>
      <c r="CP20" s="905">
        <v>69.53369317406063</v>
      </c>
      <c r="CQ20" s="905">
        <v>69.674190217332708</v>
      </c>
      <c r="CR20" s="905">
        <v>69.819681241067542</v>
      </c>
      <c r="CS20" s="905">
        <v>69.969972535329944</v>
      </c>
      <c r="CT20" s="905">
        <v>70.114753608461669</v>
      </c>
      <c r="CU20" s="905">
        <v>70.256974141406744</v>
      </c>
      <c r="CV20" s="905">
        <v>70.401743385538353</v>
      </c>
      <c r="CW20" s="905">
        <v>70.538016878113694</v>
      </c>
      <c r="CX20" s="905">
        <v>70.67749477906716</v>
      </c>
      <c r="CY20" s="905">
        <v>70.816873704013275</v>
      </c>
      <c r="CZ20" s="905">
        <v>70.954478564005768</v>
      </c>
      <c r="DA20" s="905">
        <v>71.091779901162823</v>
      </c>
      <c r="DB20" s="905">
        <v>71.233063688979257</v>
      </c>
      <c r="DC20" s="905">
        <v>71.369913077030432</v>
      </c>
      <c r="DD20" s="905">
        <v>71.50553076642845</v>
      </c>
      <c r="DE20" s="905">
        <v>71.639924783880758</v>
      </c>
      <c r="DF20" s="905">
        <v>71.77310306801877</v>
      </c>
      <c r="DG20" s="905">
        <v>71.905073469103996</v>
      </c>
      <c r="DH20" s="905">
        <v>72.035843746173342</v>
      </c>
      <c r="DI20" s="905">
        <v>72.165421591975317</v>
      </c>
      <c r="DJ20" s="905">
        <v>72.293814933121268</v>
      </c>
      <c r="DK20" s="905">
        <v>72.421032012231791</v>
      </c>
      <c r="DL20" s="905">
        <v>72.547081456170773</v>
      </c>
      <c r="DM20" s="905">
        <v>72.671972324305926</v>
      </c>
      <c r="DN20" s="905">
        <v>72.795714079477619</v>
      </c>
      <c r="DO20" s="905">
        <v>72.91831632817545</v>
      </c>
      <c r="DP20" s="905">
        <v>73.039791396796062</v>
      </c>
      <c r="DQ20" s="905">
        <v>73.160147178959321</v>
      </c>
      <c r="DR20" s="905">
        <v>73.279391543133286</v>
      </c>
      <c r="DS20" s="905">
        <v>73.397532332512867</v>
      </c>
      <c r="DT20" s="905">
        <v>73.514577364900333</v>
      </c>
      <c r="DU20" s="905">
        <v>73.63053443258724</v>
      </c>
    </row>
    <row r="21" spans="1:125" s="127" customFormat="1" ht="12.75">
      <c r="A21" s="908">
        <v>19</v>
      </c>
      <c r="B21" s="905"/>
      <c r="C21" s="905"/>
      <c r="D21" s="905"/>
      <c r="E21" s="905"/>
      <c r="F21" s="905"/>
      <c r="G21" s="905"/>
      <c r="H21" s="905"/>
      <c r="I21" s="905"/>
      <c r="J21" s="905"/>
      <c r="K21" s="905"/>
      <c r="L21" s="905"/>
      <c r="M21" s="905"/>
      <c r="N21" s="905"/>
      <c r="O21" s="905"/>
      <c r="P21" s="905"/>
      <c r="Q21" s="905"/>
      <c r="R21" s="905"/>
      <c r="S21" s="905"/>
      <c r="T21" s="905"/>
      <c r="U21" s="905"/>
      <c r="V21" s="905"/>
      <c r="W21" s="905"/>
      <c r="X21" s="905"/>
      <c r="Y21" s="905">
        <v>56.428986218473199</v>
      </c>
      <c r="Z21" s="905">
        <v>56.712372029421104</v>
      </c>
      <c r="AA21" s="905">
        <v>56.974812946219245</v>
      </c>
      <c r="AB21" s="905">
        <v>57.260813829406352</v>
      </c>
      <c r="AC21" s="905">
        <v>57.563683009215765</v>
      </c>
      <c r="AD21" s="905">
        <v>57.717373259640226</v>
      </c>
      <c r="AE21" s="905">
        <v>57.968847819483607</v>
      </c>
      <c r="AF21" s="905">
        <v>58.240566752376211</v>
      </c>
      <c r="AG21" s="905">
        <v>58.46342124829286</v>
      </c>
      <c r="AH21" s="905">
        <v>58.719697496674684</v>
      </c>
      <c r="AI21" s="905">
        <v>58.966443394763012</v>
      </c>
      <c r="AJ21" s="905">
        <v>59.276007543194652</v>
      </c>
      <c r="AK21" s="905">
        <v>59.546138213901131</v>
      </c>
      <c r="AL21" s="905">
        <v>59.883873806991922</v>
      </c>
      <c r="AM21" s="905">
        <v>60.181971058918464</v>
      </c>
      <c r="AN21" s="905">
        <v>60.393112460495615</v>
      </c>
      <c r="AO21" s="905">
        <v>60.531437544250565</v>
      </c>
      <c r="AP21" s="905">
        <v>60.685384220170207</v>
      </c>
      <c r="AQ21" s="905">
        <v>60.804165298780404</v>
      </c>
      <c r="AR21" s="905">
        <v>60.949951891775825</v>
      </c>
      <c r="AS21" s="905">
        <v>60.98620958595157</v>
      </c>
      <c r="AT21" s="905">
        <v>61.016712236566491</v>
      </c>
      <c r="AU21" s="905">
        <v>61.050684899047113</v>
      </c>
      <c r="AV21" s="905">
        <v>61.112211274761677</v>
      </c>
      <c r="AW21" s="905">
        <v>61.393642708497936</v>
      </c>
      <c r="AX21" s="905">
        <v>61.491773401793964</v>
      </c>
      <c r="AY21" s="905">
        <v>61.591726089447192</v>
      </c>
      <c r="AZ21" s="905">
        <v>61.646965977625726</v>
      </c>
      <c r="BA21" s="905">
        <v>61.724434088596837</v>
      </c>
      <c r="BB21" s="905">
        <v>61.850448368814746</v>
      </c>
      <c r="BC21" s="905">
        <v>61.955153415030722</v>
      </c>
      <c r="BD21" s="905">
        <v>62.08508627504699</v>
      </c>
      <c r="BE21" s="905">
        <v>62.220064249023352</v>
      </c>
      <c r="BF21" s="905">
        <v>62.390017455159729</v>
      </c>
      <c r="BG21" s="905">
        <v>62.540343257851191</v>
      </c>
      <c r="BH21" s="905">
        <v>62.789953473499622</v>
      </c>
      <c r="BI21" s="905">
        <v>62.94667417965772</v>
      </c>
      <c r="BJ21" s="905">
        <v>63.154331555353096</v>
      </c>
      <c r="BK21" s="905">
        <v>63.334212951454646</v>
      </c>
      <c r="BL21" s="905">
        <v>63.57440327413974</v>
      </c>
      <c r="BM21" s="905">
        <v>63.813974977637919</v>
      </c>
      <c r="BN21" s="905">
        <v>64.013427991679123</v>
      </c>
      <c r="BO21" s="905">
        <v>64.199096584517605</v>
      </c>
      <c r="BP21" s="905">
        <v>64.400974800798807</v>
      </c>
      <c r="BQ21" s="905">
        <v>64.579504965411445</v>
      </c>
      <c r="BR21" s="905">
        <v>64.758642359448416</v>
      </c>
      <c r="BS21" s="905">
        <v>64.925145897225804</v>
      </c>
      <c r="BT21" s="905">
        <v>65.102273980276252</v>
      </c>
      <c r="BU21" s="905">
        <v>65.231941496633937</v>
      </c>
      <c r="BV21" s="905">
        <v>65.411271536784483</v>
      </c>
      <c r="BW21" s="905">
        <v>65.581085161160047</v>
      </c>
      <c r="BX21" s="905">
        <v>65.745157802912573</v>
      </c>
      <c r="BY21" s="905">
        <v>65.90225020124025</v>
      </c>
      <c r="BZ21" s="905">
        <v>66.053976990990407</v>
      </c>
      <c r="CA21" s="905">
        <v>66.193339573816502</v>
      </c>
      <c r="CB21" s="905">
        <v>66.354277692655259</v>
      </c>
      <c r="CC21" s="905">
        <v>66.515323103786855</v>
      </c>
      <c r="CD21" s="905">
        <v>66.672096827588177</v>
      </c>
      <c r="CE21" s="905">
        <v>66.830731397781562</v>
      </c>
      <c r="CF21" s="905">
        <v>66.990576185942942</v>
      </c>
      <c r="CG21" s="905">
        <v>67.140461509661392</v>
      </c>
      <c r="CH21" s="905">
        <v>67.302987987919636</v>
      </c>
      <c r="CI21" s="905">
        <v>67.482933809378409</v>
      </c>
      <c r="CJ21" s="905">
        <v>67.623584626198948</v>
      </c>
      <c r="CK21" s="905">
        <v>67.778149371048585</v>
      </c>
      <c r="CL21" s="905">
        <v>67.941768341548141</v>
      </c>
      <c r="CM21" s="905">
        <v>68.096846333027742</v>
      </c>
      <c r="CN21" s="905">
        <v>68.248226411176887</v>
      </c>
      <c r="CO21" s="905">
        <v>68.399633173229262</v>
      </c>
      <c r="CP21" s="905">
        <v>68.558413186875299</v>
      </c>
      <c r="CQ21" s="905">
        <v>68.698480085654339</v>
      </c>
      <c r="CR21" s="905">
        <v>68.842151338805451</v>
      </c>
      <c r="CS21" s="905">
        <v>68.989958260132923</v>
      </c>
      <c r="CT21" s="905">
        <v>69.133717899923795</v>
      </c>
      <c r="CU21" s="905">
        <v>69.277923354678592</v>
      </c>
      <c r="CV21" s="905">
        <v>69.422114929072478</v>
      </c>
      <c r="CW21" s="905">
        <v>69.558474689453732</v>
      </c>
      <c r="CX21" s="905">
        <v>69.697071476125473</v>
      </c>
      <c r="CY21" s="905">
        <v>69.834863465869091</v>
      </c>
      <c r="CZ21" s="905">
        <v>69.971878181820287</v>
      </c>
      <c r="DA21" s="905">
        <v>70.112728138033532</v>
      </c>
      <c r="DB21" s="905">
        <v>70.250276750278658</v>
      </c>
      <c r="DC21" s="905">
        <v>70.386601659407205</v>
      </c>
      <c r="DD21" s="905">
        <v>70.521710518780367</v>
      </c>
      <c r="DE21" s="905">
        <v>70.655610902434859</v>
      </c>
      <c r="DF21" s="905">
        <v>70.788310308796582</v>
      </c>
      <c r="DG21" s="905">
        <v>70.919816160068564</v>
      </c>
      <c r="DH21" s="905">
        <v>71.050135799064449</v>
      </c>
      <c r="DI21" s="905">
        <v>71.179276513843163</v>
      </c>
      <c r="DJ21" s="905">
        <v>71.307245837644899</v>
      </c>
      <c r="DK21" s="905">
        <v>71.434051630755903</v>
      </c>
      <c r="DL21" s="905">
        <v>71.559702148464964</v>
      </c>
      <c r="DM21" s="905">
        <v>71.684206089049411</v>
      </c>
      <c r="DN21" s="905">
        <v>71.807572564460628</v>
      </c>
      <c r="DO21" s="905">
        <v>71.929814967164361</v>
      </c>
      <c r="DP21" s="905">
        <v>72.050940897113691</v>
      </c>
      <c r="DQ21" s="905">
        <v>72.17095793806817</v>
      </c>
      <c r="DR21" s="905">
        <v>72.289873657240946</v>
      </c>
      <c r="DS21" s="905">
        <v>72.407695604953602</v>
      </c>
      <c r="DT21" s="905">
        <v>72.524431314298056</v>
      </c>
      <c r="DU21" s="905">
        <v>72.640088300804919</v>
      </c>
    </row>
    <row r="22" spans="1:125" s="127" customFormat="1" ht="12.75">
      <c r="A22" s="908">
        <v>20</v>
      </c>
      <c r="B22" s="905"/>
      <c r="C22" s="905"/>
      <c r="D22" s="905"/>
      <c r="E22" s="905"/>
      <c r="F22" s="905"/>
      <c r="G22" s="905"/>
      <c r="H22" s="905"/>
      <c r="I22" s="905"/>
      <c r="J22" s="905"/>
      <c r="K22" s="905"/>
      <c r="L22" s="905"/>
      <c r="M22" s="905"/>
      <c r="N22" s="905"/>
      <c r="O22" s="905"/>
      <c r="P22" s="905"/>
      <c r="Q22" s="905"/>
      <c r="R22" s="905"/>
      <c r="S22" s="905"/>
      <c r="T22" s="905"/>
      <c r="U22" s="905"/>
      <c r="V22" s="905"/>
      <c r="W22" s="905"/>
      <c r="X22" s="905"/>
      <c r="Y22" s="905">
        <v>55.559779495111172</v>
      </c>
      <c r="Z22" s="905">
        <v>55.857000034408287</v>
      </c>
      <c r="AA22" s="905">
        <v>56.140009088377241</v>
      </c>
      <c r="AB22" s="905">
        <v>56.500214523907033</v>
      </c>
      <c r="AC22" s="905">
        <v>56.729759131084336</v>
      </c>
      <c r="AD22" s="905">
        <v>56.883865431256311</v>
      </c>
      <c r="AE22" s="905">
        <v>57.093973875259906</v>
      </c>
      <c r="AF22" s="905">
        <v>57.320058145341157</v>
      </c>
      <c r="AG22" s="905">
        <v>57.543233367321037</v>
      </c>
      <c r="AH22" s="905">
        <v>57.79988514106924</v>
      </c>
      <c r="AI22" s="905">
        <v>58.03870662975217</v>
      </c>
      <c r="AJ22" s="905">
        <v>58.345396380725774</v>
      </c>
      <c r="AK22" s="905">
        <v>58.610361308328145</v>
      </c>
      <c r="AL22" s="905">
        <v>58.95135851968557</v>
      </c>
      <c r="AM22" s="905">
        <v>59.252889121314546</v>
      </c>
      <c r="AN22" s="905">
        <v>59.463684688276842</v>
      </c>
      <c r="AO22" s="905">
        <v>59.599602810923102</v>
      </c>
      <c r="AP22" s="905">
        <v>59.755715455526868</v>
      </c>
      <c r="AQ22" s="905">
        <v>59.87319218103616</v>
      </c>
      <c r="AR22" s="905">
        <v>60.019455837089048</v>
      </c>
      <c r="AS22" s="905">
        <v>60.054752018678869</v>
      </c>
      <c r="AT22" s="905">
        <v>60.081459309111011</v>
      </c>
      <c r="AU22" s="905">
        <v>60.119440319624758</v>
      </c>
      <c r="AV22" s="905">
        <v>60.182547952854577</v>
      </c>
      <c r="AW22" s="905">
        <v>60.460142845876994</v>
      </c>
      <c r="AX22" s="905">
        <v>60.557691100518284</v>
      </c>
      <c r="AY22" s="905">
        <v>60.656492717438681</v>
      </c>
      <c r="AZ22" s="905">
        <v>60.718631970150902</v>
      </c>
      <c r="BA22" s="905">
        <v>60.801586304191133</v>
      </c>
      <c r="BB22" s="905">
        <v>60.927566490527191</v>
      </c>
      <c r="BC22" s="905">
        <v>61.031167724409983</v>
      </c>
      <c r="BD22" s="905">
        <v>61.15249098925532</v>
      </c>
      <c r="BE22" s="905">
        <v>61.292850042990892</v>
      </c>
      <c r="BF22" s="905">
        <v>61.462699326585721</v>
      </c>
      <c r="BG22" s="905">
        <v>61.612862585763217</v>
      </c>
      <c r="BH22" s="905">
        <v>61.864437995722582</v>
      </c>
      <c r="BI22" s="905">
        <v>62.017187038911224</v>
      </c>
      <c r="BJ22" s="905">
        <v>62.220327346147045</v>
      </c>
      <c r="BK22" s="905">
        <v>62.401126341081806</v>
      </c>
      <c r="BL22" s="905">
        <v>62.640094494744901</v>
      </c>
      <c r="BM22" s="905">
        <v>62.874182173486645</v>
      </c>
      <c r="BN22" s="905">
        <v>63.073987953875367</v>
      </c>
      <c r="BO22" s="905">
        <v>63.249089177024281</v>
      </c>
      <c r="BP22" s="905">
        <v>63.448182792112398</v>
      </c>
      <c r="BQ22" s="905">
        <v>63.627884604694792</v>
      </c>
      <c r="BR22" s="905">
        <v>63.805877991256253</v>
      </c>
      <c r="BS22" s="905">
        <v>63.968146122166715</v>
      </c>
      <c r="BT22" s="905">
        <v>64.146227699990604</v>
      </c>
      <c r="BU22" s="905">
        <v>64.284562907267457</v>
      </c>
      <c r="BV22" s="905">
        <v>64.465278205234199</v>
      </c>
      <c r="BW22" s="905">
        <v>64.631329910983666</v>
      </c>
      <c r="BX22" s="905">
        <v>64.795054943791769</v>
      </c>
      <c r="BY22" s="905">
        <v>64.950592699022636</v>
      </c>
      <c r="BZ22" s="905">
        <v>65.100718689333917</v>
      </c>
      <c r="CA22" s="905">
        <v>65.243897212033687</v>
      </c>
      <c r="CB22" s="905">
        <v>65.399646672067846</v>
      </c>
      <c r="CC22" s="905">
        <v>65.556973554925676</v>
      </c>
      <c r="CD22" s="905">
        <v>65.71355219395555</v>
      </c>
      <c r="CE22" s="905">
        <v>65.873987414835511</v>
      </c>
      <c r="CF22" s="905">
        <v>66.028266488700069</v>
      </c>
      <c r="CG22" s="905">
        <v>66.177876530925246</v>
      </c>
      <c r="CH22" s="905">
        <v>66.338557136048962</v>
      </c>
      <c r="CI22" s="905">
        <v>66.512588254327568</v>
      </c>
      <c r="CJ22" s="905">
        <v>66.651253511818183</v>
      </c>
      <c r="CK22" s="905">
        <v>66.808683415130375</v>
      </c>
      <c r="CL22" s="905">
        <v>66.967259290101453</v>
      </c>
      <c r="CM22" s="905">
        <v>67.119351157130154</v>
      </c>
      <c r="CN22" s="905">
        <v>67.272019774186276</v>
      </c>
      <c r="CO22" s="905">
        <v>67.42480803769314</v>
      </c>
      <c r="CP22" s="905">
        <v>67.58066761271877</v>
      </c>
      <c r="CQ22" s="905">
        <v>67.720060754312669</v>
      </c>
      <c r="CR22" s="905">
        <v>67.86259507839749</v>
      </c>
      <c r="CS22" s="905">
        <v>68.011666517970383</v>
      </c>
      <c r="CT22" s="905">
        <v>68.154908766895886</v>
      </c>
      <c r="CU22" s="905">
        <v>68.297278036478332</v>
      </c>
      <c r="CV22" s="905">
        <v>68.441848506941213</v>
      </c>
      <c r="CW22" s="905">
        <v>68.577374456561913</v>
      </c>
      <c r="CX22" s="905">
        <v>68.716568745388386</v>
      </c>
      <c r="CY22" s="905">
        <v>68.855701785450776</v>
      </c>
      <c r="CZ22" s="905">
        <v>68.99361593697401</v>
      </c>
      <c r="DA22" s="905">
        <v>69.131808189732951</v>
      </c>
      <c r="DB22" s="905">
        <v>69.26878617588217</v>
      </c>
      <c r="DC22" s="905">
        <v>69.40455714324348</v>
      </c>
      <c r="DD22" s="905">
        <v>69.53912827337939</v>
      </c>
      <c r="DE22" s="905">
        <v>69.672506681179158</v>
      </c>
      <c r="DF22" s="905">
        <v>69.804699418261137</v>
      </c>
      <c r="DG22" s="905">
        <v>69.935713472054076</v>
      </c>
      <c r="DH22" s="905">
        <v>70.065555762329609</v>
      </c>
      <c r="DI22" s="905">
        <v>70.194233165545768</v>
      </c>
      <c r="DJ22" s="905">
        <v>70.32175281459125</v>
      </c>
      <c r="DK22" s="905">
        <v>70.448122180380466</v>
      </c>
      <c r="DL22" s="905">
        <v>70.573349139544092</v>
      </c>
      <c r="DM22" s="905">
        <v>70.697442022151861</v>
      </c>
      <c r="DN22" s="905">
        <v>70.820415003793187</v>
      </c>
      <c r="DO22" s="905">
        <v>70.942275367669239</v>
      </c>
      <c r="DP22" s="905">
        <v>71.06303039011641</v>
      </c>
      <c r="DQ22" s="905">
        <v>71.182687340020294</v>
      </c>
      <c r="DR22" s="905">
        <v>71.301253478243098</v>
      </c>
      <c r="DS22" s="905">
        <v>71.418736057063498</v>
      </c>
      <c r="DT22" s="905">
        <v>71.53514231962842</v>
      </c>
      <c r="DU22" s="905">
        <v>71.65047949941588</v>
      </c>
    </row>
    <row r="23" spans="1:125" s="127" customFormat="1" ht="12.75">
      <c r="A23" s="908">
        <v>21</v>
      </c>
      <c r="B23" s="905"/>
      <c r="C23" s="905"/>
      <c r="D23" s="905"/>
      <c r="E23" s="905"/>
      <c r="F23" s="905"/>
      <c r="G23" s="905"/>
      <c r="H23" s="905"/>
      <c r="I23" s="905"/>
      <c r="J23" s="905"/>
      <c r="K23" s="905"/>
      <c r="L23" s="905"/>
      <c r="M23" s="905"/>
      <c r="N23" s="905"/>
      <c r="O23" s="905"/>
      <c r="P23" s="905"/>
      <c r="Q23" s="905"/>
      <c r="R23" s="905"/>
      <c r="S23" s="905"/>
      <c r="T23" s="905"/>
      <c r="U23" s="905"/>
      <c r="V23" s="905"/>
      <c r="W23" s="905"/>
      <c r="X23" s="905"/>
      <c r="Y23" s="905">
        <v>54.710937489200091</v>
      </c>
      <c r="Z23" s="905">
        <v>55.029755867368124</v>
      </c>
      <c r="AA23" s="905">
        <v>55.390436550064116</v>
      </c>
      <c r="AB23" s="905">
        <v>55.68631516678672</v>
      </c>
      <c r="AC23" s="905">
        <v>55.916541172026683</v>
      </c>
      <c r="AD23" s="905">
        <v>56.024068175227939</v>
      </c>
      <c r="AE23" s="905">
        <v>56.178583913087749</v>
      </c>
      <c r="AF23" s="905">
        <v>56.405002738652719</v>
      </c>
      <c r="AG23" s="905">
        <v>56.628526883187746</v>
      </c>
      <c r="AH23" s="905">
        <v>56.875300050878081</v>
      </c>
      <c r="AI23" s="905">
        <v>57.110032120948127</v>
      </c>
      <c r="AJ23" s="905">
        <v>57.41789043469543</v>
      </c>
      <c r="AK23" s="905">
        <v>57.681967512416946</v>
      </c>
      <c r="AL23" s="905">
        <v>58.028896418018867</v>
      </c>
      <c r="AM23" s="905">
        <v>58.325814208004402</v>
      </c>
      <c r="AN23" s="905">
        <v>58.535190281898608</v>
      </c>
      <c r="AO23" s="905">
        <v>58.672918306363513</v>
      </c>
      <c r="AP23" s="905">
        <v>58.823811941557793</v>
      </c>
      <c r="AQ23" s="905">
        <v>58.944904316332284</v>
      </c>
      <c r="AR23" s="905">
        <v>59.084473463608703</v>
      </c>
      <c r="AS23" s="905">
        <v>59.122486288037358</v>
      </c>
      <c r="AT23" s="905">
        <v>59.144387937141431</v>
      </c>
      <c r="AU23" s="905">
        <v>59.187068603256321</v>
      </c>
      <c r="AV23" s="905">
        <v>59.252257275401661</v>
      </c>
      <c r="AW23" s="905">
        <v>59.525406945610612</v>
      </c>
      <c r="AX23" s="905">
        <v>59.618010078713048</v>
      </c>
      <c r="AY23" s="905">
        <v>59.724039156929024</v>
      </c>
      <c r="AZ23" s="905">
        <v>59.791271541717833</v>
      </c>
      <c r="BA23" s="905">
        <v>59.877686598285223</v>
      </c>
      <c r="BB23" s="905">
        <v>59.999311133269437</v>
      </c>
      <c r="BC23" s="905">
        <v>60.096816908998655</v>
      </c>
      <c r="BD23" s="905">
        <v>60.221888812918863</v>
      </c>
      <c r="BE23" s="905">
        <v>60.361855528495298</v>
      </c>
      <c r="BF23" s="905">
        <v>60.534398905554738</v>
      </c>
      <c r="BG23" s="905">
        <v>60.684842791241266</v>
      </c>
      <c r="BH23" s="905">
        <v>60.929658323066036</v>
      </c>
      <c r="BI23" s="905">
        <v>61.081959724302521</v>
      </c>
      <c r="BJ23" s="905">
        <v>61.283186237493666</v>
      </c>
      <c r="BK23" s="905">
        <v>61.458020320390197</v>
      </c>
      <c r="BL23" s="905">
        <v>61.698335986607695</v>
      </c>
      <c r="BM23" s="905">
        <v>61.928355437293988</v>
      </c>
      <c r="BN23" s="905">
        <v>62.124938603756291</v>
      </c>
      <c r="BO23" s="905">
        <v>62.294945085778906</v>
      </c>
      <c r="BP23" s="905">
        <v>62.494454563323671</v>
      </c>
      <c r="BQ23" s="905">
        <v>62.6752972356702</v>
      </c>
      <c r="BR23" s="905">
        <v>62.849668501968559</v>
      </c>
      <c r="BS23" s="905">
        <v>63.015098624340091</v>
      </c>
      <c r="BT23" s="905">
        <v>63.194612761100132</v>
      </c>
      <c r="BU23" s="905">
        <v>63.332021220114001</v>
      </c>
      <c r="BV23" s="905">
        <v>63.50955548512033</v>
      </c>
      <c r="BW23" s="905">
        <v>63.678093381817511</v>
      </c>
      <c r="BX23" s="905">
        <v>63.836730082555519</v>
      </c>
      <c r="BY23" s="905">
        <v>63.99680955096413</v>
      </c>
      <c r="BZ23" s="905">
        <v>64.146050154361404</v>
      </c>
      <c r="CA23" s="905">
        <v>64.287981519918944</v>
      </c>
      <c r="CB23" s="905">
        <v>64.441412771262662</v>
      </c>
      <c r="CC23" s="905">
        <v>64.597307532483981</v>
      </c>
      <c r="CD23" s="905">
        <v>64.756677560210946</v>
      </c>
      <c r="CE23" s="905">
        <v>64.913057886748021</v>
      </c>
      <c r="CF23" s="905">
        <v>65.064521238413988</v>
      </c>
      <c r="CG23" s="905">
        <v>65.211946369960316</v>
      </c>
      <c r="CH23" s="905">
        <v>65.369543517816012</v>
      </c>
      <c r="CI23" s="905">
        <v>65.537942788778849</v>
      </c>
      <c r="CJ23" s="905">
        <v>65.679376817509109</v>
      </c>
      <c r="CK23" s="905">
        <v>65.836646043613243</v>
      </c>
      <c r="CL23" s="905">
        <v>65.991798203593305</v>
      </c>
      <c r="CM23" s="905">
        <v>66.143576902061227</v>
      </c>
      <c r="CN23" s="905">
        <v>66.297586899729481</v>
      </c>
      <c r="CO23" s="905">
        <v>66.449163717496816</v>
      </c>
      <c r="CP23" s="905">
        <v>66.60129199635287</v>
      </c>
      <c r="CQ23" s="905">
        <v>66.739521497548111</v>
      </c>
      <c r="CR23" s="905">
        <v>66.885348459112194</v>
      </c>
      <c r="CS23" s="905">
        <v>67.033931788151648</v>
      </c>
      <c r="CT23" s="905">
        <v>67.175385334820831</v>
      </c>
      <c r="CU23" s="905">
        <v>67.317507032402901</v>
      </c>
      <c r="CV23" s="905">
        <v>67.461354336061049</v>
      </c>
      <c r="CW23" s="905">
        <v>67.596602791462473</v>
      </c>
      <c r="CX23" s="905">
        <v>67.73603828194112</v>
      </c>
      <c r="CY23" s="905">
        <v>67.875026746747452</v>
      </c>
      <c r="CZ23" s="905">
        <v>68.013830225761296</v>
      </c>
      <c r="DA23" s="905">
        <v>68.151429590542079</v>
      </c>
      <c r="DB23" s="905">
        <v>68.287831660606713</v>
      </c>
      <c r="DC23" s="905">
        <v>68.423043215116493</v>
      </c>
      <c r="DD23" s="905">
        <v>68.557070979193938</v>
      </c>
      <c r="DE23" s="905">
        <v>68.689921623219448</v>
      </c>
      <c r="DF23" s="905">
        <v>68.821601765948557</v>
      </c>
      <c r="DG23" s="905">
        <v>68.95211797331163</v>
      </c>
      <c r="DH23" s="905">
        <v>69.081476754669666</v>
      </c>
      <c r="DI23" s="905">
        <v>69.209684586889807</v>
      </c>
      <c r="DJ23" s="905">
        <v>69.336748213931216</v>
      </c>
      <c r="DK23" s="905">
        <v>69.462674728194386</v>
      </c>
      <c r="DL23" s="905">
        <v>69.5874716379696</v>
      </c>
      <c r="DM23" s="905">
        <v>69.711153390770477</v>
      </c>
      <c r="DN23" s="905">
        <v>69.833726944886735</v>
      </c>
      <c r="DO23" s="905">
        <v>69.955199261017938</v>
      </c>
      <c r="DP23" s="905">
        <v>70.075577301464961</v>
      </c>
      <c r="DQ23" s="905">
        <v>70.194868029338792</v>
      </c>
      <c r="DR23" s="905">
        <v>70.313078407786875</v>
      </c>
      <c r="DS23" s="905">
        <v>70.430215399236232</v>
      </c>
      <c r="DT23" s="905">
        <v>70.546285964652526</v>
      </c>
      <c r="DU23" s="905">
        <v>70.66129706281437</v>
      </c>
    </row>
    <row r="24" spans="1:125" s="127" customFormat="1" ht="12.75">
      <c r="A24" s="908">
        <v>22</v>
      </c>
      <c r="B24" s="905"/>
      <c r="C24" s="905"/>
      <c r="D24" s="905"/>
      <c r="E24" s="905"/>
      <c r="F24" s="905"/>
      <c r="G24" s="905"/>
      <c r="H24" s="905"/>
      <c r="I24" s="905"/>
      <c r="J24" s="905"/>
      <c r="K24" s="905"/>
      <c r="L24" s="905"/>
      <c r="M24" s="905"/>
      <c r="N24" s="905"/>
      <c r="O24" s="905"/>
      <c r="P24" s="905"/>
      <c r="Q24" s="905"/>
      <c r="R24" s="905"/>
      <c r="S24" s="905"/>
      <c r="T24" s="905"/>
      <c r="U24" s="905"/>
      <c r="V24" s="905"/>
      <c r="W24" s="905"/>
      <c r="X24" s="905"/>
      <c r="Y24" s="905">
        <v>53.888074101523763</v>
      </c>
      <c r="Z24" s="905">
        <v>54.286704158813151</v>
      </c>
      <c r="AA24" s="905">
        <v>54.587159803300764</v>
      </c>
      <c r="AB24" s="905">
        <v>54.884121211663995</v>
      </c>
      <c r="AC24" s="905">
        <v>55.065236415204772</v>
      </c>
      <c r="AD24" s="905">
        <v>55.112067594230354</v>
      </c>
      <c r="AE24" s="905">
        <v>55.266802925813067</v>
      </c>
      <c r="AF24" s="905">
        <v>55.493577040720737</v>
      </c>
      <c r="AG24" s="905">
        <v>55.706339588238293</v>
      </c>
      <c r="AH24" s="905">
        <v>55.950675614777523</v>
      </c>
      <c r="AI24" s="905">
        <v>56.182961127240432</v>
      </c>
      <c r="AJ24" s="905">
        <v>56.488698018787318</v>
      </c>
      <c r="AK24" s="905">
        <v>56.76052598529899</v>
      </c>
      <c r="AL24" s="905">
        <v>57.102977758739549</v>
      </c>
      <c r="AM24" s="905">
        <v>57.396534419776984</v>
      </c>
      <c r="AN24" s="905">
        <v>57.603590649332602</v>
      </c>
      <c r="AO24" s="905">
        <v>57.738698666418991</v>
      </c>
      <c r="AP24" s="905">
        <v>57.90058042595048</v>
      </c>
      <c r="AQ24" s="905">
        <v>58.010582921716171</v>
      </c>
      <c r="AR24" s="905">
        <v>58.154165225044849</v>
      </c>
      <c r="AS24" s="905">
        <v>58.185956870073802</v>
      </c>
      <c r="AT24" s="905">
        <v>58.20769010380571</v>
      </c>
      <c r="AU24" s="905">
        <v>58.252028248792413</v>
      </c>
      <c r="AV24" s="905">
        <v>58.316377493592157</v>
      </c>
      <c r="AW24" s="905">
        <v>58.587181474274587</v>
      </c>
      <c r="AX24" s="905">
        <v>58.686731088825312</v>
      </c>
      <c r="AY24" s="905">
        <v>58.792072495106019</v>
      </c>
      <c r="AZ24" s="905">
        <v>58.861869964730303</v>
      </c>
      <c r="BA24" s="905">
        <v>58.94798716017867</v>
      </c>
      <c r="BB24" s="905">
        <v>59.063581766693304</v>
      </c>
      <c r="BC24" s="905">
        <v>59.16186416865056</v>
      </c>
      <c r="BD24" s="905">
        <v>59.284460889461485</v>
      </c>
      <c r="BE24" s="905">
        <v>59.430930753614874</v>
      </c>
      <c r="BF24" s="905">
        <v>59.59850131958946</v>
      </c>
      <c r="BG24" s="905">
        <v>59.749043660694483</v>
      </c>
      <c r="BH24" s="905">
        <v>59.9905823532672</v>
      </c>
      <c r="BI24" s="905">
        <v>60.140486902033452</v>
      </c>
      <c r="BJ24" s="905">
        <v>60.340721749010854</v>
      </c>
      <c r="BK24" s="905">
        <v>60.513500615746963</v>
      </c>
      <c r="BL24" s="905">
        <v>60.751447438509913</v>
      </c>
      <c r="BM24" s="905">
        <v>60.975368462213041</v>
      </c>
      <c r="BN24" s="905">
        <v>61.170879816971336</v>
      </c>
      <c r="BO24" s="905">
        <v>61.338354035318204</v>
      </c>
      <c r="BP24" s="905">
        <v>61.537521203791428</v>
      </c>
      <c r="BQ24" s="905">
        <v>61.717895661812079</v>
      </c>
      <c r="BR24" s="905">
        <v>61.893558670523504</v>
      </c>
      <c r="BS24" s="905">
        <v>62.063004617504021</v>
      </c>
      <c r="BT24" s="905">
        <v>62.240755167281222</v>
      </c>
      <c r="BU24" s="905">
        <v>62.378449189464774</v>
      </c>
      <c r="BV24" s="905">
        <v>62.55130101417646</v>
      </c>
      <c r="BW24" s="905">
        <v>62.721720535225145</v>
      </c>
      <c r="BX24" s="905">
        <v>62.882601014497013</v>
      </c>
      <c r="BY24" s="905">
        <v>63.033204472174219</v>
      </c>
      <c r="BZ24" s="905">
        <v>63.186994573683819</v>
      </c>
      <c r="CA24" s="905">
        <v>63.327307585743455</v>
      </c>
      <c r="CB24" s="905">
        <v>63.483237745789964</v>
      </c>
      <c r="CC24" s="905">
        <v>63.635113603338979</v>
      </c>
      <c r="CD24" s="905">
        <v>63.791133938689811</v>
      </c>
      <c r="CE24" s="905">
        <v>63.947332530211249</v>
      </c>
      <c r="CF24" s="905">
        <v>64.095563713793481</v>
      </c>
      <c r="CG24" s="905">
        <v>64.241803220553521</v>
      </c>
      <c r="CH24" s="905">
        <v>64.395915711865342</v>
      </c>
      <c r="CI24" s="905">
        <v>64.564956298731374</v>
      </c>
      <c r="CJ24" s="905">
        <v>64.705452773511936</v>
      </c>
      <c r="CK24" s="905">
        <v>64.860066851645499</v>
      </c>
      <c r="CL24" s="905">
        <v>65.016199348319773</v>
      </c>
      <c r="CM24" s="905">
        <v>65.170536230722831</v>
      </c>
      <c r="CN24" s="905">
        <v>65.320570633753476</v>
      </c>
      <c r="CO24" s="905">
        <v>65.469597269350857</v>
      </c>
      <c r="CP24" s="905">
        <v>65.620975713503015</v>
      </c>
      <c r="CQ24" s="905">
        <v>65.762111201246867</v>
      </c>
      <c r="CR24" s="905">
        <v>65.904562978610642</v>
      </c>
      <c r="CS24" s="905">
        <v>66.053027186740138</v>
      </c>
      <c r="CT24" s="905">
        <v>66.193756205544204</v>
      </c>
      <c r="CU24" s="905">
        <v>66.337100982408884</v>
      </c>
      <c r="CV24" s="905">
        <v>66.479968740020496</v>
      </c>
      <c r="CW24" s="905">
        <v>66.615182806470614</v>
      </c>
      <c r="CX24" s="905">
        <v>66.756201974782357</v>
      </c>
      <c r="CY24" s="905">
        <v>66.895608052204793</v>
      </c>
      <c r="CZ24" s="905">
        <v>67.033820178711281</v>
      </c>
      <c r="DA24" s="905">
        <v>67.170844744049163</v>
      </c>
      <c r="DB24" s="905">
        <v>67.30668812199913</v>
      </c>
      <c r="DC24" s="905">
        <v>67.441356657268969</v>
      </c>
      <c r="DD24" s="905">
        <v>67.574856651552921</v>
      </c>
      <c r="DE24" s="905">
        <v>67.707194362575478</v>
      </c>
      <c r="DF24" s="905">
        <v>67.838376006959123</v>
      </c>
      <c r="DG24" s="905">
        <v>67.968407758777076</v>
      </c>
      <c r="DH24" s="905">
        <v>68.097295745565816</v>
      </c>
      <c r="DI24" s="905">
        <v>68.225046072164886</v>
      </c>
      <c r="DJ24" s="905">
        <v>68.351665120181963</v>
      </c>
      <c r="DK24" s="905">
        <v>68.477159629128408</v>
      </c>
      <c r="DL24" s="905">
        <v>68.601543822046509</v>
      </c>
      <c r="DM24" s="905">
        <v>68.724824337566588</v>
      </c>
      <c r="DN24" s="905">
        <v>68.847007825602248</v>
      </c>
      <c r="DO24" s="905">
        <v>68.968100946334488</v>
      </c>
      <c r="DP24" s="905">
        <v>69.088110369219777</v>
      </c>
      <c r="DQ24" s="905">
        <v>69.20704277201898</v>
      </c>
      <c r="DR24" s="905">
        <v>69.32490483984742</v>
      </c>
      <c r="DS24" s="905">
        <v>69.441703264245305</v>
      </c>
      <c r="DT24" s="905">
        <v>69.557444742267478</v>
      </c>
      <c r="DU24" s="905">
        <v>69.672135975591914</v>
      </c>
    </row>
    <row r="25" spans="1:125" s="127" customFormat="1" ht="12.75">
      <c r="A25" s="908">
        <v>23</v>
      </c>
      <c r="B25" s="905"/>
      <c r="C25" s="905"/>
      <c r="D25" s="905"/>
      <c r="E25" s="905"/>
      <c r="F25" s="905"/>
      <c r="G25" s="905"/>
      <c r="H25" s="905"/>
      <c r="I25" s="905"/>
      <c r="J25" s="905"/>
      <c r="K25" s="905"/>
      <c r="L25" s="905"/>
      <c r="M25" s="905"/>
      <c r="N25" s="905"/>
      <c r="O25" s="905"/>
      <c r="P25" s="905"/>
      <c r="Q25" s="905"/>
      <c r="R25" s="905"/>
      <c r="S25" s="905"/>
      <c r="T25" s="905"/>
      <c r="U25" s="905"/>
      <c r="V25" s="905"/>
      <c r="W25" s="905"/>
      <c r="X25" s="905"/>
      <c r="Y25" s="905">
        <v>53.136479740786072</v>
      </c>
      <c r="Z25" s="905">
        <v>53.483120579860206</v>
      </c>
      <c r="AA25" s="905">
        <v>53.784765777075684</v>
      </c>
      <c r="AB25" s="905">
        <v>54.023812794067567</v>
      </c>
      <c r="AC25" s="905">
        <v>54.155210838611012</v>
      </c>
      <c r="AD25" s="905">
        <v>54.202084785435225</v>
      </c>
      <c r="AE25" s="905">
        <v>54.357048205871877</v>
      </c>
      <c r="AF25" s="905">
        <v>54.573562708105939</v>
      </c>
      <c r="AG25" s="905">
        <v>54.784682340840263</v>
      </c>
      <c r="AH25" s="905">
        <v>55.025232931764016</v>
      </c>
      <c r="AI25" s="905">
        <v>55.257094079816618</v>
      </c>
      <c r="AJ25" s="905">
        <v>55.559427617205166</v>
      </c>
      <c r="AK25" s="905">
        <v>55.834317343626971</v>
      </c>
      <c r="AL25" s="905">
        <v>56.172507923531043</v>
      </c>
      <c r="AM25" s="905">
        <v>56.466915458815947</v>
      </c>
      <c r="AN25" s="905">
        <v>56.669861051615058</v>
      </c>
      <c r="AO25" s="905">
        <v>56.805954816496119</v>
      </c>
      <c r="AP25" s="905">
        <v>56.965237944367374</v>
      </c>
      <c r="AQ25" s="905">
        <v>57.074289780499996</v>
      </c>
      <c r="AR25" s="905">
        <v>57.218465132469632</v>
      </c>
      <c r="AS25" s="905">
        <v>57.246409786481948</v>
      </c>
      <c r="AT25" s="905">
        <v>57.271902989880772</v>
      </c>
      <c r="AU25" s="905">
        <v>57.317974453908882</v>
      </c>
      <c r="AV25" s="905">
        <v>57.379485413852677</v>
      </c>
      <c r="AW25" s="905">
        <v>57.64877906695861</v>
      </c>
      <c r="AX25" s="905">
        <v>57.752017739483804</v>
      </c>
      <c r="AY25" s="905">
        <v>57.858143461544152</v>
      </c>
      <c r="AZ25" s="905">
        <v>57.929581735991299</v>
      </c>
      <c r="BA25" s="905">
        <v>58.006269695462017</v>
      </c>
      <c r="BB25" s="905">
        <v>58.121030843424663</v>
      </c>
      <c r="BC25" s="905">
        <v>58.222688972637734</v>
      </c>
      <c r="BD25" s="905">
        <v>58.345762095604286</v>
      </c>
      <c r="BE25" s="905">
        <v>58.491548891063744</v>
      </c>
      <c r="BF25" s="905">
        <v>58.662320071199865</v>
      </c>
      <c r="BG25" s="905">
        <v>58.808977264894196</v>
      </c>
      <c r="BH25" s="905">
        <v>59.04440384764348</v>
      </c>
      <c r="BI25" s="905">
        <v>59.1903734793311</v>
      </c>
      <c r="BJ25" s="905">
        <v>59.392845970539241</v>
      </c>
      <c r="BK25" s="905">
        <v>59.565492264098992</v>
      </c>
      <c r="BL25" s="905">
        <v>59.800395206955102</v>
      </c>
      <c r="BM25" s="905">
        <v>60.019217632148141</v>
      </c>
      <c r="BN25" s="905">
        <v>60.213243810436353</v>
      </c>
      <c r="BO25" s="905">
        <v>60.379806825807705</v>
      </c>
      <c r="BP25" s="905">
        <v>60.579583464222303</v>
      </c>
      <c r="BQ25" s="905">
        <v>60.761141590790558</v>
      </c>
      <c r="BR25" s="905">
        <v>60.93891608371743</v>
      </c>
      <c r="BS25" s="905">
        <v>61.108019801721703</v>
      </c>
      <c r="BT25" s="905">
        <v>61.283873034669114</v>
      </c>
      <c r="BU25" s="905">
        <v>61.421027613504279</v>
      </c>
      <c r="BV25" s="905">
        <v>61.59259517664259</v>
      </c>
      <c r="BW25" s="905">
        <v>61.76167781095981</v>
      </c>
      <c r="BX25" s="905">
        <v>61.922227542923991</v>
      </c>
      <c r="BY25" s="905">
        <v>62.068880077307554</v>
      </c>
      <c r="BZ25" s="905">
        <v>62.225766375966778</v>
      </c>
      <c r="CA25" s="905">
        <v>62.364262802427405</v>
      </c>
      <c r="CB25" s="905">
        <v>62.515936915741257</v>
      </c>
      <c r="CC25" s="905">
        <v>62.670266259338121</v>
      </c>
      <c r="CD25" s="905">
        <v>62.822490337085412</v>
      </c>
      <c r="CE25" s="905">
        <v>62.980027773961993</v>
      </c>
      <c r="CF25" s="905">
        <v>63.123113651478022</v>
      </c>
      <c r="CG25" s="905">
        <v>63.267706373180445</v>
      </c>
      <c r="CH25" s="905">
        <v>63.424974484655365</v>
      </c>
      <c r="CI25" s="905">
        <v>63.589719943043647</v>
      </c>
      <c r="CJ25" s="905">
        <v>63.72940239902632</v>
      </c>
      <c r="CK25" s="905">
        <v>63.884323016634312</v>
      </c>
      <c r="CL25" s="905">
        <v>64.039593239815403</v>
      </c>
      <c r="CM25" s="905">
        <v>64.195810051066857</v>
      </c>
      <c r="CN25" s="905">
        <v>64.341340838908621</v>
      </c>
      <c r="CO25" s="905">
        <v>64.487764126075959</v>
      </c>
      <c r="CP25" s="905">
        <v>64.639610496051716</v>
      </c>
      <c r="CQ25" s="905">
        <v>64.783921644129393</v>
      </c>
      <c r="CR25" s="905">
        <v>64.924403946508562</v>
      </c>
      <c r="CS25" s="905">
        <v>65.072313914754957</v>
      </c>
      <c r="CT25" s="905">
        <v>65.211916306714514</v>
      </c>
      <c r="CU25" s="905">
        <v>65.356690727561272</v>
      </c>
      <c r="CV25" s="905">
        <v>65.497696346113045</v>
      </c>
      <c r="CW25" s="905">
        <v>65.636566563271302</v>
      </c>
      <c r="CX25" s="905">
        <v>65.77658391120913</v>
      </c>
      <c r="CY25" s="905">
        <v>65.91541699339129</v>
      </c>
      <c r="CZ25" s="905">
        <v>66.05307178760377</v>
      </c>
      <c r="DA25" s="905">
        <v>66.189554272968579</v>
      </c>
      <c r="DB25" s="905">
        <v>66.324870422707249</v>
      </c>
      <c r="DC25" s="905">
        <v>66.459026190815905</v>
      </c>
      <c r="DD25" s="905">
        <v>66.592027497907935</v>
      </c>
      <c r="DE25" s="905">
        <v>66.72388023004487</v>
      </c>
      <c r="DF25" s="905">
        <v>66.854590241393197</v>
      </c>
      <c r="DG25" s="905">
        <v>66.984163352567634</v>
      </c>
      <c r="DH25" s="905">
        <v>67.112605346437334</v>
      </c>
      <c r="DI25" s="905">
        <v>67.23992199176557</v>
      </c>
      <c r="DJ25" s="905">
        <v>67.366119342589968</v>
      </c>
      <c r="DK25" s="905">
        <v>67.491210987350627</v>
      </c>
      <c r="DL25" s="905">
        <v>67.615203258841248</v>
      </c>
      <c r="DM25" s="905">
        <v>67.738102509408122</v>
      </c>
      <c r="DN25" s="905">
        <v>67.85991510975191</v>
      </c>
      <c r="DO25" s="905">
        <v>67.980647447753185</v>
      </c>
      <c r="DP25" s="905">
        <v>68.100305927324911</v>
      </c>
      <c r="DQ25" s="905">
        <v>68.218896967288543</v>
      </c>
      <c r="DR25" s="905">
        <v>68.336427000274341</v>
      </c>
      <c r="DS25" s="905">
        <v>68.45290247164472</v>
      </c>
      <c r="DT25" s="905">
        <v>68.568329838439723</v>
      </c>
      <c r="DU25" s="905">
        <v>68.682715568344221</v>
      </c>
    </row>
    <row r="26" spans="1:125" s="127" customFormat="1" ht="12.75">
      <c r="A26" s="908">
        <v>24</v>
      </c>
      <c r="B26" s="905"/>
      <c r="C26" s="905"/>
      <c r="D26" s="905"/>
      <c r="E26" s="905"/>
      <c r="F26" s="905"/>
      <c r="G26" s="905"/>
      <c r="H26" s="905"/>
      <c r="I26" s="905"/>
      <c r="J26" s="905"/>
      <c r="K26" s="905"/>
      <c r="L26" s="905"/>
      <c r="M26" s="905"/>
      <c r="N26" s="905"/>
      <c r="O26" s="905"/>
      <c r="P26" s="905"/>
      <c r="Q26" s="905"/>
      <c r="R26" s="905"/>
      <c r="S26" s="905"/>
      <c r="T26" s="905"/>
      <c r="U26" s="905"/>
      <c r="V26" s="905"/>
      <c r="W26" s="905"/>
      <c r="X26" s="905"/>
      <c r="Y26" s="905">
        <v>52.328443190952299</v>
      </c>
      <c r="Z26" s="905">
        <v>52.676382499512897</v>
      </c>
      <c r="AA26" s="905">
        <v>52.921871792230959</v>
      </c>
      <c r="AB26" s="905">
        <v>53.114467328003954</v>
      </c>
      <c r="AC26" s="905">
        <v>53.24604373885667</v>
      </c>
      <c r="AD26" s="905">
        <v>53.292961250631862</v>
      </c>
      <c r="AE26" s="905">
        <v>53.435668277591724</v>
      </c>
      <c r="AF26" s="905">
        <v>53.652152168102418</v>
      </c>
      <c r="AG26" s="905">
        <v>53.858029303623937</v>
      </c>
      <c r="AH26" s="905">
        <v>54.099584738649128</v>
      </c>
      <c r="AI26" s="905">
        <v>54.329938847815811</v>
      </c>
      <c r="AJ26" s="905">
        <v>54.62826562969137</v>
      </c>
      <c r="AK26" s="905">
        <v>54.900332082118908</v>
      </c>
      <c r="AL26" s="905">
        <v>55.236986923918138</v>
      </c>
      <c r="AM26" s="905">
        <v>55.531880793798258</v>
      </c>
      <c r="AN26" s="905">
        <v>55.737644784800295</v>
      </c>
      <c r="AO26" s="905">
        <v>55.868829924265697</v>
      </c>
      <c r="AP26" s="905">
        <v>56.027783230372314</v>
      </c>
      <c r="AQ26" s="905">
        <v>56.136100949346627</v>
      </c>
      <c r="AR26" s="905">
        <v>56.280696529164672</v>
      </c>
      <c r="AS26" s="905">
        <v>56.304285554562625</v>
      </c>
      <c r="AT26" s="905">
        <v>56.328916595555697</v>
      </c>
      <c r="AU26" s="905">
        <v>56.376902834105479</v>
      </c>
      <c r="AV26" s="905">
        <v>56.441706569002477</v>
      </c>
      <c r="AW26" s="905">
        <v>56.712009140084248</v>
      </c>
      <c r="AX26" s="905">
        <v>56.815134906164559</v>
      </c>
      <c r="AY26" s="905">
        <v>56.919403087983468</v>
      </c>
      <c r="AZ26" s="905">
        <v>56.983451793703608</v>
      </c>
      <c r="BA26" s="905">
        <v>57.061743817729848</v>
      </c>
      <c r="BB26" s="905">
        <v>57.17823124838641</v>
      </c>
      <c r="BC26" s="905">
        <v>57.281319157183859</v>
      </c>
      <c r="BD26" s="905">
        <v>57.404879391632946</v>
      </c>
      <c r="BE26" s="905">
        <v>57.548777135745837</v>
      </c>
      <c r="BF26" s="905">
        <v>57.717738329610242</v>
      </c>
      <c r="BG26" s="905">
        <v>57.863057547129301</v>
      </c>
      <c r="BH26" s="905">
        <v>58.095855422678426</v>
      </c>
      <c r="BI26" s="905">
        <v>58.24049847215575</v>
      </c>
      <c r="BJ26" s="905">
        <v>58.441404206847821</v>
      </c>
      <c r="BK26" s="905">
        <v>58.608084517427798</v>
      </c>
      <c r="BL26" s="905">
        <v>58.841723334191713</v>
      </c>
      <c r="BM26" s="905">
        <v>59.058844031240071</v>
      </c>
      <c r="BN26" s="905">
        <v>59.254778002932042</v>
      </c>
      <c r="BO26" s="905">
        <v>59.421930449729871</v>
      </c>
      <c r="BP26" s="905">
        <v>59.621020874818321</v>
      </c>
      <c r="BQ26" s="905">
        <v>59.806322102161545</v>
      </c>
      <c r="BR26" s="905">
        <v>59.982335480068883</v>
      </c>
      <c r="BS26" s="905">
        <v>60.149153452720597</v>
      </c>
      <c r="BT26" s="905">
        <v>60.324631111324891</v>
      </c>
      <c r="BU26" s="905">
        <v>60.457187788158436</v>
      </c>
      <c r="BV26" s="905">
        <v>60.632603452379641</v>
      </c>
      <c r="BW26" s="905">
        <v>60.802032593371507</v>
      </c>
      <c r="BX26" s="905">
        <v>60.958751373136273</v>
      </c>
      <c r="BY26" s="905">
        <v>61.10236205994773</v>
      </c>
      <c r="BZ26" s="905">
        <v>61.261316494384019</v>
      </c>
      <c r="CA26" s="905">
        <v>61.398978767725183</v>
      </c>
      <c r="CB26" s="905">
        <v>61.546557789551485</v>
      </c>
      <c r="CC26" s="905">
        <v>61.704100844200966</v>
      </c>
      <c r="CD26" s="905">
        <v>61.852332463336253</v>
      </c>
      <c r="CE26" s="905">
        <v>62.007481149811213</v>
      </c>
      <c r="CF26" s="905">
        <v>62.149334086748709</v>
      </c>
      <c r="CG26" s="905">
        <v>62.294411677722323</v>
      </c>
      <c r="CH26" s="905">
        <v>62.451047447436565</v>
      </c>
      <c r="CI26" s="905">
        <v>62.612575156402642</v>
      </c>
      <c r="CJ26" s="905">
        <v>62.751756817059174</v>
      </c>
      <c r="CK26" s="905">
        <v>62.90980996744446</v>
      </c>
      <c r="CL26" s="905">
        <v>63.064427360287112</v>
      </c>
      <c r="CM26" s="905">
        <v>63.21695198390907</v>
      </c>
      <c r="CN26" s="905">
        <v>63.363857701234167</v>
      </c>
      <c r="CO26" s="905">
        <v>63.511241459926346</v>
      </c>
      <c r="CP26" s="905">
        <v>63.65901746130136</v>
      </c>
      <c r="CQ26" s="905">
        <v>63.801920189195101</v>
      </c>
      <c r="CR26" s="905">
        <v>63.944536178761027</v>
      </c>
      <c r="CS26" s="905">
        <v>64.089264328809449</v>
      </c>
      <c r="CT26" s="905">
        <v>64.231090934059836</v>
      </c>
      <c r="CU26" s="905">
        <v>64.375654308835919</v>
      </c>
      <c r="CV26" s="905">
        <v>64.515797042990727</v>
      </c>
      <c r="CW26" s="905">
        <v>64.656443668816095</v>
      </c>
      <c r="CX26" s="905">
        <v>64.795914987542929</v>
      </c>
      <c r="CY26" s="905">
        <v>64.93421659447263</v>
      </c>
      <c r="CZ26" s="905">
        <v>65.071354096605688</v>
      </c>
      <c r="DA26" s="905">
        <v>65.207333111053828</v>
      </c>
      <c r="DB26" s="905">
        <v>65.342159257626051</v>
      </c>
      <c r="DC26" s="905">
        <v>65.475838145324843</v>
      </c>
      <c r="DD26" s="905">
        <v>65.60837535801096</v>
      </c>
      <c r="DE26" s="905">
        <v>65.739776453059179</v>
      </c>
      <c r="DF26" s="905">
        <v>65.870046963841077</v>
      </c>
      <c r="DG26" s="905">
        <v>65.999192397895229</v>
      </c>
      <c r="DH26" s="905">
        <v>66.127218232562129</v>
      </c>
      <c r="DI26" s="905">
        <v>66.254129938458249</v>
      </c>
      <c r="DJ26" s="905">
        <v>66.379940155373703</v>
      </c>
      <c r="DK26" s="905">
        <v>66.504654927738159</v>
      </c>
      <c r="DL26" s="905">
        <v>66.628280327142022</v>
      </c>
      <c r="DM26" s="905">
        <v>66.750822450972635</v>
      </c>
      <c r="DN26" s="905">
        <v>66.872287421082063</v>
      </c>
      <c r="DO26" s="905">
        <v>66.992681382480725</v>
      </c>
      <c r="DP26" s="905">
        <v>67.112010502060556</v>
      </c>
      <c r="DQ26" s="905">
        <v>67.230280967343745</v>
      </c>
      <c r="DR26" s="905">
        <v>67.347498985258113</v>
      </c>
      <c r="DS26" s="905">
        <v>67.463670780937719</v>
      </c>
      <c r="DT26" s="905">
        <v>67.578802596547789</v>
      </c>
      <c r="DU26" s="905">
        <v>67.69290069013357</v>
      </c>
    </row>
    <row r="27" spans="1:125" s="127" customFormat="1" ht="12.75">
      <c r="A27" s="908">
        <v>25</v>
      </c>
      <c r="B27" s="905"/>
      <c r="C27" s="905"/>
      <c r="D27" s="905"/>
      <c r="E27" s="905"/>
      <c r="F27" s="905"/>
      <c r="G27" s="905"/>
      <c r="H27" s="905"/>
      <c r="I27" s="905"/>
      <c r="J27" s="905"/>
      <c r="K27" s="905"/>
      <c r="L27" s="905"/>
      <c r="M27" s="905"/>
      <c r="N27" s="905"/>
      <c r="O27" s="905"/>
      <c r="P27" s="905"/>
      <c r="Q27" s="905"/>
      <c r="R27" s="905"/>
      <c r="S27" s="905"/>
      <c r="T27" s="905"/>
      <c r="U27" s="905"/>
      <c r="V27" s="905"/>
      <c r="W27" s="905"/>
      <c r="X27" s="905"/>
      <c r="Y27" s="905">
        <v>51.515151997739494</v>
      </c>
      <c r="Z27" s="905">
        <v>51.809311818647465</v>
      </c>
      <c r="AA27" s="905">
        <v>52.012696386979528</v>
      </c>
      <c r="AB27" s="905">
        <v>52.20561663849594</v>
      </c>
      <c r="AC27" s="905">
        <v>52.337374656365995</v>
      </c>
      <c r="AD27" s="905">
        <v>52.366779094915259</v>
      </c>
      <c r="AE27" s="905">
        <v>52.509959763964744</v>
      </c>
      <c r="AF27" s="905">
        <v>52.722819997454145</v>
      </c>
      <c r="AG27" s="905">
        <v>52.932062574372893</v>
      </c>
      <c r="AH27" s="905">
        <v>53.17001221681015</v>
      </c>
      <c r="AI27" s="905">
        <v>53.39726337532629</v>
      </c>
      <c r="AJ27" s="905">
        <v>53.692900338406886</v>
      </c>
      <c r="AK27" s="905">
        <v>53.967396477032992</v>
      </c>
      <c r="AL27" s="905">
        <v>54.298937730387991</v>
      </c>
      <c r="AM27" s="905">
        <v>54.594558918048619</v>
      </c>
      <c r="AN27" s="905">
        <v>54.797360351735406</v>
      </c>
      <c r="AO27" s="905">
        <v>54.930863938121391</v>
      </c>
      <c r="AP27" s="905">
        <v>55.088765767477689</v>
      </c>
      <c r="AQ27" s="905">
        <v>55.194670484127741</v>
      </c>
      <c r="AR27" s="905">
        <v>55.341847908067557</v>
      </c>
      <c r="AS27" s="905">
        <v>55.362805006585731</v>
      </c>
      <c r="AT27" s="905">
        <v>55.384213949877832</v>
      </c>
      <c r="AU27" s="905">
        <v>55.434786475120077</v>
      </c>
      <c r="AV27" s="905">
        <v>55.505846875199452</v>
      </c>
      <c r="AW27" s="905">
        <v>55.773341339459719</v>
      </c>
      <c r="AX27" s="905">
        <v>55.871833422155746</v>
      </c>
      <c r="AY27" s="905">
        <v>55.972667408374228</v>
      </c>
      <c r="AZ27" s="905">
        <v>56.034158651800652</v>
      </c>
      <c r="BA27" s="905">
        <v>56.115742846269114</v>
      </c>
      <c r="BB27" s="905">
        <v>56.232316048042236</v>
      </c>
      <c r="BC27" s="905">
        <v>56.33838636456754</v>
      </c>
      <c r="BD27" s="905">
        <v>56.458980206254566</v>
      </c>
      <c r="BE27" s="905">
        <v>56.604032189636598</v>
      </c>
      <c r="BF27" s="905">
        <v>56.767606940171703</v>
      </c>
      <c r="BG27" s="905">
        <v>56.912801969831392</v>
      </c>
      <c r="BH27" s="905">
        <v>57.143045949245163</v>
      </c>
      <c r="BI27" s="905">
        <v>57.286832852771454</v>
      </c>
      <c r="BJ27" s="905">
        <v>57.485715113654948</v>
      </c>
      <c r="BK27" s="905">
        <v>57.65159806625114</v>
      </c>
      <c r="BL27" s="905">
        <v>57.884037363615931</v>
      </c>
      <c r="BM27" s="905">
        <v>58.101067428620063</v>
      </c>
      <c r="BN27" s="905">
        <v>58.2952417099903</v>
      </c>
      <c r="BO27" s="905">
        <v>58.461808941313087</v>
      </c>
      <c r="BP27" s="905">
        <v>58.662253148073148</v>
      </c>
      <c r="BQ27" s="905">
        <v>58.84612829771298</v>
      </c>
      <c r="BR27" s="905">
        <v>59.023794295544668</v>
      </c>
      <c r="BS27" s="905">
        <v>59.18996386090717</v>
      </c>
      <c r="BT27" s="905">
        <v>59.363095992124812</v>
      </c>
      <c r="BU27" s="905">
        <v>59.497971135598604</v>
      </c>
      <c r="BV27" s="905">
        <v>59.667169100862282</v>
      </c>
      <c r="BW27" s="905">
        <v>59.837334184226364</v>
      </c>
      <c r="BX27" s="905">
        <v>59.992418241472073</v>
      </c>
      <c r="BY27" s="905">
        <v>60.140118597977654</v>
      </c>
      <c r="BZ27" s="905">
        <v>60.29383727026044</v>
      </c>
      <c r="CA27" s="905">
        <v>60.43108379501659</v>
      </c>
      <c r="CB27" s="905">
        <v>60.575042364754722</v>
      </c>
      <c r="CC27" s="905">
        <v>60.733871670488284</v>
      </c>
      <c r="CD27" s="905">
        <v>60.880802432756752</v>
      </c>
      <c r="CE27" s="905">
        <v>61.031878793686928</v>
      </c>
      <c r="CF27" s="905">
        <v>61.174323423002974</v>
      </c>
      <c r="CG27" s="905">
        <v>61.317399958306368</v>
      </c>
      <c r="CH27" s="905">
        <v>61.475511599544781</v>
      </c>
      <c r="CI27" s="905">
        <v>61.636831552492886</v>
      </c>
      <c r="CJ27" s="905">
        <v>61.776330255136216</v>
      </c>
      <c r="CK27" s="905">
        <v>61.932303886339426</v>
      </c>
      <c r="CL27" s="905">
        <v>62.086866865837422</v>
      </c>
      <c r="CM27" s="905">
        <v>62.237271011642108</v>
      </c>
      <c r="CN27" s="905">
        <v>62.384106518614502</v>
      </c>
      <c r="CO27" s="905">
        <v>62.530719562595593</v>
      </c>
      <c r="CP27" s="905">
        <v>62.679200178743123</v>
      </c>
      <c r="CQ27" s="905">
        <v>62.823173973698822</v>
      </c>
      <c r="CR27" s="905">
        <v>62.964693932660317</v>
      </c>
      <c r="CS27" s="905">
        <v>63.107477370489264</v>
      </c>
      <c r="CT27" s="905">
        <v>63.250815232294862</v>
      </c>
      <c r="CU27" s="905">
        <v>63.393836402375186</v>
      </c>
      <c r="CV27" s="905">
        <v>63.535131850337805</v>
      </c>
      <c r="CW27" s="905">
        <v>63.675260193044764</v>
      </c>
      <c r="CX27" s="905">
        <v>63.814226677762733</v>
      </c>
      <c r="CY27" s="905">
        <v>63.952036567495227</v>
      </c>
      <c r="CZ27" s="905">
        <v>64.088695144510524</v>
      </c>
      <c r="DA27" s="905">
        <v>64.224207708612454</v>
      </c>
      <c r="DB27" s="905">
        <v>64.358579569584151</v>
      </c>
      <c r="DC27" s="905">
        <v>64.491816033539664</v>
      </c>
      <c r="DD27" s="905">
        <v>64.623922388444583</v>
      </c>
      <c r="DE27" s="905">
        <v>64.754903902629806</v>
      </c>
      <c r="DF27" s="905">
        <v>64.884765827132554</v>
      </c>
      <c r="DG27" s="905">
        <v>65.013513393725134</v>
      </c>
      <c r="DH27" s="905">
        <v>65.14115181040961</v>
      </c>
      <c r="DI27" s="905">
        <v>65.267692554258247</v>
      </c>
      <c r="DJ27" s="905">
        <v>65.393141398278814</v>
      </c>
      <c r="DK27" s="905">
        <v>65.517504149627712</v>
      </c>
      <c r="DL27" s="905">
        <v>65.64078664810377</v>
      </c>
      <c r="DM27" s="905">
        <v>65.762994764672072</v>
      </c>
      <c r="DN27" s="905">
        <v>65.884134400021253</v>
      </c>
      <c r="DO27" s="905">
        <v>66.004211483148225</v>
      </c>
      <c r="DP27" s="905">
        <v>66.12323196997437</v>
      </c>
      <c r="DQ27" s="905">
        <v>66.241201841989067</v>
      </c>
      <c r="DR27" s="905">
        <v>66.358127104921365</v>
      </c>
      <c r="DS27" s="905">
        <v>66.474013787438906</v>
      </c>
      <c r="DT27" s="905">
        <v>66.588867939872614</v>
      </c>
      <c r="DU27" s="905">
        <v>66.702695632967135</v>
      </c>
    </row>
    <row r="28" spans="1:125" s="127" customFormat="1" ht="12.75">
      <c r="A28" s="908">
        <v>26</v>
      </c>
      <c r="B28" s="905"/>
      <c r="C28" s="905"/>
      <c r="D28" s="905"/>
      <c r="E28" s="905"/>
      <c r="F28" s="905"/>
      <c r="G28" s="905"/>
      <c r="H28" s="905"/>
      <c r="I28" s="905"/>
      <c r="J28" s="905"/>
      <c r="K28" s="905"/>
      <c r="L28" s="905"/>
      <c r="M28" s="905"/>
      <c r="N28" s="905"/>
      <c r="O28" s="905"/>
      <c r="P28" s="905"/>
      <c r="Q28" s="905"/>
      <c r="R28" s="905"/>
      <c r="S28" s="905"/>
      <c r="T28" s="905"/>
      <c r="U28" s="905"/>
      <c r="V28" s="905"/>
      <c r="W28" s="905"/>
      <c r="X28" s="905"/>
      <c r="Y28" s="905">
        <v>50.642169920998342</v>
      </c>
      <c r="Z28" s="905">
        <v>50.899960964436019</v>
      </c>
      <c r="AA28" s="905">
        <v>51.10372410534022</v>
      </c>
      <c r="AB28" s="905">
        <v>51.296976271977059</v>
      </c>
      <c r="AC28" s="905">
        <v>51.4097299792695</v>
      </c>
      <c r="AD28" s="905">
        <v>51.438571003689319</v>
      </c>
      <c r="AE28" s="905">
        <v>51.579744236578385</v>
      </c>
      <c r="AF28" s="905">
        <v>51.79313787552146</v>
      </c>
      <c r="AG28" s="905">
        <v>52.001055443457872</v>
      </c>
      <c r="AH28" s="905">
        <v>52.237921509825263</v>
      </c>
      <c r="AI28" s="905">
        <v>52.461558308934812</v>
      </c>
      <c r="AJ28" s="905">
        <v>52.758222090710078</v>
      </c>
      <c r="AK28" s="905">
        <v>53.026493509135889</v>
      </c>
      <c r="AL28" s="905">
        <v>53.360631252439852</v>
      </c>
      <c r="AM28" s="905">
        <v>53.652983056628671</v>
      </c>
      <c r="AN28" s="905">
        <v>53.855490275460902</v>
      </c>
      <c r="AO28" s="905">
        <v>53.991849946568806</v>
      </c>
      <c r="AP28" s="905">
        <v>54.149162512127234</v>
      </c>
      <c r="AQ28" s="905">
        <v>54.25079288902463</v>
      </c>
      <c r="AR28" s="905">
        <v>54.403025423613734</v>
      </c>
      <c r="AS28" s="905">
        <v>54.416097360267344</v>
      </c>
      <c r="AT28" s="905">
        <v>54.439498387847003</v>
      </c>
      <c r="AU28" s="905">
        <v>54.496285998461055</v>
      </c>
      <c r="AV28" s="905">
        <v>54.56313070445843</v>
      </c>
      <c r="AW28" s="905">
        <v>54.832292586130961</v>
      </c>
      <c r="AX28" s="905">
        <v>54.924520132556211</v>
      </c>
      <c r="AY28" s="905">
        <v>55.022154591891763</v>
      </c>
      <c r="AZ28" s="905">
        <v>55.084601089164366</v>
      </c>
      <c r="BA28" s="905">
        <v>55.168976497082951</v>
      </c>
      <c r="BB28" s="905">
        <v>55.285512276430936</v>
      </c>
      <c r="BC28" s="905">
        <v>55.391217536258544</v>
      </c>
      <c r="BD28" s="905">
        <v>55.51184814629238</v>
      </c>
      <c r="BE28" s="905">
        <v>55.654492256818251</v>
      </c>
      <c r="BF28" s="905">
        <v>55.816426376620882</v>
      </c>
      <c r="BG28" s="905">
        <v>55.961105656375629</v>
      </c>
      <c r="BH28" s="905">
        <v>56.18641761300448</v>
      </c>
      <c r="BI28" s="905">
        <v>56.329060592853892</v>
      </c>
      <c r="BJ28" s="905">
        <v>56.525797871635241</v>
      </c>
      <c r="BK28" s="905">
        <v>56.691954226055699</v>
      </c>
      <c r="BL28" s="905">
        <v>56.924607535702421</v>
      </c>
      <c r="BM28" s="905">
        <v>57.139380691141092</v>
      </c>
      <c r="BN28" s="905">
        <v>57.335154646315772</v>
      </c>
      <c r="BO28" s="905">
        <v>57.505868060092162</v>
      </c>
      <c r="BP28" s="905">
        <v>57.704870178995634</v>
      </c>
      <c r="BQ28" s="905">
        <v>57.888804256999947</v>
      </c>
      <c r="BR28" s="905">
        <v>58.062623311481858</v>
      </c>
      <c r="BS28" s="905">
        <v>58.226460289074822</v>
      </c>
      <c r="BT28" s="905">
        <v>58.399496118610138</v>
      </c>
      <c r="BU28" s="905">
        <v>58.53245587498261</v>
      </c>
      <c r="BV28" s="905">
        <v>58.702074400878786</v>
      </c>
      <c r="BW28" s="905">
        <v>58.870537255559483</v>
      </c>
      <c r="BX28" s="905">
        <v>59.024606891803415</v>
      </c>
      <c r="BY28" s="905">
        <v>59.170736915197686</v>
      </c>
      <c r="BZ28" s="905">
        <v>59.323753201395832</v>
      </c>
      <c r="CA28" s="905">
        <v>59.461809157195191</v>
      </c>
      <c r="CB28" s="905">
        <v>59.604282583300261</v>
      </c>
      <c r="CC28" s="905">
        <v>59.758155675503744</v>
      </c>
      <c r="CD28" s="905">
        <v>59.907007327083903</v>
      </c>
      <c r="CE28" s="905">
        <v>60.057908955394147</v>
      </c>
      <c r="CF28" s="905">
        <v>60.198619159306318</v>
      </c>
      <c r="CG28" s="905">
        <v>60.3413911027301</v>
      </c>
      <c r="CH28" s="905">
        <v>60.498958724494415</v>
      </c>
      <c r="CI28" s="905">
        <v>60.659249615580613</v>
      </c>
      <c r="CJ28" s="905">
        <v>60.800271907559548</v>
      </c>
      <c r="CK28" s="905">
        <v>60.955069366911466</v>
      </c>
      <c r="CL28" s="905">
        <v>61.108494298456371</v>
      </c>
      <c r="CM28" s="905">
        <v>61.258579043492368</v>
      </c>
      <c r="CN28" s="905">
        <v>61.402983394573866</v>
      </c>
      <c r="CO28" s="905">
        <v>61.550010089675034</v>
      </c>
      <c r="CP28" s="905">
        <v>61.697844115693769</v>
      </c>
      <c r="CQ28" s="905">
        <v>61.842648735200115</v>
      </c>
      <c r="CR28" s="905">
        <v>61.983531370153415</v>
      </c>
      <c r="CS28" s="905">
        <v>62.125256664764343</v>
      </c>
      <c r="CT28" s="905">
        <v>62.270870510851864</v>
      </c>
      <c r="CU28" s="905">
        <v>62.412829202561603</v>
      </c>
      <c r="CV28" s="905">
        <v>62.553628376119875</v>
      </c>
      <c r="CW28" s="905">
        <v>62.693272965923939</v>
      </c>
      <c r="CX28" s="905">
        <v>62.831767919728463</v>
      </c>
      <c r="CY28" s="905">
        <v>62.969118207562055</v>
      </c>
      <c r="CZ28" s="905">
        <v>63.105328825144298</v>
      </c>
      <c r="DA28" s="905">
        <v>63.240404792043947</v>
      </c>
      <c r="DB28" s="905">
        <v>63.37435114400828</v>
      </c>
      <c r="DC28" s="905">
        <v>63.507172919197998</v>
      </c>
      <c r="DD28" s="905">
        <v>63.638875143590994</v>
      </c>
      <c r="DE28" s="905">
        <v>63.769462829380743</v>
      </c>
      <c r="DF28" s="905">
        <v>63.898940977202074</v>
      </c>
      <c r="DG28" s="905">
        <v>64.027314574044254</v>
      </c>
      <c r="DH28" s="905">
        <v>64.154594029663571</v>
      </c>
      <c r="DI28" s="905">
        <v>64.280784858950696</v>
      </c>
      <c r="DJ28" s="905">
        <v>64.405892617430254</v>
      </c>
      <c r="DK28" s="905">
        <v>64.52992289962549</v>
      </c>
      <c r="DL28" s="905">
        <v>64.652881337457458</v>
      </c>
      <c r="DM28" s="905">
        <v>64.774773598675694</v>
      </c>
      <c r="DN28" s="905">
        <v>64.895605385323705</v>
      </c>
      <c r="DO28" s="905">
        <v>65.015382432233196</v>
      </c>
      <c r="DP28" s="905">
        <v>65.134110505551064</v>
      </c>
      <c r="DQ28" s="905">
        <v>65.251795401295269</v>
      </c>
      <c r="DR28" s="905">
        <v>65.368442943939883</v>
      </c>
      <c r="DS28" s="905">
        <v>65.484058985028952</v>
      </c>
      <c r="DT28" s="905">
        <v>65.59864940181734</v>
      </c>
      <c r="DU28" s="905">
        <v>65.712220095938719</v>
      </c>
    </row>
    <row r="29" spans="1:125" s="127" customFormat="1" ht="12.75">
      <c r="A29" s="908">
        <v>27</v>
      </c>
      <c r="B29" s="905"/>
      <c r="C29" s="905"/>
      <c r="D29" s="905"/>
      <c r="E29" s="905"/>
      <c r="F29" s="905"/>
      <c r="G29" s="905"/>
      <c r="H29" s="905"/>
      <c r="I29" s="905"/>
      <c r="J29" s="905"/>
      <c r="K29" s="905"/>
      <c r="L29" s="905"/>
      <c r="M29" s="905"/>
      <c r="N29" s="905"/>
      <c r="O29" s="905"/>
      <c r="P29" s="905"/>
      <c r="Q29" s="905"/>
      <c r="R29" s="905"/>
      <c r="S29" s="905"/>
      <c r="T29" s="905"/>
      <c r="U29" s="905"/>
      <c r="V29" s="905"/>
      <c r="W29" s="905"/>
      <c r="X29" s="905"/>
      <c r="Y29" s="905">
        <v>49.732515315916743</v>
      </c>
      <c r="Z29" s="905">
        <v>49.990772376804969</v>
      </c>
      <c r="AA29" s="905">
        <v>50.194921833495236</v>
      </c>
      <c r="AB29" s="905">
        <v>50.368750209265855</v>
      </c>
      <c r="AC29" s="905">
        <v>50.48381698395049</v>
      </c>
      <c r="AD29" s="905">
        <v>50.513369275157132</v>
      </c>
      <c r="AE29" s="905">
        <v>50.649445933262534</v>
      </c>
      <c r="AF29" s="905">
        <v>50.863134881588479</v>
      </c>
      <c r="AG29" s="905">
        <v>51.069712899060917</v>
      </c>
      <c r="AH29" s="905">
        <v>51.302416154676806</v>
      </c>
      <c r="AI29" s="905">
        <v>51.526342771446707</v>
      </c>
      <c r="AJ29" s="905">
        <v>51.821987670955394</v>
      </c>
      <c r="AK29" s="905">
        <v>52.08934745388791</v>
      </c>
      <c r="AL29" s="905">
        <v>52.418413856138287</v>
      </c>
      <c r="AM29" s="905">
        <v>52.711377539235279</v>
      </c>
      <c r="AN29" s="905">
        <v>52.911633825888302</v>
      </c>
      <c r="AO29" s="905">
        <v>53.050413614565606</v>
      </c>
      <c r="AP29" s="905">
        <v>53.206128804913192</v>
      </c>
      <c r="AQ29" s="905">
        <v>53.306888048502771</v>
      </c>
      <c r="AR29" s="905">
        <v>53.457509502162679</v>
      </c>
      <c r="AS29" s="905">
        <v>53.472652830483653</v>
      </c>
      <c r="AT29" s="905">
        <v>53.497778363560826</v>
      </c>
      <c r="AU29" s="905">
        <v>53.556426285041653</v>
      </c>
      <c r="AV29" s="905">
        <v>53.621944390403371</v>
      </c>
      <c r="AW29" s="905">
        <v>53.880585854658435</v>
      </c>
      <c r="AX29" s="905">
        <v>53.974350962837683</v>
      </c>
      <c r="AY29" s="905">
        <v>54.072305366060931</v>
      </c>
      <c r="AZ29" s="905">
        <v>54.137140486565571</v>
      </c>
      <c r="BA29" s="905">
        <v>54.222112161512655</v>
      </c>
      <c r="BB29" s="905">
        <v>54.336966138147289</v>
      </c>
      <c r="BC29" s="905">
        <v>54.4403916025896</v>
      </c>
      <c r="BD29" s="905">
        <v>54.561782790228897</v>
      </c>
      <c r="BE29" s="905">
        <v>54.703225326717785</v>
      </c>
      <c r="BF29" s="905">
        <v>54.864422560635298</v>
      </c>
      <c r="BG29" s="905">
        <v>55.00523156654058</v>
      </c>
      <c r="BH29" s="905">
        <v>55.22947955590358</v>
      </c>
      <c r="BI29" s="905">
        <v>55.37009523111486</v>
      </c>
      <c r="BJ29" s="905">
        <v>55.566586321492863</v>
      </c>
      <c r="BK29" s="905">
        <v>55.731814644236081</v>
      </c>
      <c r="BL29" s="905">
        <v>55.964413842353309</v>
      </c>
      <c r="BM29" s="905">
        <v>56.178322864186882</v>
      </c>
      <c r="BN29" s="905">
        <v>56.377038659037979</v>
      </c>
      <c r="BO29" s="905">
        <v>56.550170938069222</v>
      </c>
      <c r="BP29" s="905">
        <v>56.7451004279499</v>
      </c>
      <c r="BQ29" s="905">
        <v>56.926094189340745</v>
      </c>
      <c r="BR29" s="905">
        <v>57.099143880292957</v>
      </c>
      <c r="BS29" s="905">
        <v>57.260716000000883</v>
      </c>
      <c r="BT29" s="905">
        <v>57.433474803946154</v>
      </c>
      <c r="BU29" s="905">
        <v>57.56412392496452</v>
      </c>
      <c r="BV29" s="905">
        <v>57.736305214730422</v>
      </c>
      <c r="BW29" s="905">
        <v>57.902724760256334</v>
      </c>
      <c r="BX29" s="905">
        <v>58.053963735727848</v>
      </c>
      <c r="BY29" s="905">
        <v>58.200661843862989</v>
      </c>
      <c r="BZ29" s="905">
        <v>58.352169757445196</v>
      </c>
      <c r="CA29" s="905">
        <v>58.49143831104341</v>
      </c>
      <c r="CB29" s="905">
        <v>58.631403698179788</v>
      </c>
      <c r="CC29" s="905">
        <v>58.783507081821554</v>
      </c>
      <c r="CD29" s="905">
        <v>58.9337519305518</v>
      </c>
      <c r="CE29" s="905">
        <v>59.083213421202821</v>
      </c>
      <c r="CF29" s="905">
        <v>59.22460679702624</v>
      </c>
      <c r="CG29" s="905">
        <v>59.367772678268359</v>
      </c>
      <c r="CH29" s="905">
        <v>59.522767892639557</v>
      </c>
      <c r="CI29" s="905">
        <v>59.682427223373772</v>
      </c>
      <c r="CJ29" s="905">
        <v>59.823302585098801</v>
      </c>
      <c r="CK29" s="905">
        <v>59.975922663744775</v>
      </c>
      <c r="CL29" s="905">
        <v>60.127212256337032</v>
      </c>
      <c r="CM29" s="905">
        <v>60.279161091878514</v>
      </c>
      <c r="CN29" s="905">
        <v>60.422642174407606</v>
      </c>
      <c r="CO29" s="905">
        <v>60.570029265286578</v>
      </c>
      <c r="CP29" s="905">
        <v>60.716055952410983</v>
      </c>
      <c r="CQ29" s="905">
        <v>60.859918874499037</v>
      </c>
      <c r="CR29" s="905">
        <v>61.002584990132945</v>
      </c>
      <c r="CS29" s="905">
        <v>61.14723749368612</v>
      </c>
      <c r="CT29" s="905">
        <v>61.289863216402679</v>
      </c>
      <c r="CU29" s="905">
        <v>61.43133671174742</v>
      </c>
      <c r="CV29" s="905">
        <v>61.571662628655943</v>
      </c>
      <c r="CW29" s="905">
        <v>61.710845624176741</v>
      </c>
      <c r="CX29" s="905">
        <v>61.848890374531891</v>
      </c>
      <c r="CY29" s="905">
        <v>61.98580158394558</v>
      </c>
      <c r="CZ29" s="905">
        <v>62.121583987970105</v>
      </c>
      <c r="DA29" s="905">
        <v>62.256242351550831</v>
      </c>
      <c r="DB29" s="905">
        <v>62.389781461260355</v>
      </c>
      <c r="DC29" s="905">
        <v>62.52220611143575</v>
      </c>
      <c r="DD29" s="905">
        <v>62.653521089483988</v>
      </c>
      <c r="DE29" s="905">
        <v>62.783731174183615</v>
      </c>
      <c r="DF29" s="905">
        <v>62.912841137813402</v>
      </c>
      <c r="DG29" s="905">
        <v>63.040860430486006</v>
      </c>
      <c r="DH29" s="905">
        <v>63.16779431560208</v>
      </c>
      <c r="DI29" s="905">
        <v>63.293648103371254</v>
      </c>
      <c r="DJ29" s="905">
        <v>63.418427149058338</v>
      </c>
      <c r="DK29" s="905">
        <v>63.542136851265738</v>
      </c>
      <c r="DL29" s="905">
        <v>63.664782650251496</v>
      </c>
      <c r="DM29" s="905">
        <v>63.786370026279869</v>
      </c>
      <c r="DN29" s="905">
        <v>63.906904498007783</v>
      </c>
      <c r="DO29" s="905">
        <v>64.026391620901109</v>
      </c>
      <c r="DP29" s="905">
        <v>64.144836985684748</v>
      </c>
      <c r="DQ29" s="905">
        <v>64.262246216822561</v>
      </c>
      <c r="DR29" s="905">
        <v>64.378624971027804</v>
      </c>
      <c r="DS29" s="905">
        <v>64.49397893580317</v>
      </c>
      <c r="DT29" s="905">
        <v>64.608313828009017</v>
      </c>
      <c r="DU29" s="905">
        <v>64.721635392459831</v>
      </c>
    </row>
    <row r="30" spans="1:125" s="127" customFormat="1" ht="12.75">
      <c r="A30" s="908">
        <v>28</v>
      </c>
      <c r="B30" s="905"/>
      <c r="C30" s="905"/>
      <c r="D30" s="905"/>
      <c r="E30" s="905"/>
      <c r="F30" s="905"/>
      <c r="G30" s="905"/>
      <c r="H30" s="905"/>
      <c r="I30" s="905"/>
      <c r="J30" s="905"/>
      <c r="K30" s="905"/>
      <c r="L30" s="905"/>
      <c r="M30" s="905"/>
      <c r="N30" s="905"/>
      <c r="O30" s="905"/>
      <c r="P30" s="905"/>
      <c r="Q30" s="905"/>
      <c r="R30" s="905"/>
      <c r="S30" s="905"/>
      <c r="T30" s="905"/>
      <c r="U30" s="905"/>
      <c r="V30" s="905"/>
      <c r="W30" s="905"/>
      <c r="X30" s="905"/>
      <c r="Y30" s="905">
        <v>48.822283452784198</v>
      </c>
      <c r="Z30" s="905">
        <v>49.081012966966703</v>
      </c>
      <c r="AA30" s="905">
        <v>49.268850393394757</v>
      </c>
      <c r="AB30" s="905">
        <v>49.44011937900892</v>
      </c>
      <c r="AC30" s="905">
        <v>49.552830338607173</v>
      </c>
      <c r="AD30" s="905">
        <v>49.582425265191063</v>
      </c>
      <c r="AE30" s="905">
        <v>49.720431795570747</v>
      </c>
      <c r="AF30" s="905">
        <v>49.927434957170775</v>
      </c>
      <c r="AG30" s="905">
        <v>50.136049231397678</v>
      </c>
      <c r="AH30" s="905">
        <v>50.369720339576816</v>
      </c>
      <c r="AI30" s="905">
        <v>50.589993757371815</v>
      </c>
      <c r="AJ30" s="905">
        <v>50.881873604115242</v>
      </c>
      <c r="AK30" s="905">
        <v>51.148455851930436</v>
      </c>
      <c r="AL30" s="905">
        <v>51.475043708746348</v>
      </c>
      <c r="AM30" s="905">
        <v>51.76800402633404</v>
      </c>
      <c r="AN30" s="905">
        <v>51.969450695822161</v>
      </c>
      <c r="AO30" s="905">
        <v>52.110931056098138</v>
      </c>
      <c r="AP30" s="905">
        <v>52.26069227238132</v>
      </c>
      <c r="AQ30" s="905">
        <v>52.362747332590715</v>
      </c>
      <c r="AR30" s="905">
        <v>52.517255921813614</v>
      </c>
      <c r="AS30" s="905">
        <v>52.532663645247226</v>
      </c>
      <c r="AT30" s="905">
        <v>52.553730826542157</v>
      </c>
      <c r="AU30" s="905">
        <v>52.61118366931084</v>
      </c>
      <c r="AV30" s="905">
        <v>52.673722913723338</v>
      </c>
      <c r="AW30" s="905">
        <v>52.931009836694841</v>
      </c>
      <c r="AX30" s="905">
        <v>53.022924910308944</v>
      </c>
      <c r="AY30" s="905">
        <v>53.121623795654955</v>
      </c>
      <c r="AZ30" s="905">
        <v>53.194541869729761</v>
      </c>
      <c r="BA30" s="905">
        <v>53.27342475965542</v>
      </c>
      <c r="BB30" s="905">
        <v>53.386831783416255</v>
      </c>
      <c r="BC30" s="905">
        <v>53.486465203735811</v>
      </c>
      <c r="BD30" s="905">
        <v>53.60840646401428</v>
      </c>
      <c r="BE30" s="905">
        <v>53.751270324921954</v>
      </c>
      <c r="BF30" s="905">
        <v>53.909570836836124</v>
      </c>
      <c r="BG30" s="905">
        <v>54.049236419836369</v>
      </c>
      <c r="BH30" s="905">
        <v>54.269772471169205</v>
      </c>
      <c r="BI30" s="905">
        <v>54.412720730908909</v>
      </c>
      <c r="BJ30" s="905">
        <v>54.606615366873214</v>
      </c>
      <c r="BK30" s="905">
        <v>54.770291227520985</v>
      </c>
      <c r="BL30" s="905">
        <v>55.002737726779209</v>
      </c>
      <c r="BM30" s="905">
        <v>55.220344502156891</v>
      </c>
      <c r="BN30" s="905">
        <v>55.419779835725947</v>
      </c>
      <c r="BO30" s="905">
        <v>55.588770548817735</v>
      </c>
      <c r="BP30" s="905">
        <v>55.78315985760112</v>
      </c>
      <c r="BQ30" s="905">
        <v>55.964056995112415</v>
      </c>
      <c r="BR30" s="905">
        <v>56.136691444340165</v>
      </c>
      <c r="BS30" s="905">
        <v>56.296730914446208</v>
      </c>
      <c r="BT30" s="905">
        <v>56.467301258468972</v>
      </c>
      <c r="BU30" s="905">
        <v>56.594097279443886</v>
      </c>
      <c r="BV30" s="905">
        <v>56.769250399151517</v>
      </c>
      <c r="BW30" s="905">
        <v>56.936398820481926</v>
      </c>
      <c r="BX30" s="905">
        <v>57.083140603349932</v>
      </c>
      <c r="BY30" s="905">
        <v>57.229332840198722</v>
      </c>
      <c r="BZ30" s="905">
        <v>57.380242128020441</v>
      </c>
      <c r="CA30" s="905">
        <v>57.51948784466974</v>
      </c>
      <c r="CB30" s="905">
        <v>57.6567541716257</v>
      </c>
      <c r="CC30" s="905">
        <v>57.808105289891614</v>
      </c>
      <c r="CD30" s="905">
        <v>57.958741386276117</v>
      </c>
      <c r="CE30" s="905">
        <v>58.108227862192329</v>
      </c>
      <c r="CF30" s="905">
        <v>58.25155788035373</v>
      </c>
      <c r="CG30" s="905">
        <v>58.395221463297929</v>
      </c>
      <c r="CH30" s="905">
        <v>58.546904241304958</v>
      </c>
      <c r="CI30" s="905">
        <v>58.703035142877397</v>
      </c>
      <c r="CJ30" s="905">
        <v>58.845056253314901</v>
      </c>
      <c r="CK30" s="905">
        <v>58.998651433252348</v>
      </c>
      <c r="CL30" s="905">
        <v>59.148798483131252</v>
      </c>
      <c r="CM30" s="905">
        <v>59.299596516582348</v>
      </c>
      <c r="CN30" s="905">
        <v>59.442156684506983</v>
      </c>
      <c r="CO30" s="905">
        <v>59.588916472485948</v>
      </c>
      <c r="CP30" s="905">
        <v>59.734866490237494</v>
      </c>
      <c r="CQ30" s="905">
        <v>59.878805275484922</v>
      </c>
      <c r="CR30" s="905">
        <v>60.023323497444778</v>
      </c>
      <c r="CS30" s="905">
        <v>60.166610228736516</v>
      </c>
      <c r="CT30" s="905">
        <v>60.308751963074826</v>
      </c>
      <c r="CU30" s="905">
        <v>60.449753087518168</v>
      </c>
      <c r="CV30" s="905">
        <v>60.589617988996366</v>
      </c>
      <c r="CW30" s="905">
        <v>60.728351067820483</v>
      </c>
      <c r="CX30" s="905">
        <v>60.865956748673625</v>
      </c>
      <c r="CY30" s="905">
        <v>61.002439489366829</v>
      </c>
      <c r="CZ30" s="905">
        <v>61.137803784088867</v>
      </c>
      <c r="DA30" s="905">
        <v>61.272054161392852</v>
      </c>
      <c r="DB30" s="905">
        <v>61.405195176349764</v>
      </c>
      <c r="DC30" s="905">
        <v>61.537231396602337</v>
      </c>
      <c r="DD30" s="905">
        <v>61.668167387586408</v>
      </c>
      <c r="DE30" s="905">
        <v>61.798007710749758</v>
      </c>
      <c r="DF30" s="905">
        <v>61.926760951304232</v>
      </c>
      <c r="DG30" s="905">
        <v>62.05443212334324</v>
      </c>
      <c r="DH30" s="905">
        <v>62.181026293741084</v>
      </c>
      <c r="DI30" s="905">
        <v>62.306548580290212</v>
      </c>
      <c r="DJ30" s="905">
        <v>62.431004149874504</v>
      </c>
      <c r="DK30" s="905">
        <v>62.554398216680013</v>
      </c>
      <c r="DL30" s="905">
        <v>62.676736040441881</v>
      </c>
      <c r="DM30" s="905">
        <v>62.798022924724748</v>
      </c>
      <c r="DN30" s="905">
        <v>62.918264215239873</v>
      </c>
      <c r="DO30" s="905">
        <v>63.037465298192842</v>
      </c>
      <c r="DP30" s="905">
        <v>63.155631598666105</v>
      </c>
      <c r="DQ30" s="905">
        <v>63.272768579032046</v>
      </c>
      <c r="DR30" s="905">
        <v>63.388881737397455</v>
      </c>
      <c r="DS30" s="905">
        <v>63.503976606078581</v>
      </c>
      <c r="DT30" s="905">
        <v>63.618058750105114</v>
      </c>
      <c r="DU30" s="905">
        <v>63.731133765753249</v>
      </c>
    </row>
    <row r="31" spans="1:125" s="127" customFormat="1" ht="12.75">
      <c r="A31" s="908">
        <v>29</v>
      </c>
      <c r="B31" s="905"/>
      <c r="C31" s="905"/>
      <c r="D31" s="905"/>
      <c r="E31" s="905"/>
      <c r="F31" s="905"/>
      <c r="G31" s="905"/>
      <c r="H31" s="905"/>
      <c r="I31" s="905"/>
      <c r="J31" s="905"/>
      <c r="K31" s="905"/>
      <c r="L31" s="905"/>
      <c r="M31" s="905"/>
      <c r="N31" s="905"/>
      <c r="O31" s="905"/>
      <c r="P31" s="905"/>
      <c r="Q31" s="905"/>
      <c r="R31" s="905"/>
      <c r="S31" s="905"/>
      <c r="T31" s="905"/>
      <c r="U31" s="905"/>
      <c r="V31" s="905"/>
      <c r="W31" s="905"/>
      <c r="X31" s="905"/>
      <c r="Y31" s="905">
        <v>47.912177815864297</v>
      </c>
      <c r="Z31" s="905">
        <v>48.152093278870048</v>
      </c>
      <c r="AA31" s="905">
        <v>48.335778377391335</v>
      </c>
      <c r="AB31" s="905">
        <v>48.510265407956872</v>
      </c>
      <c r="AC31" s="905">
        <v>48.62130633216826</v>
      </c>
      <c r="AD31" s="905">
        <v>48.648506567128621</v>
      </c>
      <c r="AE31" s="905">
        <v>48.790583031603049</v>
      </c>
      <c r="AF31" s="905">
        <v>48.99116039887631</v>
      </c>
      <c r="AG31" s="905">
        <v>49.204378075300895</v>
      </c>
      <c r="AH31" s="905">
        <v>49.436361277565283</v>
      </c>
      <c r="AI31" s="905">
        <v>49.651500425947852</v>
      </c>
      <c r="AJ31" s="905">
        <v>49.938482189273088</v>
      </c>
      <c r="AK31" s="905">
        <v>50.209258862314378</v>
      </c>
      <c r="AL31" s="905">
        <v>50.529530137557174</v>
      </c>
      <c r="AM31" s="905">
        <v>50.823887451302191</v>
      </c>
      <c r="AN31" s="905">
        <v>51.025119432993321</v>
      </c>
      <c r="AO31" s="905">
        <v>51.168188295999819</v>
      </c>
      <c r="AP31" s="905">
        <v>51.315822465748951</v>
      </c>
      <c r="AQ31" s="905">
        <v>51.419825405196889</v>
      </c>
      <c r="AR31" s="905">
        <v>51.574877214652666</v>
      </c>
      <c r="AS31" s="905">
        <v>51.586411829281623</v>
      </c>
      <c r="AT31" s="905">
        <v>51.609108293060316</v>
      </c>
      <c r="AU31" s="905">
        <v>51.666584082423583</v>
      </c>
      <c r="AV31" s="905">
        <v>51.724920964722806</v>
      </c>
      <c r="AW31" s="905">
        <v>51.984230926428445</v>
      </c>
      <c r="AX31" s="905">
        <v>52.07223865638754</v>
      </c>
      <c r="AY31" s="905">
        <v>52.175451777197381</v>
      </c>
      <c r="AZ31" s="905">
        <v>52.242439419938243</v>
      </c>
      <c r="BA31" s="905">
        <v>52.324740266698988</v>
      </c>
      <c r="BB31" s="905">
        <v>52.435421549405788</v>
      </c>
      <c r="BC31" s="905">
        <v>52.536201370453526</v>
      </c>
      <c r="BD31" s="905">
        <v>52.656184223458226</v>
      </c>
      <c r="BE31" s="905">
        <v>52.799316471065019</v>
      </c>
      <c r="BF31" s="905">
        <v>52.951791711584278</v>
      </c>
      <c r="BG31" s="905">
        <v>53.092959156812285</v>
      </c>
      <c r="BH31" s="905">
        <v>53.309717786161769</v>
      </c>
      <c r="BI31" s="905">
        <v>53.452681496741754</v>
      </c>
      <c r="BJ31" s="905">
        <v>53.647030109451251</v>
      </c>
      <c r="BK31" s="905">
        <v>53.811493473927172</v>
      </c>
      <c r="BL31" s="905">
        <v>54.043625785193569</v>
      </c>
      <c r="BM31" s="905">
        <v>54.265530921388375</v>
      </c>
      <c r="BN31" s="905">
        <v>54.460998163542584</v>
      </c>
      <c r="BO31" s="905">
        <v>54.628010369915991</v>
      </c>
      <c r="BP31" s="905">
        <v>54.82206566552486</v>
      </c>
      <c r="BQ31" s="905">
        <v>55.002817924460871</v>
      </c>
      <c r="BR31" s="905">
        <v>55.175402549978941</v>
      </c>
      <c r="BS31" s="905">
        <v>55.331544661575265</v>
      </c>
      <c r="BT31" s="905">
        <v>55.499088507414925</v>
      </c>
      <c r="BU31" s="905">
        <v>55.628712383981508</v>
      </c>
      <c r="BV31" s="905">
        <v>55.800194133680037</v>
      </c>
      <c r="BW31" s="905">
        <v>55.963966997062229</v>
      </c>
      <c r="BX31" s="905">
        <v>56.112612498800246</v>
      </c>
      <c r="BY31" s="905">
        <v>56.258998328085738</v>
      </c>
      <c r="BZ31" s="905">
        <v>56.405678139442053</v>
      </c>
      <c r="CA31" s="905">
        <v>56.543715391452295</v>
      </c>
      <c r="CB31" s="905">
        <v>56.681722079120277</v>
      </c>
      <c r="CC31" s="905">
        <v>56.832633668842213</v>
      </c>
      <c r="CD31" s="905">
        <v>56.983694538183585</v>
      </c>
      <c r="CE31" s="905">
        <v>57.131588061730284</v>
      </c>
      <c r="CF31" s="905">
        <v>57.276370103136308</v>
      </c>
      <c r="CG31" s="905">
        <v>57.418529720075711</v>
      </c>
      <c r="CH31" s="905">
        <v>57.570346421869466</v>
      </c>
      <c r="CI31" s="905">
        <v>57.726639524409777</v>
      </c>
      <c r="CJ31" s="905">
        <v>57.868303010879657</v>
      </c>
      <c r="CK31" s="905">
        <v>58.019991723932719</v>
      </c>
      <c r="CL31" s="905">
        <v>58.168746818081772</v>
      </c>
      <c r="CM31" s="905">
        <v>58.320557982020588</v>
      </c>
      <c r="CN31" s="905">
        <v>58.463237263767851</v>
      </c>
      <c r="CO31" s="905">
        <v>58.609774444848227</v>
      </c>
      <c r="CP31" s="905">
        <v>58.754822190575041</v>
      </c>
      <c r="CQ31" s="905">
        <v>58.899484596396725</v>
      </c>
      <c r="CR31" s="905">
        <v>59.043417856599348</v>
      </c>
      <c r="CS31" s="905">
        <v>59.18621347635775</v>
      </c>
      <c r="CT31" s="905">
        <v>59.327875600446617</v>
      </c>
      <c r="CU31" s="905">
        <v>59.468408364146079</v>
      </c>
      <c r="CV31" s="905">
        <v>59.607815907450004</v>
      </c>
      <c r="CW31" s="905">
        <v>59.746102388522445</v>
      </c>
      <c r="CX31" s="905">
        <v>59.88327199463069</v>
      </c>
      <c r="CY31" s="905">
        <v>60.019328950840432</v>
      </c>
      <c r="CZ31" s="905">
        <v>60.154277523201202</v>
      </c>
      <c r="DA31" s="905">
        <v>60.288122016666193</v>
      </c>
      <c r="DB31" s="905">
        <v>60.420866767176477</v>
      </c>
      <c r="DC31" s="905">
        <v>60.552516127642704</v>
      </c>
      <c r="DD31" s="905">
        <v>60.683074453093305</v>
      </c>
      <c r="DE31" s="905">
        <v>60.81254954987385</v>
      </c>
      <c r="DF31" s="905">
        <v>60.940946181563305</v>
      </c>
      <c r="DG31" s="905">
        <v>61.068269170370023</v>
      </c>
      <c r="DH31" s="905">
        <v>61.194523395163351</v>
      </c>
      <c r="DI31" s="905">
        <v>61.319713789545709</v>
      </c>
      <c r="DJ31" s="905">
        <v>61.443845339961598</v>
      </c>
      <c r="DK31" s="905">
        <v>61.566923083844472</v>
      </c>
      <c r="DL31" s="905">
        <v>61.688952107800617</v>
      </c>
      <c r="DM31" s="905">
        <v>61.809937545827069</v>
      </c>
      <c r="DN31" s="905">
        <v>61.929884577566852</v>
      </c>
      <c r="DO31" s="905">
        <v>62.048798426595781</v>
      </c>
      <c r="DP31" s="905">
        <v>62.166684358744256</v>
      </c>
      <c r="DQ31" s="905">
        <v>62.283547680450852</v>
      </c>
      <c r="DR31" s="905">
        <v>62.399393737147562</v>
      </c>
      <c r="DS31" s="905">
        <v>62.514227911676556</v>
      </c>
      <c r="DT31" s="905">
        <v>62.628055622736476</v>
      </c>
      <c r="DU31" s="905">
        <v>62.740882323358576</v>
      </c>
    </row>
    <row r="32" spans="1:125" s="127" customFormat="1" ht="12.75">
      <c r="A32" s="908">
        <v>30</v>
      </c>
      <c r="B32" s="905"/>
      <c r="C32" s="905"/>
      <c r="D32" s="905"/>
      <c r="E32" s="905"/>
      <c r="F32" s="905"/>
      <c r="G32" s="905"/>
      <c r="H32" s="905"/>
      <c r="I32" s="905"/>
      <c r="J32" s="905"/>
      <c r="K32" s="905"/>
      <c r="L32" s="905"/>
      <c r="M32" s="905"/>
      <c r="N32" s="905"/>
      <c r="O32" s="905"/>
      <c r="P32" s="905"/>
      <c r="Q32" s="905"/>
      <c r="R32" s="905"/>
      <c r="S32" s="905"/>
      <c r="T32" s="905"/>
      <c r="U32" s="905"/>
      <c r="V32" s="905"/>
      <c r="W32" s="905"/>
      <c r="X32" s="905"/>
      <c r="Y32" s="905">
        <v>46.984765655763745</v>
      </c>
      <c r="Z32" s="905">
        <v>47.226068378688218</v>
      </c>
      <c r="AA32" s="905">
        <v>47.405487107234308</v>
      </c>
      <c r="AB32" s="905">
        <v>47.581919808954297</v>
      </c>
      <c r="AC32" s="905">
        <v>47.691266136596767</v>
      </c>
      <c r="AD32" s="905">
        <v>47.714485550101543</v>
      </c>
      <c r="AE32" s="905">
        <v>47.855362288097744</v>
      </c>
      <c r="AF32" s="905">
        <v>48.059075838837892</v>
      </c>
      <c r="AG32" s="905">
        <v>48.270018387591136</v>
      </c>
      <c r="AH32" s="905">
        <v>48.500081405821334</v>
      </c>
      <c r="AI32" s="905">
        <v>48.711712848996854</v>
      </c>
      <c r="AJ32" s="905">
        <v>48.99963269927234</v>
      </c>
      <c r="AK32" s="905">
        <v>49.268060939106014</v>
      </c>
      <c r="AL32" s="905">
        <v>49.584950040833604</v>
      </c>
      <c r="AM32" s="905">
        <v>49.881993198627029</v>
      </c>
      <c r="AN32" s="905">
        <v>50.086669801625419</v>
      </c>
      <c r="AO32" s="905">
        <v>50.223554700401138</v>
      </c>
      <c r="AP32" s="905">
        <v>50.374736960609454</v>
      </c>
      <c r="AQ32" s="905">
        <v>50.47953318649121</v>
      </c>
      <c r="AR32" s="905">
        <v>50.634769100305355</v>
      </c>
      <c r="AS32" s="905">
        <v>50.643172161454842</v>
      </c>
      <c r="AT32" s="905">
        <v>50.661906855492219</v>
      </c>
      <c r="AU32" s="905">
        <v>50.721000752256515</v>
      </c>
      <c r="AV32" s="905">
        <v>50.780552686398551</v>
      </c>
      <c r="AW32" s="905">
        <v>51.033684028856285</v>
      </c>
      <c r="AX32" s="905">
        <v>51.122776888153517</v>
      </c>
      <c r="AY32" s="905">
        <v>51.228767918072975</v>
      </c>
      <c r="AZ32" s="905">
        <v>51.295106163813841</v>
      </c>
      <c r="BA32" s="905">
        <v>51.374980496547181</v>
      </c>
      <c r="BB32" s="905">
        <v>51.48628817774209</v>
      </c>
      <c r="BC32" s="905">
        <v>51.585952034547738</v>
      </c>
      <c r="BD32" s="905">
        <v>51.701917470294063</v>
      </c>
      <c r="BE32" s="905">
        <v>51.844910281582955</v>
      </c>
      <c r="BF32" s="905">
        <v>51.995459470028706</v>
      </c>
      <c r="BG32" s="905">
        <v>52.131318581820494</v>
      </c>
      <c r="BH32" s="905">
        <v>52.354986267748103</v>
      </c>
      <c r="BI32" s="905">
        <v>52.497459537217594</v>
      </c>
      <c r="BJ32" s="905">
        <v>52.691252601650433</v>
      </c>
      <c r="BK32" s="905">
        <v>52.858037373194044</v>
      </c>
      <c r="BL32" s="905">
        <v>53.091318422482601</v>
      </c>
      <c r="BM32" s="905">
        <v>53.308349045609987</v>
      </c>
      <c r="BN32" s="905">
        <v>53.501890295345177</v>
      </c>
      <c r="BO32" s="905">
        <v>53.667088122474503</v>
      </c>
      <c r="BP32" s="905">
        <v>53.862717554187938</v>
      </c>
      <c r="BQ32" s="905">
        <v>54.038828693608636</v>
      </c>
      <c r="BR32" s="905">
        <v>54.209371366128337</v>
      </c>
      <c r="BS32" s="905">
        <v>54.364818791908036</v>
      </c>
      <c r="BT32" s="905">
        <v>54.532280419138203</v>
      </c>
      <c r="BU32" s="905">
        <v>54.659656904447289</v>
      </c>
      <c r="BV32" s="905">
        <v>54.829421750743435</v>
      </c>
      <c r="BW32" s="905">
        <v>54.991617845424045</v>
      </c>
      <c r="BX32" s="905">
        <v>55.139008150474908</v>
      </c>
      <c r="BY32" s="905">
        <v>55.285582000439092</v>
      </c>
      <c r="BZ32" s="905">
        <v>55.430539173711558</v>
      </c>
      <c r="CA32" s="905">
        <v>55.569924742071841</v>
      </c>
      <c r="CB32" s="905">
        <v>55.708267961062077</v>
      </c>
      <c r="CC32" s="905">
        <v>55.857288084461523</v>
      </c>
      <c r="CD32" s="905">
        <v>56.010276419777767</v>
      </c>
      <c r="CE32" s="905">
        <v>56.159014891501265</v>
      </c>
      <c r="CF32" s="905">
        <v>56.300526272449233</v>
      </c>
      <c r="CG32" s="905">
        <v>56.443566224549301</v>
      </c>
      <c r="CH32" s="905">
        <v>56.594187857715887</v>
      </c>
      <c r="CI32" s="905">
        <v>56.748485033075603</v>
      </c>
      <c r="CJ32" s="905">
        <v>56.89362092452555</v>
      </c>
      <c r="CK32" s="905">
        <v>57.042972005469423</v>
      </c>
      <c r="CL32" s="905">
        <v>57.191001924961355</v>
      </c>
      <c r="CM32" s="905">
        <v>57.340415219192465</v>
      </c>
      <c r="CN32" s="905">
        <v>57.485197683257205</v>
      </c>
      <c r="CO32" s="905">
        <v>57.630243371532828</v>
      </c>
      <c r="CP32" s="905">
        <v>57.776047281754799</v>
      </c>
      <c r="CQ32" s="905">
        <v>57.920605394981486</v>
      </c>
      <c r="CR32" s="905">
        <v>58.064033498194974</v>
      </c>
      <c r="CS32" s="905">
        <v>58.206335505141745</v>
      </c>
      <c r="CT32" s="905">
        <v>58.347515315361704</v>
      </c>
      <c r="CU32" s="905">
        <v>58.48757682339955</v>
      </c>
      <c r="CV32" s="905">
        <v>58.626523932972759</v>
      </c>
      <c r="CW32" s="905">
        <v>58.764360570384667</v>
      </c>
      <c r="CX32" s="905">
        <v>58.901090695409835</v>
      </c>
      <c r="CY32" s="905">
        <v>59.036718309938294</v>
      </c>
      <c r="CZ32" s="905">
        <v>59.171247461106461</v>
      </c>
      <c r="DA32" s="905">
        <v>59.304682239159263</v>
      </c>
      <c r="DB32" s="905">
        <v>59.437026769474599</v>
      </c>
      <c r="DC32" s="905">
        <v>59.568285198481568</v>
      </c>
      <c r="DD32" s="905">
        <v>59.698464636658045</v>
      </c>
      <c r="DE32" s="905">
        <v>59.827569593397129</v>
      </c>
      <c r="DF32" s="905">
        <v>59.955604642493526</v>
      </c>
      <c r="DG32" s="905">
        <v>60.082574420078217</v>
      </c>
      <c r="DH32" s="905">
        <v>60.208483622591388</v>
      </c>
      <c r="DI32" s="905">
        <v>60.333337004796476</v>
      </c>
      <c r="DJ32" s="905">
        <v>60.457139377831467</v>
      </c>
      <c r="DK32" s="905">
        <v>60.579895607298653</v>
      </c>
      <c r="DL32" s="905">
        <v>60.701610611391743</v>
      </c>
      <c r="DM32" s="905">
        <v>60.822289359057734</v>
      </c>
      <c r="DN32" s="905">
        <v>60.941936868196393</v>
      </c>
      <c r="DO32" s="905">
        <v>61.060558203891929</v>
      </c>
      <c r="DP32" s="905">
        <v>61.178158476680295</v>
      </c>
      <c r="DQ32" s="905">
        <v>61.294742840848599</v>
      </c>
      <c r="DR32" s="905">
        <v>61.410316492766981</v>
      </c>
      <c r="DS32" s="905">
        <v>61.52488466925233</v>
      </c>
      <c r="DT32" s="905">
        <v>61.638452645962289</v>
      </c>
      <c r="DU32" s="905">
        <v>61.751025735819567</v>
      </c>
    </row>
    <row r="33" spans="1:125" s="127" customFormat="1" ht="12.75">
      <c r="A33" s="908">
        <v>31</v>
      </c>
      <c r="B33" s="905"/>
      <c r="C33" s="905"/>
      <c r="D33" s="905"/>
      <c r="E33" s="905"/>
      <c r="F33" s="905"/>
      <c r="G33" s="905"/>
      <c r="H33" s="905"/>
      <c r="I33" s="905"/>
      <c r="J33" s="905"/>
      <c r="K33" s="905"/>
      <c r="L33" s="905"/>
      <c r="M33" s="905"/>
      <c r="N33" s="905"/>
      <c r="O33" s="905"/>
      <c r="P33" s="905"/>
      <c r="Q33" s="905"/>
      <c r="R33" s="905"/>
      <c r="S33" s="905"/>
      <c r="T33" s="905"/>
      <c r="U33" s="905"/>
      <c r="V33" s="905"/>
      <c r="W33" s="905"/>
      <c r="X33" s="905"/>
      <c r="Y33" s="905">
        <v>46.055216162867183</v>
      </c>
      <c r="Z33" s="905">
        <v>46.297177741763946</v>
      </c>
      <c r="AA33" s="905">
        <v>46.47251522685869</v>
      </c>
      <c r="AB33" s="905">
        <v>46.650073696643048</v>
      </c>
      <c r="AC33" s="905">
        <v>46.76081255109149</v>
      </c>
      <c r="AD33" s="905">
        <v>46.780514651309545</v>
      </c>
      <c r="AE33" s="905">
        <v>46.922037484038114</v>
      </c>
      <c r="AF33" s="905">
        <v>47.120943640911193</v>
      </c>
      <c r="AG33" s="905">
        <v>47.33288582027722</v>
      </c>
      <c r="AH33" s="905">
        <v>47.560242138757033</v>
      </c>
      <c r="AI33" s="905">
        <v>47.774026105222646</v>
      </c>
      <c r="AJ33" s="905">
        <v>48.058417504609068</v>
      </c>
      <c r="AK33" s="905">
        <v>48.327766784394456</v>
      </c>
      <c r="AL33" s="905">
        <v>48.646364433764511</v>
      </c>
      <c r="AM33" s="905">
        <v>48.940573624151085</v>
      </c>
      <c r="AN33" s="905">
        <v>49.144457265777923</v>
      </c>
      <c r="AO33" s="905">
        <v>49.283363231808835</v>
      </c>
      <c r="AP33" s="905">
        <v>49.434035217677248</v>
      </c>
      <c r="AQ33" s="905">
        <v>49.540523479685049</v>
      </c>
      <c r="AR33" s="905">
        <v>49.691607359553402</v>
      </c>
      <c r="AS33" s="905">
        <v>49.697943127327008</v>
      </c>
      <c r="AT33" s="905">
        <v>49.717550133577056</v>
      </c>
      <c r="AU33" s="905">
        <v>49.777392775193867</v>
      </c>
      <c r="AV33" s="905">
        <v>49.836224704130913</v>
      </c>
      <c r="AW33" s="905">
        <v>50.088571361713235</v>
      </c>
      <c r="AX33" s="905">
        <v>50.174724441284454</v>
      </c>
      <c r="AY33" s="905">
        <v>50.276118527466465</v>
      </c>
      <c r="AZ33" s="905">
        <v>50.345759453757893</v>
      </c>
      <c r="BA33" s="905">
        <v>50.425437783980442</v>
      </c>
      <c r="BB33" s="905">
        <v>50.536982913716528</v>
      </c>
      <c r="BC33" s="905">
        <v>50.63045354616704</v>
      </c>
      <c r="BD33" s="905">
        <v>50.747088450410871</v>
      </c>
      <c r="BE33" s="905">
        <v>50.889575512323219</v>
      </c>
      <c r="BF33" s="905">
        <v>51.040356745775028</v>
      </c>
      <c r="BG33" s="905">
        <v>51.176539103196966</v>
      </c>
      <c r="BH33" s="905">
        <v>51.398449037155331</v>
      </c>
      <c r="BI33" s="905">
        <v>51.543201058892038</v>
      </c>
      <c r="BJ33" s="905">
        <v>51.738748681786838</v>
      </c>
      <c r="BK33" s="905">
        <v>51.908120439873208</v>
      </c>
      <c r="BL33" s="905">
        <v>52.135789309603297</v>
      </c>
      <c r="BM33" s="905">
        <v>52.352250251593205</v>
      </c>
      <c r="BN33" s="905">
        <v>52.545739450591242</v>
      </c>
      <c r="BO33" s="905">
        <v>52.707516342530866</v>
      </c>
      <c r="BP33" s="905">
        <v>52.899828815959907</v>
      </c>
      <c r="BQ33" s="905">
        <v>53.073789763236441</v>
      </c>
      <c r="BR33" s="905">
        <v>53.242170125542302</v>
      </c>
      <c r="BS33" s="905">
        <v>53.397867164397539</v>
      </c>
      <c r="BT33" s="905">
        <v>53.561476976601654</v>
      </c>
      <c r="BU33" s="905">
        <v>53.690231777352011</v>
      </c>
      <c r="BV33" s="905">
        <v>53.857320796976943</v>
      </c>
      <c r="BW33" s="905">
        <v>54.019800896902737</v>
      </c>
      <c r="BX33" s="905">
        <v>54.166633732896997</v>
      </c>
      <c r="BY33" s="905">
        <v>54.311494706611825</v>
      </c>
      <c r="BZ33" s="905">
        <v>54.455234912076534</v>
      </c>
      <c r="CA33" s="905">
        <v>54.594145481030282</v>
      </c>
      <c r="CB33" s="905">
        <v>54.735368646493797</v>
      </c>
      <c r="CC33" s="905">
        <v>54.882410452898426</v>
      </c>
      <c r="CD33" s="905">
        <v>55.03630011406608</v>
      </c>
      <c r="CE33" s="905">
        <v>55.183302443614494</v>
      </c>
      <c r="CF33" s="905">
        <v>55.326787644337657</v>
      </c>
      <c r="CG33" s="905">
        <v>55.467202743643043</v>
      </c>
      <c r="CH33" s="905">
        <v>55.619073385025828</v>
      </c>
      <c r="CI33" s="905">
        <v>55.772810657875084</v>
      </c>
      <c r="CJ33" s="905">
        <v>55.918811648868768</v>
      </c>
      <c r="CK33" s="905">
        <v>56.06665943607895</v>
      </c>
      <c r="CL33" s="905">
        <v>56.215160771032956</v>
      </c>
      <c r="CM33" s="905">
        <v>56.361369030134995</v>
      </c>
      <c r="CN33" s="905">
        <v>56.50756487223498</v>
      </c>
      <c r="CO33" s="905">
        <v>56.653303395456106</v>
      </c>
      <c r="CP33" s="905">
        <v>56.798458814281986</v>
      </c>
      <c r="CQ33" s="905">
        <v>56.942492237685904</v>
      </c>
      <c r="CR33" s="905">
        <v>57.08540735235529</v>
      </c>
      <c r="CS33" s="905">
        <v>57.227207830947954</v>
      </c>
      <c r="CT33" s="905">
        <v>57.367897336122681</v>
      </c>
      <c r="CU33" s="905">
        <v>57.507479529719575</v>
      </c>
      <c r="CV33" s="905">
        <v>57.645958086896769</v>
      </c>
      <c r="CW33" s="905">
        <v>57.783336709509214</v>
      </c>
      <c r="CX33" s="905">
        <v>57.919619136955163</v>
      </c>
      <c r="CY33" s="905">
        <v>58.054809154778141</v>
      </c>
      <c r="CZ33" s="905">
        <v>58.188910597751502</v>
      </c>
      <c r="DA33" s="905">
        <v>58.321927347691251</v>
      </c>
      <c r="DB33" s="905">
        <v>58.453863325428287</v>
      </c>
      <c r="DC33" s="905">
        <v>58.584725022771167</v>
      </c>
      <c r="DD33" s="905">
        <v>58.714516689663185</v>
      </c>
      <c r="DE33" s="905">
        <v>58.843242646176392</v>
      </c>
      <c r="DF33" s="905">
        <v>58.970907280350232</v>
      </c>
      <c r="DG33" s="905">
        <v>59.097515046073326</v>
      </c>
      <c r="DH33" s="905">
        <v>59.223070461004028</v>
      </c>
      <c r="DI33" s="905">
        <v>59.347578104532218</v>
      </c>
      <c r="DJ33" s="905">
        <v>59.471042615778913</v>
      </c>
      <c r="DK33" s="905">
        <v>59.593468691634342</v>
      </c>
      <c r="DL33" s="905">
        <v>59.714861084834126</v>
      </c>
      <c r="DM33" s="905">
        <v>59.835224602070305</v>
      </c>
      <c r="DN33" s="905">
        <v>59.954564102140438</v>
      </c>
      <c r="DO33" s="905">
        <v>60.072884494129354</v>
      </c>
      <c r="DP33" s="905">
        <v>60.190190735626857</v>
      </c>
      <c r="DQ33" s="905">
        <v>60.306487830978028</v>
      </c>
      <c r="DR33" s="905">
        <v>60.421780829566337</v>
      </c>
      <c r="DS33" s="905">
        <v>60.536074824129116</v>
      </c>
      <c r="DT33" s="905">
        <v>60.649374949103759</v>
      </c>
      <c r="DU33" s="905">
        <v>60.76168637900463</v>
      </c>
    </row>
    <row r="34" spans="1:125" s="127" customFormat="1" ht="12.75">
      <c r="A34" s="908">
        <v>32</v>
      </c>
      <c r="B34" s="905"/>
      <c r="C34" s="905"/>
      <c r="D34" s="905"/>
      <c r="E34" s="905"/>
      <c r="F34" s="905"/>
      <c r="G34" s="905"/>
      <c r="H34" s="905"/>
      <c r="I34" s="905"/>
      <c r="J34" s="905"/>
      <c r="K34" s="905"/>
      <c r="L34" s="905"/>
      <c r="M34" s="905"/>
      <c r="N34" s="905"/>
      <c r="O34" s="905"/>
      <c r="P34" s="905"/>
      <c r="Q34" s="905"/>
      <c r="R34" s="905"/>
      <c r="S34" s="905"/>
      <c r="T34" s="905"/>
      <c r="U34" s="905"/>
      <c r="V34" s="905"/>
      <c r="W34" s="905"/>
      <c r="X34" s="905"/>
      <c r="Y34" s="905">
        <v>45.12763586534787</v>
      </c>
      <c r="Z34" s="905">
        <v>45.367366178580809</v>
      </c>
      <c r="AA34" s="905">
        <v>45.54122043226252</v>
      </c>
      <c r="AB34" s="905">
        <v>45.718351286821147</v>
      </c>
      <c r="AC34" s="905">
        <v>45.827441077881247</v>
      </c>
      <c r="AD34" s="905">
        <v>45.848356628820582</v>
      </c>
      <c r="AE34" s="905">
        <v>45.987655325617979</v>
      </c>
      <c r="AF34" s="905">
        <v>46.183765390484204</v>
      </c>
      <c r="AG34" s="905">
        <v>46.396826747308914</v>
      </c>
      <c r="AH34" s="905">
        <v>46.622217429377415</v>
      </c>
      <c r="AI34" s="905">
        <v>46.836043016294838</v>
      </c>
      <c r="AJ34" s="905">
        <v>47.123143427349753</v>
      </c>
      <c r="AK34" s="905">
        <v>47.386395159793651</v>
      </c>
      <c r="AL34" s="905">
        <v>47.704955680816973</v>
      </c>
      <c r="AM34" s="905">
        <v>47.998506349229544</v>
      </c>
      <c r="AN34" s="905">
        <v>48.20548554922695</v>
      </c>
      <c r="AO34" s="905">
        <v>48.344337754476726</v>
      </c>
      <c r="AP34" s="905">
        <v>48.494729525665051</v>
      </c>
      <c r="AQ34" s="905">
        <v>48.600937415751744</v>
      </c>
      <c r="AR34" s="905">
        <v>48.74821671406994</v>
      </c>
      <c r="AS34" s="905">
        <v>48.757475052135135</v>
      </c>
      <c r="AT34" s="905">
        <v>48.775895505391752</v>
      </c>
      <c r="AU34" s="905">
        <v>48.836244296472728</v>
      </c>
      <c r="AV34" s="905">
        <v>48.893881316550839</v>
      </c>
      <c r="AW34" s="905">
        <v>49.141917702889344</v>
      </c>
      <c r="AX34" s="905">
        <v>49.226733916848062</v>
      </c>
      <c r="AY34" s="905">
        <v>49.326107057196651</v>
      </c>
      <c r="AZ34" s="905">
        <v>49.399023210137088</v>
      </c>
      <c r="BA34" s="905">
        <v>49.477084694542789</v>
      </c>
      <c r="BB34" s="905">
        <v>49.585545551211794</v>
      </c>
      <c r="BC34" s="905">
        <v>49.6767620378711</v>
      </c>
      <c r="BD34" s="905">
        <v>49.7941703968268</v>
      </c>
      <c r="BE34" s="905">
        <v>49.935386299577885</v>
      </c>
      <c r="BF34" s="905">
        <v>50.087065975311432</v>
      </c>
      <c r="BG34" s="905">
        <v>50.222418552645735</v>
      </c>
      <c r="BH34" s="905">
        <v>50.44469423196837</v>
      </c>
      <c r="BI34" s="905">
        <v>50.592494212551571</v>
      </c>
      <c r="BJ34" s="905">
        <v>50.78771779392855</v>
      </c>
      <c r="BK34" s="905">
        <v>50.954797036327108</v>
      </c>
      <c r="BL34" s="905">
        <v>51.17821850605435</v>
      </c>
      <c r="BM34" s="905">
        <v>51.395643822922281</v>
      </c>
      <c r="BN34" s="905">
        <v>51.588647328609177</v>
      </c>
      <c r="BO34" s="905">
        <v>51.74745127311941</v>
      </c>
      <c r="BP34" s="905">
        <v>51.936724578811763</v>
      </c>
      <c r="BQ34" s="905">
        <v>52.107623772202942</v>
      </c>
      <c r="BR34" s="905">
        <v>52.275034688032804</v>
      </c>
      <c r="BS34" s="905">
        <v>52.430941809485304</v>
      </c>
      <c r="BT34" s="905">
        <v>52.59102637135318</v>
      </c>
      <c r="BU34" s="905">
        <v>52.721328500978785</v>
      </c>
      <c r="BV34" s="905">
        <v>52.887374538254804</v>
      </c>
      <c r="BW34" s="905">
        <v>53.04846215693518</v>
      </c>
      <c r="BX34" s="905">
        <v>53.194669832800152</v>
      </c>
      <c r="BY34" s="905">
        <v>53.338451763069259</v>
      </c>
      <c r="BZ34" s="905">
        <v>53.483907553185091</v>
      </c>
      <c r="CA34" s="905">
        <v>53.622057847953265</v>
      </c>
      <c r="CB34" s="905">
        <v>53.762486041758201</v>
      </c>
      <c r="CC34" s="905">
        <v>53.910008290053355</v>
      </c>
      <c r="CD34" s="905">
        <v>54.061791278809494</v>
      </c>
      <c r="CE34" s="905">
        <v>54.208759443940735</v>
      </c>
      <c r="CF34" s="905">
        <v>54.351788183891379</v>
      </c>
      <c r="CG34" s="905">
        <v>54.496724805704744</v>
      </c>
      <c r="CH34" s="905">
        <v>54.646427931915866</v>
      </c>
      <c r="CI34" s="905">
        <v>54.799215312600666</v>
      </c>
      <c r="CJ34" s="905">
        <v>54.943518020811901</v>
      </c>
      <c r="CK34" s="905">
        <v>55.09124544396542</v>
      </c>
      <c r="CL34" s="905">
        <v>55.240958237397003</v>
      </c>
      <c r="CM34" s="905">
        <v>55.384345810637953</v>
      </c>
      <c r="CN34" s="905">
        <v>55.531514861278879</v>
      </c>
      <c r="CO34" s="905">
        <v>55.677235336201434</v>
      </c>
      <c r="CP34" s="905">
        <v>55.821842289133897</v>
      </c>
      <c r="CQ34" s="905">
        <v>55.965339180980813</v>
      </c>
      <c r="CR34" s="905">
        <v>56.107729460149123</v>
      </c>
      <c r="CS34" s="905">
        <v>56.249016564958069</v>
      </c>
      <c r="CT34" s="905">
        <v>56.389203927645362</v>
      </c>
      <c r="CU34" s="905">
        <v>56.528294983525065</v>
      </c>
      <c r="CV34" s="905">
        <v>56.666293185101914</v>
      </c>
      <c r="CW34" s="905">
        <v>56.803202015424127</v>
      </c>
      <c r="CX34" s="905">
        <v>56.939024998899257</v>
      </c>
      <c r="CY34" s="905">
        <v>57.073765709861895</v>
      </c>
      <c r="CZ34" s="905">
        <v>57.207427775619493</v>
      </c>
      <c r="DA34" s="905">
        <v>57.340014874223144</v>
      </c>
      <c r="DB34" s="905">
        <v>57.471532938288462</v>
      </c>
      <c r="DC34" s="905">
        <v>57.601985952195122</v>
      </c>
      <c r="DD34" s="905">
        <v>57.731377976138759</v>
      </c>
      <c r="DE34" s="905">
        <v>57.85971314388182</v>
      </c>
      <c r="DF34" s="905">
        <v>57.9869956605448</v>
      </c>
      <c r="DG34" s="905">
        <v>58.113229800441147</v>
      </c>
      <c r="DH34" s="905">
        <v>58.238419904950817</v>
      </c>
      <c r="DI34" s="905">
        <v>58.362570380435486</v>
      </c>
      <c r="DJ34" s="905">
        <v>58.485685696191531</v>
      </c>
      <c r="DK34" s="905">
        <v>58.607770382441927</v>
      </c>
      <c r="DL34" s="905">
        <v>58.72882902836632</v>
      </c>
      <c r="DM34" s="905">
        <v>58.848866280166284</v>
      </c>
      <c r="DN34" s="905">
        <v>58.96788683916887</v>
      </c>
      <c r="DO34" s="905">
        <v>59.085895459963098</v>
      </c>
      <c r="DP34" s="905">
        <v>59.202896948572672</v>
      </c>
      <c r="DQ34" s="905">
        <v>59.318896160661623</v>
      </c>
      <c r="DR34" s="905">
        <v>59.433897999773102</v>
      </c>
      <c r="DS34" s="905">
        <v>59.547907415600733</v>
      </c>
      <c r="DT34" s="905">
        <v>59.660929402291217</v>
      </c>
      <c r="DU34" s="905">
        <v>59.772968996777806</v>
      </c>
    </row>
    <row r="35" spans="1:125" s="127" customFormat="1" ht="12.75">
      <c r="A35" s="908">
        <v>33</v>
      </c>
      <c r="B35" s="905"/>
      <c r="C35" s="905"/>
      <c r="D35" s="905"/>
      <c r="E35" s="905"/>
      <c r="F35" s="905"/>
      <c r="G35" s="905"/>
      <c r="H35" s="905"/>
      <c r="I35" s="905"/>
      <c r="J35" s="905"/>
      <c r="K35" s="905"/>
      <c r="L35" s="905"/>
      <c r="M35" s="905"/>
      <c r="N35" s="905"/>
      <c r="O35" s="905"/>
      <c r="P35" s="905"/>
      <c r="Q35" s="905"/>
      <c r="R35" s="905"/>
      <c r="S35" s="905"/>
      <c r="T35" s="905"/>
      <c r="U35" s="905"/>
      <c r="V35" s="905"/>
      <c r="W35" s="905"/>
      <c r="X35" s="905"/>
      <c r="Y35" s="905">
        <v>44.201978505018253</v>
      </c>
      <c r="Z35" s="905">
        <v>44.438738109046042</v>
      </c>
      <c r="AA35" s="905">
        <v>44.615070118928259</v>
      </c>
      <c r="AB35" s="905">
        <v>44.787197414044726</v>
      </c>
      <c r="AC35" s="905">
        <v>44.894848703070025</v>
      </c>
      <c r="AD35" s="905">
        <v>44.912019061526067</v>
      </c>
      <c r="AE35" s="905">
        <v>45.055017742964196</v>
      </c>
      <c r="AF35" s="905">
        <v>45.24845803956682</v>
      </c>
      <c r="AG35" s="905">
        <v>45.461673736497829</v>
      </c>
      <c r="AH35" s="905">
        <v>45.688263736542197</v>
      </c>
      <c r="AI35" s="905">
        <v>45.898965764165624</v>
      </c>
      <c r="AJ35" s="905">
        <v>46.184413403212154</v>
      </c>
      <c r="AK35" s="905">
        <v>46.447083235041774</v>
      </c>
      <c r="AL35" s="905">
        <v>46.764210482496551</v>
      </c>
      <c r="AM35" s="905">
        <v>47.060065252039081</v>
      </c>
      <c r="AN35" s="905">
        <v>47.267676777077867</v>
      </c>
      <c r="AO35" s="905">
        <v>47.405723754464077</v>
      </c>
      <c r="AP35" s="905">
        <v>47.55615153266266</v>
      </c>
      <c r="AQ35" s="905">
        <v>47.659736592129434</v>
      </c>
      <c r="AR35" s="905">
        <v>47.808981856493219</v>
      </c>
      <c r="AS35" s="905">
        <v>47.817857680394113</v>
      </c>
      <c r="AT35" s="905">
        <v>47.834341759457303</v>
      </c>
      <c r="AU35" s="905">
        <v>47.89498596670856</v>
      </c>
      <c r="AV35" s="905">
        <v>47.951320164100892</v>
      </c>
      <c r="AW35" s="905">
        <v>48.19762016688297</v>
      </c>
      <c r="AX35" s="905">
        <v>48.280020566232317</v>
      </c>
      <c r="AY35" s="905">
        <v>48.378224187506973</v>
      </c>
      <c r="AZ35" s="905">
        <v>48.452161967783113</v>
      </c>
      <c r="BA35" s="905">
        <v>48.526153966134572</v>
      </c>
      <c r="BB35" s="905">
        <v>48.633867255112975</v>
      </c>
      <c r="BC35" s="905">
        <v>48.724950001355381</v>
      </c>
      <c r="BD35" s="905">
        <v>48.840516471531117</v>
      </c>
      <c r="BE35" s="905">
        <v>48.986832694393641</v>
      </c>
      <c r="BF35" s="905">
        <v>49.136551803800756</v>
      </c>
      <c r="BG35" s="905">
        <v>49.274090445429039</v>
      </c>
      <c r="BH35" s="905">
        <v>49.494826245441502</v>
      </c>
      <c r="BI35" s="905">
        <v>49.645348699387711</v>
      </c>
      <c r="BJ35" s="905">
        <v>49.834765167706465</v>
      </c>
      <c r="BK35" s="905">
        <v>50.002195668150662</v>
      </c>
      <c r="BL35" s="905">
        <v>50.224994751144493</v>
      </c>
      <c r="BM35" s="905">
        <v>50.438672369443054</v>
      </c>
      <c r="BN35" s="905">
        <v>50.630868681686657</v>
      </c>
      <c r="BO35" s="905">
        <v>50.784880245976694</v>
      </c>
      <c r="BP35" s="905">
        <v>50.971947586205928</v>
      </c>
      <c r="BQ35" s="905">
        <v>51.143637851251754</v>
      </c>
      <c r="BR35" s="905">
        <v>51.308830984109157</v>
      </c>
      <c r="BS35" s="905">
        <v>51.462473087216352</v>
      </c>
      <c r="BT35" s="905">
        <v>51.621016481149539</v>
      </c>
      <c r="BU35" s="905">
        <v>51.750182577844939</v>
      </c>
      <c r="BV35" s="905">
        <v>51.918250327024779</v>
      </c>
      <c r="BW35" s="905">
        <v>52.075727257653242</v>
      </c>
      <c r="BX35" s="905">
        <v>52.222390067327183</v>
      </c>
      <c r="BY35" s="905">
        <v>52.366780038333644</v>
      </c>
      <c r="BZ35" s="905">
        <v>52.512123168245992</v>
      </c>
      <c r="CA35" s="905">
        <v>52.650155298584963</v>
      </c>
      <c r="CB35" s="905">
        <v>52.792013516946461</v>
      </c>
      <c r="CC35" s="905">
        <v>52.939134016889611</v>
      </c>
      <c r="CD35" s="905">
        <v>53.087321063432327</v>
      </c>
      <c r="CE35" s="905">
        <v>53.236456353888393</v>
      </c>
      <c r="CF35" s="905">
        <v>53.38023262298784</v>
      </c>
      <c r="CG35" s="905">
        <v>53.525475411216306</v>
      </c>
      <c r="CH35" s="905">
        <v>53.672964225055196</v>
      </c>
      <c r="CI35" s="905">
        <v>53.823627559321238</v>
      </c>
      <c r="CJ35" s="905">
        <v>53.968773307148666</v>
      </c>
      <c r="CK35" s="905">
        <v>54.117758800310753</v>
      </c>
      <c r="CL35" s="905">
        <v>54.264807199033783</v>
      </c>
      <c r="CM35" s="905">
        <v>54.410946778095322</v>
      </c>
      <c r="CN35" s="905">
        <v>54.557195751377463</v>
      </c>
      <c r="CO35" s="905">
        <v>54.702340182419064</v>
      </c>
      <c r="CP35" s="905">
        <v>54.846383316057626</v>
      </c>
      <c r="CQ35" s="905">
        <v>54.989328376976587</v>
      </c>
      <c r="CR35" s="905">
        <v>55.131178581048118</v>
      </c>
      <c r="CS35" s="905">
        <v>55.271937137725246</v>
      </c>
      <c r="CT35" s="905">
        <v>55.41160725403202</v>
      </c>
      <c r="CU35" s="905">
        <v>55.550192143707562</v>
      </c>
      <c r="CV35" s="905">
        <v>55.687695041306441</v>
      </c>
      <c r="CW35" s="905">
        <v>55.824119215533912</v>
      </c>
      <c r="CX35" s="905">
        <v>55.959467980039037</v>
      </c>
      <c r="CY35" s="905">
        <v>56.093744701955728</v>
      </c>
      <c r="CZ35" s="905">
        <v>56.226952804917161</v>
      </c>
      <c r="DA35" s="905">
        <v>56.359097706233285</v>
      </c>
      <c r="DB35" s="905">
        <v>56.490183118133025</v>
      </c>
      <c r="DC35" s="905">
        <v>56.620212834309598</v>
      </c>
      <c r="DD35" s="905">
        <v>56.749190727585912</v>
      </c>
      <c r="DE35" s="905">
        <v>56.877120747623685</v>
      </c>
      <c r="DF35" s="905">
        <v>57.00400691867312</v>
      </c>
      <c r="DG35" s="905">
        <v>57.129853337366079</v>
      </c>
      <c r="DH35" s="905">
        <v>57.254664170548132</v>
      </c>
      <c r="DI35" s="905">
        <v>57.378443653152161</v>
      </c>
      <c r="DJ35" s="905">
        <v>57.50119608610995</v>
      </c>
      <c r="DK35" s="905">
        <v>57.622925834302698</v>
      </c>
      <c r="DL35" s="905">
        <v>57.743637324549844</v>
      </c>
      <c r="DM35" s="905">
        <v>57.863335043633185</v>
      </c>
      <c r="DN35" s="905">
        <v>57.982023536359506</v>
      </c>
      <c r="DO35" s="905">
        <v>58.099707403656275</v>
      </c>
      <c r="DP35" s="905">
        <v>58.21639130070367</v>
      </c>
      <c r="DQ35" s="905">
        <v>58.332079935099813</v>
      </c>
      <c r="DR35" s="905">
        <v>58.446778065059334</v>
      </c>
      <c r="DS35" s="905">
        <v>58.560490497644736</v>
      </c>
      <c r="DT35" s="905">
        <v>58.673222087029131</v>
      </c>
      <c r="DU35" s="905">
        <v>58.784977732790296</v>
      </c>
    </row>
    <row r="36" spans="1:125" s="127" customFormat="1" ht="12.75">
      <c r="A36" s="908">
        <v>34</v>
      </c>
      <c r="B36" s="905"/>
      <c r="C36" s="905"/>
      <c r="D36" s="905"/>
      <c r="E36" s="905"/>
      <c r="F36" s="905"/>
      <c r="G36" s="905"/>
      <c r="H36" s="905"/>
      <c r="I36" s="905"/>
      <c r="J36" s="905"/>
      <c r="K36" s="905"/>
      <c r="L36" s="905"/>
      <c r="M36" s="905"/>
      <c r="N36" s="905"/>
      <c r="O36" s="905"/>
      <c r="P36" s="905"/>
      <c r="Q36" s="905"/>
      <c r="R36" s="905"/>
      <c r="S36" s="905"/>
      <c r="T36" s="905"/>
      <c r="U36" s="905"/>
      <c r="V36" s="905"/>
      <c r="W36" s="905"/>
      <c r="X36" s="905"/>
      <c r="Y36" s="905">
        <v>43.271353887919595</v>
      </c>
      <c r="Z36" s="905">
        <v>43.508133474723834</v>
      </c>
      <c r="AA36" s="905">
        <v>43.683802166321115</v>
      </c>
      <c r="AB36" s="905">
        <v>43.856785999524064</v>
      </c>
      <c r="AC36" s="905">
        <v>43.962980144691286</v>
      </c>
      <c r="AD36" s="905">
        <v>43.979630219668024</v>
      </c>
      <c r="AE36" s="905">
        <v>44.121385937330963</v>
      </c>
      <c r="AF36" s="905">
        <v>44.314437172921714</v>
      </c>
      <c r="AG36" s="905">
        <v>44.526314759763864</v>
      </c>
      <c r="AH36" s="905">
        <v>44.752908090820036</v>
      </c>
      <c r="AI36" s="905">
        <v>44.96888677165591</v>
      </c>
      <c r="AJ36" s="905">
        <v>45.246330891863849</v>
      </c>
      <c r="AK36" s="905">
        <v>45.508150220899637</v>
      </c>
      <c r="AL36" s="905">
        <v>45.827090843198633</v>
      </c>
      <c r="AM36" s="905">
        <v>46.126435316599412</v>
      </c>
      <c r="AN36" s="905">
        <v>46.3296694365159</v>
      </c>
      <c r="AO36" s="905">
        <v>46.471280237312598</v>
      </c>
      <c r="AP36" s="905">
        <v>46.617379462292043</v>
      </c>
      <c r="AQ36" s="905">
        <v>46.721517546304057</v>
      </c>
      <c r="AR36" s="905">
        <v>46.870986873787146</v>
      </c>
      <c r="AS36" s="905">
        <v>46.880409209880249</v>
      </c>
      <c r="AT36" s="905">
        <v>46.896757326107803</v>
      </c>
      <c r="AU36" s="905">
        <v>46.957248308736027</v>
      </c>
      <c r="AV36" s="905">
        <v>47.01197980177443</v>
      </c>
      <c r="AW36" s="905">
        <v>47.252601313661614</v>
      </c>
      <c r="AX36" s="905">
        <v>47.331862759045507</v>
      </c>
      <c r="AY36" s="905">
        <v>47.431677609020156</v>
      </c>
      <c r="AZ36" s="905">
        <v>47.502644981959634</v>
      </c>
      <c r="BA36" s="905">
        <v>47.576141786960392</v>
      </c>
      <c r="BB36" s="905">
        <v>47.682187800116495</v>
      </c>
      <c r="BC36" s="905">
        <v>47.772916621272472</v>
      </c>
      <c r="BD36" s="905">
        <v>47.888481038994478</v>
      </c>
      <c r="BE36" s="905">
        <v>48.03736251256376</v>
      </c>
      <c r="BF36" s="905">
        <v>48.188043377895625</v>
      </c>
      <c r="BG36" s="905">
        <v>48.329722195423557</v>
      </c>
      <c r="BH36" s="905">
        <v>48.549156439506206</v>
      </c>
      <c r="BI36" s="905">
        <v>48.698129399247023</v>
      </c>
      <c r="BJ36" s="905">
        <v>48.890244713149514</v>
      </c>
      <c r="BK36" s="905">
        <v>49.050935509549944</v>
      </c>
      <c r="BL36" s="905">
        <v>49.272303371404455</v>
      </c>
      <c r="BM36" s="905">
        <v>49.482256346476234</v>
      </c>
      <c r="BN36" s="905">
        <v>49.671730193773861</v>
      </c>
      <c r="BO36" s="905">
        <v>49.820944087441731</v>
      </c>
      <c r="BP36" s="905">
        <v>50.009473510227053</v>
      </c>
      <c r="BQ36" s="905">
        <v>50.17818291658358</v>
      </c>
      <c r="BR36" s="905">
        <v>50.34127235864355</v>
      </c>
      <c r="BS36" s="905">
        <v>50.494971474060527</v>
      </c>
      <c r="BT36" s="905">
        <v>50.652367138426811</v>
      </c>
      <c r="BU36" s="905">
        <v>50.782055263939057</v>
      </c>
      <c r="BV36" s="905">
        <v>50.947921743293541</v>
      </c>
      <c r="BW36" s="905">
        <v>51.104449216396134</v>
      </c>
      <c r="BX36" s="905">
        <v>51.250716713021149</v>
      </c>
      <c r="BY36" s="905">
        <v>51.395436915053516</v>
      </c>
      <c r="BZ36" s="905">
        <v>51.539605825711348</v>
      </c>
      <c r="CA36" s="905">
        <v>51.68169697684398</v>
      </c>
      <c r="CB36" s="905">
        <v>51.820786763027321</v>
      </c>
      <c r="CC36" s="905">
        <v>51.967330635072166</v>
      </c>
      <c r="CD36" s="905">
        <v>52.116150709561985</v>
      </c>
      <c r="CE36" s="905">
        <v>52.264277883992953</v>
      </c>
      <c r="CF36" s="905">
        <v>52.408189153165466</v>
      </c>
      <c r="CG36" s="905">
        <v>52.55333260771792</v>
      </c>
      <c r="CH36" s="905">
        <v>52.703351576160543</v>
      </c>
      <c r="CI36" s="905">
        <v>52.85151392082085</v>
      </c>
      <c r="CJ36" s="905">
        <v>52.996260247065564</v>
      </c>
      <c r="CK36" s="905">
        <v>53.143896681534414</v>
      </c>
      <c r="CL36" s="905">
        <v>53.291867616624927</v>
      </c>
      <c r="CM36" s="905">
        <v>53.438604598087913</v>
      </c>
      <c r="CN36" s="905">
        <v>53.584246548577298</v>
      </c>
      <c r="CO36" s="905">
        <v>53.72879651252277</v>
      </c>
      <c r="CP36" s="905">
        <v>53.872257500340424</v>
      </c>
      <c r="CQ36" s="905">
        <v>54.014632505712981</v>
      </c>
      <c r="CR36" s="905">
        <v>54.155924516929787</v>
      </c>
      <c r="CS36" s="905">
        <v>54.296136519269666</v>
      </c>
      <c r="CT36" s="905">
        <v>54.435271498983468</v>
      </c>
      <c r="CU36" s="905">
        <v>54.573332452432957</v>
      </c>
      <c r="CV36" s="905">
        <v>54.710322400185873</v>
      </c>
      <c r="CW36" s="905">
        <v>54.846244400341895</v>
      </c>
      <c r="CX36" s="905">
        <v>54.981101559310872</v>
      </c>
      <c r="CY36" s="905">
        <v>55.114897040334888</v>
      </c>
      <c r="CZ36" s="905">
        <v>55.247635780978129</v>
      </c>
      <c r="DA36" s="905">
        <v>55.379321214583271</v>
      </c>
      <c r="DB36" s="905">
        <v>55.509956861556752</v>
      </c>
      <c r="DC36" s="905">
        <v>55.639546326954857</v>
      </c>
      <c r="DD36" s="905">
        <v>55.768093298113072</v>
      </c>
      <c r="DE36" s="905">
        <v>55.895601542319028</v>
      </c>
      <c r="DF36" s="905">
        <v>56.022074904525937</v>
      </c>
      <c r="DG36" s="905">
        <v>56.147517305109332</v>
      </c>
      <c r="DH36" s="905">
        <v>56.271932737662695</v>
      </c>
      <c r="DI36" s="905">
        <v>56.395325266834547</v>
      </c>
      <c r="DJ36" s="905">
        <v>56.517699026203431</v>
      </c>
      <c r="DK36" s="905">
        <v>56.63905821619192</v>
      </c>
      <c r="DL36" s="905">
        <v>56.759407102018812</v>
      </c>
      <c r="DM36" s="905">
        <v>56.878750011686748</v>
      </c>
      <c r="DN36" s="905">
        <v>56.997091334008232</v>
      </c>
      <c r="DO36" s="905">
        <v>57.114435516664969</v>
      </c>
      <c r="DP36" s="905">
        <v>57.230787064303406</v>
      </c>
      <c r="DQ36" s="905">
        <v>57.346150536663686</v>
      </c>
      <c r="DR36" s="905">
        <v>57.460530546741971</v>
      </c>
      <c r="DS36" s="905">
        <v>57.573931758985736</v>
      </c>
      <c r="DT36" s="905">
        <v>57.686358887520498</v>
      </c>
      <c r="DU36" s="905">
        <v>57.797816694408027</v>
      </c>
    </row>
    <row r="37" spans="1:125" s="127" customFormat="1" ht="12.75">
      <c r="A37" s="908">
        <v>35</v>
      </c>
      <c r="B37" s="905"/>
      <c r="C37" s="905"/>
      <c r="D37" s="905"/>
      <c r="E37" s="905"/>
      <c r="F37" s="905"/>
      <c r="G37" s="905"/>
      <c r="H37" s="905"/>
      <c r="I37" s="905"/>
      <c r="J37" s="905"/>
      <c r="K37" s="905"/>
      <c r="L37" s="905"/>
      <c r="M37" s="905"/>
      <c r="N37" s="905"/>
      <c r="O37" s="905"/>
      <c r="P37" s="905"/>
      <c r="Q37" s="905"/>
      <c r="R37" s="905"/>
      <c r="S37" s="905"/>
      <c r="T37" s="905"/>
      <c r="U37" s="905"/>
      <c r="V37" s="905"/>
      <c r="W37" s="905"/>
      <c r="X37" s="905"/>
      <c r="Y37" s="905">
        <v>42.345024427648582</v>
      </c>
      <c r="Z37" s="905">
        <v>42.579575675580948</v>
      </c>
      <c r="AA37" s="905">
        <v>42.754058361029138</v>
      </c>
      <c r="AB37" s="905">
        <v>42.928209011809486</v>
      </c>
      <c r="AC37" s="905">
        <v>43.030325686941886</v>
      </c>
      <c r="AD37" s="905">
        <v>43.04636022763502</v>
      </c>
      <c r="AE37" s="905">
        <v>43.190894678338296</v>
      </c>
      <c r="AF37" s="905">
        <v>43.38023070795915</v>
      </c>
      <c r="AG37" s="905">
        <v>43.592503282356873</v>
      </c>
      <c r="AH37" s="905">
        <v>43.822033426382383</v>
      </c>
      <c r="AI37" s="905">
        <v>44.03618385479114</v>
      </c>
      <c r="AJ37" s="905">
        <v>44.307719822509291</v>
      </c>
      <c r="AK37" s="905">
        <v>44.578363939399324</v>
      </c>
      <c r="AL37" s="905">
        <v>44.892421981687107</v>
      </c>
      <c r="AM37" s="905">
        <v>45.190940021829945</v>
      </c>
      <c r="AN37" s="905">
        <v>45.394105414772909</v>
      </c>
      <c r="AO37" s="905">
        <v>45.536422546278466</v>
      </c>
      <c r="AP37" s="905">
        <v>45.683406126796953</v>
      </c>
      <c r="AQ37" s="905">
        <v>45.786048900175388</v>
      </c>
      <c r="AR37" s="905">
        <v>45.931586453214948</v>
      </c>
      <c r="AS37" s="905">
        <v>45.946264062738294</v>
      </c>
      <c r="AT37" s="905">
        <v>45.960400453955984</v>
      </c>
      <c r="AU37" s="905">
        <v>46.014361920575254</v>
      </c>
      <c r="AV37" s="905">
        <v>46.071631970908967</v>
      </c>
      <c r="AW37" s="905">
        <v>46.307356919037247</v>
      </c>
      <c r="AX37" s="905">
        <v>46.385450254562151</v>
      </c>
      <c r="AY37" s="905">
        <v>46.48687117739675</v>
      </c>
      <c r="AZ37" s="905">
        <v>46.554104324465335</v>
      </c>
      <c r="BA37" s="905">
        <v>46.630437358206805</v>
      </c>
      <c r="BB37" s="905">
        <v>46.733606504674633</v>
      </c>
      <c r="BC37" s="905">
        <v>46.823398846104091</v>
      </c>
      <c r="BD37" s="905">
        <v>46.940418480538845</v>
      </c>
      <c r="BE37" s="905">
        <v>47.093501320658056</v>
      </c>
      <c r="BF37" s="905">
        <v>47.246011679422729</v>
      </c>
      <c r="BG37" s="905">
        <v>47.387813559603792</v>
      </c>
      <c r="BH37" s="905">
        <v>47.604536207823969</v>
      </c>
      <c r="BI37" s="905">
        <v>47.753261438951668</v>
      </c>
      <c r="BJ37" s="905">
        <v>47.944498259079907</v>
      </c>
      <c r="BK37" s="905">
        <v>48.100432222347735</v>
      </c>
      <c r="BL37" s="905">
        <v>48.31907846991092</v>
      </c>
      <c r="BM37" s="905">
        <v>48.525796725457539</v>
      </c>
      <c r="BN37" s="905">
        <v>48.71049664172584</v>
      </c>
      <c r="BO37" s="905">
        <v>48.862032285276797</v>
      </c>
      <c r="BP37" s="905">
        <v>49.045423356586682</v>
      </c>
      <c r="BQ37" s="905">
        <v>49.213413736405542</v>
      </c>
      <c r="BR37" s="905">
        <v>49.377204466311852</v>
      </c>
      <c r="BS37" s="905">
        <v>49.529885330308218</v>
      </c>
      <c r="BT37" s="905">
        <v>49.683353577930347</v>
      </c>
      <c r="BU37" s="905">
        <v>49.813831936448565</v>
      </c>
      <c r="BV37" s="905">
        <v>49.979056144779392</v>
      </c>
      <c r="BW37" s="905">
        <v>50.133590159103321</v>
      </c>
      <c r="BX37" s="905">
        <v>50.280103020475437</v>
      </c>
      <c r="BY37" s="905">
        <v>50.427798142457007</v>
      </c>
      <c r="BZ37" s="905">
        <v>50.570474101955611</v>
      </c>
      <c r="CA37" s="905">
        <v>50.711358587523875</v>
      </c>
      <c r="CB37" s="905">
        <v>50.850400297720952</v>
      </c>
      <c r="CC37" s="905">
        <v>50.997520365509388</v>
      </c>
      <c r="CD37" s="905">
        <v>51.146551933495658</v>
      </c>
      <c r="CE37" s="905">
        <v>51.295475252006071</v>
      </c>
      <c r="CF37" s="905">
        <v>51.438081733238732</v>
      </c>
      <c r="CG37" s="905">
        <v>51.58317168293506</v>
      </c>
      <c r="CH37" s="905">
        <v>51.731396373216825</v>
      </c>
      <c r="CI37" s="905">
        <v>51.879600316184131</v>
      </c>
      <c r="CJ37" s="905">
        <v>52.025470578232373</v>
      </c>
      <c r="CK37" s="905">
        <v>52.174537235462026</v>
      </c>
      <c r="CL37" s="905">
        <v>52.321718383688086</v>
      </c>
      <c r="CM37" s="905">
        <v>52.467814568774003</v>
      </c>
      <c r="CN37" s="905">
        <v>52.612828631816406</v>
      </c>
      <c r="CO37" s="905">
        <v>52.756763384835274</v>
      </c>
      <c r="CP37" s="905">
        <v>52.899621608972225</v>
      </c>
      <c r="CQ37" s="905">
        <v>53.041406071783271</v>
      </c>
      <c r="CR37" s="905">
        <v>53.182119538585127</v>
      </c>
      <c r="CS37" s="905">
        <v>53.321764774836922</v>
      </c>
      <c r="CT37" s="905">
        <v>53.460344550123928</v>
      </c>
      <c r="CU37" s="905">
        <v>53.597861647300022</v>
      </c>
      <c r="CV37" s="905">
        <v>53.734318876586073</v>
      </c>
      <c r="CW37" s="905">
        <v>53.869719088895209</v>
      </c>
      <c r="CX37" s="905">
        <v>54.004065186604123</v>
      </c>
      <c r="CY37" s="905">
        <v>54.137361661478842</v>
      </c>
      <c r="CZ37" s="905">
        <v>54.269611661438347</v>
      </c>
      <c r="DA37" s="905">
        <v>54.400818427000559</v>
      </c>
      <c r="DB37" s="905">
        <v>54.53098528879417</v>
      </c>
      <c r="DC37" s="905">
        <v>54.660115665114496</v>
      </c>
      <c r="DD37" s="905">
        <v>54.78821305952242</v>
      </c>
      <c r="DE37" s="905">
        <v>54.915281058486471</v>
      </c>
      <c r="DF37" s="905">
        <v>55.041323329065364</v>
      </c>
      <c r="DG37" s="905">
        <v>55.166343616633498</v>
      </c>
      <c r="DH37" s="905">
        <v>55.290345742645215</v>
      </c>
      <c r="DI37" s="905">
        <v>55.413333602440304</v>
      </c>
      <c r="DJ37" s="905">
        <v>55.5353111630873</v>
      </c>
      <c r="DK37" s="905">
        <v>55.656282461265633</v>
      </c>
      <c r="DL37" s="905">
        <v>55.776251601185912</v>
      </c>
      <c r="DM37" s="905">
        <v>55.895222752545436</v>
      </c>
      <c r="DN37" s="905">
        <v>56.013200148522174</v>
      </c>
      <c r="DO37" s="905">
        <v>56.130188083801897</v>
      </c>
      <c r="DP37" s="905">
        <v>56.246190912641524</v>
      </c>
      <c r="DQ37" s="905">
        <v>56.361213046965858</v>
      </c>
      <c r="DR37" s="905">
        <v>56.475258954497676</v>
      </c>
      <c r="DS37" s="905">
        <v>56.588333156920825</v>
      </c>
      <c r="DT37" s="905">
        <v>56.700440228074754</v>
      </c>
      <c r="DU37" s="905">
        <v>56.811584792180611</v>
      </c>
    </row>
    <row r="38" spans="1:125" s="127" customFormat="1" ht="12.75">
      <c r="A38" s="908">
        <v>36</v>
      </c>
      <c r="B38" s="905"/>
      <c r="C38" s="905"/>
      <c r="D38" s="905"/>
      <c r="E38" s="905"/>
      <c r="F38" s="905"/>
      <c r="G38" s="905"/>
      <c r="H38" s="905"/>
      <c r="I38" s="905"/>
      <c r="J38" s="905"/>
      <c r="K38" s="905"/>
      <c r="L38" s="905"/>
      <c r="M38" s="905"/>
      <c r="N38" s="905"/>
      <c r="O38" s="905"/>
      <c r="P38" s="905"/>
      <c r="Q38" s="905"/>
      <c r="R38" s="905"/>
      <c r="S38" s="905"/>
      <c r="T38" s="905"/>
      <c r="U38" s="905"/>
      <c r="V38" s="905"/>
      <c r="W38" s="905"/>
      <c r="X38" s="905"/>
      <c r="Y38" s="905">
        <v>41.419964308950966</v>
      </c>
      <c r="Z38" s="905">
        <v>41.656515369136017</v>
      </c>
      <c r="AA38" s="905">
        <v>41.828028974560311</v>
      </c>
      <c r="AB38" s="905">
        <v>42.000377271683973</v>
      </c>
      <c r="AC38" s="905">
        <v>42.100998823887387</v>
      </c>
      <c r="AD38" s="905">
        <v>42.119513170937282</v>
      </c>
      <c r="AE38" s="905">
        <v>42.261535211931559</v>
      </c>
      <c r="AF38" s="905">
        <v>42.450352254833675</v>
      </c>
      <c r="AG38" s="905">
        <v>42.659966772664049</v>
      </c>
      <c r="AH38" s="905">
        <v>42.890643644128907</v>
      </c>
      <c r="AI38" s="905">
        <v>43.105496558576959</v>
      </c>
      <c r="AJ38" s="905">
        <v>43.38003078864773</v>
      </c>
      <c r="AK38" s="905">
        <v>43.649386068946164</v>
      </c>
      <c r="AL38" s="905">
        <v>43.962589024652551</v>
      </c>
      <c r="AM38" s="905">
        <v>44.25759294705513</v>
      </c>
      <c r="AN38" s="905">
        <v>44.459163088563628</v>
      </c>
      <c r="AO38" s="905">
        <v>44.602191277754294</v>
      </c>
      <c r="AP38" s="905">
        <v>44.748173824514055</v>
      </c>
      <c r="AQ38" s="905">
        <v>44.851025128745292</v>
      </c>
      <c r="AR38" s="905">
        <v>44.99951097295623</v>
      </c>
      <c r="AS38" s="905">
        <v>45.011907464958945</v>
      </c>
      <c r="AT38" s="905">
        <v>45.022468532189407</v>
      </c>
      <c r="AU38" s="905">
        <v>45.075327271687648</v>
      </c>
      <c r="AV38" s="905">
        <v>45.133266942946172</v>
      </c>
      <c r="AW38" s="905">
        <v>45.365788707056765</v>
      </c>
      <c r="AX38" s="905">
        <v>45.442166785822309</v>
      </c>
      <c r="AY38" s="905">
        <v>45.542401569324603</v>
      </c>
      <c r="AZ38" s="905">
        <v>45.606131028920728</v>
      </c>
      <c r="BA38" s="905">
        <v>45.685265685552551</v>
      </c>
      <c r="BB38" s="905">
        <v>45.789050147422572</v>
      </c>
      <c r="BC38" s="905">
        <v>45.877579612077454</v>
      </c>
      <c r="BD38" s="905">
        <v>45.997559389059106</v>
      </c>
      <c r="BE38" s="905">
        <v>46.153452230866151</v>
      </c>
      <c r="BF38" s="905">
        <v>46.306633132234808</v>
      </c>
      <c r="BG38" s="905">
        <v>46.445877681179226</v>
      </c>
      <c r="BH38" s="905">
        <v>46.659572580590464</v>
      </c>
      <c r="BI38" s="905">
        <v>46.808707260512037</v>
      </c>
      <c r="BJ38" s="905">
        <v>46.99746201847082</v>
      </c>
      <c r="BK38" s="905">
        <v>47.151518046181224</v>
      </c>
      <c r="BL38" s="905">
        <v>47.367408425507534</v>
      </c>
      <c r="BM38" s="905">
        <v>47.567417386419351</v>
      </c>
      <c r="BN38" s="905">
        <v>47.750482459570037</v>
      </c>
      <c r="BO38" s="905">
        <v>47.9030545684397</v>
      </c>
      <c r="BP38" s="905">
        <v>48.084479400803623</v>
      </c>
      <c r="BQ38" s="905">
        <v>48.252982134622258</v>
      </c>
      <c r="BR38" s="905">
        <v>48.413985510521329</v>
      </c>
      <c r="BS38" s="905">
        <v>48.564748899425815</v>
      </c>
      <c r="BT38" s="905">
        <v>48.716283419560689</v>
      </c>
      <c r="BU38" s="905">
        <v>48.846880875216485</v>
      </c>
      <c r="BV38" s="905">
        <v>49.009949341289911</v>
      </c>
      <c r="BW38" s="905">
        <v>49.166405778835852</v>
      </c>
      <c r="BX38" s="905">
        <v>49.312594724473144</v>
      </c>
      <c r="BY38" s="905">
        <v>49.456175729973474</v>
      </c>
      <c r="BZ38" s="905">
        <v>49.600898627110325</v>
      </c>
      <c r="CA38" s="905">
        <v>49.743791634614659</v>
      </c>
      <c r="CB38" s="905">
        <v>49.880898961872646</v>
      </c>
      <c r="CC38" s="905">
        <v>50.029484528579232</v>
      </c>
      <c r="CD38" s="905">
        <v>50.179714729015387</v>
      </c>
      <c r="CE38" s="905">
        <v>50.326151060543815</v>
      </c>
      <c r="CF38" s="905">
        <v>50.468603393623773</v>
      </c>
      <c r="CG38" s="905">
        <v>50.611756969700309</v>
      </c>
      <c r="CH38" s="905">
        <v>50.764271382961347</v>
      </c>
      <c r="CI38" s="905">
        <v>50.909838208934147</v>
      </c>
      <c r="CJ38" s="905">
        <v>51.059197514036235</v>
      </c>
      <c r="CK38" s="905">
        <v>51.20677632619838</v>
      </c>
      <c r="CL38" s="905">
        <v>51.353280822329452</v>
      </c>
      <c r="CM38" s="905">
        <v>51.498713621226351</v>
      </c>
      <c r="CN38" s="905">
        <v>51.643077334175217</v>
      </c>
      <c r="CO38" s="905">
        <v>51.786374546227457</v>
      </c>
      <c r="CP38" s="905">
        <v>51.928607814407933</v>
      </c>
      <c r="CQ38" s="905">
        <v>52.06977968502968</v>
      </c>
      <c r="CR38" s="905">
        <v>52.20989270505536</v>
      </c>
      <c r="CS38" s="905">
        <v>52.348949424486584</v>
      </c>
      <c r="CT38" s="905">
        <v>52.486952400357197</v>
      </c>
      <c r="CU38" s="905">
        <v>52.623904205888337</v>
      </c>
      <c r="CV38" s="905">
        <v>52.759807444599161</v>
      </c>
      <c r="CW38" s="905">
        <v>52.894664763639838</v>
      </c>
      <c r="CX38" s="905">
        <v>53.028480247179701</v>
      </c>
      <c r="CY38" s="905">
        <v>53.161256751690743</v>
      </c>
      <c r="CZ38" s="905">
        <v>53.292997231693612</v>
      </c>
      <c r="DA38" s="905">
        <v>53.42370473720149</v>
      </c>
      <c r="DB38" s="905">
        <v>53.553382411207764</v>
      </c>
      <c r="DC38" s="905">
        <v>53.682033487217232</v>
      </c>
      <c r="DD38" s="905">
        <v>53.80966128682001</v>
      </c>
      <c r="DE38" s="905">
        <v>53.936269217308251</v>
      </c>
      <c r="DF38" s="905">
        <v>54.061860769332938</v>
      </c>
      <c r="DG38" s="905">
        <v>54.186439514603379</v>
      </c>
      <c r="DH38" s="905">
        <v>54.310009103625077</v>
      </c>
      <c r="DI38" s="905">
        <v>54.432573263478588</v>
      </c>
      <c r="DJ38" s="905">
        <v>54.554135795636086</v>
      </c>
      <c r="DK38" s="905">
        <v>54.674700573816196</v>
      </c>
      <c r="DL38" s="905">
        <v>54.794271541877109</v>
      </c>
      <c r="DM38" s="905">
        <v>54.91285271174452</v>
      </c>
      <c r="DN38" s="905">
        <v>55.03044816137789</v>
      </c>
      <c r="DO38" s="905">
        <v>55.147062032769753</v>
      </c>
      <c r="DP38" s="905">
        <v>55.262698529981094</v>
      </c>
      <c r="DQ38" s="905">
        <v>55.377361917209896</v>
      </c>
      <c r="DR38" s="905">
        <v>55.49105651689311</v>
      </c>
      <c r="DS38" s="905">
        <v>55.603786707841422</v>
      </c>
      <c r="DT38" s="905">
        <v>55.715556923405394</v>
      </c>
      <c r="DU38" s="905">
        <v>55.826371649673149</v>
      </c>
    </row>
    <row r="39" spans="1:125" s="127" customFormat="1" ht="12.75">
      <c r="A39" s="908">
        <v>37</v>
      </c>
      <c r="B39" s="905"/>
      <c r="C39" s="905"/>
      <c r="D39" s="905"/>
      <c r="E39" s="905"/>
      <c r="F39" s="905"/>
      <c r="G39" s="905"/>
      <c r="H39" s="905"/>
      <c r="I39" s="905"/>
      <c r="J39" s="905"/>
      <c r="K39" s="905"/>
      <c r="L39" s="905"/>
      <c r="M39" s="905"/>
      <c r="N39" s="905"/>
      <c r="O39" s="905"/>
      <c r="P39" s="905"/>
      <c r="Q39" s="905"/>
      <c r="R39" s="905"/>
      <c r="S39" s="905"/>
      <c r="T39" s="905"/>
      <c r="U39" s="905"/>
      <c r="V39" s="905"/>
      <c r="W39" s="905"/>
      <c r="X39" s="905"/>
      <c r="Y39" s="905">
        <v>40.50031942713332</v>
      </c>
      <c r="Z39" s="905">
        <v>40.732284737545768</v>
      </c>
      <c r="AA39" s="905">
        <v>40.903920931654568</v>
      </c>
      <c r="AB39" s="905">
        <v>41.070744707141046</v>
      </c>
      <c r="AC39" s="905">
        <v>41.173269082109037</v>
      </c>
      <c r="AD39" s="905">
        <v>41.191461312477948</v>
      </c>
      <c r="AE39" s="905">
        <v>41.330586283086525</v>
      </c>
      <c r="AF39" s="905">
        <v>41.524678779939336</v>
      </c>
      <c r="AG39" s="905">
        <v>41.733286175056662</v>
      </c>
      <c r="AH39" s="905">
        <v>41.961822574298139</v>
      </c>
      <c r="AI39" s="905">
        <v>42.17844311791994</v>
      </c>
      <c r="AJ39" s="905">
        <v>42.452459602141339</v>
      </c>
      <c r="AK39" s="905">
        <v>42.720455106196049</v>
      </c>
      <c r="AL39" s="905">
        <v>43.036660032626159</v>
      </c>
      <c r="AM39" s="905">
        <v>43.325811099677551</v>
      </c>
      <c r="AN39" s="905">
        <v>43.53062343403068</v>
      </c>
      <c r="AO39" s="905">
        <v>43.676101773612885</v>
      </c>
      <c r="AP39" s="905">
        <v>43.817207160526507</v>
      </c>
      <c r="AQ39" s="905">
        <v>43.919902644167742</v>
      </c>
      <c r="AR39" s="905">
        <v>44.066410928709061</v>
      </c>
      <c r="AS39" s="905">
        <v>44.077547451473428</v>
      </c>
      <c r="AT39" s="905">
        <v>44.086152757793471</v>
      </c>
      <c r="AU39" s="905">
        <v>44.139475899166776</v>
      </c>
      <c r="AV39" s="905">
        <v>44.196306024376227</v>
      </c>
      <c r="AW39" s="905">
        <v>44.426455654409857</v>
      </c>
      <c r="AX39" s="905">
        <v>44.498648614097092</v>
      </c>
      <c r="AY39" s="905">
        <v>44.59913937084022</v>
      </c>
      <c r="AZ39" s="905">
        <v>44.661924632487832</v>
      </c>
      <c r="BA39" s="905">
        <v>44.742051616082634</v>
      </c>
      <c r="BB39" s="905">
        <v>44.848832345167345</v>
      </c>
      <c r="BC39" s="905">
        <v>44.938744158575929</v>
      </c>
      <c r="BD39" s="905">
        <v>45.061667363257641</v>
      </c>
      <c r="BE39" s="905">
        <v>45.217506354155631</v>
      </c>
      <c r="BF39" s="905">
        <v>45.365658003401819</v>
      </c>
      <c r="BG39" s="905">
        <v>45.507791933814161</v>
      </c>
      <c r="BH39" s="905">
        <v>45.719642728807578</v>
      </c>
      <c r="BI39" s="905">
        <v>45.865354046215714</v>
      </c>
      <c r="BJ39" s="905">
        <v>46.049645716202789</v>
      </c>
      <c r="BK39" s="905">
        <v>46.203806208674941</v>
      </c>
      <c r="BL39" s="905">
        <v>46.415210906507035</v>
      </c>
      <c r="BM39" s="905">
        <v>46.61301216289371</v>
      </c>
      <c r="BN39" s="905">
        <v>46.793625649311842</v>
      </c>
      <c r="BO39" s="905">
        <v>46.945105892524666</v>
      </c>
      <c r="BP39" s="905">
        <v>47.126505888767866</v>
      </c>
      <c r="BQ39" s="905">
        <v>47.291229479118812</v>
      </c>
      <c r="BR39" s="905">
        <v>47.451567207035197</v>
      </c>
      <c r="BS39" s="905">
        <v>47.599927453362724</v>
      </c>
      <c r="BT39" s="905">
        <v>47.750338261940698</v>
      </c>
      <c r="BU39" s="905">
        <v>47.879780227530048</v>
      </c>
      <c r="BV39" s="905">
        <v>48.042642817697043</v>
      </c>
      <c r="BW39" s="905">
        <v>48.200372643457499</v>
      </c>
      <c r="BX39" s="905">
        <v>48.34493877278932</v>
      </c>
      <c r="BY39" s="905">
        <v>48.488556439924196</v>
      </c>
      <c r="BZ39" s="905">
        <v>48.633026837800116</v>
      </c>
      <c r="CA39" s="905">
        <v>48.776137419600488</v>
      </c>
      <c r="CB39" s="905">
        <v>48.914420048226781</v>
      </c>
      <c r="CC39" s="905">
        <v>49.061785319655925</v>
      </c>
      <c r="CD39" s="905">
        <v>49.213032300006446</v>
      </c>
      <c r="CE39" s="905">
        <v>49.357481795859378</v>
      </c>
      <c r="CF39" s="905">
        <v>49.502961405995983</v>
      </c>
      <c r="CG39" s="905">
        <v>49.646113083835033</v>
      </c>
      <c r="CH39" s="905">
        <v>49.796665033197172</v>
      </c>
      <c r="CI39" s="905">
        <v>49.94605976211831</v>
      </c>
      <c r="CJ39" s="905">
        <v>50.09398790056089</v>
      </c>
      <c r="CK39" s="905">
        <v>50.240852969850366</v>
      </c>
      <c r="CL39" s="905">
        <v>50.386657331701102</v>
      </c>
      <c r="CM39" s="905">
        <v>50.531403378573813</v>
      </c>
      <c r="CN39" s="905">
        <v>50.675093497960077</v>
      </c>
      <c r="CO39" s="905">
        <v>50.817730053663325</v>
      </c>
      <c r="CP39" s="905">
        <v>50.959315384025373</v>
      </c>
      <c r="CQ39" s="905">
        <v>51.099851819272502</v>
      </c>
      <c r="CR39" s="905">
        <v>51.239341692901135</v>
      </c>
      <c r="CS39" s="905">
        <v>51.377787344083018</v>
      </c>
      <c r="CT39" s="905">
        <v>51.515191121676843</v>
      </c>
      <c r="CU39" s="905">
        <v>51.651555393404834</v>
      </c>
      <c r="CV39" s="905">
        <v>51.78688255998479</v>
      </c>
      <c r="CW39" s="905">
        <v>51.921176346331407</v>
      </c>
      <c r="CX39" s="905">
        <v>52.054439312236539</v>
      </c>
      <c r="CY39" s="905">
        <v>52.186674120881634</v>
      </c>
      <c r="CZ39" s="905">
        <v>52.317883536219682</v>
      </c>
      <c r="DA39" s="905">
        <v>52.448070420400988</v>
      </c>
      <c r="DB39" s="905">
        <v>52.577237731242228</v>
      </c>
      <c r="DC39" s="905">
        <v>52.705388519738619</v>
      </c>
      <c r="DD39" s="905">
        <v>52.832525927618121</v>
      </c>
      <c r="DE39" s="905">
        <v>52.958653184938214</v>
      </c>
      <c r="DF39" s="905">
        <v>53.083773607722094</v>
      </c>
      <c r="DG39" s="905">
        <v>53.207890595637252</v>
      </c>
      <c r="DH39" s="905">
        <v>53.331007629712047</v>
      </c>
      <c r="DI39" s="905">
        <v>53.453128270092883</v>
      </c>
      <c r="DJ39" s="905">
        <v>53.574256153838618</v>
      </c>
      <c r="DK39" s="905">
        <v>53.694394992753104</v>
      </c>
      <c r="DL39" s="905">
        <v>53.813548571255545</v>
      </c>
      <c r="DM39" s="905">
        <v>53.931720744285457</v>
      </c>
      <c r="DN39" s="905">
        <v>54.04891543524564</v>
      </c>
      <c r="DO39" s="905">
        <v>54.16513663397798</v>
      </c>
      <c r="DP39" s="905">
        <v>54.280388394775002</v>
      </c>
      <c r="DQ39" s="905">
        <v>54.394674834424606</v>
      </c>
      <c r="DR39" s="905">
        <v>54.508000130287634</v>
      </c>
      <c r="DS39" s="905">
        <v>54.620368518408483</v>
      </c>
      <c r="DT39" s="905">
        <v>54.731784291656652</v>
      </c>
      <c r="DU39" s="905">
        <v>54.842251797899799</v>
      </c>
    </row>
    <row r="40" spans="1:125" s="127" customFormat="1" ht="12.75">
      <c r="A40" s="908">
        <v>38</v>
      </c>
      <c r="B40" s="905"/>
      <c r="C40" s="905"/>
      <c r="D40" s="905"/>
      <c r="E40" s="905"/>
      <c r="F40" s="905"/>
      <c r="G40" s="905"/>
      <c r="H40" s="905"/>
      <c r="I40" s="905"/>
      <c r="J40" s="905"/>
      <c r="K40" s="905"/>
      <c r="L40" s="905"/>
      <c r="M40" s="905"/>
      <c r="N40" s="905"/>
      <c r="O40" s="905"/>
      <c r="P40" s="905"/>
      <c r="Q40" s="905"/>
      <c r="R40" s="905"/>
      <c r="S40" s="905"/>
      <c r="T40" s="905"/>
      <c r="U40" s="905"/>
      <c r="V40" s="905"/>
      <c r="W40" s="905"/>
      <c r="X40" s="905"/>
      <c r="Y40" s="905">
        <v>39.580170812379059</v>
      </c>
      <c r="Z40" s="905">
        <v>39.809324015420358</v>
      </c>
      <c r="AA40" s="905">
        <v>39.98363049200772</v>
      </c>
      <c r="AB40" s="905">
        <v>40.147745783246577</v>
      </c>
      <c r="AC40" s="905">
        <v>40.250074430910075</v>
      </c>
      <c r="AD40" s="905">
        <v>40.272146024854877</v>
      </c>
      <c r="AE40" s="905">
        <v>40.409294467728621</v>
      </c>
      <c r="AF40" s="905">
        <v>40.59946155789622</v>
      </c>
      <c r="AG40" s="905">
        <v>40.809582932387777</v>
      </c>
      <c r="AH40" s="905">
        <v>41.042168259428102</v>
      </c>
      <c r="AI40" s="905">
        <v>41.258300246334628</v>
      </c>
      <c r="AJ40" s="905">
        <v>41.533387304838826</v>
      </c>
      <c r="AK40" s="905">
        <v>41.79865428437914</v>
      </c>
      <c r="AL40" s="905">
        <v>42.110517756029004</v>
      </c>
      <c r="AM40" s="905">
        <v>42.400141259673219</v>
      </c>
      <c r="AN40" s="905">
        <v>42.602637598621328</v>
      </c>
      <c r="AO40" s="905">
        <v>42.749898509323486</v>
      </c>
      <c r="AP40" s="905">
        <v>42.891477801266035</v>
      </c>
      <c r="AQ40" s="905">
        <v>42.993007186759016</v>
      </c>
      <c r="AR40" s="905">
        <v>43.136975631025479</v>
      </c>
      <c r="AS40" s="905">
        <v>43.14780113924261</v>
      </c>
      <c r="AT40" s="905">
        <v>43.157271861373985</v>
      </c>
      <c r="AU40" s="905">
        <v>43.206235971057943</v>
      </c>
      <c r="AV40" s="905">
        <v>43.261218957848754</v>
      </c>
      <c r="AW40" s="905">
        <v>43.490323602549758</v>
      </c>
      <c r="AX40" s="905">
        <v>43.558315369226975</v>
      </c>
      <c r="AY40" s="905">
        <v>43.659756309705173</v>
      </c>
      <c r="AZ40" s="905">
        <v>43.722857735575609</v>
      </c>
      <c r="BA40" s="905">
        <v>43.801542688376543</v>
      </c>
      <c r="BB40" s="905">
        <v>43.912268029169901</v>
      </c>
      <c r="BC40" s="905">
        <v>44.00901188016271</v>
      </c>
      <c r="BD40" s="905">
        <v>44.128417524887979</v>
      </c>
      <c r="BE40" s="905">
        <v>44.283674797300229</v>
      </c>
      <c r="BF40" s="905">
        <v>44.430398183908977</v>
      </c>
      <c r="BG40" s="905">
        <v>44.57190913596331</v>
      </c>
      <c r="BH40" s="905">
        <v>44.779228882027269</v>
      </c>
      <c r="BI40" s="905">
        <v>44.923905124239411</v>
      </c>
      <c r="BJ40" s="905">
        <v>45.102542619185144</v>
      </c>
      <c r="BK40" s="905">
        <v>45.256290434024535</v>
      </c>
      <c r="BL40" s="905">
        <v>45.463377959582765</v>
      </c>
      <c r="BM40" s="905">
        <v>45.66018615154573</v>
      </c>
      <c r="BN40" s="905">
        <v>45.839471741951613</v>
      </c>
      <c r="BO40" s="905">
        <v>45.9878281338612</v>
      </c>
      <c r="BP40" s="905">
        <v>46.167355132386191</v>
      </c>
      <c r="BQ40" s="905">
        <v>46.330564510121718</v>
      </c>
      <c r="BR40" s="905">
        <v>46.488122115530473</v>
      </c>
      <c r="BS40" s="905">
        <v>46.636841677875175</v>
      </c>
      <c r="BT40" s="905">
        <v>46.784793226429926</v>
      </c>
      <c r="BU40" s="905">
        <v>46.915997181204958</v>
      </c>
      <c r="BV40" s="905">
        <v>47.07659916163999</v>
      </c>
      <c r="BW40" s="905">
        <v>47.237173256625752</v>
      </c>
      <c r="BX40" s="905">
        <v>47.379202875920669</v>
      </c>
      <c r="BY40" s="905">
        <v>47.521403649406381</v>
      </c>
      <c r="BZ40" s="905">
        <v>47.664393390520743</v>
      </c>
      <c r="CA40" s="905">
        <v>47.80779405176493</v>
      </c>
      <c r="CB40" s="905">
        <v>47.949727660218883</v>
      </c>
      <c r="CC40" s="905">
        <v>48.097274918194053</v>
      </c>
      <c r="CD40" s="905">
        <v>48.248299228614812</v>
      </c>
      <c r="CE40" s="905">
        <v>48.392607896498319</v>
      </c>
      <c r="CF40" s="905">
        <v>48.539545411544218</v>
      </c>
      <c r="CG40" s="905">
        <v>48.686197475798352</v>
      </c>
      <c r="CH40" s="905">
        <v>48.835286168159712</v>
      </c>
      <c r="CI40" s="905">
        <v>48.983514528283564</v>
      </c>
      <c r="CJ40" s="905">
        <v>49.130691676792154</v>
      </c>
      <c r="CK40" s="905">
        <v>49.276819673688991</v>
      </c>
      <c r="CL40" s="905">
        <v>49.4219006589354</v>
      </c>
      <c r="CM40" s="905">
        <v>49.565936805479097</v>
      </c>
      <c r="CN40" s="905">
        <v>49.708930283534528</v>
      </c>
      <c r="CO40" s="905">
        <v>49.850883241875962</v>
      </c>
      <c r="CP40" s="905">
        <v>49.991797806090446</v>
      </c>
      <c r="CQ40" s="905">
        <v>50.131676095964551</v>
      </c>
      <c r="CR40" s="905">
        <v>50.270520236903153</v>
      </c>
      <c r="CS40" s="905">
        <v>50.408332362358593</v>
      </c>
      <c r="CT40" s="905">
        <v>50.545114617869288</v>
      </c>
      <c r="CU40" s="905">
        <v>50.680869170266533</v>
      </c>
      <c r="CV40" s="905">
        <v>50.815599446119776</v>
      </c>
      <c r="CW40" s="905">
        <v>50.949307704360066</v>
      </c>
      <c r="CX40" s="905">
        <v>51.081996312515798</v>
      </c>
      <c r="CY40" s="905">
        <v>51.213667744038489</v>
      </c>
      <c r="CZ40" s="905">
        <v>51.344324575672871</v>
      </c>
      <c r="DA40" s="905">
        <v>51.473969484870231</v>
      </c>
      <c r="DB40" s="905">
        <v>51.60260524724432</v>
      </c>
      <c r="DC40" s="905">
        <v>51.730234734069867</v>
      </c>
      <c r="DD40" s="905">
        <v>51.856860909822515</v>
      </c>
      <c r="DE40" s="905">
        <v>51.982486829760759</v>
      </c>
      <c r="DF40" s="905">
        <v>52.107115637546755</v>
      </c>
      <c r="DG40" s="905">
        <v>52.230750562909051</v>
      </c>
      <c r="DH40" s="905">
        <v>52.353394919342804</v>
      </c>
      <c r="DI40" s="905">
        <v>52.475052101850075</v>
      </c>
      <c r="DJ40" s="905">
        <v>52.595725584716973</v>
      </c>
      <c r="DK40" s="905">
        <v>52.715418919328513</v>
      </c>
      <c r="DL40" s="905">
        <v>52.834135732020854</v>
      </c>
      <c r="DM40" s="905">
        <v>52.951879721967671</v>
      </c>
      <c r="DN40" s="905">
        <v>53.068654659104396</v>
      </c>
      <c r="DO40" s="905">
        <v>53.184464382084734</v>
      </c>
      <c r="DP40" s="905">
        <v>53.299312796272702</v>
      </c>
      <c r="DQ40" s="905">
        <v>53.413203871767514</v>
      </c>
      <c r="DR40" s="905">
        <v>53.526141641461066</v>
      </c>
      <c r="DS40" s="905">
        <v>53.638130199128142</v>
      </c>
      <c r="DT40" s="905">
        <v>53.749173697547334</v>
      </c>
      <c r="DU40" s="905">
        <v>53.859276346653189</v>
      </c>
    </row>
    <row r="41" spans="1:125" s="127" customFormat="1" ht="12.75">
      <c r="A41" s="908">
        <v>39</v>
      </c>
      <c r="B41" s="905"/>
      <c r="C41" s="905"/>
      <c r="D41" s="905"/>
      <c r="E41" s="905"/>
      <c r="F41" s="905"/>
      <c r="G41" s="905"/>
      <c r="H41" s="905"/>
      <c r="I41" s="905"/>
      <c r="J41" s="905"/>
      <c r="K41" s="905"/>
      <c r="L41" s="905"/>
      <c r="M41" s="905"/>
      <c r="N41" s="905"/>
      <c r="O41" s="905"/>
      <c r="P41" s="905"/>
      <c r="Q41" s="905"/>
      <c r="R41" s="905"/>
      <c r="S41" s="905"/>
      <c r="T41" s="905"/>
      <c r="U41" s="905"/>
      <c r="V41" s="905"/>
      <c r="W41" s="905"/>
      <c r="X41" s="905"/>
      <c r="Y41" s="905">
        <v>38.659231028027399</v>
      </c>
      <c r="Z41" s="905">
        <v>38.890022768606684</v>
      </c>
      <c r="AA41" s="905">
        <v>39.063749073384997</v>
      </c>
      <c r="AB41" s="905">
        <v>39.225101164637636</v>
      </c>
      <c r="AC41" s="905">
        <v>39.327519185716319</v>
      </c>
      <c r="AD41" s="905">
        <v>39.354615098696186</v>
      </c>
      <c r="AE41" s="905">
        <v>39.490171755569179</v>
      </c>
      <c r="AF41" s="905">
        <v>39.681723114913311</v>
      </c>
      <c r="AG41" s="905">
        <v>39.895657694915229</v>
      </c>
      <c r="AH41" s="905">
        <v>40.126352101104416</v>
      </c>
      <c r="AI41" s="905">
        <v>40.341926876551227</v>
      </c>
      <c r="AJ41" s="905">
        <v>40.617064062220351</v>
      </c>
      <c r="AK41" s="905">
        <v>40.877790314892742</v>
      </c>
      <c r="AL41" s="905">
        <v>41.189877802186913</v>
      </c>
      <c r="AM41" s="905">
        <v>41.482333040909815</v>
      </c>
      <c r="AN41" s="905">
        <v>41.68008969548832</v>
      </c>
      <c r="AO41" s="905">
        <v>41.826355314666152</v>
      </c>
      <c r="AP41" s="905">
        <v>41.966518704890177</v>
      </c>
      <c r="AQ41" s="905">
        <v>42.067721573539245</v>
      </c>
      <c r="AR41" s="905">
        <v>42.209497384694785</v>
      </c>
      <c r="AS41" s="905">
        <v>42.221423575872933</v>
      </c>
      <c r="AT41" s="905">
        <v>42.226635500162594</v>
      </c>
      <c r="AU41" s="905">
        <v>42.279749719945272</v>
      </c>
      <c r="AV41" s="905">
        <v>42.33003526674316</v>
      </c>
      <c r="AW41" s="905">
        <v>42.559115247957564</v>
      </c>
      <c r="AX41" s="905">
        <v>42.620944974803578</v>
      </c>
      <c r="AY41" s="905">
        <v>42.722956070331165</v>
      </c>
      <c r="AZ41" s="905">
        <v>42.789215169233273</v>
      </c>
      <c r="BA41" s="905">
        <v>42.866996675820687</v>
      </c>
      <c r="BB41" s="905">
        <v>42.982480072714473</v>
      </c>
      <c r="BC41" s="905">
        <v>43.081504688973524</v>
      </c>
      <c r="BD41" s="905">
        <v>43.199110403168632</v>
      </c>
      <c r="BE41" s="905">
        <v>43.348320707972377</v>
      </c>
      <c r="BF41" s="905">
        <v>43.494422398692492</v>
      </c>
      <c r="BG41" s="905">
        <v>43.638636948040009</v>
      </c>
      <c r="BH41" s="905">
        <v>43.840162007012822</v>
      </c>
      <c r="BI41" s="905">
        <v>43.980950067249793</v>
      </c>
      <c r="BJ41" s="905">
        <v>44.154698981838891</v>
      </c>
      <c r="BK41" s="905">
        <v>44.311173739304735</v>
      </c>
      <c r="BL41" s="905">
        <v>44.515874679208132</v>
      </c>
      <c r="BM41" s="905">
        <v>44.708242797868955</v>
      </c>
      <c r="BN41" s="905">
        <v>44.887154443790372</v>
      </c>
      <c r="BO41" s="905">
        <v>45.032713558276171</v>
      </c>
      <c r="BP41" s="905">
        <v>45.210213004401893</v>
      </c>
      <c r="BQ41" s="905">
        <v>45.370514882058934</v>
      </c>
      <c r="BR41" s="905">
        <v>45.526576394509007</v>
      </c>
      <c r="BS41" s="905">
        <v>45.674685273699708</v>
      </c>
      <c r="BT41" s="905">
        <v>45.823593107453675</v>
      </c>
      <c r="BU41" s="905">
        <v>45.954620170692934</v>
      </c>
      <c r="BV41" s="905">
        <v>46.116613251562754</v>
      </c>
      <c r="BW41" s="905">
        <v>46.27196867914941</v>
      </c>
      <c r="BX41" s="905">
        <v>46.416028249010608</v>
      </c>
      <c r="BY41" s="905">
        <v>46.559926684308138</v>
      </c>
      <c r="BZ41" s="905">
        <v>46.701590072100572</v>
      </c>
      <c r="CA41" s="905">
        <v>46.845468543553075</v>
      </c>
      <c r="CB41" s="905">
        <v>46.989115073970552</v>
      </c>
      <c r="CC41" s="905">
        <v>47.136523255929731</v>
      </c>
      <c r="CD41" s="905">
        <v>47.284748970447183</v>
      </c>
      <c r="CE41" s="905">
        <v>47.430081231176423</v>
      </c>
      <c r="CF41" s="905">
        <v>47.57860027009805</v>
      </c>
      <c r="CG41" s="905">
        <v>47.726967554847533</v>
      </c>
      <c r="CH41" s="905">
        <v>47.875447615772316</v>
      </c>
      <c r="CI41" s="905">
        <v>48.022888940026583</v>
      </c>
      <c r="CJ41" s="905">
        <v>48.169293223822642</v>
      </c>
      <c r="CK41" s="905">
        <v>48.314662311302072</v>
      </c>
      <c r="CL41" s="905">
        <v>48.458998128506167</v>
      </c>
      <c r="CM41" s="905">
        <v>48.602302636389894</v>
      </c>
      <c r="CN41" s="905">
        <v>48.744577795103567</v>
      </c>
      <c r="CO41" s="905">
        <v>48.885825545304542</v>
      </c>
      <c r="CP41" s="905">
        <v>49.026047806444424</v>
      </c>
      <c r="CQ41" s="905">
        <v>49.165246494205505</v>
      </c>
      <c r="CR41" s="905">
        <v>49.303423531960917</v>
      </c>
      <c r="CS41" s="905">
        <v>49.440580853235943</v>
      </c>
      <c r="CT41" s="905">
        <v>49.576720405781508</v>
      </c>
      <c r="CU41" s="905">
        <v>49.711845394001671</v>
      </c>
      <c r="CV41" s="905">
        <v>49.845957773095762</v>
      </c>
      <c r="CW41" s="905">
        <v>49.979059611908653</v>
      </c>
      <c r="CX41" s="905">
        <v>50.111153090207978</v>
      </c>
      <c r="CY41" s="905">
        <v>50.242240496004364</v>
      </c>
      <c r="CZ41" s="905">
        <v>50.37232422291514</v>
      </c>
      <c r="DA41" s="905">
        <v>50.501406767570657</v>
      </c>
      <c r="DB41" s="905">
        <v>50.629490727062482</v>
      </c>
      <c r="DC41" s="905">
        <v>50.756578796433416</v>
      </c>
      <c r="DD41" s="905">
        <v>50.882673766208399</v>
      </c>
      <c r="DE41" s="905">
        <v>51.007778519966635</v>
      </c>
      <c r="DF41" s="905">
        <v>51.131896031952166</v>
      </c>
      <c r="DG41" s="905">
        <v>51.255029364725559</v>
      </c>
      <c r="DH41" s="905">
        <v>51.377181666852657</v>
      </c>
      <c r="DI41" s="905">
        <v>51.498356170632817</v>
      </c>
      <c r="DJ41" s="905">
        <v>51.61855618986344</v>
      </c>
      <c r="DK41" s="905">
        <v>51.737785117641749</v>
      </c>
      <c r="DL41" s="905">
        <v>51.85604642420337</v>
      </c>
      <c r="DM41" s="905">
        <v>51.973343654794746</v>
      </c>
      <c r="DN41" s="905">
        <v>52.089680427582792</v>
      </c>
      <c r="DO41" s="905">
        <v>52.205060431596479</v>
      </c>
      <c r="DP41" s="905">
        <v>52.319487424703595</v>
      </c>
      <c r="DQ41" s="905">
        <v>52.432965231619875</v>
      </c>
      <c r="DR41" s="905">
        <v>52.545497741950363</v>
      </c>
      <c r="DS41" s="905">
        <v>52.657088908263233</v>
      </c>
      <c r="DT41" s="905">
        <v>52.767742744193896</v>
      </c>
      <c r="DU41" s="905">
        <v>52.877463322580113</v>
      </c>
    </row>
    <row r="42" spans="1:125" s="127" customFormat="1" ht="12.75">
      <c r="A42" s="908">
        <v>40</v>
      </c>
      <c r="B42" s="905"/>
      <c r="C42" s="905"/>
      <c r="D42" s="905"/>
      <c r="E42" s="905"/>
      <c r="F42" s="905"/>
      <c r="G42" s="905"/>
      <c r="H42" s="905"/>
      <c r="I42" s="905"/>
      <c r="J42" s="905"/>
      <c r="K42" s="905"/>
      <c r="L42" s="905"/>
      <c r="M42" s="905"/>
      <c r="N42" s="905"/>
      <c r="O42" s="905"/>
      <c r="P42" s="905"/>
      <c r="Q42" s="905"/>
      <c r="R42" s="905"/>
      <c r="S42" s="905"/>
      <c r="T42" s="905"/>
      <c r="U42" s="905"/>
      <c r="V42" s="905"/>
      <c r="W42" s="905"/>
      <c r="X42" s="905"/>
      <c r="Y42" s="905">
        <v>37.742879846810439</v>
      </c>
      <c r="Z42" s="905">
        <v>37.972904439739075</v>
      </c>
      <c r="AA42" s="905">
        <v>38.149722867173566</v>
      </c>
      <c r="AB42" s="905">
        <v>38.309856147565654</v>
      </c>
      <c r="AC42" s="905">
        <v>38.415310146806505</v>
      </c>
      <c r="AD42" s="905">
        <v>38.438452939379971</v>
      </c>
      <c r="AE42" s="905">
        <v>38.576057020170566</v>
      </c>
      <c r="AF42" s="905">
        <v>38.771084624098137</v>
      </c>
      <c r="AG42" s="905">
        <v>38.982369453691462</v>
      </c>
      <c r="AH42" s="905">
        <v>39.214104550604119</v>
      </c>
      <c r="AI42" s="905">
        <v>39.426911951106831</v>
      </c>
      <c r="AJ42" s="905">
        <v>39.70176719553529</v>
      </c>
      <c r="AK42" s="905">
        <v>39.962588950368101</v>
      </c>
      <c r="AL42" s="905">
        <v>40.273986387393634</v>
      </c>
      <c r="AM42" s="905">
        <v>40.563428135880883</v>
      </c>
      <c r="AN42" s="905">
        <v>40.763619243277603</v>
      </c>
      <c r="AO42" s="905">
        <v>40.906356871696346</v>
      </c>
      <c r="AP42" s="905">
        <v>41.047880319668394</v>
      </c>
      <c r="AQ42" s="905">
        <v>41.14841250312881</v>
      </c>
      <c r="AR42" s="905">
        <v>41.287558196719694</v>
      </c>
      <c r="AS42" s="905">
        <v>41.299958245924316</v>
      </c>
      <c r="AT42" s="905">
        <v>41.299699327518425</v>
      </c>
      <c r="AU42" s="905">
        <v>41.348656676740504</v>
      </c>
      <c r="AV42" s="905">
        <v>41.400051984760339</v>
      </c>
      <c r="AW42" s="905">
        <v>41.626957226774728</v>
      </c>
      <c r="AX42" s="905">
        <v>41.690707804777219</v>
      </c>
      <c r="AY42" s="905">
        <v>41.788929896078372</v>
      </c>
      <c r="AZ42" s="905">
        <v>41.861132644621492</v>
      </c>
      <c r="BA42" s="905">
        <v>41.937399833462919</v>
      </c>
      <c r="BB42" s="905">
        <v>42.056466747220242</v>
      </c>
      <c r="BC42" s="905">
        <v>42.155764971053728</v>
      </c>
      <c r="BD42" s="905">
        <v>42.270770729173037</v>
      </c>
      <c r="BE42" s="905">
        <v>42.420758384575834</v>
      </c>
      <c r="BF42" s="905">
        <v>42.560986490149261</v>
      </c>
      <c r="BG42" s="905">
        <v>42.702697696480811</v>
      </c>
      <c r="BH42" s="905">
        <v>42.902359095154779</v>
      </c>
      <c r="BI42" s="905">
        <v>43.041365349413795</v>
      </c>
      <c r="BJ42" s="905">
        <v>43.214025733300957</v>
      </c>
      <c r="BK42" s="905">
        <v>43.366133978923514</v>
      </c>
      <c r="BL42" s="905">
        <v>43.569882368118016</v>
      </c>
      <c r="BM42" s="905">
        <v>43.760809422287437</v>
      </c>
      <c r="BN42" s="905">
        <v>43.937500890384797</v>
      </c>
      <c r="BO42" s="905">
        <v>44.079108256470732</v>
      </c>
      <c r="BP42" s="905">
        <v>44.257505340316456</v>
      </c>
      <c r="BQ42" s="905">
        <v>44.414441790064885</v>
      </c>
      <c r="BR42" s="905">
        <v>44.567810220573641</v>
      </c>
      <c r="BS42" s="905">
        <v>44.71630985854776</v>
      </c>
      <c r="BT42" s="905">
        <v>44.863919134284686</v>
      </c>
      <c r="BU42" s="905">
        <v>44.996804544018289</v>
      </c>
      <c r="BV42" s="905">
        <v>45.155508450410977</v>
      </c>
      <c r="BW42" s="905">
        <v>45.313863779487562</v>
      </c>
      <c r="BX42" s="905">
        <v>45.45444260439367</v>
      </c>
      <c r="BY42" s="905">
        <v>45.597868015450558</v>
      </c>
      <c r="BZ42" s="905">
        <v>45.74009010146365</v>
      </c>
      <c r="CA42" s="905">
        <v>45.884317681692323</v>
      </c>
      <c r="CB42" s="905">
        <v>46.029517756377487</v>
      </c>
      <c r="CC42" s="905">
        <v>46.176896472040937</v>
      </c>
      <c r="CD42" s="905">
        <v>46.326557968758777</v>
      </c>
      <c r="CE42" s="905">
        <v>46.471286743057092</v>
      </c>
      <c r="CF42" s="905">
        <v>46.621146070704626</v>
      </c>
      <c r="CG42" s="905">
        <v>46.769830671852503</v>
      </c>
      <c r="CH42" s="905">
        <v>46.917489635586122</v>
      </c>
      <c r="CI42" s="905">
        <v>47.064124222942901</v>
      </c>
      <c r="CJ42" s="905">
        <v>47.209735921427836</v>
      </c>
      <c r="CK42" s="905">
        <v>47.354326368145948</v>
      </c>
      <c r="CL42" s="905">
        <v>47.497897283729415</v>
      </c>
      <c r="CM42" s="905">
        <v>47.640450425340759</v>
      </c>
      <c r="CN42" s="905">
        <v>47.781987550960793</v>
      </c>
      <c r="CO42" s="905">
        <v>47.922510400725031</v>
      </c>
      <c r="CP42" s="905">
        <v>48.0620206952525</v>
      </c>
      <c r="CQ42" s="905">
        <v>48.200520153140261</v>
      </c>
      <c r="CR42" s="905">
        <v>48.338010502473097</v>
      </c>
      <c r="CS42" s="905">
        <v>48.474493483324125</v>
      </c>
      <c r="CT42" s="905">
        <v>48.609972170092377</v>
      </c>
      <c r="CU42" s="905">
        <v>48.744448212747798</v>
      </c>
      <c r="CV42" s="905">
        <v>48.877923379772952</v>
      </c>
      <c r="CW42" s="905">
        <v>49.010399555397058</v>
      </c>
      <c r="CX42" s="905">
        <v>49.14187873687375</v>
      </c>
      <c r="CY42" s="905">
        <v>49.272363031801149</v>
      </c>
      <c r="CZ42" s="905">
        <v>49.401854655484343</v>
      </c>
      <c r="DA42" s="905">
        <v>49.530355928339958</v>
      </c>
      <c r="DB42" s="905">
        <v>49.657869273341618</v>
      </c>
      <c r="DC42" s="905">
        <v>49.784397213506665</v>
      </c>
      <c r="DD42" s="905">
        <v>49.909942369422893</v>
      </c>
      <c r="DE42" s="905">
        <v>50.034507456815859</v>
      </c>
      <c r="DF42" s="905">
        <v>50.158095284153987</v>
      </c>
      <c r="DG42" s="905">
        <v>50.280708750294039</v>
      </c>
      <c r="DH42" s="905">
        <v>50.402350842163074</v>
      </c>
      <c r="DI42" s="905">
        <v>50.523024632479206</v>
      </c>
      <c r="DJ42" s="905">
        <v>50.642733277508157</v>
      </c>
      <c r="DK42" s="905">
        <v>50.761480014856353</v>
      </c>
      <c r="DL42" s="905">
        <v>50.879268161300317</v>
      </c>
      <c r="DM42" s="905">
        <v>50.996101110649377</v>
      </c>
      <c r="DN42" s="905">
        <v>51.111982331645066</v>
      </c>
      <c r="DO42" s="905">
        <v>51.226915365891955</v>
      </c>
      <c r="DP42" s="905">
        <v>51.340903825823169</v>
      </c>
      <c r="DQ42" s="905">
        <v>51.453951392697817</v>
      </c>
      <c r="DR42" s="905">
        <v>51.566061814630281</v>
      </c>
      <c r="DS42" s="905">
        <v>51.677238904651404</v>
      </c>
      <c r="DT42" s="905">
        <v>51.787486538799712</v>
      </c>
      <c r="DU42" s="905">
        <v>51.896808654243124</v>
      </c>
    </row>
    <row r="43" spans="1:125" s="127" customFormat="1" ht="12.75">
      <c r="A43" s="908">
        <v>41</v>
      </c>
      <c r="B43" s="905"/>
      <c r="C43" s="905"/>
      <c r="D43" s="905"/>
      <c r="E43" s="905"/>
      <c r="F43" s="905"/>
      <c r="G43" s="905"/>
      <c r="H43" s="905"/>
      <c r="I43" s="905"/>
      <c r="J43" s="905"/>
      <c r="K43" s="905"/>
      <c r="L43" s="905"/>
      <c r="M43" s="905"/>
      <c r="N43" s="905"/>
      <c r="O43" s="905"/>
      <c r="P43" s="905"/>
      <c r="Q43" s="905"/>
      <c r="R43" s="905"/>
      <c r="S43" s="905"/>
      <c r="T43" s="905"/>
      <c r="U43" s="905"/>
      <c r="V43" s="905"/>
      <c r="W43" s="905"/>
      <c r="X43" s="905"/>
      <c r="Y43" s="905">
        <v>36.833097531142684</v>
      </c>
      <c r="Z43" s="905">
        <v>37.061652652531151</v>
      </c>
      <c r="AA43" s="905">
        <v>37.236973901983177</v>
      </c>
      <c r="AB43" s="905">
        <v>37.400278479490787</v>
      </c>
      <c r="AC43" s="905">
        <v>37.502634294265022</v>
      </c>
      <c r="AD43" s="905">
        <v>37.525876341114838</v>
      </c>
      <c r="AE43" s="905">
        <v>37.672506287206005</v>
      </c>
      <c r="AF43" s="905">
        <v>37.863432463885374</v>
      </c>
      <c r="AG43" s="905">
        <v>38.073029850804971</v>
      </c>
      <c r="AH43" s="905">
        <v>38.302212636363826</v>
      </c>
      <c r="AI43" s="905">
        <v>38.516841803886912</v>
      </c>
      <c r="AJ43" s="905">
        <v>38.789002111082155</v>
      </c>
      <c r="AK43" s="905">
        <v>39.055299898718019</v>
      </c>
      <c r="AL43" s="905">
        <v>39.364497636281754</v>
      </c>
      <c r="AM43" s="905">
        <v>39.650854640420448</v>
      </c>
      <c r="AN43" s="905">
        <v>39.851941753510573</v>
      </c>
      <c r="AO43" s="905">
        <v>39.993917394915762</v>
      </c>
      <c r="AP43" s="905">
        <v>40.131751303754015</v>
      </c>
      <c r="AQ43" s="905">
        <v>40.232366454502106</v>
      </c>
      <c r="AR43" s="905">
        <v>40.370003420232905</v>
      </c>
      <c r="AS43" s="905">
        <v>40.379889397608025</v>
      </c>
      <c r="AT43" s="905">
        <v>40.376040101028863</v>
      </c>
      <c r="AU43" s="905">
        <v>40.423114179211694</v>
      </c>
      <c r="AV43" s="905">
        <v>40.472694008904213</v>
      </c>
      <c r="AW43" s="905">
        <v>40.697308237394353</v>
      </c>
      <c r="AX43" s="905">
        <v>40.763025337803882</v>
      </c>
      <c r="AY43" s="905">
        <v>40.864365695353086</v>
      </c>
      <c r="AZ43" s="905">
        <v>40.940859810763733</v>
      </c>
      <c r="BA43" s="905">
        <v>41.016396294244643</v>
      </c>
      <c r="BB43" s="905">
        <v>41.132694968337638</v>
      </c>
      <c r="BC43" s="905">
        <v>41.233268849786029</v>
      </c>
      <c r="BD43" s="905">
        <v>41.348052566148901</v>
      </c>
      <c r="BE43" s="905">
        <v>41.493552680833517</v>
      </c>
      <c r="BF43" s="905">
        <v>41.629437843265237</v>
      </c>
      <c r="BG43" s="905">
        <v>41.77067767127285</v>
      </c>
      <c r="BH43" s="905">
        <v>41.967436224943306</v>
      </c>
      <c r="BI43" s="905">
        <v>42.103662098999507</v>
      </c>
      <c r="BJ43" s="905">
        <v>42.274593178483769</v>
      </c>
      <c r="BK43" s="905">
        <v>42.427576096686771</v>
      </c>
      <c r="BL43" s="905">
        <v>42.624738835366792</v>
      </c>
      <c r="BM43" s="905">
        <v>42.813203512638957</v>
      </c>
      <c r="BN43" s="905">
        <v>42.989155438457345</v>
      </c>
      <c r="BO43" s="905">
        <v>43.130086145635133</v>
      </c>
      <c r="BP43" s="905">
        <v>43.304869555970384</v>
      </c>
      <c r="BQ43" s="905">
        <v>43.458741591073476</v>
      </c>
      <c r="BR43" s="905">
        <v>43.613183728104374</v>
      </c>
      <c r="BS43" s="905">
        <v>43.760958518477402</v>
      </c>
      <c r="BT43" s="905">
        <v>43.90652783632089</v>
      </c>
      <c r="BU43" s="905">
        <v>44.041637742562727</v>
      </c>
      <c r="BV43" s="905">
        <v>44.196713168291872</v>
      </c>
      <c r="BW43" s="905">
        <v>44.354740015411892</v>
      </c>
      <c r="BX43" s="905">
        <v>44.495943888296878</v>
      </c>
      <c r="BY43" s="905">
        <v>44.642309468455124</v>
      </c>
      <c r="BZ43" s="905">
        <v>44.784642147330281</v>
      </c>
      <c r="CA43" s="905">
        <v>44.926405847385368</v>
      </c>
      <c r="CB43" s="905">
        <v>45.070985255279965</v>
      </c>
      <c r="CC43" s="905">
        <v>45.217460365354235</v>
      </c>
      <c r="CD43" s="905">
        <v>45.368862225030334</v>
      </c>
      <c r="CE43" s="905">
        <v>45.517895922059026</v>
      </c>
      <c r="CF43" s="905">
        <v>45.666738542775953</v>
      </c>
      <c r="CG43" s="905">
        <v>45.81456923510035</v>
      </c>
      <c r="CH43" s="905">
        <v>45.961388791419303</v>
      </c>
      <c r="CI43" s="905">
        <v>46.107198272108249</v>
      </c>
      <c r="CJ43" s="905">
        <v>46.251998965443228</v>
      </c>
      <c r="CK43" s="905">
        <v>46.395792310660966</v>
      </c>
      <c r="CL43" s="905">
        <v>46.538579831844125</v>
      </c>
      <c r="CM43" s="905">
        <v>46.680363090917112</v>
      </c>
      <c r="CN43" s="905">
        <v>46.821143651944688</v>
      </c>
      <c r="CO43" s="905">
        <v>46.960923062499006</v>
      </c>
      <c r="CP43" s="905">
        <v>47.099702852036778</v>
      </c>
      <c r="CQ43" s="905">
        <v>47.237484549460063</v>
      </c>
      <c r="CR43" s="905">
        <v>47.37426969468298</v>
      </c>
      <c r="CS43" s="905">
        <v>47.510061334917452</v>
      </c>
      <c r="CT43" s="905">
        <v>47.644860814526851</v>
      </c>
      <c r="CU43" s="905">
        <v>47.778669601053934</v>
      </c>
      <c r="CV43" s="905">
        <v>47.911489282419709</v>
      </c>
      <c r="CW43" s="905">
        <v>48.043321564164003</v>
      </c>
      <c r="CX43" s="905">
        <v>48.174168266728913</v>
      </c>
      <c r="CY43" s="905">
        <v>48.304031322783551</v>
      </c>
      <c r="CZ43" s="905">
        <v>48.432912774590505</v>
      </c>
      <c r="DA43" s="905">
        <v>48.56081477141344</v>
      </c>
      <c r="DB43" s="905">
        <v>48.687739566964773</v>
      </c>
      <c r="DC43" s="905">
        <v>48.81368951689381</v>
      </c>
      <c r="DD43" s="905">
        <v>48.938667076314189</v>
      </c>
      <c r="DE43" s="905">
        <v>49.062674797370981</v>
      </c>
      <c r="DF43" s="905">
        <v>49.185715326844971</v>
      </c>
      <c r="DG43" s="905">
        <v>49.3077914037965</v>
      </c>
      <c r="DH43" s="905">
        <v>49.428905857245113</v>
      </c>
      <c r="DI43" s="905">
        <v>49.549061603887367</v>
      </c>
      <c r="DJ43" s="905">
        <v>49.668261645849618</v>
      </c>
      <c r="DK43" s="905">
        <v>49.786509068476896</v>
      </c>
      <c r="DL43" s="905">
        <v>49.903807038157325</v>
      </c>
      <c r="DM43" s="905">
        <v>50.020158800179274</v>
      </c>
      <c r="DN43" s="905">
        <v>50.135567676624618</v>
      </c>
      <c r="DO43" s="905">
        <v>50.250037064292925</v>
      </c>
      <c r="DP43" s="905">
        <v>50.363570432659628</v>
      </c>
      <c r="DQ43" s="905">
        <v>50.476171321865777</v>
      </c>
      <c r="DR43" s="905">
        <v>50.587843340738949</v>
      </c>
      <c r="DS43" s="905">
        <v>50.69859016484579</v>
      </c>
      <c r="DT43" s="905">
        <v>50.808415534573854</v>
      </c>
      <c r="DU43" s="905">
        <v>50.917323253243744</v>
      </c>
    </row>
    <row r="44" spans="1:125" s="127" customFormat="1" ht="12.75">
      <c r="A44" s="908">
        <v>42</v>
      </c>
      <c r="B44" s="905"/>
      <c r="C44" s="905"/>
      <c r="D44" s="905"/>
      <c r="E44" s="905"/>
      <c r="F44" s="905"/>
      <c r="G44" s="905"/>
      <c r="H44" s="905"/>
      <c r="I44" s="905"/>
      <c r="J44" s="905"/>
      <c r="K44" s="905"/>
      <c r="L44" s="905"/>
      <c r="M44" s="905"/>
      <c r="N44" s="905"/>
      <c r="O44" s="905"/>
      <c r="P44" s="905"/>
      <c r="Q44" s="905"/>
      <c r="R44" s="905"/>
      <c r="S44" s="905"/>
      <c r="T44" s="905"/>
      <c r="U44" s="905"/>
      <c r="V44" s="905"/>
      <c r="W44" s="905"/>
      <c r="X44" s="905"/>
      <c r="Y44" s="905">
        <v>35.922704596695581</v>
      </c>
      <c r="Z44" s="905">
        <v>36.155277329531927</v>
      </c>
      <c r="AA44" s="905">
        <v>36.331309125871556</v>
      </c>
      <c r="AB44" s="905">
        <v>36.493002477755759</v>
      </c>
      <c r="AC44" s="905">
        <v>36.595556678458351</v>
      </c>
      <c r="AD44" s="905">
        <v>36.624532702369471</v>
      </c>
      <c r="AE44" s="905">
        <v>36.769988809723017</v>
      </c>
      <c r="AF44" s="905">
        <v>36.963975757078984</v>
      </c>
      <c r="AG44" s="905">
        <v>37.171331556936551</v>
      </c>
      <c r="AH44" s="905">
        <v>37.395040134527207</v>
      </c>
      <c r="AI44" s="905">
        <v>37.612897853920835</v>
      </c>
      <c r="AJ44" s="905">
        <v>37.887510789504645</v>
      </c>
      <c r="AK44" s="905">
        <v>38.152098276688307</v>
      </c>
      <c r="AL44" s="905">
        <v>38.459871963644382</v>
      </c>
      <c r="AM44" s="905">
        <v>38.740797447198936</v>
      </c>
      <c r="AN44" s="905">
        <v>38.942855310198269</v>
      </c>
      <c r="AO44" s="905">
        <v>39.081436372472005</v>
      </c>
      <c r="AP44" s="905">
        <v>39.223421284392288</v>
      </c>
      <c r="AQ44" s="905">
        <v>39.319568313863925</v>
      </c>
      <c r="AR44" s="905">
        <v>39.453605184747715</v>
      </c>
      <c r="AS44" s="905">
        <v>39.462125914204421</v>
      </c>
      <c r="AT44" s="905">
        <v>39.45458335928631</v>
      </c>
      <c r="AU44" s="905">
        <v>39.503743400192889</v>
      </c>
      <c r="AV44" s="905">
        <v>39.548773079473037</v>
      </c>
      <c r="AW44" s="905">
        <v>39.772506056141424</v>
      </c>
      <c r="AX44" s="905">
        <v>39.841203978012459</v>
      </c>
      <c r="AY44" s="905">
        <v>39.942996071663906</v>
      </c>
      <c r="AZ44" s="905">
        <v>40.025641769593392</v>
      </c>
      <c r="BA44" s="905">
        <v>40.100119631537126</v>
      </c>
      <c r="BB44" s="905">
        <v>40.213530680491473</v>
      </c>
      <c r="BC44" s="905">
        <v>40.315952318181957</v>
      </c>
      <c r="BD44" s="905">
        <v>40.426952873365749</v>
      </c>
      <c r="BE44" s="905">
        <v>40.568852744776009</v>
      </c>
      <c r="BF44" s="905">
        <v>40.702644776999676</v>
      </c>
      <c r="BG44" s="905">
        <v>40.841677986881038</v>
      </c>
      <c r="BH44" s="905">
        <v>41.036503724374633</v>
      </c>
      <c r="BI44" s="905">
        <v>41.169191383936052</v>
      </c>
      <c r="BJ44" s="905">
        <v>41.336839027113029</v>
      </c>
      <c r="BK44" s="905">
        <v>41.489696826764757</v>
      </c>
      <c r="BL44" s="905">
        <v>41.684463215758839</v>
      </c>
      <c r="BM44" s="905">
        <v>41.86807555658693</v>
      </c>
      <c r="BN44" s="905">
        <v>42.040961637449527</v>
      </c>
      <c r="BO44" s="905">
        <v>42.183531110648957</v>
      </c>
      <c r="BP44" s="905">
        <v>42.353975178413535</v>
      </c>
      <c r="BQ44" s="905">
        <v>42.505943850746291</v>
      </c>
      <c r="BR44" s="905">
        <v>42.66153278786615</v>
      </c>
      <c r="BS44" s="905">
        <v>42.807429809913231</v>
      </c>
      <c r="BT44" s="905">
        <v>42.952698473578998</v>
      </c>
      <c r="BU44" s="905">
        <v>43.087203109674803</v>
      </c>
      <c r="BV44" s="905">
        <v>43.240984261411164</v>
      </c>
      <c r="BW44" s="905">
        <v>43.400431569369545</v>
      </c>
      <c r="BX44" s="905">
        <v>43.540361711540129</v>
      </c>
      <c r="BY44" s="905">
        <v>43.68686650479345</v>
      </c>
      <c r="BZ44" s="905">
        <v>43.831367033441182</v>
      </c>
      <c r="CA44" s="905">
        <v>43.971808744092279</v>
      </c>
      <c r="CB44" s="905">
        <v>44.119467816312991</v>
      </c>
      <c r="CC44" s="905">
        <v>44.266100359587647</v>
      </c>
      <c r="CD44" s="905">
        <v>44.417347497180117</v>
      </c>
      <c r="CE44" s="905">
        <v>44.566301218487524</v>
      </c>
      <c r="CF44" s="905">
        <v>44.714257311549105</v>
      </c>
      <c r="CG44" s="905">
        <v>44.861216089844362</v>
      </c>
      <c r="CH44" s="905">
        <v>45.00717815375193</v>
      </c>
      <c r="CI44" s="905">
        <v>45.152144372817119</v>
      </c>
      <c r="CJ44" s="905">
        <v>45.296115845616555</v>
      </c>
      <c r="CK44" s="905">
        <v>45.439093822745107</v>
      </c>
      <c r="CL44" s="905">
        <v>45.581079640660178</v>
      </c>
      <c r="CM44" s="905">
        <v>45.722074674673095</v>
      </c>
      <c r="CN44" s="905">
        <v>45.86208030326258</v>
      </c>
      <c r="CO44" s="905">
        <v>46.001097889477705</v>
      </c>
      <c r="CP44" s="905">
        <v>46.139128779370225</v>
      </c>
      <c r="CQ44" s="905">
        <v>46.276174319629447</v>
      </c>
      <c r="CR44" s="905">
        <v>46.412237638432828</v>
      </c>
      <c r="CS44" s="905">
        <v>46.5473197750255</v>
      </c>
      <c r="CT44" s="905">
        <v>46.681421896285322</v>
      </c>
      <c r="CU44" s="905">
        <v>46.814545293892039</v>
      </c>
      <c r="CV44" s="905">
        <v>46.946691381538429</v>
      </c>
      <c r="CW44" s="905">
        <v>47.077861692182452</v>
      </c>
      <c r="CX44" s="905">
        <v>47.208057875340963</v>
      </c>
      <c r="CY44" s="905">
        <v>47.337281694424121</v>
      </c>
      <c r="CZ44" s="905">
        <v>47.46553502411048</v>
      </c>
      <c r="DA44" s="905">
        <v>47.592819847762264</v>
      </c>
      <c r="DB44" s="905">
        <v>47.719138254880022</v>
      </c>
      <c r="DC44" s="905">
        <v>47.844492438596689</v>
      </c>
      <c r="DD44" s="905">
        <v>47.968884693210263</v>
      </c>
      <c r="DE44" s="905">
        <v>48.092317411755253</v>
      </c>
      <c r="DF44" s="905">
        <v>48.214793083610516</v>
      </c>
      <c r="DG44" s="905">
        <v>48.336314292145843</v>
      </c>
      <c r="DH44" s="905">
        <v>48.45688371240368</v>
      </c>
      <c r="DI44" s="905">
        <v>48.576504108818142</v>
      </c>
      <c r="DJ44" s="905">
        <v>48.695178332968418</v>
      </c>
      <c r="DK44" s="905">
        <v>48.812909321367378</v>
      </c>
      <c r="DL44" s="905">
        <v>48.929700093285248</v>
      </c>
      <c r="DM44" s="905">
        <v>49.045553748605158</v>
      </c>
      <c r="DN44" s="905">
        <v>49.160473465714318</v>
      </c>
      <c r="DO44" s="905">
        <v>49.27446249942534</v>
      </c>
      <c r="DP44" s="905">
        <v>49.387524178931081</v>
      </c>
      <c r="DQ44" s="905">
        <v>49.499661905790354</v>
      </c>
      <c r="DR44" s="905">
        <v>49.610879151944332</v>
      </c>
      <c r="DS44" s="905">
        <v>49.721179457763945</v>
      </c>
      <c r="DT44" s="905">
        <v>49.830566430126098</v>
      </c>
      <c r="DU44" s="905">
        <v>49.939043740519693</v>
      </c>
    </row>
    <row r="45" spans="1:125" s="127" customFormat="1" ht="12.75">
      <c r="A45" s="908">
        <v>43</v>
      </c>
      <c r="B45" s="905"/>
      <c r="C45" s="905"/>
      <c r="D45" s="905"/>
      <c r="E45" s="905"/>
      <c r="F45" s="905"/>
      <c r="G45" s="905"/>
      <c r="H45" s="905"/>
      <c r="I45" s="905"/>
      <c r="J45" s="905"/>
      <c r="K45" s="905"/>
      <c r="L45" s="905"/>
      <c r="M45" s="905"/>
      <c r="N45" s="905"/>
      <c r="O45" s="905"/>
      <c r="P45" s="905"/>
      <c r="Q45" s="905"/>
      <c r="R45" s="905"/>
      <c r="S45" s="905"/>
      <c r="T45" s="905"/>
      <c r="U45" s="905"/>
      <c r="V45" s="905"/>
      <c r="W45" s="905"/>
      <c r="X45" s="905"/>
      <c r="Y45" s="905">
        <v>35.023578338205553</v>
      </c>
      <c r="Z45" s="905">
        <v>35.258193821017855</v>
      </c>
      <c r="AA45" s="905">
        <v>35.430008193031092</v>
      </c>
      <c r="AB45" s="905">
        <v>35.589106185337997</v>
      </c>
      <c r="AC45" s="905">
        <v>35.702665609351605</v>
      </c>
      <c r="AD45" s="905">
        <v>35.728911995536521</v>
      </c>
      <c r="AE45" s="905">
        <v>35.877184052713694</v>
      </c>
      <c r="AF45" s="905">
        <v>36.067875761490157</v>
      </c>
      <c r="AG45" s="905">
        <v>36.272959251754457</v>
      </c>
      <c r="AH45" s="905">
        <v>36.498280283007077</v>
      </c>
      <c r="AI45" s="905">
        <v>36.715046762352529</v>
      </c>
      <c r="AJ45" s="905">
        <v>36.991920833549784</v>
      </c>
      <c r="AK45" s="905">
        <v>37.249045110035226</v>
      </c>
      <c r="AL45" s="905">
        <v>37.555651649195568</v>
      </c>
      <c r="AM45" s="905">
        <v>37.839017157111037</v>
      </c>
      <c r="AN45" s="905">
        <v>38.037868178757648</v>
      </c>
      <c r="AO45" s="905">
        <v>38.178620454252254</v>
      </c>
      <c r="AP45" s="905">
        <v>38.316797907656991</v>
      </c>
      <c r="AQ45" s="905">
        <v>38.409364024521011</v>
      </c>
      <c r="AR45" s="905">
        <v>38.537498573588003</v>
      </c>
      <c r="AS45" s="905">
        <v>38.5465209209938</v>
      </c>
      <c r="AT45" s="905">
        <v>38.541736760218242</v>
      </c>
      <c r="AU45" s="905">
        <v>38.585649124628411</v>
      </c>
      <c r="AV45" s="905">
        <v>38.634740416868141</v>
      </c>
      <c r="AW45" s="905">
        <v>38.857763284512515</v>
      </c>
      <c r="AX45" s="905">
        <v>38.925541503472658</v>
      </c>
      <c r="AY45" s="905">
        <v>39.027983781879101</v>
      </c>
      <c r="AZ45" s="905">
        <v>39.110155111382241</v>
      </c>
      <c r="BA45" s="905">
        <v>39.186796342447721</v>
      </c>
      <c r="BB45" s="905">
        <v>39.298397921963875</v>
      </c>
      <c r="BC45" s="905">
        <v>39.4052620717477</v>
      </c>
      <c r="BD45" s="905">
        <v>39.507948093326732</v>
      </c>
      <c r="BE45" s="905">
        <v>39.64698990434016</v>
      </c>
      <c r="BF45" s="905">
        <v>39.779354261718503</v>
      </c>
      <c r="BG45" s="905">
        <v>39.917821339092001</v>
      </c>
      <c r="BH45" s="905">
        <v>40.107785920175871</v>
      </c>
      <c r="BI45" s="905">
        <v>40.23815125979506</v>
      </c>
      <c r="BJ45" s="905">
        <v>40.406416607833023</v>
      </c>
      <c r="BK45" s="905">
        <v>40.55452663356634</v>
      </c>
      <c r="BL45" s="905">
        <v>40.746960431966841</v>
      </c>
      <c r="BM45" s="905">
        <v>40.927705198367363</v>
      </c>
      <c r="BN45" s="905">
        <v>41.098262181459766</v>
      </c>
      <c r="BO45" s="905">
        <v>41.239578897007675</v>
      </c>
      <c r="BP45" s="905">
        <v>41.40480082458074</v>
      </c>
      <c r="BQ45" s="905">
        <v>41.555649566633697</v>
      </c>
      <c r="BR45" s="905">
        <v>41.713712583264879</v>
      </c>
      <c r="BS45" s="905">
        <v>41.85688532489889</v>
      </c>
      <c r="BT45" s="905">
        <v>42.002581053326935</v>
      </c>
      <c r="BU45" s="905">
        <v>42.136034241453288</v>
      </c>
      <c r="BV45" s="905">
        <v>42.291490513054427</v>
      </c>
      <c r="BW45" s="905">
        <v>42.446888330728754</v>
      </c>
      <c r="BX45" s="905">
        <v>42.588925426028077</v>
      </c>
      <c r="BY45" s="905">
        <v>42.733438113563338</v>
      </c>
      <c r="BZ45" s="905">
        <v>42.879661536808385</v>
      </c>
      <c r="CA45" s="905">
        <v>43.017765954942298</v>
      </c>
      <c r="CB45" s="905">
        <v>43.168082938309226</v>
      </c>
      <c r="CC45" s="905">
        <v>43.319703874121856</v>
      </c>
      <c r="CD45" s="905">
        <v>43.468720152708968</v>
      </c>
      <c r="CE45" s="905">
        <v>43.61675368293497</v>
      </c>
      <c r="CF45" s="905">
        <v>43.763804301594305</v>
      </c>
      <c r="CG45" s="905">
        <v>43.909872139179981</v>
      </c>
      <c r="CH45" s="905">
        <v>44.054957614002205</v>
      </c>
      <c r="CI45" s="905">
        <v>44.199061414420164</v>
      </c>
      <c r="CJ45" s="905">
        <v>44.342184458659695</v>
      </c>
      <c r="CK45" s="905">
        <v>44.484327817725386</v>
      </c>
      <c r="CL45" s="905">
        <v>44.625492649204233</v>
      </c>
      <c r="CM45" s="905">
        <v>44.765680150255399</v>
      </c>
      <c r="CN45" s="905">
        <v>44.904891521942162</v>
      </c>
      <c r="CO45" s="905">
        <v>45.043127950676293</v>
      </c>
      <c r="CP45" s="905">
        <v>45.180390606712002</v>
      </c>
      <c r="CQ45" s="905">
        <v>45.316682811125133</v>
      </c>
      <c r="CR45" s="905">
        <v>45.452005299164249</v>
      </c>
      <c r="CS45" s="905">
        <v>45.586358937938414</v>
      </c>
      <c r="CT45" s="905">
        <v>45.719744723563238</v>
      </c>
      <c r="CU45" s="905">
        <v>45.852163778348213</v>
      </c>
      <c r="CV45" s="905">
        <v>45.983617348024836</v>
      </c>
      <c r="CW45" s="905">
        <v>46.114106799014777</v>
      </c>
      <c r="CX45" s="905">
        <v>46.243633615738737</v>
      </c>
      <c r="CY45" s="905">
        <v>46.372199397964962</v>
      </c>
      <c r="CZ45" s="905">
        <v>46.499805858197462</v>
      </c>
      <c r="DA45" s="905">
        <v>46.626454819103586</v>
      </c>
      <c r="DB45" s="905">
        <v>46.752148210979982</v>
      </c>
      <c r="DC45" s="905">
        <v>46.876888069257063</v>
      </c>
      <c r="DD45" s="905">
        <v>47.000676532041282</v>
      </c>
      <c r="DE45" s="905">
        <v>47.12351583769518</v>
      </c>
      <c r="DF45" s="905">
        <v>47.245408322453102</v>
      </c>
      <c r="DG45" s="905">
        <v>47.366356418074787</v>
      </c>
      <c r="DH45" s="905">
        <v>47.486362649533199</v>
      </c>
      <c r="DI45" s="905">
        <v>47.605429632738996</v>
      </c>
      <c r="DJ45" s="905">
        <v>47.723560072298461</v>
      </c>
      <c r="DK45" s="905">
        <v>47.840756759306046</v>
      </c>
      <c r="DL45" s="905">
        <v>47.957022569171066</v>
      </c>
      <c r="DM45" s="905">
        <v>48.072360459475703</v>
      </c>
      <c r="DN45" s="905">
        <v>48.186773467867788</v>
      </c>
      <c r="DO45" s="905">
        <v>48.300264709983182</v>
      </c>
      <c r="DP45" s="905">
        <v>48.412837377400919</v>
      </c>
      <c r="DQ45" s="905">
        <v>48.524494735628636</v>
      </c>
      <c r="DR45" s="905">
        <v>48.63524012211802</v>
      </c>
      <c r="DS45" s="905">
        <v>48.74507694431064</v>
      </c>
      <c r="DT45" s="905">
        <v>48.854008677712081</v>
      </c>
      <c r="DU45" s="905">
        <v>48.96203886399524</v>
      </c>
    </row>
    <row r="46" spans="1:125" s="127" customFormat="1" ht="12.75">
      <c r="A46" s="908">
        <v>44</v>
      </c>
      <c r="B46" s="905"/>
      <c r="C46" s="905"/>
      <c r="D46" s="905"/>
      <c r="E46" s="905"/>
      <c r="F46" s="905"/>
      <c r="G46" s="905"/>
      <c r="H46" s="905"/>
      <c r="I46" s="905"/>
      <c r="J46" s="905"/>
      <c r="K46" s="905"/>
      <c r="L46" s="905"/>
      <c r="M46" s="905"/>
      <c r="N46" s="905"/>
      <c r="O46" s="905"/>
      <c r="P46" s="905"/>
      <c r="Q46" s="905"/>
      <c r="R46" s="905"/>
      <c r="S46" s="905"/>
      <c r="T46" s="905"/>
      <c r="U46" s="905"/>
      <c r="V46" s="905"/>
      <c r="W46" s="905"/>
      <c r="X46" s="905"/>
      <c r="Y46" s="905">
        <v>34.131904871758607</v>
      </c>
      <c r="Z46" s="905">
        <v>34.366469244440971</v>
      </c>
      <c r="AA46" s="905">
        <v>34.537534093549567</v>
      </c>
      <c r="AB46" s="905">
        <v>34.701175781955499</v>
      </c>
      <c r="AC46" s="905">
        <v>34.811999503204476</v>
      </c>
      <c r="AD46" s="905">
        <v>34.837654324509721</v>
      </c>
      <c r="AE46" s="905">
        <v>34.98555306530217</v>
      </c>
      <c r="AF46" s="905">
        <v>35.176357059969497</v>
      </c>
      <c r="AG46" s="905">
        <v>35.389085314518638</v>
      </c>
      <c r="AH46" s="905">
        <v>35.610588258044331</v>
      </c>
      <c r="AI46" s="905">
        <v>35.823047329180604</v>
      </c>
      <c r="AJ46" s="905">
        <v>36.10010827340308</v>
      </c>
      <c r="AK46" s="905">
        <v>36.357121077016231</v>
      </c>
      <c r="AL46" s="905">
        <v>36.660797299817446</v>
      </c>
      <c r="AM46" s="905">
        <v>36.941656714251131</v>
      </c>
      <c r="AN46" s="905">
        <v>37.138159268997669</v>
      </c>
      <c r="AO46" s="905">
        <v>37.276451926540716</v>
      </c>
      <c r="AP46" s="905">
        <v>37.409965747072299</v>
      </c>
      <c r="AQ46" s="905">
        <v>37.502428410936886</v>
      </c>
      <c r="AR46" s="905">
        <v>37.630502258535067</v>
      </c>
      <c r="AS46" s="905">
        <v>37.635661855153714</v>
      </c>
      <c r="AT46" s="905">
        <v>37.631318386943732</v>
      </c>
      <c r="AU46" s="905">
        <v>37.67122650414084</v>
      </c>
      <c r="AV46" s="905">
        <v>37.724616670353427</v>
      </c>
      <c r="AW46" s="905">
        <v>37.948177352437568</v>
      </c>
      <c r="AX46" s="905">
        <v>38.016726017425704</v>
      </c>
      <c r="AY46" s="905">
        <v>38.119528188934112</v>
      </c>
      <c r="AZ46" s="905">
        <v>38.199070339667728</v>
      </c>
      <c r="BA46" s="905">
        <v>38.276814190272134</v>
      </c>
      <c r="BB46" s="905">
        <v>38.386528351633501</v>
      </c>
      <c r="BC46" s="905">
        <v>38.49330636822409</v>
      </c>
      <c r="BD46" s="905">
        <v>38.593319257051235</v>
      </c>
      <c r="BE46" s="905">
        <v>38.7315620006231</v>
      </c>
      <c r="BF46" s="905">
        <v>38.85967742319653</v>
      </c>
      <c r="BG46" s="905">
        <v>38.995612750682156</v>
      </c>
      <c r="BH46" s="905">
        <v>39.183684966475219</v>
      </c>
      <c r="BI46" s="905">
        <v>39.31544695499268</v>
      </c>
      <c r="BJ46" s="905">
        <v>39.47788647787992</v>
      </c>
      <c r="BK46" s="905">
        <v>39.62264753474868</v>
      </c>
      <c r="BL46" s="905">
        <v>39.814161069952021</v>
      </c>
      <c r="BM46" s="905">
        <v>39.990799887369704</v>
      </c>
      <c r="BN46" s="905">
        <v>40.158493510627849</v>
      </c>
      <c r="BO46" s="905">
        <v>40.297735405722534</v>
      </c>
      <c r="BP46" s="905">
        <v>40.462511038588936</v>
      </c>
      <c r="BQ46" s="905">
        <v>40.611941405543206</v>
      </c>
      <c r="BR46" s="905">
        <v>40.768900146976456</v>
      </c>
      <c r="BS46" s="905">
        <v>40.909478721456026</v>
      </c>
      <c r="BT46" s="905">
        <v>41.055473072573882</v>
      </c>
      <c r="BU46" s="905">
        <v>41.190015018859725</v>
      </c>
      <c r="BV46" s="905">
        <v>41.343866322621224</v>
      </c>
      <c r="BW46" s="905">
        <v>41.496959114663845</v>
      </c>
      <c r="BX46" s="905">
        <v>41.63898973678458</v>
      </c>
      <c r="BY46" s="905">
        <v>41.785573760346679</v>
      </c>
      <c r="BZ46" s="905">
        <v>41.930912089519154</v>
      </c>
      <c r="CA46" s="905">
        <v>42.073516520604876</v>
      </c>
      <c r="CB46" s="905">
        <v>42.225265295565571</v>
      </c>
      <c r="CC46" s="905">
        <v>42.374292396541044</v>
      </c>
      <c r="CD46" s="905">
        <v>42.522352214476726</v>
      </c>
      <c r="CE46" s="905">
        <v>42.669444117538234</v>
      </c>
      <c r="CF46" s="905">
        <v>42.815567768684474</v>
      </c>
      <c r="CG46" s="905">
        <v>42.960723125232846</v>
      </c>
      <c r="CH46" s="905">
        <v>43.104910432945474</v>
      </c>
      <c r="CI46" s="905">
        <v>43.248130208226016</v>
      </c>
      <c r="CJ46" s="905">
        <v>43.390383197889747</v>
      </c>
      <c r="CK46" s="905">
        <v>43.53167030199846</v>
      </c>
      <c r="CL46" s="905">
        <v>43.671992507623251</v>
      </c>
      <c r="CM46" s="905">
        <v>43.811350841834724</v>
      </c>
      <c r="CN46" s="905">
        <v>43.949746336057316</v>
      </c>
      <c r="CO46" s="905">
        <v>44.087180007560178</v>
      </c>
      <c r="CP46" s="905">
        <v>44.223655495201982</v>
      </c>
      <c r="CQ46" s="905">
        <v>44.359173231747945</v>
      </c>
      <c r="CR46" s="905">
        <v>44.493733785815166</v>
      </c>
      <c r="CS46" s="905">
        <v>44.627337859002409</v>
      </c>
      <c r="CT46" s="905">
        <v>44.759986283059831</v>
      </c>
      <c r="CU46" s="905">
        <v>44.891680017098864</v>
      </c>
      <c r="CV46" s="905">
        <v>45.022420144841931</v>
      </c>
      <c r="CW46" s="905">
        <v>45.152207871911159</v>
      </c>
      <c r="CX46" s="905">
        <v>45.281044523156822</v>
      </c>
      <c r="CY46" s="905">
        <v>45.408931540024383</v>
      </c>
      <c r="CZ46" s="905">
        <v>45.535870477960287</v>
      </c>
      <c r="DA46" s="905">
        <v>45.661863003856162</v>
      </c>
      <c r="DB46" s="905">
        <v>45.786910893530425</v>
      </c>
      <c r="DC46" s="905">
        <v>45.911016029247442</v>
      </c>
      <c r="DD46" s="905">
        <v>46.034180397273573</v>
      </c>
      <c r="DE46" s="905">
        <v>46.156406085470124</v>
      </c>
      <c r="DF46" s="905">
        <v>46.277695280921037</v>
      </c>
      <c r="DG46" s="905">
        <v>46.398050267597483</v>
      </c>
      <c r="DH46" s="905">
        <v>46.51747342405605</v>
      </c>
      <c r="DI46" s="905">
        <v>46.635967221172542</v>
      </c>
      <c r="DJ46" s="905">
        <v>46.753534219908431</v>
      </c>
      <c r="DK46" s="905">
        <v>46.870177069111179</v>
      </c>
      <c r="DL46" s="905">
        <v>46.98589850334794</v>
      </c>
      <c r="DM46" s="905">
        <v>47.10070134076966</v>
      </c>
      <c r="DN46" s="905">
        <v>47.214588481009301</v>
      </c>
      <c r="DO46" s="905">
        <v>47.327562903108998</v>
      </c>
      <c r="DP46" s="905">
        <v>47.439627663479087</v>
      </c>
      <c r="DQ46" s="905">
        <v>47.550785893886797</v>
      </c>
      <c r="DR46" s="905">
        <v>47.661040799474385</v>
      </c>
      <c r="DS46" s="905">
        <v>47.770395656806812</v>
      </c>
      <c r="DT46" s="905">
        <v>47.878853811947245</v>
      </c>
      <c r="DU46" s="905">
        <v>47.986418678560923</v>
      </c>
    </row>
    <row r="47" spans="1:125" s="127" customFormat="1" ht="12.75">
      <c r="A47" s="908">
        <v>45</v>
      </c>
      <c r="B47" s="905"/>
      <c r="C47" s="905"/>
      <c r="D47" s="905"/>
      <c r="E47" s="905"/>
      <c r="F47" s="905"/>
      <c r="G47" s="905"/>
      <c r="H47" s="905"/>
      <c r="I47" s="905"/>
      <c r="J47" s="905"/>
      <c r="K47" s="905"/>
      <c r="L47" s="905"/>
      <c r="M47" s="905"/>
      <c r="N47" s="905"/>
      <c r="O47" s="905"/>
      <c r="P47" s="905"/>
      <c r="Q47" s="905"/>
      <c r="R47" s="905"/>
      <c r="S47" s="905"/>
      <c r="T47" s="905"/>
      <c r="U47" s="905"/>
      <c r="V47" s="905"/>
      <c r="W47" s="905"/>
      <c r="X47" s="905"/>
      <c r="Y47" s="905">
        <v>33.244765814793709</v>
      </c>
      <c r="Z47" s="905">
        <v>33.479730502441527</v>
      </c>
      <c r="AA47" s="905">
        <v>33.655776065563892</v>
      </c>
      <c r="AB47" s="905">
        <v>33.815634452197045</v>
      </c>
      <c r="AC47" s="905">
        <v>33.926799169988406</v>
      </c>
      <c r="AD47" s="905">
        <v>33.954280948814983</v>
      </c>
      <c r="AE47" s="905">
        <v>34.103125029901058</v>
      </c>
      <c r="AF47" s="905">
        <v>34.290420585880071</v>
      </c>
      <c r="AG47" s="905">
        <v>34.507900159411292</v>
      </c>
      <c r="AH47" s="905">
        <v>34.726899035989028</v>
      </c>
      <c r="AI47" s="905">
        <v>34.936277348746742</v>
      </c>
      <c r="AJ47" s="905">
        <v>35.216801513981004</v>
      </c>
      <c r="AK47" s="905">
        <v>35.467734249904581</v>
      </c>
      <c r="AL47" s="905">
        <v>35.77177123975531</v>
      </c>
      <c r="AM47" s="905">
        <v>36.049426707128191</v>
      </c>
      <c r="AN47" s="905">
        <v>36.245478271627377</v>
      </c>
      <c r="AO47" s="905">
        <v>36.378595343555553</v>
      </c>
      <c r="AP47" s="905">
        <v>36.506385199442633</v>
      </c>
      <c r="AQ47" s="905">
        <v>36.599069547641179</v>
      </c>
      <c r="AR47" s="905">
        <v>36.725562939840856</v>
      </c>
      <c r="AS47" s="905">
        <v>36.731846851503704</v>
      </c>
      <c r="AT47" s="905">
        <v>36.726795557786858</v>
      </c>
      <c r="AU47" s="905">
        <v>36.76763447823096</v>
      </c>
      <c r="AV47" s="905">
        <v>36.819846925780801</v>
      </c>
      <c r="AW47" s="905">
        <v>37.044186986917587</v>
      </c>
      <c r="AX47" s="905">
        <v>37.111370204404899</v>
      </c>
      <c r="AY47" s="905">
        <v>37.216422001933068</v>
      </c>
      <c r="AZ47" s="905">
        <v>37.295129128535663</v>
      </c>
      <c r="BA47" s="905">
        <v>37.374616690360824</v>
      </c>
      <c r="BB47" s="905">
        <v>37.477827478368695</v>
      </c>
      <c r="BC47" s="905">
        <v>37.582908335556404</v>
      </c>
      <c r="BD47" s="905">
        <v>37.678423759580078</v>
      </c>
      <c r="BE47" s="905">
        <v>37.816801291468153</v>
      </c>
      <c r="BF47" s="905">
        <v>37.944203946827088</v>
      </c>
      <c r="BG47" s="905">
        <v>38.075317237197673</v>
      </c>
      <c r="BH47" s="905">
        <v>38.264564467787132</v>
      </c>
      <c r="BI47" s="905">
        <v>38.389870265459521</v>
      </c>
      <c r="BJ47" s="905">
        <v>38.553118299055271</v>
      </c>
      <c r="BK47" s="905">
        <v>38.693482473813745</v>
      </c>
      <c r="BL47" s="905">
        <v>38.882861973971771</v>
      </c>
      <c r="BM47" s="905">
        <v>39.053457491769024</v>
      </c>
      <c r="BN47" s="905">
        <v>39.221588459267437</v>
      </c>
      <c r="BO47" s="905">
        <v>39.360392605182511</v>
      </c>
      <c r="BP47" s="905">
        <v>39.523059598840092</v>
      </c>
      <c r="BQ47" s="905">
        <v>39.672825235867691</v>
      </c>
      <c r="BR47" s="905">
        <v>39.826839008074259</v>
      </c>
      <c r="BS47" s="905">
        <v>39.965802319034012</v>
      </c>
      <c r="BT47" s="905">
        <v>40.110781384558109</v>
      </c>
      <c r="BU47" s="905">
        <v>40.24777552229223</v>
      </c>
      <c r="BV47" s="905">
        <v>40.399925708259765</v>
      </c>
      <c r="BW47" s="905">
        <v>40.551903443010218</v>
      </c>
      <c r="BX47" s="905">
        <v>40.692989504492218</v>
      </c>
      <c r="BY47" s="905">
        <v>40.838700183412747</v>
      </c>
      <c r="BZ47" s="905">
        <v>40.98890325906244</v>
      </c>
      <c r="CA47" s="905">
        <v>41.134457314919317</v>
      </c>
      <c r="CB47" s="905">
        <v>41.283438396907627</v>
      </c>
      <c r="CC47" s="905">
        <v>41.431468268669235</v>
      </c>
      <c r="CD47" s="905">
        <v>41.578545846614034</v>
      </c>
      <c r="CE47" s="905">
        <v>41.724670334151114</v>
      </c>
      <c r="CF47" s="905">
        <v>41.869841229885878</v>
      </c>
      <c r="CG47" s="905">
        <v>42.014058327156157</v>
      </c>
      <c r="CH47" s="905">
        <v>42.157321708085753</v>
      </c>
      <c r="CI47" s="905">
        <v>42.299631725745819</v>
      </c>
      <c r="CJ47" s="905">
        <v>42.440988963875938</v>
      </c>
      <c r="CK47" s="905">
        <v>42.581394159638187</v>
      </c>
      <c r="CL47" s="905">
        <v>42.720848137337811</v>
      </c>
      <c r="CM47" s="905">
        <v>42.859351761415972</v>
      </c>
      <c r="CN47" s="905">
        <v>42.996905900829915</v>
      </c>
      <c r="CO47" s="905">
        <v>43.1335146560167</v>
      </c>
      <c r="CP47" s="905">
        <v>43.269178158945678</v>
      </c>
      <c r="CQ47" s="905">
        <v>43.403896681181877</v>
      </c>
      <c r="CR47" s="905">
        <v>43.537670631006328</v>
      </c>
      <c r="CS47" s="905">
        <v>43.670500550575056</v>
      </c>
      <c r="CT47" s="905">
        <v>43.802387113117014</v>
      </c>
      <c r="CU47" s="905">
        <v>43.933331120171019</v>
      </c>
      <c r="CV47" s="905">
        <v>44.063333498861539</v>
      </c>
      <c r="CW47" s="905">
        <v>44.192395299212471</v>
      </c>
      <c r="CX47" s="905">
        <v>44.320517691499461</v>
      </c>
      <c r="CY47" s="905">
        <v>44.447701963639972</v>
      </c>
      <c r="CZ47" s="905">
        <v>44.573949518620921</v>
      </c>
      <c r="DA47" s="905">
        <v>44.699261871963905</v>
      </c>
      <c r="DB47" s="905">
        <v>44.823640649226633</v>
      </c>
      <c r="DC47" s="905">
        <v>44.947087583541062</v>
      </c>
      <c r="DD47" s="905">
        <v>45.069604513187443</v>
      </c>
      <c r="DE47" s="905">
        <v>45.191193379204222</v>
      </c>
      <c r="DF47" s="905">
        <v>45.311856223031832</v>
      </c>
      <c r="DG47" s="905">
        <v>45.431595184192489</v>
      </c>
      <c r="DH47" s="905">
        <v>45.550412498002501</v>
      </c>
      <c r="DI47" s="905">
        <v>45.668310493319503</v>
      </c>
      <c r="DJ47" s="905">
        <v>45.785291590321336</v>
      </c>
      <c r="DK47" s="905">
        <v>45.901358298317987</v>
      </c>
      <c r="DL47" s="905">
        <v>46.016513213596049</v>
      </c>
      <c r="DM47" s="905">
        <v>46.130759017292746</v>
      </c>
      <c r="DN47" s="905">
        <v>46.244098473303318</v>
      </c>
      <c r="DO47" s="905">
        <v>46.35653442621647</v>
      </c>
      <c r="DP47" s="905">
        <v>46.468069799280997</v>
      </c>
      <c r="DQ47" s="905">
        <v>46.578707592401358</v>
      </c>
      <c r="DR47" s="905">
        <v>46.688450880161739</v>
      </c>
      <c r="DS47" s="905">
        <v>46.797302809879227</v>
      </c>
      <c r="DT47" s="905">
        <v>46.905266599683948</v>
      </c>
      <c r="DU47" s="905">
        <v>47.012345536626889</v>
      </c>
    </row>
    <row r="48" spans="1:125" s="127" customFormat="1" ht="12.75">
      <c r="A48" s="908">
        <v>46</v>
      </c>
      <c r="B48" s="905"/>
      <c r="C48" s="905"/>
      <c r="D48" s="905"/>
      <c r="E48" s="905"/>
      <c r="F48" s="905"/>
      <c r="G48" s="905"/>
      <c r="H48" s="905"/>
      <c r="I48" s="905"/>
      <c r="J48" s="905"/>
      <c r="K48" s="905"/>
      <c r="L48" s="905"/>
      <c r="M48" s="905"/>
      <c r="N48" s="905"/>
      <c r="O48" s="905"/>
      <c r="P48" s="905"/>
      <c r="Q48" s="905"/>
      <c r="R48" s="905"/>
      <c r="S48" s="905"/>
      <c r="T48" s="905"/>
      <c r="U48" s="905"/>
      <c r="V48" s="905"/>
      <c r="W48" s="905"/>
      <c r="X48" s="905"/>
      <c r="Y48" s="905">
        <v>32.36464166432782</v>
      </c>
      <c r="Z48" s="905">
        <v>32.604731819102497</v>
      </c>
      <c r="AA48" s="905">
        <v>32.774966817675164</v>
      </c>
      <c r="AB48" s="905">
        <v>32.93701991410137</v>
      </c>
      <c r="AC48" s="905">
        <v>33.048777713219692</v>
      </c>
      <c r="AD48" s="905">
        <v>33.076356866785325</v>
      </c>
      <c r="AE48" s="905">
        <v>33.228930410171891</v>
      </c>
      <c r="AF48" s="905">
        <v>33.415265508880815</v>
      </c>
      <c r="AG48" s="905">
        <v>33.630815087620768</v>
      </c>
      <c r="AH48" s="905">
        <v>33.850658399421711</v>
      </c>
      <c r="AI48" s="905">
        <v>34.062109568398263</v>
      </c>
      <c r="AJ48" s="905">
        <v>34.337101541418079</v>
      </c>
      <c r="AK48" s="905">
        <v>34.587927777655125</v>
      </c>
      <c r="AL48" s="905">
        <v>34.888083245402555</v>
      </c>
      <c r="AM48" s="905">
        <v>35.161167866002977</v>
      </c>
      <c r="AN48" s="905">
        <v>35.354279476430577</v>
      </c>
      <c r="AO48" s="905">
        <v>35.48786653837243</v>
      </c>
      <c r="AP48" s="905">
        <v>35.612395401187072</v>
      </c>
      <c r="AQ48" s="905">
        <v>35.702523795496646</v>
      </c>
      <c r="AR48" s="905">
        <v>35.827011870915484</v>
      </c>
      <c r="AS48" s="905">
        <v>35.834048834960512</v>
      </c>
      <c r="AT48" s="905">
        <v>35.82842868129017</v>
      </c>
      <c r="AU48" s="905">
        <v>35.875778809088871</v>
      </c>
      <c r="AV48" s="905">
        <v>35.925425904092016</v>
      </c>
      <c r="AW48" s="905">
        <v>36.144022578245071</v>
      </c>
      <c r="AX48" s="905">
        <v>36.213776623673752</v>
      </c>
      <c r="AY48" s="905">
        <v>36.315350993276709</v>
      </c>
      <c r="AZ48" s="905">
        <v>36.394588777157395</v>
      </c>
      <c r="BA48" s="905">
        <v>36.474657327261788</v>
      </c>
      <c r="BB48" s="905">
        <v>36.573460124368737</v>
      </c>
      <c r="BC48" s="905">
        <v>36.67597449950506</v>
      </c>
      <c r="BD48" s="905">
        <v>36.771613420044645</v>
      </c>
      <c r="BE48" s="905">
        <v>36.906223801674329</v>
      </c>
      <c r="BF48" s="905">
        <v>37.034436936511369</v>
      </c>
      <c r="BG48" s="905">
        <v>37.166007438669908</v>
      </c>
      <c r="BH48" s="905">
        <v>37.347093808004466</v>
      </c>
      <c r="BI48" s="905">
        <v>37.470544015132617</v>
      </c>
      <c r="BJ48" s="905">
        <v>37.630383109219785</v>
      </c>
      <c r="BK48" s="905">
        <v>37.769986890956531</v>
      </c>
      <c r="BL48" s="905">
        <v>37.955263115793372</v>
      </c>
      <c r="BM48" s="905">
        <v>38.12384947573215</v>
      </c>
      <c r="BN48" s="905">
        <v>38.289290162580869</v>
      </c>
      <c r="BO48" s="905">
        <v>38.426947260763008</v>
      </c>
      <c r="BP48" s="905">
        <v>38.586746597725082</v>
      </c>
      <c r="BQ48" s="905">
        <v>38.73727733551506</v>
      </c>
      <c r="BR48" s="905">
        <v>38.888185700959326</v>
      </c>
      <c r="BS48" s="905">
        <v>39.027385919091927</v>
      </c>
      <c r="BT48" s="905">
        <v>39.172175823197989</v>
      </c>
      <c r="BU48" s="905">
        <v>39.30960222033309</v>
      </c>
      <c r="BV48" s="905">
        <v>39.462249873299058</v>
      </c>
      <c r="BW48" s="905">
        <v>39.608359869993535</v>
      </c>
      <c r="BX48" s="905">
        <v>39.750464588257856</v>
      </c>
      <c r="BY48" s="905">
        <v>39.900103050897187</v>
      </c>
      <c r="BZ48" s="905">
        <v>40.047823675010775</v>
      </c>
      <c r="CA48" s="905">
        <v>40.196695120795518</v>
      </c>
      <c r="CB48" s="905">
        <v>40.344632085870956</v>
      </c>
      <c r="CC48" s="905">
        <v>40.491633043081592</v>
      </c>
      <c r="CD48" s="905">
        <v>40.637696753016684</v>
      </c>
      <c r="CE48" s="905">
        <v>40.782822263404029</v>
      </c>
      <c r="CF48" s="905">
        <v>40.927008917287921</v>
      </c>
      <c r="CG48" s="905">
        <v>41.070256352534599</v>
      </c>
      <c r="CH48" s="905">
        <v>41.212564495851858</v>
      </c>
      <c r="CI48" s="905">
        <v>41.353933544913161</v>
      </c>
      <c r="CJ48" s="905">
        <v>41.49436392802717</v>
      </c>
      <c r="CK48" s="905">
        <v>41.633856226805605</v>
      </c>
      <c r="CL48" s="905">
        <v>41.772411109840029</v>
      </c>
      <c r="CM48" s="905">
        <v>41.910029285698471</v>
      </c>
      <c r="CN48" s="905">
        <v>42.0467154597996</v>
      </c>
      <c r="CO48" s="905">
        <v>42.182469465076437</v>
      </c>
      <c r="CP48" s="905">
        <v>42.317291277541386</v>
      </c>
      <c r="CQ48" s="905">
        <v>42.451181013403286</v>
      </c>
      <c r="CR48" s="905">
        <v>42.58413892622255</v>
      </c>
      <c r="CS48" s="905">
        <v>42.716165404104132</v>
      </c>
      <c r="CT48" s="905">
        <v>42.847260966928047</v>
      </c>
      <c r="CU48" s="905">
        <v>42.977426263618099</v>
      </c>
      <c r="CV48" s="905">
        <v>43.106662069448163</v>
      </c>
      <c r="CW48" s="905">
        <v>43.234969283385496</v>
      </c>
      <c r="CX48" s="905">
        <v>43.36234892547148</v>
      </c>
      <c r="CY48" s="905">
        <v>43.488802134239094</v>
      </c>
      <c r="CZ48" s="905">
        <v>43.614330164166823</v>
      </c>
      <c r="DA48" s="905">
        <v>43.73893438316918</v>
      </c>
      <c r="DB48" s="905">
        <v>43.862616270122345</v>
      </c>
      <c r="DC48" s="905">
        <v>43.985377412425549</v>
      </c>
      <c r="DD48" s="905">
        <v>44.107219503597221</v>
      </c>
      <c r="DE48" s="905">
        <v>44.228144340906212</v>
      </c>
      <c r="DF48" s="905">
        <v>44.348153823035688</v>
      </c>
      <c r="DG48" s="905">
        <v>44.467249947782165</v>
      </c>
      <c r="DH48" s="905">
        <v>44.585434809786108</v>
      </c>
      <c r="DI48" s="905">
        <v>44.702710598296505</v>
      </c>
      <c r="DJ48" s="905">
        <v>44.819079594966126</v>
      </c>
      <c r="DK48" s="905">
        <v>44.934544171678951</v>
      </c>
      <c r="DL48" s="905">
        <v>45.049106788409162</v>
      </c>
      <c r="DM48" s="905">
        <v>45.162769991109002</v>
      </c>
      <c r="DN48" s="905">
        <v>45.275536409628899</v>
      </c>
      <c r="DO48" s="905">
        <v>45.38740875566495</v>
      </c>
      <c r="DP48" s="905">
        <v>45.498389820736747</v>
      </c>
      <c r="DQ48" s="905">
        <v>45.608482474193337</v>
      </c>
      <c r="DR48" s="905">
        <v>45.71768966124678</v>
      </c>
      <c r="DS48" s="905">
        <v>45.826014401034243</v>
      </c>
      <c r="DT48" s="905">
        <v>45.933459784706073</v>
      </c>
      <c r="DU48" s="905">
        <v>46.040028973541098</v>
      </c>
    </row>
    <row r="49" spans="1:125" s="127" customFormat="1" ht="12.75">
      <c r="A49" s="908">
        <v>47</v>
      </c>
      <c r="B49" s="905"/>
      <c r="C49" s="905"/>
      <c r="D49" s="905"/>
      <c r="E49" s="905"/>
      <c r="F49" s="905"/>
      <c r="G49" s="905"/>
      <c r="H49" s="905"/>
      <c r="I49" s="905"/>
      <c r="J49" s="905"/>
      <c r="K49" s="905"/>
      <c r="L49" s="905"/>
      <c r="M49" s="905"/>
      <c r="N49" s="905"/>
      <c r="O49" s="905"/>
      <c r="P49" s="905"/>
      <c r="Q49" s="905"/>
      <c r="R49" s="905"/>
      <c r="S49" s="905"/>
      <c r="T49" s="905"/>
      <c r="U49" s="905"/>
      <c r="V49" s="905"/>
      <c r="W49" s="905"/>
      <c r="X49" s="905"/>
      <c r="Y49" s="905">
        <v>31.500543976822197</v>
      </c>
      <c r="Z49" s="905">
        <v>31.73509020144024</v>
      </c>
      <c r="AA49" s="905">
        <v>31.908025906593597</v>
      </c>
      <c r="AB49" s="905">
        <v>32.065985697891861</v>
      </c>
      <c r="AC49" s="905">
        <v>32.178820203161095</v>
      </c>
      <c r="AD49" s="905">
        <v>32.207024272848656</v>
      </c>
      <c r="AE49" s="905">
        <v>32.359675663306867</v>
      </c>
      <c r="AF49" s="905">
        <v>32.545841751837727</v>
      </c>
      <c r="AG49" s="905">
        <v>32.762728882254422</v>
      </c>
      <c r="AH49" s="905">
        <v>32.978129881504074</v>
      </c>
      <c r="AI49" s="905">
        <v>33.189448727058007</v>
      </c>
      <c r="AJ49" s="905">
        <v>33.461511306905834</v>
      </c>
      <c r="AK49" s="905">
        <v>33.712095430262565</v>
      </c>
      <c r="AL49" s="905">
        <v>34.007281652509086</v>
      </c>
      <c r="AM49" s="905">
        <v>34.275508336856063</v>
      </c>
      <c r="AN49" s="905">
        <v>34.470297979841249</v>
      </c>
      <c r="AO49" s="905">
        <v>34.600493624013893</v>
      </c>
      <c r="AP49" s="905">
        <v>34.723637404061492</v>
      </c>
      <c r="AQ49" s="905">
        <v>34.813069986265191</v>
      </c>
      <c r="AR49" s="905">
        <v>34.938896087982435</v>
      </c>
      <c r="AS49" s="905">
        <v>34.942168189890815</v>
      </c>
      <c r="AT49" s="905">
        <v>34.942122027802625</v>
      </c>
      <c r="AU49" s="905">
        <v>34.988984445981899</v>
      </c>
      <c r="AV49" s="905">
        <v>35.035433943842349</v>
      </c>
      <c r="AW49" s="905">
        <v>35.249640709622568</v>
      </c>
      <c r="AX49" s="905">
        <v>35.318003358903496</v>
      </c>
      <c r="AY49" s="905">
        <v>35.417722257187769</v>
      </c>
      <c r="AZ49" s="905">
        <v>35.497851667304403</v>
      </c>
      <c r="BA49" s="905">
        <v>35.575616954281898</v>
      </c>
      <c r="BB49" s="905">
        <v>35.671712335972913</v>
      </c>
      <c r="BC49" s="905">
        <v>35.773821493315772</v>
      </c>
      <c r="BD49" s="905">
        <v>35.869307166697638</v>
      </c>
      <c r="BE49" s="905">
        <v>35.999303834460378</v>
      </c>
      <c r="BF49" s="905">
        <v>36.131278537485876</v>
      </c>
      <c r="BG49" s="905">
        <v>36.25868454689811</v>
      </c>
      <c r="BH49" s="905">
        <v>36.434583607437929</v>
      </c>
      <c r="BI49" s="905">
        <v>36.555883598810873</v>
      </c>
      <c r="BJ49" s="905">
        <v>36.711185827237202</v>
      </c>
      <c r="BK49" s="905">
        <v>36.850418417442455</v>
      </c>
      <c r="BL49" s="905">
        <v>37.034545007270118</v>
      </c>
      <c r="BM49" s="905">
        <v>37.197890756240568</v>
      </c>
      <c r="BN49" s="905">
        <v>37.3600205407527</v>
      </c>
      <c r="BO49" s="905">
        <v>37.497323242159133</v>
      </c>
      <c r="BP49" s="905">
        <v>37.657293034548928</v>
      </c>
      <c r="BQ49" s="905">
        <v>37.803217115705877</v>
      </c>
      <c r="BR49" s="905">
        <v>37.955544650238124</v>
      </c>
      <c r="BS49" s="905">
        <v>38.091730695164372</v>
      </c>
      <c r="BT49" s="905">
        <v>38.238464045315382</v>
      </c>
      <c r="BU49" s="905">
        <v>38.374182280298569</v>
      </c>
      <c r="BV49" s="905">
        <v>38.524413927741577</v>
      </c>
      <c r="BW49" s="905">
        <v>38.670558716884976</v>
      </c>
      <c r="BX49" s="905">
        <v>38.815603847063116</v>
      </c>
      <c r="BY49" s="905">
        <v>38.965940999205536</v>
      </c>
      <c r="BZ49" s="905">
        <v>39.114632163075171</v>
      </c>
      <c r="CA49" s="905">
        <v>39.262406355494988</v>
      </c>
      <c r="CB49" s="905">
        <v>39.409261536144768</v>
      </c>
      <c r="CC49" s="905">
        <v>39.55519603095658</v>
      </c>
      <c r="CD49" s="905">
        <v>39.700208453511962</v>
      </c>
      <c r="CE49" s="905">
        <v>39.844297704389199</v>
      </c>
      <c r="CF49" s="905">
        <v>39.98746297932027</v>
      </c>
      <c r="CG49" s="905">
        <v>40.129703768663333</v>
      </c>
      <c r="CH49" s="905">
        <v>40.271019851385297</v>
      </c>
      <c r="CI49" s="905">
        <v>40.411411277146115</v>
      </c>
      <c r="CJ49" s="905">
        <v>40.550878325912706</v>
      </c>
      <c r="CK49" s="905">
        <v>40.689421430534026</v>
      </c>
      <c r="CL49" s="905">
        <v>40.827041110370679</v>
      </c>
      <c r="CM49" s="905">
        <v>40.963742802556112</v>
      </c>
      <c r="CN49" s="905">
        <v>41.09952604295168</v>
      </c>
      <c r="CO49" s="905">
        <v>41.234390513704525</v>
      </c>
      <c r="CP49" s="905">
        <v>41.368336040369265</v>
      </c>
      <c r="CQ49" s="905">
        <v>41.501362589065828</v>
      </c>
      <c r="CR49" s="905">
        <v>41.633470263674226</v>
      </c>
      <c r="CS49" s="905">
        <v>41.764659303065983</v>
      </c>
      <c r="CT49" s="905">
        <v>41.894930078372127</v>
      </c>
      <c r="CU49" s="905">
        <v>42.024283090288179</v>
      </c>
      <c r="CV49" s="905">
        <v>42.152718966415691</v>
      </c>
      <c r="CW49" s="905">
        <v>42.280238458639559</v>
      </c>
      <c r="CX49" s="905">
        <v>42.406842440541809</v>
      </c>
      <c r="CY49" s="905">
        <v>42.532531904850927</v>
      </c>
      <c r="CZ49" s="905">
        <v>42.657307960926559</v>
      </c>
      <c r="DA49" s="905">
        <v>42.781171832279696</v>
      </c>
      <c r="DB49" s="905">
        <v>42.904124854126984</v>
      </c>
      <c r="DC49" s="905">
        <v>43.026168470979606</v>
      </c>
      <c r="DD49" s="905">
        <v>43.14730423426596</v>
      </c>
      <c r="DE49" s="905">
        <v>43.267533799988286</v>
      </c>
      <c r="DF49" s="905">
        <v>43.386858926410937</v>
      </c>
      <c r="DG49" s="905">
        <v>43.50528147178288</v>
      </c>
      <c r="DH49" s="905">
        <v>43.622803392090589</v>
      </c>
      <c r="DI49" s="905">
        <v>43.739426738843974</v>
      </c>
      <c r="DJ49" s="905">
        <v>43.855153656892099</v>
      </c>
      <c r="DK49" s="905">
        <v>43.969986382269965</v>
      </c>
      <c r="DL49" s="905">
        <v>44.083927240076036</v>
      </c>
      <c r="DM49" s="905">
        <v>44.196978642377559</v>
      </c>
      <c r="DN49" s="905">
        <v>44.309143086147401</v>
      </c>
      <c r="DO49" s="905">
        <v>44.420423151227169</v>
      </c>
      <c r="DP49" s="905">
        <v>44.530821498319952</v>
      </c>
      <c r="DQ49" s="905">
        <v>44.640340867010181</v>
      </c>
      <c r="DR49" s="905">
        <v>44.748984073810334</v>
      </c>
      <c r="DS49" s="905">
        <v>44.856754010235385</v>
      </c>
      <c r="DT49" s="905">
        <v>44.963653640902258</v>
      </c>
      <c r="DU49" s="905">
        <v>45.069686001655896</v>
      </c>
    </row>
    <row r="50" spans="1:125" s="127" customFormat="1" ht="12.75">
      <c r="A50" s="908">
        <v>48</v>
      </c>
      <c r="B50" s="905"/>
      <c r="C50" s="905"/>
      <c r="D50" s="905"/>
      <c r="E50" s="905"/>
      <c r="F50" s="905"/>
      <c r="G50" s="905"/>
      <c r="H50" s="905"/>
      <c r="I50" s="905"/>
      <c r="J50" s="905"/>
      <c r="K50" s="905"/>
      <c r="L50" s="905"/>
      <c r="M50" s="905"/>
      <c r="N50" s="905"/>
      <c r="O50" s="905"/>
      <c r="P50" s="905"/>
      <c r="Q50" s="905"/>
      <c r="R50" s="905"/>
      <c r="S50" s="905"/>
      <c r="T50" s="905"/>
      <c r="U50" s="905"/>
      <c r="V50" s="905"/>
      <c r="W50" s="905"/>
      <c r="X50" s="905"/>
      <c r="Y50" s="905">
        <v>30.63594711919793</v>
      </c>
      <c r="Z50" s="905">
        <v>30.86843146041339</v>
      </c>
      <c r="AA50" s="905">
        <v>31.043139019114321</v>
      </c>
      <c r="AB50" s="905">
        <v>31.205253162623055</v>
      </c>
      <c r="AC50" s="905">
        <v>31.316129392689952</v>
      </c>
      <c r="AD50" s="905">
        <v>31.347066810197781</v>
      </c>
      <c r="AE50" s="905">
        <v>31.498761548136308</v>
      </c>
      <c r="AF50" s="905">
        <v>31.685900531423048</v>
      </c>
      <c r="AG50" s="905">
        <v>31.902561811783293</v>
      </c>
      <c r="AH50" s="905">
        <v>32.116173359407824</v>
      </c>
      <c r="AI50" s="905">
        <v>32.323628044170547</v>
      </c>
      <c r="AJ50" s="905">
        <v>32.593645985105468</v>
      </c>
      <c r="AK50" s="905">
        <v>32.839702862165097</v>
      </c>
      <c r="AL50" s="905">
        <v>33.132990020427783</v>
      </c>
      <c r="AM50" s="905">
        <v>33.397505824728647</v>
      </c>
      <c r="AN50" s="905">
        <v>33.589654869459679</v>
      </c>
      <c r="AO50" s="905">
        <v>33.719055198482479</v>
      </c>
      <c r="AP50" s="905">
        <v>33.841576457917952</v>
      </c>
      <c r="AQ50" s="905">
        <v>33.930992729198955</v>
      </c>
      <c r="AR50" s="905">
        <v>34.053614863480604</v>
      </c>
      <c r="AS50" s="905">
        <v>34.059661891193876</v>
      </c>
      <c r="AT50" s="905">
        <v>34.05924532613534</v>
      </c>
      <c r="AU50" s="905">
        <v>34.105816116170558</v>
      </c>
      <c r="AV50" s="905">
        <v>34.149495999972132</v>
      </c>
      <c r="AW50" s="905">
        <v>34.365527668490067</v>
      </c>
      <c r="AX50" s="905">
        <v>34.429686483113883</v>
      </c>
      <c r="AY50" s="905">
        <v>34.525146820144158</v>
      </c>
      <c r="AZ50" s="905">
        <v>34.603381788670937</v>
      </c>
      <c r="BA50" s="905">
        <v>34.677253125597311</v>
      </c>
      <c r="BB50" s="905">
        <v>34.776224756338081</v>
      </c>
      <c r="BC50" s="905">
        <v>34.874395671386644</v>
      </c>
      <c r="BD50" s="905">
        <v>34.972181943445989</v>
      </c>
      <c r="BE50" s="905">
        <v>35.101950720631237</v>
      </c>
      <c r="BF50" s="905">
        <v>35.227573136593676</v>
      </c>
      <c r="BG50" s="905">
        <v>35.354400947611552</v>
      </c>
      <c r="BH50" s="905">
        <v>35.52673452764796</v>
      </c>
      <c r="BI50" s="905">
        <v>35.645840903430745</v>
      </c>
      <c r="BJ50" s="905">
        <v>35.799423052485167</v>
      </c>
      <c r="BK50" s="905">
        <v>35.935068186748609</v>
      </c>
      <c r="BL50" s="905">
        <v>36.116803215436875</v>
      </c>
      <c r="BM50" s="905">
        <v>36.279754982384745</v>
      </c>
      <c r="BN50" s="905">
        <v>36.437981093022756</v>
      </c>
      <c r="BO50" s="905">
        <v>36.574669748164624</v>
      </c>
      <c r="BP50" s="905">
        <v>36.728114077820479</v>
      </c>
      <c r="BQ50" s="905">
        <v>36.878426099000137</v>
      </c>
      <c r="BR50" s="905">
        <v>37.026066966223212</v>
      </c>
      <c r="BS50" s="905">
        <v>37.161835920873088</v>
      </c>
      <c r="BT50" s="905">
        <v>37.306742971655325</v>
      </c>
      <c r="BU50" s="905">
        <v>37.444203240637663</v>
      </c>
      <c r="BV50" s="905">
        <v>37.589583475433699</v>
      </c>
      <c r="BW50" s="905">
        <v>37.739624183118949</v>
      </c>
      <c r="BX50" s="905">
        <v>37.889397089208245</v>
      </c>
      <c r="BY50" s="905">
        <v>38.037830319290009</v>
      </c>
      <c r="BZ50" s="905">
        <v>38.185365019757718</v>
      </c>
      <c r="CA50" s="905">
        <v>38.331998530873236</v>
      </c>
      <c r="CB50" s="905">
        <v>38.477728674205466</v>
      </c>
      <c r="CC50" s="905">
        <v>38.622553637459347</v>
      </c>
      <c r="CD50" s="905">
        <v>38.766471895616988</v>
      </c>
      <c r="CE50" s="905">
        <v>38.909482210233101</v>
      </c>
      <c r="CF50" s="905">
        <v>39.051583637568399</v>
      </c>
      <c r="CG50" s="905">
        <v>39.192775528025308</v>
      </c>
      <c r="CH50" s="905">
        <v>39.333057520089831</v>
      </c>
      <c r="CI50" s="905">
        <v>39.472429522371954</v>
      </c>
      <c r="CJ50" s="905">
        <v>39.610891673159045</v>
      </c>
      <c r="CK50" s="905">
        <v>39.748444262889713</v>
      </c>
      <c r="CL50" s="905">
        <v>39.885093554573942</v>
      </c>
      <c r="CM50" s="905">
        <v>40.020838789309465</v>
      </c>
      <c r="CN50" s="905">
        <v>40.155679357392032</v>
      </c>
      <c r="CO50" s="905">
        <v>40.289614795447292</v>
      </c>
      <c r="CP50" s="905">
        <v>40.422644783599168</v>
      </c>
      <c r="CQ50" s="905">
        <v>40.554769142673237</v>
      </c>
      <c r="CR50" s="905">
        <v>40.685987831436051</v>
      </c>
      <c r="CS50" s="905">
        <v>40.81630094386982</v>
      </c>
      <c r="CT50" s="905">
        <v>40.945708706482677</v>
      </c>
      <c r="CU50" s="905">
        <v>41.074211475654693</v>
      </c>
      <c r="CV50" s="905">
        <v>41.201809735019346</v>
      </c>
      <c r="CW50" s="905">
        <v>41.328504092879619</v>
      </c>
      <c r="CX50" s="905">
        <v>41.454295279659405</v>
      </c>
      <c r="CY50" s="905">
        <v>41.579184145389334</v>
      </c>
      <c r="CZ50" s="905">
        <v>41.703171657226861</v>
      </c>
      <c r="DA50" s="905">
        <v>41.826258897010675</v>
      </c>
      <c r="DB50" s="905">
        <v>41.94844705884806</v>
      </c>
      <c r="DC50" s="905">
        <v>42.069737446735815</v>
      </c>
      <c r="DD50" s="905">
        <v>42.190131472213821</v>
      </c>
      <c r="DE50" s="905">
        <v>42.309630652051396</v>
      </c>
      <c r="DF50" s="905">
        <v>42.428236605964315</v>
      </c>
      <c r="DG50" s="905">
        <v>42.545951054364842</v>
      </c>
      <c r="DH50" s="905">
        <v>42.662775816141306</v>
      </c>
      <c r="DI50" s="905">
        <v>42.778712806469379</v>
      </c>
      <c r="DJ50" s="905">
        <v>42.893764034652378</v>
      </c>
      <c r="DK50" s="905">
        <v>43.007931601991451</v>
      </c>
      <c r="DL50" s="905">
        <v>43.121217699685474</v>
      </c>
      <c r="DM50" s="905">
        <v>43.233624606757942</v>
      </c>
      <c r="DN50" s="905">
        <v>43.345154688014134</v>
      </c>
      <c r="DO50" s="905">
        <v>43.455810392023864</v>
      </c>
      <c r="DP50" s="905">
        <v>43.565594249132673</v>
      </c>
      <c r="DQ50" s="905">
        <v>43.674508869499434</v>
      </c>
      <c r="DR50" s="905">
        <v>43.782556941159726</v>
      </c>
      <c r="DS50" s="905">
        <v>43.889741228116108</v>
      </c>
      <c r="DT50" s="905">
        <v>43.996064568452653</v>
      </c>
      <c r="DU50" s="905">
        <v>44.101529872474998</v>
      </c>
    </row>
    <row r="51" spans="1:125" s="127" customFormat="1" ht="12.75">
      <c r="A51" s="908">
        <v>49</v>
      </c>
      <c r="B51" s="905"/>
      <c r="C51" s="905"/>
      <c r="D51" s="905"/>
      <c r="E51" s="905"/>
      <c r="F51" s="905"/>
      <c r="G51" s="905"/>
      <c r="H51" s="905"/>
      <c r="I51" s="905"/>
      <c r="J51" s="905"/>
      <c r="K51" s="905"/>
      <c r="L51" s="905"/>
      <c r="M51" s="905"/>
      <c r="N51" s="905"/>
      <c r="O51" s="905"/>
      <c r="P51" s="905"/>
      <c r="Q51" s="905"/>
      <c r="R51" s="905"/>
      <c r="S51" s="905"/>
      <c r="T51" s="905"/>
      <c r="U51" s="905"/>
      <c r="V51" s="905"/>
      <c r="W51" s="905"/>
      <c r="X51" s="905"/>
      <c r="Y51" s="905">
        <v>29.783206196233866</v>
      </c>
      <c r="Z51" s="905">
        <v>30.01459259144444</v>
      </c>
      <c r="AA51" s="905">
        <v>30.187732590576616</v>
      </c>
      <c r="AB51" s="905">
        <v>30.353997043584265</v>
      </c>
      <c r="AC51" s="905">
        <v>30.460459766579852</v>
      </c>
      <c r="AD51" s="905">
        <v>30.490484362818211</v>
      </c>
      <c r="AE51" s="905">
        <v>30.645475392003313</v>
      </c>
      <c r="AF51" s="905">
        <v>30.835004256244879</v>
      </c>
      <c r="AG51" s="905">
        <v>31.045425801670824</v>
      </c>
      <c r="AH51" s="905">
        <v>31.262521677466097</v>
      </c>
      <c r="AI51" s="905">
        <v>31.463412480746086</v>
      </c>
      <c r="AJ51" s="905">
        <v>31.726864356271861</v>
      </c>
      <c r="AK51" s="905">
        <v>31.972178831518136</v>
      </c>
      <c r="AL51" s="905">
        <v>32.265188048842404</v>
      </c>
      <c r="AM51" s="905">
        <v>32.526273175426766</v>
      </c>
      <c r="AN51" s="905">
        <v>32.718009721200964</v>
      </c>
      <c r="AO51" s="905">
        <v>32.845169456388248</v>
      </c>
      <c r="AP51" s="905">
        <v>32.963127545229923</v>
      </c>
      <c r="AQ51" s="905">
        <v>33.056193303028479</v>
      </c>
      <c r="AR51" s="905">
        <v>33.177950024553084</v>
      </c>
      <c r="AS51" s="905">
        <v>33.184996895501953</v>
      </c>
      <c r="AT51" s="905">
        <v>33.186460632365694</v>
      </c>
      <c r="AU51" s="905">
        <v>33.229924750806163</v>
      </c>
      <c r="AV51" s="905">
        <v>33.269007388116044</v>
      </c>
      <c r="AW51" s="905">
        <v>33.483322272441427</v>
      </c>
      <c r="AX51" s="905">
        <v>33.542406782191712</v>
      </c>
      <c r="AY51" s="905">
        <v>33.636327332772666</v>
      </c>
      <c r="AZ51" s="905">
        <v>33.715554788012653</v>
      </c>
      <c r="BA51" s="905">
        <v>33.78569536381174</v>
      </c>
      <c r="BB51" s="905">
        <v>33.886354171849881</v>
      </c>
      <c r="BC51" s="905">
        <v>33.982070006602726</v>
      </c>
      <c r="BD51" s="905">
        <v>34.078837384932996</v>
      </c>
      <c r="BE51" s="905">
        <v>34.206984037055044</v>
      </c>
      <c r="BF51" s="905">
        <v>34.327294338950736</v>
      </c>
      <c r="BG51" s="905">
        <v>34.454607929727374</v>
      </c>
      <c r="BH51" s="905">
        <v>34.620878864747816</v>
      </c>
      <c r="BI51" s="905">
        <v>34.740435889825136</v>
      </c>
      <c r="BJ51" s="905">
        <v>34.88978857020669</v>
      </c>
      <c r="BK51" s="905">
        <v>35.025134561913461</v>
      </c>
      <c r="BL51" s="905">
        <v>35.204048522142543</v>
      </c>
      <c r="BM51" s="905">
        <v>35.362165547191864</v>
      </c>
      <c r="BN51" s="905">
        <v>35.518901794149336</v>
      </c>
      <c r="BO51" s="905">
        <v>35.65390119296697</v>
      </c>
      <c r="BP51" s="905">
        <v>35.80657565340676</v>
      </c>
      <c r="BQ51" s="905">
        <v>35.956917256561603</v>
      </c>
      <c r="BR51" s="905">
        <v>36.103005754857193</v>
      </c>
      <c r="BS51" s="905">
        <v>36.237263665010133</v>
      </c>
      <c r="BT51" s="905">
        <v>36.38024534184995</v>
      </c>
      <c r="BU51" s="905">
        <v>36.5188221373662</v>
      </c>
      <c r="BV51" s="905">
        <v>36.66788032718943</v>
      </c>
      <c r="BW51" s="905">
        <v>36.818776955529884</v>
      </c>
      <c r="BX51" s="905">
        <v>36.966867768521951</v>
      </c>
      <c r="BY51" s="905">
        <v>37.114079562035236</v>
      </c>
      <c r="BZ51" s="905">
        <v>37.260408960995882</v>
      </c>
      <c r="CA51" s="905">
        <v>37.405853176139132</v>
      </c>
      <c r="CB51" s="905">
        <v>37.550409899557309</v>
      </c>
      <c r="CC51" s="905">
        <v>37.694077189109251</v>
      </c>
      <c r="CD51" s="905">
        <v>37.836853389280051</v>
      </c>
      <c r="CE51" s="905">
        <v>37.978737130418359</v>
      </c>
      <c r="CF51" s="905">
        <v>38.119727336842786</v>
      </c>
      <c r="CG51" s="905">
        <v>38.25982322623635</v>
      </c>
      <c r="CH51" s="905">
        <v>38.399024303542838</v>
      </c>
      <c r="CI51" s="905">
        <v>38.537330342958612</v>
      </c>
      <c r="CJ51" s="905">
        <v>38.674741347419342</v>
      </c>
      <c r="CK51" s="905">
        <v>38.811264457578773</v>
      </c>
      <c r="CL51" s="905">
        <v>38.946898622539287</v>
      </c>
      <c r="CM51" s="905">
        <v>39.081642943197096</v>
      </c>
      <c r="CN51" s="905">
        <v>39.215496669393531</v>
      </c>
      <c r="CO51" s="905">
        <v>39.348459197099785</v>
      </c>
      <c r="CP51" s="905">
        <v>39.480530065637012</v>
      </c>
      <c r="CQ51" s="905">
        <v>39.611708954930307</v>
      </c>
      <c r="CR51" s="905">
        <v>39.741995682797452</v>
      </c>
      <c r="CS51" s="905">
        <v>39.871390202271897</v>
      </c>
      <c r="CT51" s="905">
        <v>39.999892598960201</v>
      </c>
      <c r="CU51" s="905">
        <v>40.127503088433969</v>
      </c>
      <c r="CV51" s="905">
        <v>40.254222013656047</v>
      </c>
      <c r="CW51" s="905">
        <v>40.380049842440364</v>
      </c>
      <c r="CX51" s="905">
        <v>40.504987164945618</v>
      </c>
      <c r="CY51" s="905">
        <v>40.629034691202406</v>
      </c>
      <c r="CZ51" s="905">
        <v>40.75219324867335</v>
      </c>
      <c r="DA51" s="905">
        <v>40.874463779846394</v>
      </c>
      <c r="DB51" s="905">
        <v>40.995847339859864</v>
      </c>
      <c r="DC51" s="905">
        <v>41.116345094159939</v>
      </c>
      <c r="DD51" s="905">
        <v>41.235958316189567</v>
      </c>
      <c r="DE51" s="905">
        <v>41.354688385109071</v>
      </c>
      <c r="DF51" s="905">
        <v>41.472536783546275</v>
      </c>
      <c r="DG51" s="905">
        <v>41.58950509537847</v>
      </c>
      <c r="DH51" s="905">
        <v>41.705595003542797</v>
      </c>
      <c r="DI51" s="905">
        <v>41.820808287877313</v>
      </c>
      <c r="DJ51" s="905">
        <v>41.93514682298985</v>
      </c>
      <c r="DK51" s="905">
        <v>42.048612576155826</v>
      </c>
      <c r="DL51" s="905">
        <v>42.161207605244599</v>
      </c>
      <c r="DM51" s="905">
        <v>42.272934056671744</v>
      </c>
      <c r="DN51" s="905">
        <v>42.383794163380699</v>
      </c>
      <c r="DO51" s="905">
        <v>42.493790242848789</v>
      </c>
      <c r="DP51" s="905">
        <v>42.602924695120905</v>
      </c>
      <c r="DQ51" s="905">
        <v>42.711200000868388</v>
      </c>
      <c r="DR51" s="905">
        <v>42.81861871947288</v>
      </c>
      <c r="DS51" s="905">
        <v>42.925183487136053</v>
      </c>
      <c r="DT51" s="905">
        <v>43.030897015012599</v>
      </c>
      <c r="DU51" s="905">
        <v>43.135762087368008</v>
      </c>
    </row>
    <row r="52" spans="1:125" s="127" customFormat="1" ht="12.75">
      <c r="A52" s="908">
        <v>50</v>
      </c>
      <c r="B52" s="905"/>
      <c r="C52" s="905"/>
      <c r="D52" s="905"/>
      <c r="E52" s="905"/>
      <c r="F52" s="905"/>
      <c r="G52" s="905"/>
      <c r="H52" s="905"/>
      <c r="I52" s="905"/>
      <c r="J52" s="905"/>
      <c r="K52" s="905"/>
      <c r="L52" s="905"/>
      <c r="M52" s="905"/>
      <c r="N52" s="905"/>
      <c r="O52" s="905"/>
      <c r="P52" s="905"/>
      <c r="Q52" s="905"/>
      <c r="R52" s="905"/>
      <c r="S52" s="905"/>
      <c r="T52" s="905"/>
      <c r="U52" s="905"/>
      <c r="V52" s="905"/>
      <c r="W52" s="905"/>
      <c r="X52" s="905"/>
      <c r="Y52" s="905">
        <v>28.937561094764412</v>
      </c>
      <c r="Z52" s="905">
        <v>29.166800025345335</v>
      </c>
      <c r="AA52" s="905">
        <v>29.342898813088368</v>
      </c>
      <c r="AB52" s="905">
        <v>29.507668509038574</v>
      </c>
      <c r="AC52" s="905">
        <v>29.6114049948572</v>
      </c>
      <c r="AD52" s="905">
        <v>29.643173682543846</v>
      </c>
      <c r="AE52" s="905">
        <v>29.803304659823532</v>
      </c>
      <c r="AF52" s="905">
        <v>29.988631490899973</v>
      </c>
      <c r="AG52" s="905">
        <v>30.199284449212222</v>
      </c>
      <c r="AH52" s="905">
        <v>30.413364440950414</v>
      </c>
      <c r="AI52" s="905">
        <v>30.609681604781848</v>
      </c>
      <c r="AJ52" s="905">
        <v>30.867891372372572</v>
      </c>
      <c r="AK52" s="905">
        <v>31.110351606428232</v>
      </c>
      <c r="AL52" s="905">
        <v>31.403072138014856</v>
      </c>
      <c r="AM52" s="905">
        <v>31.660029400303536</v>
      </c>
      <c r="AN52" s="905">
        <v>31.849076224846968</v>
      </c>
      <c r="AO52" s="905">
        <v>31.975486386813671</v>
      </c>
      <c r="AP52" s="905">
        <v>32.093843194742803</v>
      </c>
      <c r="AQ52" s="905">
        <v>32.191549820651801</v>
      </c>
      <c r="AR52" s="905">
        <v>32.306020400597042</v>
      </c>
      <c r="AS52" s="905">
        <v>32.316610456518191</v>
      </c>
      <c r="AT52" s="905">
        <v>32.314342625392676</v>
      </c>
      <c r="AU52" s="905">
        <v>32.360301316410592</v>
      </c>
      <c r="AV52" s="905">
        <v>32.398209730776948</v>
      </c>
      <c r="AW52" s="905">
        <v>32.604179097954841</v>
      </c>
      <c r="AX52" s="905">
        <v>32.658635617605569</v>
      </c>
      <c r="AY52" s="905">
        <v>32.749327111526497</v>
      </c>
      <c r="AZ52" s="905">
        <v>32.831502653438562</v>
      </c>
      <c r="BA52" s="905">
        <v>32.899751484086565</v>
      </c>
      <c r="BB52" s="905">
        <v>33.000440152113804</v>
      </c>
      <c r="BC52" s="905">
        <v>33.097926776741936</v>
      </c>
      <c r="BD52" s="905">
        <v>33.191950694713206</v>
      </c>
      <c r="BE52" s="905">
        <v>33.315644157008265</v>
      </c>
      <c r="BF52" s="905">
        <v>33.434835615108</v>
      </c>
      <c r="BG52" s="905">
        <v>33.558615030327587</v>
      </c>
      <c r="BH52" s="905">
        <v>33.72088845152593</v>
      </c>
      <c r="BI52" s="905">
        <v>33.840996283399207</v>
      </c>
      <c r="BJ52" s="905">
        <v>33.986797795272039</v>
      </c>
      <c r="BK52" s="905">
        <v>34.122078629166907</v>
      </c>
      <c r="BL52" s="905">
        <v>34.297148054934453</v>
      </c>
      <c r="BM52" s="905">
        <v>34.451505704356691</v>
      </c>
      <c r="BN52" s="905">
        <v>34.605650242834336</v>
      </c>
      <c r="BO52" s="905">
        <v>34.741179295203189</v>
      </c>
      <c r="BP52" s="905">
        <v>34.891878700518134</v>
      </c>
      <c r="BQ52" s="905">
        <v>35.039058900594867</v>
      </c>
      <c r="BR52" s="905">
        <v>35.185568007904628</v>
      </c>
      <c r="BS52" s="905">
        <v>35.317047537256798</v>
      </c>
      <c r="BT52" s="905">
        <v>35.459660573793293</v>
      </c>
      <c r="BU52" s="905">
        <v>35.605238743317869</v>
      </c>
      <c r="BV52" s="905">
        <v>35.754624377137034</v>
      </c>
      <c r="BW52" s="905">
        <v>35.902282161370849</v>
      </c>
      <c r="BX52" s="905">
        <v>36.049081606733523</v>
      </c>
      <c r="BY52" s="905">
        <v>36.19501854901236</v>
      </c>
      <c r="BZ52" s="905">
        <v>36.340089491928786</v>
      </c>
      <c r="CA52" s="905">
        <v>36.484291525342201</v>
      </c>
      <c r="CB52" s="905">
        <v>36.627622220306911</v>
      </c>
      <c r="CC52" s="905">
        <v>36.770079513021052</v>
      </c>
      <c r="CD52" s="905">
        <v>36.911661625376624</v>
      </c>
      <c r="CE52" s="905">
        <v>37.052367064131843</v>
      </c>
      <c r="CF52" s="905">
        <v>37.192194628986428</v>
      </c>
      <c r="CG52" s="905">
        <v>37.331143411929808</v>
      </c>
      <c r="CH52" s="905">
        <v>37.469212791086463</v>
      </c>
      <c r="CI52" s="905">
        <v>37.606402412653779</v>
      </c>
      <c r="CJ52" s="905">
        <v>37.742720286510128</v>
      </c>
      <c r="CK52" s="905">
        <v>37.878165073129317</v>
      </c>
      <c r="CL52" s="905">
        <v>38.012735587037234</v>
      </c>
      <c r="CM52" s="905">
        <v>38.146430793989801</v>
      </c>
      <c r="CN52" s="905">
        <v>38.279249808183437</v>
      </c>
      <c r="CO52" s="905">
        <v>38.411191889497857</v>
      </c>
      <c r="CP52" s="905">
        <v>38.542256440773016</v>
      </c>
      <c r="CQ52" s="905">
        <v>38.672443005118893</v>
      </c>
      <c r="CR52" s="905">
        <v>38.801751263258751</v>
      </c>
      <c r="CS52" s="905">
        <v>38.930181030905594</v>
      </c>
      <c r="CT52" s="905">
        <v>39.057732256171732</v>
      </c>
      <c r="CU52" s="905">
        <v>39.184405017011755</v>
      </c>
      <c r="CV52" s="905">
        <v>39.310199518698482</v>
      </c>
      <c r="CW52" s="905">
        <v>39.435116091331324</v>
      </c>
      <c r="CX52" s="905">
        <v>39.559155187377371</v>
      </c>
      <c r="CY52" s="905">
        <v>39.682317379244544</v>
      </c>
      <c r="CZ52" s="905">
        <v>39.804603356886659</v>
      </c>
      <c r="DA52" s="905">
        <v>39.926013925440301</v>
      </c>
      <c r="DB52" s="905">
        <v>40.046550002892388</v>
      </c>
      <c r="DC52" s="905">
        <v>40.166212617778754</v>
      </c>
      <c r="DD52" s="905">
        <v>40.285002906913142</v>
      </c>
      <c r="DE52" s="905">
        <v>40.402922113146516</v>
      </c>
      <c r="DF52" s="905">
        <v>40.519971583154813</v>
      </c>
      <c r="DG52" s="905">
        <v>40.636152765257307</v>
      </c>
      <c r="DH52" s="905">
        <v>40.751467207262166</v>
      </c>
      <c r="DI52" s="905">
        <v>40.865916554341595</v>
      </c>
      <c r="DJ52" s="905">
        <v>40.979502546933617</v>
      </c>
      <c r="DK52" s="905">
        <v>41.092227018671537</v>
      </c>
      <c r="DL52" s="905">
        <v>41.204091894340991</v>
      </c>
      <c r="DM52" s="905">
        <v>41.315099187861719</v>
      </c>
      <c r="DN52" s="905">
        <v>41.425251000297585</v>
      </c>
      <c r="DO52" s="905">
        <v>41.53454951788995</v>
      </c>
      <c r="DP52" s="905">
        <v>41.642997010117575</v>
      </c>
      <c r="DQ52" s="905">
        <v>41.7505958277807</v>
      </c>
      <c r="DR52" s="905">
        <v>41.857348401109107</v>
      </c>
      <c r="DS52" s="905">
        <v>41.963257237894958</v>
      </c>
      <c r="DT52" s="905">
        <v>42.068324921647928</v>
      </c>
      <c r="DU52" s="905">
        <v>42.172554109774168</v>
      </c>
    </row>
    <row r="53" spans="1:125" s="127" customFormat="1" ht="12.75">
      <c r="A53" s="908">
        <v>51</v>
      </c>
      <c r="B53" s="905"/>
      <c r="C53" s="905"/>
      <c r="D53" s="905"/>
      <c r="E53" s="905"/>
      <c r="F53" s="905"/>
      <c r="G53" s="905"/>
      <c r="H53" s="905"/>
      <c r="I53" s="905"/>
      <c r="J53" s="905"/>
      <c r="K53" s="905"/>
      <c r="L53" s="905"/>
      <c r="M53" s="905"/>
      <c r="N53" s="905"/>
      <c r="O53" s="905"/>
      <c r="P53" s="905"/>
      <c r="Q53" s="905"/>
      <c r="R53" s="905"/>
      <c r="S53" s="905"/>
      <c r="T53" s="905"/>
      <c r="U53" s="905"/>
      <c r="V53" s="905"/>
      <c r="W53" s="905"/>
      <c r="X53" s="905"/>
      <c r="Y53" s="905">
        <v>28.09575540240246</v>
      </c>
      <c r="Z53" s="905">
        <v>28.32735269835344</v>
      </c>
      <c r="AA53" s="905">
        <v>28.506219290214641</v>
      </c>
      <c r="AB53" s="905">
        <v>28.669606996413201</v>
      </c>
      <c r="AC53" s="905">
        <v>28.773970597123338</v>
      </c>
      <c r="AD53" s="905">
        <v>28.803653913214553</v>
      </c>
      <c r="AE53" s="905">
        <v>28.965439411891943</v>
      </c>
      <c r="AF53" s="905">
        <v>29.148482924277758</v>
      </c>
      <c r="AG53" s="905">
        <v>29.357800510431886</v>
      </c>
      <c r="AH53" s="905">
        <v>29.572899190394633</v>
      </c>
      <c r="AI53" s="905">
        <v>29.768907566120532</v>
      </c>
      <c r="AJ53" s="905">
        <v>30.018544007034439</v>
      </c>
      <c r="AK53" s="905">
        <v>30.257294886370985</v>
      </c>
      <c r="AL53" s="905">
        <v>30.551423004717751</v>
      </c>
      <c r="AM53" s="905">
        <v>30.801356677153731</v>
      </c>
      <c r="AN53" s="905">
        <v>30.990897210361467</v>
      </c>
      <c r="AO53" s="905">
        <v>31.115464892295908</v>
      </c>
      <c r="AP53" s="905">
        <v>31.23742950236641</v>
      </c>
      <c r="AQ53" s="905">
        <v>31.333066160147446</v>
      </c>
      <c r="AR53" s="905">
        <v>31.44278730261027</v>
      </c>
      <c r="AS53" s="905">
        <v>31.457218317767101</v>
      </c>
      <c r="AT53" s="905">
        <v>31.451141259058158</v>
      </c>
      <c r="AU53" s="905">
        <v>31.497508112578434</v>
      </c>
      <c r="AV53" s="905">
        <v>31.527639250688424</v>
      </c>
      <c r="AW53" s="905">
        <v>31.73084289260953</v>
      </c>
      <c r="AX53" s="905">
        <v>31.779726975344865</v>
      </c>
      <c r="AY53" s="905">
        <v>31.871749658642074</v>
      </c>
      <c r="AZ53" s="905">
        <v>31.949526349063859</v>
      </c>
      <c r="BA53" s="905">
        <v>32.020928835627139</v>
      </c>
      <c r="BB53" s="905">
        <v>32.119539404483916</v>
      </c>
      <c r="BC53" s="905">
        <v>32.217773044174045</v>
      </c>
      <c r="BD53" s="905">
        <v>32.306049699446802</v>
      </c>
      <c r="BE53" s="905">
        <v>32.42784845313237</v>
      </c>
      <c r="BF53" s="905">
        <v>32.546489415540414</v>
      </c>
      <c r="BG53" s="905">
        <v>32.666959537533344</v>
      </c>
      <c r="BH53" s="905">
        <v>32.827610239710168</v>
      </c>
      <c r="BI53" s="905">
        <v>32.944157395396381</v>
      </c>
      <c r="BJ53" s="905">
        <v>33.088863499572561</v>
      </c>
      <c r="BK53" s="905">
        <v>33.224060140062846</v>
      </c>
      <c r="BL53" s="905">
        <v>33.39453401867128</v>
      </c>
      <c r="BM53" s="905">
        <v>33.544050309215436</v>
      </c>
      <c r="BN53" s="905">
        <v>33.699169454755001</v>
      </c>
      <c r="BO53" s="905">
        <v>33.833312748848449</v>
      </c>
      <c r="BP53" s="905">
        <v>33.977328107493548</v>
      </c>
      <c r="BQ53" s="905">
        <v>34.126694156272912</v>
      </c>
      <c r="BR53" s="905">
        <v>34.272077781820371</v>
      </c>
      <c r="BS53" s="905">
        <v>34.403204532374488</v>
      </c>
      <c r="BT53" s="905">
        <v>34.548481267346176</v>
      </c>
      <c r="BU53" s="905">
        <v>34.697406185890188</v>
      </c>
      <c r="BV53" s="905">
        <v>34.84453533899962</v>
      </c>
      <c r="BW53" s="905">
        <v>34.990828069288959</v>
      </c>
      <c r="BX53" s="905">
        <v>35.136279372936286</v>
      </c>
      <c r="BY53" s="905">
        <v>35.280884972509838</v>
      </c>
      <c r="BZ53" s="905">
        <v>35.424641259225396</v>
      </c>
      <c r="CA53" s="905">
        <v>35.567545210602283</v>
      </c>
      <c r="CB53" s="905">
        <v>35.709594284982501</v>
      </c>
      <c r="CC53" s="905">
        <v>35.850786304974918</v>
      </c>
      <c r="CD53" s="905">
        <v>35.991119377665555</v>
      </c>
      <c r="CE53" s="905">
        <v>36.130591893717423</v>
      </c>
      <c r="CF53" s="905">
        <v>36.269202535410749</v>
      </c>
      <c r="CG53" s="905">
        <v>36.406950275939408</v>
      </c>
      <c r="CH53" s="905">
        <v>36.543834373199616</v>
      </c>
      <c r="CI53" s="905">
        <v>36.679863628226457</v>
      </c>
      <c r="CJ53" s="905">
        <v>36.815036416954499</v>
      </c>
      <c r="CK53" s="905">
        <v>36.949351271270203</v>
      </c>
      <c r="CL53" s="905">
        <v>37.08280687622343</v>
      </c>
      <c r="CM53" s="905">
        <v>37.215402067271114</v>
      </c>
      <c r="CN53" s="905">
        <v>37.347135827552151</v>
      </c>
      <c r="CO53" s="905">
        <v>37.478007285193584</v>
      </c>
      <c r="CP53" s="905">
        <v>37.608015710649831</v>
      </c>
      <c r="CQ53" s="905">
        <v>37.737160514073395</v>
      </c>
      <c r="CR53" s="905">
        <v>37.86544124271807</v>
      </c>
      <c r="CS53" s="905">
        <v>37.992857578373986</v>
      </c>
      <c r="CT53" s="905">
        <v>38.119409334834529</v>
      </c>
      <c r="CU53" s="905">
        <v>38.245096455395469</v>
      </c>
      <c r="CV53" s="905">
        <v>38.36991901038585</v>
      </c>
      <c r="CW53" s="905">
        <v>38.49387719472989</v>
      </c>
      <c r="CX53" s="905">
        <v>38.616971325540433</v>
      </c>
      <c r="CY53" s="905">
        <v>38.739201839743224</v>
      </c>
      <c r="CZ53" s="905">
        <v>38.860569291731693</v>
      </c>
      <c r="DA53" s="905">
        <v>38.981074351052378</v>
      </c>
      <c r="DB53" s="905">
        <v>39.10071780011971</v>
      </c>
      <c r="DC53" s="905">
        <v>39.219500531960577</v>
      </c>
      <c r="DD53" s="905">
        <v>39.33742354798796</v>
      </c>
      <c r="DE53" s="905">
        <v>39.4544879558037</v>
      </c>
      <c r="DF53" s="905">
        <v>39.570694967028388</v>
      </c>
      <c r="DG53" s="905">
        <v>39.686045895160667</v>
      </c>
      <c r="DH53" s="905">
        <v>39.800542153462459</v>
      </c>
      <c r="DI53" s="905">
        <v>39.914185252872514</v>
      </c>
      <c r="DJ53" s="905">
        <v>40.026976799945416</v>
      </c>
      <c r="DK53" s="905">
        <v>40.138918494817098</v>
      </c>
      <c r="DL53" s="905">
        <v>40.250012129196691</v>
      </c>
      <c r="DM53" s="905">
        <v>40.360259584381907</v>
      </c>
      <c r="DN53" s="905">
        <v>40.469662829301541</v>
      </c>
      <c r="DO53" s="905">
        <v>40.578223918580207</v>
      </c>
      <c r="DP53" s="905">
        <v>40.68594499062835</v>
      </c>
      <c r="DQ53" s="905">
        <v>40.792828265755496</v>
      </c>
      <c r="DR53" s="905">
        <v>40.898876044306178</v>
      </c>
      <c r="DS53" s="905">
        <v>41.004090704819731</v>
      </c>
      <c r="DT53" s="905">
        <v>41.108474702211211</v>
      </c>
      <c r="DU53" s="905">
        <v>41.212030565975148</v>
      </c>
    </row>
    <row r="54" spans="1:125" s="127" customFormat="1" ht="12.75">
      <c r="A54" s="908">
        <v>52</v>
      </c>
      <c r="B54" s="905"/>
      <c r="C54" s="905"/>
      <c r="D54" s="905"/>
      <c r="E54" s="905"/>
      <c r="F54" s="905"/>
      <c r="G54" s="905"/>
      <c r="H54" s="905"/>
      <c r="I54" s="905"/>
      <c r="J54" s="905"/>
      <c r="K54" s="905"/>
      <c r="L54" s="905"/>
      <c r="M54" s="905"/>
      <c r="N54" s="905"/>
      <c r="O54" s="905"/>
      <c r="P54" s="905"/>
      <c r="Q54" s="905"/>
      <c r="R54" s="905"/>
      <c r="S54" s="905"/>
      <c r="T54" s="905"/>
      <c r="U54" s="905"/>
      <c r="V54" s="905"/>
      <c r="W54" s="905"/>
      <c r="X54" s="905"/>
      <c r="Y54" s="905">
        <v>27.275980677471619</v>
      </c>
      <c r="Z54" s="905">
        <v>27.499317541349207</v>
      </c>
      <c r="AA54" s="905">
        <v>27.675376439000033</v>
      </c>
      <c r="AB54" s="905">
        <v>27.837835228828006</v>
      </c>
      <c r="AC54" s="905">
        <v>27.939449380281303</v>
      </c>
      <c r="AD54" s="905">
        <v>27.972440011565155</v>
      </c>
      <c r="AE54" s="905">
        <v>28.132026753891235</v>
      </c>
      <c r="AF54" s="905">
        <v>28.32034325171497</v>
      </c>
      <c r="AG54" s="905">
        <v>28.522305329945475</v>
      </c>
      <c r="AH54" s="905">
        <v>28.732095418234511</v>
      </c>
      <c r="AI54" s="905">
        <v>28.927551857140017</v>
      </c>
      <c r="AJ54" s="905">
        <v>29.177445562032133</v>
      </c>
      <c r="AK54" s="905">
        <v>29.412865363992012</v>
      </c>
      <c r="AL54" s="905">
        <v>29.698905248288767</v>
      </c>
      <c r="AM54" s="905">
        <v>29.947741848410949</v>
      </c>
      <c r="AN54" s="905">
        <v>30.137715151621173</v>
      </c>
      <c r="AO54" s="905">
        <v>30.267481075473931</v>
      </c>
      <c r="AP54" s="905">
        <v>30.385248157310883</v>
      </c>
      <c r="AQ54" s="905">
        <v>30.476710071125218</v>
      </c>
      <c r="AR54" s="905">
        <v>30.583705437699891</v>
      </c>
      <c r="AS54" s="905">
        <v>30.601739876501917</v>
      </c>
      <c r="AT54" s="905">
        <v>30.596370029875075</v>
      </c>
      <c r="AU54" s="905">
        <v>30.632109726301159</v>
      </c>
      <c r="AV54" s="905">
        <v>30.663504339295763</v>
      </c>
      <c r="AW54" s="905">
        <v>30.859520307488779</v>
      </c>
      <c r="AX54" s="905">
        <v>30.908626435678908</v>
      </c>
      <c r="AY54" s="905">
        <v>30.995446155188851</v>
      </c>
      <c r="AZ54" s="905">
        <v>31.077505502525558</v>
      </c>
      <c r="BA54" s="905">
        <v>31.145605443961372</v>
      </c>
      <c r="BB54" s="905">
        <v>31.241030894259566</v>
      </c>
      <c r="BC54" s="905">
        <v>31.336407411994934</v>
      </c>
      <c r="BD54" s="905">
        <v>31.427446511052722</v>
      </c>
      <c r="BE54" s="905">
        <v>31.547557508446062</v>
      </c>
      <c r="BF54" s="905">
        <v>31.661841617192749</v>
      </c>
      <c r="BG54" s="905">
        <v>31.781535060119822</v>
      </c>
      <c r="BH54" s="905">
        <v>31.940741659678494</v>
      </c>
      <c r="BI54" s="905">
        <v>32.060305525216769</v>
      </c>
      <c r="BJ54" s="905">
        <v>32.197529584324627</v>
      </c>
      <c r="BK54" s="905">
        <v>32.330464323228128</v>
      </c>
      <c r="BL54" s="905">
        <v>32.499121233595645</v>
      </c>
      <c r="BM54" s="905">
        <v>32.645286145828749</v>
      </c>
      <c r="BN54" s="905">
        <v>32.7951473729049</v>
      </c>
      <c r="BO54" s="905">
        <v>32.929392181557958</v>
      </c>
      <c r="BP54" s="905">
        <v>33.07378241831077</v>
      </c>
      <c r="BQ54" s="905">
        <v>33.22027838976463</v>
      </c>
      <c r="BR54" s="905">
        <v>33.363517867584122</v>
      </c>
      <c r="BS54" s="905">
        <v>33.499318622215668</v>
      </c>
      <c r="BT54" s="905">
        <v>33.647509212838415</v>
      </c>
      <c r="BU54" s="905">
        <v>33.79401020379099</v>
      </c>
      <c r="BV54" s="905">
        <v>33.939697936015918</v>
      </c>
      <c r="BW54" s="905">
        <v>34.084566558542427</v>
      </c>
      <c r="BX54" s="905">
        <v>34.228610961863794</v>
      </c>
      <c r="BY54" s="905">
        <v>34.371826764032875</v>
      </c>
      <c r="BZ54" s="905">
        <v>34.514210252353159</v>
      </c>
      <c r="CA54" s="905">
        <v>34.655758300436972</v>
      </c>
      <c r="CB54" s="905">
        <v>34.796468262137608</v>
      </c>
      <c r="CC54" s="905">
        <v>34.936337854442534</v>
      </c>
      <c r="CD54" s="905">
        <v>35.075365077312433</v>
      </c>
      <c r="CE54" s="905">
        <v>35.213548212701198</v>
      </c>
      <c r="CF54" s="905">
        <v>35.350885832557097</v>
      </c>
      <c r="CG54" s="905">
        <v>35.48737679806213</v>
      </c>
      <c r="CH54" s="905">
        <v>35.623030592455237</v>
      </c>
      <c r="CI54" s="905">
        <v>35.75784531200182</v>
      </c>
      <c r="CJ54" s="905">
        <v>35.891819210437923</v>
      </c>
      <c r="CK54" s="905">
        <v>36.024950696224579</v>
      </c>
      <c r="CL54" s="905">
        <v>36.157238329831614</v>
      </c>
      <c r="CM54" s="905">
        <v>36.288680821052331</v>
      </c>
      <c r="CN54" s="905">
        <v>36.419277026348567</v>
      </c>
      <c r="CO54" s="905">
        <v>36.549025946225662</v>
      </c>
      <c r="CP54" s="905">
        <v>36.677926722639356</v>
      </c>
      <c r="CQ54" s="905">
        <v>36.805978636433053</v>
      </c>
      <c r="CR54" s="905">
        <v>36.933181104806167</v>
      </c>
      <c r="CS54" s="905">
        <v>37.059533678813182</v>
      </c>
      <c r="CT54" s="905">
        <v>37.185036040893252</v>
      </c>
      <c r="CU54" s="905">
        <v>37.309688002430775</v>
      </c>
      <c r="CV54" s="905">
        <v>37.433489501346315</v>
      </c>
      <c r="CW54" s="905">
        <v>37.556440599717355</v>
      </c>
      <c r="CX54" s="905">
        <v>37.678541481429164</v>
      </c>
      <c r="CY54" s="905">
        <v>37.799792449855204</v>
      </c>
      <c r="CZ54" s="905">
        <v>37.920193925566764</v>
      </c>
      <c r="DA54" s="905">
        <v>38.039746444071781</v>
      </c>
      <c r="DB54" s="905">
        <v>38.158450653581788</v>
      </c>
      <c r="DC54" s="905">
        <v>38.276307312807248</v>
      </c>
      <c r="DD54" s="905">
        <v>38.393317288780644</v>
      </c>
      <c r="DE54" s="905">
        <v>38.509481554707392</v>
      </c>
      <c r="DF54" s="905">
        <v>38.62480118784255</v>
      </c>
      <c r="DG54" s="905">
        <v>38.739277367395538</v>
      </c>
      <c r="DH54" s="905">
        <v>38.852911372459644</v>
      </c>
      <c r="DI54" s="905">
        <v>38.965704579968381</v>
      </c>
      <c r="DJ54" s="905">
        <v>39.077658462676155</v>
      </c>
      <c r="DK54" s="905">
        <v>39.188774587164048</v>
      </c>
      <c r="DL54" s="905">
        <v>39.299054611870787</v>
      </c>
      <c r="DM54" s="905">
        <v>39.408500285145877</v>
      </c>
      <c r="DN54" s="905">
        <v>39.517113443328753</v>
      </c>
      <c r="DO54" s="905">
        <v>39.624896008848836</v>
      </c>
      <c r="DP54" s="905">
        <v>39.731849988349708</v>
      </c>
      <c r="DQ54" s="905">
        <v>39.837977470835341</v>
      </c>
      <c r="DR54" s="905">
        <v>39.943280625837808</v>
      </c>
      <c r="DS54" s="905">
        <v>40.047761701607755</v>
      </c>
      <c r="DT54" s="905">
        <v>40.15142302332481</v>
      </c>
      <c r="DU54" s="905">
        <v>40.254266991329729</v>
      </c>
    </row>
    <row r="55" spans="1:125" s="127" customFormat="1" ht="12.75">
      <c r="A55" s="908">
        <v>53</v>
      </c>
      <c r="B55" s="905"/>
      <c r="C55" s="905"/>
      <c r="D55" s="905"/>
      <c r="E55" s="905"/>
      <c r="F55" s="905"/>
      <c r="G55" s="905"/>
      <c r="H55" s="905"/>
      <c r="I55" s="905"/>
      <c r="J55" s="905"/>
      <c r="K55" s="905"/>
      <c r="L55" s="905"/>
      <c r="M55" s="905"/>
      <c r="N55" s="905"/>
      <c r="O55" s="905"/>
      <c r="P55" s="905"/>
      <c r="Q55" s="905"/>
      <c r="R55" s="905"/>
      <c r="S55" s="905"/>
      <c r="T55" s="905"/>
      <c r="U55" s="905"/>
      <c r="V55" s="905"/>
      <c r="W55" s="905"/>
      <c r="X55" s="905"/>
      <c r="Y55" s="905">
        <v>26.457908613025502</v>
      </c>
      <c r="Z55" s="905">
        <v>26.676663474831777</v>
      </c>
      <c r="AA55" s="905">
        <v>26.851782609612428</v>
      </c>
      <c r="AB55" s="905">
        <v>27.012233985648891</v>
      </c>
      <c r="AC55" s="905">
        <v>27.119635184314749</v>
      </c>
      <c r="AD55" s="905">
        <v>27.151020979145795</v>
      </c>
      <c r="AE55" s="905">
        <v>27.309693401917837</v>
      </c>
      <c r="AF55" s="905">
        <v>27.493390013631334</v>
      </c>
      <c r="AG55" s="905">
        <v>27.692584378519118</v>
      </c>
      <c r="AH55" s="905">
        <v>27.900939711647528</v>
      </c>
      <c r="AI55" s="905">
        <v>28.09564691857658</v>
      </c>
      <c r="AJ55" s="905">
        <v>28.339946100611169</v>
      </c>
      <c r="AK55" s="905">
        <v>28.575645777774177</v>
      </c>
      <c r="AL55" s="905">
        <v>28.854293129945805</v>
      </c>
      <c r="AM55" s="905">
        <v>29.100343545488897</v>
      </c>
      <c r="AN55" s="905">
        <v>29.296018245683825</v>
      </c>
      <c r="AO55" s="905">
        <v>29.421105173219658</v>
      </c>
      <c r="AP55" s="905">
        <v>29.538366824988053</v>
      </c>
      <c r="AQ55" s="905">
        <v>29.631049257038448</v>
      </c>
      <c r="AR55" s="905">
        <v>29.734740540870931</v>
      </c>
      <c r="AS55" s="905">
        <v>29.750014435873332</v>
      </c>
      <c r="AT55" s="905">
        <v>29.745187984181204</v>
      </c>
      <c r="AU55" s="905">
        <v>29.77430566797085</v>
      </c>
      <c r="AV55" s="905">
        <v>29.798959083542414</v>
      </c>
      <c r="AW55" s="905">
        <v>29.99689299994283</v>
      </c>
      <c r="AX55" s="905">
        <v>30.039933761026397</v>
      </c>
      <c r="AY55" s="905">
        <v>30.129893488970257</v>
      </c>
      <c r="AZ55" s="905">
        <v>30.211386604814471</v>
      </c>
      <c r="BA55" s="905">
        <v>30.277831604043492</v>
      </c>
      <c r="BB55" s="905">
        <v>30.371287986950836</v>
      </c>
      <c r="BC55" s="905">
        <v>30.465232947624479</v>
      </c>
      <c r="BD55" s="905">
        <v>30.55167249653184</v>
      </c>
      <c r="BE55" s="905">
        <v>30.672381226930526</v>
      </c>
      <c r="BF55" s="905">
        <v>30.783397626358678</v>
      </c>
      <c r="BG55" s="905">
        <v>30.902459476211067</v>
      </c>
      <c r="BH55" s="905">
        <v>31.060928910164343</v>
      </c>
      <c r="BI55" s="905">
        <v>31.178424112716282</v>
      </c>
      <c r="BJ55" s="905">
        <v>31.314646512258506</v>
      </c>
      <c r="BK55" s="905">
        <v>31.442194496761431</v>
      </c>
      <c r="BL55" s="905">
        <v>31.608949182197115</v>
      </c>
      <c r="BM55" s="905">
        <v>31.753648470200137</v>
      </c>
      <c r="BN55" s="905">
        <v>31.897488321028913</v>
      </c>
      <c r="BO55" s="905">
        <v>32.031587652398841</v>
      </c>
      <c r="BP55" s="905">
        <v>32.175288464983339</v>
      </c>
      <c r="BQ55" s="905">
        <v>32.318525090164201</v>
      </c>
      <c r="BR55" s="905">
        <v>32.462936297361438</v>
      </c>
      <c r="BS55" s="905">
        <v>32.605345697123212</v>
      </c>
      <c r="BT55" s="905">
        <v>32.751114526888813</v>
      </c>
      <c r="BU55" s="905">
        <v>32.896094453468066</v>
      </c>
      <c r="BV55" s="905">
        <v>33.040278852036238</v>
      </c>
      <c r="BW55" s="905">
        <v>33.183661772886985</v>
      </c>
      <c r="BX55" s="905">
        <v>33.326238009365539</v>
      </c>
      <c r="BY55" s="905">
        <v>33.468003083492036</v>
      </c>
      <c r="BZ55" s="905">
        <v>33.608953187036271</v>
      </c>
      <c r="CA55" s="905">
        <v>33.74908509792516</v>
      </c>
      <c r="CB55" s="905">
        <v>33.888396073535958</v>
      </c>
      <c r="CC55" s="905">
        <v>34.026883732989617</v>
      </c>
      <c r="CD55" s="905">
        <v>34.164545976585373</v>
      </c>
      <c r="CE55" s="905">
        <v>34.301380984733541</v>
      </c>
      <c r="CF55" s="905">
        <v>34.437387225913724</v>
      </c>
      <c r="CG55" s="905">
        <v>34.572574748578418</v>
      </c>
      <c r="CH55" s="905">
        <v>34.706941374897767</v>
      </c>
      <c r="CI55" s="905">
        <v>34.840485085627954</v>
      </c>
      <c r="CJ55" s="905">
        <v>34.97320401741581</v>
      </c>
      <c r="CK55" s="905">
        <v>35.105096460132302</v>
      </c>
      <c r="CL55" s="905">
        <v>35.236160854234342</v>
      </c>
      <c r="CM55" s="905">
        <v>35.366395788156495</v>
      </c>
      <c r="CN55" s="905">
        <v>35.495799995731744</v>
      </c>
      <c r="CO55" s="905">
        <v>35.6243723536411</v>
      </c>
      <c r="CP55" s="905">
        <v>35.752111878893857</v>
      </c>
      <c r="CQ55" s="905">
        <v>35.879017726336947</v>
      </c>
      <c r="CR55" s="905">
        <v>36.005089186194141</v>
      </c>
      <c r="CS55" s="905">
        <v>36.130325681634638</v>
      </c>
      <c r="CT55" s="905">
        <v>36.254726766370837</v>
      </c>
      <c r="CU55" s="905">
        <v>36.378292122285778</v>
      </c>
      <c r="CV55" s="905">
        <v>36.501021557089572</v>
      </c>
      <c r="CW55" s="905">
        <v>36.622915002004262</v>
      </c>
      <c r="CX55" s="905">
        <v>36.743972509477416</v>
      </c>
      <c r="CY55" s="905">
        <v>36.86419425092393</v>
      </c>
      <c r="CZ55" s="905">
        <v>36.983580514495543</v>
      </c>
      <c r="DA55" s="905">
        <v>37.102131702878282</v>
      </c>
      <c r="DB55" s="905">
        <v>37.219848331116509</v>
      </c>
      <c r="DC55" s="905">
        <v>37.336731024464001</v>
      </c>
      <c r="DD55" s="905">
        <v>37.45278051626147</v>
      </c>
      <c r="DE55" s="905">
        <v>37.567997645840308</v>
      </c>
      <c r="DF55" s="905">
        <v>37.682383356450913</v>
      </c>
      <c r="DG55" s="905">
        <v>37.795938693217614</v>
      </c>
      <c r="DH55" s="905">
        <v>37.908664801116906</v>
      </c>
      <c r="DI55" s="905">
        <v>38.020562922981298</v>
      </c>
      <c r="DJ55" s="905">
        <v>38.131634397525993</v>
      </c>
      <c r="DK55" s="905">
        <v>38.241880657399449</v>
      </c>
      <c r="DL55" s="905">
        <v>38.351303227257674</v>
      </c>
      <c r="DM55" s="905">
        <v>38.459903721859504</v>
      </c>
      <c r="DN55" s="905">
        <v>38.567683844186426</v>
      </c>
      <c r="DO55" s="905">
        <v>38.674645383582174</v>
      </c>
      <c r="DP55" s="905">
        <v>38.780790213915054</v>
      </c>
      <c r="DQ55" s="905">
        <v>38.886120291761117</v>
      </c>
      <c r="DR55" s="905">
        <v>38.990637654607568</v>
      </c>
      <c r="DS55" s="905">
        <v>39.094344419077672</v>
      </c>
      <c r="DT55" s="905">
        <v>39.197242779174459</v>
      </c>
      <c r="DU55" s="905">
        <v>39.299335004544893</v>
      </c>
    </row>
    <row r="56" spans="1:125" s="127" customFormat="1" ht="12.75">
      <c r="A56" s="908">
        <v>54</v>
      </c>
      <c r="B56" s="905"/>
      <c r="C56" s="905"/>
      <c r="D56" s="905"/>
      <c r="E56" s="905"/>
      <c r="F56" s="905"/>
      <c r="G56" s="905"/>
      <c r="H56" s="905"/>
      <c r="I56" s="905"/>
      <c r="J56" s="905"/>
      <c r="K56" s="905"/>
      <c r="L56" s="905"/>
      <c r="M56" s="905"/>
      <c r="N56" s="905"/>
      <c r="O56" s="905"/>
      <c r="P56" s="905"/>
      <c r="Q56" s="905"/>
      <c r="R56" s="905"/>
      <c r="S56" s="905"/>
      <c r="T56" s="905"/>
      <c r="U56" s="905"/>
      <c r="V56" s="905"/>
      <c r="W56" s="905"/>
      <c r="X56" s="905"/>
      <c r="Y56" s="905">
        <v>25.646033073335708</v>
      </c>
      <c r="Z56" s="905">
        <v>25.862587473413463</v>
      </c>
      <c r="AA56" s="905">
        <v>26.035538152825815</v>
      </c>
      <c r="AB56" s="905">
        <v>26.197324985983354</v>
      </c>
      <c r="AC56" s="905">
        <v>26.30136358831853</v>
      </c>
      <c r="AD56" s="905">
        <v>26.337689057463301</v>
      </c>
      <c r="AE56" s="905">
        <v>26.494244387967896</v>
      </c>
      <c r="AF56" s="905">
        <v>26.676814951764555</v>
      </c>
      <c r="AG56" s="905">
        <v>26.870398940611082</v>
      </c>
      <c r="AH56" s="905">
        <v>27.076841916557463</v>
      </c>
      <c r="AI56" s="905">
        <v>27.266575034504246</v>
      </c>
      <c r="AJ56" s="905">
        <v>27.51293360599162</v>
      </c>
      <c r="AK56" s="905">
        <v>27.745538918023691</v>
      </c>
      <c r="AL56" s="905">
        <v>28.021576196588281</v>
      </c>
      <c r="AM56" s="905">
        <v>28.270874658112206</v>
      </c>
      <c r="AN56" s="905">
        <v>28.458801025216918</v>
      </c>
      <c r="AO56" s="905">
        <v>28.583517287124657</v>
      </c>
      <c r="AP56" s="905">
        <v>28.691659534133727</v>
      </c>
      <c r="AQ56" s="905">
        <v>28.786692184442195</v>
      </c>
      <c r="AR56" s="905">
        <v>28.890426694635572</v>
      </c>
      <c r="AS56" s="905">
        <v>28.901456347978026</v>
      </c>
      <c r="AT56" s="905">
        <v>28.897144365642465</v>
      </c>
      <c r="AU56" s="905">
        <v>28.918120221844234</v>
      </c>
      <c r="AV56" s="905">
        <v>28.947163890548847</v>
      </c>
      <c r="AW56" s="905">
        <v>29.134800922257057</v>
      </c>
      <c r="AX56" s="905">
        <v>29.177127129308225</v>
      </c>
      <c r="AY56" s="905">
        <v>29.26918398601676</v>
      </c>
      <c r="AZ56" s="905">
        <v>29.347525979521464</v>
      </c>
      <c r="BA56" s="905">
        <v>29.413589022891287</v>
      </c>
      <c r="BB56" s="905">
        <v>29.502476328416193</v>
      </c>
      <c r="BC56" s="905">
        <v>29.595242916898172</v>
      </c>
      <c r="BD56" s="905">
        <v>29.683450400272232</v>
      </c>
      <c r="BE56" s="905">
        <v>29.800275443088893</v>
      </c>
      <c r="BF56" s="905">
        <v>29.911507502276237</v>
      </c>
      <c r="BG56" s="905">
        <v>30.032727562763917</v>
      </c>
      <c r="BH56" s="905">
        <v>30.184013473715254</v>
      </c>
      <c r="BI56" s="905">
        <v>30.302007644057063</v>
      </c>
      <c r="BJ56" s="905">
        <v>30.437080383649786</v>
      </c>
      <c r="BK56" s="905">
        <v>30.563645122497825</v>
      </c>
      <c r="BL56" s="905">
        <v>30.726973500956834</v>
      </c>
      <c r="BM56" s="905">
        <v>30.864657104860665</v>
      </c>
      <c r="BN56" s="905">
        <v>31.008775045261352</v>
      </c>
      <c r="BO56" s="905">
        <v>31.139456031701314</v>
      </c>
      <c r="BP56" s="905">
        <v>31.283947968355498</v>
      </c>
      <c r="BQ56" s="905">
        <v>31.426449387956623</v>
      </c>
      <c r="BR56" s="905">
        <v>31.571395397098335</v>
      </c>
      <c r="BS56" s="905">
        <v>31.716322476718396</v>
      </c>
      <c r="BT56" s="905">
        <v>31.860486127367366</v>
      </c>
      <c r="BU56" s="905">
        <v>32.00387905741249</v>
      </c>
      <c r="BV56" s="905">
        <v>32.146494549759979</v>
      </c>
      <c r="BW56" s="905">
        <v>32.288326564150552</v>
      </c>
      <c r="BX56" s="905">
        <v>32.429369804965198</v>
      </c>
      <c r="BY56" s="905">
        <v>32.569619706334578</v>
      </c>
      <c r="BZ56" s="905">
        <v>32.709072372543176</v>
      </c>
      <c r="CA56" s="905">
        <v>32.847724493729132</v>
      </c>
      <c r="CB56" s="905">
        <v>32.985573238482345</v>
      </c>
      <c r="CC56" s="905">
        <v>33.122616135485231</v>
      </c>
      <c r="CD56" s="905">
        <v>33.258850992507419</v>
      </c>
      <c r="CE56" s="905">
        <v>33.394275895243211</v>
      </c>
      <c r="CF56" s="905">
        <v>33.528901343868284</v>
      </c>
      <c r="CG56" s="905">
        <v>33.662724892659668</v>
      </c>
      <c r="CH56" s="905">
        <v>33.7957442551646</v>
      </c>
      <c r="CI56" s="905">
        <v>33.927957301565421</v>
      </c>
      <c r="CJ56" s="905">
        <v>34.059362056070547</v>
      </c>
      <c r="CK56" s="905">
        <v>34.189956694333361</v>
      </c>
      <c r="CL56" s="905">
        <v>34.319739540898304</v>
      </c>
      <c r="CM56" s="905">
        <v>34.448709066675676</v>
      </c>
      <c r="CN56" s="905">
        <v>34.576863886444372</v>
      </c>
      <c r="CO56" s="905">
        <v>34.704202756382074</v>
      </c>
      <c r="CP56" s="905">
        <v>34.83072457162497</v>
      </c>
      <c r="CQ56" s="905">
        <v>34.956428363855217</v>
      </c>
      <c r="CR56" s="905">
        <v>35.081313298916832</v>
      </c>
      <c r="CS56" s="905">
        <v>35.205378674459702</v>
      </c>
      <c r="CT56" s="905">
        <v>35.328623917611353</v>
      </c>
      <c r="CU56" s="905">
        <v>35.451048582676975</v>
      </c>
      <c r="CV56" s="905">
        <v>35.57265234886701</v>
      </c>
      <c r="CW56" s="905">
        <v>35.693435018051744</v>
      </c>
      <c r="CX56" s="905">
        <v>35.813396512543164</v>
      </c>
      <c r="CY56" s="905">
        <v>35.932536872903583</v>
      </c>
      <c r="CZ56" s="905">
        <v>36.050856255780488</v>
      </c>
      <c r="DA56" s="905">
        <v>36.168354931767858</v>
      </c>
      <c r="DB56" s="905">
        <v>36.285033283292577</v>
      </c>
      <c r="DC56" s="905">
        <v>36.400891802526488</v>
      </c>
      <c r="DD56" s="905">
        <v>36.515931089323246</v>
      </c>
      <c r="DE56" s="905">
        <v>36.630151849180152</v>
      </c>
      <c r="DF56" s="905">
        <v>36.743554891222871</v>
      </c>
      <c r="DG56" s="905">
        <v>36.856141126215455</v>
      </c>
      <c r="DH56" s="905">
        <v>36.967911564592093</v>
      </c>
      <c r="DI56" s="905">
        <v>37.078867314513111</v>
      </c>
      <c r="DJ56" s="905">
        <v>37.189009579942379</v>
      </c>
      <c r="DK56" s="905">
        <v>37.298339658747039</v>
      </c>
      <c r="DL56" s="905">
        <v>37.406858940819745</v>
      </c>
      <c r="DM56" s="905">
        <v>37.514568906220347</v>
      </c>
      <c r="DN56" s="905">
        <v>37.621471123340754</v>
      </c>
      <c r="DO56" s="905">
        <v>37.727567247088245</v>
      </c>
      <c r="DP56" s="905">
        <v>37.832859017090122</v>
      </c>
      <c r="DQ56" s="905">
        <v>37.937348255917897</v>
      </c>
      <c r="DR56" s="905">
        <v>38.041036867330284</v>
      </c>
      <c r="DS56" s="905">
        <v>38.143926834536643</v>
      </c>
      <c r="DT56" s="905">
        <v>38.246020218477582</v>
      </c>
      <c r="DU56" s="905">
        <v>38.347319156125074</v>
      </c>
    </row>
    <row r="57" spans="1:125" s="127" customFormat="1" ht="12.75">
      <c r="A57" s="908">
        <v>55</v>
      </c>
      <c r="B57" s="905"/>
      <c r="C57" s="905"/>
      <c r="D57" s="905"/>
      <c r="E57" s="905"/>
      <c r="F57" s="905"/>
      <c r="G57" s="905"/>
      <c r="H57" s="905"/>
      <c r="I57" s="905"/>
      <c r="J57" s="905"/>
      <c r="K57" s="905"/>
      <c r="L57" s="905"/>
      <c r="M57" s="905"/>
      <c r="N57" s="905"/>
      <c r="O57" s="905"/>
      <c r="P57" s="905"/>
      <c r="Q57" s="905"/>
      <c r="R57" s="905"/>
      <c r="S57" s="905"/>
      <c r="T57" s="905"/>
      <c r="U57" s="905"/>
      <c r="V57" s="905"/>
      <c r="W57" s="905"/>
      <c r="X57" s="905"/>
      <c r="Y57" s="905">
        <v>24.837262856470964</v>
      </c>
      <c r="Z57" s="905">
        <v>25.056173932264073</v>
      </c>
      <c r="AA57" s="905">
        <v>25.227740964309586</v>
      </c>
      <c r="AB57" s="905">
        <v>25.392617552519997</v>
      </c>
      <c r="AC57" s="905">
        <v>25.494004343348326</v>
      </c>
      <c r="AD57" s="905">
        <v>25.529704651641076</v>
      </c>
      <c r="AE57" s="905">
        <v>25.6826259016192</v>
      </c>
      <c r="AF57" s="905">
        <v>25.866215821126495</v>
      </c>
      <c r="AG57" s="905">
        <v>26.059791485568432</v>
      </c>
      <c r="AH57" s="905">
        <v>26.261031794401639</v>
      </c>
      <c r="AI57" s="905">
        <v>26.454246085481259</v>
      </c>
      <c r="AJ57" s="905">
        <v>26.692097542041061</v>
      </c>
      <c r="AK57" s="905">
        <v>26.926836923043236</v>
      </c>
      <c r="AL57" s="905">
        <v>27.197225699959215</v>
      </c>
      <c r="AM57" s="905">
        <v>27.447477245638975</v>
      </c>
      <c r="AN57" s="905">
        <v>27.628553221579537</v>
      </c>
      <c r="AO57" s="905">
        <v>27.750440904663019</v>
      </c>
      <c r="AP57" s="905">
        <v>27.859025770872993</v>
      </c>
      <c r="AQ57" s="905">
        <v>27.950423007145481</v>
      </c>
      <c r="AR57" s="905">
        <v>28.046884908536203</v>
      </c>
      <c r="AS57" s="905">
        <v>28.054324577352219</v>
      </c>
      <c r="AT57" s="905">
        <v>28.051562142884492</v>
      </c>
      <c r="AU57" s="905">
        <v>28.074098003636948</v>
      </c>
      <c r="AV57" s="905">
        <v>28.09690674393341</v>
      </c>
      <c r="AW57" s="905">
        <v>28.282278156802064</v>
      </c>
      <c r="AX57" s="905">
        <v>28.325710353073042</v>
      </c>
      <c r="AY57" s="905">
        <v>28.410182918076007</v>
      </c>
      <c r="AZ57" s="905">
        <v>28.491077014432896</v>
      </c>
      <c r="BA57" s="905">
        <v>28.555274175907101</v>
      </c>
      <c r="BB57" s="905">
        <v>28.638663054552339</v>
      </c>
      <c r="BC57" s="905">
        <v>28.731390348919174</v>
      </c>
      <c r="BD57" s="905">
        <v>28.820314452935236</v>
      </c>
      <c r="BE57" s="905">
        <v>28.938398281200136</v>
      </c>
      <c r="BF57" s="905">
        <v>29.050374342366318</v>
      </c>
      <c r="BG57" s="905">
        <v>29.164843962423248</v>
      </c>
      <c r="BH57" s="905">
        <v>29.318044768660755</v>
      </c>
      <c r="BI57" s="905">
        <v>29.429362763891845</v>
      </c>
      <c r="BJ57" s="905">
        <v>29.567144323416031</v>
      </c>
      <c r="BK57" s="905">
        <v>29.69051318739637</v>
      </c>
      <c r="BL57" s="905">
        <v>29.84879963295317</v>
      </c>
      <c r="BM57" s="905">
        <v>29.986450086757436</v>
      </c>
      <c r="BN57" s="905">
        <v>30.125204474318679</v>
      </c>
      <c r="BO57" s="905">
        <v>30.254705624592937</v>
      </c>
      <c r="BP57" s="905">
        <v>30.400136036218903</v>
      </c>
      <c r="BQ57" s="905">
        <v>30.546229388220958</v>
      </c>
      <c r="BR57" s="905">
        <v>30.690198089048209</v>
      </c>
      <c r="BS57" s="905">
        <v>30.833429915516714</v>
      </c>
      <c r="BT57" s="905">
        <v>30.975917001476262</v>
      </c>
      <c r="BU57" s="905">
        <v>31.117651969064021</v>
      </c>
      <c r="BV57" s="905">
        <v>31.258628016565748</v>
      </c>
      <c r="BW57" s="905">
        <v>31.398839020856691</v>
      </c>
      <c r="BX57" s="905">
        <v>31.538279605066812</v>
      </c>
      <c r="BY57" s="905">
        <v>31.676945123129627</v>
      </c>
      <c r="BZ57" s="905">
        <v>31.814831599455736</v>
      </c>
      <c r="CA57" s="905">
        <v>31.951935643861816</v>
      </c>
      <c r="CB57" s="905">
        <v>32.088254343411712</v>
      </c>
      <c r="CC57" s="905">
        <v>32.223785143346454</v>
      </c>
      <c r="CD57" s="905">
        <v>32.358525765599694</v>
      </c>
      <c r="CE57" s="905">
        <v>32.492487056905382</v>
      </c>
      <c r="CF57" s="905">
        <v>32.625666310422474</v>
      </c>
      <c r="CG57" s="905">
        <v>32.758060978803307</v>
      </c>
      <c r="CH57" s="905">
        <v>32.889668671626339</v>
      </c>
      <c r="CI57" s="905">
        <v>33.020487152855274</v>
      </c>
      <c r="CJ57" s="905">
        <v>33.150514338323376</v>
      </c>
      <c r="CK57" s="905">
        <v>33.279748293244538</v>
      </c>
      <c r="CL57" s="905">
        <v>33.408187229750411</v>
      </c>
      <c r="CM57" s="905">
        <v>33.535829504455002</v>
      </c>
      <c r="CN57" s="905">
        <v>33.662673616045936</v>
      </c>
      <c r="CO57" s="905">
        <v>33.788718202901968</v>
      </c>
      <c r="CP57" s="905">
        <v>33.913962040738532</v>
      </c>
      <c r="CQ57" s="905">
        <v>34.03840404027973</v>
      </c>
      <c r="CR57" s="905">
        <v>34.162043244957395</v>
      </c>
      <c r="CS57" s="905">
        <v>34.284878828636721</v>
      </c>
      <c r="CT57" s="905">
        <v>34.406910093368275</v>
      </c>
      <c r="CU57" s="905">
        <v>34.528136467166703</v>
      </c>
      <c r="CV57" s="905">
        <v>34.648557501815581</v>
      </c>
      <c r="CW57" s="905">
        <v>34.768172870697676</v>
      </c>
      <c r="CX57" s="905">
        <v>34.886982366650997</v>
      </c>
      <c r="CY57" s="905">
        <v>35.004985899849984</v>
      </c>
      <c r="CZ57" s="905">
        <v>35.122183495711454</v>
      </c>
      <c r="DA57" s="905">
        <v>35.238575292825431</v>
      </c>
      <c r="DB57" s="905">
        <v>35.354161540909459</v>
      </c>
      <c r="DC57" s="905">
        <v>35.468942598787095</v>
      </c>
      <c r="DD57" s="905">
        <v>35.582918932389475</v>
      </c>
      <c r="DE57" s="905">
        <v>35.696091112780508</v>
      </c>
      <c r="DF57" s="905">
        <v>35.808459814203204</v>
      </c>
      <c r="DG57" s="905">
        <v>35.920025812149831</v>
      </c>
      <c r="DH57" s="905">
        <v>36.030789981452301</v>
      </c>
      <c r="DI57" s="905">
        <v>36.140753294395239</v>
      </c>
      <c r="DJ57" s="905">
        <v>36.249916818848803</v>
      </c>
      <c r="DK57" s="905">
        <v>36.358281716422582</v>
      </c>
      <c r="DL57" s="905">
        <v>36.465849240640196</v>
      </c>
      <c r="DM57" s="905">
        <v>36.572620735132091</v>
      </c>
      <c r="DN57" s="905">
        <v>36.678597631849925</v>
      </c>
      <c r="DO57" s="905">
        <v>36.783781449297962</v>
      </c>
      <c r="DP57" s="905">
        <v>36.888173790784336</v>
      </c>
      <c r="DQ57" s="905">
        <v>36.991776342690471</v>
      </c>
      <c r="DR57" s="905">
        <v>37.094590872757955</v>
      </c>
      <c r="DS57" s="905">
        <v>37.196619228394241</v>
      </c>
      <c r="DT57" s="905">
        <v>37.297863334994439</v>
      </c>
      <c r="DU57" s="905">
        <v>37.398325194281071</v>
      </c>
    </row>
    <row r="58" spans="1:125" s="127" customFormat="1" ht="12.75">
      <c r="A58" s="908">
        <v>56</v>
      </c>
      <c r="B58" s="905"/>
      <c r="C58" s="905"/>
      <c r="D58" s="905"/>
      <c r="E58" s="905"/>
      <c r="F58" s="905"/>
      <c r="G58" s="905"/>
      <c r="H58" s="905"/>
      <c r="I58" s="905"/>
      <c r="J58" s="905"/>
      <c r="K58" s="905"/>
      <c r="L58" s="905"/>
      <c r="M58" s="905"/>
      <c r="N58" s="905"/>
      <c r="O58" s="905"/>
      <c r="P58" s="905"/>
      <c r="Q58" s="905"/>
      <c r="R58" s="905"/>
      <c r="S58" s="905"/>
      <c r="T58" s="905"/>
      <c r="U58" s="905"/>
      <c r="V58" s="905"/>
      <c r="W58" s="905"/>
      <c r="X58" s="905"/>
      <c r="Y58" s="905">
        <v>24.039666194140928</v>
      </c>
      <c r="Z58" s="905">
        <v>24.260535403853289</v>
      </c>
      <c r="AA58" s="905">
        <v>24.426653120825257</v>
      </c>
      <c r="AB58" s="905">
        <v>24.594709494137511</v>
      </c>
      <c r="AC58" s="905">
        <v>24.693299678001026</v>
      </c>
      <c r="AD58" s="905">
        <v>24.729050440255889</v>
      </c>
      <c r="AE58" s="905">
        <v>24.882801415340694</v>
      </c>
      <c r="AF58" s="905">
        <v>25.063093351512713</v>
      </c>
      <c r="AG58" s="905">
        <v>25.253676498180546</v>
      </c>
      <c r="AH58" s="905">
        <v>25.453748348003028</v>
      </c>
      <c r="AI58" s="905">
        <v>25.644711813693661</v>
      </c>
      <c r="AJ58" s="905">
        <v>25.882869745752121</v>
      </c>
      <c r="AK58" s="905">
        <v>26.116476228390741</v>
      </c>
      <c r="AL58" s="905">
        <v>26.381827165948849</v>
      </c>
      <c r="AM58" s="905">
        <v>26.62810568597606</v>
      </c>
      <c r="AN58" s="905">
        <v>26.80255528366779</v>
      </c>
      <c r="AO58" s="905">
        <v>26.922414412875654</v>
      </c>
      <c r="AP58" s="905">
        <v>27.030603851572188</v>
      </c>
      <c r="AQ58" s="905">
        <v>27.115391265480778</v>
      </c>
      <c r="AR58" s="905">
        <v>27.205725736842346</v>
      </c>
      <c r="AS58" s="905">
        <v>27.213849457858622</v>
      </c>
      <c r="AT58" s="905">
        <v>27.210207110511778</v>
      </c>
      <c r="AU58" s="905">
        <v>27.230921235571415</v>
      </c>
      <c r="AV58" s="905">
        <v>27.254791689470146</v>
      </c>
      <c r="AW58" s="905">
        <v>27.437432510281653</v>
      </c>
      <c r="AX58" s="905">
        <v>27.472732184068231</v>
      </c>
      <c r="AY58" s="905">
        <v>27.563488432804668</v>
      </c>
      <c r="AZ58" s="905">
        <v>27.636074954702373</v>
      </c>
      <c r="BA58" s="905">
        <v>27.702627689576794</v>
      </c>
      <c r="BB58" s="905">
        <v>27.783121971653884</v>
      </c>
      <c r="BC58" s="905">
        <v>27.874152188303846</v>
      </c>
      <c r="BD58" s="905">
        <v>27.964866455293851</v>
      </c>
      <c r="BE58" s="905">
        <v>28.083294561517736</v>
      </c>
      <c r="BF58" s="905">
        <v>28.193104892640235</v>
      </c>
      <c r="BG58" s="905">
        <v>28.306139471587052</v>
      </c>
      <c r="BH58" s="905">
        <v>28.450739126843793</v>
      </c>
      <c r="BI58" s="905">
        <v>28.565916855423268</v>
      </c>
      <c r="BJ58" s="905">
        <v>28.704632984900812</v>
      </c>
      <c r="BK58" s="905">
        <v>28.822865441028064</v>
      </c>
      <c r="BL58" s="905">
        <v>28.978733509783005</v>
      </c>
      <c r="BM58" s="905">
        <v>29.113384018785936</v>
      </c>
      <c r="BN58" s="905">
        <v>29.248060520050558</v>
      </c>
      <c r="BO58" s="905">
        <v>29.385367875576325</v>
      </c>
      <c r="BP58" s="905">
        <v>29.530553269069365</v>
      </c>
      <c r="BQ58" s="905">
        <v>29.673437907814101</v>
      </c>
      <c r="BR58" s="905">
        <v>29.815613283679586</v>
      </c>
      <c r="BS58" s="905">
        <v>29.957071058679425</v>
      </c>
      <c r="BT58" s="905">
        <v>30.097803285890336</v>
      </c>
      <c r="BU58" s="905">
        <v>30.237802508121852</v>
      </c>
      <c r="BV58" s="905">
        <v>30.377061846008232</v>
      </c>
      <c r="BW58" s="905">
        <v>30.515575100604238</v>
      </c>
      <c r="BX58" s="905">
        <v>30.653336820894054</v>
      </c>
      <c r="BY58" s="905">
        <v>30.790342287726158</v>
      </c>
      <c r="BZ58" s="905">
        <v>30.926587452687848</v>
      </c>
      <c r="CA58" s="905">
        <v>31.06206885219196</v>
      </c>
      <c r="CB58" s="905">
        <v>31.196783498490852</v>
      </c>
      <c r="CC58" s="905">
        <v>31.330728759830212</v>
      </c>
      <c r="CD58" s="905">
        <v>31.463915740676413</v>
      </c>
      <c r="CE58" s="905">
        <v>31.596341480366483</v>
      </c>
      <c r="CF58" s="905">
        <v>31.728003177453086</v>
      </c>
      <c r="CG58" s="905">
        <v>31.858898187217218</v>
      </c>
      <c r="CH58" s="905">
        <v>31.989024019203981</v>
      </c>
      <c r="CI58" s="905">
        <v>32.118378334783728</v>
      </c>
      <c r="CJ58" s="905">
        <v>32.246958944737216</v>
      </c>
      <c r="CK58" s="905">
        <v>32.374763806866483</v>
      </c>
      <c r="CL58" s="905">
        <v>32.501791023630318</v>
      </c>
      <c r="CM58" s="905">
        <v>32.628038839806152</v>
      </c>
      <c r="CN58" s="905">
        <v>32.753505640177124</v>
      </c>
      <c r="CO58" s="905">
        <v>32.878189947244039</v>
      </c>
      <c r="CP58" s="905">
        <v>33.002090418963967</v>
      </c>
      <c r="CQ58" s="905">
        <v>33.125205846513765</v>
      </c>
      <c r="CR58" s="905">
        <v>33.247535152079216</v>
      </c>
      <c r="CS58" s="905">
        <v>33.369077386669204</v>
      </c>
      <c r="CT58" s="905">
        <v>33.48983172795463</v>
      </c>
      <c r="CU58" s="905">
        <v>33.609797478132599</v>
      </c>
      <c r="CV58" s="905">
        <v>33.728974061814966</v>
      </c>
      <c r="CW58" s="905">
        <v>33.84736102394082</v>
      </c>
      <c r="CX58" s="905">
        <v>33.964958027713038</v>
      </c>
      <c r="CY58" s="905">
        <v>34.081764852558365</v>
      </c>
      <c r="CZ58" s="905">
        <v>34.197781392110606</v>
      </c>
      <c r="DA58" s="905">
        <v>34.313007652216982</v>
      </c>
      <c r="DB58" s="905">
        <v>34.427443748966404</v>
      </c>
      <c r="DC58" s="905">
        <v>34.54108990674014</v>
      </c>
      <c r="DD58" s="905">
        <v>34.653946456283997</v>
      </c>
      <c r="DE58" s="905">
        <v>34.766013832802379</v>
      </c>
      <c r="DF58" s="905">
        <v>34.877292574071909</v>
      </c>
      <c r="DG58" s="905">
        <v>34.987783318577087</v>
      </c>
      <c r="DH58" s="905">
        <v>35.097486803664708</v>
      </c>
      <c r="DI58" s="905">
        <v>35.206403863719139</v>
      </c>
      <c r="DJ58" s="905">
        <v>35.314535428355896</v>
      </c>
      <c r="DK58" s="905">
        <v>35.421882520634497</v>
      </c>
      <c r="DL58" s="905">
        <v>35.528446255290604</v>
      </c>
      <c r="DM58" s="905">
        <v>35.634227836984593</v>
      </c>
      <c r="DN58" s="905">
        <v>35.739228558570275</v>
      </c>
      <c r="DO58" s="905">
        <v>35.843449799378988</v>
      </c>
      <c r="DP58" s="905">
        <v>35.946893023522044</v>
      </c>
      <c r="DQ58" s="905">
        <v>36.049559778209833</v>
      </c>
      <c r="DR58" s="905">
        <v>36.151451692086795</v>
      </c>
      <c r="DS58" s="905">
        <v>36.252570473583816</v>
      </c>
      <c r="DT58" s="905">
        <v>36.352917909285267</v>
      </c>
      <c r="DU58" s="905">
        <v>36.452495862312439</v>
      </c>
    </row>
    <row r="59" spans="1:125" s="127" customFormat="1" ht="12.75">
      <c r="A59" s="908">
        <v>57</v>
      </c>
      <c r="B59" s="905"/>
      <c r="C59" s="905"/>
      <c r="D59" s="905"/>
      <c r="E59" s="905"/>
      <c r="F59" s="905"/>
      <c r="G59" s="905"/>
      <c r="H59" s="905"/>
      <c r="I59" s="905"/>
      <c r="J59" s="905"/>
      <c r="K59" s="905"/>
      <c r="L59" s="905"/>
      <c r="M59" s="905"/>
      <c r="N59" s="905"/>
      <c r="O59" s="905"/>
      <c r="P59" s="905"/>
      <c r="Q59" s="905"/>
      <c r="R59" s="905"/>
      <c r="S59" s="905"/>
      <c r="T59" s="905"/>
      <c r="U59" s="905"/>
      <c r="V59" s="905"/>
      <c r="W59" s="905"/>
      <c r="X59" s="905"/>
      <c r="Y59" s="905">
        <v>23.254927168126343</v>
      </c>
      <c r="Z59" s="905">
        <v>23.475806616385505</v>
      </c>
      <c r="AA59" s="905">
        <v>23.638163733932522</v>
      </c>
      <c r="AB59" s="905">
        <v>23.804410271091108</v>
      </c>
      <c r="AC59" s="905">
        <v>23.902566169788397</v>
      </c>
      <c r="AD59" s="905">
        <v>23.941987701919672</v>
      </c>
      <c r="AE59" s="905">
        <v>24.092714033353516</v>
      </c>
      <c r="AF59" s="905">
        <v>24.272125243377083</v>
      </c>
      <c r="AG59" s="905">
        <v>24.456863066356579</v>
      </c>
      <c r="AH59" s="905">
        <v>24.656882855826026</v>
      </c>
      <c r="AI59" s="905">
        <v>24.848352782136132</v>
      </c>
      <c r="AJ59" s="905">
        <v>25.084114475372282</v>
      </c>
      <c r="AK59" s="905">
        <v>25.310510331852257</v>
      </c>
      <c r="AL59" s="905">
        <v>25.572611265499454</v>
      </c>
      <c r="AM59" s="905">
        <v>25.812270225620189</v>
      </c>
      <c r="AN59" s="905">
        <v>25.982657288530323</v>
      </c>
      <c r="AO59" s="905">
        <v>26.10533051914171</v>
      </c>
      <c r="AP59" s="905">
        <v>26.204564297636075</v>
      </c>
      <c r="AQ59" s="905">
        <v>26.284852176028448</v>
      </c>
      <c r="AR59" s="905">
        <v>26.370009276025364</v>
      </c>
      <c r="AS59" s="905">
        <v>26.380788847606247</v>
      </c>
      <c r="AT59" s="905">
        <v>26.371418866527918</v>
      </c>
      <c r="AU59" s="905">
        <v>26.391398942990122</v>
      </c>
      <c r="AV59" s="905">
        <v>26.416235885112357</v>
      </c>
      <c r="AW59" s="905">
        <v>26.592390724985354</v>
      </c>
      <c r="AX59" s="905">
        <v>26.627637617900383</v>
      </c>
      <c r="AY59" s="905">
        <v>26.718412751806266</v>
      </c>
      <c r="AZ59" s="905">
        <v>26.789372782852098</v>
      </c>
      <c r="BA59" s="905">
        <v>26.85190322153948</v>
      </c>
      <c r="BB59" s="905">
        <v>26.935606055174134</v>
      </c>
      <c r="BC59" s="905">
        <v>27.023111361775563</v>
      </c>
      <c r="BD59" s="905">
        <v>27.115590363379582</v>
      </c>
      <c r="BE59" s="905">
        <v>27.22899709343859</v>
      </c>
      <c r="BF59" s="905">
        <v>27.342375655641121</v>
      </c>
      <c r="BG59" s="905">
        <v>27.451099488088225</v>
      </c>
      <c r="BH59" s="905">
        <v>27.594018845317144</v>
      </c>
      <c r="BI59" s="905">
        <v>27.711809501647405</v>
      </c>
      <c r="BJ59" s="905">
        <v>27.846721878232842</v>
      </c>
      <c r="BK59" s="905">
        <v>27.96518500189908</v>
      </c>
      <c r="BL59" s="905">
        <v>28.11319275764177</v>
      </c>
      <c r="BM59" s="905">
        <v>28.247882996547801</v>
      </c>
      <c r="BN59" s="905">
        <v>28.383717622855286</v>
      </c>
      <c r="BO59" s="905">
        <v>28.525243424980232</v>
      </c>
      <c r="BP59" s="905">
        <v>28.666906839579937</v>
      </c>
      <c r="BQ59" s="905">
        <v>28.807889633825646</v>
      </c>
      <c r="BR59" s="905">
        <v>28.948183131409319</v>
      </c>
      <c r="BS59" s="905">
        <v>29.087778918339524</v>
      </c>
      <c r="BT59" s="905">
        <v>29.226668972812998</v>
      </c>
      <c r="BU59" s="905">
        <v>29.364845764307628</v>
      </c>
      <c r="BV59" s="905">
        <v>29.502302341921443</v>
      </c>
      <c r="BW59" s="905">
        <v>29.639032437132499</v>
      </c>
      <c r="BX59" s="905">
        <v>29.775030531131414</v>
      </c>
      <c r="BY59" s="905">
        <v>29.910291838079566</v>
      </c>
      <c r="BZ59" s="905">
        <v>30.044812243105042</v>
      </c>
      <c r="CA59" s="905">
        <v>30.178588215464053</v>
      </c>
      <c r="CB59" s="905">
        <v>30.311616698647022</v>
      </c>
      <c r="CC59" s="905">
        <v>30.44390897215985</v>
      </c>
      <c r="CD59" s="905">
        <v>30.575461829303002</v>
      </c>
      <c r="CE59" s="905">
        <v>30.706272221769801</v>
      </c>
      <c r="CF59" s="905">
        <v>30.836337257248751</v>
      </c>
      <c r="CG59" s="905">
        <v>30.965654197049027</v>
      </c>
      <c r="CH59" s="905">
        <v>31.094220453747951</v>
      </c>
      <c r="CI59" s="905">
        <v>31.222033588862757</v>
      </c>
      <c r="CJ59" s="905">
        <v>31.349091310545163</v>
      </c>
      <c r="CK59" s="905">
        <v>31.475391471300313</v>
      </c>
      <c r="CL59" s="905">
        <v>31.600932065729133</v>
      </c>
      <c r="CM59" s="905">
        <v>31.725711228295541</v>
      </c>
      <c r="CN59" s="905">
        <v>31.849727231117519</v>
      </c>
      <c r="CO59" s="905">
        <v>31.972978481781531</v>
      </c>
      <c r="CP59" s="905">
        <v>32.095463521182026</v>
      </c>
      <c r="CQ59" s="905">
        <v>32.217181021384349</v>
      </c>
      <c r="CR59" s="905">
        <v>32.33812978351159</v>
      </c>
      <c r="CS59" s="905">
        <v>32.458308735654846</v>
      </c>
      <c r="CT59" s="905">
        <v>32.577716930806552</v>
      </c>
      <c r="CU59" s="905">
        <v>32.696353544817427</v>
      </c>
      <c r="CV59" s="905">
        <v>32.814217874375949</v>
      </c>
      <c r="CW59" s="905">
        <v>32.931309335010162</v>
      </c>
      <c r="CX59" s="905">
        <v>33.047627459111681</v>
      </c>
      <c r="CY59" s="905">
        <v>33.163171893981556</v>
      </c>
      <c r="CZ59" s="905">
        <v>33.277942399897377</v>
      </c>
      <c r="DA59" s="905">
        <v>33.391938848201875</v>
      </c>
      <c r="DB59" s="905">
        <v>33.505161219411519</v>
      </c>
      <c r="DC59" s="905">
        <v>33.617609601345826</v>
      </c>
      <c r="DD59" s="905">
        <v>33.729284187276406</v>
      </c>
      <c r="DE59" s="905">
        <v>33.840185274095923</v>
      </c>
      <c r="DF59" s="905">
        <v>33.950313260505098</v>
      </c>
      <c r="DG59" s="905">
        <v>34.059668645219787</v>
      </c>
      <c r="DH59" s="905">
        <v>34.168252025195073</v>
      </c>
      <c r="DI59" s="905">
        <v>34.276064093868563</v>
      </c>
      <c r="DJ59" s="905">
        <v>34.383105639420094</v>
      </c>
      <c r="DK59" s="905">
        <v>34.48937754304913</v>
      </c>
      <c r="DL59" s="905">
        <v>34.594880777269552</v>
      </c>
      <c r="DM59" s="905">
        <v>34.699616404219398</v>
      </c>
      <c r="DN59" s="905">
        <v>34.803585573988798</v>
      </c>
      <c r="DO59" s="905">
        <v>34.906789522961844</v>
      </c>
      <c r="DP59" s="905">
        <v>35.009229572175045</v>
      </c>
      <c r="DQ59" s="905">
        <v>35.110907125690787</v>
      </c>
      <c r="DR59" s="905">
        <v>35.211823668985097</v>
      </c>
      <c r="DS59" s="905">
        <v>35.311980767351272</v>
      </c>
      <c r="DT59" s="905">
        <v>35.411380064316461</v>
      </c>
      <c r="DU59" s="905">
        <v>35.51002328007317</v>
      </c>
    </row>
    <row r="60" spans="1:125" s="127" customFormat="1" ht="12.75">
      <c r="A60" s="908">
        <v>58</v>
      </c>
      <c r="B60" s="905"/>
      <c r="C60" s="905"/>
      <c r="D60" s="905"/>
      <c r="E60" s="905"/>
      <c r="F60" s="905"/>
      <c r="G60" s="905"/>
      <c r="H60" s="905"/>
      <c r="I60" s="905"/>
      <c r="J60" s="905"/>
      <c r="K60" s="905"/>
      <c r="L60" s="905"/>
      <c r="M60" s="905"/>
      <c r="N60" s="905"/>
      <c r="O60" s="905"/>
      <c r="P60" s="905"/>
      <c r="Q60" s="905"/>
      <c r="R60" s="905"/>
      <c r="S60" s="905"/>
      <c r="T60" s="905"/>
      <c r="U60" s="905"/>
      <c r="V60" s="905"/>
      <c r="W60" s="905"/>
      <c r="X60" s="905"/>
      <c r="Y60" s="905">
        <v>22.483643655721234</v>
      </c>
      <c r="Z60" s="905">
        <v>22.69556980264591</v>
      </c>
      <c r="AA60" s="905">
        <v>22.860238509233174</v>
      </c>
      <c r="AB60" s="905">
        <v>23.020009236424237</v>
      </c>
      <c r="AC60" s="905">
        <v>23.118193224636773</v>
      </c>
      <c r="AD60" s="905">
        <v>23.157113268018954</v>
      </c>
      <c r="AE60" s="905">
        <v>23.308910104687136</v>
      </c>
      <c r="AF60" s="905">
        <v>23.485529206696437</v>
      </c>
      <c r="AG60" s="905">
        <v>23.666338131603382</v>
      </c>
      <c r="AH60" s="905">
        <v>23.871553999438937</v>
      </c>
      <c r="AI60" s="905">
        <v>24.062783012198935</v>
      </c>
      <c r="AJ60" s="905">
        <v>24.290862650198335</v>
      </c>
      <c r="AK60" s="905">
        <v>24.512253691436392</v>
      </c>
      <c r="AL60" s="905">
        <v>24.774582466504654</v>
      </c>
      <c r="AM60" s="905">
        <v>25.00536654967182</v>
      </c>
      <c r="AN60" s="905">
        <v>25.174223380001763</v>
      </c>
      <c r="AO60" s="905">
        <v>25.290728603528102</v>
      </c>
      <c r="AP60" s="905">
        <v>25.385247819118732</v>
      </c>
      <c r="AQ60" s="905">
        <v>25.460040082490536</v>
      </c>
      <c r="AR60" s="905">
        <v>25.542906703320956</v>
      </c>
      <c r="AS60" s="905">
        <v>25.552748297241038</v>
      </c>
      <c r="AT60" s="905">
        <v>25.544193072415684</v>
      </c>
      <c r="AU60" s="905">
        <v>25.562331858243361</v>
      </c>
      <c r="AV60" s="905">
        <v>25.584349517597179</v>
      </c>
      <c r="AW60" s="905">
        <v>25.755441628832617</v>
      </c>
      <c r="AX60" s="905">
        <v>25.788193882220718</v>
      </c>
      <c r="AY60" s="905">
        <v>25.870055474147755</v>
      </c>
      <c r="AZ60" s="905">
        <v>25.947906719518024</v>
      </c>
      <c r="BA60" s="905">
        <v>26.007251613332855</v>
      </c>
      <c r="BB60" s="905">
        <v>26.093227877772712</v>
      </c>
      <c r="BC60" s="905">
        <v>26.181043144760601</v>
      </c>
      <c r="BD60" s="905">
        <v>26.271610170066189</v>
      </c>
      <c r="BE60" s="905">
        <v>26.388170368723948</v>
      </c>
      <c r="BF60" s="905">
        <v>26.493793170067466</v>
      </c>
      <c r="BG60" s="905">
        <v>26.608331826509634</v>
      </c>
      <c r="BH60" s="905">
        <v>26.745440967993531</v>
      </c>
      <c r="BI60" s="905">
        <v>26.864372890420796</v>
      </c>
      <c r="BJ60" s="905">
        <v>26.994703635838249</v>
      </c>
      <c r="BK60" s="905">
        <v>27.114111936834572</v>
      </c>
      <c r="BL60" s="905">
        <v>27.256403392382996</v>
      </c>
      <c r="BM60" s="905">
        <v>27.390985844023113</v>
      </c>
      <c r="BN60" s="905">
        <v>27.531356857860221</v>
      </c>
      <c r="BO60" s="905">
        <v>27.671647956806243</v>
      </c>
      <c r="BP60" s="905">
        <v>27.811288084507229</v>
      </c>
      <c r="BQ60" s="905">
        <v>27.950268386626931</v>
      </c>
      <c r="BR60" s="905">
        <v>28.088580114907849</v>
      </c>
      <c r="BS60" s="905">
        <v>28.22621478391806</v>
      </c>
      <c r="BT60" s="905">
        <v>28.363164301678431</v>
      </c>
      <c r="BU60" s="905">
        <v>28.499421069213824</v>
      </c>
      <c r="BV60" s="905">
        <v>28.634978069156347</v>
      </c>
      <c r="BW60" s="905">
        <v>28.769828968677626</v>
      </c>
      <c r="BX60" s="905">
        <v>28.903968186619093</v>
      </c>
      <c r="BY60" s="905">
        <v>29.037390875998344</v>
      </c>
      <c r="BZ60" s="905">
        <v>29.170092861032209</v>
      </c>
      <c r="CA60" s="905">
        <v>29.302070549274916</v>
      </c>
      <c r="CB60" s="905">
        <v>29.433335236120925</v>
      </c>
      <c r="CC60" s="905">
        <v>29.563883477106081</v>
      </c>
      <c r="CD60" s="905">
        <v>29.693711984736389</v>
      </c>
      <c r="CE60" s="905">
        <v>29.822817626193469</v>
      </c>
      <c r="CF60" s="905">
        <v>29.951197421060712</v>
      </c>
      <c r="CG60" s="905">
        <v>30.078848539071426</v>
      </c>
      <c r="CH60" s="905">
        <v>30.205768297877896</v>
      </c>
      <c r="CI60" s="905">
        <v>30.331954160843431</v>
      </c>
      <c r="CJ60" s="905">
        <v>30.457403734855966</v>
      </c>
      <c r="CK60" s="905">
        <v>30.582114768164548</v>
      </c>
      <c r="CL60" s="905">
        <v>30.70608514823784</v>
      </c>
      <c r="CM60" s="905">
        <v>30.829312899645956</v>
      </c>
      <c r="CN60" s="905">
        <v>30.951796181964561</v>
      </c>
      <c r="CO60" s="905">
        <v>31.073533287700698</v>
      </c>
      <c r="CP60" s="905">
        <v>31.19452264024207</v>
      </c>
      <c r="CQ60" s="905">
        <v>31.314762791827906</v>
      </c>
      <c r="CR60" s="905">
        <v>31.434252421542134</v>
      </c>
      <c r="CS60" s="905">
        <v>31.552990333328125</v>
      </c>
      <c r="CT60" s="905">
        <v>31.670975454024678</v>
      </c>
      <c r="CU60" s="905">
        <v>31.788206831423807</v>
      </c>
      <c r="CV60" s="905">
        <v>31.904683632349208</v>
      </c>
      <c r="CW60" s="905">
        <v>32.020405140755102</v>
      </c>
      <c r="CX60" s="905">
        <v>32.135370755845493</v>
      </c>
      <c r="CY60" s="905">
        <v>32.249579990213249</v>
      </c>
      <c r="CZ60" s="905">
        <v>32.363032467998643</v>
      </c>
      <c r="DA60" s="905">
        <v>32.475727923067325</v>
      </c>
      <c r="DB60" s="905">
        <v>32.587666197206481</v>
      </c>
      <c r="DC60" s="905">
        <v>32.698847238339688</v>
      </c>
      <c r="DD60" s="905">
        <v>32.809271098759595</v>
      </c>
      <c r="DE60" s="905">
        <v>32.918937933378686</v>
      </c>
      <c r="DF60" s="905">
        <v>33.02784799799597</v>
      </c>
      <c r="DG60" s="905">
        <v>33.13600164758202</v>
      </c>
      <c r="DH60" s="905">
        <v>33.243399334579053</v>
      </c>
      <c r="DI60" s="905">
        <v>33.350041607218245</v>
      </c>
      <c r="DJ60" s="905">
        <v>33.455929107851702</v>
      </c>
      <c r="DK60" s="905">
        <v>33.561062571300148</v>
      </c>
      <c r="DL60" s="905">
        <v>33.665442823216253</v>
      </c>
      <c r="DM60" s="905">
        <v>33.769070778460922</v>
      </c>
      <c r="DN60" s="905">
        <v>33.87194743949614</v>
      </c>
      <c r="DO60" s="905">
        <v>33.974073894789832</v>
      </c>
      <c r="DP60" s="905">
        <v>34.075451317235505</v>
      </c>
      <c r="DQ60" s="905">
        <v>34.176080962585274</v>
      </c>
      <c r="DR60" s="905">
        <v>34.27596416789531</v>
      </c>
      <c r="DS60" s="905">
        <v>34.375102349985482</v>
      </c>
      <c r="DT60" s="905">
        <v>34.47349700391031</v>
      </c>
      <c r="DU60" s="905">
        <v>34.571149701443062</v>
      </c>
    </row>
    <row r="61" spans="1:125" s="127" customFormat="1" ht="12.75">
      <c r="A61" s="908">
        <v>59</v>
      </c>
      <c r="B61" s="905"/>
      <c r="C61" s="905"/>
      <c r="D61" s="905"/>
      <c r="E61" s="905"/>
      <c r="F61" s="905"/>
      <c r="G61" s="905"/>
      <c r="H61" s="905"/>
      <c r="I61" s="905"/>
      <c r="J61" s="905"/>
      <c r="K61" s="905"/>
      <c r="L61" s="905"/>
      <c r="M61" s="905"/>
      <c r="N61" s="905"/>
      <c r="O61" s="905"/>
      <c r="P61" s="905"/>
      <c r="Q61" s="905"/>
      <c r="R61" s="905"/>
      <c r="S61" s="905"/>
      <c r="T61" s="905"/>
      <c r="U61" s="905"/>
      <c r="V61" s="905"/>
      <c r="W61" s="905"/>
      <c r="X61" s="905"/>
      <c r="Y61" s="905">
        <v>21.722613519497926</v>
      </c>
      <c r="Z61" s="905">
        <v>21.926097591860739</v>
      </c>
      <c r="AA61" s="905">
        <v>22.085978363639725</v>
      </c>
      <c r="AB61" s="905">
        <v>22.251770997887906</v>
      </c>
      <c r="AC61" s="905">
        <v>22.342337090964477</v>
      </c>
      <c r="AD61" s="905">
        <v>22.384655108420382</v>
      </c>
      <c r="AE61" s="905">
        <v>22.531144201993712</v>
      </c>
      <c r="AF61" s="905">
        <v>22.709508220148479</v>
      </c>
      <c r="AG61" s="905">
        <v>22.890354027050673</v>
      </c>
      <c r="AH61" s="905">
        <v>23.09334122110489</v>
      </c>
      <c r="AI61" s="905">
        <v>23.283979307713949</v>
      </c>
      <c r="AJ61" s="905">
        <v>23.509586079740302</v>
      </c>
      <c r="AK61" s="905">
        <v>23.725411097553298</v>
      </c>
      <c r="AL61" s="905">
        <v>23.977975043449668</v>
      </c>
      <c r="AM61" s="905">
        <v>24.206397799834285</v>
      </c>
      <c r="AN61" s="905">
        <v>24.365010247644577</v>
      </c>
      <c r="AO61" s="905">
        <v>24.478753082405326</v>
      </c>
      <c r="AP61" s="905">
        <v>24.564787152270902</v>
      </c>
      <c r="AQ61" s="905">
        <v>24.641296429886836</v>
      </c>
      <c r="AR61" s="905">
        <v>24.720936488451009</v>
      </c>
      <c r="AS61" s="905">
        <v>24.73012791859334</v>
      </c>
      <c r="AT61" s="905">
        <v>24.725129530754231</v>
      </c>
      <c r="AU61" s="905">
        <v>24.740275159676038</v>
      </c>
      <c r="AV61" s="905">
        <v>24.760415514590591</v>
      </c>
      <c r="AW61" s="905">
        <v>24.923526296112662</v>
      </c>
      <c r="AX61" s="905">
        <v>24.958475185560218</v>
      </c>
      <c r="AY61" s="905">
        <v>25.035941950440353</v>
      </c>
      <c r="AZ61" s="905">
        <v>25.113135961058461</v>
      </c>
      <c r="BA61" s="905">
        <v>25.171927853300048</v>
      </c>
      <c r="BB61" s="905">
        <v>25.262037638709536</v>
      </c>
      <c r="BC61" s="905">
        <v>25.345847235698027</v>
      </c>
      <c r="BD61" s="905">
        <v>25.438485248157143</v>
      </c>
      <c r="BE61" s="905">
        <v>25.55060102119737</v>
      </c>
      <c r="BF61" s="905">
        <v>25.657263852785597</v>
      </c>
      <c r="BG61" s="905">
        <v>25.775241064607187</v>
      </c>
      <c r="BH61" s="905">
        <v>25.907017780014485</v>
      </c>
      <c r="BI61" s="905">
        <v>26.024891454347348</v>
      </c>
      <c r="BJ61" s="905">
        <v>26.146894299169603</v>
      </c>
      <c r="BK61" s="905">
        <v>26.269150579606471</v>
      </c>
      <c r="BL61" s="905">
        <v>26.41276729953816</v>
      </c>
      <c r="BM61" s="905">
        <v>26.549976816815143</v>
      </c>
      <c r="BN61" s="905">
        <v>26.68873030558278</v>
      </c>
      <c r="BO61" s="905">
        <v>26.826863431269004</v>
      </c>
      <c r="BP61" s="905">
        <v>26.964367352564949</v>
      </c>
      <c r="BQ61" s="905">
        <v>27.101233146555998</v>
      </c>
      <c r="BR61" s="905">
        <v>27.237451995974602</v>
      </c>
      <c r="BS61" s="905">
        <v>27.373015347038294</v>
      </c>
      <c r="BT61" s="905">
        <v>27.507915040901754</v>
      </c>
      <c r="BU61" s="905">
        <v>27.642143413704538</v>
      </c>
      <c r="BV61" s="905">
        <v>27.775693385456133</v>
      </c>
      <c r="BW61" s="905">
        <v>27.908558563147555</v>
      </c>
      <c r="BX61" s="905">
        <v>28.040733307646875</v>
      </c>
      <c r="BY61" s="905">
        <v>28.172212715365035</v>
      </c>
      <c r="BZ61" s="905">
        <v>28.302992554195683</v>
      </c>
      <c r="CA61" s="905">
        <v>28.433083859542499</v>
      </c>
      <c r="CB61" s="905">
        <v>28.562482957944233</v>
      </c>
      <c r="CC61" s="905">
        <v>28.69118633083076</v>
      </c>
      <c r="CD61" s="905">
        <v>28.819190612345778</v>
      </c>
      <c r="CE61" s="905">
        <v>28.946492587188395</v>
      </c>
      <c r="CF61" s="905">
        <v>29.07308918847427</v>
      </c>
      <c r="CG61" s="905">
        <v>29.198977495617598</v>
      </c>
      <c r="CH61" s="905">
        <v>29.324154732232625</v>
      </c>
      <c r="CI61" s="905">
        <v>29.44861826405684</v>
      </c>
      <c r="CJ61" s="905">
        <v>29.572365596894169</v>
      </c>
      <c r="CK61" s="905">
        <v>29.695394374579607</v>
      </c>
      <c r="CL61" s="905">
        <v>29.817702376964142</v>
      </c>
      <c r="CM61" s="905">
        <v>29.939287517921429</v>
      </c>
      <c r="CN61" s="905">
        <v>30.060147843374924</v>
      </c>
      <c r="CO61" s="905">
        <v>30.18028152934501</v>
      </c>
      <c r="CP61" s="905">
        <v>30.299686880017688</v>
      </c>
      <c r="CQ61" s="905">
        <v>30.41836232583303</v>
      </c>
      <c r="CR61" s="905">
        <v>30.536306421593977</v>
      </c>
      <c r="CS61" s="905">
        <v>30.653517844594766</v>
      </c>
      <c r="CT61" s="905">
        <v>30.769995392768635</v>
      </c>
      <c r="CU61" s="905">
        <v>30.885737982855293</v>
      </c>
      <c r="CV61" s="905">
        <v>31.000744648587073</v>
      </c>
      <c r="CW61" s="905">
        <v>31.11501453889338</v>
      </c>
      <c r="CX61" s="905">
        <v>31.228546916123509</v>
      </c>
      <c r="CY61" s="905">
        <v>31.3413411542872</v>
      </c>
      <c r="CZ61" s="905">
        <v>31.453396737312591</v>
      </c>
      <c r="DA61" s="905">
        <v>31.564713257321479</v>
      </c>
      <c r="DB61" s="905">
        <v>31.675290412920667</v>
      </c>
      <c r="DC61" s="905">
        <v>31.78512800751</v>
      </c>
      <c r="DD61" s="905">
        <v>31.89422594760601</v>
      </c>
      <c r="DE61" s="905">
        <v>32.002584241181601</v>
      </c>
      <c r="DF61" s="905">
        <v>32.11020299601968</v>
      </c>
      <c r="DG61" s="905">
        <v>32.217082418082875</v>
      </c>
      <c r="DH61" s="905">
        <v>32.323222809896386</v>
      </c>
      <c r="DI61" s="905">
        <v>32.428624568945963</v>
      </c>
      <c r="DJ61" s="905">
        <v>32.533288186088498</v>
      </c>
      <c r="DK61" s="905">
        <v>32.637214243976317</v>
      </c>
      <c r="DL61" s="905">
        <v>32.740403415495088</v>
      </c>
      <c r="DM61" s="905">
        <v>32.842856462212808</v>
      </c>
      <c r="DN61" s="905">
        <v>32.944574232843195</v>
      </c>
      <c r="DO61" s="905">
        <v>33.0455576617193</v>
      </c>
      <c r="DP61" s="905">
        <v>33.145807767279948</v>
      </c>
      <c r="DQ61" s="905">
        <v>33.245325650567608</v>
      </c>
      <c r="DR61" s="905">
        <v>33.344112493736816</v>
      </c>
      <c r="DS61" s="905">
        <v>33.442169558575046</v>
      </c>
      <c r="DT61" s="905">
        <v>33.539498185032855</v>
      </c>
      <c r="DU61" s="905">
        <v>33.636099789765616</v>
      </c>
    </row>
    <row r="62" spans="1:125" s="127" customFormat="1" ht="12.75">
      <c r="A62" s="908">
        <v>60</v>
      </c>
      <c r="B62" s="905"/>
      <c r="C62" s="905"/>
      <c r="D62" s="905"/>
      <c r="E62" s="905"/>
      <c r="F62" s="905"/>
      <c r="G62" s="905"/>
      <c r="H62" s="905"/>
      <c r="I62" s="905"/>
      <c r="J62" s="905"/>
      <c r="K62" s="905"/>
      <c r="L62" s="905"/>
      <c r="M62" s="905"/>
      <c r="N62" s="905"/>
      <c r="O62" s="905"/>
      <c r="P62" s="905"/>
      <c r="Q62" s="905"/>
      <c r="R62" s="905"/>
      <c r="S62" s="905"/>
      <c r="T62" s="905"/>
      <c r="U62" s="905"/>
      <c r="V62" s="905"/>
      <c r="W62" s="905"/>
      <c r="X62" s="905"/>
      <c r="Y62" s="905">
        <v>20.969827587667204</v>
      </c>
      <c r="Z62" s="905">
        <v>21.163943689562753</v>
      </c>
      <c r="AA62" s="905">
        <v>21.324630274447028</v>
      </c>
      <c r="AB62" s="905">
        <v>21.487169372778695</v>
      </c>
      <c r="AC62" s="905">
        <v>21.574417040275076</v>
      </c>
      <c r="AD62" s="905">
        <v>21.621216297764352</v>
      </c>
      <c r="AE62" s="905">
        <v>21.76475645907459</v>
      </c>
      <c r="AF62" s="905">
        <v>21.944785637145799</v>
      </c>
      <c r="AG62" s="905">
        <v>22.127341984068821</v>
      </c>
      <c r="AH62" s="905">
        <v>22.326584483324005</v>
      </c>
      <c r="AI62" s="905">
        <v>22.515545317075169</v>
      </c>
      <c r="AJ62" s="905">
        <v>22.730851906403814</v>
      </c>
      <c r="AK62" s="905">
        <v>22.94695265238326</v>
      </c>
      <c r="AL62" s="905">
        <v>23.194865668440634</v>
      </c>
      <c r="AM62" s="905">
        <v>23.411773839968756</v>
      </c>
      <c r="AN62" s="905">
        <v>23.564527146494218</v>
      </c>
      <c r="AO62" s="905">
        <v>23.673738726717829</v>
      </c>
      <c r="AP62" s="905">
        <v>23.751701607361063</v>
      </c>
      <c r="AQ62" s="905">
        <v>23.830166221762319</v>
      </c>
      <c r="AR62" s="905">
        <v>23.902335830598147</v>
      </c>
      <c r="AS62" s="905">
        <v>23.91622014331687</v>
      </c>
      <c r="AT62" s="905">
        <v>23.90698085746115</v>
      </c>
      <c r="AU62" s="905">
        <v>23.922691768050989</v>
      </c>
      <c r="AV62" s="905">
        <v>23.939870189813412</v>
      </c>
      <c r="AW62" s="905">
        <v>24.094504625802749</v>
      </c>
      <c r="AX62" s="905">
        <v>24.130321172931509</v>
      </c>
      <c r="AY62" s="905">
        <v>24.211212336190957</v>
      </c>
      <c r="AZ62" s="905">
        <v>24.28218846035405</v>
      </c>
      <c r="BA62" s="905">
        <v>24.345489919417055</v>
      </c>
      <c r="BB62" s="905">
        <v>24.436483019247277</v>
      </c>
      <c r="BC62" s="905">
        <v>24.523263190415864</v>
      </c>
      <c r="BD62" s="905">
        <v>24.610667052866248</v>
      </c>
      <c r="BE62" s="905">
        <v>24.726451621029817</v>
      </c>
      <c r="BF62" s="905">
        <v>24.828707262817748</v>
      </c>
      <c r="BG62" s="905">
        <v>24.945382804596335</v>
      </c>
      <c r="BH62" s="905">
        <v>25.076666709679934</v>
      </c>
      <c r="BI62" s="905">
        <v>25.191977019748158</v>
      </c>
      <c r="BJ62" s="905">
        <v>25.31087932339365</v>
      </c>
      <c r="BK62" s="905">
        <v>25.440414297510678</v>
      </c>
      <c r="BL62" s="905">
        <v>25.582122369231872</v>
      </c>
      <c r="BM62" s="905">
        <v>25.719159816840438</v>
      </c>
      <c r="BN62" s="905">
        <v>25.855608280075643</v>
      </c>
      <c r="BO62" s="905">
        <v>25.991459260781411</v>
      </c>
      <c r="BP62" s="905">
        <v>26.126703851863507</v>
      </c>
      <c r="BQ62" s="905">
        <v>26.261333062833451</v>
      </c>
      <c r="BR62" s="905">
        <v>26.395338008547103</v>
      </c>
      <c r="BS62" s="905">
        <v>26.528710068237771</v>
      </c>
      <c r="BT62" s="905">
        <v>26.661441017868938</v>
      </c>
      <c r="BU62" s="905">
        <v>26.793523130719294</v>
      </c>
      <c r="BV62" s="905">
        <v>26.924949266567079</v>
      </c>
      <c r="BW62" s="905">
        <v>27.055712974986157</v>
      </c>
      <c r="BX62" s="905">
        <v>27.185808561967463</v>
      </c>
      <c r="BY62" s="905">
        <v>27.315231070641985</v>
      </c>
      <c r="BZ62" s="905">
        <v>27.443990891229248</v>
      </c>
      <c r="CA62" s="905">
        <v>27.572084130483063</v>
      </c>
      <c r="CB62" s="905">
        <v>27.699507047260923</v>
      </c>
      <c r="CC62" s="905">
        <v>27.826256050477902</v>
      </c>
      <c r="CD62" s="905">
        <v>27.952327697079046</v>
      </c>
      <c r="CE62" s="905">
        <v>28.077718690029574</v>
      </c>
      <c r="CF62" s="905">
        <v>28.202425876323318</v>
      </c>
      <c r="CG62" s="905">
        <v>28.326446245010608</v>
      </c>
      <c r="CH62" s="905">
        <v>28.449776925244251</v>
      </c>
      <c r="CI62" s="905">
        <v>28.572415184345573</v>
      </c>
      <c r="CJ62" s="905">
        <v>28.694358425888815</v>
      </c>
      <c r="CK62" s="905">
        <v>28.815604187805278</v>
      </c>
      <c r="CL62" s="905">
        <v>28.936150140505866</v>
      </c>
      <c r="CM62" s="905">
        <v>29.055994085023631</v>
      </c>
      <c r="CN62" s="905">
        <v>29.175133951174761</v>
      </c>
      <c r="CO62" s="905">
        <v>29.293567795737584</v>
      </c>
      <c r="CP62" s="905">
        <v>29.41129380065119</v>
      </c>
      <c r="CQ62" s="905">
        <v>29.528310271231621</v>
      </c>
      <c r="CR62" s="905">
        <v>29.644615634406406</v>
      </c>
      <c r="CS62" s="905">
        <v>29.760208436966526</v>
      </c>
      <c r="CT62" s="905">
        <v>29.875087343835443</v>
      </c>
      <c r="CU62" s="905">
        <v>29.989251136355801</v>
      </c>
      <c r="CV62" s="905">
        <v>30.102698710592481</v>
      </c>
      <c r="CW62" s="905">
        <v>30.215429075651777</v>
      </c>
      <c r="CX62" s="905">
        <v>30.327441352016656</v>
      </c>
      <c r="CY62" s="905">
        <v>30.438734769897486</v>
      </c>
      <c r="CZ62" s="905">
        <v>30.549308667597941</v>
      </c>
      <c r="DA62" s="905">
        <v>30.659162489895849</v>
      </c>
      <c r="DB62" s="905">
        <v>30.768295786437918</v>
      </c>
      <c r="DC62" s="905">
        <v>30.876708210148863</v>
      </c>
      <c r="DD62" s="905">
        <v>30.984399515653838</v>
      </c>
      <c r="DE62" s="905">
        <v>31.09136955771465</v>
      </c>
      <c r="DF62" s="905">
        <v>31.197618289677685</v>
      </c>
      <c r="DG62" s="905">
        <v>31.303145761935632</v>
      </c>
      <c r="DH62" s="905">
        <v>31.40795212040014</v>
      </c>
      <c r="DI62" s="905">
        <v>31.512037604987331</v>
      </c>
      <c r="DJ62" s="905">
        <v>31.615402548113785</v>
      </c>
      <c r="DK62" s="905">
        <v>31.718047373203991</v>
      </c>
      <c r="DL62" s="905">
        <v>31.819972593209236</v>
      </c>
      <c r="DM62" s="905">
        <v>31.921178809135448</v>
      </c>
      <c r="DN62" s="905">
        <v>32.021666708583311</v>
      </c>
      <c r="DO62" s="905">
        <v>32.121437064296515</v>
      </c>
      <c r="DP62" s="905">
        <v>32.220490732720677</v>
      </c>
      <c r="DQ62" s="905">
        <v>32.318828652571732</v>
      </c>
      <c r="DR62" s="905">
        <v>32.416451843412808</v>
      </c>
      <c r="DS62" s="905">
        <v>32.513361404241493</v>
      </c>
      <c r="DT62" s="905">
        <v>32.609558512084519</v>
      </c>
      <c r="DU62" s="905">
        <v>32.705044420601965</v>
      </c>
    </row>
    <row r="63" spans="1:125" s="127" customFormat="1" ht="12.75">
      <c r="A63" s="908">
        <v>61</v>
      </c>
      <c r="B63" s="905"/>
      <c r="C63" s="905"/>
      <c r="D63" s="905"/>
      <c r="E63" s="905"/>
      <c r="F63" s="905"/>
      <c r="G63" s="905"/>
      <c r="H63" s="905"/>
      <c r="I63" s="905"/>
      <c r="J63" s="905"/>
      <c r="K63" s="905"/>
      <c r="L63" s="905"/>
      <c r="M63" s="905"/>
      <c r="N63" s="905"/>
      <c r="O63" s="905"/>
      <c r="P63" s="905"/>
      <c r="Q63" s="905"/>
      <c r="R63" s="905"/>
      <c r="S63" s="905"/>
      <c r="T63" s="905"/>
      <c r="U63" s="905"/>
      <c r="V63" s="905"/>
      <c r="W63" s="905"/>
      <c r="X63" s="905"/>
      <c r="Y63" s="905">
        <v>20.223793678290356</v>
      </c>
      <c r="Z63" s="905">
        <v>20.415739764963739</v>
      </c>
      <c r="AA63" s="905">
        <v>20.575182420364435</v>
      </c>
      <c r="AB63" s="905">
        <v>20.732672936179927</v>
      </c>
      <c r="AC63" s="905">
        <v>20.817743402775072</v>
      </c>
      <c r="AD63" s="905">
        <v>20.868129319259108</v>
      </c>
      <c r="AE63" s="905">
        <v>21.010824829786813</v>
      </c>
      <c r="AF63" s="905">
        <v>21.198830487860107</v>
      </c>
      <c r="AG63" s="905">
        <v>21.372112931924214</v>
      </c>
      <c r="AH63" s="905">
        <v>21.569549018850921</v>
      </c>
      <c r="AI63" s="905">
        <v>21.7524085729776</v>
      </c>
      <c r="AJ63" s="905">
        <v>21.963978135357571</v>
      </c>
      <c r="AK63" s="905">
        <v>22.177058274111495</v>
      </c>
      <c r="AL63" s="905">
        <v>22.413900944158371</v>
      </c>
      <c r="AM63" s="905">
        <v>22.623306607006917</v>
      </c>
      <c r="AN63" s="905">
        <v>22.76898916329889</v>
      </c>
      <c r="AO63" s="905">
        <v>22.875697687802564</v>
      </c>
      <c r="AP63" s="905">
        <v>22.948010527335398</v>
      </c>
      <c r="AQ63" s="905">
        <v>23.023289851672615</v>
      </c>
      <c r="AR63" s="905">
        <v>23.0936613205577</v>
      </c>
      <c r="AS63" s="905">
        <v>23.103398654391818</v>
      </c>
      <c r="AT63" s="905">
        <v>23.097533931421925</v>
      </c>
      <c r="AU63" s="905">
        <v>23.108558893395063</v>
      </c>
      <c r="AV63" s="905">
        <v>23.125847054970173</v>
      </c>
      <c r="AW63" s="905">
        <v>23.27786747229905</v>
      </c>
      <c r="AX63" s="905">
        <v>23.315869582517472</v>
      </c>
      <c r="AY63" s="905">
        <v>23.393128825272235</v>
      </c>
      <c r="AZ63" s="905">
        <v>23.467268661007903</v>
      </c>
      <c r="BA63" s="905">
        <v>23.531705775742772</v>
      </c>
      <c r="BB63" s="905">
        <v>23.620666693918331</v>
      </c>
      <c r="BC63" s="905">
        <v>23.701829795034183</v>
      </c>
      <c r="BD63" s="905">
        <v>23.798297966345537</v>
      </c>
      <c r="BE63" s="905">
        <v>23.908171609036192</v>
      </c>
      <c r="BF63" s="905">
        <v>24.010367286875937</v>
      </c>
      <c r="BG63" s="905">
        <v>24.126209144383015</v>
      </c>
      <c r="BH63" s="905">
        <v>24.25159530223776</v>
      </c>
      <c r="BI63" s="905">
        <v>24.367852102819732</v>
      </c>
      <c r="BJ63" s="905">
        <v>24.491922892878868</v>
      </c>
      <c r="BK63" s="905">
        <v>24.628674320407566</v>
      </c>
      <c r="BL63" s="905">
        <v>24.76380638774976</v>
      </c>
      <c r="BM63" s="905">
        <v>24.89838127810318</v>
      </c>
      <c r="BN63" s="905">
        <v>25.032391307077862</v>
      </c>
      <c r="BO63" s="905">
        <v>25.165827915286936</v>
      </c>
      <c r="BP63" s="905">
        <v>25.298682128607204</v>
      </c>
      <c r="BQ63" s="905">
        <v>25.430944887804536</v>
      </c>
      <c r="BR63" s="905">
        <v>25.56260723890108</v>
      </c>
      <c r="BS63" s="905">
        <v>25.693660493515772</v>
      </c>
      <c r="BT63" s="905">
        <v>25.824096362198908</v>
      </c>
      <c r="BU63" s="905">
        <v>25.953907055596879</v>
      </c>
      <c r="BV63" s="905">
        <v>26.083085373952258</v>
      </c>
      <c r="BW63" s="905">
        <v>26.211624810587235</v>
      </c>
      <c r="BX63" s="905">
        <v>26.339519618204697</v>
      </c>
      <c r="BY63" s="905">
        <v>26.466779064846826</v>
      </c>
      <c r="BZ63" s="905">
        <v>26.593399047049971</v>
      </c>
      <c r="CA63" s="905">
        <v>26.719375609911353</v>
      </c>
      <c r="CB63" s="905">
        <v>26.844704945192102</v>
      </c>
      <c r="CC63" s="905">
        <v>26.969383389435599</v>
      </c>
      <c r="CD63" s="905">
        <v>27.093407422103169</v>
      </c>
      <c r="CE63" s="905">
        <v>27.216773663726116</v>
      </c>
      <c r="CF63" s="905">
        <v>27.339478874074558</v>
      </c>
      <c r="CG63" s="905">
        <v>27.461519950344112</v>
      </c>
      <c r="CH63" s="905">
        <v>27.582893925358938</v>
      </c>
      <c r="CI63" s="905">
        <v>27.703597965793087</v>
      </c>
      <c r="CJ63" s="905">
        <v>27.823629370408351</v>
      </c>
      <c r="CK63" s="905">
        <v>27.942985568309858</v>
      </c>
      <c r="CL63" s="905">
        <v>28.061664117218108</v>
      </c>
      <c r="CM63" s="905">
        <v>28.179662701758836</v>
      </c>
      <c r="CN63" s="905">
        <v>28.296979131769291</v>
      </c>
      <c r="CO63" s="905">
        <v>28.413611340620214</v>
      </c>
      <c r="CP63" s="905">
        <v>28.529557383555264</v>
      </c>
      <c r="CQ63" s="905">
        <v>28.644815436045679</v>
      </c>
      <c r="CR63" s="905">
        <v>28.759383792160975</v>
      </c>
      <c r="CS63" s="905">
        <v>28.873260862954687</v>
      </c>
      <c r="CT63" s="905">
        <v>28.986445174864823</v>
      </c>
      <c r="CU63" s="905">
        <v>29.098935368129538</v>
      </c>
      <c r="CV63" s="905">
        <v>29.210730195216733</v>
      </c>
      <c r="CW63" s="905">
        <v>29.321828519267342</v>
      </c>
      <c r="CX63" s="905">
        <v>29.432229312552202</v>
      </c>
      <c r="CY63" s="905">
        <v>29.541931654941976</v>
      </c>
      <c r="CZ63" s="905">
        <v>29.650934732389693</v>
      </c>
      <c r="DA63" s="905">
        <v>29.759237835425846</v>
      </c>
      <c r="DB63" s="905">
        <v>29.866840357664799</v>
      </c>
      <c r="DC63" s="905">
        <v>29.973741794323161</v>
      </c>
      <c r="DD63" s="905">
        <v>30.079941740748993</v>
      </c>
      <c r="DE63" s="905">
        <v>30.185439890962314</v>
      </c>
      <c r="DF63" s="905">
        <v>30.290236036204917</v>
      </c>
      <c r="DG63" s="905">
        <v>30.39433006350145</v>
      </c>
      <c r="DH63" s="905">
        <v>30.4977219542291</v>
      </c>
      <c r="DI63" s="905">
        <v>30.600411782697712</v>
      </c>
      <c r="DJ63" s="905">
        <v>30.702399714737886</v>
      </c>
      <c r="DK63" s="905">
        <v>30.803686006298339</v>
      </c>
      <c r="DL63" s="905">
        <v>30.904271002052212</v>
      </c>
      <c r="DM63" s="905">
        <v>31.004155134010102</v>
      </c>
      <c r="DN63" s="905">
        <v>31.103338920143017</v>
      </c>
      <c r="DO63" s="905">
        <v>31.201822963011217</v>
      </c>
      <c r="DP63" s="905">
        <v>31.299607948401484</v>
      </c>
      <c r="DQ63" s="905">
        <v>31.396694643971582</v>
      </c>
      <c r="DR63" s="905">
        <v>31.49308389790113</v>
      </c>
      <c r="DS63" s="905">
        <v>31.588776637550588</v>
      </c>
      <c r="DT63" s="905">
        <v>31.683773868125606</v>
      </c>
      <c r="DU63" s="905">
        <v>31.778076671348735</v>
      </c>
    </row>
    <row r="64" spans="1:125" s="127" customFormat="1" ht="12.75">
      <c r="A64" s="908">
        <v>62</v>
      </c>
      <c r="B64" s="905"/>
      <c r="C64" s="905"/>
      <c r="D64" s="905"/>
      <c r="E64" s="905"/>
      <c r="F64" s="905"/>
      <c r="G64" s="905"/>
      <c r="H64" s="905"/>
      <c r="I64" s="905"/>
      <c r="J64" s="905"/>
      <c r="K64" s="905"/>
      <c r="L64" s="905"/>
      <c r="M64" s="905"/>
      <c r="N64" s="905"/>
      <c r="O64" s="905"/>
      <c r="P64" s="905"/>
      <c r="Q64" s="905"/>
      <c r="R64" s="905"/>
      <c r="S64" s="905"/>
      <c r="T64" s="905"/>
      <c r="U64" s="905"/>
      <c r="V64" s="905"/>
      <c r="W64" s="905"/>
      <c r="X64" s="905"/>
      <c r="Y64" s="905">
        <v>19.491835593688457</v>
      </c>
      <c r="Z64" s="905">
        <v>19.680048480087581</v>
      </c>
      <c r="AA64" s="905">
        <v>19.833942314035603</v>
      </c>
      <c r="AB64" s="905">
        <v>19.988824774905744</v>
      </c>
      <c r="AC64" s="905">
        <v>20.073635600361122</v>
      </c>
      <c r="AD64" s="905">
        <v>20.131929131108549</v>
      </c>
      <c r="AE64" s="905">
        <v>20.272717964932454</v>
      </c>
      <c r="AF64" s="905">
        <v>20.458203820662604</v>
      </c>
      <c r="AG64" s="905">
        <v>20.622901536020677</v>
      </c>
      <c r="AH64" s="905">
        <v>20.819890687354491</v>
      </c>
      <c r="AI64" s="905">
        <v>20.998602301574063</v>
      </c>
      <c r="AJ64" s="905">
        <v>21.208875312237122</v>
      </c>
      <c r="AK64" s="905">
        <v>21.413917344562012</v>
      </c>
      <c r="AL64" s="905">
        <v>21.637577502514102</v>
      </c>
      <c r="AM64" s="905">
        <v>21.838962647669803</v>
      </c>
      <c r="AN64" s="905">
        <v>21.981819753444789</v>
      </c>
      <c r="AO64" s="905">
        <v>22.082407531173544</v>
      </c>
      <c r="AP64" s="905">
        <v>22.149727791413952</v>
      </c>
      <c r="AQ64" s="905">
        <v>22.222759715103056</v>
      </c>
      <c r="AR64" s="905">
        <v>22.286965044716577</v>
      </c>
      <c r="AS64" s="905">
        <v>22.29659249202431</v>
      </c>
      <c r="AT64" s="905">
        <v>22.290710901510771</v>
      </c>
      <c r="AU64" s="905">
        <v>22.303260133945926</v>
      </c>
      <c r="AV64" s="905">
        <v>22.320159004891231</v>
      </c>
      <c r="AW64" s="905">
        <v>22.46967849375649</v>
      </c>
      <c r="AX64" s="905">
        <v>22.503350450612725</v>
      </c>
      <c r="AY64" s="905">
        <v>22.587630297047578</v>
      </c>
      <c r="AZ64" s="905">
        <v>22.657213682106246</v>
      </c>
      <c r="BA64" s="905">
        <v>22.7219066983548</v>
      </c>
      <c r="BB64" s="905">
        <v>22.806031673553576</v>
      </c>
      <c r="BC64" s="905">
        <v>22.897297991197583</v>
      </c>
      <c r="BD64" s="905">
        <v>22.987873528221698</v>
      </c>
      <c r="BE64" s="905">
        <v>23.097180128980508</v>
      </c>
      <c r="BF64" s="905">
        <v>23.204093507421462</v>
      </c>
      <c r="BG64" s="905">
        <v>23.313496295127521</v>
      </c>
      <c r="BH64" s="905">
        <v>23.437534921920744</v>
      </c>
      <c r="BI64" s="905">
        <v>23.557800676541618</v>
      </c>
      <c r="BJ64" s="905">
        <v>23.690266130908036</v>
      </c>
      <c r="BK64" s="905">
        <v>23.823295841346187</v>
      </c>
      <c r="BL64" s="905">
        <v>23.955800761313107</v>
      </c>
      <c r="BM64" s="905">
        <v>24.087773965207802</v>
      </c>
      <c r="BN64" s="905">
        <v>24.219207718973021</v>
      </c>
      <c r="BO64" s="905">
        <v>24.350093398457773</v>
      </c>
      <c r="BP64" s="905">
        <v>24.480421958720221</v>
      </c>
      <c r="BQ64" s="905">
        <v>24.61018426815621</v>
      </c>
      <c r="BR64" s="905">
        <v>24.739371300647257</v>
      </c>
      <c r="BS64" s="905">
        <v>24.867974297327208</v>
      </c>
      <c r="BT64" s="905">
        <v>24.995984900983359</v>
      </c>
      <c r="BU64" s="905">
        <v>25.123395257843363</v>
      </c>
      <c r="BV64" s="905">
        <v>25.250198107405502</v>
      </c>
      <c r="BW64" s="905">
        <v>25.376386886109174</v>
      </c>
      <c r="BX64" s="905">
        <v>25.501969188164296</v>
      </c>
      <c r="BY64" s="905">
        <v>25.626940709703561</v>
      </c>
      <c r="BZ64" s="905">
        <v>25.751297291092779</v>
      </c>
      <c r="CA64" s="905">
        <v>25.875034915199073</v>
      </c>
      <c r="CB64" s="905">
        <v>25.998149705673892</v>
      </c>
      <c r="CC64" s="905">
        <v>26.120637925249984</v>
      </c>
      <c r="CD64" s="905">
        <v>26.242495974054211</v>
      </c>
      <c r="CE64" s="905">
        <v>26.363720387935103</v>
      </c>
      <c r="CF64" s="905">
        <v>26.484307836805492</v>
      </c>
      <c r="CG64" s="905">
        <v>26.604255123001071</v>
      </c>
      <c r="CH64" s="905">
        <v>26.723559179653506</v>
      </c>
      <c r="CI64" s="905">
        <v>26.842217069079684</v>
      </c>
      <c r="CJ64" s="905">
        <v>26.960225981185424</v>
      </c>
      <c r="CK64" s="905">
        <v>27.077583231884724</v>
      </c>
      <c r="CL64" s="905">
        <v>27.194286261533151</v>
      </c>
      <c r="CM64" s="905">
        <v>27.310332633376785</v>
      </c>
      <c r="CN64" s="905">
        <v>27.425720032015121</v>
      </c>
      <c r="CO64" s="905">
        <v>27.540446261877285</v>
      </c>
      <c r="CP64" s="905">
        <v>27.65450924571315</v>
      </c>
      <c r="CQ64" s="905">
        <v>27.767907023097226</v>
      </c>
      <c r="CR64" s="905">
        <v>27.880637748945986</v>
      </c>
      <c r="CS64" s="905">
        <v>27.992699692047612</v>
      </c>
      <c r="CT64" s="905">
        <v>28.104091233603878</v>
      </c>
      <c r="CU64" s="905">
        <v>28.214810865784571</v>
      </c>
      <c r="CV64" s="905">
        <v>28.324857190293216</v>
      </c>
      <c r="CW64" s="905">
        <v>28.434228916943738</v>
      </c>
      <c r="CX64" s="905">
        <v>28.542924862248107</v>
      </c>
      <c r="CY64" s="905">
        <v>28.650943948014294</v>
      </c>
      <c r="CZ64" s="905">
        <v>28.758285199954145</v>
      </c>
      <c r="DA64" s="905">
        <v>28.864947746301119</v>
      </c>
      <c r="DB64" s="905">
        <v>28.970930816436692</v>
      </c>
      <c r="DC64" s="905">
        <v>29.076233739525975</v>
      </c>
      <c r="DD64" s="905">
        <v>29.180855943161511</v>
      </c>
      <c r="DE64" s="905">
        <v>29.284796952015753</v>
      </c>
      <c r="DF64" s="905">
        <v>29.388056386500086</v>
      </c>
      <c r="DG64" s="905">
        <v>29.49063396143265</v>
      </c>
      <c r="DH64" s="905">
        <v>29.592529484711974</v>
      </c>
      <c r="DI64" s="905">
        <v>29.693742855998558</v>
      </c>
      <c r="DJ64" s="905">
        <v>29.794274065401837</v>
      </c>
      <c r="DK64" s="905">
        <v>29.894123192173822</v>
      </c>
      <c r="DL64" s="905">
        <v>29.993290403409226</v>
      </c>
      <c r="DM64" s="905">
        <v>30.091775952749725</v>
      </c>
      <c r="DN64" s="905">
        <v>30.189580179095785</v>
      </c>
      <c r="DO64" s="905">
        <v>30.28670350532181</v>
      </c>
      <c r="DP64" s="905">
        <v>30.383146436997396</v>
      </c>
      <c r="DQ64" s="905">
        <v>30.478909561113369</v>
      </c>
      <c r="DR64" s="905">
        <v>30.573993544811845</v>
      </c>
      <c r="DS64" s="905">
        <v>30.668399134122147</v>
      </c>
      <c r="DT64" s="905">
        <v>30.762127152699755</v>
      </c>
      <c r="DU64" s="905">
        <v>30.855178500570425</v>
      </c>
    </row>
    <row r="65" spans="1:125" s="127" customFormat="1" ht="12.75">
      <c r="A65" s="908">
        <v>63</v>
      </c>
      <c r="B65" s="905"/>
      <c r="C65" s="905"/>
      <c r="D65" s="905"/>
      <c r="E65" s="905"/>
      <c r="F65" s="905"/>
      <c r="G65" s="905"/>
      <c r="H65" s="905"/>
      <c r="I65" s="905"/>
      <c r="J65" s="905"/>
      <c r="K65" s="905"/>
      <c r="L65" s="905"/>
      <c r="M65" s="905"/>
      <c r="N65" s="905"/>
      <c r="O65" s="905"/>
      <c r="P65" s="905"/>
      <c r="Q65" s="905"/>
      <c r="R65" s="905"/>
      <c r="S65" s="905"/>
      <c r="T65" s="905"/>
      <c r="U65" s="905"/>
      <c r="V65" s="905"/>
      <c r="W65" s="905"/>
      <c r="X65" s="905"/>
      <c r="Y65" s="905">
        <v>18.767002734805413</v>
      </c>
      <c r="Z65" s="905">
        <v>18.954622065845477</v>
      </c>
      <c r="AA65" s="905">
        <v>19.10409623440524</v>
      </c>
      <c r="AB65" s="905">
        <v>19.253530787435455</v>
      </c>
      <c r="AC65" s="905">
        <v>19.344315535716191</v>
      </c>
      <c r="AD65" s="905">
        <v>19.405261767222513</v>
      </c>
      <c r="AE65" s="905">
        <v>19.541773800217449</v>
      </c>
      <c r="AF65" s="905">
        <v>19.729355357197257</v>
      </c>
      <c r="AG65" s="905">
        <v>19.886410672197609</v>
      </c>
      <c r="AH65" s="905">
        <v>20.079228648120566</v>
      </c>
      <c r="AI65" s="905">
        <v>20.258454311031695</v>
      </c>
      <c r="AJ65" s="905">
        <v>20.451788218785879</v>
      </c>
      <c r="AK65" s="905">
        <v>20.650356645324401</v>
      </c>
      <c r="AL65" s="905">
        <v>20.869693504906422</v>
      </c>
      <c r="AM65" s="905">
        <v>21.05978240250008</v>
      </c>
      <c r="AN65" s="905">
        <v>21.197314242031993</v>
      </c>
      <c r="AO65" s="905">
        <v>21.294223839957869</v>
      </c>
      <c r="AP65" s="905">
        <v>21.363702392309197</v>
      </c>
      <c r="AQ65" s="905">
        <v>21.42776211959675</v>
      </c>
      <c r="AR65" s="905">
        <v>21.491777122700732</v>
      </c>
      <c r="AS65" s="905">
        <v>21.497255164018952</v>
      </c>
      <c r="AT65" s="905">
        <v>21.48845021784561</v>
      </c>
      <c r="AU65" s="905">
        <v>21.504468173460104</v>
      </c>
      <c r="AV65" s="905">
        <v>21.524464088328529</v>
      </c>
      <c r="AW65" s="905">
        <v>21.664951223448227</v>
      </c>
      <c r="AX65" s="905">
        <v>21.701112838030578</v>
      </c>
      <c r="AY65" s="905">
        <v>21.783223814221266</v>
      </c>
      <c r="AZ65" s="905">
        <v>21.857528021027186</v>
      </c>
      <c r="BA65" s="905">
        <v>21.914138084241387</v>
      </c>
      <c r="BB65" s="905">
        <v>22.009243827725889</v>
      </c>
      <c r="BC65" s="905">
        <v>22.098144195820723</v>
      </c>
      <c r="BD65" s="905">
        <v>22.182796319336717</v>
      </c>
      <c r="BE65" s="905">
        <v>22.301237198491599</v>
      </c>
      <c r="BF65" s="905">
        <v>22.40181605868035</v>
      </c>
      <c r="BG65" s="905">
        <v>22.512775104016413</v>
      </c>
      <c r="BH65" s="905">
        <v>22.640376872012279</v>
      </c>
      <c r="BI65" s="905">
        <v>22.767195585036774</v>
      </c>
      <c r="BJ65" s="905">
        <v>22.897922823606763</v>
      </c>
      <c r="BK65" s="905">
        <v>23.028158422156089</v>
      </c>
      <c r="BL65" s="905">
        <v>23.157896085478139</v>
      </c>
      <c r="BM65" s="905">
        <v>23.287128848821837</v>
      </c>
      <c r="BN65" s="905">
        <v>23.415848923196378</v>
      </c>
      <c r="BO65" s="905">
        <v>23.544047613313133</v>
      </c>
      <c r="BP65" s="905">
        <v>23.671715796869645</v>
      </c>
      <c r="BQ65" s="905">
        <v>23.798844263627146</v>
      </c>
      <c r="BR65" s="905">
        <v>23.925423909497511</v>
      </c>
      <c r="BS65" s="905">
        <v>24.051445899858429</v>
      </c>
      <c r="BT65" s="905">
        <v>24.17690180510667</v>
      </c>
      <c r="BU65" s="905">
        <v>24.3017837031081</v>
      </c>
      <c r="BV65" s="905">
        <v>24.426084269369188</v>
      </c>
      <c r="BW65" s="905">
        <v>24.549808834664397</v>
      </c>
      <c r="BX65" s="905">
        <v>24.672952904639438</v>
      </c>
      <c r="BY65" s="905">
        <v>24.795512124050379</v>
      </c>
      <c r="BZ65" s="905">
        <v>24.917482275215054</v>
      </c>
      <c r="CA65" s="905">
        <v>25.03885927647692</v>
      </c>
      <c r="CB65" s="905">
        <v>25.159639180682227</v>
      </c>
      <c r="CC65" s="905">
        <v>25.279818173669501</v>
      </c>
      <c r="CD65" s="905">
        <v>25.399392572773095</v>
      </c>
      <c r="CE65" s="905">
        <v>25.518358825339611</v>
      </c>
      <c r="CF65" s="905">
        <v>25.63671350725734</v>
      </c>
      <c r="CG65" s="905">
        <v>25.7544533214996</v>
      </c>
      <c r="CH65" s="905">
        <v>25.87157509668031</v>
      </c>
      <c r="CI65" s="905">
        <v>25.988075785623479</v>
      </c>
      <c r="CJ65" s="905">
        <v>26.103952463944726</v>
      </c>
      <c r="CK65" s="905">
        <v>26.219202328645913</v>
      </c>
      <c r="CL65" s="905">
        <v>26.333822696721377</v>
      </c>
      <c r="CM65" s="905">
        <v>26.447811003777083</v>
      </c>
      <c r="CN65" s="905">
        <v>26.56116480266116</v>
      </c>
      <c r="CO65" s="905">
        <v>26.673881762105019</v>
      </c>
      <c r="CP65" s="905">
        <v>26.785959665376616</v>
      </c>
      <c r="CQ65" s="905">
        <v>26.897396408943756</v>
      </c>
      <c r="CR65" s="905">
        <v>27.008190001147977</v>
      </c>
      <c r="CS65" s="905">
        <v>27.11833856088802</v>
      </c>
      <c r="CT65" s="905">
        <v>27.227840316312637</v>
      </c>
      <c r="CU65" s="905">
        <v>27.336693603522971</v>
      </c>
      <c r="CV65" s="905">
        <v>27.444896865283376</v>
      </c>
      <c r="CW65" s="905">
        <v>27.55244864974032</v>
      </c>
      <c r="CX65" s="905">
        <v>27.659347609149286</v>
      </c>
      <c r="CY65" s="905">
        <v>27.765592498609109</v>
      </c>
      <c r="CZ65" s="905">
        <v>27.87118217480333</v>
      </c>
      <c r="DA65" s="905">
        <v>27.976115594748464</v>
      </c>
      <c r="DB65" s="905">
        <v>28.080391814548069</v>
      </c>
      <c r="DC65" s="905">
        <v>28.184009988153139</v>
      </c>
      <c r="DD65" s="905">
        <v>28.286969366127778</v>
      </c>
      <c r="DE65" s="905">
        <v>28.389269294420693</v>
      </c>
      <c r="DF65" s="905">
        <v>28.490909213140405</v>
      </c>
      <c r="DG65" s="905">
        <v>28.591888655336405</v>
      </c>
      <c r="DH65" s="905">
        <v>28.692207245783351</v>
      </c>
      <c r="DI65" s="905">
        <v>28.791864699770432</v>
      </c>
      <c r="DJ65" s="905">
        <v>28.890860821893288</v>
      </c>
      <c r="DK65" s="905">
        <v>28.989195504849995</v>
      </c>
      <c r="DL65" s="905">
        <v>29.086868728240745</v>
      </c>
      <c r="DM65" s="905">
        <v>29.183880557369029</v>
      </c>
      <c r="DN65" s="905">
        <v>29.280231142047725</v>
      </c>
      <c r="DO65" s="905">
        <v>29.375920715405947</v>
      </c>
      <c r="DP65" s="905">
        <v>29.47094959269937</v>
      </c>
      <c r="DQ65" s="905">
        <v>29.565318170122843</v>
      </c>
      <c r="DR65" s="905">
        <v>29.659026923624474</v>
      </c>
      <c r="DS65" s="905">
        <v>29.752076407723202</v>
      </c>
      <c r="DT65" s="905">
        <v>29.844467254326815</v>
      </c>
      <c r="DU65" s="905">
        <v>29.936200171552912</v>
      </c>
    </row>
    <row r="66" spans="1:125" s="127" customFormat="1" ht="12.75">
      <c r="A66" s="908">
        <v>64</v>
      </c>
      <c r="B66" s="905"/>
      <c r="C66" s="905"/>
      <c r="D66" s="905"/>
      <c r="E66" s="905"/>
      <c r="F66" s="905"/>
      <c r="G66" s="905"/>
      <c r="H66" s="905"/>
      <c r="I66" s="905"/>
      <c r="J66" s="905"/>
      <c r="K66" s="905"/>
      <c r="L66" s="905"/>
      <c r="M66" s="905"/>
      <c r="N66" s="905"/>
      <c r="O66" s="905"/>
      <c r="P66" s="905"/>
      <c r="Q66" s="905"/>
      <c r="R66" s="905"/>
      <c r="S66" s="905"/>
      <c r="T66" s="905"/>
      <c r="U66" s="905"/>
      <c r="V66" s="905"/>
      <c r="W66" s="905"/>
      <c r="X66" s="905"/>
      <c r="Y66" s="905">
        <v>18.053499279330531</v>
      </c>
      <c r="Z66" s="905">
        <v>18.240357542603149</v>
      </c>
      <c r="AA66" s="905">
        <v>18.380230858449188</v>
      </c>
      <c r="AB66" s="905">
        <v>18.536043605412146</v>
      </c>
      <c r="AC66" s="905">
        <v>18.627043146315692</v>
      </c>
      <c r="AD66" s="905">
        <v>18.688741683707448</v>
      </c>
      <c r="AE66" s="905">
        <v>18.820444392689424</v>
      </c>
      <c r="AF66" s="905">
        <v>19.009515316080019</v>
      </c>
      <c r="AG66" s="905">
        <v>19.158779814883403</v>
      </c>
      <c r="AH66" s="905">
        <v>19.35028910963258</v>
      </c>
      <c r="AI66" s="905">
        <v>19.51882890836989</v>
      </c>
      <c r="AJ66" s="905">
        <v>19.705011063833048</v>
      </c>
      <c r="AK66" s="905">
        <v>19.893787097006218</v>
      </c>
      <c r="AL66" s="905">
        <v>20.108463267747755</v>
      </c>
      <c r="AM66" s="905">
        <v>20.28384285721776</v>
      </c>
      <c r="AN66" s="905">
        <v>20.421806071292028</v>
      </c>
      <c r="AO66" s="905">
        <v>20.515353221506672</v>
      </c>
      <c r="AP66" s="905">
        <v>20.576745294253467</v>
      </c>
      <c r="AQ66" s="905">
        <v>20.638864710158416</v>
      </c>
      <c r="AR66" s="905">
        <v>20.695087221224455</v>
      </c>
      <c r="AS66" s="905">
        <v>20.702886786282775</v>
      </c>
      <c r="AT66" s="905">
        <v>20.696906240546443</v>
      </c>
      <c r="AU66" s="905">
        <v>20.713874623424047</v>
      </c>
      <c r="AV66" s="905">
        <v>20.732195609484151</v>
      </c>
      <c r="AW66" s="905">
        <v>20.87023144459441</v>
      </c>
      <c r="AX66" s="905">
        <v>20.905663414309739</v>
      </c>
      <c r="AY66" s="905">
        <v>20.989367092194172</v>
      </c>
      <c r="AZ66" s="905">
        <v>21.056823461410104</v>
      </c>
      <c r="BA66" s="905">
        <v>21.123781428921532</v>
      </c>
      <c r="BB66" s="905">
        <v>21.219352387170336</v>
      </c>
      <c r="BC66" s="905">
        <v>21.306134420211269</v>
      </c>
      <c r="BD66" s="905">
        <v>21.396359397106259</v>
      </c>
      <c r="BE66" s="905">
        <v>21.510611717841165</v>
      </c>
      <c r="BF66" s="905">
        <v>21.609738336433111</v>
      </c>
      <c r="BG66" s="905">
        <v>21.730087467628909</v>
      </c>
      <c r="BH66" s="905">
        <v>21.859358563676651</v>
      </c>
      <c r="BI66" s="905">
        <v>21.987585653729596</v>
      </c>
      <c r="BJ66" s="905">
        <v>22.115355116329013</v>
      </c>
      <c r="BK66" s="905">
        <v>22.242661195817995</v>
      </c>
      <c r="BL66" s="905">
        <v>22.369497565122522</v>
      </c>
      <c r="BM66" s="905">
        <v>22.495857213072107</v>
      </c>
      <c r="BN66" s="905">
        <v>22.621732287491206</v>
      </c>
      <c r="BO66" s="905">
        <v>22.747114012674558</v>
      </c>
      <c r="BP66" s="905">
        <v>22.871993179624994</v>
      </c>
      <c r="BQ66" s="905">
        <v>22.996360490539715</v>
      </c>
      <c r="BR66" s="905">
        <v>23.120206754996616</v>
      </c>
      <c r="BS66" s="905">
        <v>23.243523054940162</v>
      </c>
      <c r="BT66" s="905">
        <v>23.366300881470863</v>
      </c>
      <c r="BU66" s="905">
        <v>23.488532237995464</v>
      </c>
      <c r="BV66" s="905">
        <v>23.610219642037833</v>
      </c>
      <c r="BW66" s="905">
        <v>23.731358418631054</v>
      </c>
      <c r="BX66" s="905">
        <v>23.851944026018273</v>
      </c>
      <c r="BY66" s="905">
        <v>23.971972054303855</v>
      </c>
      <c r="BZ66" s="905">
        <v>24.091438224115567</v>
      </c>
      <c r="CA66" s="905">
        <v>24.210338385277524</v>
      </c>
      <c r="CB66" s="905">
        <v>24.32866851549463</v>
      </c>
      <c r="CC66" s="905">
        <v>24.446424719047407</v>
      </c>
      <c r="CD66" s="905">
        <v>24.563603225498866</v>
      </c>
      <c r="CE66" s="905">
        <v>24.680200388411979</v>
      </c>
      <c r="CF66" s="905">
        <v>24.79621268407794</v>
      </c>
      <c r="CG66" s="905">
        <v>24.911636710255902</v>
      </c>
      <c r="CH66" s="905">
        <v>25.026469184922455</v>
      </c>
      <c r="CI66" s="905">
        <v>25.140706945032452</v>
      </c>
      <c r="CJ66" s="905">
        <v>25.254346945289186</v>
      </c>
      <c r="CK66" s="905">
        <v>25.367386256924974</v>
      </c>
      <c r="CL66" s="905">
        <v>25.479822066490524</v>
      </c>
      <c r="CM66" s="905">
        <v>25.591651674654397</v>
      </c>
      <c r="CN66" s="905">
        <v>25.702872495010944</v>
      </c>
      <c r="CO66" s="905">
        <v>25.813482052895846</v>
      </c>
      <c r="CP66" s="905">
        <v>25.923477984210876</v>
      </c>
      <c r="CQ66" s="905">
        <v>26.032858034255614</v>
      </c>
      <c r="CR66" s="905">
        <v>26.141620056566744</v>
      </c>
      <c r="CS66" s="905">
        <v>26.249762011763845</v>
      </c>
      <c r="CT66" s="905">
        <v>26.357281966401423</v>
      </c>
      <c r="CU66" s="905">
        <v>26.464178091827449</v>
      </c>
      <c r="CV66" s="905">
        <v>26.570448663047149</v>
      </c>
      <c r="CW66" s="905">
        <v>26.676092057591838</v>
      </c>
      <c r="CX66" s="905">
        <v>26.781106754392596</v>
      </c>
      <c r="CY66" s="905">
        <v>26.885491332658233</v>
      </c>
      <c r="CZ66" s="905">
        <v>26.989244470757221</v>
      </c>
      <c r="DA66" s="905">
        <v>27.092364945103363</v>
      </c>
      <c r="DB66" s="905">
        <v>27.194851629044223</v>
      </c>
      <c r="DC66" s="905">
        <v>27.296703491752773</v>
      </c>
      <c r="DD66" s="905">
        <v>27.397919597121266</v>
      </c>
      <c r="DE66" s="905">
        <v>27.49849910265786</v>
      </c>
      <c r="DF66" s="905">
        <v>27.598441258383982</v>
      </c>
      <c r="DG66" s="905">
        <v>27.697745405734594</v>
      </c>
      <c r="DH66" s="905">
        <v>27.796410976458557</v>
      </c>
      <c r="DI66" s="905">
        <v>27.894437491521174</v>
      </c>
      <c r="DJ66" s="905">
        <v>27.991824560006435</v>
      </c>
      <c r="DK66" s="905">
        <v>28.088571878020399</v>
      </c>
      <c r="DL66" s="905">
        <v>28.184679227595375</v>
      </c>
      <c r="DM66" s="905">
        <v>28.280146475592886</v>
      </c>
      <c r="DN66" s="905">
        <v>28.374973572608685</v>
      </c>
      <c r="DO66" s="905">
        <v>28.46916055187576</v>
      </c>
      <c r="DP66" s="905">
        <v>28.562707528168175</v>
      </c>
      <c r="DQ66" s="905">
        <v>28.65561469670444</v>
      </c>
      <c r="DR66" s="905">
        <v>28.747882332049798</v>
      </c>
      <c r="DS66" s="905">
        <v>28.839510787019282</v>
      </c>
      <c r="DT66" s="905">
        <v>28.930500491578833</v>
      </c>
      <c r="DU66" s="905">
        <v>29.020851951746629</v>
      </c>
    </row>
    <row r="67" spans="1:125" s="127" customFormat="1" ht="12.75">
      <c r="A67" s="908">
        <v>65</v>
      </c>
      <c r="B67" s="905"/>
      <c r="C67" s="905"/>
      <c r="D67" s="905"/>
      <c r="E67" s="905"/>
      <c r="F67" s="905"/>
      <c r="G67" s="905"/>
      <c r="H67" s="905"/>
      <c r="I67" s="905"/>
      <c r="J67" s="905"/>
      <c r="K67" s="905"/>
      <c r="L67" s="905"/>
      <c r="M67" s="905"/>
      <c r="N67" s="905"/>
      <c r="O67" s="905"/>
      <c r="P67" s="905"/>
      <c r="Q67" s="905"/>
      <c r="R67" s="905"/>
      <c r="S67" s="905"/>
      <c r="T67" s="905"/>
      <c r="U67" s="905"/>
      <c r="V67" s="905"/>
      <c r="W67" s="905"/>
      <c r="X67" s="905"/>
      <c r="Y67" s="905">
        <v>17.347748244370791</v>
      </c>
      <c r="Z67" s="905">
        <v>17.527790203931527</v>
      </c>
      <c r="AA67" s="905">
        <v>17.674024842328155</v>
      </c>
      <c r="AB67" s="905">
        <v>17.830159340883139</v>
      </c>
      <c r="AC67" s="905">
        <v>17.921510045025521</v>
      </c>
      <c r="AD67" s="905">
        <v>17.983182323367952</v>
      </c>
      <c r="AE67" s="905">
        <v>18.112178743541715</v>
      </c>
      <c r="AF67" s="905">
        <v>18.296832682801451</v>
      </c>
      <c r="AG67" s="905">
        <v>18.443757537746809</v>
      </c>
      <c r="AH67" s="905">
        <v>18.623691670839676</v>
      </c>
      <c r="AI67" s="905">
        <v>18.783046118979446</v>
      </c>
      <c r="AJ67" s="905">
        <v>18.958585636112979</v>
      </c>
      <c r="AK67" s="905">
        <v>19.144567584178883</v>
      </c>
      <c r="AL67" s="905">
        <v>19.346234403508959</v>
      </c>
      <c r="AM67" s="905">
        <v>19.515092754532418</v>
      </c>
      <c r="AN67" s="905">
        <v>19.652274943072307</v>
      </c>
      <c r="AO67" s="905">
        <v>19.738169220641318</v>
      </c>
      <c r="AP67" s="905">
        <v>19.792682057960633</v>
      </c>
      <c r="AQ67" s="905">
        <v>19.848955176135291</v>
      </c>
      <c r="AR67" s="905">
        <v>19.905951888591485</v>
      </c>
      <c r="AS67" s="905">
        <v>19.914763049350547</v>
      </c>
      <c r="AT67" s="905">
        <v>19.91015289126473</v>
      </c>
      <c r="AU67" s="905">
        <v>19.929601061383728</v>
      </c>
      <c r="AV67" s="905">
        <v>19.951814277832</v>
      </c>
      <c r="AW67" s="905">
        <v>20.084521188976581</v>
      </c>
      <c r="AX67" s="905">
        <v>20.126796512299357</v>
      </c>
      <c r="AY67" s="905">
        <v>20.200723507017198</v>
      </c>
      <c r="AZ67" s="905">
        <v>20.276700499906156</v>
      </c>
      <c r="BA67" s="905">
        <v>20.342590712350763</v>
      </c>
      <c r="BB67" s="905">
        <v>20.436094213522267</v>
      </c>
      <c r="BC67" s="905">
        <v>20.530178095183508</v>
      </c>
      <c r="BD67" s="905">
        <v>20.619697268508716</v>
      </c>
      <c r="BE67" s="905">
        <v>20.726482757058829</v>
      </c>
      <c r="BF67" s="905">
        <v>20.838926565744458</v>
      </c>
      <c r="BG67" s="905">
        <v>20.96639572885281</v>
      </c>
      <c r="BH67" s="905">
        <v>21.091931349758696</v>
      </c>
      <c r="BI67" s="905">
        <v>21.217044284141974</v>
      </c>
      <c r="BJ67" s="905">
        <v>21.341729217894994</v>
      </c>
      <c r="BK67" s="905">
        <v>21.465980367788468</v>
      </c>
      <c r="BL67" s="905">
        <v>21.589791365148088</v>
      </c>
      <c r="BM67" s="905">
        <v>21.713155141997891</v>
      </c>
      <c r="BN67" s="905">
        <v>21.836063771723602</v>
      </c>
      <c r="BO67" s="905">
        <v>21.958508386032179</v>
      </c>
      <c r="BP67" s="905">
        <v>22.080479677146805</v>
      </c>
      <c r="BQ67" s="905">
        <v>22.201968248172612</v>
      </c>
      <c r="BR67" s="905">
        <v>22.322964811542647</v>
      </c>
      <c r="BS67" s="905">
        <v>22.443460355794763</v>
      </c>
      <c r="BT67" s="905">
        <v>22.563446283677727</v>
      </c>
      <c r="BU67" s="905">
        <v>22.682921818705843</v>
      </c>
      <c r="BV67" s="905">
        <v>22.801882115080517</v>
      </c>
      <c r="BW67" s="905">
        <v>22.920322453574464</v>
      </c>
      <c r="BX67" s="905">
        <v>23.038238240398805</v>
      </c>
      <c r="BY67" s="905">
        <v>23.155625006078772</v>
      </c>
      <c r="BZ67" s="905">
        <v>23.272478404338603</v>
      </c>
      <c r="CA67" s="905">
        <v>23.388794210995236</v>
      </c>
      <c r="CB67" s="905">
        <v>23.504568322861388</v>
      </c>
      <c r="CC67" s="905">
        <v>23.619796756656818</v>
      </c>
      <c r="CD67" s="905">
        <v>23.734475647929173</v>
      </c>
      <c r="CE67" s="905">
        <v>23.848601249983052</v>
      </c>
      <c r="CF67" s="905">
        <v>23.962169932817233</v>
      </c>
      <c r="CG67" s="905">
        <v>24.07517818207068</v>
      </c>
      <c r="CH67" s="905">
        <v>24.187622597975562</v>
      </c>
      <c r="CI67" s="905">
        <v>24.299499894318735</v>
      </c>
      <c r="CJ67" s="905">
        <v>24.410806897409692</v>
      </c>
      <c r="CK67" s="905">
        <v>24.521540545055903</v>
      </c>
      <c r="CL67" s="905">
        <v>24.631697885543922</v>
      </c>
      <c r="CM67" s="905">
        <v>24.741276076627468</v>
      </c>
      <c r="CN67" s="905">
        <v>24.850272384520878</v>
      </c>
      <c r="CO67" s="905">
        <v>24.958684182896924</v>
      </c>
      <c r="CP67" s="905">
        <v>25.066508951890732</v>
      </c>
      <c r="CQ67" s="905">
        <v>25.173744277107289</v>
      </c>
      <c r="CR67" s="905">
        <v>25.280387848633417</v>
      </c>
      <c r="CS67" s="905">
        <v>25.386437460052811</v>
      </c>
      <c r="CT67" s="905">
        <v>25.491891007464147</v>
      </c>
      <c r="CU67" s="905">
        <v>25.596746488502305</v>
      </c>
      <c r="CV67" s="905">
        <v>25.701002001361598</v>
      </c>
      <c r="CW67" s="905">
        <v>25.804655743820689</v>
      </c>
      <c r="CX67" s="905">
        <v>25.907706012269077</v>
      </c>
      <c r="CY67" s="905">
        <v>26.010151200734548</v>
      </c>
      <c r="CZ67" s="905">
        <v>26.111989799911349</v>
      </c>
      <c r="DA67" s="905">
        <v>26.213220396188746</v>
      </c>
      <c r="DB67" s="905">
        <v>26.31384167067916</v>
      </c>
      <c r="DC67" s="905">
        <v>26.413852398246224</v>
      </c>
      <c r="DD67" s="905">
        <v>26.513251446531875</v>
      </c>
      <c r="DE67" s="905">
        <v>26.612037774983008</v>
      </c>
      <c r="DF67" s="905">
        <v>26.710210433875631</v>
      </c>
      <c r="DG67" s="905">
        <v>26.807768563338847</v>
      </c>
      <c r="DH67" s="905">
        <v>26.904711392375834</v>
      </c>
      <c r="DI67" s="905">
        <v>27.001038237883815</v>
      </c>
      <c r="DJ67" s="905">
        <v>27.096748503670796</v>
      </c>
      <c r="DK67" s="905">
        <v>27.191841679470322</v>
      </c>
      <c r="DL67" s="905">
        <v>27.286317339954174</v>
      </c>
      <c r="DM67" s="905">
        <v>27.380175143740729</v>
      </c>
      <c r="DN67" s="905">
        <v>27.473414832402664</v>
      </c>
      <c r="DO67" s="905">
        <v>27.566036229469603</v>
      </c>
      <c r="DP67" s="905">
        <v>27.658039239428881</v>
      </c>
      <c r="DQ67" s="905">
        <v>27.749423846723012</v>
      </c>
      <c r="DR67" s="905">
        <v>27.840190114743322</v>
      </c>
      <c r="DS67" s="905">
        <v>27.930338184821657</v>
      </c>
      <c r="DT67" s="905">
        <v>28.019868275217462</v>
      </c>
      <c r="DU67" s="905">
        <v>28.108780680102512</v>
      </c>
    </row>
    <row r="68" spans="1:125" s="127" customFormat="1" ht="12.75">
      <c r="A68" s="908">
        <v>66</v>
      </c>
      <c r="B68" s="905"/>
      <c r="C68" s="905"/>
      <c r="D68" s="905"/>
      <c r="E68" s="905"/>
      <c r="F68" s="905"/>
      <c r="G68" s="905"/>
      <c r="H68" s="905"/>
      <c r="I68" s="905"/>
      <c r="J68" s="905"/>
      <c r="K68" s="905"/>
      <c r="L68" s="905"/>
      <c r="M68" s="905"/>
      <c r="N68" s="905"/>
      <c r="O68" s="905"/>
      <c r="P68" s="905"/>
      <c r="Q68" s="905"/>
      <c r="R68" s="905"/>
      <c r="S68" s="905"/>
      <c r="T68" s="905"/>
      <c r="U68" s="905"/>
      <c r="V68" s="905"/>
      <c r="W68" s="905"/>
      <c r="X68" s="905"/>
      <c r="Y68" s="905">
        <v>16.655599260047477</v>
      </c>
      <c r="Z68" s="905">
        <v>16.842790434853882</v>
      </c>
      <c r="AA68" s="905">
        <v>16.98302059116569</v>
      </c>
      <c r="AB68" s="905">
        <v>17.131244818292377</v>
      </c>
      <c r="AC68" s="905">
        <v>17.220963443699905</v>
      </c>
      <c r="AD68" s="905">
        <v>17.28437993229446</v>
      </c>
      <c r="AE68" s="905">
        <v>17.41105134540101</v>
      </c>
      <c r="AF68" s="905">
        <v>17.599856803347336</v>
      </c>
      <c r="AG68" s="905">
        <v>17.736387770809891</v>
      </c>
      <c r="AH68" s="905">
        <v>17.901209733800375</v>
      </c>
      <c r="AI68" s="905">
        <v>18.055233162058027</v>
      </c>
      <c r="AJ68" s="905">
        <v>18.22381725553792</v>
      </c>
      <c r="AK68" s="905">
        <v>18.395509522193883</v>
      </c>
      <c r="AL68" s="905">
        <v>18.595851414545145</v>
      </c>
      <c r="AM68" s="905">
        <v>18.761751837493918</v>
      </c>
      <c r="AN68" s="905">
        <v>18.886855926281768</v>
      </c>
      <c r="AO68" s="905">
        <v>18.968458472153245</v>
      </c>
      <c r="AP68" s="905">
        <v>19.015673918026149</v>
      </c>
      <c r="AQ68" s="905">
        <v>19.070818509659091</v>
      </c>
      <c r="AR68" s="905">
        <v>19.124929084169416</v>
      </c>
      <c r="AS68" s="905">
        <v>19.137189811150691</v>
      </c>
      <c r="AT68" s="905">
        <v>19.12806230183617</v>
      </c>
      <c r="AU68" s="905">
        <v>19.15252514420823</v>
      </c>
      <c r="AV68" s="905">
        <v>19.180221222997758</v>
      </c>
      <c r="AW68" s="905">
        <v>19.309667780234513</v>
      </c>
      <c r="AX68" s="905">
        <v>19.346201971108236</v>
      </c>
      <c r="AY68" s="905">
        <v>19.428186693720249</v>
      </c>
      <c r="AZ68" s="905">
        <v>19.505440492814373</v>
      </c>
      <c r="BA68" s="905">
        <v>19.570279064158697</v>
      </c>
      <c r="BB68" s="905">
        <v>19.66533671921335</v>
      </c>
      <c r="BC68" s="905">
        <v>19.757212666379758</v>
      </c>
      <c r="BD68" s="905">
        <v>19.849711394990543</v>
      </c>
      <c r="BE68" s="905">
        <v>19.965244038362176</v>
      </c>
      <c r="BF68" s="905">
        <v>20.087796634715502</v>
      </c>
      <c r="BG68" s="905">
        <v>20.210458699943381</v>
      </c>
      <c r="BH68" s="905">
        <v>20.33273398037187</v>
      </c>
      <c r="BI68" s="905">
        <v>20.45461750425391</v>
      </c>
      <c r="BJ68" s="905">
        <v>20.576103931229689</v>
      </c>
      <c r="BK68" s="905">
        <v>20.697187437956813</v>
      </c>
      <c r="BL68" s="905">
        <v>20.817861601237233</v>
      </c>
      <c r="BM68" s="905">
        <v>20.938119282863525</v>
      </c>
      <c r="BN68" s="905">
        <v>21.057952467624794</v>
      </c>
      <c r="BO68" s="905">
        <v>21.177352179694907</v>
      </c>
      <c r="BP68" s="905">
        <v>21.296308997829904</v>
      </c>
      <c r="BQ68" s="905">
        <v>21.414813412097782</v>
      </c>
      <c r="BR68" s="905">
        <v>21.532856024743012</v>
      </c>
      <c r="BS68" s="905">
        <v>21.650427718872034</v>
      </c>
      <c r="BT68" s="905">
        <v>21.767523990400868</v>
      </c>
      <c r="BU68" s="905">
        <v>21.88413983244893</v>
      </c>
      <c r="BV68" s="905">
        <v>22.000270357389024</v>
      </c>
      <c r="BW68" s="905">
        <v>22.115910795943631</v>
      </c>
      <c r="BX68" s="905">
        <v>22.231056496288346</v>
      </c>
      <c r="BY68" s="905">
        <v>22.345702923161952</v>
      </c>
      <c r="BZ68" s="905">
        <v>22.4598456569835</v>
      </c>
      <c r="CA68" s="905">
        <v>22.573480392975977</v>
      </c>
      <c r="CB68" s="905">
        <v>22.6866029402969</v>
      </c>
      <c r="CC68" s="905">
        <v>22.799209221174575</v>
      </c>
      <c r="CD68" s="905">
        <v>22.911295270051298</v>
      </c>
      <c r="CE68" s="905">
        <v>23.022857232732008</v>
      </c>
      <c r="CF68" s="905">
        <v>23.133891365538297</v>
      </c>
      <c r="CG68" s="905">
        <v>23.244394034468186</v>
      </c>
      <c r="CH68" s="905">
        <v>23.354361714360003</v>
      </c>
      <c r="CI68" s="905">
        <v>23.463790988061529</v>
      </c>
      <c r="CJ68" s="905">
        <v>23.57267854560255</v>
      </c>
      <c r="CK68" s="905">
        <v>23.681021183371552</v>
      </c>
      <c r="CL68" s="905">
        <v>23.788815803294895</v>
      </c>
      <c r="CM68" s="905">
        <v>23.896059412019721</v>
      </c>
      <c r="CN68" s="905">
        <v>24.002749120098848</v>
      </c>
      <c r="CO68" s="905">
        <v>24.108882141176668</v>
      </c>
      <c r="CP68" s="905">
        <v>24.214455791177734</v>
      </c>
      <c r="CQ68" s="905">
        <v>24.31946748749553</v>
      </c>
      <c r="CR68" s="905">
        <v>24.423914748182245</v>
      </c>
      <c r="CS68" s="905">
        <v>24.527795191138203</v>
      </c>
      <c r="CT68" s="905">
        <v>24.631106533300809</v>
      </c>
      <c r="CU68" s="905">
        <v>24.733846589833288</v>
      </c>
      <c r="CV68" s="905">
        <v>24.836013273311856</v>
      </c>
      <c r="CW68" s="905">
        <v>24.937604592911132</v>
      </c>
      <c r="CX68" s="905">
        <v>25.03861865358774</v>
      </c>
      <c r="CY68" s="905">
        <v>25.139053655261375</v>
      </c>
      <c r="CZ68" s="905">
        <v>25.238907891993165</v>
      </c>
      <c r="DA68" s="905">
        <v>25.338179751161061</v>
      </c>
      <c r="DB68" s="905">
        <v>25.436867712631376</v>
      </c>
      <c r="DC68" s="905">
        <v>25.534970347926887</v>
      </c>
      <c r="DD68" s="905">
        <v>25.632486319390665</v>
      </c>
      <c r="DE68" s="905">
        <v>25.729414379346082</v>
      </c>
      <c r="DF68" s="905">
        <v>25.825753369251135</v>
      </c>
      <c r="DG68" s="905">
        <v>25.921502218849284</v>
      </c>
      <c r="DH68" s="905">
        <v>26.016659945314046</v>
      </c>
      <c r="DI68" s="905">
        <v>26.111225652389471</v>
      </c>
      <c r="DJ68" s="905">
        <v>26.205198529524168</v>
      </c>
      <c r="DK68" s="905">
        <v>26.298577851000303</v>
      </c>
      <c r="DL68" s="905">
        <v>26.391362975057348</v>
      </c>
      <c r="DM68" s="905">
        <v>26.483553343008644</v>
      </c>
      <c r="DN68" s="905">
        <v>26.575148478354098</v>
      </c>
      <c r="DO68" s="905">
        <v>26.666147985885083</v>
      </c>
      <c r="DP68" s="905">
        <v>26.756551550784373</v>
      </c>
      <c r="DQ68" s="905">
        <v>26.846358937720009</v>
      </c>
      <c r="DR68" s="905">
        <v>26.935569989932478</v>
      </c>
      <c r="DS68" s="905">
        <v>27.024184628317215</v>
      </c>
      <c r="DT68" s="905">
        <v>27.112202850499667</v>
      </c>
      <c r="DU68" s="905">
        <v>27.199624729905398</v>
      </c>
    </row>
    <row r="69" spans="1:125" s="127" customFormat="1" ht="12.75">
      <c r="A69" s="908">
        <v>67</v>
      </c>
      <c r="B69" s="905"/>
      <c r="C69" s="905"/>
      <c r="D69" s="905"/>
      <c r="E69" s="905"/>
      <c r="F69" s="905"/>
      <c r="G69" s="905"/>
      <c r="H69" s="905"/>
      <c r="I69" s="905"/>
      <c r="J69" s="905"/>
      <c r="K69" s="905"/>
      <c r="L69" s="905"/>
      <c r="M69" s="905"/>
      <c r="N69" s="905"/>
      <c r="O69" s="905"/>
      <c r="P69" s="905"/>
      <c r="Q69" s="905"/>
      <c r="R69" s="905"/>
      <c r="S69" s="905"/>
      <c r="T69" s="905"/>
      <c r="U69" s="905"/>
      <c r="V69" s="905"/>
      <c r="W69" s="905"/>
      <c r="X69" s="905"/>
      <c r="Y69" s="905">
        <v>15.981701761524505</v>
      </c>
      <c r="Z69" s="905">
        <v>16.167996403743718</v>
      </c>
      <c r="AA69" s="905">
        <v>16.299903567933423</v>
      </c>
      <c r="AB69" s="905">
        <v>16.444826922837681</v>
      </c>
      <c r="AC69" s="905">
        <v>16.535320434954532</v>
      </c>
      <c r="AD69" s="905">
        <v>16.594151187139492</v>
      </c>
      <c r="AE69" s="905">
        <v>16.725039918811568</v>
      </c>
      <c r="AF69" s="905">
        <v>16.894969581631024</v>
      </c>
      <c r="AG69" s="905">
        <v>17.028969513799019</v>
      </c>
      <c r="AH69" s="905">
        <v>17.187153629614166</v>
      </c>
      <c r="AI69" s="905">
        <v>17.335231898947086</v>
      </c>
      <c r="AJ69" s="905">
        <v>17.488445344071302</v>
      </c>
      <c r="AK69" s="905">
        <v>17.66084876836721</v>
      </c>
      <c r="AL69" s="905">
        <v>17.852152570424849</v>
      </c>
      <c r="AM69" s="905">
        <v>18.010182403784114</v>
      </c>
      <c r="AN69" s="905">
        <v>18.12676163119108</v>
      </c>
      <c r="AO69" s="905">
        <v>18.200416246562131</v>
      </c>
      <c r="AP69" s="905">
        <v>18.246196817979516</v>
      </c>
      <c r="AQ69" s="905">
        <v>18.302146863953901</v>
      </c>
      <c r="AR69" s="905">
        <v>18.352760364493029</v>
      </c>
      <c r="AS69" s="905">
        <v>18.362729334371998</v>
      </c>
      <c r="AT69" s="905">
        <v>18.363647243023234</v>
      </c>
      <c r="AU69" s="905">
        <v>18.381363972205534</v>
      </c>
      <c r="AV69" s="905">
        <v>18.418260647736105</v>
      </c>
      <c r="AW69" s="905">
        <v>18.54084166673087</v>
      </c>
      <c r="AX69" s="905">
        <v>18.583761360752789</v>
      </c>
      <c r="AY69" s="905">
        <v>18.661402098681137</v>
      </c>
      <c r="AZ69" s="905">
        <v>18.737756203707171</v>
      </c>
      <c r="BA69" s="905">
        <v>18.812725545606476</v>
      </c>
      <c r="BB69" s="905">
        <v>18.905490116648</v>
      </c>
      <c r="BC69" s="905">
        <v>18.994694733610917</v>
      </c>
      <c r="BD69" s="905">
        <v>19.102286900907526</v>
      </c>
      <c r="BE69" s="905">
        <v>19.223037011696142</v>
      </c>
      <c r="BF69" s="905">
        <v>19.34265404302759</v>
      </c>
      <c r="BG69" s="905">
        <v>19.461921023624075</v>
      </c>
      <c r="BH69" s="905">
        <v>19.580833364055778</v>
      </c>
      <c r="BI69" s="905">
        <v>19.699386064518656</v>
      </c>
      <c r="BJ69" s="905">
        <v>19.817573742872014</v>
      </c>
      <c r="BK69" s="905">
        <v>19.935390519991444</v>
      </c>
      <c r="BL69" s="905">
        <v>20.052829902279992</v>
      </c>
      <c r="BM69" s="905">
        <v>20.169884665084858</v>
      </c>
      <c r="BN69" s="905">
        <v>20.286546687797419</v>
      </c>
      <c r="BO69" s="905">
        <v>20.402806869606245</v>
      </c>
      <c r="BP69" s="905">
        <v>20.51865565879406</v>
      </c>
      <c r="BQ69" s="905">
        <v>20.634083416333052</v>
      </c>
      <c r="BR69" s="905">
        <v>20.749080619325959</v>
      </c>
      <c r="BS69" s="905">
        <v>20.863638655456121</v>
      </c>
      <c r="BT69" s="905">
        <v>20.977752366507289</v>
      </c>
      <c r="BU69" s="905">
        <v>21.09141670559503</v>
      </c>
      <c r="BV69" s="905">
        <v>21.204626736503826</v>
      </c>
      <c r="BW69" s="905">
        <v>21.317377633028805</v>
      </c>
      <c r="BX69" s="905">
        <v>21.429664678322496</v>
      </c>
      <c r="BY69" s="905">
        <v>21.541483264245951</v>
      </c>
      <c r="BZ69" s="905">
        <v>21.652828890724443</v>
      </c>
      <c r="CA69" s="905">
        <v>21.763697165107196</v>
      </c>
      <c r="CB69" s="905">
        <v>21.874083801531405</v>
      </c>
      <c r="CC69" s="905">
        <v>21.983984620289071</v>
      </c>
      <c r="CD69" s="905">
        <v>22.093395547197971</v>
      </c>
      <c r="CE69" s="905">
        <v>22.202312612975042</v>
      </c>
      <c r="CF69" s="905">
        <v>22.310731952612052</v>
      </c>
      <c r="CG69" s="905">
        <v>22.418649804753962</v>
      </c>
      <c r="CH69" s="905">
        <v>22.526062511078067</v>
      </c>
      <c r="CI69" s="905">
        <v>22.632966515675243</v>
      </c>
      <c r="CJ69" s="905">
        <v>22.739358364431165</v>
      </c>
      <c r="CK69" s="905">
        <v>22.845234704408362</v>
      </c>
      <c r="CL69" s="905">
        <v>22.95059228322728</v>
      </c>
      <c r="CM69" s="905">
        <v>23.055427948447644</v>
      </c>
      <c r="CN69" s="905">
        <v>23.159738646948291</v>
      </c>
      <c r="CO69" s="905">
        <v>23.263521424304493</v>
      </c>
      <c r="CP69" s="905">
        <v>23.366773424164464</v>
      </c>
      <c r="CQ69" s="905">
        <v>23.469491887622453</v>
      </c>
      <c r="CR69" s="905">
        <v>23.571674152589285</v>
      </c>
      <c r="CS69" s="905">
        <v>23.673317653159032</v>
      </c>
      <c r="CT69" s="905">
        <v>23.774419918971564</v>
      </c>
      <c r="CU69" s="905">
        <v>23.874978574571369</v>
      </c>
      <c r="CV69" s="905">
        <v>23.974991338761221</v>
      </c>
      <c r="CW69" s="905">
        <v>24.074456023950564</v>
      </c>
      <c r="CX69" s="905">
        <v>24.173370535498492</v>
      </c>
      <c r="CY69" s="905">
        <v>24.271732871050709</v>
      </c>
      <c r="CZ69" s="905">
        <v>24.369541119870284</v>
      </c>
      <c r="DA69" s="905">
        <v>24.466793462161924</v>
      </c>
      <c r="DB69" s="905">
        <v>24.563488168388929</v>
      </c>
      <c r="DC69" s="905">
        <v>24.659623598583298</v>
      </c>
      <c r="DD69" s="905">
        <v>24.755198201648142</v>
      </c>
      <c r="DE69" s="905">
        <v>24.850210514652922</v>
      </c>
      <c r="DF69" s="905">
        <v>24.944659162119603</v>
      </c>
      <c r="DG69" s="905">
        <v>25.038542855302079</v>
      </c>
      <c r="DH69" s="905">
        <v>25.131860391456023</v>
      </c>
      <c r="DI69" s="905">
        <v>25.224610653101408</v>
      </c>
      <c r="DJ69" s="905">
        <v>25.316792607275396</v>
      </c>
      <c r="DK69" s="905">
        <v>25.408405304776984</v>
      </c>
      <c r="DL69" s="905">
        <v>25.499447879403323</v>
      </c>
      <c r="DM69" s="905">
        <v>25.589919547175768</v>
      </c>
      <c r="DN69" s="905">
        <v>25.679819605559018</v>
      </c>
      <c r="DO69" s="905">
        <v>25.769147432669449</v>
      </c>
      <c r="DP69" s="905">
        <v>25.85790248647556</v>
      </c>
      <c r="DQ69" s="905">
        <v>25.946084303989444</v>
      </c>
      <c r="DR69" s="905">
        <v>26.033692500448652</v>
      </c>
      <c r="DS69" s="905">
        <v>26.120726768490677</v>
      </c>
      <c r="DT69" s="905">
        <v>26.207186877317092</v>
      </c>
      <c r="DU69" s="905">
        <v>26.293072671850137</v>
      </c>
    </row>
    <row r="70" spans="1:125" s="127" customFormat="1" ht="12.75">
      <c r="A70" s="908">
        <v>68</v>
      </c>
      <c r="B70" s="905"/>
      <c r="C70" s="905"/>
      <c r="D70" s="905"/>
      <c r="E70" s="905"/>
      <c r="F70" s="905"/>
      <c r="G70" s="905"/>
      <c r="H70" s="905"/>
      <c r="I70" s="905"/>
      <c r="J70" s="905"/>
      <c r="K70" s="905"/>
      <c r="L70" s="905"/>
      <c r="M70" s="905"/>
      <c r="N70" s="905"/>
      <c r="O70" s="905"/>
      <c r="P70" s="905"/>
      <c r="Q70" s="905"/>
      <c r="R70" s="905"/>
      <c r="S70" s="905"/>
      <c r="T70" s="905"/>
      <c r="U70" s="905"/>
      <c r="V70" s="905"/>
      <c r="W70" s="905"/>
      <c r="X70" s="905"/>
      <c r="Y70" s="905">
        <v>15.316900416434816</v>
      </c>
      <c r="Z70" s="905">
        <v>15.501700572770018</v>
      </c>
      <c r="AA70" s="905">
        <v>15.626054711336824</v>
      </c>
      <c r="AB70" s="905">
        <v>15.767713526472491</v>
      </c>
      <c r="AC70" s="905">
        <v>15.862870411864016</v>
      </c>
      <c r="AD70" s="905">
        <v>15.924666160797592</v>
      </c>
      <c r="AE70" s="905">
        <v>16.037447237741269</v>
      </c>
      <c r="AF70" s="905">
        <v>16.202395111239866</v>
      </c>
      <c r="AG70" s="905">
        <v>16.330225708196838</v>
      </c>
      <c r="AH70" s="905">
        <v>16.482779283439925</v>
      </c>
      <c r="AI70" s="905">
        <v>16.616861204856711</v>
      </c>
      <c r="AJ70" s="905">
        <v>16.768445803085477</v>
      </c>
      <c r="AK70" s="905">
        <v>16.936297348948486</v>
      </c>
      <c r="AL70" s="905">
        <v>17.110908529226386</v>
      </c>
      <c r="AM70" s="905">
        <v>17.263372610749869</v>
      </c>
      <c r="AN70" s="905">
        <v>17.369243548437151</v>
      </c>
      <c r="AO70" s="905">
        <v>17.43605887035789</v>
      </c>
      <c r="AP70" s="905">
        <v>17.483929428488359</v>
      </c>
      <c r="AQ70" s="905">
        <v>17.539138486827099</v>
      </c>
      <c r="AR70" s="905">
        <v>17.586187270061085</v>
      </c>
      <c r="AS70" s="905">
        <v>17.600575628274044</v>
      </c>
      <c r="AT70" s="905">
        <v>17.600678101588596</v>
      </c>
      <c r="AU70" s="905">
        <v>17.622069743259249</v>
      </c>
      <c r="AV70" s="905">
        <v>17.659973918316908</v>
      </c>
      <c r="AW70" s="905">
        <v>17.782308220443987</v>
      </c>
      <c r="AX70" s="905">
        <v>17.831351020776289</v>
      </c>
      <c r="AY70" s="905">
        <v>17.905650468729714</v>
      </c>
      <c r="AZ70" s="905">
        <v>17.986663519244956</v>
      </c>
      <c r="BA70" s="905">
        <v>18.056704645569155</v>
      </c>
      <c r="BB70" s="905">
        <v>18.152137282350687</v>
      </c>
      <c r="BC70" s="905">
        <v>18.254548817295902</v>
      </c>
      <c r="BD70" s="905">
        <v>18.371718909100359</v>
      </c>
      <c r="BE70" s="905">
        <v>18.488129715527919</v>
      </c>
      <c r="BF70" s="905">
        <v>18.604227833888508</v>
      </c>
      <c r="BG70" s="905">
        <v>18.720009164883457</v>
      </c>
      <c r="BH70" s="905">
        <v>18.835469087405741</v>
      </c>
      <c r="BI70" s="905">
        <v>18.95060255502451</v>
      </c>
      <c r="BJ70" s="905">
        <v>19.06540412534266</v>
      </c>
      <c r="BK70" s="905">
        <v>19.179867845024955</v>
      </c>
      <c r="BL70" s="905">
        <v>19.293987131616596</v>
      </c>
      <c r="BM70" s="905">
        <v>19.407754655382814</v>
      </c>
      <c r="BN70" s="905">
        <v>19.521162171233318</v>
      </c>
      <c r="BO70" s="905">
        <v>19.634200433766452</v>
      </c>
      <c r="BP70" s="905">
        <v>19.746859741822391</v>
      </c>
      <c r="BQ70" s="905">
        <v>19.859130309466725</v>
      </c>
      <c r="BR70" s="905">
        <v>19.970999117540515</v>
      </c>
      <c r="BS70" s="905">
        <v>20.082460866198659</v>
      </c>
      <c r="BT70" s="905">
        <v>20.193510358494514</v>
      </c>
      <c r="BU70" s="905">
        <v>20.304142499965067</v>
      </c>
      <c r="BV70" s="905">
        <v>20.414352298219242</v>
      </c>
      <c r="BW70" s="905">
        <v>20.524134862528683</v>
      </c>
      <c r="BX70" s="905">
        <v>20.633485403421147</v>
      </c>
      <c r="BY70" s="905">
        <v>20.742399232275716</v>
      </c>
      <c r="BZ70" s="905">
        <v>20.850871760919986</v>
      </c>
      <c r="CA70" s="905">
        <v>20.958898501228461</v>
      </c>
      <c r="CB70" s="905">
        <v>21.066475064722422</v>
      </c>
      <c r="CC70" s="905">
        <v>21.173597162169621</v>
      </c>
      <c r="CD70" s="905">
        <v>21.280260603184985</v>
      </c>
      <c r="CE70" s="905">
        <v>21.386461295830713</v>
      </c>
      <c r="CF70" s="905">
        <v>21.492195246215285</v>
      </c>
      <c r="CG70" s="905">
        <v>21.597458558092015</v>
      </c>
      <c r="CH70" s="905">
        <v>21.702247432454925</v>
      </c>
      <c r="CI70" s="905">
        <v>21.806558167133403</v>
      </c>
      <c r="CJ70" s="905">
        <v>21.910387156383319</v>
      </c>
      <c r="CK70" s="905">
        <v>22.013730890475536</v>
      </c>
      <c r="CL70" s="905">
        <v>22.116585955279859</v>
      </c>
      <c r="CM70" s="905">
        <v>22.21894903184581</v>
      </c>
      <c r="CN70" s="905">
        <v>22.320816895978162</v>
      </c>
      <c r="CO70" s="905">
        <v>22.422186417806554</v>
      </c>
      <c r="CP70" s="905">
        <v>22.523054561350467</v>
      </c>
      <c r="CQ70" s="905">
        <v>22.623418384077375</v>
      </c>
      <c r="CR70" s="905">
        <v>22.723275036454577</v>
      </c>
      <c r="CS70" s="905">
        <v>22.8226217614936</v>
      </c>
      <c r="CT70" s="905">
        <v>22.921455894286854</v>
      </c>
      <c r="CU70" s="905">
        <v>23.019774861536927</v>
      </c>
      <c r="CV70" s="905">
        <v>23.117576181077176</v>
      </c>
      <c r="CW70" s="905">
        <v>23.21485746138336</v>
      </c>
      <c r="CX70" s="905">
        <v>23.311616401076396</v>
      </c>
      <c r="CY70" s="905">
        <v>23.40785078841548</v>
      </c>
      <c r="CZ70" s="905">
        <v>23.503558500781473</v>
      </c>
      <c r="DA70" s="905">
        <v>23.598737504150332</v>
      </c>
      <c r="DB70" s="905">
        <v>23.693385852555735</v>
      </c>
      <c r="DC70" s="905">
        <v>23.787501687541393</v>
      </c>
      <c r="DD70" s="905">
        <v>23.881083237602262</v>
      </c>
      <c r="DE70" s="905">
        <v>23.974128817615171</v>
      </c>
      <c r="DF70" s="905">
        <v>24.066636828257053</v>
      </c>
      <c r="DG70" s="905">
        <v>24.158605755413117</v>
      </c>
      <c r="DH70" s="905">
        <v>24.250034169572118</v>
      </c>
      <c r="DI70" s="905">
        <v>24.340920725211156</v>
      </c>
      <c r="DJ70" s="905">
        <v>24.431264160167533</v>
      </c>
      <c r="DK70" s="905">
        <v>24.521063294999266</v>
      </c>
      <c r="DL70" s="905">
        <v>24.61031703233418</v>
      </c>
      <c r="DM70" s="905">
        <v>24.699024356205545</v>
      </c>
      <c r="DN70" s="905">
        <v>24.787184331377915</v>
      </c>
      <c r="DO70" s="905">
        <v>24.874796102659062</v>
      </c>
      <c r="DP70" s="905">
        <v>24.961858894201086</v>
      </c>
      <c r="DQ70" s="905">
        <v>25.048372008789727</v>
      </c>
      <c r="DR70" s="905">
        <v>25.134334827121116</v>
      </c>
      <c r="DS70" s="905">
        <v>25.219746807068383</v>
      </c>
      <c r="DT70" s="905">
        <v>25.304607482935161</v>
      </c>
      <c r="DU70" s="905">
        <v>25.388916464698795</v>
      </c>
    </row>
    <row r="71" spans="1:125" s="127" customFormat="1" ht="12.75">
      <c r="A71" s="908">
        <v>69</v>
      </c>
      <c r="B71" s="905"/>
      <c r="C71" s="905"/>
      <c r="D71" s="905"/>
      <c r="E71" s="905"/>
      <c r="F71" s="905"/>
      <c r="G71" s="905"/>
      <c r="H71" s="905"/>
      <c r="I71" s="905"/>
      <c r="J71" s="905"/>
      <c r="K71" s="905"/>
      <c r="L71" s="905"/>
      <c r="M71" s="905"/>
      <c r="N71" s="905"/>
      <c r="O71" s="905"/>
      <c r="P71" s="905"/>
      <c r="Q71" s="905"/>
      <c r="R71" s="905"/>
      <c r="S71" s="905"/>
      <c r="T71" s="905"/>
      <c r="U71" s="905"/>
      <c r="V71" s="905"/>
      <c r="W71" s="905"/>
      <c r="X71" s="905"/>
      <c r="Y71" s="905">
        <v>14.663545587960789</v>
      </c>
      <c r="Z71" s="905">
        <v>14.845352528022664</v>
      </c>
      <c r="AA71" s="905">
        <v>14.963190544769851</v>
      </c>
      <c r="AB71" s="905">
        <v>15.099851635081077</v>
      </c>
      <c r="AC71" s="905">
        <v>15.200828060729943</v>
      </c>
      <c r="AD71" s="905">
        <v>15.257378423869255</v>
      </c>
      <c r="AE71" s="905">
        <v>15.360788780496442</v>
      </c>
      <c r="AF71" s="905">
        <v>15.520360712621484</v>
      </c>
      <c r="AG71" s="905">
        <v>15.641828567373746</v>
      </c>
      <c r="AH71" s="905">
        <v>15.77841870823514</v>
      </c>
      <c r="AI71" s="905">
        <v>15.908954250434551</v>
      </c>
      <c r="AJ71" s="905">
        <v>16.061917151364263</v>
      </c>
      <c r="AK71" s="905">
        <v>16.212958988914945</v>
      </c>
      <c r="AL71" s="905">
        <v>16.37705720020444</v>
      </c>
      <c r="AM71" s="905">
        <v>16.521838272566555</v>
      </c>
      <c r="AN71" s="905">
        <v>16.616800928740172</v>
      </c>
      <c r="AO71" s="905">
        <v>16.685125153289405</v>
      </c>
      <c r="AP71" s="905">
        <v>16.72945339561193</v>
      </c>
      <c r="AQ71" s="905">
        <v>16.781598890094472</v>
      </c>
      <c r="AR71" s="905">
        <v>16.832088606593274</v>
      </c>
      <c r="AS71" s="905">
        <v>16.843130801784834</v>
      </c>
      <c r="AT71" s="905">
        <v>16.855581135780707</v>
      </c>
      <c r="AU71" s="905">
        <v>16.868839143670499</v>
      </c>
      <c r="AV71" s="905">
        <v>16.913345889778299</v>
      </c>
      <c r="AW71" s="905">
        <v>17.031098611921617</v>
      </c>
      <c r="AX71" s="905">
        <v>17.086565681154656</v>
      </c>
      <c r="AY71" s="905">
        <v>17.164373515548377</v>
      </c>
      <c r="AZ71" s="905">
        <v>17.239100326763925</v>
      </c>
      <c r="BA71" s="905">
        <v>17.313924495920382</v>
      </c>
      <c r="BB71" s="905">
        <v>17.419212290501534</v>
      </c>
      <c r="BC71" s="905">
        <v>17.533619961111086</v>
      </c>
      <c r="BD71" s="905">
        <v>17.64667282678618</v>
      </c>
      <c r="BE71" s="905">
        <v>17.759450744054071</v>
      </c>
      <c r="BF71" s="905">
        <v>17.87195025494713</v>
      </c>
      <c r="BG71" s="905">
        <v>17.984167224156533</v>
      </c>
      <c r="BH71" s="905">
        <v>18.096096977384207</v>
      </c>
      <c r="BI71" s="905">
        <v>18.207734400274582</v>
      </c>
      <c r="BJ71" s="905">
        <v>18.319073969164414</v>
      </c>
      <c r="BK71" s="905">
        <v>18.430109635727106</v>
      </c>
      <c r="BL71" s="905">
        <v>18.540834708008695</v>
      </c>
      <c r="BM71" s="905">
        <v>18.651241730525882</v>
      </c>
      <c r="BN71" s="905">
        <v>18.761322312720569</v>
      </c>
      <c r="BO71" s="905">
        <v>18.871067043210939</v>
      </c>
      <c r="BP71" s="905">
        <v>18.980466050827825</v>
      </c>
      <c r="BQ71" s="905">
        <v>19.089501718423346</v>
      </c>
      <c r="BR71" s="905">
        <v>19.198168614141132</v>
      </c>
      <c r="BS71" s="905">
        <v>19.30646140018457</v>
      </c>
      <c r="BT71" s="905">
        <v>19.414374832654623</v>
      </c>
      <c r="BU71" s="905">
        <v>19.52190376138816</v>
      </c>
      <c r="BV71" s="905">
        <v>19.629043129796997</v>
      </c>
      <c r="BW71" s="905">
        <v>19.735787974707115</v>
      </c>
      <c r="BX71" s="905">
        <v>19.84213342619779</v>
      </c>
      <c r="BY71" s="905">
        <v>19.948074707439979</v>
      </c>
      <c r="BZ71" s="905">
        <v>20.053607134533806</v>
      </c>
      <c r="CA71" s="905">
        <v>20.158726116344397</v>
      </c>
      <c r="CB71" s="905">
        <v>20.263427154336178</v>
      </c>
      <c r="CC71" s="905">
        <v>20.367705842403915</v>
      </c>
      <c r="CD71" s="905">
        <v>20.47155786670163</v>
      </c>
      <c r="CE71" s="905">
        <v>20.574979005467654</v>
      </c>
      <c r="CF71" s="905">
        <v>20.677965128845315</v>
      </c>
      <c r="CG71" s="905">
        <v>20.780512198699817</v>
      </c>
      <c r="CH71" s="905">
        <v>20.882616268429036</v>
      </c>
      <c r="CI71" s="905">
        <v>20.984273482769666</v>
      </c>
      <c r="CJ71" s="905">
        <v>21.085480077596337</v>
      </c>
      <c r="CK71" s="905">
        <v>21.186232379714589</v>
      </c>
      <c r="CL71" s="905">
        <v>21.286526806645824</v>
      </c>
      <c r="CM71" s="905">
        <v>21.386359866405375</v>
      </c>
      <c r="CN71" s="905">
        <v>21.485728157271947</v>
      </c>
      <c r="CO71" s="905">
        <v>21.58462836754736</v>
      </c>
      <c r="CP71" s="905">
        <v>21.683057275308187</v>
      </c>
      <c r="CQ71" s="905">
        <v>21.781011748146906</v>
      </c>
      <c r="CR71" s="905">
        <v>21.878488742903119</v>
      </c>
      <c r="CS71" s="905">
        <v>21.975485305383799</v>
      </c>
      <c r="CT71" s="905">
        <v>22.07199857007214</v>
      </c>
      <c r="CU71" s="905">
        <v>22.16802575982549</v>
      </c>
      <c r="CV71" s="905">
        <v>22.263564185561037</v>
      </c>
      <c r="CW71" s="905">
        <v>22.358611245928934</v>
      </c>
      <c r="CX71" s="905">
        <v>22.453164426973053</v>
      </c>
      <c r="CY71" s="905">
        <v>22.547221301778613</v>
      </c>
      <c r="CZ71" s="905">
        <v>22.640779530106535</v>
      </c>
      <c r="DA71" s="905">
        <v>22.733836858014421</v>
      </c>
      <c r="DB71" s="905">
        <v>22.826391117463281</v>
      </c>
      <c r="DC71" s="905">
        <v>22.918440225910565</v>
      </c>
      <c r="DD71" s="905">
        <v>23.009982185888706</v>
      </c>
      <c r="DE71" s="905">
        <v>23.101015084569774</v>
      </c>
      <c r="DF71" s="905">
        <v>23.191537093314373</v>
      </c>
      <c r="DG71" s="905">
        <v>23.281546467207285</v>
      </c>
      <c r="DH71" s="905">
        <v>23.371041544576961</v>
      </c>
      <c r="DI71" s="905">
        <v>23.460020746501318</v>
      </c>
      <c r="DJ71" s="905">
        <v>23.548482576297509</v>
      </c>
      <c r="DK71" s="905">
        <v>23.63642561899718</v>
      </c>
      <c r="DL71" s="905">
        <v>23.723848540807289</v>
      </c>
      <c r="DM71" s="905">
        <v>23.810750088554414</v>
      </c>
      <c r="DN71" s="905">
        <v>23.897129089116287</v>
      </c>
      <c r="DO71" s="905">
        <v>23.98298444883649</v>
      </c>
      <c r="DP71" s="905">
        <v>24.068315152925443</v>
      </c>
      <c r="DQ71" s="905">
        <v>24.153120264846692</v>
      </c>
      <c r="DR71" s="905">
        <v>24.237398925687899</v>
      </c>
      <c r="DS71" s="905">
        <v>24.321150353518867</v>
      </c>
      <c r="DT71" s="905">
        <v>24.404373842733776</v>
      </c>
      <c r="DU71" s="905">
        <v>24.487068763380421</v>
      </c>
    </row>
    <row r="72" spans="1:125" s="127" customFormat="1" ht="12.75">
      <c r="A72" s="908">
        <v>70</v>
      </c>
      <c r="B72" s="905"/>
      <c r="C72" s="905"/>
      <c r="D72" s="905"/>
      <c r="E72" s="905"/>
      <c r="F72" s="905"/>
      <c r="G72" s="905"/>
      <c r="H72" s="905"/>
      <c r="I72" s="905"/>
      <c r="J72" s="905"/>
      <c r="K72" s="905"/>
      <c r="L72" s="905"/>
      <c r="M72" s="905"/>
      <c r="N72" s="905"/>
      <c r="O72" s="905"/>
      <c r="P72" s="905"/>
      <c r="Q72" s="905"/>
      <c r="R72" s="905"/>
      <c r="S72" s="905"/>
      <c r="T72" s="905"/>
      <c r="U72" s="905"/>
      <c r="V72" s="905"/>
      <c r="W72" s="905"/>
      <c r="X72" s="905"/>
      <c r="Y72" s="905">
        <v>14.01975884314826</v>
      </c>
      <c r="Z72" s="905">
        <v>14.200639045716784</v>
      </c>
      <c r="AA72" s="905">
        <v>14.31232758288127</v>
      </c>
      <c r="AB72" s="905">
        <v>14.455909713496826</v>
      </c>
      <c r="AC72" s="905">
        <v>14.542568603912629</v>
      </c>
      <c r="AD72" s="905">
        <v>14.59347522705464</v>
      </c>
      <c r="AE72" s="905">
        <v>14.691728243981956</v>
      </c>
      <c r="AF72" s="905">
        <v>14.838585545246868</v>
      </c>
      <c r="AG72" s="905">
        <v>14.952910438236938</v>
      </c>
      <c r="AH72" s="905">
        <v>15.083033461995598</v>
      </c>
      <c r="AI72" s="905">
        <v>15.211662950607838</v>
      </c>
      <c r="AJ72" s="905">
        <v>15.353911825960543</v>
      </c>
      <c r="AK72" s="905">
        <v>15.49649319300678</v>
      </c>
      <c r="AL72" s="905">
        <v>15.646821061167085</v>
      </c>
      <c r="AM72" s="905">
        <v>15.782678952904408</v>
      </c>
      <c r="AN72" s="905">
        <v>15.877265034667467</v>
      </c>
      <c r="AO72" s="905">
        <v>15.944600126085348</v>
      </c>
      <c r="AP72" s="905">
        <v>15.981333834402808</v>
      </c>
      <c r="AQ72" s="905">
        <v>16.034949853744617</v>
      </c>
      <c r="AR72" s="905">
        <v>16.083273402972424</v>
      </c>
      <c r="AS72" s="905">
        <v>16.099352492643614</v>
      </c>
      <c r="AT72" s="905">
        <v>16.105543322829917</v>
      </c>
      <c r="AU72" s="905">
        <v>16.128695588384083</v>
      </c>
      <c r="AV72" s="905">
        <v>16.180260470541505</v>
      </c>
      <c r="AW72" s="905">
        <v>16.294658634892961</v>
      </c>
      <c r="AX72" s="905">
        <v>16.355238100589109</v>
      </c>
      <c r="AY72" s="905">
        <v>16.428481158734876</v>
      </c>
      <c r="AZ72" s="905">
        <v>16.501649215823495</v>
      </c>
      <c r="BA72" s="905">
        <v>16.59821297181589</v>
      </c>
      <c r="BB72" s="905">
        <v>16.708735025933578</v>
      </c>
      <c r="BC72" s="905">
        <v>16.818286512404168</v>
      </c>
      <c r="BD72" s="905">
        <v>16.927600864562393</v>
      </c>
      <c r="BE72" s="905">
        <v>17.036675466347461</v>
      </c>
      <c r="BF72" s="905">
        <v>17.14550681994988</v>
      </c>
      <c r="BG72" s="905">
        <v>17.254090729776728</v>
      </c>
      <c r="BH72" s="905">
        <v>17.362422444311495</v>
      </c>
      <c r="BI72" s="905">
        <v>17.470496757652114</v>
      </c>
      <c r="BJ72" s="905">
        <v>17.578308041723211</v>
      </c>
      <c r="BK72" s="905">
        <v>17.685850130463308</v>
      </c>
      <c r="BL72" s="905">
        <v>17.79311619997295</v>
      </c>
      <c r="BM72" s="905">
        <v>17.900098646687034</v>
      </c>
      <c r="BN72" s="905">
        <v>18.006788912037216</v>
      </c>
      <c r="BO72" s="905">
        <v>18.11317739581386</v>
      </c>
      <c r="BP72" s="905">
        <v>18.219241829893996</v>
      </c>
      <c r="BQ72" s="905">
        <v>18.324976659835748</v>
      </c>
      <c r="BR72" s="905">
        <v>18.430376416139076</v>
      </c>
      <c r="BS72" s="905">
        <v>18.535435714334451</v>
      </c>
      <c r="BT72" s="905">
        <v>18.640149255070938</v>
      </c>
      <c r="BU72" s="905">
        <v>18.744511824202412</v>
      </c>
      <c r="BV72" s="905">
        <v>18.8485182928722</v>
      </c>
      <c r="BW72" s="905">
        <v>18.952163617595279</v>
      </c>
      <c r="BX72" s="905">
        <v>19.055442840337847</v>
      </c>
      <c r="BY72" s="905">
        <v>19.158351088593346</v>
      </c>
      <c r="BZ72" s="905">
        <v>19.260883575454791</v>
      </c>
      <c r="CA72" s="905">
        <v>19.363035599682497</v>
      </c>
      <c r="CB72" s="905">
        <v>19.464802545767313</v>
      </c>
      <c r="CC72" s="905">
        <v>19.566179883987438</v>
      </c>
      <c r="CD72" s="905">
        <v>19.667163170460086</v>
      </c>
      <c r="CE72" s="905">
        <v>19.767748047185933</v>
      </c>
      <c r="CF72" s="905">
        <v>19.867930242086107</v>
      </c>
      <c r="CG72" s="905">
        <v>19.96770556903191</v>
      </c>
      <c r="CH72" s="905">
        <v>20.067069927865223</v>
      </c>
      <c r="CI72" s="905">
        <v>20.166019304410803</v>
      </c>
      <c r="CJ72" s="905">
        <v>20.26454977047818</v>
      </c>
      <c r="CK72" s="905">
        <v>20.362657483853969</v>
      </c>
      <c r="CL72" s="905">
        <v>20.460338688282654</v>
      </c>
      <c r="CM72" s="905">
        <v>20.557589713437078</v>
      </c>
      <c r="CN72" s="905">
        <v>20.654406974876768</v>
      </c>
      <c r="CO72" s="905">
        <v>20.75078697399309</v>
      </c>
      <c r="CP72" s="905">
        <v>20.846726297942801</v>
      </c>
      <c r="CQ72" s="905">
        <v>20.942221619567569</v>
      </c>
      <c r="CR72" s="905">
        <v>21.037269697300175</v>
      </c>
      <c r="CS72" s="905">
        <v>21.131867375056103</v>
      </c>
      <c r="CT72" s="905">
        <v>21.226011582110385</v>
      </c>
      <c r="CU72" s="905">
        <v>21.319699332960013</v>
      </c>
      <c r="CV72" s="905">
        <v>21.412927727170604</v>
      </c>
      <c r="CW72" s="905">
        <v>21.505693949207185</v>
      </c>
      <c r="CX72" s="905">
        <v>21.597995268249086</v>
      </c>
      <c r="CY72" s="905">
        <v>21.689829037988339</v>
      </c>
      <c r="CZ72" s="905">
        <v>21.781192696411523</v>
      </c>
      <c r="DA72" s="905">
        <v>21.872083765564792</v>
      </c>
      <c r="DB72" s="905">
        <v>21.962499851301374</v>
      </c>
      <c r="DC72" s="905">
        <v>22.052438643012106</v>
      </c>
      <c r="DD72" s="905">
        <v>22.141897913338234</v>
      </c>
      <c r="DE72" s="905">
        <v>22.230875517867076</v>
      </c>
      <c r="DF72" s="905">
        <v>22.319369394808788</v>
      </c>
      <c r="DG72" s="905">
        <v>22.407377564656706</v>
      </c>
      <c r="DH72" s="905">
        <v>22.494898129828382</v>
      </c>
      <c r="DI72" s="905">
        <v>22.581929274289951</v>
      </c>
      <c r="DJ72" s="905">
        <v>22.668469263161349</v>
      </c>
      <c r="DK72" s="905">
        <v>22.754516442304045</v>
      </c>
      <c r="DL72" s="905">
        <v>22.840069237891392</v>
      </c>
      <c r="DM72" s="905">
        <v>22.925126155959521</v>
      </c>
      <c r="DN72" s="905">
        <v>23.009685781942615</v>
      </c>
      <c r="DO72" s="905">
        <v>23.093746780188468</v>
      </c>
      <c r="DP72" s="905">
        <v>23.177307893457577</v>
      </c>
      <c r="DQ72" s="905">
        <v>23.260367942404763</v>
      </c>
      <c r="DR72" s="905">
        <v>23.342925825042791</v>
      </c>
      <c r="DS72" s="905">
        <v>23.424980516190303</v>
      </c>
      <c r="DT72" s="905">
        <v>23.506531066901452</v>
      </c>
      <c r="DU72" s="905">
        <v>23.587576603879789</v>
      </c>
    </row>
    <row r="73" spans="1:125" s="127" customFormat="1" ht="12.75">
      <c r="A73" s="908">
        <v>71</v>
      </c>
      <c r="B73" s="905"/>
      <c r="C73" s="905"/>
      <c r="D73" s="905"/>
      <c r="E73" s="905"/>
      <c r="F73" s="905"/>
      <c r="G73" s="905"/>
      <c r="H73" s="905"/>
      <c r="I73" s="905"/>
      <c r="J73" s="905"/>
      <c r="K73" s="905"/>
      <c r="L73" s="905"/>
      <c r="M73" s="905"/>
      <c r="N73" s="905"/>
      <c r="O73" s="905"/>
      <c r="P73" s="905"/>
      <c r="Q73" s="905"/>
      <c r="R73" s="905"/>
      <c r="S73" s="905"/>
      <c r="T73" s="905"/>
      <c r="U73" s="905"/>
      <c r="V73" s="905"/>
      <c r="W73" s="905"/>
      <c r="X73" s="905"/>
      <c r="Y73" s="905">
        <v>13.390585231696889</v>
      </c>
      <c r="Z73" s="905">
        <v>13.574441814955744</v>
      </c>
      <c r="AA73" s="905">
        <v>13.676478900390105</v>
      </c>
      <c r="AB73" s="905">
        <v>13.805232598458293</v>
      </c>
      <c r="AC73" s="905">
        <v>13.89124601652783</v>
      </c>
      <c r="AD73" s="905">
        <v>13.937522082668355</v>
      </c>
      <c r="AE73" s="905">
        <v>14.028375850372218</v>
      </c>
      <c r="AF73" s="905">
        <v>14.170582341714294</v>
      </c>
      <c r="AG73" s="905">
        <v>14.273638769114019</v>
      </c>
      <c r="AH73" s="905">
        <v>14.405955378820542</v>
      </c>
      <c r="AI73" s="905">
        <v>14.516852716635476</v>
      </c>
      <c r="AJ73" s="905">
        <v>14.654473394828944</v>
      </c>
      <c r="AK73" s="905">
        <v>14.778707602946474</v>
      </c>
      <c r="AL73" s="905">
        <v>14.925494159664392</v>
      </c>
      <c r="AM73" s="905">
        <v>15.053984050919947</v>
      </c>
      <c r="AN73" s="905">
        <v>15.144698191382876</v>
      </c>
      <c r="AO73" s="905">
        <v>15.206880058373429</v>
      </c>
      <c r="AP73" s="905">
        <v>15.247508521060286</v>
      </c>
      <c r="AQ73" s="905">
        <v>15.296229618216778</v>
      </c>
      <c r="AR73" s="905">
        <v>15.349775289739526</v>
      </c>
      <c r="AS73" s="905">
        <v>15.356344202000962</v>
      </c>
      <c r="AT73" s="905">
        <v>15.376894905375107</v>
      </c>
      <c r="AU73" s="905">
        <v>15.406247687359766</v>
      </c>
      <c r="AV73" s="905">
        <v>15.462138412523899</v>
      </c>
      <c r="AW73" s="905">
        <v>15.569492492170415</v>
      </c>
      <c r="AX73" s="905">
        <v>15.626391097643086</v>
      </c>
      <c r="AY73" s="905">
        <v>15.702207247082672</v>
      </c>
      <c r="AZ73" s="905">
        <v>15.791248748631002</v>
      </c>
      <c r="BA73" s="905">
        <v>15.897281980428446</v>
      </c>
      <c r="BB73" s="905">
        <v>16.003195898560083</v>
      </c>
      <c r="BC73" s="905">
        <v>16.108910094643608</v>
      </c>
      <c r="BD73" s="905">
        <v>16.214423166917616</v>
      </c>
      <c r="BE73" s="905">
        <v>16.319732457920445</v>
      </c>
      <c r="BF73" s="905">
        <v>16.424834403259183</v>
      </c>
      <c r="BG73" s="905">
        <v>16.529724720483379</v>
      </c>
      <c r="BH73" s="905">
        <v>16.634398554701455</v>
      </c>
      <c r="BI73" s="905">
        <v>16.738850582892361</v>
      </c>
      <c r="BJ73" s="905">
        <v>16.843075047649307</v>
      </c>
      <c r="BK73" s="905">
        <v>16.94706564081951</v>
      </c>
      <c r="BL73" s="905">
        <v>17.050815382640916</v>
      </c>
      <c r="BM73" s="905">
        <v>17.154316497783256</v>
      </c>
      <c r="BN73" s="905">
        <v>17.257560235865466</v>
      </c>
      <c r="BO73" s="905">
        <v>17.360519942266045</v>
      </c>
      <c r="BP73" s="905">
        <v>17.463189948981523</v>
      </c>
      <c r="BQ73" s="905">
        <v>17.565564663700801</v>
      </c>
      <c r="BR73" s="905">
        <v>17.667638570138241</v>
      </c>
      <c r="BS73" s="905">
        <v>17.769406228364055</v>
      </c>
      <c r="BT73" s="905">
        <v>17.870862275131969</v>
      </c>
      <c r="BU73" s="905">
        <v>17.972001424202801</v>
      </c>
      <c r="BV73" s="905">
        <v>18.072818466664081</v>
      </c>
      <c r="BW73" s="905">
        <v>18.173308271244821</v>
      </c>
      <c r="BX73" s="905">
        <v>18.273465784625046</v>
      </c>
      <c r="BY73" s="905">
        <v>18.37328603173917</v>
      </c>
      <c r="BZ73" s="905">
        <v>18.472764116072916</v>
      </c>
      <c r="CA73" s="905">
        <v>18.57189521995285</v>
      </c>
      <c r="CB73" s="905">
        <v>18.670674604828484</v>
      </c>
      <c r="CC73" s="905">
        <v>18.769097611545128</v>
      </c>
      <c r="CD73" s="905">
        <v>18.867159660608426</v>
      </c>
      <c r="CE73" s="905">
        <v>18.9648562524388</v>
      </c>
      <c r="CF73" s="905">
        <v>19.062182967615165</v>
      </c>
      <c r="CG73" s="905">
        <v>19.159135467108378</v>
      </c>
      <c r="CH73" s="905">
        <v>19.255709492502106</v>
      </c>
      <c r="CI73" s="905">
        <v>19.351900866202417</v>
      </c>
      <c r="CJ73" s="905">
        <v>19.447705491633698</v>
      </c>
      <c r="CK73" s="905">
        <v>19.543119353421829</v>
      </c>
      <c r="CL73" s="905">
        <v>19.638138517562449</v>
      </c>
      <c r="CM73" s="905">
        <v>19.732759131575712</v>
      </c>
      <c r="CN73" s="905">
        <v>19.826977424645577</v>
      </c>
      <c r="CO73" s="905">
        <v>19.920789707742628</v>
      </c>
      <c r="CP73" s="905">
        <v>20.014192373731973</v>
      </c>
      <c r="CQ73" s="905">
        <v>20.107181897463882</v>
      </c>
      <c r="CR73" s="905">
        <v>20.199754835847717</v>
      </c>
      <c r="CS73" s="905">
        <v>20.291907827908069</v>
      </c>
      <c r="CT73" s="905">
        <v>20.383637594822797</v>
      </c>
      <c r="CU73" s="905">
        <v>20.474940939943405</v>
      </c>
      <c r="CV73" s="905">
        <v>20.565814748796448</v>
      </c>
      <c r="CW73" s="905">
        <v>20.656255989065777</v>
      </c>
      <c r="CX73" s="905">
        <v>20.746261710555739</v>
      </c>
      <c r="CY73" s="905">
        <v>20.835829045134659</v>
      </c>
      <c r="CZ73" s="905">
        <v>20.924955206658595</v>
      </c>
      <c r="DA73" s="905">
        <v>21.013637490875176</v>
      </c>
      <c r="DB73" s="905">
        <v>21.101873275306769</v>
      </c>
      <c r="DC73" s="905">
        <v>21.189660019113575</v>
      </c>
      <c r="DD73" s="905">
        <v>21.276995262935991</v>
      </c>
      <c r="DE73" s="905">
        <v>21.363876628716739</v>
      </c>
      <c r="DF73" s="905">
        <v>21.450301819501146</v>
      </c>
      <c r="DG73" s="905">
        <v>21.536268619218021</v>
      </c>
      <c r="DH73" s="905">
        <v>21.621774892438307</v>
      </c>
      <c r="DI73" s="905">
        <v>21.706818584114117</v>
      </c>
      <c r="DJ73" s="905">
        <v>21.791397719295833</v>
      </c>
      <c r="DK73" s="905">
        <v>21.875510402828819</v>
      </c>
      <c r="DL73" s="905">
        <v>21.959154819030019</v>
      </c>
      <c r="DM73" s="905">
        <v>22.042329231342279</v>
      </c>
      <c r="DN73" s="905">
        <v>22.125031981970402</v>
      </c>
      <c r="DO73" s="905">
        <v>22.207261491494748</v>
      </c>
      <c r="DP73" s="905">
        <v>22.289016258465729</v>
      </c>
      <c r="DQ73" s="905">
        <v>22.370294858978266</v>
      </c>
      <c r="DR73" s="905">
        <v>22.451095946225614</v>
      </c>
      <c r="DS73" s="905">
        <v>22.531418250035049</v>
      </c>
      <c r="DT73" s="905">
        <v>22.611260576382652</v>
      </c>
      <c r="DU73" s="905">
        <v>22.690621806890022</v>
      </c>
    </row>
    <row r="74" spans="1:125" s="127" customFormat="1" ht="12.75">
      <c r="A74" s="908">
        <v>72</v>
      </c>
      <c r="B74" s="905"/>
      <c r="C74" s="905"/>
      <c r="D74" s="905"/>
      <c r="E74" s="905"/>
      <c r="F74" s="905"/>
      <c r="G74" s="905"/>
      <c r="H74" s="905"/>
      <c r="I74" s="905"/>
      <c r="J74" s="905"/>
      <c r="K74" s="905"/>
      <c r="L74" s="905"/>
      <c r="M74" s="905"/>
      <c r="N74" s="905"/>
      <c r="O74" s="905"/>
      <c r="P74" s="905"/>
      <c r="Q74" s="905"/>
      <c r="R74" s="905"/>
      <c r="S74" s="905"/>
      <c r="T74" s="905"/>
      <c r="U74" s="905"/>
      <c r="V74" s="905"/>
      <c r="W74" s="905"/>
      <c r="X74" s="905"/>
      <c r="Y74" s="905">
        <v>12.772470778050309</v>
      </c>
      <c r="Z74" s="905">
        <v>12.962479305446568</v>
      </c>
      <c r="AA74" s="905">
        <v>13.048183997000326</v>
      </c>
      <c r="AB74" s="905">
        <v>13.168604333273953</v>
      </c>
      <c r="AC74" s="905">
        <v>13.252719280034238</v>
      </c>
      <c r="AD74" s="905">
        <v>13.288521270928399</v>
      </c>
      <c r="AE74" s="905">
        <v>13.370830191608938</v>
      </c>
      <c r="AF74" s="905">
        <v>13.510735920107146</v>
      </c>
      <c r="AG74" s="905">
        <v>13.61106436913769</v>
      </c>
      <c r="AH74" s="905">
        <v>13.72726186513075</v>
      </c>
      <c r="AI74" s="905">
        <v>13.83006923049301</v>
      </c>
      <c r="AJ74" s="905">
        <v>13.958574186888555</v>
      </c>
      <c r="AK74" s="905">
        <v>14.073080997856723</v>
      </c>
      <c r="AL74" s="905">
        <v>14.211407641775413</v>
      </c>
      <c r="AM74" s="905">
        <v>14.33389086569008</v>
      </c>
      <c r="AN74" s="905">
        <v>14.418038688605769</v>
      </c>
      <c r="AO74" s="905">
        <v>14.479293564407094</v>
      </c>
      <c r="AP74" s="905">
        <v>14.519216235869138</v>
      </c>
      <c r="AQ74" s="905">
        <v>14.569635258738234</v>
      </c>
      <c r="AR74" s="905">
        <v>14.616142717382814</v>
      </c>
      <c r="AS74" s="905">
        <v>14.637522354008091</v>
      </c>
      <c r="AT74" s="905">
        <v>14.653668670071738</v>
      </c>
      <c r="AU74" s="905">
        <v>14.695577776741638</v>
      </c>
      <c r="AV74" s="905">
        <v>14.754947332020246</v>
      </c>
      <c r="AW74" s="905">
        <v>14.848367565719723</v>
      </c>
      <c r="AX74" s="905">
        <v>14.912276283372902</v>
      </c>
      <c r="AY74" s="905">
        <v>15.000755543755901</v>
      </c>
      <c r="AZ74" s="905">
        <v>15.099687185208253</v>
      </c>
      <c r="BA74" s="905">
        <v>15.20188648098509</v>
      </c>
      <c r="BB74" s="905">
        <v>15.303921163998604</v>
      </c>
      <c r="BC74" s="905">
        <v>15.405791464328978</v>
      </c>
      <c r="BD74" s="905">
        <v>15.507495966597244</v>
      </c>
      <c r="BE74" s="905">
        <v>15.609031964464394</v>
      </c>
      <c r="BF74" s="905">
        <v>15.710395819212225</v>
      </c>
      <c r="BG74" s="905">
        <v>15.811583153894077</v>
      </c>
      <c r="BH74" s="905">
        <v>15.912589002971005</v>
      </c>
      <c r="BI74" s="905">
        <v>16.013407919572018</v>
      </c>
      <c r="BJ74" s="905">
        <v>16.114034010833848</v>
      </c>
      <c r="BK74" s="905">
        <v>16.214460820875264</v>
      </c>
      <c r="BL74" s="905">
        <v>16.314681208768832</v>
      </c>
      <c r="BM74" s="905">
        <v>16.414687222208691</v>
      </c>
      <c r="BN74" s="905">
        <v>16.514448644998097</v>
      </c>
      <c r="BO74" s="905">
        <v>16.61395972329926</v>
      </c>
      <c r="BP74" s="905">
        <v>16.713214769639958</v>
      </c>
      <c r="BQ74" s="905">
        <v>16.812208163473088</v>
      </c>
      <c r="BR74" s="905">
        <v>16.910934351732461</v>
      </c>
      <c r="BS74" s="905">
        <v>17.009387849384339</v>
      </c>
      <c r="BT74" s="905">
        <v>17.107563239974407</v>
      </c>
      <c r="BU74" s="905">
        <v>17.205455176168755</v>
      </c>
      <c r="BV74" s="905">
        <v>17.303058380288931</v>
      </c>
      <c r="BW74" s="905">
        <v>17.400367644840042</v>
      </c>
      <c r="BX74" s="905">
        <v>17.497377833031443</v>
      </c>
      <c r="BY74" s="905">
        <v>17.594083879288974</v>
      </c>
      <c r="BZ74" s="905">
        <v>17.690480789758439</v>
      </c>
      <c r="CA74" s="905">
        <v>17.786563642799258</v>
      </c>
      <c r="CB74" s="905">
        <v>17.882327589468254</v>
      </c>
      <c r="CC74" s="905">
        <v>17.977767853991569</v>
      </c>
      <c r="CD74" s="905">
        <v>18.072879734225793</v>
      </c>
      <c r="CE74" s="905">
        <v>18.167658602106258</v>
      </c>
      <c r="CF74" s="905">
        <v>18.262099904082007</v>
      </c>
      <c r="CG74" s="905">
        <v>18.356199161537738</v>
      </c>
      <c r="CH74" s="905">
        <v>18.449951971200399</v>
      </c>
      <c r="CI74" s="905">
        <v>18.543354005531796</v>
      </c>
      <c r="CJ74" s="905">
        <v>18.63640101310466</v>
      </c>
      <c r="CK74" s="905">
        <v>18.729088818963159</v>
      </c>
      <c r="CL74" s="905">
        <v>18.821413324965672</v>
      </c>
      <c r="CM74" s="905">
        <v>18.913370510111193</v>
      </c>
      <c r="CN74" s="905">
        <v>19.004956430847386</v>
      </c>
      <c r="CO74" s="905">
        <v>19.096167221359291</v>
      </c>
      <c r="CP74" s="905">
        <v>19.186999093840285</v>
      </c>
      <c r="CQ74" s="905">
        <v>19.277448338742779</v>
      </c>
      <c r="CR74" s="905">
        <v>19.367511325009477</v>
      </c>
      <c r="CS74" s="905">
        <v>19.457184500283823</v>
      </c>
      <c r="CT74" s="905">
        <v>19.546464391099576</v>
      </c>
      <c r="CU74" s="905">
        <v>19.63534760304978</v>
      </c>
      <c r="CV74" s="905">
        <v>19.723830820933998</v>
      </c>
      <c r="CW74" s="905">
        <v>19.811910808883432</v>
      </c>
      <c r="CX74" s="905">
        <v>19.899584410464243</v>
      </c>
      <c r="CY74" s="905">
        <v>19.986848548758335</v>
      </c>
      <c r="CZ74" s="905">
        <v>20.073700226421565</v>
      </c>
      <c r="DA74" s="905">
        <v>20.160136525719288</v>
      </c>
      <c r="DB74" s="905">
        <v>20.246154608538479</v>
      </c>
      <c r="DC74" s="905">
        <v>20.331751716377024</v>
      </c>
      <c r="DD74" s="905">
        <v>20.41692517030954</v>
      </c>
      <c r="DE74" s="905">
        <v>20.501672370930322</v>
      </c>
      <c r="DF74" s="905">
        <v>20.585990798271737</v>
      </c>
      <c r="DG74" s="905">
        <v>20.669878011700522</v>
      </c>
      <c r="DH74" s="905">
        <v>20.753331649789331</v>
      </c>
      <c r="DI74" s="905">
        <v>20.836349430166003</v>
      </c>
      <c r="DJ74" s="905">
        <v>20.918929149338346</v>
      </c>
      <c r="DK74" s="905">
        <v>21.001068682495998</v>
      </c>
      <c r="DL74" s="905">
        <v>21.082765983289654</v>
      </c>
      <c r="DM74" s="905">
        <v>21.164019083585547</v>
      </c>
      <c r="DN74" s="905">
        <v>21.244826093199194</v>
      </c>
      <c r="DO74" s="905">
        <v>21.325185199604263</v>
      </c>
      <c r="DP74" s="905">
        <v>21.405094667619991</v>
      </c>
      <c r="DQ74" s="905">
        <v>21.484552839076102</v>
      </c>
      <c r="DR74" s="905">
        <v>21.563558132454872</v>
      </c>
      <c r="DS74" s="905">
        <v>21.642109042512679</v>
      </c>
      <c r="DT74" s="905">
        <v>21.720204139878398</v>
      </c>
      <c r="DU74" s="905">
        <v>21.797842070631514</v>
      </c>
    </row>
    <row r="75" spans="1:125" s="127" customFormat="1" ht="12.75">
      <c r="A75" s="908">
        <v>73</v>
      </c>
      <c r="B75" s="905"/>
      <c r="C75" s="905"/>
      <c r="D75" s="905"/>
      <c r="E75" s="905"/>
      <c r="F75" s="905"/>
      <c r="G75" s="905"/>
      <c r="H75" s="905"/>
      <c r="I75" s="905"/>
      <c r="J75" s="905"/>
      <c r="K75" s="905"/>
      <c r="L75" s="905"/>
      <c r="M75" s="905"/>
      <c r="N75" s="905"/>
      <c r="O75" s="905"/>
      <c r="P75" s="905"/>
      <c r="Q75" s="905"/>
      <c r="R75" s="905"/>
      <c r="S75" s="905"/>
      <c r="T75" s="905"/>
      <c r="U75" s="905"/>
      <c r="V75" s="905"/>
      <c r="W75" s="905"/>
      <c r="X75" s="905"/>
      <c r="Y75" s="905">
        <v>12.180403373555393</v>
      </c>
      <c r="Z75" s="905">
        <v>12.349082663075237</v>
      </c>
      <c r="AA75" s="905">
        <v>12.431777096131446</v>
      </c>
      <c r="AB75" s="905">
        <v>12.545578354402947</v>
      </c>
      <c r="AC75" s="905">
        <v>12.6161575714581</v>
      </c>
      <c r="AD75" s="905">
        <v>12.642076239916477</v>
      </c>
      <c r="AE75" s="905">
        <v>12.724403708735819</v>
      </c>
      <c r="AF75" s="905">
        <v>12.866083966968539</v>
      </c>
      <c r="AG75" s="905">
        <v>12.951706278652662</v>
      </c>
      <c r="AH75" s="905">
        <v>13.052610697785255</v>
      </c>
      <c r="AI75" s="905">
        <v>13.150394126152062</v>
      </c>
      <c r="AJ75" s="905">
        <v>13.268609064124488</v>
      </c>
      <c r="AK75" s="905">
        <v>13.3801471332409</v>
      </c>
      <c r="AL75" s="905">
        <v>13.509405189588836</v>
      </c>
      <c r="AM75" s="905">
        <v>13.620378247781897</v>
      </c>
      <c r="AN75" s="905">
        <v>13.703287990583753</v>
      </c>
      <c r="AO75" s="905">
        <v>13.764535202077436</v>
      </c>
      <c r="AP75" s="905">
        <v>13.803174786464094</v>
      </c>
      <c r="AQ75" s="905">
        <v>13.846234093337955</v>
      </c>
      <c r="AR75" s="905">
        <v>13.900967739689445</v>
      </c>
      <c r="AS75" s="905">
        <v>13.919838072969402</v>
      </c>
      <c r="AT75" s="905">
        <v>13.945481207719766</v>
      </c>
      <c r="AU75" s="905">
        <v>13.993031027360502</v>
      </c>
      <c r="AV75" s="905">
        <v>14.051278945165766</v>
      </c>
      <c r="AW75" s="905">
        <v>14.141335735768664</v>
      </c>
      <c r="AX75" s="905">
        <v>14.21937986495584</v>
      </c>
      <c r="AY75" s="905">
        <v>14.316369483953778</v>
      </c>
      <c r="AZ75" s="905">
        <v>14.414801995563938</v>
      </c>
      <c r="BA75" s="905">
        <v>14.513102125042092</v>
      </c>
      <c r="BB75" s="905">
        <v>14.611271757557247</v>
      </c>
      <c r="BC75" s="905">
        <v>14.709311159645015</v>
      </c>
      <c r="BD75" s="905">
        <v>14.807218901409438</v>
      </c>
      <c r="BE75" s="905">
        <v>14.904992225519095</v>
      </c>
      <c r="BF75" s="905">
        <v>15.002627416432498</v>
      </c>
      <c r="BG75" s="905">
        <v>15.100120000240565</v>
      </c>
      <c r="BH75" s="905">
        <v>15.197464898618975</v>
      </c>
      <c r="BI75" s="905">
        <v>15.294656539233454</v>
      </c>
      <c r="BJ75" s="905">
        <v>15.391688892747041</v>
      </c>
      <c r="BK75" s="905">
        <v>15.488555354990284</v>
      </c>
      <c r="BL75" s="905">
        <v>15.585248623592229</v>
      </c>
      <c r="BM75" s="905">
        <v>15.68173563450032</v>
      </c>
      <c r="BN75" s="905">
        <v>15.778010581133518</v>
      </c>
      <c r="BO75" s="905">
        <v>15.874067713967335</v>
      </c>
      <c r="BP75" s="905">
        <v>15.96990134129733</v>
      </c>
      <c r="BQ75" s="905">
        <v>16.065505829998308</v>
      </c>
      <c r="BR75" s="905">
        <v>16.160875606278633</v>
      </c>
      <c r="BS75" s="905">
        <v>16.256005156428966</v>
      </c>
      <c r="BT75" s="905">
        <v>16.350889027565128</v>
      </c>
      <c r="BU75" s="905">
        <v>16.445521828363439</v>
      </c>
      <c r="BV75" s="905">
        <v>16.539898229788609</v>
      </c>
      <c r="BW75" s="905">
        <v>16.634012965812989</v>
      </c>
      <c r="BX75" s="905">
        <v>16.727860834126716</v>
      </c>
      <c r="BY75" s="905">
        <v>16.821436696837576</v>
      </c>
      <c r="BZ75" s="905">
        <v>16.914735481160228</v>
      </c>
      <c r="CA75" s="905">
        <v>17.007752180093696</v>
      </c>
      <c r="CB75" s="905">
        <v>17.100481853086958</v>
      </c>
      <c r="CC75" s="905">
        <v>17.192919626690653</v>
      </c>
      <c r="CD75" s="905">
        <v>17.28506069519586</v>
      </c>
      <c r="CE75" s="905">
        <v>17.376900321257928</v>
      </c>
      <c r="CF75" s="905">
        <v>17.468433836504783</v>
      </c>
      <c r="CG75" s="905">
        <v>17.559656642129958</v>
      </c>
      <c r="CH75" s="905">
        <v>17.650564209468087</v>
      </c>
      <c r="CI75" s="905">
        <v>17.741152080554027</v>
      </c>
      <c r="CJ75" s="905">
        <v>17.831415868663214</v>
      </c>
      <c r="CK75" s="905">
        <v>17.921351258834086</v>
      </c>
      <c r="CL75" s="905">
        <v>18.010954008370405</v>
      </c>
      <c r="CM75" s="905">
        <v>18.10021994732486</v>
      </c>
      <c r="CN75" s="905">
        <v>18.18914497896192</v>
      </c>
      <c r="CO75" s="905">
        <v>18.277725080198959</v>
      </c>
      <c r="CP75" s="905">
        <v>18.365956302027193</v>
      </c>
      <c r="CQ75" s="905">
        <v>18.453834769909975</v>
      </c>
      <c r="CR75" s="905">
        <v>18.541356684159222</v>
      </c>
      <c r="CS75" s="905">
        <v>18.628518320288617</v>
      </c>
      <c r="CT75" s="905">
        <v>18.715316029343505</v>
      </c>
      <c r="CU75" s="905">
        <v>18.801746238207805</v>
      </c>
      <c r="CV75" s="905">
        <v>18.887805449886699</v>
      </c>
      <c r="CW75" s="905">
        <v>18.973490243764907</v>
      </c>
      <c r="CX75" s="905">
        <v>19.058797275840668</v>
      </c>
      <c r="CY75" s="905">
        <v>19.143723278934822</v>
      </c>
      <c r="CZ75" s="905">
        <v>19.228265062874961</v>
      </c>
      <c r="DA75" s="905">
        <v>19.312419514654522</v>
      </c>
      <c r="DB75" s="905">
        <v>19.396183598566097</v>
      </c>
      <c r="DC75" s="905">
        <v>19.479554356309549</v>
      </c>
      <c r="DD75" s="905">
        <v>19.562528907074395</v>
      </c>
      <c r="DE75" s="905">
        <v>19.645104447596903</v>
      </c>
      <c r="DF75" s="905">
        <v>19.727278252190402</v>
      </c>
      <c r="DG75" s="905">
        <v>19.809047672751213</v>
      </c>
      <c r="DH75" s="905">
        <v>19.890410138737522</v>
      </c>
      <c r="DI75" s="905">
        <v>19.971363157123768</v>
      </c>
      <c r="DJ75" s="905">
        <v>20.051904312328283</v>
      </c>
      <c r="DK75" s="905">
        <v>20.132031266115849</v>
      </c>
      <c r="DL75" s="905">
        <v>20.211741757475398</v>
      </c>
      <c r="DM75" s="905">
        <v>20.291033602470783</v>
      </c>
      <c r="DN75" s="905">
        <v>20.36990469406873</v>
      </c>
      <c r="DO75" s="905">
        <v>20.448353001939726</v>
      </c>
      <c r="DP75" s="905">
        <v>20.526376572235378</v>
      </c>
      <c r="DQ75" s="905">
        <v>20.603973527341203</v>
      </c>
      <c r="DR75" s="905">
        <v>20.681142065604504</v>
      </c>
      <c r="DS75" s="905">
        <v>20.757880461039669</v>
      </c>
      <c r="DT75" s="905">
        <v>20.834187063008343</v>
      </c>
      <c r="DU75" s="905">
        <v>20.910060295877315</v>
      </c>
    </row>
    <row r="76" spans="1:125" s="127" customFormat="1" ht="12.75">
      <c r="A76" s="908">
        <v>74</v>
      </c>
      <c r="B76" s="905"/>
      <c r="C76" s="905"/>
      <c r="D76" s="905"/>
      <c r="E76" s="905"/>
      <c r="F76" s="905"/>
      <c r="G76" s="905"/>
      <c r="H76" s="905"/>
      <c r="I76" s="905"/>
      <c r="J76" s="905"/>
      <c r="K76" s="905"/>
      <c r="L76" s="905"/>
      <c r="M76" s="905"/>
      <c r="N76" s="905"/>
      <c r="O76" s="905"/>
      <c r="P76" s="905"/>
      <c r="Q76" s="905"/>
      <c r="R76" s="905"/>
      <c r="S76" s="905"/>
      <c r="T76" s="905"/>
      <c r="U76" s="905"/>
      <c r="V76" s="905"/>
      <c r="W76" s="905"/>
      <c r="X76" s="905"/>
      <c r="Y76" s="905">
        <v>11.584341300368164</v>
      </c>
      <c r="Z76" s="905">
        <v>11.740032313683647</v>
      </c>
      <c r="AA76" s="905">
        <v>11.825422378254768</v>
      </c>
      <c r="AB76" s="905">
        <v>11.920958027240054</v>
      </c>
      <c r="AC76" s="905">
        <v>11.981516927582623</v>
      </c>
      <c r="AD76" s="905">
        <v>12.009337683055604</v>
      </c>
      <c r="AE76" s="905">
        <v>12.09588468649927</v>
      </c>
      <c r="AF76" s="905">
        <v>12.220657966304914</v>
      </c>
      <c r="AG76" s="905">
        <v>12.301505488145892</v>
      </c>
      <c r="AH76" s="905">
        <v>12.380596170380148</v>
      </c>
      <c r="AI76" s="905">
        <v>12.475448657360779</v>
      </c>
      <c r="AJ76" s="905">
        <v>12.588008362684624</v>
      </c>
      <c r="AK76" s="905">
        <v>12.698771198239758</v>
      </c>
      <c r="AL76" s="905">
        <v>12.813690667155514</v>
      </c>
      <c r="AM76" s="905">
        <v>12.919137101101057</v>
      </c>
      <c r="AN76" s="905">
        <v>12.998345992545929</v>
      </c>
      <c r="AO76" s="905">
        <v>13.061526668814844</v>
      </c>
      <c r="AP76" s="905">
        <v>13.088771919043893</v>
      </c>
      <c r="AQ76" s="905">
        <v>13.144559955180107</v>
      </c>
      <c r="AR76" s="905">
        <v>13.193335099447285</v>
      </c>
      <c r="AS76" s="905">
        <v>13.217435864603949</v>
      </c>
      <c r="AT76" s="905">
        <v>13.252835042806957</v>
      </c>
      <c r="AU76" s="905">
        <v>13.301169223588188</v>
      </c>
      <c r="AV76" s="905">
        <v>13.35820117279947</v>
      </c>
      <c r="AW76" s="905">
        <v>13.457108469788736</v>
      </c>
      <c r="AX76" s="905">
        <v>13.547690483624763</v>
      </c>
      <c r="AY76" s="905">
        <v>13.642323821011544</v>
      </c>
      <c r="AZ76" s="905">
        <v>13.736853906053184</v>
      </c>
      <c r="BA76" s="905">
        <v>13.831284113348064</v>
      </c>
      <c r="BB76" s="905">
        <v>13.925616433118797</v>
      </c>
      <c r="BC76" s="905">
        <v>14.019851172728934</v>
      </c>
      <c r="BD76" s="905">
        <v>14.113986889367451</v>
      </c>
      <c r="BE76" s="905">
        <v>14.208020774838465</v>
      </c>
      <c r="BF76" s="905">
        <v>14.301949036378478</v>
      </c>
      <c r="BG76" s="905">
        <v>14.395767102664298</v>
      </c>
      <c r="BH76" s="905">
        <v>14.489469782420496</v>
      </c>
      <c r="BI76" s="905">
        <v>14.583051378195176</v>
      </c>
      <c r="BJ76" s="905">
        <v>14.676505725116833</v>
      </c>
      <c r="BK76" s="905">
        <v>14.769826072101736</v>
      </c>
      <c r="BL76" s="905">
        <v>14.862977001834714</v>
      </c>
      <c r="BM76" s="905">
        <v>14.955952690472508</v>
      </c>
      <c r="BN76" s="905">
        <v>15.048747362040057</v>
      </c>
      <c r="BO76" s="905">
        <v>15.141355289371411</v>
      </c>
      <c r="BP76" s="905">
        <v>15.233770795047509</v>
      </c>
      <c r="BQ76" s="905">
        <v>15.325988252328958</v>
      </c>
      <c r="BR76" s="905">
        <v>15.418002086083193</v>
      </c>
      <c r="BS76" s="905">
        <v>15.509806773705215</v>
      </c>
      <c r="BT76" s="905">
        <v>15.601396846031438</v>
      </c>
      <c r="BU76" s="905">
        <v>15.692766888245085</v>
      </c>
      <c r="BV76" s="905">
        <v>15.783911540772884</v>
      </c>
      <c r="BW76" s="905">
        <v>15.874825500172051</v>
      </c>
      <c r="BX76" s="905">
        <v>15.965503520006834</v>
      </c>
      <c r="BY76" s="905">
        <v>16.055940411713436</v>
      </c>
      <c r="BZ76" s="905">
        <v>16.146131045452975</v>
      </c>
      <c r="CA76" s="905">
        <v>16.236070350951167</v>
      </c>
      <c r="CB76" s="905">
        <v>16.325753318324654</v>
      </c>
      <c r="CC76" s="905">
        <v>16.415174998891921</v>
      </c>
      <c r="CD76" s="905">
        <v>16.504330505969588</v>
      </c>
      <c r="CE76" s="905">
        <v>16.59321501565222</v>
      </c>
      <c r="CF76" s="905">
        <v>16.681823767574844</v>
      </c>
      <c r="CG76" s="905">
        <v>16.770152065658522</v>
      </c>
      <c r="CH76" s="905">
        <v>16.858195278836604</v>
      </c>
      <c r="CI76" s="905">
        <v>16.945948841762871</v>
      </c>
      <c r="CJ76" s="905">
        <v>17.033408255499022</v>
      </c>
      <c r="CK76" s="905">
        <v>17.120569088182521</v>
      </c>
      <c r="CL76" s="905">
        <v>17.207426975672355</v>
      </c>
      <c r="CM76" s="905">
        <v>17.293977622174282</v>
      </c>
      <c r="CN76" s="905">
        <v>17.380216800843456</v>
      </c>
      <c r="CO76" s="905">
        <v>17.466140354363347</v>
      </c>
      <c r="CP76" s="905">
        <v>17.551744195502607</v>
      </c>
      <c r="CQ76" s="905">
        <v>17.637024307647373</v>
      </c>
      <c r="CR76" s="905">
        <v>17.72197674530976</v>
      </c>
      <c r="CS76" s="905">
        <v>17.806597634611148</v>
      </c>
      <c r="CT76" s="905">
        <v>17.890883173740299</v>
      </c>
      <c r="CU76" s="905">
        <v>17.974829633386442</v>
      </c>
      <c r="CV76" s="905">
        <v>18.058433357146299</v>
      </c>
      <c r="CW76" s="905">
        <v>18.141690761904627</v>
      </c>
      <c r="CX76" s="905">
        <v>18.224598338188599</v>
      </c>
      <c r="CY76" s="905">
        <v>18.307152650495297</v>
      </c>
      <c r="CZ76" s="905">
        <v>18.389350337592337</v>
      </c>
      <c r="DA76" s="905">
        <v>18.471188112791523</v>
      </c>
      <c r="DB76" s="905">
        <v>18.5526627641947</v>
      </c>
      <c r="DC76" s="905">
        <v>18.633771154912598</v>
      </c>
      <c r="DD76" s="905">
        <v>18.714510223255893</v>
      </c>
      <c r="DE76" s="905">
        <v>18.794876982899201</v>
      </c>
      <c r="DF76" s="905">
        <v>18.874868523016232</v>
      </c>
      <c r="DG76" s="905">
        <v>18.954482008388801</v>
      </c>
      <c r="DH76" s="905">
        <v>19.033714679486792</v>
      </c>
      <c r="DI76" s="905">
        <v>19.112563852521831</v>
      </c>
      <c r="DJ76" s="905">
        <v>19.191026919472272</v>
      </c>
      <c r="DK76" s="905">
        <v>19.269101348081328</v>
      </c>
      <c r="DL76" s="905">
        <v>19.346784681828446</v>
      </c>
      <c r="DM76" s="905">
        <v>19.42407453987191</v>
      </c>
      <c r="DN76" s="905">
        <v>19.500968616966858</v>
      </c>
      <c r="DO76" s="905">
        <v>19.5774646833544</v>
      </c>
      <c r="DP76" s="905">
        <v>19.653560584625438</v>
      </c>
      <c r="DQ76" s="905">
        <v>19.729254241558102</v>
      </c>
      <c r="DR76" s="905">
        <v>19.804543649928537</v>
      </c>
      <c r="DS76" s="905">
        <v>19.879426880297384</v>
      </c>
      <c r="DT76" s="905">
        <v>19.953902077769371</v>
      </c>
      <c r="DU76" s="905">
        <v>20.027967461728892</v>
      </c>
    </row>
    <row r="77" spans="1:125" s="127" customFormat="1" ht="12.75">
      <c r="A77" s="908">
        <v>75</v>
      </c>
      <c r="B77" s="905"/>
      <c r="C77" s="905"/>
      <c r="D77" s="905"/>
      <c r="E77" s="905"/>
      <c r="F77" s="905"/>
      <c r="G77" s="905"/>
      <c r="H77" s="905"/>
      <c r="I77" s="905"/>
      <c r="J77" s="905"/>
      <c r="K77" s="905"/>
      <c r="L77" s="905"/>
      <c r="M77" s="905"/>
      <c r="N77" s="905"/>
      <c r="O77" s="905"/>
      <c r="P77" s="905"/>
      <c r="Q77" s="905"/>
      <c r="R77" s="905"/>
      <c r="S77" s="905"/>
      <c r="T77" s="905"/>
      <c r="U77" s="905"/>
      <c r="V77" s="905"/>
      <c r="W77" s="905"/>
      <c r="X77" s="905"/>
      <c r="Y77" s="905">
        <v>11.000819520557663</v>
      </c>
      <c r="Z77" s="905">
        <v>11.151369983858388</v>
      </c>
      <c r="AA77" s="905">
        <v>11.220099929322283</v>
      </c>
      <c r="AB77" s="905">
        <v>11.306770952771792</v>
      </c>
      <c r="AC77" s="905">
        <v>11.359122932172337</v>
      </c>
      <c r="AD77" s="905">
        <v>11.398789327333898</v>
      </c>
      <c r="AE77" s="905">
        <v>11.468867619013862</v>
      </c>
      <c r="AF77" s="905">
        <v>11.582705718088846</v>
      </c>
      <c r="AG77" s="905">
        <v>11.65151914589541</v>
      </c>
      <c r="AH77" s="905">
        <v>11.723502866912682</v>
      </c>
      <c r="AI77" s="905">
        <v>11.812818765674413</v>
      </c>
      <c r="AJ77" s="905">
        <v>11.924506343115912</v>
      </c>
      <c r="AK77" s="905">
        <v>12.021041052232196</v>
      </c>
      <c r="AL77" s="905">
        <v>12.133686109889844</v>
      </c>
      <c r="AM77" s="905">
        <v>12.229528988077121</v>
      </c>
      <c r="AN77" s="905">
        <v>12.307395870608097</v>
      </c>
      <c r="AO77" s="905">
        <v>12.355580718873549</v>
      </c>
      <c r="AP77" s="905">
        <v>12.398005807455661</v>
      </c>
      <c r="AQ77" s="905">
        <v>12.444720471250175</v>
      </c>
      <c r="AR77" s="905">
        <v>12.499035224295614</v>
      </c>
      <c r="AS77" s="905">
        <v>12.53011730170207</v>
      </c>
      <c r="AT77" s="905">
        <v>12.564713049370727</v>
      </c>
      <c r="AU77" s="905">
        <v>12.621457313380223</v>
      </c>
      <c r="AV77" s="905">
        <v>12.693885084426743</v>
      </c>
      <c r="AW77" s="905">
        <v>12.793941353821957</v>
      </c>
      <c r="AX77" s="905">
        <v>12.884757759020502</v>
      </c>
      <c r="AY77" s="905">
        <v>12.975497066970107</v>
      </c>
      <c r="AZ77" s="905">
        <v>13.066163776628212</v>
      </c>
      <c r="BA77" s="905">
        <v>13.156761452758213</v>
      </c>
      <c r="BB77" s="905">
        <v>13.247292199244285</v>
      </c>
      <c r="BC77" s="905">
        <v>13.337756368718367</v>
      </c>
      <c r="BD77" s="905">
        <v>13.428152506640441</v>
      </c>
      <c r="BE77" s="905">
        <v>13.518477753366813</v>
      </c>
      <c r="BF77" s="905">
        <v>13.608728237646984</v>
      </c>
      <c r="BG77" s="905">
        <v>13.698899289342762</v>
      </c>
      <c r="BH77" s="905">
        <v>13.788985603081933</v>
      </c>
      <c r="BI77" s="905">
        <v>13.878981355665296</v>
      </c>
      <c r="BJ77" s="905">
        <v>13.968880246669752</v>
      </c>
      <c r="BK77" s="905">
        <v>14.058644823947935</v>
      </c>
      <c r="BL77" s="905">
        <v>14.148269281664165</v>
      </c>
      <c r="BM77" s="905">
        <v>14.237747852885374</v>
      </c>
      <c r="BN77" s="905">
        <v>14.327074810674809</v>
      </c>
      <c r="BO77" s="905">
        <v>14.416244469180967</v>
      </c>
      <c r="BP77" s="905">
        <v>14.50525118472318</v>
      </c>
      <c r="BQ77" s="905">
        <v>14.594089356871958</v>
      </c>
      <c r="BR77" s="905">
        <v>14.682753429523208</v>
      </c>
      <c r="BS77" s="905">
        <v>14.771237891965677</v>
      </c>
      <c r="BT77" s="905">
        <v>14.859537279940852</v>
      </c>
      <c r="BU77" s="905">
        <v>14.947646176693828</v>
      </c>
      <c r="BV77" s="905">
        <v>15.035559214014796</v>
      </c>
      <c r="BW77" s="905">
        <v>15.12327107326999</v>
      </c>
      <c r="BX77" s="905">
        <v>15.210776486421413</v>
      </c>
      <c r="BY77" s="905">
        <v>15.298070237034061</v>
      </c>
      <c r="BZ77" s="905">
        <v>15.385147161270211</v>
      </c>
      <c r="CA77" s="905">
        <v>15.472002148869475</v>
      </c>
      <c r="CB77" s="905">
        <v>15.558630144114439</v>
      </c>
      <c r="CC77" s="905">
        <v>15.645026146779779</v>
      </c>
      <c r="CD77" s="905">
        <v>15.731185213065711</v>
      </c>
      <c r="CE77" s="905">
        <v>15.817102456513696</v>
      </c>
      <c r="CF77" s="905">
        <v>15.902773048903686</v>
      </c>
      <c r="CG77" s="905">
        <v>15.988192221133236</v>
      </c>
      <c r="CH77" s="905">
        <v>16.073355264075957</v>
      </c>
      <c r="CI77" s="905">
        <v>16.158257529420599</v>
      </c>
      <c r="CJ77" s="905">
        <v>16.242894430488171</v>
      </c>
      <c r="CK77" s="905">
        <v>16.327261443028029</v>
      </c>
      <c r="CL77" s="905">
        <v>16.411354105990551</v>
      </c>
      <c r="CM77" s="905">
        <v>16.495168022277912</v>
      </c>
      <c r="CN77" s="905">
        <v>16.578698859470805</v>
      </c>
      <c r="CO77" s="905">
        <v>16.661942350530019</v>
      </c>
      <c r="CP77" s="905">
        <v>16.744894294474591</v>
      </c>
      <c r="CQ77" s="905">
        <v>16.827550557033874</v>
      </c>
      <c r="CR77" s="905">
        <v>16.909907071274386</v>
      </c>
      <c r="CS77" s="905">
        <v>16.991959838199939</v>
      </c>
      <c r="CT77" s="905">
        <v>17.073704927325114</v>
      </c>
      <c r="CU77" s="905">
        <v>17.15513847722228</v>
      </c>
      <c r="CV77" s="905">
        <v>17.236256696040947</v>
      </c>
      <c r="CW77" s="905">
        <v>17.317055861999233</v>
      </c>
      <c r="CX77" s="905">
        <v>17.397532323847607</v>
      </c>
      <c r="CY77" s="905">
        <v>17.477682501304244</v>
      </c>
      <c r="CZ77" s="905">
        <v>17.557502885462007</v>
      </c>
      <c r="DA77" s="905">
        <v>17.636990039166914</v>
      </c>
      <c r="DB77" s="905">
        <v>17.716140597367335</v>
      </c>
      <c r="DC77" s="905">
        <v>17.794951267434627</v>
      </c>
      <c r="DD77" s="905">
        <v>17.873418829454451</v>
      </c>
      <c r="DE77" s="905">
        <v>17.951540136489573</v>
      </c>
      <c r="DF77" s="905">
        <v>18.029312114812246</v>
      </c>
      <c r="DG77" s="905">
        <v>18.106731764108954</v>
      </c>
      <c r="DH77" s="905">
        <v>18.183796157654626</v>
      </c>
      <c r="DI77" s="905">
        <v>18.260502442459014</v>
      </c>
      <c r="DJ77" s="905">
        <v>18.336847839382919</v>
      </c>
      <c r="DK77" s="905">
        <v>18.412829643226026</v>
      </c>
      <c r="DL77" s="905">
        <v>18.488445222786517</v>
      </c>
      <c r="DM77" s="905">
        <v>18.563692020890436</v>
      </c>
      <c r="DN77" s="905">
        <v>18.638567554394939</v>
      </c>
      <c r="DO77" s="905">
        <v>18.713069414161211</v>
      </c>
      <c r="DP77" s="905">
        <v>18.787195265000602</v>
      </c>
      <c r="DQ77" s="905">
        <v>18.860942845592895</v>
      </c>
      <c r="DR77" s="905">
        <v>18.934309968376521</v>
      </c>
      <c r="DS77" s="905">
        <v>19.007294519412941</v>
      </c>
      <c r="DT77" s="905">
        <v>19.079894458222782</v>
      </c>
      <c r="DU77" s="905">
        <v>19.152107817596459</v>
      </c>
    </row>
    <row r="78" spans="1:125" s="127" customFormat="1" ht="12.75">
      <c r="A78" s="908">
        <v>76</v>
      </c>
      <c r="B78" s="905"/>
      <c r="C78" s="905"/>
      <c r="D78" s="905"/>
      <c r="E78" s="905"/>
      <c r="F78" s="905"/>
      <c r="G78" s="905"/>
      <c r="H78" s="905"/>
      <c r="I78" s="905"/>
      <c r="J78" s="905"/>
      <c r="K78" s="905"/>
      <c r="L78" s="905"/>
      <c r="M78" s="905"/>
      <c r="N78" s="905"/>
      <c r="O78" s="905"/>
      <c r="P78" s="905"/>
      <c r="Q78" s="905"/>
      <c r="R78" s="905"/>
      <c r="S78" s="905"/>
      <c r="T78" s="905"/>
      <c r="U78" s="905"/>
      <c r="V78" s="905"/>
      <c r="W78" s="905"/>
      <c r="X78" s="905"/>
      <c r="Y78" s="905">
        <v>10.431073800158455</v>
      </c>
      <c r="Z78" s="905">
        <v>10.562056453336581</v>
      </c>
      <c r="AA78" s="905">
        <v>10.62571906377439</v>
      </c>
      <c r="AB78" s="905">
        <v>10.699330797224292</v>
      </c>
      <c r="AC78" s="905">
        <v>10.765939986144591</v>
      </c>
      <c r="AD78" s="905">
        <v>10.793311853337318</v>
      </c>
      <c r="AE78" s="905">
        <v>10.849020281043092</v>
      </c>
      <c r="AF78" s="905">
        <v>10.950158577143613</v>
      </c>
      <c r="AG78" s="905">
        <v>11.013106624552496</v>
      </c>
      <c r="AH78" s="905">
        <v>11.085393161658553</v>
      </c>
      <c r="AI78" s="905">
        <v>11.166959380778891</v>
      </c>
      <c r="AJ78" s="905">
        <v>11.265304118228912</v>
      </c>
      <c r="AK78" s="905">
        <v>11.361590126887126</v>
      </c>
      <c r="AL78" s="905">
        <v>11.465278526133424</v>
      </c>
      <c r="AM78" s="905">
        <v>11.559298951478045</v>
      </c>
      <c r="AN78" s="905">
        <v>11.61648502808071</v>
      </c>
      <c r="AO78" s="905">
        <v>11.678913879976927</v>
      </c>
      <c r="AP78" s="905">
        <v>11.711862089087813</v>
      </c>
      <c r="AQ78" s="905">
        <v>11.762923752932242</v>
      </c>
      <c r="AR78" s="905">
        <v>11.820800763428508</v>
      </c>
      <c r="AS78" s="905">
        <v>11.848947636470278</v>
      </c>
      <c r="AT78" s="905">
        <v>11.891004773460455</v>
      </c>
      <c r="AU78" s="905">
        <v>11.965843524210118</v>
      </c>
      <c r="AV78" s="905">
        <v>12.055326674799073</v>
      </c>
      <c r="AW78" s="905">
        <v>12.142321234362811</v>
      </c>
      <c r="AX78" s="905">
        <v>12.22926227483706</v>
      </c>
      <c r="AY78" s="905">
        <v>12.316154837475956</v>
      </c>
      <c r="AZ78" s="905">
        <v>12.40300371057587</v>
      </c>
      <c r="BA78" s="905">
        <v>12.489812662430307</v>
      </c>
      <c r="BB78" s="905">
        <v>12.576583918343166</v>
      </c>
      <c r="BC78" s="905">
        <v>12.663317879087117</v>
      </c>
      <c r="BD78" s="905">
        <v>12.750013077449315</v>
      </c>
      <c r="BE78" s="905">
        <v>12.836666599297626</v>
      </c>
      <c r="BF78" s="905">
        <v>12.923274491013675</v>
      </c>
      <c r="BG78" s="905">
        <v>13.009831979554241</v>
      </c>
      <c r="BH78" s="905">
        <v>13.096333641603721</v>
      </c>
      <c r="BI78" s="905">
        <v>13.182773524914715</v>
      </c>
      <c r="BJ78" s="905">
        <v>13.269112276804638</v>
      </c>
      <c r="BK78" s="905">
        <v>13.355344143301238</v>
      </c>
      <c r="BL78" s="905">
        <v>13.441463400696009</v>
      </c>
      <c r="BM78" s="905">
        <v>13.5274643567602</v>
      </c>
      <c r="BN78" s="905">
        <v>13.613341351960322</v>
      </c>
      <c r="BO78" s="905">
        <v>13.699088760669028</v>
      </c>
      <c r="BP78" s="905">
        <v>13.78470099237272</v>
      </c>
      <c r="BQ78" s="905">
        <v>13.87017249287392</v>
      </c>
      <c r="BR78" s="905">
        <v>13.955497745487479</v>
      </c>
      <c r="BS78" s="905">
        <v>14.040671272229826</v>
      </c>
      <c r="BT78" s="905">
        <v>14.125687635000517</v>
      </c>
      <c r="BU78" s="905">
        <v>14.210541436754475</v>
      </c>
      <c r="BV78" s="905">
        <v>14.2952273226645</v>
      </c>
      <c r="BW78" s="905">
        <v>14.379739981272888</v>
      </c>
      <c r="BX78" s="905">
        <v>14.464074145631415</v>
      </c>
      <c r="BY78" s="905">
        <v>14.548224594428273</v>
      </c>
      <c r="BZ78" s="905">
        <v>14.632186153101621</v>
      </c>
      <c r="CA78" s="905">
        <v>14.715953694938243</v>
      </c>
      <c r="CB78" s="905">
        <v>14.799522142157274</v>
      </c>
      <c r="CC78" s="905">
        <v>14.882886466976665</v>
      </c>
      <c r="CD78" s="905">
        <v>14.966041692663318</v>
      </c>
      <c r="CE78" s="905">
        <v>15.048982894564782</v>
      </c>
      <c r="CF78" s="905">
        <v>15.131705201121687</v>
      </c>
      <c r="CG78" s="905">
        <v>15.214203794861273</v>
      </c>
      <c r="CH78" s="905">
        <v>15.296473913369461</v>
      </c>
      <c r="CI78" s="905">
        <v>15.378510850242659</v>
      </c>
      <c r="CJ78" s="905">
        <v>15.460309956016802</v>
      </c>
      <c r="CK78" s="905">
        <v>15.541866639074426</v>
      </c>
      <c r="CL78" s="905">
        <v>15.623176366527403</v>
      </c>
      <c r="CM78" s="905">
        <v>15.704234665076886</v>
      </c>
      <c r="CN78" s="905">
        <v>15.785037121848216</v>
      </c>
      <c r="CO78" s="905">
        <v>15.865579385199709</v>
      </c>
      <c r="CP78" s="905">
        <v>15.945857165507045</v>
      </c>
      <c r="CQ78" s="905">
        <v>16.025866235920592</v>
      </c>
      <c r="CR78" s="905">
        <v>16.105602433096422</v>
      </c>
      <c r="CS78" s="905">
        <v>16.18506165789967</v>
      </c>
      <c r="CT78" s="905">
        <v>16.264239876080119</v>
      </c>
      <c r="CU78" s="905">
        <v>16.343133118920306</v>
      </c>
      <c r="CV78" s="905">
        <v>16.42173748385494</v>
      </c>
      <c r="CW78" s="905">
        <v>16.500049135061257</v>
      </c>
      <c r="CX78" s="905">
        <v>16.578064304020696</v>
      </c>
      <c r="CY78" s="905">
        <v>16.655779290050987</v>
      </c>
      <c r="CZ78" s="905">
        <v>16.733190460808832</v>
      </c>
      <c r="DA78" s="905">
        <v>16.810294252762962</v>
      </c>
      <c r="DB78" s="905">
        <v>16.887087171636782</v>
      </c>
      <c r="DC78" s="905">
        <v>16.96356579282136</v>
      </c>
      <c r="DD78" s="905">
        <v>17.039726761758001</v>
      </c>
      <c r="DE78" s="905">
        <v>17.115566794291112</v>
      </c>
      <c r="DF78" s="905">
        <v>17.191082676989595</v>
      </c>
      <c r="DG78" s="905">
        <v>17.266271267439411</v>
      </c>
      <c r="DH78" s="905">
        <v>17.341129494504507</v>
      </c>
      <c r="DI78" s="905">
        <v>17.415654358558765</v>
      </c>
      <c r="DJ78" s="905">
        <v>17.489842931686653</v>
      </c>
      <c r="DK78" s="905">
        <v>17.563692357854336</v>
      </c>
      <c r="DL78" s="905">
        <v>17.637199853051406</v>
      </c>
      <c r="DM78" s="905">
        <v>17.71036270540127</v>
      </c>
      <c r="DN78" s="905">
        <v>17.783178275244218</v>
      </c>
      <c r="DO78" s="905">
        <v>17.855643995189034</v>
      </c>
      <c r="DP78" s="905">
        <v>17.927757370136646</v>
      </c>
      <c r="DQ78" s="905">
        <v>17.999515977274839</v>
      </c>
      <c r="DR78" s="905">
        <v>18.07091746604366</v>
      </c>
      <c r="DS78" s="905">
        <v>18.141959558073921</v>
      </c>
      <c r="DT78" s="905">
        <v>18.212640047096251</v>
      </c>
      <c r="DU78" s="905">
        <v>18.282956798823534</v>
      </c>
    </row>
    <row r="79" spans="1:125" s="127" customFormat="1" ht="12.75">
      <c r="A79" s="908">
        <v>77</v>
      </c>
      <c r="B79" s="905"/>
      <c r="C79" s="905"/>
      <c r="D79" s="905"/>
      <c r="E79" s="905"/>
      <c r="F79" s="905"/>
      <c r="G79" s="905"/>
      <c r="H79" s="905"/>
      <c r="I79" s="905"/>
      <c r="J79" s="905"/>
      <c r="K79" s="905"/>
      <c r="L79" s="905"/>
      <c r="M79" s="905"/>
      <c r="N79" s="905"/>
      <c r="O79" s="905"/>
      <c r="P79" s="905"/>
      <c r="Q79" s="905"/>
      <c r="R79" s="905"/>
      <c r="S79" s="905"/>
      <c r="T79" s="905"/>
      <c r="U79" s="905"/>
      <c r="V79" s="905"/>
      <c r="W79" s="905"/>
      <c r="X79" s="905"/>
      <c r="Y79" s="905">
        <v>9.8612859344188646</v>
      </c>
      <c r="Z79" s="905">
        <v>9.9782874800107422</v>
      </c>
      <c r="AA79" s="905">
        <v>10.040207265036791</v>
      </c>
      <c r="AB79" s="905">
        <v>10.118811008722005</v>
      </c>
      <c r="AC79" s="905">
        <v>10.170142279611746</v>
      </c>
      <c r="AD79" s="905">
        <v>10.194180833939626</v>
      </c>
      <c r="AE79" s="905">
        <v>10.240994575966244</v>
      </c>
      <c r="AF79" s="905">
        <v>10.327633348733849</v>
      </c>
      <c r="AG79" s="905">
        <v>10.390590252089549</v>
      </c>
      <c r="AH79" s="905">
        <v>10.45387073107927</v>
      </c>
      <c r="AI79" s="905">
        <v>10.529104516116446</v>
      </c>
      <c r="AJ79" s="905">
        <v>10.623904968845061</v>
      </c>
      <c r="AK79" s="905">
        <v>10.711296262958681</v>
      </c>
      <c r="AL79" s="905">
        <v>10.815448704175857</v>
      </c>
      <c r="AM79" s="905">
        <v>10.890244219410597</v>
      </c>
      <c r="AN79" s="905">
        <v>10.956744378400593</v>
      </c>
      <c r="AO79" s="905">
        <v>11.006446288645414</v>
      </c>
      <c r="AP79" s="905">
        <v>11.045381825743355</v>
      </c>
      <c r="AQ79" s="905">
        <v>11.098248531712624</v>
      </c>
      <c r="AR79" s="905">
        <v>11.144243890603697</v>
      </c>
      <c r="AS79" s="905">
        <v>11.182078417488352</v>
      </c>
      <c r="AT79" s="905">
        <v>11.246587003655378</v>
      </c>
      <c r="AU79" s="905">
        <v>11.331993503544583</v>
      </c>
      <c r="AV79" s="905">
        <v>11.41517397853106</v>
      </c>
      <c r="AW79" s="905">
        <v>11.4983225487805</v>
      </c>
      <c r="AX79" s="905">
        <v>11.581444008374888</v>
      </c>
      <c r="AY79" s="905">
        <v>11.66454379648872</v>
      </c>
      <c r="AZ79" s="905">
        <v>11.747627010252529</v>
      </c>
      <c r="BA79" s="905">
        <v>11.830697633964562</v>
      </c>
      <c r="BB79" s="905">
        <v>11.913758020161488</v>
      </c>
      <c r="BC79" s="905">
        <v>11.996808617811656</v>
      </c>
      <c r="BD79" s="905">
        <v>12.079847942615549</v>
      </c>
      <c r="BE79" s="905">
        <v>12.162873019085351</v>
      </c>
      <c r="BF79" s="905">
        <v>12.245879803375544</v>
      </c>
      <c r="BG79" s="905">
        <v>12.328863411418578</v>
      </c>
      <c r="BH79" s="905">
        <v>12.411818294100669</v>
      </c>
      <c r="BI79" s="905">
        <v>12.494703137419615</v>
      </c>
      <c r="BJ79" s="905">
        <v>12.577512271319787</v>
      </c>
      <c r="BK79" s="905">
        <v>12.660240047787141</v>
      </c>
      <c r="BL79" s="905">
        <v>12.742880842163171</v>
      </c>
      <c r="BM79" s="905">
        <v>12.825429054456979</v>
      </c>
      <c r="BN79" s="905">
        <v>12.907879110657236</v>
      </c>
      <c r="BO79" s="905">
        <v>12.990225464039934</v>
      </c>
      <c r="BP79" s="905">
        <v>13.072462596473219</v>
      </c>
      <c r="BQ79" s="905">
        <v>13.154585019717233</v>
      </c>
      <c r="BR79" s="905">
        <v>13.236587276718</v>
      </c>
      <c r="BS79" s="905">
        <v>13.318463942894535</v>
      </c>
      <c r="BT79" s="905">
        <v>13.400209627418338</v>
      </c>
      <c r="BU79" s="905">
        <v>13.481818974483634</v>
      </c>
      <c r="BV79" s="905">
        <v>13.563286664567876</v>
      </c>
      <c r="BW79" s="905">
        <v>13.644607415681349</v>
      </c>
      <c r="BX79" s="905">
        <v>13.725775984605015</v>
      </c>
      <c r="BY79" s="905">
        <v>13.806787168115203</v>
      </c>
      <c r="BZ79" s="905">
        <v>13.88763580419476</v>
      </c>
      <c r="CA79" s="905">
        <v>13.968316773229079</v>
      </c>
      <c r="CB79" s="905">
        <v>14.048824999186991</v>
      </c>
      <c r="CC79" s="905">
        <v>14.129155450784101</v>
      </c>
      <c r="CD79" s="905">
        <v>14.209303142629519</v>
      </c>
      <c r="CE79" s="905">
        <v>14.289263136353785</v>
      </c>
      <c r="CF79" s="905">
        <v>14.369030541717214</v>
      </c>
      <c r="CG79" s="905">
        <v>14.448600517698939</v>
      </c>
      <c r="CH79" s="905">
        <v>14.527968273564053</v>
      </c>
      <c r="CI79" s="905">
        <v>14.607129069910112</v>
      </c>
      <c r="CJ79" s="905">
        <v>14.686078219690366</v>
      </c>
      <c r="CK79" s="905">
        <v>14.764811089214561</v>
      </c>
      <c r="CL79" s="905">
        <v>14.843323099124916</v>
      </c>
      <c r="CM79" s="905">
        <v>14.921609725348791</v>
      </c>
      <c r="CN79" s="905">
        <v>14.999666500025736</v>
      </c>
      <c r="CO79" s="905">
        <v>15.077489012407959</v>
      </c>
      <c r="CP79" s="905">
        <v>15.155072909735715</v>
      </c>
      <c r="CQ79" s="905">
        <v>15.232413898085134</v>
      </c>
      <c r="CR79" s="905">
        <v>15.3095077431891</v>
      </c>
      <c r="CS79" s="905">
        <v>15.386350271229855</v>
      </c>
      <c r="CT79" s="905">
        <v>15.462937369603198</v>
      </c>
      <c r="CU79" s="905">
        <v>15.539264987654597</v>
      </c>
      <c r="CV79" s="905">
        <v>15.615329137385912</v>
      </c>
      <c r="CW79" s="905">
        <v>15.691125894132409</v>
      </c>
      <c r="CX79" s="905">
        <v>15.766651397210422</v>
      </c>
      <c r="CY79" s="905">
        <v>15.841901850534718</v>
      </c>
      <c r="CZ79" s="905">
        <v>15.916873523205783</v>
      </c>
      <c r="DA79" s="905">
        <v>15.991562750066722</v>
      </c>
      <c r="DB79" s="905">
        <v>16.065965932229098</v>
      </c>
      <c r="DC79" s="905">
        <v>16.14007953756829</v>
      </c>
      <c r="DD79" s="905">
        <v>16.213900101187814</v>
      </c>
      <c r="DE79" s="905">
        <v>16.287424225853051</v>
      </c>
      <c r="DF79" s="905">
        <v>16.360648582392855</v>
      </c>
      <c r="DG79" s="905">
        <v>16.433569910071512</v>
      </c>
      <c r="DH79" s="905">
        <v>16.506185016928292</v>
      </c>
      <c r="DI79" s="905">
        <v>16.578490780087236</v>
      </c>
      <c r="DJ79" s="905">
        <v>16.650484146034884</v>
      </c>
      <c r="DK79" s="905">
        <v>16.722162130867609</v>
      </c>
      <c r="DL79" s="905">
        <v>16.79352182050884</v>
      </c>
      <c r="DM79" s="905">
        <v>16.86456037089404</v>
      </c>
      <c r="DN79" s="905">
        <v>16.935275008127611</v>
      </c>
      <c r="DO79" s="905">
        <v>17.005663028607508</v>
      </c>
      <c r="DP79" s="905">
        <v>17.075721799121037</v>
      </c>
      <c r="DQ79" s="905">
        <v>17.145448756910859</v>
      </c>
      <c r="DR79" s="905">
        <v>17.214841409710914</v>
      </c>
      <c r="DS79" s="905">
        <v>17.283897335754503</v>
      </c>
      <c r="DT79" s="905">
        <v>17.352614183752138</v>
      </c>
      <c r="DU79" s="905">
        <v>17.42098967284187</v>
      </c>
    </row>
    <row r="80" spans="1:125" s="127" customFormat="1" ht="12.75">
      <c r="A80" s="908">
        <v>78</v>
      </c>
      <c r="B80" s="905"/>
      <c r="C80" s="905"/>
      <c r="D80" s="905"/>
      <c r="E80" s="905"/>
      <c r="F80" s="905"/>
      <c r="G80" s="905"/>
      <c r="H80" s="905"/>
      <c r="I80" s="905"/>
      <c r="J80" s="905"/>
      <c r="K80" s="905"/>
      <c r="L80" s="905"/>
      <c r="M80" s="905"/>
      <c r="N80" s="905"/>
      <c r="O80" s="905"/>
      <c r="P80" s="905"/>
      <c r="Q80" s="905"/>
      <c r="R80" s="905"/>
      <c r="S80" s="905"/>
      <c r="T80" s="905"/>
      <c r="U80" s="905"/>
      <c r="V80" s="905"/>
      <c r="W80" s="905"/>
      <c r="X80" s="905"/>
      <c r="Y80" s="905">
        <v>9.3032238477702887</v>
      </c>
      <c r="Z80" s="905">
        <v>9.4140541481291997</v>
      </c>
      <c r="AA80" s="905">
        <v>9.4780510358816699</v>
      </c>
      <c r="AB80" s="905">
        <v>9.5400751836061417</v>
      </c>
      <c r="AC80" s="905">
        <v>9.5843595994381232</v>
      </c>
      <c r="AD80" s="905">
        <v>9.6007039347761918</v>
      </c>
      <c r="AE80" s="905">
        <v>9.6379603935435298</v>
      </c>
      <c r="AF80" s="905">
        <v>9.7226574744125465</v>
      </c>
      <c r="AG80" s="905">
        <v>9.7851693268230129</v>
      </c>
      <c r="AH80" s="905">
        <v>9.8361688773758722</v>
      </c>
      <c r="AI80" s="905">
        <v>9.9097124711875821</v>
      </c>
      <c r="AJ80" s="905">
        <v>9.9962928221212461</v>
      </c>
      <c r="AK80" s="905">
        <v>10.083902228808512</v>
      </c>
      <c r="AL80" s="905">
        <v>10.165220947584857</v>
      </c>
      <c r="AM80" s="905">
        <v>10.243447156319716</v>
      </c>
      <c r="AN80" s="905">
        <v>10.300723676858482</v>
      </c>
      <c r="AO80" s="905">
        <v>10.349898250016114</v>
      </c>
      <c r="AP80" s="905">
        <v>10.390102243299484</v>
      </c>
      <c r="AQ80" s="905">
        <v>10.437720632445693</v>
      </c>
      <c r="AR80" s="905">
        <v>10.481299056101516</v>
      </c>
      <c r="AS80" s="905">
        <v>10.550954043502323</v>
      </c>
      <c r="AT80" s="905">
        <v>10.624156782587862</v>
      </c>
      <c r="AU80" s="905">
        <v>10.703543223048268</v>
      </c>
      <c r="AV80" s="905">
        <v>10.782917858187609</v>
      </c>
      <c r="AW80" s="905">
        <v>10.862284613774699</v>
      </c>
      <c r="AX80" s="905">
        <v>10.941648791837482</v>
      </c>
      <c r="AY80" s="905">
        <v>11.021016257162913</v>
      </c>
      <c r="AZ80" s="905">
        <v>11.100392435127807</v>
      </c>
      <c r="BA80" s="905">
        <v>11.179781536866447</v>
      </c>
      <c r="BB80" s="905">
        <v>11.259186044960339</v>
      </c>
      <c r="BC80" s="905">
        <v>11.338606452539022</v>
      </c>
      <c r="BD80" s="905">
        <v>11.418041248928821</v>
      </c>
      <c r="BE80" s="905">
        <v>11.497487385142584</v>
      </c>
      <c r="BF80" s="905">
        <v>11.57694071382476</v>
      </c>
      <c r="BG80" s="905">
        <v>11.656396226316108</v>
      </c>
      <c r="BH80" s="905">
        <v>11.735810536996908</v>
      </c>
      <c r="BI80" s="905">
        <v>11.815178089926134</v>
      </c>
      <c r="BJ80" s="905">
        <v>11.89449334348129</v>
      </c>
      <c r="BK80" s="905">
        <v>11.973750771742047</v>
      </c>
      <c r="BL80" s="905">
        <v>12.052944865875396</v>
      </c>
      <c r="BM80" s="905">
        <v>12.132070135519568</v>
      </c>
      <c r="BN80" s="905">
        <v>12.211121110168499</v>
      </c>
      <c r="BO80" s="905">
        <v>12.290092340552672</v>
      </c>
      <c r="BP80" s="905">
        <v>12.368978400017554</v>
      </c>
      <c r="BQ80" s="905">
        <v>12.447773885897526</v>
      </c>
      <c r="BR80" s="905">
        <v>12.526473420884326</v>
      </c>
      <c r="BS80" s="905">
        <v>12.605071654389061</v>
      </c>
      <c r="BT80" s="905">
        <v>12.683563263896998</v>
      </c>
      <c r="BU80" s="905">
        <v>12.761942956313412</v>
      </c>
      <c r="BV80" s="905">
        <v>12.840205469299956</v>
      </c>
      <c r="BW80" s="905">
        <v>12.918345572600398</v>
      </c>
      <c r="BX80" s="905">
        <v>12.996358069354788</v>
      </c>
      <c r="BY80" s="905">
        <v>13.074237797400688</v>
      </c>
      <c r="BZ80" s="905">
        <v>13.151979630560959</v>
      </c>
      <c r="CA80" s="905">
        <v>13.229578479916587</v>
      </c>
      <c r="CB80" s="905">
        <v>13.307029295064449</v>
      </c>
      <c r="CC80" s="905">
        <v>13.38432706535758</v>
      </c>
      <c r="CD80" s="905">
        <v>13.461466821128901</v>
      </c>
      <c r="CE80" s="905">
        <v>13.538443634896142</v>
      </c>
      <c r="CF80" s="905">
        <v>13.615252622547168</v>
      </c>
      <c r="CG80" s="905">
        <v>13.691888944506012</v>
      </c>
      <c r="CH80" s="905">
        <v>13.768347806876914</v>
      </c>
      <c r="CI80" s="905">
        <v>13.844624462567696</v>
      </c>
      <c r="CJ80" s="905">
        <v>13.920714212389745</v>
      </c>
      <c r="CK80" s="905">
        <v>13.99661240613548</v>
      </c>
      <c r="CL80" s="905">
        <v>14.072314443630862</v>
      </c>
      <c r="CM80" s="905">
        <v>14.147815775764437</v>
      </c>
      <c r="CN80" s="905">
        <v>14.223111905490672</v>
      </c>
      <c r="CO80" s="905">
        <v>14.298198388806423</v>
      </c>
      <c r="CP80" s="905">
        <v>14.373070835702235</v>
      </c>
      <c r="CQ80" s="905">
        <v>14.447724911085821</v>
      </c>
      <c r="CR80" s="905">
        <v>14.522156335678396</v>
      </c>
      <c r="CS80" s="905">
        <v>14.596360886882483</v>
      </c>
      <c r="CT80" s="905">
        <v>14.670334399621092</v>
      </c>
      <c r="CU80" s="905">
        <v>14.7440727671485</v>
      </c>
      <c r="CV80" s="905">
        <v>14.817571941831426</v>
      </c>
      <c r="CW80" s="905">
        <v>14.89082793590017</v>
      </c>
      <c r="CX80" s="905">
        <v>14.963836822170087</v>
      </c>
      <c r="CY80" s="905">
        <v>15.036594734732489</v>
      </c>
      <c r="CZ80" s="905">
        <v>15.109097869615084</v>
      </c>
      <c r="DA80" s="905">
        <v>15.18134248541174</v>
      </c>
      <c r="DB80" s="905">
        <v>15.253324903880788</v>
      </c>
      <c r="DC80" s="905">
        <v>15.325041510512506</v>
      </c>
      <c r="DD80" s="905">
        <v>15.39648875506515</v>
      </c>
      <c r="DE80" s="905">
        <v>15.467663152070067</v>
      </c>
      <c r="DF80" s="905">
        <v>15.538561281304187</v>
      </c>
      <c r="DG80" s="905">
        <v>15.609179788232533</v>
      </c>
      <c r="DH80" s="905">
        <v>15.679515384417844</v>
      </c>
      <c r="DI80" s="905">
        <v>15.74956484790002</v>
      </c>
      <c r="DJ80" s="905">
        <v>15.819325023543026</v>
      </c>
      <c r="DK80" s="905">
        <v>15.888792823350961</v>
      </c>
      <c r="DL80" s="905">
        <v>15.95796522675354</v>
      </c>
      <c r="DM80" s="905">
        <v>16.026839280858788</v>
      </c>
      <c r="DN80" s="905">
        <v>16.095412100677287</v>
      </c>
      <c r="DO80" s="905">
        <v>16.163680869313435</v>
      </c>
      <c r="DP80" s="905">
        <v>16.231642838127541</v>
      </c>
      <c r="DQ80" s="905">
        <v>16.299295326867508</v>
      </c>
      <c r="DR80" s="905">
        <v>16.366635723769864</v>
      </c>
      <c r="DS80" s="905">
        <v>16.43366148563247</v>
      </c>
      <c r="DT80" s="905">
        <v>16.500370137856379</v>
      </c>
      <c r="DU80" s="905">
        <v>16.566759274459592</v>
      </c>
    </row>
    <row r="81" spans="1:125" s="127" customFormat="1" ht="12.75">
      <c r="A81" s="908">
        <v>79</v>
      </c>
      <c r="B81" s="905"/>
      <c r="C81" s="905"/>
      <c r="D81" s="905"/>
      <c r="E81" s="905"/>
      <c r="F81" s="905"/>
      <c r="G81" s="905"/>
      <c r="H81" s="905"/>
      <c r="I81" s="905"/>
      <c r="J81" s="905"/>
      <c r="K81" s="905"/>
      <c r="L81" s="905"/>
      <c r="M81" s="905"/>
      <c r="N81" s="905"/>
      <c r="O81" s="905"/>
      <c r="P81" s="905"/>
      <c r="Q81" s="905"/>
      <c r="R81" s="905"/>
      <c r="S81" s="905"/>
      <c r="T81" s="905"/>
      <c r="U81" s="905"/>
      <c r="V81" s="905"/>
      <c r="W81" s="905"/>
      <c r="X81" s="905"/>
      <c r="Y81" s="905">
        <v>8.762089066895502</v>
      </c>
      <c r="Z81" s="905">
        <v>8.8763861666115567</v>
      </c>
      <c r="AA81" s="905">
        <v>8.9227304748974561</v>
      </c>
      <c r="AB81" s="905">
        <v>8.9726189203104418</v>
      </c>
      <c r="AC81" s="905">
        <v>9.0093384918860515</v>
      </c>
      <c r="AD81" s="905">
        <v>9.0167641129475307</v>
      </c>
      <c r="AE81" s="905">
        <v>9.0599532605566608</v>
      </c>
      <c r="AF81" s="905">
        <v>9.1405541286847338</v>
      </c>
      <c r="AG81" s="905">
        <v>9.1892609838450383</v>
      </c>
      <c r="AH81" s="905">
        <v>9.2391456037358495</v>
      </c>
      <c r="AI81" s="905">
        <v>9.3066382830451815</v>
      </c>
      <c r="AJ81" s="905">
        <v>9.3898783640101566</v>
      </c>
      <c r="AK81" s="905">
        <v>9.4521321330970398</v>
      </c>
      <c r="AL81" s="905">
        <v>9.5437140365575797</v>
      </c>
      <c r="AM81" s="905">
        <v>9.6071226332782445</v>
      </c>
      <c r="AN81" s="905">
        <v>9.667824514874134</v>
      </c>
      <c r="AO81" s="905">
        <v>9.710071041805211</v>
      </c>
      <c r="AP81" s="905">
        <v>9.7453685548542737</v>
      </c>
      <c r="AQ81" s="905">
        <v>9.7916065829654961</v>
      </c>
      <c r="AR81" s="905">
        <v>9.8606426885074256</v>
      </c>
      <c r="AS81" s="905">
        <v>9.9324285130063927</v>
      </c>
      <c r="AT81" s="905">
        <v>10.00805009550014</v>
      </c>
      <c r="AU81" s="905">
        <v>10.083678610582144</v>
      </c>
      <c r="AV81" s="905">
        <v>10.159316804827579</v>
      </c>
      <c r="AW81" s="905">
        <v>10.234969222095819</v>
      </c>
      <c r="AX81" s="905">
        <v>10.3106417113821</v>
      </c>
      <c r="AY81" s="905">
        <v>10.386340593224121</v>
      </c>
      <c r="AZ81" s="905">
        <v>10.462071640975301</v>
      </c>
      <c r="BA81" s="905">
        <v>10.537839301736133</v>
      </c>
      <c r="BB81" s="905">
        <v>10.613646187478924</v>
      </c>
      <c r="BC81" s="905">
        <v>10.689492826571882</v>
      </c>
      <c r="BD81" s="905">
        <v>10.765377666760685</v>
      </c>
      <c r="BE81" s="905">
        <v>10.841297566961011</v>
      </c>
      <c r="BF81" s="905">
        <v>10.917248256368516</v>
      </c>
      <c r="BG81" s="905">
        <v>10.993184183509964</v>
      </c>
      <c r="BH81" s="905">
        <v>11.069099934950014</v>
      </c>
      <c r="BI81" s="905">
        <v>11.14499010441234</v>
      </c>
      <c r="BJ81" s="905">
        <v>11.220849294208186</v>
      </c>
      <c r="BK81" s="905">
        <v>11.296672116667732</v>
      </c>
      <c r="BL81" s="905">
        <v>11.372453195573808</v>
      </c>
      <c r="BM81" s="905">
        <v>11.448187167595121</v>
      </c>
      <c r="BN81" s="905">
        <v>11.523868683720842</v>
      </c>
      <c r="BO81" s="905">
        <v>11.599492410692218</v>
      </c>
      <c r="BP81" s="905">
        <v>11.675053032432491</v>
      </c>
      <c r="BQ81" s="905">
        <v>11.750545251472957</v>
      </c>
      <c r="BR81" s="905">
        <v>11.825963790374121</v>
      </c>
      <c r="BS81" s="905">
        <v>11.901303393141045</v>
      </c>
      <c r="BT81" s="905">
        <v>11.976558826631983</v>
      </c>
      <c r="BU81" s="905">
        <v>12.051724881958634</v>
      </c>
      <c r="BV81" s="905">
        <v>12.126796375877396</v>
      </c>
      <c r="BW81" s="905">
        <v>12.201768152170477</v>
      </c>
      <c r="BX81" s="905">
        <v>12.276635083015876</v>
      </c>
      <c r="BY81" s="905">
        <v>12.351392070344863</v>
      </c>
      <c r="BZ81" s="905">
        <v>12.426034047186416</v>
      </c>
      <c r="CA81" s="905">
        <v>12.500555978997102</v>
      </c>
      <c r="CB81" s="905">
        <v>12.574952864976257</v>
      </c>
      <c r="CC81" s="905">
        <v>12.649219739363993</v>
      </c>
      <c r="CD81" s="905">
        <v>12.723351672723055</v>
      </c>
      <c r="CE81" s="905">
        <v>12.797343773202115</v>
      </c>
      <c r="CF81" s="905">
        <v>12.871191187779829</v>
      </c>
      <c r="CG81" s="905">
        <v>12.944889103489846</v>
      </c>
      <c r="CH81" s="905">
        <v>13.018432748624093</v>
      </c>
      <c r="CI81" s="905">
        <v>13.091817393915665</v>
      </c>
      <c r="CJ81" s="905">
        <v>13.165038353698538</v>
      </c>
      <c r="CK81" s="905">
        <v>13.238090987044988</v>
      </c>
      <c r="CL81" s="905">
        <v>13.310970698878268</v>
      </c>
      <c r="CM81" s="905">
        <v>13.383672941062009</v>
      </c>
      <c r="CN81" s="905">
        <v>13.456193213464093</v>
      </c>
      <c r="CO81" s="905">
        <v>13.528527064993796</v>
      </c>
      <c r="CP81" s="905">
        <v>13.60067009461396</v>
      </c>
      <c r="CQ81" s="905">
        <v>13.672617952325446</v>
      </c>
      <c r="CR81" s="905">
        <v>13.744366340124575</v>
      </c>
      <c r="CS81" s="905">
        <v>13.815911012932155</v>
      </c>
      <c r="CT81" s="905">
        <v>13.887247779493951</v>
      </c>
      <c r="CU81" s="905">
        <v>13.958372503252896</v>
      </c>
      <c r="CV81" s="905">
        <v>14.0292811031917</v>
      </c>
      <c r="CW81" s="905">
        <v>14.099969554645519</v>
      </c>
      <c r="CX81" s="905">
        <v>14.170433890084979</v>
      </c>
      <c r="CY81" s="905">
        <v>14.240670199868688</v>
      </c>
      <c r="CZ81" s="905">
        <v>14.310674632965231</v>
      </c>
      <c r="DA81" s="905">
        <v>14.380443397644584</v>
      </c>
      <c r="DB81" s="905">
        <v>14.44997276213795</v>
      </c>
      <c r="DC81" s="905">
        <v>14.519259055266845</v>
      </c>
      <c r="DD81" s="905">
        <v>14.588298667040597</v>
      </c>
      <c r="DE81" s="905">
        <v>14.657088049222937</v>
      </c>
      <c r="DF81" s="905">
        <v>14.725623715865858</v>
      </c>
      <c r="DG81" s="905">
        <v>14.793902243813424</v>
      </c>
      <c r="DH81" s="905">
        <v>14.861920273172565</v>
      </c>
      <c r="DI81" s="905">
        <v>14.929674507753614</v>
      </c>
      <c r="DJ81" s="905">
        <v>14.997161715478139</v>
      </c>
      <c r="DK81" s="905">
        <v>15.064378728755795</v>
      </c>
      <c r="DL81" s="905">
        <v>15.131322444830438</v>
      </c>
      <c r="DM81" s="905">
        <v>15.197989826093288</v>
      </c>
      <c r="DN81" s="905">
        <v>15.264377900367402</v>
      </c>
      <c r="DO81" s="905">
        <v>15.330483761159</v>
      </c>
      <c r="DP81" s="905">
        <v>15.396304567879383</v>
      </c>
      <c r="DQ81" s="905">
        <v>15.4618375460362</v>
      </c>
      <c r="DR81" s="905">
        <v>15.527079987393805</v>
      </c>
      <c r="DS81" s="905">
        <v>15.592029250105039</v>
      </c>
      <c r="DT81" s="905">
        <v>15.656682758811861</v>
      </c>
      <c r="DU81" s="905">
        <v>15.721038004717578</v>
      </c>
    </row>
    <row r="82" spans="1:125" s="127" customFormat="1" ht="12.75">
      <c r="A82" s="908">
        <v>80</v>
      </c>
      <c r="B82" s="905"/>
      <c r="C82" s="905"/>
      <c r="D82" s="905"/>
      <c r="E82" s="905"/>
      <c r="F82" s="905"/>
      <c r="G82" s="905"/>
      <c r="H82" s="905"/>
      <c r="I82" s="905"/>
      <c r="J82" s="905"/>
      <c r="K82" s="905"/>
      <c r="L82" s="905"/>
      <c r="M82" s="905"/>
      <c r="N82" s="905"/>
      <c r="O82" s="905"/>
      <c r="P82" s="905"/>
      <c r="Q82" s="905"/>
      <c r="R82" s="905"/>
      <c r="S82" s="905"/>
      <c r="T82" s="905"/>
      <c r="U82" s="905"/>
      <c r="V82" s="905"/>
      <c r="W82" s="905"/>
      <c r="X82" s="905"/>
      <c r="Y82" s="905">
        <v>8.2455564832145782</v>
      </c>
      <c r="Z82" s="905">
        <v>8.3385538616520911</v>
      </c>
      <c r="AA82" s="905">
        <v>8.3804040779517841</v>
      </c>
      <c r="AB82" s="905">
        <v>8.4160125574652476</v>
      </c>
      <c r="AC82" s="905">
        <v>8.4364009247249605</v>
      </c>
      <c r="AD82" s="905">
        <v>8.4528886804041719</v>
      </c>
      <c r="AE82" s="905">
        <v>8.4963415573300516</v>
      </c>
      <c r="AF82" s="905">
        <v>8.5643587349252996</v>
      </c>
      <c r="AG82" s="905">
        <v>8.6124174891112588</v>
      </c>
      <c r="AH82" s="905">
        <v>8.6550217116429735</v>
      </c>
      <c r="AI82" s="905">
        <v>8.7286251161207318</v>
      </c>
      <c r="AJ82" s="905">
        <v>8.7853434431005475</v>
      </c>
      <c r="AK82" s="905">
        <v>8.8535131602997268</v>
      </c>
      <c r="AL82" s="905">
        <v>8.9286280683617356</v>
      </c>
      <c r="AM82" s="905">
        <v>8.9925490586328021</v>
      </c>
      <c r="AN82" s="905">
        <v>9.0501346158341356</v>
      </c>
      <c r="AO82" s="905">
        <v>9.0830353183852566</v>
      </c>
      <c r="AP82" s="905">
        <v>9.1155255690964534</v>
      </c>
      <c r="AQ82" s="905">
        <v>9.1839604643053505</v>
      </c>
      <c r="AR82" s="905">
        <v>9.2579544159917795</v>
      </c>
      <c r="AS82" s="905">
        <v>9.3298457396375731</v>
      </c>
      <c r="AT82" s="905">
        <v>9.4017614824306257</v>
      </c>
      <c r="AU82" s="905">
        <v>9.4737029482972375</v>
      </c>
      <c r="AV82" s="905">
        <v>9.5456736156270878</v>
      </c>
      <c r="AW82" s="905">
        <v>9.6176787008113003</v>
      </c>
      <c r="AX82" s="905">
        <v>9.6897246450498908</v>
      </c>
      <c r="AY82" s="905">
        <v>9.7618182584261426</v>
      </c>
      <c r="AZ82" s="905">
        <v>9.8339656829272233</v>
      </c>
      <c r="BA82" s="905">
        <v>9.9061716090604239</v>
      </c>
      <c r="BB82" s="905">
        <v>9.9784387735386204</v>
      </c>
      <c r="BC82" s="905">
        <v>10.050767725175797</v>
      </c>
      <c r="BD82" s="905">
        <v>10.123156847687545</v>
      </c>
      <c r="BE82" s="905">
        <v>10.195602881330085</v>
      </c>
      <c r="BF82" s="905">
        <v>10.268058068870987</v>
      </c>
      <c r="BG82" s="905">
        <v>10.340517166061513</v>
      </c>
      <c r="BH82" s="905">
        <v>10.41297492926795</v>
      </c>
      <c r="BI82" s="905">
        <v>10.485426116920713</v>
      </c>
      <c r="BJ82" s="905">
        <v>10.557865490968858</v>
      </c>
      <c r="BK82" s="905">
        <v>10.630287818338331</v>
      </c>
      <c r="BL82" s="905">
        <v>10.702687872393383</v>
      </c>
      <c r="BM82" s="905">
        <v>10.775060434398359</v>
      </c>
      <c r="BN82" s="905">
        <v>10.847400294981659</v>
      </c>
      <c r="BO82" s="905">
        <v>10.919702255597503</v>
      </c>
      <c r="BP82" s="905">
        <v>10.991961129986789</v>
      </c>
      <c r="BQ82" s="905">
        <v>11.064171745634827</v>
      </c>
      <c r="BR82" s="905">
        <v>11.136328945224896</v>
      </c>
      <c r="BS82" s="905">
        <v>11.208427588086725</v>
      </c>
      <c r="BT82" s="905">
        <v>11.280462551638934</v>
      </c>
      <c r="BU82" s="905">
        <v>11.352428732823789</v>
      </c>
      <c r="BV82" s="905">
        <v>11.42432104953361</v>
      </c>
      <c r="BW82" s="905">
        <v>11.496134442027707</v>
      </c>
      <c r="BX82" s="905">
        <v>11.567863874338794</v>
      </c>
      <c r="BY82" s="905">
        <v>11.639504335667549</v>
      </c>
      <c r="BZ82" s="905">
        <v>11.711050841764749</v>
      </c>
      <c r="CA82" s="905">
        <v>11.782498436299411</v>
      </c>
      <c r="CB82" s="905">
        <v>11.853842192212882</v>
      </c>
      <c r="CC82" s="905">
        <v>11.925077213056284</v>
      </c>
      <c r="CD82" s="905">
        <v>11.996198634312393</v>
      </c>
      <c r="CE82" s="905">
        <v>12.067201624699525</v>
      </c>
      <c r="CF82" s="905">
        <v>12.13808138745674</v>
      </c>
      <c r="CG82" s="905">
        <v>12.208833161610503</v>
      </c>
      <c r="CH82" s="905">
        <v>12.279452223220161</v>
      </c>
      <c r="CI82" s="905">
        <v>12.349933886603594</v>
      </c>
      <c r="CJ82" s="905">
        <v>12.420273505540111</v>
      </c>
      <c r="CK82" s="905">
        <v>12.490466474451644</v>
      </c>
      <c r="CL82" s="905">
        <v>12.560508229559606</v>
      </c>
      <c r="CM82" s="905">
        <v>12.630394250019013</v>
      </c>
      <c r="CN82" s="905">
        <v>12.700120059027533</v>
      </c>
      <c r="CO82" s="905">
        <v>12.769681224908249</v>
      </c>
      <c r="CP82" s="905">
        <v>12.839073362167914</v>
      </c>
      <c r="CQ82" s="905">
        <v>12.908292132527912</v>
      </c>
      <c r="CR82" s="905">
        <v>12.977333245928657</v>
      </c>
      <c r="CS82" s="905">
        <v>13.046192461505989</v>
      </c>
      <c r="CT82" s="905">
        <v>13.11486558853937</v>
      </c>
      <c r="CU82" s="905">
        <v>13.183348487372301</v>
      </c>
      <c r="CV82" s="905">
        <v>13.251637070303428</v>
      </c>
      <c r="CW82" s="905">
        <v>13.319727302448136</v>
      </c>
      <c r="CX82" s="905">
        <v>13.387615202570828</v>
      </c>
      <c r="CY82" s="905">
        <v>13.455296843887018</v>
      </c>
      <c r="CZ82" s="905">
        <v>13.522768354835279</v>
      </c>
      <c r="DA82" s="905">
        <v>13.590025919818867</v>
      </c>
      <c r="DB82" s="905">
        <v>13.65706577991612</v>
      </c>
      <c r="DC82" s="905">
        <v>13.723884233560325</v>
      </c>
      <c r="DD82" s="905">
        <v>13.790477637188346</v>
      </c>
      <c r="DE82" s="905">
        <v>13.856842405858535</v>
      </c>
      <c r="DF82" s="905">
        <v>13.922975013836162</v>
      </c>
      <c r="DG82" s="905">
        <v>13.988871995149033</v>
      </c>
      <c r="DH82" s="905">
        <v>14.05452994411028</v>
      </c>
      <c r="DI82" s="905">
        <v>14.119945515811105</v>
      </c>
      <c r="DJ82" s="905">
        <v>14.185115426580944</v>
      </c>
      <c r="DK82" s="905">
        <v>14.250036454416868</v>
      </c>
      <c r="DL82" s="905">
        <v>14.314705439382319</v>
      </c>
      <c r="DM82" s="905">
        <v>14.379119283973063</v>
      </c>
      <c r="DN82" s="905">
        <v>14.443274953454514</v>
      </c>
      <c r="DO82" s="905">
        <v>14.507169476166034</v>
      </c>
      <c r="DP82" s="905">
        <v>14.570799943795851</v>
      </c>
      <c r="DQ82" s="905">
        <v>14.63416351162541</v>
      </c>
      <c r="DR82" s="905">
        <v>14.697257398742778</v>
      </c>
      <c r="DS82" s="905">
        <v>14.760078888227598</v>
      </c>
      <c r="DT82" s="905">
        <v>14.822625327304737</v>
      </c>
      <c r="DU82" s="905">
        <v>14.884894127469614</v>
      </c>
    </row>
    <row r="83" spans="1:125" s="127" customFormat="1" ht="12.75">
      <c r="A83" s="908">
        <v>81</v>
      </c>
      <c r="B83" s="905"/>
      <c r="C83" s="905"/>
      <c r="D83" s="905"/>
      <c r="E83" s="905"/>
      <c r="F83" s="905"/>
      <c r="G83" s="905"/>
      <c r="H83" s="905"/>
      <c r="I83" s="905"/>
      <c r="J83" s="905"/>
      <c r="K83" s="905"/>
      <c r="L83" s="905"/>
      <c r="M83" s="905"/>
      <c r="N83" s="905"/>
      <c r="O83" s="905"/>
      <c r="P83" s="905"/>
      <c r="Q83" s="905"/>
      <c r="R83" s="905"/>
      <c r="S83" s="905"/>
      <c r="T83" s="905"/>
      <c r="U83" s="905"/>
      <c r="V83" s="905"/>
      <c r="W83" s="905"/>
      <c r="X83" s="905"/>
      <c r="Y83" s="905">
        <v>7.7344564561918769</v>
      </c>
      <c r="Z83" s="905">
        <v>7.8163276549441942</v>
      </c>
      <c r="AA83" s="905">
        <v>7.8442430581019806</v>
      </c>
      <c r="AB83" s="905">
        <v>7.8774710199226998</v>
      </c>
      <c r="AC83" s="905">
        <v>7.8982974852386985</v>
      </c>
      <c r="AD83" s="905">
        <v>7.9148305485528976</v>
      </c>
      <c r="AE83" s="905">
        <v>7.9422992934322671</v>
      </c>
      <c r="AF83" s="905">
        <v>8.0055631855714307</v>
      </c>
      <c r="AG83" s="905">
        <v>8.0485042466631089</v>
      </c>
      <c r="AH83" s="905">
        <v>8.095769164218785</v>
      </c>
      <c r="AI83" s="905">
        <v>8.1462563045077765</v>
      </c>
      <c r="AJ83" s="905">
        <v>8.2144013177043913</v>
      </c>
      <c r="AK83" s="905">
        <v>8.2672334247186381</v>
      </c>
      <c r="AL83" s="905">
        <v>8.341671526756901</v>
      </c>
      <c r="AM83" s="905">
        <v>8.3967205641806473</v>
      </c>
      <c r="AN83" s="905">
        <v>8.4423212910133181</v>
      </c>
      <c r="AO83" s="905">
        <v>8.4711158288893014</v>
      </c>
      <c r="AP83" s="905">
        <v>8.5311729594645378</v>
      </c>
      <c r="AQ83" s="905">
        <v>8.6025107066356075</v>
      </c>
      <c r="AR83" s="905">
        <v>8.6707080932004761</v>
      </c>
      <c r="AS83" s="905">
        <v>8.7389461979698684</v>
      </c>
      <c r="AT83" s="905">
        <v>8.8072246648956884</v>
      </c>
      <c r="AU83" s="905">
        <v>8.8755456418438463</v>
      </c>
      <c r="AV83" s="905">
        <v>8.943913414132405</v>
      </c>
      <c r="AW83" s="905">
        <v>9.0123339363601485</v>
      </c>
      <c r="AX83" s="905">
        <v>9.0808142955352</v>
      </c>
      <c r="AY83" s="905">
        <v>9.149361830162011</v>
      </c>
      <c r="AZ83" s="905">
        <v>9.2179830730539898</v>
      </c>
      <c r="BA83" s="905">
        <v>9.2866829636752541</v>
      </c>
      <c r="BB83" s="905">
        <v>9.3554643538986504</v>
      </c>
      <c r="BC83" s="905">
        <v>9.4243277907764256</v>
      </c>
      <c r="BD83" s="905">
        <v>9.4932715623002082</v>
      </c>
      <c r="BE83" s="905">
        <v>9.5622457685280686</v>
      </c>
      <c r="BF83" s="905">
        <v>9.6312453594392959</v>
      </c>
      <c r="BG83" s="905">
        <v>9.7002652797398614</v>
      </c>
      <c r="BH83" s="905">
        <v>9.7693004703115953</v>
      </c>
      <c r="BI83" s="905">
        <v>9.8383458696674229</v>
      </c>
      <c r="BJ83" s="905">
        <v>9.9073964154129186</v>
      </c>
      <c r="BK83" s="905">
        <v>9.9764470457124403</v>
      </c>
      <c r="BL83" s="905">
        <v>10.045492700759276</v>
      </c>
      <c r="BM83" s="905">
        <v>10.114528324246981</v>
      </c>
      <c r="BN83" s="905">
        <v>10.183548864843747</v>
      </c>
      <c r="BO83" s="905">
        <v>10.252549277665336</v>
      </c>
      <c r="BP83" s="905">
        <v>10.321524525747964</v>
      </c>
      <c r="BQ83" s="905">
        <v>10.390469581518822</v>
      </c>
      <c r="BR83" s="905">
        <v>10.45937942826323</v>
      </c>
      <c r="BS83" s="905">
        <v>10.528249061587486</v>
      </c>
      <c r="BT83" s="905">
        <v>10.597073490876479</v>
      </c>
      <c r="BU83" s="905">
        <v>10.665847740744384</v>
      </c>
      <c r="BV83" s="905">
        <v>10.73456685247776</v>
      </c>
      <c r="BW83" s="905">
        <v>10.803225885469972</v>
      </c>
      <c r="BX83" s="905">
        <v>10.871819918645862</v>
      </c>
      <c r="BY83" s="905">
        <v>10.940344051875316</v>
      </c>
      <c r="BZ83" s="905">
        <v>11.008793407375158</v>
      </c>
      <c r="CA83" s="905">
        <v>11.077163131097841</v>
      </c>
      <c r="CB83" s="905">
        <v>11.145448394106831</v>
      </c>
      <c r="CC83" s="905">
        <v>11.213644393936068</v>
      </c>
      <c r="CD83" s="905">
        <v>11.281746355934686</v>
      </c>
      <c r="CE83" s="905">
        <v>11.349749534594425</v>
      </c>
      <c r="CF83" s="905">
        <v>11.417649214859132</v>
      </c>
      <c r="CG83" s="905">
        <v>11.485440713416484</v>
      </c>
      <c r="CH83" s="905">
        <v>11.553119379969251</v>
      </c>
      <c r="CI83" s="905">
        <v>11.620680598487466</v>
      </c>
      <c r="CJ83" s="905">
        <v>11.688119788438595</v>
      </c>
      <c r="CK83" s="905">
        <v>11.755432405996743</v>
      </c>
      <c r="CL83" s="905">
        <v>11.822613945228206</v>
      </c>
      <c r="CM83" s="905">
        <v>11.889659939255084</v>
      </c>
      <c r="CN83" s="905">
        <v>11.956565961394482</v>
      </c>
      <c r="CO83" s="905">
        <v>12.02332762627214</v>
      </c>
      <c r="CP83" s="905">
        <v>12.089940590912313</v>
      </c>
      <c r="CQ83" s="905">
        <v>12.156400555800978</v>
      </c>
      <c r="CR83" s="905">
        <v>12.222703265923261</v>
      </c>
      <c r="CS83" s="905">
        <v>12.288844511773462</v>
      </c>
      <c r="CT83" s="905">
        <v>12.354820130337597</v>
      </c>
      <c r="CU83" s="905">
        <v>12.420626006048838</v>
      </c>
      <c r="CV83" s="905">
        <v>12.486258071714261</v>
      </c>
      <c r="CW83" s="905">
        <v>12.551712309412766</v>
      </c>
      <c r="CX83" s="905">
        <v>12.616984751364292</v>
      </c>
      <c r="CY83" s="905">
        <v>12.682071480769469</v>
      </c>
      <c r="CZ83" s="905">
        <v>12.746968632619764</v>
      </c>
      <c r="DA83" s="905">
        <v>12.811672394477849</v>
      </c>
      <c r="DB83" s="905">
        <v>12.876179007227394</v>
      </c>
      <c r="DC83" s="905">
        <v>12.940484765792839</v>
      </c>
      <c r="DD83" s="905">
        <v>13.004586019828512</v>
      </c>
      <c r="DE83" s="905">
        <v>13.068479174377572</v>
      </c>
      <c r="DF83" s="905">
        <v>13.132160690498981</v>
      </c>
      <c r="DG83" s="905">
        <v>13.195627085865189</v>
      </c>
      <c r="DH83" s="905">
        <v>13.258874935327452</v>
      </c>
      <c r="DI83" s="905">
        <v>13.321900871451627</v>
      </c>
      <c r="DJ83" s="905">
        <v>13.384701585021791</v>
      </c>
      <c r="DK83" s="905">
        <v>13.447273825513562</v>
      </c>
      <c r="DL83" s="905">
        <v>13.509614401537196</v>
      </c>
      <c r="DM83" s="905">
        <v>13.571720181248221</v>
      </c>
      <c r="DN83" s="905">
        <v>13.633588092729928</v>
      </c>
      <c r="DO83" s="905">
        <v>13.695215124343127</v>
      </c>
      <c r="DP83" s="905">
        <v>13.75659832504688</v>
      </c>
      <c r="DQ83" s="905">
        <v>13.817734804688982</v>
      </c>
      <c r="DR83" s="905">
        <v>13.878621734265822</v>
      </c>
      <c r="DS83" s="905">
        <v>13.93925634615403</v>
      </c>
      <c r="DT83" s="905">
        <v>13.999635934311112</v>
      </c>
      <c r="DU83" s="905">
        <v>14.059757854447971</v>
      </c>
    </row>
    <row r="84" spans="1:125" s="127" customFormat="1" ht="12.75">
      <c r="A84" s="908">
        <v>82</v>
      </c>
      <c r="B84" s="905"/>
      <c r="C84" s="905"/>
      <c r="D84" s="905"/>
      <c r="E84" s="905"/>
      <c r="F84" s="905"/>
      <c r="G84" s="905"/>
      <c r="H84" s="905"/>
      <c r="I84" s="905"/>
      <c r="J84" s="905"/>
      <c r="K84" s="905"/>
      <c r="L84" s="905"/>
      <c r="M84" s="905"/>
      <c r="N84" s="905"/>
      <c r="O84" s="905"/>
      <c r="P84" s="905"/>
      <c r="Q84" s="905"/>
      <c r="R84" s="905"/>
      <c r="S84" s="905"/>
      <c r="T84" s="905"/>
      <c r="U84" s="905"/>
      <c r="V84" s="905"/>
      <c r="W84" s="905"/>
      <c r="X84" s="905"/>
      <c r="Y84" s="905">
        <v>7.2386892634085722</v>
      </c>
      <c r="Z84" s="905">
        <v>7.3037820329127676</v>
      </c>
      <c r="AA84" s="905">
        <v>7.3286979754601269</v>
      </c>
      <c r="AB84" s="905">
        <v>7.3601203916032141</v>
      </c>
      <c r="AC84" s="905">
        <v>7.3832224990879762</v>
      </c>
      <c r="AD84" s="905">
        <v>7.383861934271609</v>
      </c>
      <c r="AE84" s="905">
        <v>7.4093317242884744</v>
      </c>
      <c r="AF84" s="905">
        <v>7.4661525391505403</v>
      </c>
      <c r="AG84" s="905">
        <v>7.5189263368005133</v>
      </c>
      <c r="AH84" s="905">
        <v>7.5379252311472769</v>
      </c>
      <c r="AI84" s="905">
        <v>7.6022193034838086</v>
      </c>
      <c r="AJ84" s="905">
        <v>7.6525487746415051</v>
      </c>
      <c r="AK84" s="905">
        <v>7.7087193352214616</v>
      </c>
      <c r="AL84" s="905">
        <v>7.7696214802620345</v>
      </c>
      <c r="AM84" s="905">
        <v>7.8142063520605785</v>
      </c>
      <c r="AN84" s="905">
        <v>7.8488480788741501</v>
      </c>
      <c r="AO84" s="905">
        <v>7.9033150443319498</v>
      </c>
      <c r="AP84" s="905">
        <v>7.9686320286809202</v>
      </c>
      <c r="AQ84" s="905">
        <v>8.0331695468226556</v>
      </c>
      <c r="AR84" s="905">
        <v>8.0977628981763683</v>
      </c>
      <c r="AS84" s="905">
        <v>8.1624099133411541</v>
      </c>
      <c r="AT84" s="905">
        <v>8.2271111815492404</v>
      </c>
      <c r="AU84" s="905">
        <v>8.2918697953511042</v>
      </c>
      <c r="AV84" s="905">
        <v>8.3566909399744276</v>
      </c>
      <c r="AW84" s="905">
        <v>8.4215813886712638</v>
      </c>
      <c r="AX84" s="905">
        <v>8.4865489389311008</v>
      </c>
      <c r="AY84" s="905">
        <v>8.5516015033402368</v>
      </c>
      <c r="AZ84" s="905">
        <v>8.6167460298431315</v>
      </c>
      <c r="BA84" s="905">
        <v>8.6819877099772089</v>
      </c>
      <c r="BB84" s="905">
        <v>8.7473294947082394</v>
      </c>
      <c r="BC84" s="905">
        <v>8.8127718973078828</v>
      </c>
      <c r="BD84" s="905">
        <v>8.8782632816522664</v>
      </c>
      <c r="BE84" s="905">
        <v>8.943798815280763</v>
      </c>
      <c r="BF84" s="905">
        <v>9.0093736552651098</v>
      </c>
      <c r="BG84" s="905">
        <v>9.0749829496374943</v>
      </c>
      <c r="BH84" s="905">
        <v>9.1406218388281602</v>
      </c>
      <c r="BI84" s="905">
        <v>9.2062854571098249</v>
      </c>
      <c r="BJ84" s="905">
        <v>9.271968934049184</v>
      </c>
      <c r="BK84" s="905">
        <v>9.3376673959637877</v>
      </c>
      <c r="BL84" s="905">
        <v>9.4033759673836705</v>
      </c>
      <c r="BM84" s="905">
        <v>9.4690897725149448</v>
      </c>
      <c r="BN84" s="905">
        <v>9.5348039367072399</v>
      </c>
      <c r="BO84" s="905">
        <v>9.6005135879204335</v>
      </c>
      <c r="BP84" s="905">
        <v>9.6662138581921546</v>
      </c>
      <c r="BQ84" s="905">
        <v>9.731899885103708</v>
      </c>
      <c r="BR84" s="905">
        <v>9.7975668132434048</v>
      </c>
      <c r="BS84" s="905">
        <v>9.8632097956664335</v>
      </c>
      <c r="BT84" s="905">
        <v>9.9288239953502693</v>
      </c>
      <c r="BU84" s="905">
        <v>9.9944045866440003</v>
      </c>
      <c r="BV84" s="905">
        <v>10.059946756710882</v>
      </c>
      <c r="BW84" s="905">
        <v>10.125445706963045</v>
      </c>
      <c r="BX84" s="905">
        <v>10.190896654487293</v>
      </c>
      <c r="BY84" s="905">
        <v>10.256294833460668</v>
      </c>
      <c r="BZ84" s="905">
        <v>10.321635496555146</v>
      </c>
      <c r="CA84" s="905">
        <v>10.386913916330064</v>
      </c>
      <c r="CB84" s="905">
        <v>10.452125386612066</v>
      </c>
      <c r="CC84" s="905">
        <v>10.517265223860008</v>
      </c>
      <c r="CD84" s="905">
        <v>10.582328768516039</v>
      </c>
      <c r="CE84" s="905">
        <v>10.647311386340235</v>
      </c>
      <c r="CF84" s="905">
        <v>10.712208469728235</v>
      </c>
      <c r="CG84" s="905">
        <v>10.777015439012008</v>
      </c>
      <c r="CH84" s="905">
        <v>10.841727743741044</v>
      </c>
      <c r="CI84" s="905">
        <v>10.906340863945413</v>
      </c>
      <c r="CJ84" s="905">
        <v>10.970850311377696</v>
      </c>
      <c r="CK84" s="905">
        <v>11.035251630734889</v>
      </c>
      <c r="CL84" s="905">
        <v>11.099540400857576</v>
      </c>
      <c r="CM84" s="905">
        <v>11.163712235908097</v>
      </c>
      <c r="CN84" s="905">
        <v>11.227762786525211</v>
      </c>
      <c r="CO84" s="905">
        <v>11.291687740954124</v>
      </c>
      <c r="CP84" s="905">
        <v>11.355482826153672</v>
      </c>
      <c r="CQ84" s="905">
        <v>11.419143808877786</v>
      </c>
      <c r="CR84" s="905">
        <v>11.482666496732076</v>
      </c>
      <c r="CS84" s="905">
        <v>11.546046739203918</v>
      </c>
      <c r="CT84" s="905">
        <v>11.609280428665993</v>
      </c>
      <c r="CU84" s="905">
        <v>11.672363501353605</v>
      </c>
      <c r="CV84" s="905">
        <v>11.735291938314246</v>
      </c>
      <c r="CW84" s="905">
        <v>11.798061766329166</v>
      </c>
      <c r="CX84" s="905">
        <v>11.860669058807177</v>
      </c>
      <c r="CY84" s="905">
        <v>11.923109936649755</v>
      </c>
      <c r="CZ84" s="905">
        <v>11.985380569087464</v>
      </c>
      <c r="DA84" s="905">
        <v>12.047477174487538</v>
      </c>
      <c r="DB84" s="905">
        <v>12.109396021131634</v>
      </c>
      <c r="DC84" s="905">
        <v>12.171133427964477</v>
      </c>
      <c r="DD84" s="905">
        <v>12.232685765312629</v>
      </c>
      <c r="DE84" s="905">
        <v>12.294049455573894</v>
      </c>
      <c r="DF84" s="905">
        <v>12.355220973875536</v>
      </c>
      <c r="DG84" s="905">
        <v>12.41619684870401</v>
      </c>
      <c r="DH84" s="905">
        <v>12.476973662503053</v>
      </c>
      <c r="DI84" s="905">
        <v>12.537548052243009</v>
      </c>
      <c r="DJ84" s="905">
        <v>12.597916709958707</v>
      </c>
      <c r="DK84" s="905">
        <v>12.658076383257725</v>
      </c>
      <c r="DL84" s="905">
        <v>12.718023875799139</v>
      </c>
      <c r="DM84" s="905">
        <v>12.777756047740461</v>
      </c>
      <c r="DN84" s="905">
        <v>12.837269816157107</v>
      </c>
      <c r="DO84" s="905">
        <v>12.896562155429699</v>
      </c>
      <c r="DP84" s="905">
        <v>12.955630097603018</v>
      </c>
      <c r="DQ84" s="905">
        <v>13.014470732715242</v>
      </c>
      <c r="DR84" s="905">
        <v>13.073081209097147</v>
      </c>
      <c r="DS84" s="905">
        <v>13.131458733643621</v>
      </c>
      <c r="DT84" s="905">
        <v>13.189600572054687</v>
      </c>
      <c r="DU84" s="905">
        <v>13.24750404904891</v>
      </c>
    </row>
    <row r="85" spans="1:125" s="127" customFormat="1" ht="12.75">
      <c r="A85" s="908">
        <v>83</v>
      </c>
      <c r="B85" s="905"/>
      <c r="C85" s="905"/>
      <c r="D85" s="905"/>
      <c r="E85" s="905"/>
      <c r="F85" s="905"/>
      <c r="G85" s="905"/>
      <c r="H85" s="905"/>
      <c r="I85" s="905"/>
      <c r="J85" s="905"/>
      <c r="K85" s="905"/>
      <c r="L85" s="905"/>
      <c r="M85" s="905"/>
      <c r="N85" s="905"/>
      <c r="O85" s="905"/>
      <c r="P85" s="905"/>
      <c r="Q85" s="905"/>
      <c r="R85" s="905"/>
      <c r="S85" s="905"/>
      <c r="T85" s="905"/>
      <c r="U85" s="905"/>
      <c r="V85" s="905"/>
      <c r="W85" s="905"/>
      <c r="X85" s="905"/>
      <c r="Y85" s="905">
        <v>6.7549633372826934</v>
      </c>
      <c r="Z85" s="905">
        <v>6.8067145582009072</v>
      </c>
      <c r="AA85" s="905">
        <v>6.8358755667628213</v>
      </c>
      <c r="AB85" s="905">
        <v>6.8713713053390642</v>
      </c>
      <c r="AC85" s="905">
        <v>6.8702935311637168</v>
      </c>
      <c r="AD85" s="905">
        <v>6.8796861684701662</v>
      </c>
      <c r="AE85" s="905">
        <v>6.8982464783983035</v>
      </c>
      <c r="AF85" s="905">
        <v>6.9649229808735154</v>
      </c>
      <c r="AG85" s="905">
        <v>6.9884310208705909</v>
      </c>
      <c r="AH85" s="905">
        <v>7.019242245846101</v>
      </c>
      <c r="AI85" s="905">
        <v>7.065926613236444</v>
      </c>
      <c r="AJ85" s="905">
        <v>7.1224055103656374</v>
      </c>
      <c r="AK85" s="905">
        <v>7.1652533820278546</v>
      </c>
      <c r="AL85" s="905">
        <v>7.2111751256860579</v>
      </c>
      <c r="AM85" s="905">
        <v>7.2445366701417786</v>
      </c>
      <c r="AN85" s="905">
        <v>7.298980829452363</v>
      </c>
      <c r="AO85" s="905">
        <v>7.3594467441934146</v>
      </c>
      <c r="AP85" s="905">
        <v>7.4204719068309508</v>
      </c>
      <c r="AQ85" s="905">
        <v>7.4814480875366893</v>
      </c>
      <c r="AR85" s="905">
        <v>7.5424899028647907</v>
      </c>
      <c r="AS85" s="905">
        <v>7.6035962046485839</v>
      </c>
      <c r="AT85" s="905">
        <v>7.6647686559808221</v>
      </c>
      <c r="AU85" s="905">
        <v>7.7260114202010426</v>
      </c>
      <c r="AV85" s="905">
        <v>7.7873306983335437</v>
      </c>
      <c r="AW85" s="905">
        <v>7.8487341819297711</v>
      </c>
      <c r="AX85" s="905">
        <v>7.9102304583023209</v>
      </c>
      <c r="AY85" s="905">
        <v>7.9718280690646228</v>
      </c>
      <c r="AZ85" s="905">
        <v>8.0335344048758746</v>
      </c>
      <c r="BA85" s="905">
        <v>8.0953549098119275</v>
      </c>
      <c r="BB85" s="905">
        <v>8.1572926098647489</v>
      </c>
      <c r="BC85" s="905">
        <v>8.2192950194873191</v>
      </c>
      <c r="BD85" s="905">
        <v>8.2813575450320869</v>
      </c>
      <c r="BE85" s="905">
        <v>8.3434755779218932</v>
      </c>
      <c r="BF85" s="905">
        <v>8.4056444960408072</v>
      </c>
      <c r="BG85" s="905">
        <v>8.4678596651349451</v>
      </c>
      <c r="BH85" s="905">
        <v>8.5301164402234733</v>
      </c>
      <c r="BI85" s="905">
        <v>8.5924101670169435</v>
      </c>
      <c r="BJ85" s="905">
        <v>8.6547361833433634</v>
      </c>
      <c r="BK85" s="905">
        <v>8.7170898205802558</v>
      </c>
      <c r="BL85" s="905">
        <v>8.7794664050921547</v>
      </c>
      <c r="BM85" s="905">
        <v>8.8418612596706367</v>
      </c>
      <c r="BN85" s="905">
        <v>8.9042697049789545</v>
      </c>
      <c r="BO85" s="905">
        <v>8.9666870609966267</v>
      </c>
      <c r="BP85" s="905">
        <v>9.0291086484654866</v>
      </c>
      <c r="BQ85" s="905">
        <v>9.0915297903349064</v>
      </c>
      <c r="BR85" s="905">
        <v>9.1539458132051834</v>
      </c>
      <c r="BS85" s="905">
        <v>9.2163520487681971</v>
      </c>
      <c r="BT85" s="905">
        <v>9.278743835244434</v>
      </c>
      <c r="BU85" s="905">
        <v>9.341116518814701</v>
      </c>
      <c r="BV85" s="905">
        <v>9.4034654550459003</v>
      </c>
      <c r="BW85" s="905">
        <v>9.4657860103098166</v>
      </c>
      <c r="BX85" s="905">
        <v>9.5280735631938498</v>
      </c>
      <c r="BY85" s="905">
        <v>9.5903235059023686</v>
      </c>
      <c r="BZ85" s="905">
        <v>9.6525312456481629</v>
      </c>
      <c r="CA85" s="905">
        <v>9.714692206032467</v>
      </c>
      <c r="CB85" s="905">
        <v>9.7768018284135039</v>
      </c>
      <c r="CC85" s="905">
        <v>9.8388555732608971</v>
      </c>
      <c r="CD85" s="905">
        <v>9.9008489214972535</v>
      </c>
      <c r="CE85" s="905">
        <v>9.9627773758242881</v>
      </c>
      <c r="CF85" s="905">
        <v>10.024636462032937</v>
      </c>
      <c r="CG85" s="905">
        <v>10.086421730297623</v>
      </c>
      <c r="CH85" s="905">
        <v>10.148128756451982</v>
      </c>
      <c r="CI85" s="905">
        <v>10.209753143247482</v>
      </c>
      <c r="CJ85" s="905">
        <v>10.271290521591997</v>
      </c>
      <c r="CK85" s="905">
        <v>10.33273655176939</v>
      </c>
      <c r="CL85" s="905">
        <v>10.394086924637447</v>
      </c>
      <c r="CM85" s="905">
        <v>10.455337362805903</v>
      </c>
      <c r="CN85" s="905">
        <v>10.516483621792052</v>
      </c>
      <c r="CO85" s="905">
        <v>10.577521491152773</v>
      </c>
      <c r="CP85" s="905">
        <v>10.638446795594906</v>
      </c>
      <c r="CQ85" s="905">
        <v>10.699255396060909</v>
      </c>
      <c r="CR85" s="905">
        <v>10.759943190790842</v>
      </c>
      <c r="CS85" s="905">
        <v>10.820506116358906</v>
      </c>
      <c r="CT85" s="905">
        <v>10.880940148684546</v>
      </c>
      <c r="CU85" s="905">
        <v>10.941241304018495</v>
      </c>
      <c r="CV85" s="905">
        <v>11.001405639902128</v>
      </c>
      <c r="CW85" s="905">
        <v>11.061429256099949</v>
      </c>
      <c r="CX85" s="905">
        <v>11.121308295505425</v>
      </c>
      <c r="CY85" s="905">
        <v>11.181038945019194</v>
      </c>
      <c r="CZ85" s="905">
        <v>11.240617436399713</v>
      </c>
      <c r="DA85" s="905">
        <v>11.300040047086148</v>
      </c>
      <c r="DB85" s="905">
        <v>11.359303100992495</v>
      </c>
      <c r="DC85" s="905">
        <v>11.418402969273689</v>
      </c>
      <c r="DD85" s="905">
        <v>11.477336071062862</v>
      </c>
      <c r="DE85" s="905">
        <v>11.536098874180343</v>
      </c>
      <c r="DF85" s="905">
        <v>11.594687895812415</v>
      </c>
      <c r="DG85" s="905">
        <v>11.653099703162713</v>
      </c>
      <c r="DH85" s="905">
        <v>11.711330914072887</v>
      </c>
      <c r="DI85" s="905">
        <v>11.769378197615579</v>
      </c>
      <c r="DJ85" s="905">
        <v>11.82723827465686</v>
      </c>
      <c r="DK85" s="905">
        <v>11.884907918390049</v>
      </c>
      <c r="DL85" s="905">
        <v>11.942383954840951</v>
      </c>
      <c r="DM85" s="905">
        <v>11.999663263342178</v>
      </c>
      <c r="DN85" s="905">
        <v>12.056742776980952</v>
      </c>
      <c r="DO85" s="905">
        <v>12.113619483015574</v>
      </c>
      <c r="DP85" s="905">
        <v>12.170290423264426</v>
      </c>
      <c r="DQ85" s="905">
        <v>12.226752694466093</v>
      </c>
      <c r="DR85" s="905">
        <v>12.28300344861027</v>
      </c>
      <c r="DS85" s="905">
        <v>12.339039893241749</v>
      </c>
      <c r="DT85" s="905">
        <v>12.394859291734722</v>
      </c>
      <c r="DU85" s="905">
        <v>12.450458963540171</v>
      </c>
    </row>
    <row r="86" spans="1:125" s="127" customFormat="1" ht="12.75">
      <c r="A86" s="908">
        <v>84</v>
      </c>
      <c r="B86" s="905"/>
      <c r="C86" s="905"/>
      <c r="D86" s="905"/>
      <c r="E86" s="905"/>
      <c r="F86" s="905"/>
      <c r="G86" s="905"/>
      <c r="H86" s="905"/>
      <c r="I86" s="905"/>
      <c r="J86" s="905"/>
      <c r="K86" s="905"/>
      <c r="L86" s="905"/>
      <c r="M86" s="905"/>
      <c r="N86" s="905"/>
      <c r="O86" s="905"/>
      <c r="P86" s="905"/>
      <c r="Q86" s="905"/>
      <c r="R86" s="905"/>
      <c r="S86" s="905"/>
      <c r="T86" s="905"/>
      <c r="U86" s="905"/>
      <c r="V86" s="905"/>
      <c r="W86" s="905"/>
      <c r="X86" s="905"/>
      <c r="Y86" s="905">
        <v>6.283936927419651</v>
      </c>
      <c r="Z86" s="905">
        <v>6.3333184694833067</v>
      </c>
      <c r="AA86" s="905">
        <v>6.3654062852236173</v>
      </c>
      <c r="AB86" s="905">
        <v>6.385438784073532</v>
      </c>
      <c r="AC86" s="905">
        <v>6.3854021366639415</v>
      </c>
      <c r="AD86" s="905">
        <v>6.3917882167813271</v>
      </c>
      <c r="AE86" s="905">
        <v>6.4226957905457569</v>
      </c>
      <c r="AF86" s="905">
        <v>6.459272011773713</v>
      </c>
      <c r="AG86" s="905">
        <v>6.49634541250213</v>
      </c>
      <c r="AH86" s="905">
        <v>6.5098198043934179</v>
      </c>
      <c r="AI86" s="905">
        <v>6.5563987907100163</v>
      </c>
      <c r="AJ86" s="905">
        <v>6.6044546649706426</v>
      </c>
      <c r="AK86" s="905">
        <v>6.6311534813183073</v>
      </c>
      <c r="AL86" s="905">
        <v>6.6696536897971956</v>
      </c>
      <c r="AM86" s="905">
        <v>6.7237815561125016</v>
      </c>
      <c r="AN86" s="905">
        <v>6.7785667250267601</v>
      </c>
      <c r="AO86" s="905">
        <v>6.8359474642901796</v>
      </c>
      <c r="AP86" s="905">
        <v>6.8934500771191178</v>
      </c>
      <c r="AQ86" s="905">
        <v>6.9509090059724006</v>
      </c>
      <c r="AR86" s="905">
        <v>7.0084411385101824</v>
      </c>
      <c r="AS86" s="905">
        <v>7.0660465008351085</v>
      </c>
      <c r="AT86" s="905">
        <v>7.1237279907385256</v>
      </c>
      <c r="AU86" s="905">
        <v>7.181490999977461</v>
      </c>
      <c r="AV86" s="905">
        <v>7.2393428899448189</v>
      </c>
      <c r="AW86" s="905">
        <v>7.2972923943547219</v>
      </c>
      <c r="AX86" s="905">
        <v>7.3553489883363667</v>
      </c>
      <c r="AY86" s="905">
        <v>7.4135219093836628</v>
      </c>
      <c r="AZ86" s="905">
        <v>7.4718190227112782</v>
      </c>
      <c r="BA86" s="905">
        <v>7.5302460220231859</v>
      </c>
      <c r="BB86" s="905">
        <v>7.5887505563271107</v>
      </c>
      <c r="BC86" s="905">
        <v>7.6473282892099919</v>
      </c>
      <c r="BD86" s="905">
        <v>7.7059748656474953</v>
      </c>
      <c r="BE86" s="905">
        <v>7.7646859133414736</v>
      </c>
      <c r="BF86" s="905">
        <v>7.823457044070012</v>
      </c>
      <c r="BG86" s="905">
        <v>7.8822838550477918</v>
      </c>
      <c r="BH86" s="905">
        <v>7.9411619302969658</v>
      </c>
      <c r="BI86" s="905">
        <v>8.0000868420257589</v>
      </c>
      <c r="BJ86" s="905">
        <v>8.0590541520151895</v>
      </c>
      <c r="BK86" s="905">
        <v>8.1180594130122383</v>
      </c>
      <c r="BL86" s="905">
        <v>8.1770981701289145</v>
      </c>
      <c r="BM86" s="905">
        <v>8.2361659622442964</v>
      </c>
      <c r="BN86" s="905">
        <v>8.2952583234117885</v>
      </c>
      <c r="BO86" s="905">
        <v>8.3543707842667949</v>
      </c>
      <c r="BP86" s="905">
        <v>8.4134988734364757</v>
      </c>
      <c r="BQ86" s="905">
        <v>8.4726381189493161</v>
      </c>
      <c r="BR86" s="905">
        <v>8.5317840496434449</v>
      </c>
      <c r="BS86" s="905">
        <v>8.5909321965729539</v>
      </c>
      <c r="BT86" s="905">
        <v>8.6500780944112563</v>
      </c>
      <c r="BU86" s="905">
        <v>8.7092172828499219</v>
      </c>
      <c r="BV86" s="905">
        <v>8.7683453079922842</v>
      </c>
      <c r="BW86" s="905">
        <v>8.8274577237409062</v>
      </c>
      <c r="BX86" s="905">
        <v>8.8865500931778296</v>
      </c>
      <c r="BY86" s="905">
        <v>8.9456179899362844</v>
      </c>
      <c r="BZ86" s="905">
        <v>9.0046569995634034</v>
      </c>
      <c r="CA86" s="905">
        <v>9.063662720872431</v>
      </c>
      <c r="CB86" s="905">
        <v>9.1226307672844307</v>
      </c>
      <c r="CC86" s="905">
        <v>9.181556768156776</v>
      </c>
      <c r="CD86" s="905">
        <v>9.2404363700999035</v>
      </c>
      <c r="CE86" s="905">
        <v>9.299265238279574</v>
      </c>
      <c r="CF86" s="905">
        <v>9.3580390577042216</v>
      </c>
      <c r="CG86" s="905">
        <v>9.4167535344974986</v>
      </c>
      <c r="CH86" s="905">
        <v>9.4754043971534365</v>
      </c>
      <c r="CI86" s="905">
        <v>9.5339873977755953</v>
      </c>
      <c r="CJ86" s="905">
        <v>9.5924983132973107</v>
      </c>
      <c r="CK86" s="905">
        <v>9.6509329466841436</v>
      </c>
      <c r="CL86" s="905">
        <v>9.7092871281158288</v>
      </c>
      <c r="CM86" s="905">
        <v>9.7675567161495671</v>
      </c>
      <c r="CN86" s="905">
        <v>9.8257375988620925</v>
      </c>
      <c r="CO86" s="905">
        <v>9.8838256949693637</v>
      </c>
      <c r="CP86" s="905">
        <v>9.941816954925887</v>
      </c>
      <c r="CQ86" s="905">
        <v>9.9997073620005743</v>
      </c>
      <c r="CR86" s="905">
        <v>10.057492933330192</v>
      </c>
      <c r="CS86" s="905">
        <v>10.115169720948606</v>
      </c>
      <c r="CT86" s="905">
        <v>10.172733812791916</v>
      </c>
      <c r="CU86" s="905">
        <v>10.230181333679813</v>
      </c>
      <c r="CV86" s="905">
        <v>10.287508446271509</v>
      </c>
      <c r="CW86" s="905">
        <v>10.344711351996139</v>
      </c>
      <c r="CX86" s="905">
        <v>10.401786291957766</v>
      </c>
      <c r="CY86" s="905">
        <v>10.458729547814078</v>
      </c>
      <c r="CZ86" s="905">
        <v>10.515537442628819</v>
      </c>
      <c r="DA86" s="905">
        <v>10.572206341697761</v>
      </c>
      <c r="DB86" s="905">
        <v>10.628732653347178</v>
      </c>
      <c r="DC86" s="905">
        <v>10.685112829705602</v>
      </c>
      <c r="DD86" s="905">
        <v>10.741343367448001</v>
      </c>
      <c r="DE86" s="905">
        <v>10.797420808512992</v>
      </c>
      <c r="DF86" s="905">
        <v>10.853341740791013</v>
      </c>
      <c r="DG86" s="905">
        <v>10.909102798786456</v>
      </c>
      <c r="DH86" s="905">
        <v>10.964700664250243</v>
      </c>
      <c r="DI86" s="905">
        <v>11.020132066785971</v>
      </c>
      <c r="DJ86" s="905">
        <v>11.075393784426726</v>
      </c>
      <c r="DK86" s="905">
        <v>11.13048264418445</v>
      </c>
      <c r="DL86" s="905">
        <v>11.185395522571945</v>
      </c>
      <c r="DM86" s="905">
        <v>11.240129346095067</v>
      </c>
      <c r="DN86" s="905">
        <v>11.294681091719614</v>
      </c>
      <c r="DO86" s="905">
        <v>11.349047787307931</v>
      </c>
      <c r="DP86" s="905">
        <v>11.403226512029203</v>
      </c>
      <c r="DQ86" s="905">
        <v>11.457214396741925</v>
      </c>
      <c r="DR86" s="905">
        <v>11.511008624348209</v>
      </c>
      <c r="DS86" s="905">
        <v>11.564606430122264</v>
      </c>
      <c r="DT86" s="905">
        <v>11.618005102010111</v>
      </c>
      <c r="DU86" s="905">
        <v>11.671201980903456</v>
      </c>
    </row>
    <row r="87" spans="1:125" s="127" customFormat="1" ht="12.75">
      <c r="A87" s="908">
        <v>85</v>
      </c>
      <c r="B87" s="905"/>
      <c r="C87" s="905"/>
      <c r="D87" s="905"/>
      <c r="E87" s="905"/>
      <c r="F87" s="905"/>
      <c r="G87" s="905"/>
      <c r="H87" s="905"/>
      <c r="I87" s="905"/>
      <c r="J87" s="905"/>
      <c r="K87" s="905"/>
      <c r="L87" s="905"/>
      <c r="M87" s="905"/>
      <c r="N87" s="905"/>
      <c r="O87" s="905"/>
      <c r="P87" s="905"/>
      <c r="Q87" s="905"/>
      <c r="R87" s="905"/>
      <c r="S87" s="905"/>
      <c r="T87" s="905"/>
      <c r="U87" s="905"/>
      <c r="V87" s="905"/>
      <c r="W87" s="905"/>
      <c r="X87" s="905"/>
      <c r="Y87" s="905">
        <v>5.8339567626130098</v>
      </c>
      <c r="Z87" s="905">
        <v>5.889908367416643</v>
      </c>
      <c r="AA87" s="905">
        <v>5.9118925516880676</v>
      </c>
      <c r="AB87" s="905">
        <v>5.9262489482015752</v>
      </c>
      <c r="AC87" s="905">
        <v>5.9225906368193542</v>
      </c>
      <c r="AD87" s="905">
        <v>5.9427183465339057</v>
      </c>
      <c r="AE87" s="905">
        <v>5.9406727536641792</v>
      </c>
      <c r="AF87" s="905">
        <v>5.9974496278847687</v>
      </c>
      <c r="AG87" s="905">
        <v>6.0089206764032603</v>
      </c>
      <c r="AH87" s="905">
        <v>6.0296382317095549</v>
      </c>
      <c r="AI87" s="905">
        <v>6.0718546618346574</v>
      </c>
      <c r="AJ87" s="905">
        <v>6.0994549575467572</v>
      </c>
      <c r="AK87" s="905">
        <v>6.1178446219052693</v>
      </c>
      <c r="AL87" s="905">
        <v>6.1790105671220488</v>
      </c>
      <c r="AM87" s="905">
        <v>6.2290149590874719</v>
      </c>
      <c r="AN87" s="905">
        <v>6.2827832399997288</v>
      </c>
      <c r="AO87" s="905">
        <v>6.336680289273402</v>
      </c>
      <c r="AP87" s="905">
        <v>6.3907020909924785</v>
      </c>
      <c r="AQ87" s="905">
        <v>6.4446829541088597</v>
      </c>
      <c r="AR87" s="905">
        <v>6.4987423991507427</v>
      </c>
      <c r="AS87" s="905">
        <v>6.5528818201176193</v>
      </c>
      <c r="AT87" s="905">
        <v>6.6071055525198386</v>
      </c>
      <c r="AU87" s="905">
        <v>6.6614204147263028</v>
      </c>
      <c r="AV87" s="905">
        <v>6.7158351092192881</v>
      </c>
      <c r="AW87" s="905">
        <v>6.7703595653592705</v>
      </c>
      <c r="AX87" s="905">
        <v>6.8250042658185537</v>
      </c>
      <c r="AY87" s="905">
        <v>6.8797792232594208</v>
      </c>
      <c r="AZ87" s="905">
        <v>6.9346928114141626</v>
      </c>
      <c r="BA87" s="905">
        <v>6.9896937737604823</v>
      </c>
      <c r="BB87" s="905">
        <v>7.044778045694347</v>
      </c>
      <c r="BC87" s="905">
        <v>7.099941541148671</v>
      </c>
      <c r="BD87" s="905">
        <v>7.155180153866695</v>
      </c>
      <c r="BE87" s="905">
        <v>7.2104897586872632</v>
      </c>
      <c r="BF87" s="905">
        <v>7.2658662128427549</v>
      </c>
      <c r="BG87" s="905">
        <v>7.321305357267299</v>
      </c>
      <c r="BH87" s="905">
        <v>7.3768030179156474</v>
      </c>
      <c r="BI87" s="905">
        <v>7.4323550070898179</v>
      </c>
      <c r="BJ87" s="905">
        <v>7.4879571247740113</v>
      </c>
      <c r="BK87" s="905">
        <v>7.5436051599762148</v>
      </c>
      <c r="BL87" s="905">
        <v>7.5992948920759122</v>
      </c>
      <c r="BM87" s="905">
        <v>7.6550220921749865</v>
      </c>
      <c r="BN87" s="905">
        <v>7.7107825244542694</v>
      </c>
      <c r="BO87" s="905">
        <v>7.7665719475307657</v>
      </c>
      <c r="BP87" s="905">
        <v>7.8223861158174266</v>
      </c>
      <c r="BQ87" s="905">
        <v>7.878220780883165</v>
      </c>
      <c r="BR87" s="905">
        <v>7.9340716928121218</v>
      </c>
      <c r="BS87" s="905">
        <v>7.9899346015614503</v>
      </c>
      <c r="BT87" s="905">
        <v>8.0458052583167774</v>
      </c>
      <c r="BU87" s="905">
        <v>8.1016794168437158</v>
      </c>
      <c r="BV87" s="905">
        <v>8.1575528348348296</v>
      </c>
      <c r="BW87" s="905">
        <v>8.2134212752511964</v>
      </c>
      <c r="BX87" s="905">
        <v>8.2692805076575056</v>
      </c>
      <c r="BY87" s="905">
        <v>8.3251263095493826</v>
      </c>
      <c r="BZ87" s="905">
        <v>8.3809544676726109</v>
      </c>
      <c r="CA87" s="905">
        <v>8.4367607793326957</v>
      </c>
      <c r="CB87" s="905">
        <v>8.4925410536948593</v>
      </c>
      <c r="CC87" s="905">
        <v>8.5482911130717767</v>
      </c>
      <c r="CD87" s="905">
        <v>8.6040067942005773</v>
      </c>
      <c r="CE87" s="905">
        <v>8.6596839495063875</v>
      </c>
      <c r="CF87" s="905">
        <v>8.7153184483520327</v>
      </c>
      <c r="CG87" s="905">
        <v>8.7709061782740463</v>
      </c>
      <c r="CH87" s="905">
        <v>8.8264430462024031</v>
      </c>
      <c r="CI87" s="905">
        <v>8.8819249796654596</v>
      </c>
      <c r="CJ87" s="905">
        <v>8.9373479279771448</v>
      </c>
      <c r="CK87" s="905">
        <v>8.9927078634076292</v>
      </c>
      <c r="CL87" s="905">
        <v>9.0480007823346789</v>
      </c>
      <c r="CM87" s="905">
        <v>9.1032227063777107</v>
      </c>
      <c r="CN87" s="905">
        <v>9.1583696835119035</v>
      </c>
      <c r="CO87" s="905">
        <v>9.21343778916121</v>
      </c>
      <c r="CP87" s="905">
        <v>9.2684231272724311</v>
      </c>
      <c r="CQ87" s="905">
        <v>9.3233218313671298</v>
      </c>
      <c r="CR87" s="905">
        <v>9.3781300655725595</v>
      </c>
      <c r="CS87" s="905">
        <v>9.4328440256297945</v>
      </c>
      <c r="CT87" s="905">
        <v>9.4874599398790895</v>
      </c>
      <c r="CU87" s="905">
        <v>9.5419740702230129</v>
      </c>
      <c r="CV87" s="905">
        <v>9.5963827130655126</v>
      </c>
      <c r="CW87" s="905">
        <v>9.6506822002268944</v>
      </c>
      <c r="CX87" s="905">
        <v>9.7048688998349313</v>
      </c>
      <c r="CY87" s="905">
        <v>9.7589392171910383</v>
      </c>
      <c r="CZ87" s="905">
        <v>9.8128895956117237</v>
      </c>
      <c r="DA87" s="905">
        <v>9.8667165172450115</v>
      </c>
      <c r="DB87" s="905">
        <v>9.9204165038608494</v>
      </c>
      <c r="DC87" s="905">
        <v>9.9739861176162528</v>
      </c>
      <c r="DD87" s="905">
        <v>10.027421961794369</v>
      </c>
      <c r="DE87" s="905">
        <v>10.080720681518024</v>
      </c>
      <c r="DF87" s="905">
        <v>10.133878964435672</v>
      </c>
      <c r="DG87" s="905">
        <v>10.186893541382791</v>
      </c>
      <c r="DH87" s="905">
        <v>10.239761187015144</v>
      </c>
      <c r="DI87" s="905">
        <v>10.292478720417055</v>
      </c>
      <c r="DJ87" s="905">
        <v>10.345043005681777</v>
      </c>
      <c r="DK87" s="905">
        <v>10.397450952465796</v>
      </c>
      <c r="DL87" s="905">
        <v>10.449699516517242</v>
      </c>
      <c r="DM87" s="905">
        <v>10.501785700175791</v>
      </c>
      <c r="DN87" s="905">
        <v>10.553706552848677</v>
      </c>
      <c r="DO87" s="905">
        <v>10.605459171457769</v>
      </c>
      <c r="DP87" s="905">
        <v>10.657040700861646</v>
      </c>
      <c r="DQ87" s="905">
        <v>10.708448334251178</v>
      </c>
      <c r="DR87" s="905">
        <v>10.759679313518236</v>
      </c>
      <c r="DS87" s="905">
        <v>10.810730929599831</v>
      </c>
      <c r="DT87" s="905">
        <v>10.861600522794756</v>
      </c>
      <c r="DU87" s="905">
        <v>10.912285483055584</v>
      </c>
    </row>
    <row r="88" spans="1:125" s="127" customFormat="1" ht="12.75">
      <c r="A88" s="908">
        <v>86</v>
      </c>
      <c r="B88" s="905"/>
      <c r="C88" s="905"/>
      <c r="D88" s="905"/>
      <c r="E88" s="905"/>
      <c r="F88" s="905"/>
      <c r="G88" s="905"/>
      <c r="H88" s="905"/>
      <c r="I88" s="905"/>
      <c r="J88" s="905"/>
      <c r="K88" s="905"/>
      <c r="L88" s="905"/>
      <c r="M88" s="905"/>
      <c r="N88" s="905"/>
      <c r="O88" s="905"/>
      <c r="P88" s="905"/>
      <c r="Q88" s="905"/>
      <c r="R88" s="905"/>
      <c r="S88" s="905"/>
      <c r="T88" s="905"/>
      <c r="U88" s="905"/>
      <c r="V88" s="905"/>
      <c r="W88" s="905"/>
      <c r="X88" s="905"/>
      <c r="Y88" s="905">
        <v>5.423311678859883</v>
      </c>
      <c r="Z88" s="905">
        <v>5.4530922486717186</v>
      </c>
      <c r="AA88" s="905">
        <v>5.4793100349695951</v>
      </c>
      <c r="AB88" s="905">
        <v>5.4906930333591832</v>
      </c>
      <c r="AC88" s="905">
        <v>5.4987904983827089</v>
      </c>
      <c r="AD88" s="905">
        <v>5.4880191569006644</v>
      </c>
      <c r="AE88" s="905">
        <v>5.5035299264939956</v>
      </c>
      <c r="AF88" s="905">
        <v>5.5376846698679625</v>
      </c>
      <c r="AG88" s="905">
        <v>5.5640511632090739</v>
      </c>
      <c r="AH88" s="905">
        <v>5.5766694951959845</v>
      </c>
      <c r="AI88" s="905">
        <v>5.591675031946278</v>
      </c>
      <c r="AJ88" s="905">
        <v>5.6108132902024739</v>
      </c>
      <c r="AK88" s="905">
        <v>5.6633513267086029</v>
      </c>
      <c r="AL88" s="905">
        <v>5.7132009308908467</v>
      </c>
      <c r="AM88" s="905">
        <v>5.7633978055365365</v>
      </c>
      <c r="AN88" s="905">
        <v>5.8137271944114177</v>
      </c>
      <c r="AO88" s="905">
        <v>5.8641853871121752</v>
      </c>
      <c r="AP88" s="905">
        <v>5.9147686367296544</v>
      </c>
      <c r="AQ88" s="905">
        <v>5.9653111676929793</v>
      </c>
      <c r="AR88" s="905">
        <v>6.015935579831881</v>
      </c>
      <c r="AS88" s="905">
        <v>6.06664488447307</v>
      </c>
      <c r="AT88" s="905">
        <v>6.1174451147792599</v>
      </c>
      <c r="AU88" s="905">
        <v>6.1683447675187804</v>
      </c>
      <c r="AV88" s="905">
        <v>6.2193541134790014</v>
      </c>
      <c r="AW88" s="905">
        <v>6.2704844677947769</v>
      </c>
      <c r="AX88" s="905">
        <v>6.321747465542046</v>
      </c>
      <c r="AY88" s="905">
        <v>6.3731539858323156</v>
      </c>
      <c r="AZ88" s="905">
        <v>6.4246546738156916</v>
      </c>
      <c r="BA88" s="905">
        <v>6.4762457464027285</v>
      </c>
      <c r="BB88" s="905">
        <v>6.5279233970664716</v>
      </c>
      <c r="BC88" s="905">
        <v>6.5796837970409356</v>
      </c>
      <c r="BD88" s="905">
        <v>6.6315230965334262</v>
      </c>
      <c r="BE88" s="905">
        <v>6.6834374259482594</v>
      </c>
      <c r="BF88" s="905">
        <v>6.7354228971228611</v>
      </c>
      <c r="BG88" s="905">
        <v>6.7874756045738067</v>
      </c>
      <c r="BH88" s="905">
        <v>6.8395916267533163</v>
      </c>
      <c r="BI88" s="905">
        <v>6.8917670273132732</v>
      </c>
      <c r="BJ88" s="905">
        <v>6.9439978563773783</v>
      </c>
      <c r="BK88" s="905">
        <v>6.9962801518199447</v>
      </c>
      <c r="BL88" s="905">
        <v>7.0486099405507279</v>
      </c>
      <c r="BM88" s="905">
        <v>7.100983239802944</v>
      </c>
      <c r="BN88" s="905">
        <v>7.1533960584270844</v>
      </c>
      <c r="BO88" s="905">
        <v>7.2058443981854694</v>
      </c>
      <c r="BP88" s="905">
        <v>7.2583242550495646</v>
      </c>
      <c r="BQ88" s="905">
        <v>7.3108316204977992</v>
      </c>
      <c r="BR88" s="905">
        <v>7.3633624828129101</v>
      </c>
      <c r="BS88" s="905">
        <v>7.4159128283781834</v>
      </c>
      <c r="BT88" s="905">
        <v>7.468478642971796</v>
      </c>
      <c r="BU88" s="905">
        <v>7.5210559130576558</v>
      </c>
      <c r="BV88" s="905">
        <v>7.5736406270722387</v>
      </c>
      <c r="BW88" s="905">
        <v>7.6262287767066148</v>
      </c>
      <c r="BX88" s="905">
        <v>7.6788163581826234</v>
      </c>
      <c r="BY88" s="905">
        <v>7.7313993735219979</v>
      </c>
      <c r="BZ88" s="905">
        <v>7.7839738318081118</v>
      </c>
      <c r="CA88" s="905">
        <v>7.8365357504388502</v>
      </c>
      <c r="CB88" s="905">
        <v>7.8890811563708345</v>
      </c>
      <c r="CC88" s="905">
        <v>7.9416060873521559</v>
      </c>
      <c r="CD88" s="905">
        <v>7.9941065931454576</v>
      </c>
      <c r="CE88" s="905">
        <v>8.0465787367384696</v>
      </c>
      <c r="CF88" s="905">
        <v>8.0990185955417644</v>
      </c>
      <c r="CG88" s="905">
        <v>8.1514222625739094</v>
      </c>
      <c r="CH88" s="905">
        <v>8.2037858476314582</v>
      </c>
      <c r="CI88" s="905">
        <v>8.25610547844534</v>
      </c>
      <c r="CJ88" s="905">
        <v>8.3083773018206895</v>
      </c>
      <c r="CK88" s="905">
        <v>8.3605974847614188</v>
      </c>
      <c r="CL88" s="905">
        <v>8.4127622155767163</v>
      </c>
      <c r="CM88" s="905">
        <v>8.4648677049716401</v>
      </c>
      <c r="CN88" s="905">
        <v>8.5169101871190716</v>
      </c>
      <c r="CO88" s="905">
        <v>8.5688859207119314</v>
      </c>
      <c r="CP88" s="905">
        <v>8.6207911899979273</v>
      </c>
      <c r="CQ88" s="905">
        <v>8.6726223057935385</v>
      </c>
      <c r="CR88" s="905">
        <v>8.7243756064785174</v>
      </c>
      <c r="CS88" s="905">
        <v>8.7760474589690531</v>
      </c>
      <c r="CT88" s="905">
        <v>8.8276342596696775</v>
      </c>
      <c r="CU88" s="905">
        <v>8.8791324354045038</v>
      </c>
      <c r="CV88" s="905">
        <v>8.9305384443259257</v>
      </c>
      <c r="CW88" s="905">
        <v>8.9818487768008097</v>
      </c>
      <c r="CX88" s="905">
        <v>9.0330599562743892</v>
      </c>
      <c r="CY88" s="905">
        <v>9.0841685401108201</v>
      </c>
      <c r="CZ88" s="905">
        <v>9.1351711204106252</v>
      </c>
      <c r="DA88" s="905">
        <v>9.1860643248047289</v>
      </c>
      <c r="DB88" s="905">
        <v>9.2368448172240729</v>
      </c>
      <c r="DC88" s="905">
        <v>9.2875092986456167</v>
      </c>
      <c r="DD88" s="905">
        <v>9.3380545078138759</v>
      </c>
      <c r="DE88" s="905">
        <v>9.3884772219385937</v>
      </c>
      <c r="DF88" s="905">
        <v>9.4387742573664042</v>
      </c>
      <c r="DG88" s="905">
        <v>9.4889424702296274</v>
      </c>
      <c r="DH88" s="905">
        <v>9.5389787570684881</v>
      </c>
      <c r="DI88" s="905">
        <v>9.5888800554300389</v>
      </c>
      <c r="DJ88" s="905">
        <v>9.6386433444407338</v>
      </c>
      <c r="DK88" s="905">
        <v>9.6882656453545692</v>
      </c>
      <c r="DL88" s="905">
        <v>9.7377440220769191</v>
      </c>
      <c r="DM88" s="905">
        <v>9.7870755816614299</v>
      </c>
      <c r="DN88" s="905">
        <v>9.8362574747846381</v>
      </c>
      <c r="DO88" s="905">
        <v>9.8852868961931613</v>
      </c>
      <c r="DP88" s="905">
        <v>9.9341610851274424</v>
      </c>
      <c r="DQ88" s="905">
        <v>9.9828773257205334</v>
      </c>
      <c r="DR88" s="905">
        <v>10.031432947371503</v>
      </c>
      <c r="DS88" s="905">
        <v>10.079825325095761</v>
      </c>
      <c r="DT88" s="905">
        <v>10.128051879849348</v>
      </c>
      <c r="DU88" s="905">
        <v>10.176110078830012</v>
      </c>
    </row>
    <row r="89" spans="1:125" s="127" customFormat="1" ht="12.75">
      <c r="A89" s="908">
        <v>87</v>
      </c>
      <c r="B89" s="905"/>
      <c r="C89" s="905"/>
      <c r="D89" s="905"/>
      <c r="E89" s="905"/>
      <c r="F89" s="905"/>
      <c r="G89" s="905"/>
      <c r="H89" s="905"/>
      <c r="I89" s="905"/>
      <c r="J89" s="905"/>
      <c r="K89" s="905"/>
      <c r="L89" s="905"/>
      <c r="M89" s="905"/>
      <c r="N89" s="905"/>
      <c r="O89" s="905"/>
      <c r="P89" s="905"/>
      <c r="Q89" s="905"/>
      <c r="R89" s="905"/>
      <c r="S89" s="905"/>
      <c r="T89" s="905"/>
      <c r="U89" s="905"/>
      <c r="V89" s="905"/>
      <c r="W89" s="905"/>
      <c r="X89" s="905"/>
      <c r="Y89" s="905">
        <v>5.0156531597490499</v>
      </c>
      <c r="Z89" s="905">
        <v>5.0497419733493292</v>
      </c>
      <c r="AA89" s="905">
        <v>5.08010149088161</v>
      </c>
      <c r="AB89" s="905">
        <v>5.0957469144326391</v>
      </c>
      <c r="AC89" s="905">
        <v>5.0691481467551611</v>
      </c>
      <c r="AD89" s="905">
        <v>5.0842739440309517</v>
      </c>
      <c r="AE89" s="905">
        <v>5.0712143046831439</v>
      </c>
      <c r="AF89" s="905">
        <v>5.1158086218576955</v>
      </c>
      <c r="AG89" s="905">
        <v>5.1314472020534954</v>
      </c>
      <c r="AH89" s="905">
        <v>5.1349826084865073</v>
      </c>
      <c r="AI89" s="905">
        <v>5.1356758686478248</v>
      </c>
      <c r="AJ89" s="905">
        <v>5.180450994614997</v>
      </c>
      <c r="AK89" s="905">
        <v>5.2327495522626126</v>
      </c>
      <c r="AL89" s="905">
        <v>5.2794295595014189</v>
      </c>
      <c r="AM89" s="905">
        <v>5.326242724536967</v>
      </c>
      <c r="AN89" s="905">
        <v>5.3731856378300495</v>
      </c>
      <c r="AO89" s="905">
        <v>5.4202548531895616</v>
      </c>
      <c r="AP89" s="905">
        <v>5.467446888986693</v>
      </c>
      <c r="AQ89" s="905">
        <v>5.5145960880692835</v>
      </c>
      <c r="AR89" s="905">
        <v>5.5618286240759183</v>
      </c>
      <c r="AS89" s="905">
        <v>5.6091494538529627</v>
      </c>
      <c r="AT89" s="905">
        <v>5.656566646765798</v>
      </c>
      <c r="AU89" s="905">
        <v>5.7040907020319178</v>
      </c>
      <c r="AV89" s="905">
        <v>5.7517337467128611</v>
      </c>
      <c r="AW89" s="905">
        <v>5.7995087174886715</v>
      </c>
      <c r="AX89" s="905">
        <v>5.8474285752447468</v>
      </c>
      <c r="AY89" s="905">
        <v>5.8954463380350708</v>
      </c>
      <c r="AZ89" s="905">
        <v>5.9435585082752134</v>
      </c>
      <c r="BA89" s="905">
        <v>5.991761563878911</v>
      </c>
      <c r="BB89" s="905">
        <v>6.0400519593742352</v>
      </c>
      <c r="BC89" s="905">
        <v>6.0884261270344231</v>
      </c>
      <c r="BD89" s="905">
        <v>6.1368804780217818</v>
      </c>
      <c r="BE89" s="905">
        <v>6.1854114035421022</v>
      </c>
      <c r="BF89" s="905">
        <v>6.2340152760108314</v>
      </c>
      <c r="BG89" s="905">
        <v>6.2826884502284805</v>
      </c>
      <c r="BH89" s="905">
        <v>6.3314272645659573</v>
      </c>
      <c r="BI89" s="905">
        <v>6.3802280421568414</v>
      </c>
      <c r="BJ89" s="905">
        <v>6.429087092097344</v>
      </c>
      <c r="BK89" s="905">
        <v>6.478000710652549</v>
      </c>
      <c r="BL89" s="905">
        <v>6.5269651824683752</v>
      </c>
      <c r="BM89" s="905">
        <v>6.5759767817863626</v>
      </c>
      <c r="BN89" s="905">
        <v>6.6250317736642295</v>
      </c>
      <c r="BO89" s="905">
        <v>6.6741264151968949</v>
      </c>
      <c r="BP89" s="905">
        <v>6.7232569567402942</v>
      </c>
      <c r="BQ89" s="905">
        <v>6.7724196431356987</v>
      </c>
      <c r="BR89" s="905">
        <v>6.8216107149336249</v>
      </c>
      <c r="BS89" s="905">
        <v>6.8708264096168001</v>
      </c>
      <c r="BT89" s="905">
        <v>6.9200629628214649</v>
      </c>
      <c r="BU89" s="905">
        <v>6.9693166095554595</v>
      </c>
      <c r="BV89" s="905">
        <v>7.0185835854126086</v>
      </c>
      <c r="BW89" s="905">
        <v>7.0678601277828061</v>
      </c>
      <c r="BX89" s="905">
        <v>7.1171424770566682</v>
      </c>
      <c r="BY89" s="905">
        <v>7.1664268778237012</v>
      </c>
      <c r="BZ89" s="905">
        <v>7.2157095800637343</v>
      </c>
      <c r="CA89" s="905">
        <v>7.2649868403301046</v>
      </c>
      <c r="CB89" s="905">
        <v>7.3142549229250129</v>
      </c>
      <c r="CC89" s="905">
        <v>7.3635101010640795</v>
      </c>
      <c r="CD89" s="905">
        <v>7.4127486580322195</v>
      </c>
      <c r="CE89" s="905">
        <v>7.4619668883278241</v>
      </c>
      <c r="CF89" s="905">
        <v>7.5111610987951289</v>
      </c>
      <c r="CG89" s="905">
        <v>7.5603276097450598</v>
      </c>
      <c r="CH89" s="905">
        <v>7.6094627560619328</v>
      </c>
      <c r="CI89" s="905">
        <v>7.6585628882977375</v>
      </c>
      <c r="CJ89" s="905">
        <v>7.7076243737510053</v>
      </c>
      <c r="CK89" s="905">
        <v>7.756643597531685</v>
      </c>
      <c r="CL89" s="905">
        <v>7.8056169636091548</v>
      </c>
      <c r="CM89" s="905">
        <v>7.854540895845723</v>
      </c>
      <c r="CN89" s="905">
        <v>7.9034118390128416</v>
      </c>
      <c r="CO89" s="905">
        <v>7.9522262597888815</v>
      </c>
      <c r="CP89" s="905">
        <v>8.0009806477410184</v>
      </c>
      <c r="CQ89" s="905">
        <v>8.0496715162877255</v>
      </c>
      <c r="CR89" s="905">
        <v>8.0982954036433643</v>
      </c>
      <c r="CS89" s="905">
        <v>8.146848873742929</v>
      </c>
      <c r="CT89" s="905">
        <v>8.195328517147086</v>
      </c>
      <c r="CU89" s="905">
        <v>8.2437309519282298</v>
      </c>
      <c r="CV89" s="905">
        <v>8.2920528245355403</v>
      </c>
      <c r="CW89" s="905">
        <v>8.3402908106392033</v>
      </c>
      <c r="CX89" s="905">
        <v>8.388441615954024</v>
      </c>
      <c r="CY89" s="905">
        <v>8.4365019770413561</v>
      </c>
      <c r="CZ89" s="905">
        <v>8.4844686620896432</v>
      </c>
      <c r="DA89" s="905">
        <v>8.5323384716732917</v>
      </c>
      <c r="DB89" s="905">
        <v>8.5801082394887995</v>
      </c>
      <c r="DC89" s="905">
        <v>8.627774833069072</v>
      </c>
      <c r="DD89" s="905">
        <v>8.6753351544750039</v>
      </c>
      <c r="DE89" s="905">
        <v>8.7227861409649705</v>
      </c>
      <c r="DF89" s="905">
        <v>8.7701247656400305</v>
      </c>
      <c r="DG89" s="905">
        <v>8.8173480380681095</v>
      </c>
      <c r="DH89" s="905">
        <v>8.8644530048833037</v>
      </c>
      <c r="DI89" s="905">
        <v>8.9114367503637073</v>
      </c>
      <c r="DJ89" s="905">
        <v>8.9582963969846432</v>
      </c>
      <c r="DK89" s="905">
        <v>9.0050291059491947</v>
      </c>
      <c r="DL89" s="905">
        <v>9.051632077696274</v>
      </c>
      <c r="DM89" s="905">
        <v>9.0981025523833789</v>
      </c>
      <c r="DN89" s="905">
        <v>9.1444378103489505</v>
      </c>
      <c r="DO89" s="905">
        <v>9.1906351725489159</v>
      </c>
      <c r="DP89" s="905">
        <v>9.2366920009715869</v>
      </c>
      <c r="DQ89" s="905">
        <v>9.2826056990292685</v>
      </c>
      <c r="DR89" s="905">
        <v>9.3283737119261545</v>
      </c>
      <c r="DS89" s="905">
        <v>9.3739935270049024</v>
      </c>
      <c r="DT89" s="905">
        <v>9.4194626740687148</v>
      </c>
      <c r="DU89" s="905">
        <v>9.4647787256819296</v>
      </c>
    </row>
    <row r="90" spans="1:125" s="127" customFormat="1" ht="12.75">
      <c r="A90" s="908">
        <v>88</v>
      </c>
      <c r="B90" s="905"/>
      <c r="C90" s="905"/>
      <c r="D90" s="905"/>
      <c r="E90" s="905"/>
      <c r="F90" s="905"/>
      <c r="G90" s="905"/>
      <c r="H90" s="905"/>
      <c r="I90" s="905"/>
      <c r="J90" s="905"/>
      <c r="K90" s="905"/>
      <c r="L90" s="905"/>
      <c r="M90" s="905"/>
      <c r="N90" s="905"/>
      <c r="O90" s="905"/>
      <c r="P90" s="905"/>
      <c r="Q90" s="905"/>
      <c r="R90" s="905"/>
      <c r="S90" s="905"/>
      <c r="T90" s="905"/>
      <c r="U90" s="905"/>
      <c r="V90" s="905"/>
      <c r="W90" s="905"/>
      <c r="X90" s="905"/>
      <c r="Y90" s="905">
        <v>4.6410820190813169</v>
      </c>
      <c r="Z90" s="905">
        <v>4.6722396383689153</v>
      </c>
      <c r="AA90" s="905">
        <v>4.7187035217529081</v>
      </c>
      <c r="AB90" s="905">
        <v>4.6903591905636386</v>
      </c>
      <c r="AC90" s="905">
        <v>4.689536073108215</v>
      </c>
      <c r="AD90" s="905">
        <v>4.6756043447606732</v>
      </c>
      <c r="AE90" s="905">
        <v>4.6769279762741682</v>
      </c>
      <c r="AF90" s="905">
        <v>4.7065249812280925</v>
      </c>
      <c r="AG90" s="905">
        <v>4.7092512578416255</v>
      </c>
      <c r="AH90" s="905">
        <v>4.7083841720562374</v>
      </c>
      <c r="AI90" s="905">
        <v>4.7454264116092428</v>
      </c>
      <c r="AJ90" s="905">
        <v>4.7882887406169932</v>
      </c>
      <c r="AK90" s="905">
        <v>4.8315234328745307</v>
      </c>
      <c r="AL90" s="905">
        <v>4.8748889438421177</v>
      </c>
      <c r="AM90" s="905">
        <v>4.9183821542281283</v>
      </c>
      <c r="AN90" s="905">
        <v>4.9619999089412037</v>
      </c>
      <c r="AO90" s="905">
        <v>5.0057390182127248</v>
      </c>
      <c r="AP90" s="905">
        <v>5.0495962587396601</v>
      </c>
      <c r="AQ90" s="905">
        <v>5.0934066808010705</v>
      </c>
      <c r="AR90" s="905">
        <v>5.1373004793151882</v>
      </c>
      <c r="AS90" s="905">
        <v>5.1812849984137994</v>
      </c>
      <c r="AT90" s="905">
        <v>5.2253707928804705</v>
      </c>
      <c r="AU90" s="905">
        <v>5.2695707873646063</v>
      </c>
      <c r="AV90" s="905">
        <v>5.3138993332748612</v>
      </c>
      <c r="AW90" s="905">
        <v>5.3583712811738344</v>
      </c>
      <c r="AX90" s="905">
        <v>5.4029418694886626</v>
      </c>
      <c r="AY90" s="905">
        <v>5.4476078839889102</v>
      </c>
      <c r="AZ90" s="905">
        <v>5.4923660857931331</v>
      </c>
      <c r="BA90" s="905">
        <v>5.5372132124027633</v>
      </c>
      <c r="BB90" s="905">
        <v>5.5821459787462668</v>
      </c>
      <c r="BC90" s="905">
        <v>5.6271610782368064</v>
      </c>
      <c r="BD90" s="905">
        <v>5.672255183841834</v>
      </c>
      <c r="BE90" s="905">
        <v>5.7174249491619289</v>
      </c>
      <c r="BF90" s="905">
        <v>5.7626670095204373</v>
      </c>
      <c r="BG90" s="905">
        <v>5.8079779830612761</v>
      </c>
      <c r="BH90" s="905">
        <v>5.8533544718558534</v>
      </c>
      <c r="BI90" s="905">
        <v>5.8987930630159688</v>
      </c>
      <c r="BJ90" s="905">
        <v>5.9442903298136756</v>
      </c>
      <c r="BK90" s="905">
        <v>5.9898428328067705</v>
      </c>
      <c r="BL90" s="905">
        <v>6.0354471209693825</v>
      </c>
      <c r="BM90" s="905">
        <v>6.0810997328247556</v>
      </c>
      <c r="BN90" s="905">
        <v>6.1267971975835112</v>
      </c>
      <c r="BO90" s="905">
        <v>6.1725360362818522</v>
      </c>
      <c r="BP90" s="905">
        <v>6.2183127629223156</v>
      </c>
      <c r="BQ90" s="905">
        <v>6.2641238856148442</v>
      </c>
      <c r="BR90" s="905">
        <v>6.3099659077172348</v>
      </c>
      <c r="BS90" s="905">
        <v>6.3558353289746208</v>
      </c>
      <c r="BT90" s="905">
        <v>6.4017286466573093</v>
      </c>
      <c r="BU90" s="905">
        <v>6.4476423566954937</v>
      </c>
      <c r="BV90" s="905">
        <v>6.4935729548103822</v>
      </c>
      <c r="BW90" s="905">
        <v>6.5395169376413484</v>
      </c>
      <c r="BX90" s="905">
        <v>6.5854708038679233</v>
      </c>
      <c r="BY90" s="905">
        <v>6.6314310553257023</v>
      </c>
      <c r="BZ90" s="905">
        <v>6.677394198115989</v>
      </c>
      <c r="CA90" s="905">
        <v>6.7233567437077317</v>
      </c>
      <c r="CB90" s="905">
        <v>6.7693152100322571</v>
      </c>
      <c r="CC90" s="905">
        <v>6.8152661225678255</v>
      </c>
      <c r="CD90" s="905">
        <v>6.8612060154163421</v>
      </c>
      <c r="CE90" s="905">
        <v>6.9071314323691162</v>
      </c>
      <c r="CF90" s="905">
        <v>6.9530389279617166</v>
      </c>
      <c r="CG90" s="905">
        <v>6.9989250685182576</v>
      </c>
      <c r="CH90" s="905">
        <v>7.0447864331825016</v>
      </c>
      <c r="CI90" s="905">
        <v>7.0906196149376726</v>
      </c>
      <c r="CJ90" s="905">
        <v>7.1364212216119203</v>
      </c>
      <c r="CK90" s="905">
        <v>7.1821878768710103</v>
      </c>
      <c r="CL90" s="905">
        <v>7.227916221195323</v>
      </c>
      <c r="CM90" s="905">
        <v>7.2736029128437183</v>
      </c>
      <c r="CN90" s="905">
        <v>7.3192446288013961</v>
      </c>
      <c r="CO90" s="905">
        <v>7.36483806571065</v>
      </c>
      <c r="CP90" s="905">
        <v>7.410379940787255</v>
      </c>
      <c r="CQ90" s="905">
        <v>7.455866992718871</v>
      </c>
      <c r="CR90" s="905">
        <v>7.5012959825471013</v>
      </c>
      <c r="CS90" s="905">
        <v>7.5466636945312189</v>
      </c>
      <c r="CT90" s="905">
        <v>7.5919669369937663</v>
      </c>
      <c r="CU90" s="905">
        <v>7.6372025431488586</v>
      </c>
      <c r="CV90" s="905">
        <v>7.6823673719110985</v>
      </c>
      <c r="CW90" s="905">
        <v>7.7274583086853443</v>
      </c>
      <c r="CX90" s="905">
        <v>7.7724722661376013</v>
      </c>
      <c r="CY90" s="905">
        <v>7.8174061849459644</v>
      </c>
      <c r="CZ90" s="905">
        <v>7.8622570345319254</v>
      </c>
      <c r="DA90" s="905">
        <v>7.9070218137718431</v>
      </c>
      <c r="DB90" s="905">
        <v>7.9516975516874222</v>
      </c>
      <c r="DC90" s="905">
        <v>7.9962813081162167</v>
      </c>
      <c r="DD90" s="905">
        <v>8.0407701743612705</v>
      </c>
      <c r="DE90" s="905">
        <v>8.0851612738205016</v>
      </c>
      <c r="DF90" s="905">
        <v>8.1294517625936251</v>
      </c>
      <c r="DG90" s="905">
        <v>8.1736388300699936</v>
      </c>
      <c r="DH90" s="905">
        <v>8.2177196994933617</v>
      </c>
      <c r="DI90" s="905">
        <v>8.2616916285071458</v>
      </c>
      <c r="DJ90" s="905">
        <v>8.3055519096768915</v>
      </c>
      <c r="DK90" s="905">
        <v>8.3492978709919559</v>
      </c>
      <c r="DL90" s="905">
        <v>8.3929268763466531</v>
      </c>
      <c r="DM90" s="905">
        <v>8.4364363259978781</v>
      </c>
      <c r="DN90" s="905">
        <v>8.4798236570043155</v>
      </c>
      <c r="DO90" s="905">
        <v>8.5230863436416335</v>
      </c>
      <c r="DP90" s="905">
        <v>8.5662218977979041</v>
      </c>
      <c r="DQ90" s="905">
        <v>8.6092278693476167</v>
      </c>
      <c r="DR90" s="905">
        <v>8.6521018465037791</v>
      </c>
      <c r="DS90" s="905">
        <v>8.6948414561505647</v>
      </c>
      <c r="DT90" s="905">
        <v>8.7374443641532444</v>
      </c>
      <c r="DU90" s="905">
        <v>8.7799082756484381</v>
      </c>
    </row>
    <row r="91" spans="1:125" s="127" customFormat="1" ht="12.75">
      <c r="A91" s="908">
        <v>89</v>
      </c>
      <c r="B91" s="905"/>
      <c r="C91" s="905"/>
      <c r="D91" s="905"/>
      <c r="E91" s="905"/>
      <c r="F91" s="905"/>
      <c r="G91" s="905"/>
      <c r="H91" s="905"/>
      <c r="I91" s="905"/>
      <c r="J91" s="905"/>
      <c r="K91" s="905"/>
      <c r="L91" s="905"/>
      <c r="M91" s="905"/>
      <c r="N91" s="905"/>
      <c r="O91" s="905"/>
      <c r="P91" s="905"/>
      <c r="Q91" s="905"/>
      <c r="R91" s="905"/>
      <c r="S91" s="905"/>
      <c r="T91" s="905"/>
      <c r="U91" s="905"/>
      <c r="V91" s="905"/>
      <c r="W91" s="905"/>
      <c r="X91" s="905"/>
      <c r="Y91" s="905">
        <v>4.2848912746216623</v>
      </c>
      <c r="Z91" s="905">
        <v>4.3426431982960851</v>
      </c>
      <c r="AA91" s="905">
        <v>4.3429259506710913</v>
      </c>
      <c r="AB91" s="905">
        <v>4.3380899537805213</v>
      </c>
      <c r="AC91" s="905">
        <v>4.3053592969588994</v>
      </c>
      <c r="AD91" s="905">
        <v>4.3121358677766661</v>
      </c>
      <c r="AE91" s="905">
        <v>4.306496141991297</v>
      </c>
      <c r="AF91" s="905">
        <v>4.31848727803402</v>
      </c>
      <c r="AG91" s="905">
        <v>4.3088738648358973</v>
      </c>
      <c r="AH91" s="905">
        <v>4.3376602239333071</v>
      </c>
      <c r="AI91" s="905">
        <v>4.3792900762437021</v>
      </c>
      <c r="AJ91" s="905">
        <v>4.4191707134659026</v>
      </c>
      <c r="AK91" s="905">
        <v>4.4591770322917768</v>
      </c>
      <c r="AL91" s="905">
        <v>4.4993061877031959</v>
      </c>
      <c r="AM91" s="905">
        <v>4.5395553006874003</v>
      </c>
      <c r="AN91" s="905">
        <v>4.57992145926627</v>
      </c>
      <c r="AO91" s="905">
        <v>4.6204017195476821</v>
      </c>
      <c r="AP91" s="905">
        <v>4.6609931067938479</v>
      </c>
      <c r="AQ91" s="905">
        <v>4.7015328096814759</v>
      </c>
      <c r="AR91" s="905">
        <v>4.7421552277759602</v>
      </c>
      <c r="AS91" s="905">
        <v>4.782870701606214</v>
      </c>
      <c r="AT91" s="905">
        <v>4.8236928793226053</v>
      </c>
      <c r="AU91" s="905">
        <v>4.8646376713613044</v>
      </c>
      <c r="AV91" s="905">
        <v>4.9057221276841201</v>
      </c>
      <c r="AW91" s="905">
        <v>4.9469030762350608</v>
      </c>
      <c r="AX91" s="905">
        <v>4.9881775781614532</v>
      </c>
      <c r="AY91" s="905">
        <v>5.0295426707076976</v>
      </c>
      <c r="AZ91" s="905">
        <v>5.0709953681592239</v>
      </c>
      <c r="BA91" s="905">
        <v>5.1125326628022991</v>
      </c>
      <c r="BB91" s="905">
        <v>5.1541515258920869</v>
      </c>
      <c r="BC91" s="905">
        <v>5.1958489086327635</v>
      </c>
      <c r="BD91" s="905">
        <v>5.2376217431681189</v>
      </c>
      <c r="BE91" s="905">
        <v>5.2794669435797825</v>
      </c>
      <c r="BF91" s="905">
        <v>5.3213814068950196</v>
      </c>
      <c r="BG91" s="905">
        <v>5.3633620141013107</v>
      </c>
      <c r="BH91" s="905">
        <v>5.4054056311689642</v>
      </c>
      <c r="BI91" s="905">
        <v>5.4475091100784585</v>
      </c>
      <c r="BJ91" s="905">
        <v>5.4896692898537465</v>
      </c>
      <c r="BK91" s="905">
        <v>5.5318829976002917</v>
      </c>
      <c r="BL91" s="905">
        <v>5.5741470495473209</v>
      </c>
      <c r="BM91" s="905">
        <v>5.6164582520913715</v>
      </c>
      <c r="BN91" s="905">
        <v>5.658813402844844</v>
      </c>
      <c r="BO91" s="905">
        <v>5.7012092916836767</v>
      </c>
      <c r="BP91" s="905">
        <v>5.7436427017971656</v>
      </c>
      <c r="BQ91" s="905">
        <v>5.7861104107376571</v>
      </c>
      <c r="BR91" s="905">
        <v>5.8286091914692228</v>
      </c>
      <c r="BS91" s="905">
        <v>5.8711358134151457</v>
      </c>
      <c r="BT91" s="905">
        <v>5.9136870435035931</v>
      </c>
      <c r="BU91" s="905">
        <v>5.9562596472100484</v>
      </c>
      <c r="BV91" s="905">
        <v>5.9988503895961376</v>
      </c>
      <c r="BW91" s="905">
        <v>6.0414560363446039</v>
      </c>
      <c r="BX91" s="905">
        <v>6.0840733547892523</v>
      </c>
      <c r="BY91" s="905">
        <v>6.12669911493904</v>
      </c>
      <c r="BZ91" s="905">
        <v>6.1693300904962562</v>
      </c>
      <c r="CA91" s="905">
        <v>6.2119630598673528</v>
      </c>
      <c r="CB91" s="905">
        <v>6.2545948071671251</v>
      </c>
      <c r="CC91" s="905">
        <v>6.2972221232131504</v>
      </c>
      <c r="CD91" s="905">
        <v>6.339841806513137</v>
      </c>
      <c r="CE91" s="905">
        <v>6.3824506642419605</v>
      </c>
      <c r="CF91" s="905">
        <v>6.4250455132085644</v>
      </c>
      <c r="CG91" s="905">
        <v>6.4676231808131739</v>
      </c>
      <c r="CH91" s="905">
        <v>6.5101805059922011</v>
      </c>
      <c r="CI91" s="905">
        <v>6.5527143401528836</v>
      </c>
      <c r="CJ91" s="905">
        <v>6.5952215480945799</v>
      </c>
      <c r="CK91" s="905">
        <v>6.6376990089184407</v>
      </c>
      <c r="CL91" s="905">
        <v>6.6801436169224804</v>
      </c>
      <c r="CM91" s="905">
        <v>6.7225522824848412</v>
      </c>
      <c r="CN91" s="905">
        <v>6.7649219329323138</v>
      </c>
      <c r="CO91" s="905">
        <v>6.8072495133929749</v>
      </c>
      <c r="CP91" s="905">
        <v>6.8495319876360163</v>
      </c>
      <c r="CQ91" s="905">
        <v>6.8917663388949055</v>
      </c>
      <c r="CR91" s="905">
        <v>6.9339495706757823</v>
      </c>
      <c r="CS91" s="905">
        <v>6.9760787075489796</v>
      </c>
      <c r="CT91" s="905">
        <v>7.0181507959240008</v>
      </c>
      <c r="CU91" s="905">
        <v>7.0601629048088874</v>
      </c>
      <c r="CV91" s="905">
        <v>7.1021121265517868</v>
      </c>
      <c r="CW91" s="905">
        <v>7.1439955775650823</v>
      </c>
      <c r="CX91" s="905">
        <v>7.1858103990323929</v>
      </c>
      <c r="CY91" s="905">
        <v>7.2275537575973434</v>
      </c>
      <c r="CZ91" s="905">
        <v>7.2692228460345252</v>
      </c>
      <c r="DA91" s="905">
        <v>7.3108148839024363</v>
      </c>
      <c r="DB91" s="905">
        <v>7.3523271181772225</v>
      </c>
      <c r="DC91" s="905">
        <v>7.3937568238683511</v>
      </c>
      <c r="DD91" s="905">
        <v>7.4351013046152818</v>
      </c>
      <c r="DE91" s="905">
        <v>7.4763578932658188</v>
      </c>
      <c r="DF91" s="905">
        <v>7.5175239524338444</v>
      </c>
      <c r="DG91" s="905">
        <v>7.5585968750399832</v>
      </c>
      <c r="DH91" s="905">
        <v>7.5995740848310689</v>
      </c>
      <c r="DI91" s="905">
        <v>7.6404530368821115</v>
      </c>
      <c r="DJ91" s="905">
        <v>7.6812312180773885</v>
      </c>
      <c r="DK91" s="905">
        <v>7.7219061475727191</v>
      </c>
      <c r="DL91" s="905">
        <v>7.7624753772392232</v>
      </c>
      <c r="DM91" s="905">
        <v>7.8029364920854185</v>
      </c>
      <c r="DN91" s="905">
        <v>7.8432871106630238</v>
      </c>
      <c r="DO91" s="905">
        <v>7.8835248854505631</v>
      </c>
      <c r="DP91" s="905">
        <v>7.9236475032192537</v>
      </c>
      <c r="DQ91" s="905">
        <v>7.9636526853794152</v>
      </c>
      <c r="DR91" s="905">
        <v>8.0035381883068801</v>
      </c>
      <c r="DS91" s="905">
        <v>8.0433018036519943</v>
      </c>
      <c r="DT91" s="905">
        <v>8.0829413586276733</v>
      </c>
      <c r="DU91" s="905">
        <v>8.1224547162798277</v>
      </c>
    </row>
    <row r="92" spans="1:125" s="127" customFormat="1" ht="12.75">
      <c r="A92" s="908">
        <v>90</v>
      </c>
      <c r="B92" s="905"/>
      <c r="C92" s="905"/>
      <c r="D92" s="905"/>
      <c r="E92" s="905"/>
      <c r="F92" s="905"/>
      <c r="G92" s="905"/>
      <c r="H92" s="905"/>
      <c r="I92" s="905"/>
      <c r="J92" s="905"/>
      <c r="K92" s="905"/>
      <c r="L92" s="905"/>
      <c r="M92" s="905"/>
      <c r="N92" s="905"/>
      <c r="O92" s="905"/>
      <c r="P92" s="905"/>
      <c r="Q92" s="905"/>
      <c r="R92" s="905"/>
      <c r="S92" s="905"/>
      <c r="T92" s="905"/>
      <c r="U92" s="905"/>
      <c r="V92" s="905"/>
      <c r="W92" s="905"/>
      <c r="X92" s="905"/>
      <c r="Y92" s="905">
        <v>3.9810708741198884</v>
      </c>
      <c r="Z92" s="905">
        <v>3.9866078159239464</v>
      </c>
      <c r="AA92" s="905">
        <v>4.0220551243117102</v>
      </c>
      <c r="AB92" s="905">
        <v>3.9842159751370625</v>
      </c>
      <c r="AC92" s="905">
        <v>3.9637458136534773</v>
      </c>
      <c r="AD92" s="905">
        <v>3.9692771338717057</v>
      </c>
      <c r="AE92" s="905">
        <v>3.9446745039591722</v>
      </c>
      <c r="AF92" s="905">
        <v>3.9420161029152805</v>
      </c>
      <c r="AG92" s="905">
        <v>3.9712664799921131</v>
      </c>
      <c r="AH92" s="905">
        <v>4.0045276766098556</v>
      </c>
      <c r="AI92" s="905">
        <v>4.0411636937428375</v>
      </c>
      <c r="AJ92" s="905">
        <v>4.0779176855443815</v>
      </c>
      <c r="AK92" s="905">
        <v>4.1147870616523186</v>
      </c>
      <c r="AL92" s="905">
        <v>4.151769200383268</v>
      </c>
      <c r="AM92" s="905">
        <v>4.1888614496731673</v>
      </c>
      <c r="AN92" s="905">
        <v>4.2260611280352904</v>
      </c>
      <c r="AO92" s="905">
        <v>4.2633655255371954</v>
      </c>
      <c r="AP92" s="905">
        <v>4.3007719047909028</v>
      </c>
      <c r="AQ92" s="905">
        <v>4.3381225919394879</v>
      </c>
      <c r="AR92" s="905">
        <v>4.3755557538177818</v>
      </c>
      <c r="AS92" s="905">
        <v>4.4130855840138095</v>
      </c>
      <c r="AT92" s="905">
        <v>4.4507296614004535</v>
      </c>
      <c r="AU92" s="905">
        <v>4.488507635258923</v>
      </c>
      <c r="AV92" s="905">
        <v>4.5263772434383842</v>
      </c>
      <c r="AW92" s="905">
        <v>4.5643358099852485</v>
      </c>
      <c r="AX92" s="905">
        <v>4.6023806366195581</v>
      </c>
      <c r="AY92" s="905">
        <v>4.6405090035972538</v>
      </c>
      <c r="AZ92" s="905">
        <v>4.6787181705783958</v>
      </c>
      <c r="BA92" s="905">
        <v>4.7170053775097767</v>
      </c>
      <c r="BB92" s="905">
        <v>4.7553678455134367</v>
      </c>
      <c r="BC92" s="905">
        <v>4.7938027777855661</v>
      </c>
      <c r="BD92" s="905">
        <v>4.832307360504247</v>
      </c>
      <c r="BE92" s="905">
        <v>4.8708787637429243</v>
      </c>
      <c r="BF92" s="905">
        <v>4.9095141423920321</v>
      </c>
      <c r="BG92" s="905">
        <v>4.9482106370857881</v>
      </c>
      <c r="BH92" s="905">
        <v>4.9869653751357284</v>
      </c>
      <c r="BI92" s="905">
        <v>5.0257754714675418</v>
      </c>
      <c r="BJ92" s="905">
        <v>5.0646380295626194</v>
      </c>
      <c r="BK92" s="905">
        <v>5.1035501424033081</v>
      </c>
      <c r="BL92" s="905">
        <v>5.1425088934212777</v>
      </c>
      <c r="BM92" s="905">
        <v>5.181511357446082</v>
      </c>
      <c r="BN92" s="905">
        <v>5.2205546016581321</v>
      </c>
      <c r="BO92" s="905">
        <v>5.2596356865397489</v>
      </c>
      <c r="BP92" s="905">
        <v>5.2987516668278021</v>
      </c>
      <c r="BQ92" s="905">
        <v>5.3378995924656341</v>
      </c>
      <c r="BR92" s="905">
        <v>5.3770765095533992</v>
      </c>
      <c r="BS92" s="905">
        <v>5.4162794612968224</v>
      </c>
      <c r="BT92" s="905">
        <v>5.455505488953861</v>
      </c>
      <c r="BU92" s="905">
        <v>5.4947516327778523</v>
      </c>
      <c r="BV92" s="905">
        <v>5.5340149329568726</v>
      </c>
      <c r="BW92" s="905">
        <v>5.5732924305492695</v>
      </c>
      <c r="BX92" s="905">
        <v>5.6125811684141418</v>
      </c>
      <c r="BY92" s="905">
        <v>5.6518781921360732</v>
      </c>
      <c r="BZ92" s="905">
        <v>5.6911805509441855</v>
      </c>
      <c r="CA92" s="905">
        <v>5.7304852986240871</v>
      </c>
      <c r="CB92" s="905">
        <v>5.7697894944236117</v>
      </c>
      <c r="CC92" s="905">
        <v>5.8090902039491148</v>
      </c>
      <c r="CD92" s="905">
        <v>5.8483845000553814</v>
      </c>
      <c r="CE92" s="905">
        <v>5.8876694637257039</v>
      </c>
      <c r="CF92" s="905">
        <v>5.9269421849425328</v>
      </c>
      <c r="CG92" s="905">
        <v>5.9661997635492225</v>
      </c>
      <c r="CH92" s="905">
        <v>6.005439310100229</v>
      </c>
      <c r="CI92" s="905">
        <v>6.0446579467020189</v>
      </c>
      <c r="CJ92" s="905">
        <v>6.0838528078415344</v>
      </c>
      <c r="CK92" s="905">
        <v>6.1230210412041206</v>
      </c>
      <c r="CL92" s="905">
        <v>6.1621598084778411</v>
      </c>
      <c r="CM92" s="905">
        <v>6.2012662861473142</v>
      </c>
      <c r="CN92" s="905">
        <v>6.2403376662739234</v>
      </c>
      <c r="CO92" s="905">
        <v>6.2793711572613669</v>
      </c>
      <c r="CP92" s="905">
        <v>6.31836398460986</v>
      </c>
      <c r="CQ92" s="905">
        <v>6.3573133916549693</v>
      </c>
      <c r="CR92" s="905">
        <v>6.3962166402932041</v>
      </c>
      <c r="CS92" s="905">
        <v>6.4350710116921359</v>
      </c>
      <c r="CT92" s="905">
        <v>6.4738738069855231</v>
      </c>
      <c r="CU92" s="905">
        <v>6.5126223479544949</v>
      </c>
      <c r="CV92" s="905">
        <v>6.5513139776924856</v>
      </c>
      <c r="CW92" s="905">
        <v>6.5899460612544063</v>
      </c>
      <c r="CX92" s="905">
        <v>6.6285159862904202</v>
      </c>
      <c r="CY92" s="905">
        <v>6.6670211636631977</v>
      </c>
      <c r="CZ92" s="905">
        <v>6.7054590280491633</v>
      </c>
      <c r="DA92" s="905">
        <v>6.7438270385235395</v>
      </c>
      <c r="DB92" s="905">
        <v>6.7821226791279807</v>
      </c>
      <c r="DC92" s="905">
        <v>6.8203434594220376</v>
      </c>
      <c r="DD92" s="905">
        <v>6.8584869150175045</v>
      </c>
      <c r="DE92" s="905">
        <v>6.8965506080963754</v>
      </c>
      <c r="DF92" s="905">
        <v>6.9345321279100416</v>
      </c>
      <c r="DG92" s="905">
        <v>6.9724290912634697</v>
      </c>
      <c r="DH92" s="905">
        <v>7.0102391429800495</v>
      </c>
      <c r="DI92" s="905">
        <v>7.0479599563510096</v>
      </c>
      <c r="DJ92" s="905">
        <v>7.0855892335658739</v>
      </c>
      <c r="DK92" s="905">
        <v>7.1231247061261147</v>
      </c>
      <c r="DL92" s="905">
        <v>7.160564135242363</v>
      </c>
      <c r="DM92" s="905">
        <v>7.1979053122118337</v>
      </c>
      <c r="DN92" s="905">
        <v>7.2351460587816483</v>
      </c>
      <c r="DO92" s="905">
        <v>7.2722842274918058</v>
      </c>
      <c r="DP92" s="905">
        <v>7.3093177020025557</v>
      </c>
      <c r="DQ92" s="905">
        <v>7.3462443974042868</v>
      </c>
      <c r="DR92" s="905">
        <v>7.3830622605093801</v>
      </c>
      <c r="DS92" s="905">
        <v>7.419769270128743</v>
      </c>
      <c r="DT92" s="905">
        <v>7.4563634373292933</v>
      </c>
      <c r="DU92" s="905">
        <v>7.4928428056758705</v>
      </c>
    </row>
    <row r="93" spans="1:125" s="127" customFormat="1" ht="12.75">
      <c r="A93" s="908">
        <v>91</v>
      </c>
      <c r="B93" s="905"/>
      <c r="C93" s="905"/>
      <c r="D93" s="905"/>
      <c r="E93" s="905"/>
      <c r="F93" s="905"/>
      <c r="G93" s="905"/>
      <c r="H93" s="905"/>
      <c r="I93" s="905"/>
      <c r="J93" s="905"/>
      <c r="K93" s="905"/>
      <c r="L93" s="905"/>
      <c r="M93" s="905"/>
      <c r="N93" s="905"/>
      <c r="O93" s="905"/>
      <c r="P93" s="905"/>
      <c r="Q93" s="905"/>
      <c r="R93" s="905"/>
      <c r="S93" s="905"/>
      <c r="T93" s="905"/>
      <c r="U93" s="905"/>
      <c r="V93" s="905"/>
      <c r="W93" s="905"/>
      <c r="X93" s="905"/>
      <c r="Y93" s="905">
        <v>3.6504052959258289</v>
      </c>
      <c r="Z93" s="905">
        <v>3.6891304680907506</v>
      </c>
      <c r="AA93" s="905">
        <v>3.7036319196731244</v>
      </c>
      <c r="AB93" s="905">
        <v>3.6762391396982403</v>
      </c>
      <c r="AC93" s="905">
        <v>3.6488126037011686</v>
      </c>
      <c r="AD93" s="905">
        <v>3.6297994732327363</v>
      </c>
      <c r="AE93" s="905">
        <v>3.6009571768281035</v>
      </c>
      <c r="AF93" s="905">
        <v>3.6363773492150395</v>
      </c>
      <c r="AG93" s="905">
        <v>3.6625778772074211</v>
      </c>
      <c r="AH93" s="905">
        <v>3.6960914133386966</v>
      </c>
      <c r="AI93" s="905">
        <v>3.7297128960040702</v>
      </c>
      <c r="AJ93" s="905">
        <v>3.76343996873169</v>
      </c>
      <c r="AK93" s="905">
        <v>3.7972702471508795</v>
      </c>
      <c r="AL93" s="905">
        <v>3.8312013198495265</v>
      </c>
      <c r="AM93" s="905">
        <v>3.8652307492425502</v>
      </c>
      <c r="AN93" s="905">
        <v>3.899356072454105</v>
      </c>
      <c r="AO93" s="905">
        <v>3.933574802215535</v>
      </c>
      <c r="AP93" s="905">
        <v>3.9678844277726446</v>
      </c>
      <c r="AQ93" s="905">
        <v>4.0021380785409884</v>
      </c>
      <c r="AR93" s="905">
        <v>4.0364760850387515</v>
      </c>
      <c r="AS93" s="905">
        <v>4.0709177158771421</v>
      </c>
      <c r="AT93" s="905">
        <v>4.105485649929558</v>
      </c>
      <c r="AU93" s="905">
        <v>4.1401378666800452</v>
      </c>
      <c r="AV93" s="905">
        <v>4.1748719381714086</v>
      </c>
      <c r="AW93" s="905">
        <v>4.2096854164348487</v>
      </c>
      <c r="AX93" s="905">
        <v>4.2445758342625588</v>
      </c>
      <c r="AY93" s="905">
        <v>4.2795407059941262</v>
      </c>
      <c r="AZ93" s="905">
        <v>4.3145775283059287</v>
      </c>
      <c r="BA93" s="905">
        <v>4.3496837810135061</v>
      </c>
      <c r="BB93" s="905">
        <v>4.384856927877216</v>
      </c>
      <c r="BC93" s="905">
        <v>4.4200944174165659</v>
      </c>
      <c r="BD93" s="905">
        <v>4.4553936837316623</v>
      </c>
      <c r="BE93" s="905">
        <v>4.4907521473283047</v>
      </c>
      <c r="BF93" s="905">
        <v>4.5261672159497692</v>
      </c>
      <c r="BG93" s="905">
        <v>4.5616362854120078</v>
      </c>
      <c r="BH93" s="905">
        <v>4.5971567404442606</v>
      </c>
      <c r="BI93" s="905">
        <v>4.6327259555313507</v>
      </c>
      <c r="BJ93" s="905">
        <v>4.6683412957593955</v>
      </c>
      <c r="BK93" s="905">
        <v>4.7040001176641173</v>
      </c>
      <c r="BL93" s="905">
        <v>4.7396997700810513</v>
      </c>
      <c r="BM93" s="905">
        <v>4.7754375949947319</v>
      </c>
      <c r="BN93" s="905">
        <v>4.8112109283916737</v>
      </c>
      <c r="BO93" s="905">
        <v>4.8470171011102252</v>
      </c>
      <c r="BP93" s="905">
        <v>4.8828534396914147</v>
      </c>
      <c r="BQ93" s="905">
        <v>4.918717267228395</v>
      </c>
      <c r="BR93" s="905">
        <v>4.9546059042136283</v>
      </c>
      <c r="BS93" s="905">
        <v>4.9905166693840446</v>
      </c>
      <c r="BT93" s="905">
        <v>5.0264468805637286</v>
      </c>
      <c r="BU93" s="905">
        <v>5.0623938555027239</v>
      </c>
      <c r="BV93" s="905">
        <v>5.0983549127117875</v>
      </c>
      <c r="BW93" s="905">
        <v>5.1343273722932778</v>
      </c>
      <c r="BX93" s="905">
        <v>5.1703085567668623</v>
      </c>
      <c r="BY93" s="905">
        <v>5.2062957918895343</v>
      </c>
      <c r="BZ93" s="905">
        <v>5.2422864074700684</v>
      </c>
      <c r="CA93" s="905">
        <v>5.2782777381765689</v>
      </c>
      <c r="CB93" s="905">
        <v>5.3142671243381603</v>
      </c>
      <c r="CC93" s="905">
        <v>5.3502519127374413</v>
      </c>
      <c r="CD93" s="905">
        <v>5.3862294573972012</v>
      </c>
      <c r="CE93" s="905">
        <v>5.4221971203577128</v>
      </c>
      <c r="CF93" s="905">
        <v>5.4581522724452078</v>
      </c>
      <c r="CG93" s="905">
        <v>5.4940922940321846</v>
      </c>
      <c r="CH93" s="905">
        <v>5.5300145757868382</v>
      </c>
      <c r="CI93" s="905">
        <v>5.5659165194141362</v>
      </c>
      <c r="CJ93" s="905">
        <v>5.6017955383852351</v>
      </c>
      <c r="CK93" s="905">
        <v>5.6376490586574395</v>
      </c>
      <c r="CL93" s="905">
        <v>5.673474519381398</v>
      </c>
      <c r="CM93" s="905">
        <v>5.709269373599148</v>
      </c>
      <c r="CN93" s="905">
        <v>5.745031088929581</v>
      </c>
      <c r="CO93" s="905">
        <v>5.7807571482403457</v>
      </c>
      <c r="CP93" s="905">
        <v>5.8164450503098877</v>
      </c>
      <c r="CQ93" s="905">
        <v>5.8520923104753146</v>
      </c>
      <c r="CR93" s="905">
        <v>5.8876964612684954</v>
      </c>
      <c r="CS93" s="905">
        <v>5.9232550530380559</v>
      </c>
      <c r="CT93" s="905">
        <v>5.9587656545578298</v>
      </c>
      <c r="CU93" s="905">
        <v>5.9942258536230391</v>
      </c>
      <c r="CV93" s="905">
        <v>6.0296332576317129</v>
      </c>
      <c r="CW93" s="905">
        <v>6.0649854941519425</v>
      </c>
      <c r="CX93" s="905">
        <v>6.1002802114754875</v>
      </c>
      <c r="CY93" s="905">
        <v>6.1355150791564759</v>
      </c>
      <c r="CZ93" s="905">
        <v>6.1706877885358873</v>
      </c>
      <c r="DA93" s="905">
        <v>6.205796053251631</v>
      </c>
      <c r="DB93" s="905">
        <v>6.2408376097329299</v>
      </c>
      <c r="DC93" s="905">
        <v>6.2758102176804336</v>
      </c>
      <c r="DD93" s="905">
        <v>6.3107116605310551</v>
      </c>
      <c r="DE93" s="905">
        <v>6.3455397459083587</v>
      </c>
      <c r="DF93" s="905">
        <v>6.3802923060559511</v>
      </c>
      <c r="DG93" s="905">
        <v>6.4149671982579708</v>
      </c>
      <c r="DH93" s="905">
        <v>6.4495623052420399</v>
      </c>
      <c r="DI93" s="905">
        <v>6.4840755355688602</v>
      </c>
      <c r="DJ93" s="905">
        <v>6.5185048240047605</v>
      </c>
      <c r="DK93" s="905">
        <v>6.5528481318794336</v>
      </c>
      <c r="DL93" s="905">
        <v>6.5871034474293211</v>
      </c>
      <c r="DM93" s="905">
        <v>6.6212687861230526</v>
      </c>
      <c r="DN93" s="905">
        <v>6.6553421909750181</v>
      </c>
      <c r="DO93" s="905">
        <v>6.6893217328404244</v>
      </c>
      <c r="DP93" s="905">
        <v>6.7232055106968689</v>
      </c>
      <c r="DQ93" s="905">
        <v>6.7569916519104467</v>
      </c>
      <c r="DR93" s="905">
        <v>6.7906783124858006</v>
      </c>
      <c r="DS93" s="905">
        <v>6.8242636773029623</v>
      </c>
      <c r="DT93" s="905">
        <v>6.8577459603370592</v>
      </c>
      <c r="DU93" s="905">
        <v>6.8911234048645076</v>
      </c>
    </row>
    <row r="94" spans="1:125" s="127" customFormat="1" ht="12.75">
      <c r="A94" s="908">
        <v>92</v>
      </c>
      <c r="B94" s="905"/>
      <c r="C94" s="905"/>
      <c r="D94" s="905"/>
      <c r="E94" s="905"/>
      <c r="F94" s="905"/>
      <c r="G94" s="905"/>
      <c r="H94" s="905"/>
      <c r="I94" s="905"/>
      <c r="J94" s="905"/>
      <c r="K94" s="905"/>
      <c r="L94" s="905"/>
      <c r="M94" s="905"/>
      <c r="N94" s="905"/>
      <c r="O94" s="905"/>
      <c r="P94" s="905"/>
      <c r="Q94" s="905"/>
      <c r="R94" s="905"/>
      <c r="S94" s="905"/>
      <c r="T94" s="905"/>
      <c r="U94" s="905"/>
      <c r="V94" s="905"/>
      <c r="W94" s="905"/>
      <c r="X94" s="905"/>
      <c r="Y94" s="905">
        <v>3.3941819324336975</v>
      </c>
      <c r="Z94" s="905">
        <v>3.3933471345039168</v>
      </c>
      <c r="AA94" s="905">
        <v>3.4340499273452512</v>
      </c>
      <c r="AB94" s="905">
        <v>3.3827652666045731</v>
      </c>
      <c r="AC94" s="905">
        <v>3.3323869680014298</v>
      </c>
      <c r="AD94" s="905">
        <v>3.3055860738464329</v>
      </c>
      <c r="AE94" s="905">
        <v>3.3092928188455968</v>
      </c>
      <c r="AF94" s="905">
        <v>3.3519195171645411</v>
      </c>
      <c r="AG94" s="905">
        <v>3.3824385441692808</v>
      </c>
      <c r="AH94" s="905">
        <v>3.4130534212098684</v>
      </c>
      <c r="AI94" s="905">
        <v>3.4437620067356347</v>
      </c>
      <c r="AJ94" s="905">
        <v>3.4745621353247214</v>
      </c>
      <c r="AK94" s="905">
        <v>3.5054516184457274</v>
      </c>
      <c r="AL94" s="905">
        <v>3.5364282452413018</v>
      </c>
      <c r="AM94" s="905">
        <v>3.5674897833183521</v>
      </c>
      <c r="AN94" s="905">
        <v>3.5986339795483495</v>
      </c>
      <c r="AO94" s="905">
        <v>3.6298585608804936</v>
      </c>
      <c r="AP94" s="905">
        <v>3.6611612351602552</v>
      </c>
      <c r="AQ94" s="905">
        <v>3.6924161268027849</v>
      </c>
      <c r="AR94" s="905">
        <v>3.723761998078392</v>
      </c>
      <c r="AS94" s="905">
        <v>3.755224959475409</v>
      </c>
      <c r="AT94" s="905">
        <v>3.7867626045200877</v>
      </c>
      <c r="AU94" s="905">
        <v>3.8183727384744199</v>
      </c>
      <c r="AV94" s="905">
        <v>3.8500531494981143</v>
      </c>
      <c r="AW94" s="905">
        <v>3.8818016093371099</v>
      </c>
      <c r="AX94" s="905">
        <v>3.9136158740186433</v>
      </c>
      <c r="AY94" s="905">
        <v>3.9454936845586155</v>
      </c>
      <c r="AZ94" s="905">
        <v>3.9774327676687964</v>
      </c>
      <c r="BA94" s="905">
        <v>4.0094308364758504</v>
      </c>
      <c r="BB94" s="905">
        <v>4.0414855912408827</v>
      </c>
      <c r="BC94" s="905">
        <v>4.0735947200860538</v>
      </c>
      <c r="BD94" s="905">
        <v>4.1057558997266517</v>
      </c>
      <c r="BE94" s="905">
        <v>4.1379667962046884</v>
      </c>
      <c r="BF94" s="905">
        <v>4.170225065627811</v>
      </c>
      <c r="BG94" s="905">
        <v>4.2025283549098429</v>
      </c>
      <c r="BH94" s="905">
        <v>4.2348743025155073</v>
      </c>
      <c r="BI94" s="905">
        <v>4.2672605392051759</v>
      </c>
      <c r="BJ94" s="905">
        <v>4.2996846887817703</v>
      </c>
      <c r="BK94" s="905">
        <v>4.3321443688392094</v>
      </c>
      <c r="BL94" s="905">
        <v>4.3646371915115427</v>
      </c>
      <c r="BM94" s="905">
        <v>4.3971607642197981</v>
      </c>
      <c r="BN94" s="905">
        <v>4.4297126904221322</v>
      </c>
      <c r="BO94" s="905">
        <v>4.4622905703595483</v>
      </c>
      <c r="BP94" s="905">
        <v>4.494892001802075</v>
      </c>
      <c r="BQ94" s="905">
        <v>4.5275145807928432</v>
      </c>
      <c r="BR94" s="905">
        <v>4.5601559023892335</v>
      </c>
      <c r="BS94" s="905">
        <v>4.5928135614015275</v>
      </c>
      <c r="BT94" s="905">
        <v>4.6254851531287313</v>
      </c>
      <c r="BU94" s="905">
        <v>4.6581682740901353</v>
      </c>
      <c r="BV94" s="905">
        <v>4.6908605227525104</v>
      </c>
      <c r="BW94" s="905">
        <v>4.7235595002534332</v>
      </c>
      <c r="BX94" s="905">
        <v>4.7562628111192673</v>
      </c>
      <c r="BY94" s="905">
        <v>4.7889680639774532</v>
      </c>
      <c r="BZ94" s="905">
        <v>4.8216728722633935</v>
      </c>
      <c r="CA94" s="905">
        <v>4.8543748549205326</v>
      </c>
      <c r="CB94" s="905">
        <v>4.8870716370949605</v>
      </c>
      <c r="CC94" s="905">
        <v>4.9197608508208983</v>
      </c>
      <c r="CD94" s="905">
        <v>4.9524401357011092</v>
      </c>
      <c r="CE94" s="905">
        <v>4.9851071395782149</v>
      </c>
      <c r="CF94" s="905">
        <v>5.0177595191977957</v>
      </c>
      <c r="CG94" s="905">
        <v>5.050394940863999</v>
      </c>
      <c r="CH94" s="905">
        <v>5.0830110810848907</v>
      </c>
      <c r="CI94" s="905">
        <v>5.1156056272103534</v>
      </c>
      <c r="CJ94" s="905">
        <v>5.1481762780590667</v>
      </c>
      <c r="CK94" s="905">
        <v>5.1807207445370373</v>
      </c>
      <c r="CL94" s="905">
        <v>5.2132367502441772</v>
      </c>
      <c r="CM94" s="905">
        <v>5.2457220320730151</v>
      </c>
      <c r="CN94" s="905">
        <v>5.2781743407958075</v>
      </c>
      <c r="CO94" s="905">
        <v>5.3105914416391222</v>
      </c>
      <c r="CP94" s="905">
        <v>5.3429711148500161</v>
      </c>
      <c r="CQ94" s="905">
        <v>5.3753111562491309</v>
      </c>
      <c r="CR94" s="905">
        <v>5.4076093777735084</v>
      </c>
      <c r="CS94" s="905">
        <v>5.4398636080065366</v>
      </c>
      <c r="CT94" s="905">
        <v>5.472071692695784</v>
      </c>
      <c r="CU94" s="905">
        <v>5.5042314952601927</v>
      </c>
      <c r="CV94" s="905">
        <v>5.5363408972838837</v>
      </c>
      <c r="CW94" s="905">
        <v>5.5683977989974078</v>
      </c>
      <c r="CX94" s="905">
        <v>5.6004001197469693</v>
      </c>
      <c r="CY94" s="905">
        <v>5.6323457984503484</v>
      </c>
      <c r="CZ94" s="905">
        <v>5.6642327940403199</v>
      </c>
      <c r="DA94" s="905">
        <v>5.6960590858954205</v>
      </c>
      <c r="DB94" s="905">
        <v>5.7278226742566574</v>
      </c>
      <c r="DC94" s="905">
        <v>5.7595215806318176</v>
      </c>
      <c r="DD94" s="905">
        <v>5.7911538481862799</v>
      </c>
      <c r="DE94" s="905">
        <v>5.8227175421212536</v>
      </c>
      <c r="DF94" s="905">
        <v>5.8542107500367457</v>
      </c>
      <c r="DG94" s="905">
        <v>5.8856315822837004</v>
      </c>
      <c r="DH94" s="905">
        <v>5.9169781723003085</v>
      </c>
      <c r="DI94" s="905">
        <v>5.9482486769370517</v>
      </c>
      <c r="DJ94" s="905">
        <v>5.9794412767665008</v>
      </c>
      <c r="DK94" s="905">
        <v>6.0105541763802872</v>
      </c>
      <c r="DL94" s="905">
        <v>6.0415856046737737</v>
      </c>
      <c r="DM94" s="905">
        <v>6.0725338151145571</v>
      </c>
      <c r="DN94" s="905">
        <v>6.1033970860013298</v>
      </c>
      <c r="DO94" s="905">
        <v>6.1341737207059914</v>
      </c>
      <c r="DP94" s="905">
        <v>6.1648620479043963</v>
      </c>
      <c r="DQ94" s="905">
        <v>6.1954604217935989</v>
      </c>
      <c r="DR94" s="905">
        <v>6.2259672222949787</v>
      </c>
      <c r="DS94" s="905">
        <v>6.2563808552462996</v>
      </c>
      <c r="DT94" s="905">
        <v>6.2866997525784267</v>
      </c>
      <c r="DU94" s="905">
        <v>6.3169223724806693</v>
      </c>
    </row>
    <row r="95" spans="1:125" s="127" customFormat="1" ht="12.75">
      <c r="A95" s="908">
        <v>93</v>
      </c>
      <c r="B95" s="905"/>
      <c r="C95" s="905"/>
      <c r="D95" s="905"/>
      <c r="E95" s="905"/>
      <c r="F95" s="905"/>
      <c r="G95" s="905"/>
      <c r="H95" s="905"/>
      <c r="I95" s="905"/>
      <c r="J95" s="905"/>
      <c r="K95" s="905"/>
      <c r="L95" s="905"/>
      <c r="M95" s="905"/>
      <c r="N95" s="905"/>
      <c r="O95" s="905"/>
      <c r="P95" s="905"/>
      <c r="Q95" s="905"/>
      <c r="R95" s="905"/>
      <c r="S95" s="905"/>
      <c r="T95" s="905"/>
      <c r="U95" s="905"/>
      <c r="V95" s="905"/>
      <c r="W95" s="905"/>
      <c r="X95" s="905"/>
      <c r="Y95" s="905">
        <v>3.1197092199949288</v>
      </c>
      <c r="Z95" s="905">
        <v>3.1551149401264507</v>
      </c>
      <c r="AA95" s="905">
        <v>3.2027858975510672</v>
      </c>
      <c r="AB95" s="905">
        <v>3.1024510458305814</v>
      </c>
      <c r="AC95" s="905">
        <v>3.0400910976354032</v>
      </c>
      <c r="AD95" s="905">
        <v>3.0503443643586925</v>
      </c>
      <c r="AE95" s="905">
        <v>3.0710382851036035</v>
      </c>
      <c r="AF95" s="905">
        <v>3.0986877628648135</v>
      </c>
      <c r="AG95" s="905">
        <v>3.1264191833102162</v>
      </c>
      <c r="AH95" s="905">
        <v>3.1542306058630598</v>
      </c>
      <c r="AI95" s="905">
        <v>3.1821200704741619</v>
      </c>
      <c r="AJ95" s="905">
        <v>3.210085598308666</v>
      </c>
      <c r="AK95" s="905">
        <v>3.2381251924278631</v>
      </c>
      <c r="AL95" s="905">
        <v>3.266236838492266</v>
      </c>
      <c r="AM95" s="905">
        <v>3.2944185054669117</v>
      </c>
      <c r="AN95" s="905">
        <v>3.3226681463334051</v>
      </c>
      <c r="AO95" s="905">
        <v>3.3509836988124988</v>
      </c>
      <c r="AP95" s="905">
        <v>3.3793630860882296</v>
      </c>
      <c r="AQ95" s="905">
        <v>3.4077193416277316</v>
      </c>
      <c r="AR95" s="905">
        <v>3.4361820850210263</v>
      </c>
      <c r="AS95" s="905">
        <v>3.4647079442021478</v>
      </c>
      <c r="AT95" s="905">
        <v>3.4932949457746254</v>
      </c>
      <c r="AU95" s="905">
        <v>3.5219411025482659</v>
      </c>
      <c r="AV95" s="905">
        <v>3.55064441414995</v>
      </c>
      <c r="AW95" s="905">
        <v>3.5794028676333407</v>
      </c>
      <c r="AX95" s="905">
        <v>3.6082144380930927</v>
      </c>
      <c r="AY95" s="905">
        <v>3.6370770892903312</v>
      </c>
      <c r="AZ95" s="905">
        <v>3.6659887742746231</v>
      </c>
      <c r="BA95" s="905">
        <v>3.6949474360171375</v>
      </c>
      <c r="BB95" s="905">
        <v>3.7239510080414817</v>
      </c>
      <c r="BC95" s="905">
        <v>3.7529974150602547</v>
      </c>
      <c r="BD95" s="905">
        <v>3.7820845736156623</v>
      </c>
      <c r="BE95" s="905">
        <v>3.8112103927195347</v>
      </c>
      <c r="BF95" s="905">
        <v>3.8403727744975535</v>
      </c>
      <c r="BG95" s="905">
        <v>3.8695696148334013</v>
      </c>
      <c r="BH95" s="905">
        <v>3.8987988040160735</v>
      </c>
      <c r="BI95" s="905">
        <v>3.9280582273856273</v>
      </c>
      <c r="BJ95" s="905">
        <v>3.9573457659799511</v>
      </c>
      <c r="BK95" s="905">
        <v>3.9866592971822059</v>
      </c>
      <c r="BL95" s="905">
        <v>4.0159966953678197</v>
      </c>
      <c r="BM95" s="905">
        <v>4.0453558325479904</v>
      </c>
      <c r="BN95" s="905">
        <v>4.0747345790162193</v>
      </c>
      <c r="BO95" s="905">
        <v>4.1041308039890874</v>
      </c>
      <c r="BP95" s="905">
        <v>4.1335423762470844</v>
      </c>
      <c r="BQ95" s="905">
        <v>4.1629671647727697</v>
      </c>
      <c r="BR95" s="905">
        <v>4.1924030393853107</v>
      </c>
      <c r="BS95" s="905">
        <v>4.221847871372197</v>
      </c>
      <c r="BT95" s="905">
        <v>4.2512995341178055</v>
      </c>
      <c r="BU95" s="905">
        <v>4.280755903727389</v>
      </c>
      <c r="BV95" s="905">
        <v>4.310214859646373</v>
      </c>
      <c r="BW95" s="905">
        <v>4.3396742852759278</v>
      </c>
      <c r="BX95" s="905">
        <v>4.3691320685829522</v>
      </c>
      <c r="BY95" s="905">
        <v>4.3985861027044733</v>
      </c>
      <c r="BZ95" s="905">
        <v>4.4280342865467794</v>
      </c>
      <c r="CA95" s="905">
        <v>4.4574745253778723</v>
      </c>
      <c r="CB95" s="905">
        <v>4.4869047314148691</v>
      </c>
      <c r="CC95" s="905">
        <v>4.5163228244023248</v>
      </c>
      <c r="CD95" s="905">
        <v>4.5457267321862505</v>
      </c>
      <c r="CE95" s="905">
        <v>4.5751143912792767</v>
      </c>
      <c r="CF95" s="905">
        <v>4.6044837474182199</v>
      </c>
      <c r="CG95" s="905">
        <v>4.6338327561148196</v>
      </c>
      <c r="CH95" s="905">
        <v>4.6631593831967981</v>
      </c>
      <c r="CI95" s="905">
        <v>4.6924616053423804</v>
      </c>
      <c r="CJ95" s="905">
        <v>4.7217374106045611</v>
      </c>
      <c r="CK95" s="905">
        <v>4.7509847989279326</v>
      </c>
      <c r="CL95" s="905">
        <v>4.7802017826542791</v>
      </c>
      <c r="CM95" s="905">
        <v>4.8093863870216182</v>
      </c>
      <c r="CN95" s="905">
        <v>4.8385366506525465</v>
      </c>
      <c r="CO95" s="905">
        <v>4.8676506260309882</v>
      </c>
      <c r="CP95" s="905">
        <v>4.896726379972014</v>
      </c>
      <c r="CQ95" s="905">
        <v>4.9257619940795951</v>
      </c>
      <c r="CR95" s="905">
        <v>4.9547555651954838</v>
      </c>
      <c r="CS95" s="905">
        <v>4.9837052058364293</v>
      </c>
      <c r="CT95" s="905">
        <v>5.0126090446205929</v>
      </c>
      <c r="CU95" s="905">
        <v>5.041465226684954</v>
      </c>
      <c r="CV95" s="905">
        <v>5.070271914090605</v>
      </c>
      <c r="CW95" s="905">
        <v>5.0990272862170034</v>
      </c>
      <c r="CX95" s="905">
        <v>5.1277295401457987</v>
      </c>
      <c r="CY95" s="905">
        <v>5.1563768910328402</v>
      </c>
      <c r="CZ95" s="905">
        <v>5.184967572469354</v>
      </c>
      <c r="DA95" s="905">
        <v>5.213499836832133</v>
      </c>
      <c r="DB95" s="905">
        <v>5.2419719556212261</v>
      </c>
      <c r="DC95" s="905">
        <v>5.2703822197870238</v>
      </c>
      <c r="DD95" s="905">
        <v>5.2987289400455317</v>
      </c>
      <c r="DE95" s="905">
        <v>5.327010447182932</v>
      </c>
      <c r="DF95" s="905">
        <v>5.355225092346414</v>
      </c>
      <c r="DG95" s="905">
        <v>5.383371247326262</v>
      </c>
      <c r="DH95" s="905">
        <v>5.4114473048237048</v>
      </c>
      <c r="DI95" s="905">
        <v>5.4394516787095197</v>
      </c>
      <c r="DJ95" s="905">
        <v>5.4673828042691106</v>
      </c>
      <c r="DK95" s="905">
        <v>5.4952391384366601</v>
      </c>
      <c r="DL95" s="905">
        <v>5.5230191600189853</v>
      </c>
      <c r="DM95" s="905">
        <v>5.550721369904867</v>
      </c>
      <c r="DN95" s="905">
        <v>5.5783442912669736</v>
      </c>
      <c r="DO95" s="905">
        <v>5.605886469748647</v>
      </c>
      <c r="DP95" s="905">
        <v>5.6333464736414154</v>
      </c>
      <c r="DQ95" s="905">
        <v>5.6607228940508811</v>
      </c>
      <c r="DR95" s="905">
        <v>5.6880143450503553</v>
      </c>
      <c r="DS95" s="905">
        <v>5.7152194638255143</v>
      </c>
      <c r="DT95" s="905">
        <v>5.7423369108054221</v>
      </c>
      <c r="DU95" s="905">
        <v>5.7693653697842491</v>
      </c>
    </row>
    <row r="96" spans="1:125" s="127" customFormat="1" ht="12.75">
      <c r="A96" s="908">
        <v>94</v>
      </c>
      <c r="B96" s="905"/>
      <c r="C96" s="905"/>
      <c r="D96" s="905"/>
      <c r="E96" s="905"/>
      <c r="F96" s="905"/>
      <c r="G96" s="905"/>
      <c r="H96" s="905"/>
      <c r="I96" s="905"/>
      <c r="J96" s="905"/>
      <c r="K96" s="905"/>
      <c r="L96" s="905"/>
      <c r="M96" s="905"/>
      <c r="N96" s="905"/>
      <c r="O96" s="905"/>
      <c r="P96" s="905"/>
      <c r="Q96" s="905"/>
      <c r="R96" s="905"/>
      <c r="S96" s="905"/>
      <c r="T96" s="905"/>
      <c r="U96" s="905"/>
      <c r="V96" s="905"/>
      <c r="W96" s="905"/>
      <c r="X96" s="905"/>
      <c r="Y96" s="905">
        <v>2.8884210540272317</v>
      </c>
      <c r="Z96" s="905">
        <v>2.9378826428542899</v>
      </c>
      <c r="AA96" s="905">
        <v>2.9749618995378904</v>
      </c>
      <c r="AB96" s="905">
        <v>2.82798533164845</v>
      </c>
      <c r="AC96" s="905">
        <v>2.8022268943920667</v>
      </c>
      <c r="AD96" s="905">
        <v>2.8185682869205317</v>
      </c>
      <c r="AE96" s="905">
        <v>2.8434577565427235</v>
      </c>
      <c r="AF96" s="905">
        <v>2.8684137550773774</v>
      </c>
      <c r="AG96" s="905">
        <v>2.8934345366731691</v>
      </c>
      <c r="AH96" s="905">
        <v>2.9185183405027133</v>
      </c>
      <c r="AI96" s="905">
        <v>2.9436633913539358</v>
      </c>
      <c r="AJ96" s="905">
        <v>2.9688679002384282</v>
      </c>
      <c r="AK96" s="905">
        <v>2.9941300649874343</v>
      </c>
      <c r="AL96" s="905">
        <v>3.0194480708700562</v>
      </c>
      <c r="AM96" s="905">
        <v>3.0448200912093366</v>
      </c>
      <c r="AN96" s="905">
        <v>3.0702442880020957</v>
      </c>
      <c r="AO96" s="905">
        <v>3.0957188125477741</v>
      </c>
      <c r="AP96" s="905">
        <v>3.1212418060750995</v>
      </c>
      <c r="AQ96" s="905">
        <v>3.1467964168864304</v>
      </c>
      <c r="AR96" s="905">
        <v>3.1724009543793619</v>
      </c>
      <c r="AS96" s="905">
        <v>3.1980536598454856</v>
      </c>
      <c r="AT96" s="905">
        <v>3.2237527642571644</v>
      </c>
      <c r="AU96" s="905">
        <v>3.2494964887845912</v>
      </c>
      <c r="AV96" s="905">
        <v>3.2752830453297967</v>
      </c>
      <c r="AW96" s="905">
        <v>3.3011106370556513</v>
      </c>
      <c r="AX96" s="905">
        <v>3.3269774589177112</v>
      </c>
      <c r="AY96" s="905">
        <v>3.3528816982069367</v>
      </c>
      <c r="AZ96" s="905">
        <v>3.3788215350853412</v>
      </c>
      <c r="BA96" s="905">
        <v>3.4047951431329526</v>
      </c>
      <c r="BB96" s="905">
        <v>3.4308006898894821</v>
      </c>
      <c r="BC96" s="905">
        <v>3.4568363374007607</v>
      </c>
      <c r="BD96" s="905">
        <v>3.4829002427681943</v>
      </c>
      <c r="BE96" s="905">
        <v>3.5089905586955332</v>
      </c>
      <c r="BF96" s="905">
        <v>3.5351054340391217</v>
      </c>
      <c r="BG96" s="905">
        <v>3.5612430143564699</v>
      </c>
      <c r="BH96" s="905">
        <v>3.5874014424573071</v>
      </c>
      <c r="BI96" s="905">
        <v>3.6135788589515556</v>
      </c>
      <c r="BJ96" s="905">
        <v>3.6397734027973776</v>
      </c>
      <c r="BK96" s="905">
        <v>3.6659832118493174</v>
      </c>
      <c r="BL96" s="905">
        <v>3.6922064234049574</v>
      </c>
      <c r="BM96" s="905">
        <v>3.7184411747469444</v>
      </c>
      <c r="BN96" s="905">
        <v>3.7446856036881346</v>
      </c>
      <c r="BO96" s="905">
        <v>3.7709378491095853</v>
      </c>
      <c r="BP96" s="905">
        <v>3.797196051498438</v>
      </c>
      <c r="BQ96" s="905">
        <v>3.8234583534826672</v>
      </c>
      <c r="BR96" s="905">
        <v>3.8497229003616003</v>
      </c>
      <c r="BS96" s="905">
        <v>3.8759878406333952</v>
      </c>
      <c r="BT96" s="905">
        <v>3.9022513265191665</v>
      </c>
      <c r="BU96" s="905">
        <v>3.9285115144822793</v>
      </c>
      <c r="BV96" s="905">
        <v>3.9547665657426885</v>
      </c>
      <c r="BW96" s="905">
        <v>3.98101464678779</v>
      </c>
      <c r="BX96" s="905">
        <v>4.0072539298775034</v>
      </c>
      <c r="BY96" s="905">
        <v>4.0334825935438889</v>
      </c>
      <c r="BZ96" s="905">
        <v>4.0596988230857223</v>
      </c>
      <c r="CA96" s="905">
        <v>4.0859008110564963</v>
      </c>
      <c r="CB96" s="905">
        <v>4.1120867577479085</v>
      </c>
      <c r="CC96" s="905">
        <v>4.1382548716641949</v>
      </c>
      <c r="CD96" s="905">
        <v>4.164403369993078</v>
      </c>
      <c r="CE96" s="905">
        <v>4.1905304790680162</v>
      </c>
      <c r="CF96" s="905">
        <v>4.2166344348235016</v>
      </c>
      <c r="CG96" s="905">
        <v>4.2427134832441915</v>
      </c>
      <c r="CH96" s="905">
        <v>4.2687658808048852</v>
      </c>
      <c r="CI96" s="905">
        <v>4.2947898949049064</v>
      </c>
      <c r="CJ96" s="905">
        <v>4.3207838042928213</v>
      </c>
      <c r="CK96" s="905">
        <v>4.3467458994847448</v>
      </c>
      <c r="CL96" s="905">
        <v>4.3726744831720081</v>
      </c>
      <c r="CM96" s="905">
        <v>4.3985678706236424</v>
      </c>
      <c r="CN96" s="905">
        <v>4.4244243900789844</v>
      </c>
      <c r="CO96" s="905">
        <v>4.4502423831294848</v>
      </c>
      <c r="CP96" s="905">
        <v>4.4760202050951285</v>
      </c>
      <c r="CQ96" s="905">
        <v>4.5017562253896335</v>
      </c>
      <c r="CR96" s="905">
        <v>4.5274488278782181</v>
      </c>
      <c r="CS96" s="905">
        <v>4.5530964112247343</v>
      </c>
      <c r="CT96" s="905">
        <v>4.5786973892292728</v>
      </c>
      <c r="CU96" s="905">
        <v>4.6042501911583491</v>
      </c>
      <c r="CV96" s="905">
        <v>4.6297532620641295</v>
      </c>
      <c r="CW96" s="905">
        <v>4.65520506309403</v>
      </c>
      <c r="CX96" s="905">
        <v>4.6806040717914437</v>
      </c>
      <c r="CY96" s="905">
        <v>4.7059487823859971</v>
      </c>
      <c r="CZ96" s="905">
        <v>4.7312377060745785</v>
      </c>
      <c r="DA96" s="905">
        <v>4.7564693712929538</v>
      </c>
      <c r="DB96" s="905">
        <v>4.7816423239763104</v>
      </c>
      <c r="DC96" s="905">
        <v>4.8067551278109004</v>
      </c>
      <c r="DD96" s="905">
        <v>4.8318063644754838</v>
      </c>
      <c r="DE96" s="905">
        <v>4.8567946338737817</v>
      </c>
      <c r="DF96" s="905">
        <v>4.8817185543546362</v>
      </c>
      <c r="DG96" s="905">
        <v>4.9065767629254413</v>
      </c>
      <c r="DH96" s="905">
        <v>4.9313679154527552</v>
      </c>
      <c r="DI96" s="905">
        <v>4.9560906868556582</v>
      </c>
      <c r="DJ96" s="905">
        <v>4.9807437712871234</v>
      </c>
      <c r="DK96" s="905">
        <v>5.0053258823062921</v>
      </c>
      <c r="DL96" s="905">
        <v>5.0298357530423488</v>
      </c>
      <c r="DM96" s="905">
        <v>5.0542721363453582</v>
      </c>
      <c r="DN96" s="905">
        <v>5.0786338049319042</v>
      </c>
      <c r="DO96" s="905">
        <v>5.1029195515169974</v>
      </c>
      <c r="DP96" s="905">
        <v>5.1271281889387703</v>
      </c>
      <c r="DQ96" s="905">
        <v>5.1512585502732717</v>
      </c>
      <c r="DR96" s="905">
        <v>5.175309488938769</v>
      </c>
      <c r="DS96" s="905">
        <v>5.1992798787930878</v>
      </c>
      <c r="DT96" s="905">
        <v>5.2231686142188671</v>
      </c>
      <c r="DU96" s="905">
        <v>5.2469746102015229</v>
      </c>
    </row>
    <row r="97" spans="1:125" s="127" customFormat="1" ht="12.75">
      <c r="A97" s="908">
        <v>95</v>
      </c>
      <c r="B97" s="905"/>
      <c r="C97" s="905"/>
      <c r="D97" s="905"/>
      <c r="E97" s="905"/>
      <c r="F97" s="905"/>
      <c r="G97" s="905"/>
      <c r="H97" s="905"/>
      <c r="I97" s="905"/>
      <c r="J97" s="905"/>
      <c r="K97" s="905"/>
      <c r="L97" s="905"/>
      <c r="M97" s="905"/>
      <c r="N97" s="905"/>
      <c r="O97" s="905"/>
      <c r="P97" s="905"/>
      <c r="Q97" s="905"/>
      <c r="R97" s="905"/>
      <c r="S97" s="905"/>
      <c r="T97" s="905"/>
      <c r="U97" s="905"/>
      <c r="V97" s="905"/>
      <c r="W97" s="905"/>
      <c r="X97" s="905"/>
      <c r="Y97" s="905">
        <v>2.6779092665374531</v>
      </c>
      <c r="Z97" s="905">
        <v>2.7219780271569292</v>
      </c>
      <c r="AA97" s="905">
        <v>2.755181937013103</v>
      </c>
      <c r="AB97" s="905">
        <v>2.6236971263037399</v>
      </c>
      <c r="AC97" s="905">
        <v>2.600565963157853</v>
      </c>
      <c r="AD97" s="905">
        <v>2.6151718164402666</v>
      </c>
      <c r="AE97" s="905">
        <v>2.6374295024536356</v>
      </c>
      <c r="AF97" s="905">
        <v>2.6597357113046893</v>
      </c>
      <c r="AG97" s="905">
        <v>2.6820888828764722</v>
      </c>
      <c r="AH97" s="905">
        <v>2.7044874468271316</v>
      </c>
      <c r="AI97" s="905">
        <v>2.7269298231024424</v>
      </c>
      <c r="AJ97" s="905">
        <v>2.7494144224666419</v>
      </c>
      <c r="AK97" s="905">
        <v>2.7719396470117474</v>
      </c>
      <c r="AL97" s="905">
        <v>2.794503890692341</v>
      </c>
      <c r="AM97" s="905">
        <v>2.8171055398536069</v>
      </c>
      <c r="AN97" s="905">
        <v>2.8397429737604103</v>
      </c>
      <c r="AO97" s="905">
        <v>2.8624145651347579</v>
      </c>
      <c r="AP97" s="905">
        <v>2.8851186806872215</v>
      </c>
      <c r="AQ97" s="905">
        <v>2.9078651096631392</v>
      </c>
      <c r="AR97" s="905">
        <v>2.9306456142729669</v>
      </c>
      <c r="AS97" s="905">
        <v>2.9534586427564937</v>
      </c>
      <c r="AT97" s="905">
        <v>2.9763026368015777</v>
      </c>
      <c r="AU97" s="905">
        <v>2.9991760319852707</v>
      </c>
      <c r="AV97" s="905">
        <v>3.0220772582342921</v>
      </c>
      <c r="AW97" s="905">
        <v>3.0450047402759233</v>
      </c>
      <c r="AX97" s="905">
        <v>3.0679568980904968</v>
      </c>
      <c r="AY97" s="905">
        <v>3.0909321473751312</v>
      </c>
      <c r="AZ97" s="905">
        <v>3.1139288999963304</v>
      </c>
      <c r="BA97" s="905">
        <v>3.1369455644549742</v>
      </c>
      <c r="BB97" s="905">
        <v>3.1599805463427026</v>
      </c>
      <c r="BC97" s="905">
        <v>3.1830322488025486</v>
      </c>
      <c r="BD97" s="905">
        <v>3.2060990729919263</v>
      </c>
      <c r="BE97" s="905">
        <v>3.2291794185407374</v>
      </c>
      <c r="BF97" s="905">
        <v>3.2522716840126513</v>
      </c>
      <c r="BG97" s="905">
        <v>3.2753742673631372</v>
      </c>
      <c r="BH97" s="905">
        <v>3.2984855663996324</v>
      </c>
      <c r="BI97" s="905">
        <v>3.3216039792371257</v>
      </c>
      <c r="BJ97" s="905">
        <v>3.3447279047530314</v>
      </c>
      <c r="BK97" s="905">
        <v>3.3678557430418681</v>
      </c>
      <c r="BL97" s="905">
        <v>3.3909858958674484</v>
      </c>
      <c r="BM97" s="905">
        <v>3.4141167671093378</v>
      </c>
      <c r="BN97" s="905">
        <v>3.4372467632128929</v>
      </c>
      <c r="BO97" s="905">
        <v>3.4603742936306001</v>
      </c>
      <c r="BP97" s="905">
        <v>3.4834977712633766</v>
      </c>
      <c r="BQ97" s="905">
        <v>3.506615612898381</v>
      </c>
      <c r="BR97" s="905">
        <v>3.5297262396419917</v>
      </c>
      <c r="BS97" s="905">
        <v>3.5528280773496443</v>
      </c>
      <c r="BT97" s="905">
        <v>3.5759195570522033</v>
      </c>
      <c r="BU97" s="905">
        <v>3.5989991153772958</v>
      </c>
      <c r="BV97" s="905">
        <v>3.6220651949653906</v>
      </c>
      <c r="BW97" s="905">
        <v>3.6451162448828174</v>
      </c>
      <c r="BX97" s="905">
        <v>3.6681507210287569</v>
      </c>
      <c r="BY97" s="905">
        <v>3.6911670865369546</v>
      </c>
      <c r="BZ97" s="905">
        <v>3.7141638121726235</v>
      </c>
      <c r="CA97" s="905">
        <v>3.7371393767228955</v>
      </c>
      <c r="CB97" s="905">
        <v>3.7600922673833272</v>
      </c>
      <c r="CC97" s="905">
        <v>3.7830209801350794</v>
      </c>
      <c r="CD97" s="905">
        <v>3.8059240201197451</v>
      </c>
      <c r="CE97" s="905">
        <v>3.828799902005537</v>
      </c>
      <c r="CF97" s="905">
        <v>3.8516471503471479</v>
      </c>
      <c r="CG97" s="905">
        <v>3.8744642999401036</v>
      </c>
      <c r="CH97" s="905">
        <v>3.897249896166421</v>
      </c>
      <c r="CI97" s="905">
        <v>3.9200024953355959</v>
      </c>
      <c r="CJ97" s="905">
        <v>3.9427206650164481</v>
      </c>
      <c r="CK97" s="905">
        <v>3.9654029843635477</v>
      </c>
      <c r="CL97" s="905">
        <v>3.9880480444334561</v>
      </c>
      <c r="CM97" s="905">
        <v>4.0106544484972257</v>
      </c>
      <c r="CN97" s="905">
        <v>4.0332208123436741</v>
      </c>
      <c r="CO97" s="905">
        <v>4.055745764572551</v>
      </c>
      <c r="CP97" s="905">
        <v>4.0782279468838603</v>
      </c>
      <c r="CQ97" s="905">
        <v>4.1006660143566727</v>
      </c>
      <c r="CR97" s="905">
        <v>4.1230586357218773</v>
      </c>
      <c r="CS97" s="905">
        <v>4.1454044936252226</v>
      </c>
      <c r="CT97" s="905">
        <v>4.1677022848819556</v>
      </c>
      <c r="CU97" s="905">
        <v>4.1899507207256335</v>
      </c>
      <c r="CV97" s="905">
        <v>4.212148527046935</v>
      </c>
      <c r="CW97" s="905">
        <v>4.2342944446241741</v>
      </c>
      <c r="CX97" s="905">
        <v>4.2563872293463954</v>
      </c>
      <c r="CY97" s="905">
        <v>4.2784256524271909</v>
      </c>
      <c r="CZ97" s="905">
        <v>4.3004085006108168</v>
      </c>
      <c r="DA97" s="905">
        <v>4.3223345763703502</v>
      </c>
      <c r="DB97" s="905">
        <v>4.344202698096022</v>
      </c>
      <c r="DC97" s="905">
        <v>4.3660117002762755</v>
      </c>
      <c r="DD97" s="905">
        <v>4.387760433670099</v>
      </c>
      <c r="DE97" s="905">
        <v>4.4094477654719668</v>
      </c>
      <c r="DF97" s="905">
        <v>4.431072579465738</v>
      </c>
      <c r="DG97" s="905">
        <v>4.4526337761737924</v>
      </c>
      <c r="DH97" s="905">
        <v>4.474130272994552</v>
      </c>
      <c r="DI97" s="905">
        <v>4.4955610043346574</v>
      </c>
      <c r="DJ97" s="905">
        <v>4.5169249217305358</v>
      </c>
      <c r="DK97" s="905">
        <v>4.5382209939625309</v>
      </c>
      <c r="DL97" s="905">
        <v>4.5594482071624824</v>
      </c>
      <c r="DM97" s="905">
        <v>4.5806055649094919</v>
      </c>
      <c r="DN97" s="905">
        <v>4.6016920883226753</v>
      </c>
      <c r="DO97" s="905">
        <v>4.622706816141374</v>
      </c>
      <c r="DP97" s="905">
        <v>4.6436488048000815</v>
      </c>
      <c r="DQ97" s="905">
        <v>4.6645171284950955</v>
      </c>
      <c r="DR97" s="905">
        <v>4.6853108792422358</v>
      </c>
      <c r="DS97" s="905">
        <v>4.7060291669295493</v>
      </c>
      <c r="DT97" s="905">
        <v>4.7266711193592572</v>
      </c>
      <c r="DU97" s="905">
        <v>4.7472358822843379</v>
      </c>
    </row>
    <row r="98" spans="1:125" s="127" customFormat="1" ht="12.75">
      <c r="A98" s="908">
        <v>96</v>
      </c>
      <c r="B98" s="905"/>
      <c r="C98" s="905"/>
      <c r="D98" s="905"/>
      <c r="E98" s="905"/>
      <c r="F98" s="905"/>
      <c r="G98" s="905"/>
      <c r="H98" s="905"/>
      <c r="I98" s="905"/>
      <c r="J98" s="905"/>
      <c r="K98" s="905"/>
      <c r="L98" s="905"/>
      <c r="M98" s="905"/>
      <c r="N98" s="905"/>
      <c r="O98" s="905"/>
      <c r="P98" s="905"/>
      <c r="Q98" s="905"/>
      <c r="R98" s="905"/>
      <c r="S98" s="905"/>
      <c r="T98" s="905"/>
      <c r="U98" s="905"/>
      <c r="V98" s="905"/>
      <c r="W98" s="905"/>
      <c r="X98" s="905"/>
      <c r="Y98" s="905">
        <v>2.4898251637150786</v>
      </c>
      <c r="Z98" s="905">
        <v>2.5292967548880898</v>
      </c>
      <c r="AA98" s="905">
        <v>2.5591926707502504</v>
      </c>
      <c r="AB98" s="905">
        <v>2.4409375282238122</v>
      </c>
      <c r="AC98" s="905">
        <v>2.4200568573975376</v>
      </c>
      <c r="AD98" s="905">
        <v>2.4331790538587317</v>
      </c>
      <c r="AE98" s="905">
        <v>2.453187193008274</v>
      </c>
      <c r="AF98" s="905">
        <v>2.4732298876520957</v>
      </c>
      <c r="AG98" s="905">
        <v>2.4933057445454923</v>
      </c>
      <c r="AH98" s="905">
        <v>2.5134133637450589</v>
      </c>
      <c r="AI98" s="905">
        <v>2.5335513390508875</v>
      </c>
      <c r="AJ98" s="905">
        <v>2.5537182584713491</v>
      </c>
      <c r="AK98" s="905">
        <v>2.5739127046545258</v>
      </c>
      <c r="AL98" s="905">
        <v>2.5941332553520771</v>
      </c>
      <c r="AM98" s="905">
        <v>2.6143784838713762</v>
      </c>
      <c r="AN98" s="905">
        <v>2.634646959526501</v>
      </c>
      <c r="AO98" s="905">
        <v>2.6549372480984559</v>
      </c>
      <c r="AP98" s="905">
        <v>2.6752479122853803</v>
      </c>
      <c r="AQ98" s="905">
        <v>2.6956100098252413</v>
      </c>
      <c r="AR98" s="905">
        <v>2.7159940656766288</v>
      </c>
      <c r="AS98" s="905">
        <v>2.736398708353625</v>
      </c>
      <c r="AT98" s="905">
        <v>2.7568225625677636</v>
      </c>
      <c r="AU98" s="905">
        <v>2.7772642496032436</v>
      </c>
      <c r="AV98" s="905">
        <v>2.7977223877164414</v>
      </c>
      <c r="AW98" s="905">
        <v>2.8181955925203761</v>
      </c>
      <c r="AX98" s="905">
        <v>2.8386824773702934</v>
      </c>
      <c r="AY98" s="905">
        <v>2.859181653762211</v>
      </c>
      <c r="AZ98" s="905">
        <v>2.8796917317155968</v>
      </c>
      <c r="BA98" s="905">
        <v>2.9002113201711444</v>
      </c>
      <c r="BB98" s="905">
        <v>2.9207390273762188</v>
      </c>
      <c r="BC98" s="905">
        <v>2.9412734612748297</v>
      </c>
      <c r="BD98" s="905">
        <v>2.9618132299000162</v>
      </c>
      <c r="BE98" s="905">
        <v>2.9823569417591052</v>
      </c>
      <c r="BF98" s="905">
        <v>3.0029032062226193</v>
      </c>
      <c r="BG98" s="905">
        <v>3.0234506339085305</v>
      </c>
      <c r="BH98" s="905">
        <v>3.0439978370689555</v>
      </c>
      <c r="BI98" s="905">
        <v>3.0645434299708896</v>
      </c>
      <c r="BJ98" s="905">
        <v>3.0850860292757982</v>
      </c>
      <c r="BK98" s="905">
        <v>3.105624254419304</v>
      </c>
      <c r="BL98" s="905">
        <v>3.1261567279875573</v>
      </c>
      <c r="BM98" s="905">
        <v>3.1466820760868854</v>
      </c>
      <c r="BN98" s="905">
        <v>3.1671989287182192</v>
      </c>
      <c r="BO98" s="905">
        <v>3.1877059201411182</v>
      </c>
      <c r="BP98" s="905">
        <v>3.2082016892382796</v>
      </c>
      <c r="BQ98" s="905">
        <v>3.2286848798764822</v>
      </c>
      <c r="BR98" s="905">
        <v>3.2491541412621752</v>
      </c>
      <c r="BS98" s="905">
        <v>3.2696081282941125</v>
      </c>
      <c r="BT98" s="905">
        <v>3.290045501912624</v>
      </c>
      <c r="BU98" s="905">
        <v>3.3104649294437856</v>
      </c>
      <c r="BV98" s="905">
        <v>3.3308650849380932</v>
      </c>
      <c r="BW98" s="905">
        <v>3.3512446495068278</v>
      </c>
      <c r="BX98" s="905">
        <v>3.3716023116521177</v>
      </c>
      <c r="BY98" s="905">
        <v>3.3919367675920444</v>
      </c>
      <c r="BZ98" s="905">
        <v>3.4122467215813046</v>
      </c>
      <c r="CA98" s="905">
        <v>3.4325308862255381</v>
      </c>
      <c r="CB98" s="905">
        <v>3.4527879827924703</v>
      </c>
      <c r="CC98" s="905">
        <v>3.473016741513375</v>
      </c>
      <c r="CD98" s="905">
        <v>3.4932159018835072</v>
      </c>
      <c r="CE98" s="905">
        <v>3.5133842129537829</v>
      </c>
      <c r="CF98" s="905">
        <v>3.5335204336168151</v>
      </c>
      <c r="CG98" s="905">
        <v>3.5536233328881046</v>
      </c>
      <c r="CH98" s="905">
        <v>3.5736916901788827</v>
      </c>
      <c r="CI98" s="905">
        <v>3.5937242955652806</v>
      </c>
      <c r="CJ98" s="905">
        <v>3.613719950048714</v>
      </c>
      <c r="CK98" s="905">
        <v>3.6336774658118465</v>
      </c>
      <c r="CL98" s="905">
        <v>3.6535956664646001</v>
      </c>
      <c r="CM98" s="905">
        <v>3.6734733872879555</v>
      </c>
      <c r="CN98" s="905">
        <v>3.6933094754689906</v>
      </c>
      <c r="CO98" s="905">
        <v>3.7131027903262215</v>
      </c>
      <c r="CP98" s="905">
        <v>3.7328522035327514</v>
      </c>
      <c r="CQ98" s="905">
        <v>3.7525565993292807</v>
      </c>
      <c r="CR98" s="905">
        <v>3.7722148747324207</v>
      </c>
      <c r="CS98" s="905">
        <v>3.7918259397339109</v>
      </c>
      <c r="CT98" s="905">
        <v>3.8113887174923828</v>
      </c>
      <c r="CU98" s="905">
        <v>3.830902144520818</v>
      </c>
      <c r="CV98" s="905">
        <v>3.8503651708646478</v>
      </c>
      <c r="CW98" s="905">
        <v>3.8697767602726811</v>
      </c>
      <c r="CX98" s="905">
        <v>3.8891358903618789</v>
      </c>
      <c r="CY98" s="905">
        <v>3.9084415527737759</v>
      </c>
      <c r="CZ98" s="905">
        <v>3.9276927533244868</v>
      </c>
      <c r="DA98" s="905">
        <v>3.9468885121479973</v>
      </c>
      <c r="DB98" s="905">
        <v>3.9660278638305435</v>
      </c>
      <c r="DC98" s="905">
        <v>3.9851098575391211</v>
      </c>
      <c r="DD98" s="905">
        <v>4.0041335571424455</v>
      </c>
      <c r="DE98" s="905">
        <v>4.0230980413259019</v>
      </c>
      <c r="DF98" s="905">
        <v>4.0420024036962596</v>
      </c>
      <c r="DG98" s="905">
        <v>4.0608457528834752</v>
      </c>
      <c r="DH98" s="905">
        <v>4.0796272126316246</v>
      </c>
      <c r="DI98" s="905">
        <v>4.0983459218862235</v>
      </c>
      <c r="DJ98" s="905">
        <v>4.1170010348718868</v>
      </c>
      <c r="DK98" s="905">
        <v>4.1355917211639426</v>
      </c>
      <c r="DL98" s="905">
        <v>4.1541171657550606</v>
      </c>
      <c r="DM98" s="905">
        <v>4.1725765691108201</v>
      </c>
      <c r="DN98" s="905">
        <v>4.190969147224326</v>
      </c>
      <c r="DO98" s="905">
        <v>4.2092941316589254</v>
      </c>
      <c r="DP98" s="905">
        <v>4.2275507695873706</v>
      </c>
      <c r="DQ98" s="905">
        <v>4.245738323823927</v>
      </c>
      <c r="DR98" s="905">
        <v>4.2638560728487356</v>
      </c>
      <c r="DS98" s="905">
        <v>4.2819033108288673</v>
      </c>
      <c r="DT98" s="905">
        <v>4.2998793476294459</v>
      </c>
      <c r="DU98" s="905">
        <v>4.3177835088210941</v>
      </c>
    </row>
    <row r="99" spans="1:125" s="127" customFormat="1" ht="12.75">
      <c r="A99" s="908">
        <v>97</v>
      </c>
      <c r="B99" s="905"/>
      <c r="C99" s="905"/>
      <c r="D99" s="905"/>
      <c r="E99" s="905"/>
      <c r="F99" s="905"/>
      <c r="G99" s="905"/>
      <c r="H99" s="905"/>
      <c r="I99" s="905"/>
      <c r="J99" s="905"/>
      <c r="K99" s="905"/>
      <c r="L99" s="905"/>
      <c r="M99" s="905"/>
      <c r="N99" s="905"/>
      <c r="O99" s="905"/>
      <c r="P99" s="905"/>
      <c r="Q99" s="905"/>
      <c r="R99" s="905"/>
      <c r="S99" s="905"/>
      <c r="T99" s="905"/>
      <c r="U99" s="905"/>
      <c r="V99" s="905"/>
      <c r="W99" s="905"/>
      <c r="X99" s="905"/>
      <c r="Y99" s="905">
        <v>2.3222904945418872</v>
      </c>
      <c r="Z99" s="905">
        <v>2.3578467149048197</v>
      </c>
      <c r="AA99" s="905">
        <v>2.3849199688296467</v>
      </c>
      <c r="AB99" s="905">
        <v>2.2779554551812486</v>
      </c>
      <c r="AC99" s="905">
        <v>2.2590011932340124</v>
      </c>
      <c r="AD99" s="905">
        <v>2.270856354267746</v>
      </c>
      <c r="AE99" s="905">
        <v>2.2889434243610829</v>
      </c>
      <c r="AF99" s="905">
        <v>2.3070542254326361</v>
      </c>
      <c r="AG99" s="905">
        <v>2.3251875113771971</v>
      </c>
      <c r="AH99" s="905">
        <v>2.3433420319881515</v>
      </c>
      <c r="AI99" s="905">
        <v>2.3615165333384263</v>
      </c>
      <c r="AJ99" s="905">
        <v>2.3797097581923508</v>
      </c>
      <c r="AK99" s="905">
        <v>2.3979204463671819</v>
      </c>
      <c r="AL99" s="905">
        <v>2.4161473351393576</v>
      </c>
      <c r="AM99" s="905">
        <v>2.4343891596327554</v>
      </c>
      <c r="AN99" s="905">
        <v>2.4526446532037216</v>
      </c>
      <c r="AO99" s="905">
        <v>2.4709125478379002</v>
      </c>
      <c r="AP99" s="905">
        <v>2.4891915745322226</v>
      </c>
      <c r="AQ99" s="905">
        <v>2.5075295875673111</v>
      </c>
      <c r="AR99" s="905">
        <v>2.5258803012770579</v>
      </c>
      <c r="AS99" s="905">
        <v>2.5442424992873449</v>
      </c>
      <c r="AT99" s="905">
        <v>2.5626149634168254</v>
      </c>
      <c r="AU99" s="905">
        <v>2.5809964739952607</v>
      </c>
      <c r="AV99" s="905">
        <v>2.5993858102146747</v>
      </c>
      <c r="AW99" s="905">
        <v>2.6177817504580343</v>
      </c>
      <c r="AX99" s="905">
        <v>2.636183072629354</v>
      </c>
      <c r="AY99" s="905">
        <v>2.6545885545000925</v>
      </c>
      <c r="AZ99" s="905">
        <v>2.6729969740334609</v>
      </c>
      <c r="BA99" s="905">
        <v>2.6914071097286323</v>
      </c>
      <c r="BB99" s="905">
        <v>2.7098177409478148</v>
      </c>
      <c r="BC99" s="905">
        <v>2.7282276482489731</v>
      </c>
      <c r="BD99" s="905">
        <v>2.7466356137216907</v>
      </c>
      <c r="BE99" s="905">
        <v>2.765040421313234</v>
      </c>
      <c r="BF99" s="905">
        <v>2.7834408571595324</v>
      </c>
      <c r="BG99" s="905">
        <v>2.8018357099099935</v>
      </c>
      <c r="BH99" s="905">
        <v>2.8202237710557077</v>
      </c>
      <c r="BI99" s="905">
        <v>2.8386038352501712</v>
      </c>
      <c r="BJ99" s="905">
        <v>2.8569747006286335</v>
      </c>
      <c r="BK99" s="905">
        <v>2.8753351691284177</v>
      </c>
      <c r="BL99" s="905">
        <v>2.8936840468050127</v>
      </c>
      <c r="BM99" s="905">
        <v>2.9120201441404081</v>
      </c>
      <c r="BN99" s="905">
        <v>2.9303422763581839</v>
      </c>
      <c r="BO99" s="905">
        <v>2.948649263726006</v>
      </c>
      <c r="BP99" s="905">
        <v>2.9669399318596006</v>
      </c>
      <c r="BQ99" s="905">
        <v>2.9852131120232168</v>
      </c>
      <c r="BR99" s="905">
        <v>3.0034676414241499</v>
      </c>
      <c r="BS99" s="905">
        <v>3.0217023635047089</v>
      </c>
      <c r="BT99" s="905">
        <v>3.0399161282310363</v>
      </c>
      <c r="BU99" s="905">
        <v>3.0581077923768065</v>
      </c>
      <c r="BV99" s="905">
        <v>3.0762762198010982</v>
      </c>
      <c r="BW99" s="905">
        <v>3.0944202817250357</v>
      </c>
      <c r="BX99" s="905">
        <v>3.1125388570016765</v>
      </c>
      <c r="BY99" s="905">
        <v>3.1306308323813568</v>
      </c>
      <c r="BZ99" s="905">
        <v>3.1486951027729875</v>
      </c>
      <c r="CA99" s="905">
        <v>3.1667305714990768</v>
      </c>
      <c r="CB99" s="905">
        <v>3.1847361505484799</v>
      </c>
      <c r="CC99" s="905">
        <v>3.202710760818773</v>
      </c>
      <c r="CD99" s="905">
        <v>3.2206533323592765</v>
      </c>
      <c r="CE99" s="905">
        <v>3.2385628046048969</v>
      </c>
      <c r="CF99" s="905">
        <v>3.2564381266050533</v>
      </c>
      <c r="CG99" s="905">
        <v>3.2742782572483651</v>
      </c>
      <c r="CH99" s="905">
        <v>3.2920821654791954</v>
      </c>
      <c r="CI99" s="905">
        <v>3.3098488305115632</v>
      </c>
      <c r="CJ99" s="905">
        <v>3.3275772420343994</v>
      </c>
      <c r="CK99" s="905">
        <v>3.3452664004134109</v>
      </c>
      <c r="CL99" s="905">
        <v>3.3629153168828885</v>
      </c>
      <c r="CM99" s="905">
        <v>3.380523013737033</v>
      </c>
      <c r="CN99" s="905">
        <v>3.3980885245126853</v>
      </c>
      <c r="CO99" s="905">
        <v>3.4156108941624885</v>
      </c>
      <c r="CP99" s="905">
        <v>3.4330891792276335</v>
      </c>
      <c r="CQ99" s="905">
        <v>3.4505224480005054</v>
      </c>
      <c r="CR99" s="905">
        <v>3.4679097806839749</v>
      </c>
      <c r="CS99" s="905">
        <v>3.4852502695419005</v>
      </c>
      <c r="CT99" s="905">
        <v>3.502543019042947</v>
      </c>
      <c r="CU99" s="905">
        <v>3.5197871460015993</v>
      </c>
      <c r="CV99" s="905">
        <v>3.5369817797101399</v>
      </c>
      <c r="CW99" s="905">
        <v>3.5541260620643822</v>
      </c>
      <c r="CX99" s="905">
        <v>3.5712191476843822</v>
      </c>
      <c r="CY99" s="905">
        <v>3.5882602040274287</v>
      </c>
      <c r="CZ99" s="905">
        <v>3.6052484114957606</v>
      </c>
      <c r="DA99" s="905">
        <v>3.6221829635386107</v>
      </c>
      <c r="DB99" s="905">
        <v>3.6390630667459192</v>
      </c>
      <c r="DC99" s="905">
        <v>3.6558879409374301</v>
      </c>
      <c r="DD99" s="905">
        <v>3.6726568192451765</v>
      </c>
      <c r="DE99" s="905">
        <v>3.6893689481911345</v>
      </c>
      <c r="DF99" s="905">
        <v>3.7060235877550527</v>
      </c>
      <c r="DG99" s="905">
        <v>3.7226200114411867</v>
      </c>
      <c r="DH99" s="905">
        <v>3.7391575063344726</v>
      </c>
      <c r="DI99" s="905">
        <v>3.7556353731547096</v>
      </c>
      <c r="DJ99" s="905">
        <v>3.772052926301674</v>
      </c>
      <c r="DK99" s="905">
        <v>3.7884094938953234</v>
      </c>
      <c r="DL99" s="905">
        <v>3.8047044178124478</v>
      </c>
      <c r="DM99" s="905">
        <v>3.820937053712492</v>
      </c>
      <c r="DN99" s="905">
        <v>3.8371067710645486</v>
      </c>
      <c r="DO99" s="905">
        <v>3.8532129531625352</v>
      </c>
      <c r="DP99" s="905">
        <v>3.8692549971384276</v>
      </c>
      <c r="DQ99" s="905">
        <v>3.8852323139693716</v>
      </c>
      <c r="DR99" s="905">
        <v>3.9011443284778871</v>
      </c>
      <c r="DS99" s="905">
        <v>3.9169904793303401</v>
      </c>
      <c r="DT99" s="905">
        <v>3.932770219025862</v>
      </c>
      <c r="DU99" s="905">
        <v>3.948483013883112</v>
      </c>
    </row>
    <row r="100" spans="1:125" s="127" customFormat="1" ht="12.75">
      <c r="A100" s="908">
        <v>98</v>
      </c>
      <c r="B100" s="905"/>
      <c r="C100" s="905"/>
      <c r="D100" s="905"/>
      <c r="E100" s="905"/>
      <c r="F100" s="905"/>
      <c r="G100" s="905"/>
      <c r="H100" s="905"/>
      <c r="I100" s="905"/>
      <c r="J100" s="905"/>
      <c r="K100" s="905"/>
      <c r="L100" s="905"/>
      <c r="M100" s="905"/>
      <c r="N100" s="905"/>
      <c r="O100" s="905"/>
      <c r="P100" s="905"/>
      <c r="Q100" s="905"/>
      <c r="R100" s="905"/>
      <c r="S100" s="905"/>
      <c r="T100" s="905"/>
      <c r="U100" s="905"/>
      <c r="V100" s="905"/>
      <c r="W100" s="905"/>
      <c r="X100" s="905"/>
      <c r="Y100" s="905">
        <v>2.1734923954640197</v>
      </c>
      <c r="Z100" s="905">
        <v>2.2057156618285712</v>
      </c>
      <c r="AA100" s="905">
        <v>2.2303804283276341</v>
      </c>
      <c r="AB100" s="905">
        <v>2.1330489713627516</v>
      </c>
      <c r="AC100" s="905">
        <v>2.115743125454594</v>
      </c>
      <c r="AD100" s="905">
        <v>2.1265169480792938</v>
      </c>
      <c r="AE100" s="905">
        <v>2.1429643600692043</v>
      </c>
      <c r="AF100" s="905">
        <v>2.1594271087924488</v>
      </c>
      <c r="AG100" s="905">
        <v>2.1759040758924675</v>
      </c>
      <c r="AH100" s="905">
        <v>2.1923941408120999</v>
      </c>
      <c r="AI100" s="905">
        <v>2.2088961811218857</v>
      </c>
      <c r="AJ100" s="905">
        <v>2.2254090728938873</v>
      </c>
      <c r="AK100" s="905">
        <v>2.2419316909989182</v>
      </c>
      <c r="AL100" s="905">
        <v>2.2584629094691597</v>
      </c>
      <c r="AM100" s="905">
        <v>2.2750016018338561</v>
      </c>
      <c r="AN100" s="905">
        <v>2.2915466414493189</v>
      </c>
      <c r="AO100" s="905">
        <v>2.3080969018456359</v>
      </c>
      <c r="AP100" s="905">
        <v>2.3246512570518214</v>
      </c>
      <c r="AQ100" s="905">
        <v>2.3412706698911281</v>
      </c>
      <c r="AR100" s="905">
        <v>2.3578957003582759</v>
      </c>
      <c r="AS100" s="905">
        <v>2.374525264125956</v>
      </c>
      <c r="AT100" s="905">
        <v>2.3911582765049717</v>
      </c>
      <c r="AU100" s="905">
        <v>2.4077936527130017</v>
      </c>
      <c r="AV100" s="905">
        <v>2.4244303081901073</v>
      </c>
      <c r="AW100" s="905">
        <v>2.4410671588807702</v>
      </c>
      <c r="AX100" s="905">
        <v>2.4577031215186427</v>
      </c>
      <c r="AY100" s="905">
        <v>2.4743371139331041</v>
      </c>
      <c r="AZ100" s="905">
        <v>2.4909680553248048</v>
      </c>
      <c r="BA100" s="905">
        <v>2.5075948665689562</v>
      </c>
      <c r="BB100" s="905">
        <v>2.5242164704946379</v>
      </c>
      <c r="BC100" s="905">
        <v>2.540831792171879</v>
      </c>
      <c r="BD100" s="905">
        <v>2.5574397592034526</v>
      </c>
      <c r="BE100" s="905">
        <v>2.5740393020031647</v>
      </c>
      <c r="BF100" s="905">
        <v>2.5906293540813774</v>
      </c>
      <c r="BG100" s="905">
        <v>2.6072088523223838</v>
      </c>
      <c r="BH100" s="905">
        <v>2.6237767372669119</v>
      </c>
      <c r="BI100" s="905">
        <v>2.6403319533851519</v>
      </c>
      <c r="BJ100" s="905">
        <v>2.6568734493482671</v>
      </c>
      <c r="BK100" s="905">
        <v>2.6734001783024581</v>
      </c>
      <c r="BL100" s="905">
        <v>2.6899110981375749</v>
      </c>
      <c r="BM100" s="905">
        <v>2.706405171746618</v>
      </c>
      <c r="BN100" s="905">
        <v>2.7228813672950603</v>
      </c>
      <c r="BO100" s="905">
        <v>2.7393386584744341</v>
      </c>
      <c r="BP100" s="905">
        <v>2.7557760247589336</v>
      </c>
      <c r="BQ100" s="905">
        <v>2.7721924516586669</v>
      </c>
      <c r="BR100" s="905">
        <v>2.7885869309661109</v>
      </c>
      <c r="BS100" s="905">
        <v>2.8049584610006066</v>
      </c>
      <c r="BT100" s="905">
        <v>2.8213060468500091</v>
      </c>
      <c r="BU100" s="905">
        <v>2.8376287006071359</v>
      </c>
      <c r="BV100" s="905">
        <v>2.8539254415998285</v>
      </c>
      <c r="BW100" s="905">
        <v>2.8701952966212789</v>
      </c>
      <c r="BX100" s="905">
        <v>2.8864373001528145</v>
      </c>
      <c r="BY100" s="905">
        <v>2.9026504945826064</v>
      </c>
      <c r="BZ100" s="905">
        <v>2.9188339304207505</v>
      </c>
      <c r="CA100" s="905">
        <v>2.9349866665079611</v>
      </c>
      <c r="CB100" s="905">
        <v>2.951107770223123</v>
      </c>
      <c r="CC100" s="905">
        <v>2.9671963176792255</v>
      </c>
      <c r="CD100" s="905">
        <v>2.9832513939221306</v>
      </c>
      <c r="CE100" s="905">
        <v>2.9992720931192718</v>
      </c>
      <c r="CF100" s="905">
        <v>3.0152575187442006</v>
      </c>
      <c r="CG100" s="905">
        <v>3.0312067837574661</v>
      </c>
      <c r="CH100" s="905">
        <v>3.0471190107793102</v>
      </c>
      <c r="CI100" s="905">
        <v>3.0629933322608913</v>
      </c>
      <c r="CJ100" s="905">
        <v>3.0788288906466832</v>
      </c>
      <c r="CK100" s="905">
        <v>3.094624838534564</v>
      </c>
      <c r="CL100" s="905">
        <v>3.1103803388253182</v>
      </c>
      <c r="CM100" s="905">
        <v>3.1260945648737239</v>
      </c>
      <c r="CN100" s="905">
        <v>3.1417667006308436</v>
      </c>
      <c r="CO100" s="905">
        <v>3.1573959407764933</v>
      </c>
      <c r="CP100" s="905">
        <v>3.1729814908533891</v>
      </c>
      <c r="CQ100" s="905">
        <v>3.1885225673907636</v>
      </c>
      <c r="CR100" s="905">
        <v>3.2040183980260561</v>
      </c>
      <c r="CS100" s="905">
        <v>3.2194682216177792</v>
      </c>
      <c r="CT100" s="905">
        <v>3.2348712883522523</v>
      </c>
      <c r="CU100" s="905">
        <v>3.2502268598491826</v>
      </c>
      <c r="CV100" s="905">
        <v>3.2655342092581066</v>
      </c>
      <c r="CW100" s="905">
        <v>3.2807926213493745</v>
      </c>
      <c r="CX100" s="905">
        <v>3.2960013926011777</v>
      </c>
      <c r="CY100" s="905">
        <v>3.3111598312791681</v>
      </c>
      <c r="CZ100" s="905">
        <v>3.326267257511871</v>
      </c>
      <c r="DA100" s="905">
        <v>3.3413230033613095</v>
      </c>
      <c r="DB100" s="905">
        <v>3.3563264128855379</v>
      </c>
      <c r="DC100" s="905">
        <v>3.371276842197747</v>
      </c>
      <c r="DD100" s="905">
        <v>3.3861736595194669</v>
      </c>
      <c r="DE100" s="905">
        <v>3.401016245230009</v>
      </c>
      <c r="DF100" s="905">
        <v>3.4158039919060501</v>
      </c>
      <c r="DG100" s="905">
        <v>3.4305363043620698</v>
      </c>
      <c r="DH100" s="905">
        <v>3.4452125996800245</v>
      </c>
      <c r="DI100" s="905">
        <v>3.4598323072387265</v>
      </c>
      <c r="DJ100" s="905">
        <v>3.4743948687343265</v>
      </c>
      <c r="DK100" s="905">
        <v>3.4888997381968672</v>
      </c>
      <c r="DL100" s="905">
        <v>3.5033463820046586</v>
      </c>
      <c r="DM100" s="905">
        <v>3.5177342788875441</v>
      </c>
      <c r="DN100" s="905">
        <v>3.5320629199336313</v>
      </c>
      <c r="DO100" s="905">
        <v>3.5463318085837394</v>
      </c>
      <c r="DP100" s="905">
        <v>3.5605404606254956</v>
      </c>
      <c r="DQ100" s="905">
        <v>3.574688404181992</v>
      </c>
      <c r="DR100" s="905">
        <v>3.5887751796940668</v>
      </c>
      <c r="DS100" s="905">
        <v>3.6028003399024384</v>
      </c>
      <c r="DT100" s="905">
        <v>3.6167634498201782</v>
      </c>
      <c r="DU100" s="905">
        <v>3.6306640867045195</v>
      </c>
    </row>
    <row r="101" spans="1:125" s="127" customFormat="1" ht="12.75">
      <c r="A101" s="908">
        <v>99</v>
      </c>
      <c r="B101" s="905"/>
      <c r="C101" s="905"/>
      <c r="D101" s="905"/>
      <c r="E101" s="905"/>
      <c r="F101" s="905"/>
      <c r="G101" s="905"/>
      <c r="H101" s="905"/>
      <c r="I101" s="905"/>
      <c r="J101" s="905"/>
      <c r="K101" s="905"/>
      <c r="L101" s="905"/>
      <c r="M101" s="905"/>
      <c r="N101" s="905"/>
      <c r="O101" s="905"/>
      <c r="P101" s="905"/>
      <c r="Q101" s="905"/>
      <c r="R101" s="905"/>
      <c r="S101" s="905"/>
      <c r="T101" s="905"/>
      <c r="U101" s="905"/>
      <c r="V101" s="905"/>
      <c r="W101" s="905"/>
      <c r="X101" s="905"/>
      <c r="Y101" s="905">
        <v>2.0416950661659143</v>
      </c>
      <c r="Z101" s="905">
        <v>2.0710814051106845</v>
      </c>
      <c r="AA101" s="905">
        <v>2.0936902892458087</v>
      </c>
      <c r="AB101" s="905">
        <v>2.0045787166355291</v>
      </c>
      <c r="AC101" s="905">
        <v>1.9886834588258187</v>
      </c>
      <c r="AD101" s="905">
        <v>1.998534641180485</v>
      </c>
      <c r="AE101" s="905">
        <v>2.0135827717095713</v>
      </c>
      <c r="AF101" s="905">
        <v>2.0286397091565265</v>
      </c>
      <c r="AG101" s="905">
        <v>2.0437044445316443</v>
      </c>
      <c r="AH101" s="905">
        <v>2.058775968031358</v>
      </c>
      <c r="AI101" s="905">
        <v>2.0738532693212059</v>
      </c>
      <c r="AJ101" s="905">
        <v>2.0889353378894064</v>
      </c>
      <c r="AK101" s="905">
        <v>2.1040211632810908</v>
      </c>
      <c r="AL101" s="905">
        <v>2.1191097354325721</v>
      </c>
      <c r="AM101" s="905">
        <v>2.1342000449648206</v>
      </c>
      <c r="AN101" s="905">
        <v>2.1492910834677277</v>
      </c>
      <c r="AO101" s="905">
        <v>2.1643818438095681</v>
      </c>
      <c r="AP101" s="905">
        <v>2.179471320414641</v>
      </c>
      <c r="AQ101" s="905">
        <v>2.1946305704120705</v>
      </c>
      <c r="AR101" s="905">
        <v>2.2097899922216979</v>
      </c>
      <c r="AS101" s="905">
        <v>2.2249486128020326</v>
      </c>
      <c r="AT101" s="905">
        <v>2.2401054598045254</v>
      </c>
      <c r="AU101" s="905">
        <v>2.2552595617974278</v>
      </c>
      <c r="AV101" s="905">
        <v>2.2704099485591485</v>
      </c>
      <c r="AW101" s="905">
        <v>2.2855556513208324</v>
      </c>
      <c r="AX101" s="905">
        <v>2.3006957030144206</v>
      </c>
      <c r="AY101" s="905">
        <v>2.3158291385513081</v>
      </c>
      <c r="AZ101" s="905">
        <v>2.3309549950564246</v>
      </c>
      <c r="BA101" s="905">
        <v>2.3460723121426224</v>
      </c>
      <c r="BB101" s="905">
        <v>2.3611801321507153</v>
      </c>
      <c r="BC101" s="905">
        <v>2.3762775004008336</v>
      </c>
      <c r="BD101" s="905">
        <v>2.3913634654512093</v>
      </c>
      <c r="BE101" s="905">
        <v>2.4064370793379326</v>
      </c>
      <c r="BF101" s="905">
        <v>2.4214973978257159</v>
      </c>
      <c r="BG101" s="905">
        <v>2.4365434806476438</v>
      </c>
      <c r="BH101" s="905">
        <v>2.4515743917528696</v>
      </c>
      <c r="BI101" s="905">
        <v>2.4665891995419407</v>
      </c>
      <c r="BJ101" s="905">
        <v>2.4815869771004571</v>
      </c>
      <c r="BK101" s="905">
        <v>2.4965668024378833</v>
      </c>
      <c r="BL101" s="905">
        <v>2.5115277587189908</v>
      </c>
      <c r="BM101" s="905">
        <v>2.5264689344843161</v>
      </c>
      <c r="BN101" s="905">
        <v>2.5413894238850254</v>
      </c>
      <c r="BO101" s="905">
        <v>2.5562883268973611</v>
      </c>
      <c r="BP101" s="905">
        <v>2.5711647495423953</v>
      </c>
      <c r="BQ101" s="905">
        <v>2.5860178041026649</v>
      </c>
      <c r="BR101" s="905">
        <v>2.6008466093306675</v>
      </c>
      <c r="BS101" s="905">
        <v>2.6156502906562347</v>
      </c>
      <c r="BT101" s="905">
        <v>2.6304279803914268</v>
      </c>
      <c r="BU101" s="905">
        <v>2.6451788179300317</v>
      </c>
      <c r="BV101" s="905">
        <v>2.6599019499396732</v>
      </c>
      <c r="BW101" s="905">
        <v>2.6745965305563502</v>
      </c>
      <c r="BX101" s="905">
        <v>2.6892617215700501</v>
      </c>
      <c r="BY101" s="905">
        <v>2.7038966926068451</v>
      </c>
      <c r="BZ101" s="905">
        <v>2.7185006213077836</v>
      </c>
      <c r="CA101" s="905">
        <v>2.7330726935010548</v>
      </c>
      <c r="CB101" s="905">
        <v>2.7476121033744252</v>
      </c>
      <c r="CC101" s="905">
        <v>2.7621180536340364</v>
      </c>
      <c r="CD101" s="905">
        <v>2.7765897556689847</v>
      </c>
      <c r="CE101" s="905">
        <v>2.7910264297042682</v>
      </c>
      <c r="CF101" s="905">
        <v>2.805427304950439</v>
      </c>
      <c r="CG101" s="905">
        <v>2.8197916197501165</v>
      </c>
      <c r="CH101" s="905">
        <v>2.8341186217159891</v>
      </c>
      <c r="CI101" s="905">
        <v>2.8484075678686915</v>
      </c>
      <c r="CJ101" s="905">
        <v>2.8626577247653056</v>
      </c>
      <c r="CK101" s="905">
        <v>2.8768683686267771</v>
      </c>
      <c r="CL101" s="905">
        <v>2.8910387854536319</v>
      </c>
      <c r="CM101" s="905">
        <v>2.9051682711459086</v>
      </c>
      <c r="CN101" s="905">
        <v>2.919256131613631</v>
      </c>
      <c r="CO101" s="905">
        <v>2.9333016828767216</v>
      </c>
      <c r="CP101" s="905">
        <v>2.947304251169208</v>
      </c>
      <c r="CQ101" s="905">
        <v>2.9612631730318904</v>
      </c>
      <c r="CR101" s="905">
        <v>2.9751777954047212</v>
      </c>
      <c r="CS101" s="905">
        <v>2.9890474757098904</v>
      </c>
      <c r="CT101" s="905">
        <v>3.0028715819291483</v>
      </c>
      <c r="CU101" s="905">
        <v>3.0166494926819132</v>
      </c>
      <c r="CV101" s="905">
        <v>3.0303805972936297</v>
      </c>
      <c r="CW101" s="905">
        <v>3.0440642958593758</v>
      </c>
      <c r="CX101" s="905">
        <v>3.0576999993045462</v>
      </c>
      <c r="CY101" s="905">
        <v>3.0712871294381419</v>
      </c>
      <c r="CZ101" s="905">
        <v>3.0848251190028879</v>
      </c>
      <c r="DA101" s="905">
        <v>3.0983134117213593</v>
      </c>
      <c r="DB101" s="905">
        <v>3.111751462333872</v>
      </c>
      <c r="DC101" s="905">
        <v>3.1251387366341596</v>
      </c>
      <c r="DD101" s="905">
        <v>3.1384747114996654</v>
      </c>
      <c r="DE101" s="905">
        <v>3.1517588749191066</v>
      </c>
      <c r="DF101" s="905">
        <v>3.1649907260096248</v>
      </c>
      <c r="DG101" s="905">
        <v>3.1781697750370794</v>
      </c>
      <c r="DH101" s="905">
        <v>3.1912955434247792</v>
      </c>
      <c r="DI101" s="905">
        <v>3.2043675637638076</v>
      </c>
      <c r="DJ101" s="905">
        <v>3.2173853798142069</v>
      </c>
      <c r="DK101" s="905">
        <v>3.2303485465031159</v>
      </c>
      <c r="DL101" s="905">
        <v>3.2432566299221564</v>
      </c>
      <c r="DM101" s="905">
        <v>3.2561092073128117</v>
      </c>
      <c r="DN101" s="905">
        <v>3.2689058670580184</v>
      </c>
      <c r="DO101" s="905">
        <v>3.2816462086602707</v>
      </c>
      <c r="DP101" s="905">
        <v>3.2943298427211554</v>
      </c>
      <c r="DQ101" s="905">
        <v>3.3069563909158752</v>
      </c>
      <c r="DR101" s="905">
        <v>3.3195254859616625</v>
      </c>
      <c r="DS101" s="905">
        <v>3.3320367715877506</v>
      </c>
      <c r="DT101" s="905">
        <v>3.3444899024950563</v>
      </c>
      <c r="DU101" s="905">
        <v>3.3568845443167845</v>
      </c>
    </row>
    <row r="102" spans="1:125" s="127" customFormat="1" ht="12.75">
      <c r="A102" s="908">
        <v>100</v>
      </c>
      <c r="B102" s="905"/>
      <c r="C102" s="905"/>
      <c r="D102" s="905"/>
      <c r="E102" s="905"/>
      <c r="F102" s="905"/>
      <c r="G102" s="905"/>
      <c r="H102" s="905"/>
      <c r="I102" s="905"/>
      <c r="J102" s="905"/>
      <c r="K102" s="905"/>
      <c r="L102" s="905"/>
      <c r="M102" s="905"/>
      <c r="N102" s="905"/>
      <c r="O102" s="905"/>
      <c r="P102" s="905"/>
      <c r="Q102" s="905"/>
      <c r="R102" s="905"/>
      <c r="S102" s="905"/>
      <c r="T102" s="905"/>
      <c r="U102" s="905"/>
      <c r="V102" s="905"/>
      <c r="W102" s="905"/>
      <c r="X102" s="905"/>
      <c r="Y102" s="905">
        <v>1.9252485463494406</v>
      </c>
      <c r="Z102" s="905">
        <v>1.952219041534363</v>
      </c>
      <c r="AA102" s="905">
        <v>1.9730713936178859</v>
      </c>
      <c r="AB102" s="905">
        <v>1.8909784794470264</v>
      </c>
      <c r="AC102" s="905">
        <v>1.8762909293976655</v>
      </c>
      <c r="AD102" s="905">
        <v>1.8853546576597995</v>
      </c>
      <c r="AE102" s="905">
        <v>1.8992081869172139</v>
      </c>
      <c r="AF102" s="905">
        <v>1.9130654064205947</v>
      </c>
      <c r="AG102" s="905">
        <v>1.9269253994657078</v>
      </c>
      <c r="AH102" s="905">
        <v>1.9407872495528085</v>
      </c>
      <c r="AI102" s="905">
        <v>1.9546500406293383</v>
      </c>
      <c r="AJ102" s="905">
        <v>1.9685128574466693</v>
      </c>
      <c r="AK102" s="905">
        <v>1.9823747857251444</v>
      </c>
      <c r="AL102" s="905">
        <v>1.9962349124782142</v>
      </c>
      <c r="AM102" s="905">
        <v>2.010092326272952</v>
      </c>
      <c r="AN102" s="905">
        <v>2.0239461174756648</v>
      </c>
      <c r="AO102" s="905">
        <v>2.0377953785371559</v>
      </c>
      <c r="AP102" s="905">
        <v>2.0516392042295815</v>
      </c>
      <c r="AQ102" s="905">
        <v>2.0655563032954554</v>
      </c>
      <c r="AR102" s="905">
        <v>2.079469340994379</v>
      </c>
      <c r="AS102" s="905">
        <v>2.0933774370925957</v>
      </c>
      <c r="AT102" s="905">
        <v>2.1072797128421783</v>
      </c>
      <c r="AU102" s="905">
        <v>2.1211752911606792</v>
      </c>
      <c r="AV102" s="905">
        <v>2.1350632969178984</v>
      </c>
      <c r="AW102" s="905">
        <v>2.1489428571435569</v>
      </c>
      <c r="AX102" s="905">
        <v>2.1628131012456877</v>
      </c>
      <c r="AY102" s="905">
        <v>2.1766731612736701</v>
      </c>
      <c r="AZ102" s="905">
        <v>2.190522172115172</v>
      </c>
      <c r="BA102" s="905">
        <v>2.2043592717537459</v>
      </c>
      <c r="BB102" s="905">
        <v>2.218183601475646</v>
      </c>
      <c r="BC102" s="905">
        <v>2.231994306093724</v>
      </c>
      <c r="BD102" s="905">
        <v>2.2457905341832958</v>
      </c>
      <c r="BE102" s="905">
        <v>2.2595714382902434</v>
      </c>
      <c r="BF102" s="905">
        <v>2.2733361751562704</v>
      </c>
      <c r="BG102" s="905">
        <v>2.2870839059286627</v>
      </c>
      <c r="BH102" s="905">
        <v>2.3008137963825037</v>
      </c>
      <c r="BI102" s="905">
        <v>2.3145250171260665</v>
      </c>
      <c r="BJ102" s="905">
        <v>2.3282167438042825</v>
      </c>
      <c r="BK102" s="905">
        <v>2.341888157311562</v>
      </c>
      <c r="BL102" s="905">
        <v>2.3555384439941225</v>
      </c>
      <c r="BM102" s="905">
        <v>2.3691667958385505</v>
      </c>
      <c r="BN102" s="905">
        <v>2.3827724106817918</v>
      </c>
      <c r="BO102" s="905">
        <v>2.3963544923934665</v>
      </c>
      <c r="BP102" s="905">
        <v>2.4099122510669826</v>
      </c>
      <c r="BQ102" s="905">
        <v>2.4234449032078498</v>
      </c>
      <c r="BR102" s="905">
        <v>2.4369516719116788</v>
      </c>
      <c r="BS102" s="905">
        <v>2.4504317870423034</v>
      </c>
      <c r="BT102" s="905">
        <v>2.4638844854078492</v>
      </c>
      <c r="BU102" s="905">
        <v>2.4773090109310241</v>
      </c>
      <c r="BV102" s="905">
        <v>2.4907046148103409</v>
      </c>
      <c r="BW102" s="905">
        <v>2.5040705556869627</v>
      </c>
      <c r="BX102" s="905">
        <v>2.5174060998003309</v>
      </c>
      <c r="BY102" s="905">
        <v>2.5307105211409868</v>
      </c>
      <c r="BZ102" s="905">
        <v>2.5439831016006633</v>
      </c>
      <c r="CA102" s="905">
        <v>2.5572231311149158</v>
      </c>
      <c r="CB102" s="905">
        <v>2.5704299078079984</v>
      </c>
      <c r="CC102" s="905">
        <v>2.5836027381208169</v>
      </c>
      <c r="CD102" s="905">
        <v>2.5967409369489087</v>
      </c>
      <c r="CE102" s="905">
        <v>2.6098438277661744</v>
      </c>
      <c r="CF102" s="905">
        <v>2.6229107427463996</v>
      </c>
      <c r="CG102" s="905">
        <v>2.6359410228821387</v>
      </c>
      <c r="CH102" s="905">
        <v>2.648934018094363</v>
      </c>
      <c r="CI102" s="905">
        <v>2.6618890873437051</v>
      </c>
      <c r="CJ102" s="905">
        <v>2.6748055987312349</v>
      </c>
      <c r="CK102" s="905">
        <v>2.6876829295996751</v>
      </c>
      <c r="CL102" s="905">
        <v>2.7005204666209757</v>
      </c>
      <c r="CM102" s="905">
        <v>2.7133176058916817</v>
      </c>
      <c r="CN102" s="905">
        <v>2.7260737530175545</v>
      </c>
      <c r="CO102" s="905">
        <v>2.7387883231862151</v>
      </c>
      <c r="CP102" s="905">
        <v>2.7514607412476106</v>
      </c>
      <c r="CQ102" s="905">
        <v>2.7640904417811143</v>
      </c>
      <c r="CR102" s="905">
        <v>2.7766768691644113</v>
      </c>
      <c r="CS102" s="905">
        <v>2.7892194776320207</v>
      </c>
      <c r="CT102" s="905">
        <v>2.8017177313282811</v>
      </c>
      <c r="CU102" s="905">
        <v>2.8141711043635587</v>
      </c>
      <c r="CV102" s="905">
        <v>2.8265790808594629</v>
      </c>
      <c r="CW102" s="905">
        <v>2.8389411549899601</v>
      </c>
      <c r="CX102" s="905">
        <v>2.8512568310206992</v>
      </c>
      <c r="CY102" s="905">
        <v>2.8635256233405686</v>
      </c>
      <c r="CZ102" s="905">
        <v>2.8757470564912104</v>
      </c>
      <c r="DA102" s="905">
        <v>2.8879206651932963</v>
      </c>
      <c r="DB102" s="905">
        <v>2.9000459943639809</v>
      </c>
      <c r="DC102" s="905">
        <v>2.912122599133486</v>
      </c>
      <c r="DD102" s="905">
        <v>2.9241500448566544</v>
      </c>
      <c r="DE102" s="905">
        <v>2.936127907122871</v>
      </c>
      <c r="DF102" s="905">
        <v>2.9480557717543592</v>
      </c>
      <c r="DG102" s="905">
        <v>2.9599332348105101</v>
      </c>
      <c r="DH102" s="905">
        <v>2.9717599025790959</v>
      </c>
      <c r="DI102" s="905">
        <v>2.9835353915713938</v>
      </c>
      <c r="DJ102" s="905">
        <v>2.9952593285073856</v>
      </c>
      <c r="DK102" s="905">
        <v>3.0069313502987942</v>
      </c>
      <c r="DL102" s="905">
        <v>3.0185511040329835</v>
      </c>
      <c r="DM102" s="905">
        <v>3.0301182469431671</v>
      </c>
      <c r="DN102" s="905">
        <v>3.0416324463883324</v>
      </c>
      <c r="DO102" s="905">
        <v>3.0530933798175868</v>
      </c>
      <c r="DP102" s="905">
        <v>3.0645007347380271</v>
      </c>
      <c r="DQ102" s="905">
        <v>3.0758542086778293</v>
      </c>
      <c r="DR102" s="905">
        <v>3.0871535091431914</v>
      </c>
      <c r="DS102" s="905">
        <v>3.0983983535788715</v>
      </c>
      <c r="DT102" s="905">
        <v>3.1095884693171234</v>
      </c>
      <c r="DU102" s="905">
        <v>3.1207235935294277</v>
      </c>
    </row>
    <row r="103" spans="1:125" s="127" customFormat="1" ht="12.75">
      <c r="A103" s="343"/>
      <c r="BT103" s="906"/>
    </row>
    <row r="104" spans="1:125" s="127" customFormat="1" ht="12.75">
      <c r="A104" s="343"/>
      <c r="BT104" s="906"/>
    </row>
    <row r="105" spans="1:125" s="127" customFormat="1" ht="12.75">
      <c r="A105" s="343"/>
      <c r="BT105" s="906"/>
    </row>
    <row r="106" spans="1:125" s="127" customFormat="1" ht="12.75">
      <c r="A106" s="343"/>
      <c r="BT106" s="906"/>
    </row>
    <row r="107" spans="1:125" s="127" customFormat="1" ht="12.75">
      <c r="A107" s="343"/>
      <c r="BT107" s="906"/>
    </row>
    <row r="108" spans="1:125" s="127" customFormat="1" ht="12.75">
      <c r="A108" s="343"/>
      <c r="BT108" s="906"/>
    </row>
    <row r="109" spans="1:125" s="127" customFormat="1" ht="12.75">
      <c r="A109" s="343"/>
      <c r="BT109" s="906"/>
    </row>
    <row r="110" spans="1:125" s="127" customFormat="1" ht="12.75">
      <c r="A110" s="343"/>
      <c r="BT110" s="906"/>
    </row>
    <row r="111" spans="1:125" s="127" customFormat="1" ht="12.75">
      <c r="A111" s="343"/>
      <c r="BT111" s="906"/>
    </row>
    <row r="112" spans="1:125" s="127" customFormat="1" ht="12.75">
      <c r="A112" s="343"/>
      <c r="BT112" s="906"/>
    </row>
    <row r="113" spans="1:72" s="127" customFormat="1" ht="12.75">
      <c r="A113" s="343"/>
      <c r="BT113" s="906"/>
    </row>
    <row r="114" spans="1:72" s="127" customFormat="1" ht="12.75">
      <c r="A114" s="343"/>
      <c r="BT114" s="906"/>
    </row>
    <row r="115" spans="1:72" s="127" customFormat="1" ht="12.75">
      <c r="A115" s="343"/>
      <c r="BT115" s="906"/>
    </row>
    <row r="116" spans="1:72" s="127" customFormat="1" ht="12.75">
      <c r="A116" s="343"/>
      <c r="BT116" s="906"/>
    </row>
    <row r="117" spans="1:72" s="127" customFormat="1" ht="12.75">
      <c r="A117" s="343"/>
      <c r="BT117" s="906"/>
    </row>
    <row r="118" spans="1:72" s="127" customFormat="1" ht="12.75">
      <c r="A118" s="343"/>
      <c r="BT118" s="906"/>
    </row>
    <row r="119" spans="1:72" s="127" customFormat="1" ht="12.75">
      <c r="A119" s="343"/>
      <c r="BT119" s="906"/>
    </row>
    <row r="120" spans="1:72" s="127" customFormat="1" ht="12.75">
      <c r="A120" s="343"/>
      <c r="BT120" s="906"/>
    </row>
    <row r="121" spans="1:72" s="127" customFormat="1" ht="12.75">
      <c r="A121" s="343"/>
      <c r="BT121" s="906"/>
    </row>
    <row r="122" spans="1:72" s="127" customFormat="1" ht="12.75">
      <c r="A122" s="343"/>
      <c r="BT122" s="906"/>
    </row>
    <row r="123" spans="1:72" s="127" customFormat="1" ht="12.75">
      <c r="A123" s="343"/>
      <c r="BT123" s="906"/>
    </row>
    <row r="124" spans="1:72" s="127" customFormat="1" ht="12.75">
      <c r="A124" s="343"/>
      <c r="BT124" s="906"/>
    </row>
  </sheetData>
  <sheetProtection formatColumns="0" autoFilter="0"/>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DV102"/>
  <sheetViews>
    <sheetView workbookViewId="0">
      <pane xSplit="22" ySplit="1" topLeftCell="W23" activePane="bottomRight" state="frozen"/>
      <selection pane="topRight" activeCell="W1" sqref="W1"/>
      <selection pane="bottomLeft" activeCell="A2" sqref="A2"/>
      <selection pane="bottomRight" sqref="A1:XFD1048576"/>
    </sheetView>
  </sheetViews>
  <sheetFormatPr baseColWidth="10" defaultColWidth="11" defaultRowHeight="11.25"/>
  <cols>
    <col min="1" max="1" width="6.625" style="134" customWidth="1"/>
    <col min="2" max="22" width="6.625" style="133" hidden="1" customWidth="1"/>
    <col min="23" max="126" width="6.625" style="133" customWidth="1"/>
    <col min="127" max="16384" width="11" style="133"/>
  </cols>
  <sheetData>
    <row r="1" spans="1:126" s="130" customFormat="1">
      <c r="A1" s="129"/>
      <c r="B1" s="130">
        <v>1900</v>
      </c>
      <c r="C1" s="130">
        <v>1901</v>
      </c>
      <c r="D1" s="130">
        <v>1902</v>
      </c>
      <c r="E1" s="130">
        <v>1903</v>
      </c>
      <c r="F1" s="130">
        <v>1904</v>
      </c>
      <c r="G1" s="130">
        <v>1905</v>
      </c>
      <c r="H1" s="130">
        <v>1906</v>
      </c>
      <c r="I1" s="130">
        <v>1907</v>
      </c>
      <c r="J1" s="130">
        <v>1908</v>
      </c>
      <c r="K1" s="130">
        <v>1909</v>
      </c>
      <c r="L1" s="130">
        <v>1910</v>
      </c>
      <c r="M1" s="130">
        <v>1911</v>
      </c>
      <c r="N1" s="130">
        <v>1912</v>
      </c>
      <c r="O1" s="130">
        <v>1913</v>
      </c>
      <c r="P1" s="130">
        <v>1914</v>
      </c>
      <c r="Q1" s="130">
        <v>1915</v>
      </c>
      <c r="R1" s="130">
        <v>1916</v>
      </c>
      <c r="S1" s="130">
        <v>1917</v>
      </c>
      <c r="T1" s="130">
        <v>1918</v>
      </c>
      <c r="U1" s="130">
        <v>1919</v>
      </c>
      <c r="V1" s="130">
        <v>1920</v>
      </c>
      <c r="W1" s="130">
        <v>1921</v>
      </c>
      <c r="X1" s="130">
        <v>1922</v>
      </c>
      <c r="Y1" s="130">
        <v>1923</v>
      </c>
      <c r="Z1" s="130">
        <v>1924</v>
      </c>
      <c r="AA1" s="130">
        <v>1925</v>
      </c>
      <c r="AB1" s="130">
        <v>1926</v>
      </c>
      <c r="AC1" s="130">
        <v>1927</v>
      </c>
      <c r="AD1" s="130">
        <v>1928</v>
      </c>
      <c r="AE1" s="130">
        <v>1929</v>
      </c>
      <c r="AF1" s="130">
        <v>1930</v>
      </c>
      <c r="AG1" s="130">
        <v>1931</v>
      </c>
      <c r="AH1" s="130">
        <v>1932</v>
      </c>
      <c r="AI1" s="130">
        <v>1933</v>
      </c>
      <c r="AJ1" s="130">
        <v>1934</v>
      </c>
      <c r="AK1" s="130">
        <v>1935</v>
      </c>
      <c r="AL1" s="130">
        <v>1936</v>
      </c>
      <c r="AM1" s="130">
        <v>1937</v>
      </c>
      <c r="AN1" s="130">
        <v>1938</v>
      </c>
      <c r="AO1" s="130">
        <v>1939</v>
      </c>
      <c r="AP1" s="130">
        <v>1940</v>
      </c>
      <c r="AQ1" s="130">
        <v>1941</v>
      </c>
      <c r="AR1" s="130">
        <v>1942</v>
      </c>
      <c r="AS1" s="130">
        <v>1943</v>
      </c>
      <c r="AT1" s="130">
        <v>1944</v>
      </c>
      <c r="AU1" s="130">
        <v>1945</v>
      </c>
      <c r="AV1" s="130">
        <v>1946</v>
      </c>
      <c r="AW1" s="130">
        <v>1947</v>
      </c>
      <c r="AX1" s="130">
        <v>1948</v>
      </c>
      <c r="AY1" s="130">
        <v>1949</v>
      </c>
      <c r="AZ1" s="130">
        <v>1950</v>
      </c>
      <c r="BA1" s="130">
        <v>1951</v>
      </c>
      <c r="BB1" s="130">
        <v>1952</v>
      </c>
      <c r="BC1" s="130">
        <v>1953</v>
      </c>
      <c r="BD1" s="130">
        <v>1954</v>
      </c>
      <c r="BE1" s="130">
        <v>1955</v>
      </c>
      <c r="BF1" s="130">
        <v>1956</v>
      </c>
      <c r="BG1" s="130">
        <v>1957</v>
      </c>
      <c r="BH1" s="130">
        <v>1958</v>
      </c>
      <c r="BI1" s="130">
        <v>1959</v>
      </c>
      <c r="BJ1" s="130">
        <v>1960</v>
      </c>
      <c r="BK1" s="130">
        <v>1961</v>
      </c>
      <c r="BL1" s="130">
        <v>1962</v>
      </c>
      <c r="BM1" s="130">
        <v>1963</v>
      </c>
      <c r="BN1" s="130">
        <v>1964</v>
      </c>
      <c r="BO1" s="130">
        <v>1965</v>
      </c>
      <c r="BP1" s="130">
        <v>1966</v>
      </c>
      <c r="BQ1" s="130">
        <v>1967</v>
      </c>
      <c r="BR1" s="130">
        <v>1968</v>
      </c>
      <c r="BS1" s="130">
        <v>1969</v>
      </c>
      <c r="BT1" s="130">
        <v>1970</v>
      </c>
      <c r="BU1" s="130">
        <v>1971</v>
      </c>
      <c r="BV1" s="130">
        <v>1972</v>
      </c>
      <c r="BW1" s="130">
        <v>1973</v>
      </c>
      <c r="BX1" s="130">
        <v>1974</v>
      </c>
      <c r="BY1" s="130">
        <v>1975</v>
      </c>
      <c r="BZ1" s="130">
        <v>1976</v>
      </c>
      <c r="CA1" s="130">
        <v>1977</v>
      </c>
      <c r="CB1" s="130">
        <v>1978</v>
      </c>
      <c r="CC1" s="130">
        <v>1979</v>
      </c>
      <c r="CD1" s="130">
        <v>1980</v>
      </c>
      <c r="CE1" s="130">
        <v>1981</v>
      </c>
      <c r="CF1" s="130">
        <v>1982</v>
      </c>
      <c r="CG1" s="130">
        <v>1983</v>
      </c>
      <c r="CH1" s="130">
        <v>1984</v>
      </c>
      <c r="CI1" s="130">
        <v>1985</v>
      </c>
      <c r="CJ1" s="130">
        <v>1986</v>
      </c>
      <c r="CK1" s="130">
        <v>1987</v>
      </c>
      <c r="CL1" s="130">
        <v>1988</v>
      </c>
      <c r="CM1" s="130">
        <v>1989</v>
      </c>
      <c r="CN1" s="130">
        <v>1990</v>
      </c>
      <c r="CO1" s="130">
        <v>1991</v>
      </c>
      <c r="CP1" s="130">
        <v>1992</v>
      </c>
      <c r="CQ1" s="130">
        <v>1993</v>
      </c>
      <c r="CR1" s="130">
        <v>1994</v>
      </c>
      <c r="CS1" s="130">
        <v>1995</v>
      </c>
      <c r="CT1" s="130">
        <v>1996</v>
      </c>
      <c r="CU1" s="130">
        <v>1997</v>
      </c>
      <c r="CV1" s="130">
        <v>1998</v>
      </c>
      <c r="CW1" s="130">
        <v>1999</v>
      </c>
      <c r="CX1" s="130">
        <v>2000</v>
      </c>
      <c r="CY1" s="130">
        <v>2001</v>
      </c>
      <c r="CZ1" s="130">
        <v>2002</v>
      </c>
      <c r="DA1" s="130">
        <v>2003</v>
      </c>
      <c r="DB1" s="130">
        <v>2004</v>
      </c>
      <c r="DC1" s="130">
        <v>2005</v>
      </c>
      <c r="DD1" s="130">
        <v>2006</v>
      </c>
      <c r="DE1" s="130">
        <v>2007</v>
      </c>
      <c r="DF1" s="130">
        <v>2008</v>
      </c>
      <c r="DG1" s="130">
        <v>2009</v>
      </c>
      <c r="DH1" s="130">
        <v>2010</v>
      </c>
      <c r="DI1" s="130">
        <v>2011</v>
      </c>
      <c r="DJ1" s="130">
        <v>2012</v>
      </c>
      <c r="DK1" s="130">
        <v>2013</v>
      </c>
      <c r="DL1" s="130">
        <v>2014</v>
      </c>
      <c r="DM1" s="130">
        <v>2015</v>
      </c>
      <c r="DN1" s="130">
        <v>2016</v>
      </c>
      <c r="DO1" s="130">
        <v>2017</v>
      </c>
      <c r="DP1" s="130">
        <v>2018</v>
      </c>
      <c r="DQ1" s="130">
        <v>2019</v>
      </c>
      <c r="DR1" s="130">
        <v>2020</v>
      </c>
      <c r="DS1" s="130">
        <v>2021</v>
      </c>
      <c r="DT1" s="130">
        <v>2022</v>
      </c>
      <c r="DU1" s="130">
        <v>2023</v>
      </c>
      <c r="DV1" s="130">
        <v>2024</v>
      </c>
    </row>
    <row r="2" spans="1:126" ht="12.75">
      <c r="A2" s="131">
        <v>0</v>
      </c>
      <c r="B2" s="132"/>
      <c r="C2" s="132"/>
      <c r="D2" s="132"/>
      <c r="E2" s="132"/>
      <c r="F2" s="132"/>
      <c r="G2" s="132"/>
      <c r="H2" s="132"/>
      <c r="I2" s="132"/>
      <c r="J2" s="132"/>
      <c r="K2" s="132"/>
      <c r="L2" s="132"/>
      <c r="M2" s="132"/>
      <c r="N2" s="132"/>
      <c r="O2" s="132"/>
      <c r="P2" s="132"/>
      <c r="Q2" s="132"/>
      <c r="R2" s="132"/>
      <c r="S2" s="132"/>
      <c r="T2" s="132"/>
      <c r="U2" s="132"/>
      <c r="V2" s="132"/>
      <c r="W2" s="132">
        <v>100000</v>
      </c>
      <c r="X2" s="132">
        <v>100000</v>
      </c>
      <c r="Y2" s="132">
        <v>100000</v>
      </c>
      <c r="Z2" s="132">
        <v>100000</v>
      </c>
      <c r="AA2" s="2340">
        <v>100000</v>
      </c>
      <c r="AB2" s="2340">
        <v>100000</v>
      </c>
      <c r="AC2" s="2340">
        <v>100000</v>
      </c>
      <c r="AD2" s="2340">
        <v>100000</v>
      </c>
      <c r="AE2" s="2340">
        <v>100000</v>
      </c>
      <c r="AF2" s="2340">
        <v>100000</v>
      </c>
      <c r="AG2" s="2340">
        <v>100000</v>
      </c>
      <c r="AH2" s="2340">
        <v>100000</v>
      </c>
      <c r="AI2" s="2340">
        <v>100000</v>
      </c>
      <c r="AJ2" s="2340">
        <v>100000</v>
      </c>
      <c r="AK2" s="2340">
        <v>100000</v>
      </c>
      <c r="AL2" s="2340">
        <v>100000</v>
      </c>
      <c r="AM2" s="2340">
        <v>100000</v>
      </c>
      <c r="AN2" s="2340">
        <v>100000</v>
      </c>
      <c r="AO2" s="2340">
        <v>100000</v>
      </c>
      <c r="AP2" s="2340">
        <v>100000</v>
      </c>
      <c r="AQ2" s="2340">
        <v>100000</v>
      </c>
      <c r="AR2" s="2340">
        <v>100000</v>
      </c>
      <c r="AS2" s="2340">
        <v>100000</v>
      </c>
      <c r="AT2" s="2340">
        <v>100000</v>
      </c>
      <c r="AU2" s="2340">
        <v>100000</v>
      </c>
      <c r="AV2" s="2340">
        <v>100000</v>
      </c>
      <c r="AW2" s="2340">
        <v>100000</v>
      </c>
      <c r="AX2" s="2340">
        <v>100000</v>
      </c>
      <c r="AY2" s="2340">
        <v>100000</v>
      </c>
      <c r="AZ2" s="2340">
        <v>100000</v>
      </c>
      <c r="BA2" s="2340">
        <v>100000</v>
      </c>
      <c r="BB2" s="2340">
        <v>100000</v>
      </c>
      <c r="BC2" s="2340">
        <v>100000</v>
      </c>
      <c r="BD2" s="2340">
        <v>100000</v>
      </c>
      <c r="BE2" s="2340">
        <v>100000</v>
      </c>
      <c r="BF2" s="2340">
        <v>100000</v>
      </c>
      <c r="BG2" s="2340">
        <v>100000</v>
      </c>
      <c r="BH2" s="2340">
        <v>100000</v>
      </c>
      <c r="BI2" s="2340">
        <v>100000</v>
      </c>
      <c r="BJ2" s="2340">
        <v>100000</v>
      </c>
      <c r="BK2" s="2340">
        <v>100000</v>
      </c>
      <c r="BL2" s="2340">
        <v>100000</v>
      </c>
      <c r="BM2" s="2340">
        <v>100000</v>
      </c>
      <c r="BN2" s="2340">
        <v>100000</v>
      </c>
      <c r="BO2" s="2340">
        <v>100000</v>
      </c>
      <c r="BP2" s="2340">
        <v>100000</v>
      </c>
      <c r="BQ2" s="2340">
        <v>100000</v>
      </c>
      <c r="BR2" s="2340">
        <v>100000</v>
      </c>
      <c r="BS2" s="2340">
        <v>100000</v>
      </c>
      <c r="BT2" s="2340">
        <v>100000</v>
      </c>
      <c r="BU2" s="2340">
        <v>100000</v>
      </c>
      <c r="BV2" s="2340">
        <v>100000</v>
      </c>
      <c r="BW2" s="2340">
        <v>100000</v>
      </c>
      <c r="BX2" s="2340">
        <v>100000</v>
      </c>
      <c r="BY2" s="2340">
        <v>100000</v>
      </c>
      <c r="BZ2" s="2340">
        <v>100000</v>
      </c>
      <c r="CA2" s="2340">
        <v>100000</v>
      </c>
      <c r="CB2" s="2340">
        <v>100000</v>
      </c>
      <c r="CC2" s="2340">
        <v>100000</v>
      </c>
      <c r="CD2" s="2340">
        <v>100000</v>
      </c>
      <c r="CE2" s="2340">
        <v>100000</v>
      </c>
      <c r="CF2" s="2340">
        <v>100000</v>
      </c>
      <c r="CG2" s="2340">
        <v>100000</v>
      </c>
      <c r="CH2" s="2340">
        <v>100000</v>
      </c>
      <c r="CI2" s="2340">
        <v>100000</v>
      </c>
      <c r="CJ2" s="2340">
        <v>100000</v>
      </c>
      <c r="CK2" s="2340">
        <v>100000</v>
      </c>
      <c r="CL2" s="2340">
        <v>100000</v>
      </c>
      <c r="CM2" s="2340">
        <v>100000</v>
      </c>
      <c r="CN2" s="2340">
        <v>100000</v>
      </c>
      <c r="CO2" s="2340">
        <v>100000</v>
      </c>
      <c r="CP2" s="2340">
        <v>100000</v>
      </c>
      <c r="CQ2" s="2340">
        <v>100000</v>
      </c>
      <c r="CR2" s="2340">
        <v>100000</v>
      </c>
      <c r="CS2" s="2340">
        <v>100000</v>
      </c>
      <c r="CT2" s="2340">
        <v>100000</v>
      </c>
      <c r="CU2" s="2340">
        <v>100000</v>
      </c>
      <c r="CV2" s="2340">
        <v>100000</v>
      </c>
      <c r="CW2" s="2340">
        <v>100000</v>
      </c>
      <c r="CX2" s="2340">
        <v>100000</v>
      </c>
      <c r="CY2" s="2340">
        <v>100000</v>
      </c>
      <c r="CZ2" s="2340">
        <v>100000</v>
      </c>
      <c r="DA2" s="2340">
        <v>100000</v>
      </c>
      <c r="DB2" s="2340">
        <v>100000</v>
      </c>
      <c r="DC2" s="2340">
        <v>100000</v>
      </c>
      <c r="DD2" s="2340">
        <v>100000</v>
      </c>
      <c r="DE2" s="2340">
        <v>100000</v>
      </c>
      <c r="DF2" s="2340">
        <v>100000</v>
      </c>
      <c r="DG2" s="2340">
        <v>100000</v>
      </c>
      <c r="DH2" s="2340">
        <v>100000</v>
      </c>
      <c r="DI2" s="2340">
        <v>100000</v>
      </c>
      <c r="DJ2" s="2340">
        <v>100000</v>
      </c>
      <c r="DK2" s="2340">
        <v>100000</v>
      </c>
      <c r="DL2" s="2340">
        <v>100000</v>
      </c>
      <c r="DM2" s="2340">
        <v>100000</v>
      </c>
      <c r="DN2" s="2340">
        <v>100000</v>
      </c>
      <c r="DO2" s="2340">
        <v>100000</v>
      </c>
      <c r="DP2" s="2340">
        <v>100000</v>
      </c>
      <c r="DQ2" s="2340">
        <v>100000</v>
      </c>
      <c r="DR2" s="2340">
        <v>100000</v>
      </c>
      <c r="DS2" s="2340">
        <v>100000</v>
      </c>
      <c r="DT2" s="2340">
        <v>100000</v>
      </c>
      <c r="DU2" s="2340">
        <v>100000</v>
      </c>
    </row>
    <row r="3" spans="1:126" ht="12.75">
      <c r="A3" s="131">
        <v>1</v>
      </c>
      <c r="B3" s="132"/>
      <c r="C3" s="132"/>
      <c r="D3" s="132"/>
      <c r="E3" s="132"/>
      <c r="F3" s="132"/>
      <c r="G3" s="132"/>
      <c r="H3" s="132"/>
      <c r="I3" s="132"/>
      <c r="J3" s="132"/>
      <c r="K3" s="132"/>
      <c r="L3" s="132"/>
      <c r="M3" s="132"/>
      <c r="N3" s="132"/>
      <c r="O3" s="132"/>
      <c r="P3" s="132"/>
      <c r="Q3" s="132"/>
      <c r="R3" s="132"/>
      <c r="S3" s="132"/>
      <c r="T3" s="132"/>
      <c r="U3" s="132"/>
      <c r="V3" s="132"/>
      <c r="W3" s="132">
        <v>85361</v>
      </c>
      <c r="X3" s="132">
        <v>85800</v>
      </c>
      <c r="Y3" s="132">
        <v>85600</v>
      </c>
      <c r="Z3" s="132">
        <v>88100</v>
      </c>
      <c r="AA3" s="2340">
        <v>88400</v>
      </c>
      <c r="AB3" s="2340">
        <v>88800</v>
      </c>
      <c r="AC3" s="2340">
        <v>89300</v>
      </c>
      <c r="AD3" s="2340">
        <v>90100</v>
      </c>
      <c r="AE3" s="2340">
        <v>89449</v>
      </c>
      <c r="AF3" s="2340">
        <v>90667</v>
      </c>
      <c r="AG3" s="2340">
        <v>90946</v>
      </c>
      <c r="AH3" s="2340">
        <v>91300</v>
      </c>
      <c r="AI3" s="2340">
        <v>91500</v>
      </c>
      <c r="AJ3" s="2340">
        <v>92600</v>
      </c>
      <c r="AK3" s="2340">
        <v>92370</v>
      </c>
      <c r="AL3" s="2340">
        <v>92600</v>
      </c>
      <c r="AM3" s="2340">
        <v>92795</v>
      </c>
      <c r="AN3" s="2340">
        <v>93179</v>
      </c>
      <c r="AO3" s="2340">
        <v>93031</v>
      </c>
      <c r="AP3" s="2340">
        <v>93031</v>
      </c>
      <c r="AQ3" s="2340">
        <v>93031</v>
      </c>
      <c r="AR3" s="2340">
        <v>93031</v>
      </c>
      <c r="AS3" s="2340">
        <v>92334.1</v>
      </c>
      <c r="AT3" s="2340">
        <v>91288.75</v>
      </c>
      <c r="AU3" s="2340">
        <v>89546.5</v>
      </c>
      <c r="AV3" s="2340">
        <v>89840</v>
      </c>
      <c r="AW3" s="2340">
        <v>89840</v>
      </c>
      <c r="AX3" s="2340">
        <v>91831.5</v>
      </c>
      <c r="AY3" s="2340">
        <v>93823</v>
      </c>
      <c r="AZ3" s="2340">
        <v>93823</v>
      </c>
      <c r="BA3" s="2340">
        <v>93823</v>
      </c>
      <c r="BB3" s="2340">
        <v>94536.13048715578</v>
      </c>
      <c r="BC3" s="2340">
        <v>94715.442117505037</v>
      </c>
      <c r="BD3" s="2340">
        <v>95183.02917253942</v>
      </c>
      <c r="BE3" s="2340">
        <v>95225.17775818627</v>
      </c>
      <c r="BF3" s="2340">
        <v>95577.238380078037</v>
      </c>
      <c r="BG3" s="2340">
        <v>95599.801342433493</v>
      </c>
      <c r="BH3" s="2340">
        <v>95867.697806768294</v>
      </c>
      <c r="BI3" s="2340">
        <v>96064.872921854068</v>
      </c>
      <c r="BJ3" s="2340">
        <v>96131.92834952414</v>
      </c>
      <c r="BK3" s="2340">
        <v>96428.724772992093</v>
      </c>
      <c r="BL3" s="2340">
        <v>96698.868862794436</v>
      </c>
      <c r="BM3" s="2340">
        <v>96913.567847847735</v>
      </c>
      <c r="BN3" s="2340">
        <v>97181.99087166175</v>
      </c>
      <c r="BO3" s="2340">
        <v>97335.23893286426</v>
      </c>
      <c r="BP3" s="2340">
        <v>97392.818582887892</v>
      </c>
      <c r="BQ3" s="2340">
        <v>97461.940582789844</v>
      </c>
      <c r="BR3" s="2340">
        <v>97516.228280210707</v>
      </c>
      <c r="BS3" s="2340">
        <v>97439.75160143197</v>
      </c>
      <c r="BT3" s="2340">
        <v>97464.502288435877</v>
      </c>
      <c r="BU3" s="2340">
        <v>97534.146205795987</v>
      </c>
      <c r="BV3" s="2340">
        <v>97595.323989367214</v>
      </c>
      <c r="BW3" s="2340">
        <v>97604.911923876643</v>
      </c>
      <c r="BX3" s="2340">
        <v>97718.072114338225</v>
      </c>
      <c r="BY3" s="2340">
        <v>97880.036743712611</v>
      </c>
      <c r="BZ3" s="2340">
        <v>98158.628819106336</v>
      </c>
      <c r="CA3" s="2340">
        <v>98318.577881533536</v>
      </c>
      <c r="CB3" s="2340">
        <v>98374.716855910316</v>
      </c>
      <c r="CC3" s="2340">
        <v>98517.838842679761</v>
      </c>
      <c r="CD3" s="2340">
        <v>98581.328746273764</v>
      </c>
      <c r="CE3" s="2340">
        <v>98658.426356939483</v>
      </c>
      <c r="CF3" s="2340">
        <v>98786.247145738424</v>
      </c>
      <c r="CG3" s="2340">
        <v>98840.72687271265</v>
      </c>
      <c r="CH3" s="2340">
        <v>98925.576457110539</v>
      </c>
      <c r="CI3" s="2340">
        <v>98981.181455633094</v>
      </c>
      <c r="CJ3" s="2340">
        <v>99017.477540865628</v>
      </c>
      <c r="CK3" s="2340">
        <v>99045.830152394046</v>
      </c>
      <c r="CL3" s="2340">
        <v>99127.547919512217</v>
      </c>
      <c r="CM3" s="2340">
        <v>99141.91316825588</v>
      </c>
      <c r="CN3" s="2340">
        <v>99196.353939477282</v>
      </c>
      <c r="CO3" s="2340">
        <v>99271.059709268753</v>
      </c>
      <c r="CP3" s="2340">
        <v>99324.746207272299</v>
      </c>
      <c r="CQ3" s="2340">
        <v>99366.207315318563</v>
      </c>
      <c r="CR3" s="2340">
        <v>99383.129267510216</v>
      </c>
      <c r="CS3" s="2340">
        <v>99420.465511841496</v>
      </c>
      <c r="CT3" s="2340">
        <v>99443.566064616709</v>
      </c>
      <c r="CU3" s="2340">
        <v>99463.556879277516</v>
      </c>
      <c r="CV3" s="2340">
        <v>99486.67667829174</v>
      </c>
      <c r="CW3" s="2340">
        <v>99500.121121585878</v>
      </c>
      <c r="CX3" s="2340">
        <v>99529.648660261417</v>
      </c>
      <c r="CY3" s="2340">
        <v>99525.670972970402</v>
      </c>
      <c r="CZ3" s="2340">
        <v>99544.786163232478</v>
      </c>
      <c r="DA3" s="2340">
        <v>99530.753303612539</v>
      </c>
      <c r="DB3" s="2340">
        <v>99559.412955745167</v>
      </c>
      <c r="DC3" s="2340">
        <v>99573.85354093877</v>
      </c>
      <c r="DD3" s="2340">
        <v>99577.231822703397</v>
      </c>
      <c r="DE3" s="2340">
        <v>99571.679091857353</v>
      </c>
      <c r="DF3" s="2340">
        <v>99609.274513951212</v>
      </c>
      <c r="DG3" s="2340">
        <v>99611.427432754383</v>
      </c>
      <c r="DH3" s="2340">
        <v>99619.280203434537</v>
      </c>
      <c r="DI3" s="2340">
        <v>99614.002983239145</v>
      </c>
      <c r="DJ3" s="2340">
        <v>99651.360273588158</v>
      </c>
      <c r="DK3" s="2340">
        <v>99646.103710479671</v>
      </c>
      <c r="DL3" s="2340">
        <v>99645.344637234724</v>
      </c>
      <c r="DM3" s="2340">
        <v>99657.047437367568</v>
      </c>
      <c r="DN3" s="2340">
        <v>99631.1500671869</v>
      </c>
      <c r="DO3" s="2340">
        <v>99649.698144145485</v>
      </c>
      <c r="DP3" s="2340">
        <v>99655.489887440228</v>
      </c>
      <c r="DQ3" s="2340">
        <v>99653.136050809931</v>
      </c>
      <c r="DR3" s="2340">
        <v>99686.198522843086</v>
      </c>
      <c r="DS3" s="2340">
        <v>99672.68418552955</v>
      </c>
      <c r="DT3" s="2340">
        <v>99687.447850339973</v>
      </c>
      <c r="DU3" s="2340">
        <v>99701.531175505326</v>
      </c>
    </row>
    <row r="4" spans="1:126" ht="12.75">
      <c r="A4" s="131">
        <v>2</v>
      </c>
      <c r="B4" s="132"/>
      <c r="C4" s="132"/>
      <c r="D4" s="132"/>
      <c r="E4" s="132"/>
      <c r="F4" s="132"/>
      <c r="G4" s="132"/>
      <c r="H4" s="132"/>
      <c r="I4" s="132"/>
      <c r="J4" s="132"/>
      <c r="K4" s="132"/>
      <c r="L4" s="132"/>
      <c r="M4" s="132"/>
      <c r="N4" s="132"/>
      <c r="O4" s="132"/>
      <c r="P4" s="132"/>
      <c r="Q4" s="132"/>
      <c r="R4" s="132"/>
      <c r="S4" s="132"/>
      <c r="T4" s="132"/>
      <c r="U4" s="132"/>
      <c r="V4" s="132"/>
      <c r="W4" s="132">
        <v>83660</v>
      </c>
      <c r="X4" s="132">
        <v>84066</v>
      </c>
      <c r="Y4" s="132">
        <v>84214.135999999999</v>
      </c>
      <c r="Z4" s="132">
        <v>86673.660999999993</v>
      </c>
      <c r="AA4" s="2340">
        <v>86968.804000000004</v>
      </c>
      <c r="AB4" s="2340">
        <v>87466.745501820071</v>
      </c>
      <c r="AC4" s="2340">
        <v>88200.157772304912</v>
      </c>
      <c r="AD4" s="2340">
        <v>88917.333893773772</v>
      </c>
      <c r="AE4" s="2340">
        <v>88543.258604871706</v>
      </c>
      <c r="AF4" s="2340">
        <v>89776.370251121261</v>
      </c>
      <c r="AG4" s="2340">
        <v>90103.840039999995</v>
      </c>
      <c r="AH4" s="2340">
        <v>90454.562000000005</v>
      </c>
      <c r="AI4" s="2340">
        <v>90652.71</v>
      </c>
      <c r="AJ4" s="2340">
        <v>91833.445591095486</v>
      </c>
      <c r="AK4" s="2340">
        <v>91628.399311072062</v>
      </c>
      <c r="AL4" s="2340">
        <v>91876.143575864087</v>
      </c>
      <c r="AM4" s="2340">
        <v>92108.279381874629</v>
      </c>
      <c r="AN4" s="2340">
        <v>92474.475709869948</v>
      </c>
      <c r="AO4" s="2340">
        <v>92327.594734488579</v>
      </c>
      <c r="AP4" s="2340">
        <v>92327.594734488579</v>
      </c>
      <c r="AQ4" s="2340">
        <v>92327.594734488579</v>
      </c>
      <c r="AR4" s="2340">
        <v>92257.25420793744</v>
      </c>
      <c r="AS4" s="2340">
        <v>91461.429974333048</v>
      </c>
      <c r="AT4" s="2340">
        <v>90253.401770399825</v>
      </c>
      <c r="AU4" s="2340">
        <v>88628.648375000004</v>
      </c>
      <c r="AV4" s="2340">
        <v>88919.14</v>
      </c>
      <c r="AW4" s="2340">
        <v>89099.641249015753</v>
      </c>
      <c r="AX4" s="2340">
        <v>91449.480960000001</v>
      </c>
      <c r="AY4" s="2340">
        <v>93432.696320000003</v>
      </c>
      <c r="AZ4" s="2340">
        <v>93432.696320000003</v>
      </c>
      <c r="BA4" s="2340">
        <v>93458.444483128405</v>
      </c>
      <c r="BB4" s="2340">
        <v>94189.98766421566</v>
      </c>
      <c r="BC4" s="2340">
        <v>94406.325529838898</v>
      </c>
      <c r="BD4" s="2340">
        <v>94865.148790461666</v>
      </c>
      <c r="BE4" s="2340">
        <v>94912.566116893213</v>
      </c>
      <c r="BF4" s="2340">
        <v>95270.599370117125</v>
      </c>
      <c r="BG4" s="2340">
        <v>95312.093675063166</v>
      </c>
      <c r="BH4" s="2340">
        <v>95586.649805036737</v>
      </c>
      <c r="BI4" s="2340">
        <v>95812.023996073607</v>
      </c>
      <c r="BJ4" s="2340">
        <v>95895.334063234375</v>
      </c>
      <c r="BK4" s="2340">
        <v>96201.456021348757</v>
      </c>
      <c r="BL4" s="2340">
        <v>96477.256566625962</v>
      </c>
      <c r="BM4" s="2340">
        <v>96731.899120935617</v>
      </c>
      <c r="BN4" s="2340">
        <v>96990.387701147964</v>
      </c>
      <c r="BO4" s="2340">
        <v>97158.018262048703</v>
      </c>
      <c r="BP4" s="2340">
        <v>97215.229534715429</v>
      </c>
      <c r="BQ4" s="2340">
        <v>97297.566188758297</v>
      </c>
      <c r="BR4" s="2340">
        <v>97332.318528827047</v>
      </c>
      <c r="BS4" s="2340">
        <v>97281.06765760493</v>
      </c>
      <c r="BT4" s="2340">
        <v>97323.649196082872</v>
      </c>
      <c r="BU4" s="2340">
        <v>97396.701777491631</v>
      </c>
      <c r="BV4" s="2340">
        <v>97472.404121126296</v>
      </c>
      <c r="BW4" s="2340">
        <v>97480.047292898642</v>
      </c>
      <c r="BX4" s="2340">
        <v>97594.330371054937</v>
      </c>
      <c r="BY4" s="2340">
        <v>97767.020722378307</v>
      </c>
      <c r="BZ4" s="2340">
        <v>98046.950083338306</v>
      </c>
      <c r="CA4" s="2340">
        <v>98213.575035617498</v>
      </c>
      <c r="CB4" s="2340">
        <v>98269.797781941132</v>
      </c>
      <c r="CC4" s="2340">
        <v>98425.131835307169</v>
      </c>
      <c r="CD4" s="2340">
        <v>98482.552783983614</v>
      </c>
      <c r="CE4" s="2340">
        <v>98557.46426491598</v>
      </c>
      <c r="CF4" s="2340">
        <v>98694.126120705201</v>
      </c>
      <c r="CG4" s="2340">
        <v>98755.529671530734</v>
      </c>
      <c r="CH4" s="2340">
        <v>98838.623644009785</v>
      </c>
      <c r="CI4" s="2340">
        <v>98910.336931671889</v>
      </c>
      <c r="CJ4" s="2340">
        <v>98935.757642174853</v>
      </c>
      <c r="CK4" s="2340">
        <v>98974.785292592569</v>
      </c>
      <c r="CL4" s="2340">
        <v>99064.02755769997</v>
      </c>
      <c r="CM4" s="2340">
        <v>99074.973619170851</v>
      </c>
      <c r="CN4" s="2340">
        <v>99132.75904134821</v>
      </c>
      <c r="CO4" s="2340">
        <v>99219.901284293053</v>
      </c>
      <c r="CP4" s="2340">
        <v>99270.508618197462</v>
      </c>
      <c r="CQ4" s="2340">
        <v>99315.117385992009</v>
      </c>
      <c r="CR4" s="2340">
        <v>99326.27742529742</v>
      </c>
      <c r="CS4" s="2340">
        <v>99375.918839308841</v>
      </c>
      <c r="CT4" s="2340">
        <v>99394.083160908456</v>
      </c>
      <c r="CU4" s="2340">
        <v>99420.370091355158</v>
      </c>
      <c r="CV4" s="2340">
        <v>99446.597370771429</v>
      </c>
      <c r="CW4" s="2340">
        <v>99451.29377272031</v>
      </c>
      <c r="CX4" s="2340">
        <v>99488.682743160913</v>
      </c>
      <c r="CY4" s="2340">
        <v>99483.013207113865</v>
      </c>
      <c r="CZ4" s="2340">
        <v>99502.631682272549</v>
      </c>
      <c r="DA4" s="2340">
        <v>99493.314126867277</v>
      </c>
      <c r="DB4" s="2340">
        <v>99528.430191022446</v>
      </c>
      <c r="DC4" s="2340">
        <v>99534.65123639509</v>
      </c>
      <c r="DD4" s="2340">
        <v>99544.277518880917</v>
      </c>
      <c r="DE4" s="2340">
        <v>99539.842660490103</v>
      </c>
      <c r="DF4" s="2340">
        <v>99574.242531667143</v>
      </c>
      <c r="DG4" s="2340">
        <v>99580.245700653279</v>
      </c>
      <c r="DH4" s="2340">
        <v>99589.784613101641</v>
      </c>
      <c r="DI4" s="2340">
        <v>99585.994702585362</v>
      </c>
      <c r="DJ4" s="2340">
        <v>99624.967467564231</v>
      </c>
      <c r="DK4" s="2340">
        <v>99622.387598656176</v>
      </c>
      <c r="DL4" s="2340">
        <v>99613.542819659036</v>
      </c>
      <c r="DM4" s="2340">
        <v>99628.27815536932</v>
      </c>
      <c r="DN4" s="2340">
        <v>99604.762385810216</v>
      </c>
      <c r="DO4" s="2340">
        <v>99622.862158879172</v>
      </c>
      <c r="DP4" s="2340">
        <v>99633.222349714502</v>
      </c>
      <c r="DQ4" s="2340">
        <v>99632.818763319359</v>
      </c>
      <c r="DR4" s="2340">
        <v>99663.918875256786</v>
      </c>
      <c r="DS4" s="2340">
        <v>99653.946206891836</v>
      </c>
      <c r="DT4" s="2340">
        <v>99669.539569609449</v>
      </c>
      <c r="DU4" s="2340">
        <v>99684.415971700306</v>
      </c>
    </row>
    <row r="5" spans="1:126" ht="12.75">
      <c r="A5" s="131">
        <v>3</v>
      </c>
      <c r="B5" s="132"/>
      <c r="C5" s="132"/>
      <c r="D5" s="132"/>
      <c r="E5" s="132"/>
      <c r="F5" s="132"/>
      <c r="G5" s="132"/>
      <c r="H5" s="132"/>
      <c r="I5" s="132"/>
      <c r="J5" s="132"/>
      <c r="K5" s="132"/>
      <c r="L5" s="132"/>
      <c r="M5" s="132"/>
      <c r="N5" s="132"/>
      <c r="O5" s="132"/>
      <c r="P5" s="132"/>
      <c r="Q5" s="132"/>
      <c r="R5" s="132"/>
      <c r="S5" s="132"/>
      <c r="T5" s="132"/>
      <c r="U5" s="132"/>
      <c r="V5" s="132"/>
      <c r="W5" s="132">
        <v>82712</v>
      </c>
      <c r="X5" s="132">
        <v>83532</v>
      </c>
      <c r="Y5" s="132">
        <v>83678.534095039999</v>
      </c>
      <c r="Z5" s="132">
        <v>86122.416516039986</v>
      </c>
      <c r="AA5" s="2340">
        <v>86379.420038269891</v>
      </c>
      <c r="AB5" s="2340">
        <v>86952.209584315962</v>
      </c>
      <c r="AC5" s="2340">
        <v>87593.669069700001</v>
      </c>
      <c r="AD5" s="2340">
        <v>88411.945447650709</v>
      </c>
      <c r="AE5" s="2340">
        <v>88110.457001635761</v>
      </c>
      <c r="AF5" s="2340">
        <v>89372.376584991216</v>
      </c>
      <c r="AG5" s="2340">
        <v>89698.372759819991</v>
      </c>
      <c r="AH5" s="2340">
        <v>90047.51647100001</v>
      </c>
      <c r="AI5" s="2340">
        <v>90173.520489203613</v>
      </c>
      <c r="AJ5" s="2340">
        <v>91338.880311159402</v>
      </c>
      <c r="AK5" s="2340">
        <v>91171.399813261232</v>
      </c>
      <c r="AL5" s="2340">
        <v>91445.338093940052</v>
      </c>
      <c r="AM5" s="2340">
        <v>91639.721978405913</v>
      </c>
      <c r="AN5" s="2340">
        <v>92004.055455398513</v>
      </c>
      <c r="AO5" s="2340">
        <v>91857.921667663089</v>
      </c>
      <c r="AP5" s="2340">
        <v>91857.921667663089</v>
      </c>
      <c r="AQ5" s="2340">
        <v>91810.954360980541</v>
      </c>
      <c r="AR5" s="2340">
        <v>91670.610154697599</v>
      </c>
      <c r="AS5" s="2340">
        <v>90763.529680777967</v>
      </c>
      <c r="AT5" s="2340">
        <v>89728.126972096099</v>
      </c>
      <c r="AU5" s="2340">
        <v>88112.829641457502</v>
      </c>
      <c r="AV5" s="2340">
        <v>88590.746709587256</v>
      </c>
      <c r="AW5" s="2340">
        <v>88880.456131543178</v>
      </c>
      <c r="AX5" s="2340">
        <v>91224.515236838401</v>
      </c>
      <c r="AY5" s="2340">
        <v>93202.851887052806</v>
      </c>
      <c r="AZ5" s="2340">
        <v>93236.77619304914</v>
      </c>
      <c r="BA5" s="2340">
        <v>93279.627781208314</v>
      </c>
      <c r="BB5" s="2340">
        <v>94017.303924911947</v>
      </c>
      <c r="BC5" s="2340">
        <v>94236.946755369616</v>
      </c>
      <c r="BD5" s="2340">
        <v>94712.144556134052</v>
      </c>
      <c r="BE5" s="2340">
        <v>94755.997339808848</v>
      </c>
      <c r="BF5" s="2340">
        <v>95132.822536475971</v>
      </c>
      <c r="BG5" s="2340">
        <v>95161.059309014279</v>
      </c>
      <c r="BH5" s="2340">
        <v>95445.119704995697</v>
      </c>
      <c r="BI5" s="2340">
        <v>95682.272580965844</v>
      </c>
      <c r="BJ5" s="2340">
        <v>95761.540756095797</v>
      </c>
      <c r="BK5" s="2340">
        <v>96075.746272236924</v>
      </c>
      <c r="BL5" s="2340">
        <v>96358.676614639189</v>
      </c>
      <c r="BM5" s="2340">
        <v>96619.610178956893</v>
      </c>
      <c r="BN5" s="2340">
        <v>96880.445296518039</v>
      </c>
      <c r="BO5" s="2340">
        <v>97060.444580639698</v>
      </c>
      <c r="BP5" s="2340">
        <v>97116.114085450361</v>
      </c>
      <c r="BQ5" s="2340">
        <v>97196.033194350835</v>
      </c>
      <c r="BR5" s="2340">
        <v>97237.562812233111</v>
      </c>
      <c r="BS5" s="2340">
        <v>97183.017873683493</v>
      </c>
      <c r="BT5" s="2340">
        <v>97239.642599300976</v>
      </c>
      <c r="BU5" s="2340">
        <v>97310.359808577065</v>
      </c>
      <c r="BV5" s="2340">
        <v>97383.660546820698</v>
      </c>
      <c r="BW5" s="2340">
        <v>97401.804477753612</v>
      </c>
      <c r="BX5" s="2340">
        <v>97516.893941672941</v>
      </c>
      <c r="BY5" s="2340">
        <v>97695.051076519725</v>
      </c>
      <c r="BZ5" s="2340">
        <v>97972.583900541824</v>
      </c>
      <c r="CA5" s="2340">
        <v>98147.595656338162</v>
      </c>
      <c r="CB5" s="2340">
        <v>98204.572108029839</v>
      </c>
      <c r="CC5" s="2340">
        <v>98364.315362057489</v>
      </c>
      <c r="CD5" s="2340">
        <v>98431.922204490329</v>
      </c>
      <c r="CE5" s="2340">
        <v>98506.235480650008</v>
      </c>
      <c r="CF5" s="2340">
        <v>98648.473643362537</v>
      </c>
      <c r="CG5" s="2340">
        <v>98704.956046280699</v>
      </c>
      <c r="CH5" s="2340">
        <v>98791.065805436825</v>
      </c>
      <c r="CI5" s="2340">
        <v>98863.577772876975</v>
      </c>
      <c r="CJ5" s="2340">
        <v>98885.306734198966</v>
      </c>
      <c r="CK5" s="2340">
        <v>98931.608047197253</v>
      </c>
      <c r="CL5" s="2340">
        <v>99018.586308252197</v>
      </c>
      <c r="CM5" s="2340">
        <v>99030.061481082521</v>
      </c>
      <c r="CN5" s="2340">
        <v>99093.213885600242</v>
      </c>
      <c r="CO5" s="2340">
        <v>99181.701883924703</v>
      </c>
      <c r="CP5" s="2340">
        <v>99229.530201589398</v>
      </c>
      <c r="CQ5" s="2340">
        <v>99281.105574811692</v>
      </c>
      <c r="CR5" s="2340">
        <v>99297.994457819004</v>
      </c>
      <c r="CS5" s="2340">
        <v>99347.029267602964</v>
      </c>
      <c r="CT5" s="2340">
        <v>99362.071295607602</v>
      </c>
      <c r="CU5" s="2340">
        <v>99395.385667258422</v>
      </c>
      <c r="CV5" s="2340">
        <v>99417.398761877557</v>
      </c>
      <c r="CW5" s="2340">
        <v>99425.605865545018</v>
      </c>
      <c r="CX5" s="2340">
        <v>99470.8862240749</v>
      </c>
      <c r="CY5" s="2340">
        <v>99461.292210894171</v>
      </c>
      <c r="CZ5" s="2340">
        <v>99482.540815060129</v>
      </c>
      <c r="DA5" s="2340">
        <v>99475.027348065341</v>
      </c>
      <c r="DB5" s="2340">
        <v>99512.270799674647</v>
      </c>
      <c r="DC5" s="2340">
        <v>99514.37402167682</v>
      </c>
      <c r="DD5" s="2340">
        <v>99521.95685882571</v>
      </c>
      <c r="DE5" s="2340">
        <v>99519.880682154646</v>
      </c>
      <c r="DF5" s="2340">
        <v>99556.138368237458</v>
      </c>
      <c r="DG5" s="2340">
        <v>99562.855125350732</v>
      </c>
      <c r="DH5" s="2340">
        <v>99572.452136091801</v>
      </c>
      <c r="DI5" s="2340">
        <v>99576.17139034906</v>
      </c>
      <c r="DJ5" s="2340">
        <v>99609.032549578376</v>
      </c>
      <c r="DK5" s="2340">
        <v>99605.542661014508</v>
      </c>
      <c r="DL5" s="2340">
        <v>99594.986596521456</v>
      </c>
      <c r="DM5" s="2340">
        <v>99614.432310790056</v>
      </c>
      <c r="DN5" s="2340">
        <v>99589.979296145888</v>
      </c>
      <c r="DO5" s="2340">
        <v>99610.514663377908</v>
      </c>
      <c r="DP5" s="2340">
        <v>99623.492038036988</v>
      </c>
      <c r="DQ5" s="2340">
        <v>99620.800018541486</v>
      </c>
      <c r="DR5" s="2340">
        <v>99649.27804980411</v>
      </c>
      <c r="DS5" s="2340">
        <v>99639.947760950614</v>
      </c>
      <c r="DT5" s="2340">
        <v>99656.151884281353</v>
      </c>
      <c r="DU5" s="2340">
        <v>99671.612491532491</v>
      </c>
    </row>
    <row r="6" spans="1:126" ht="12.75">
      <c r="A6" s="131">
        <v>4</v>
      </c>
      <c r="B6" s="132"/>
      <c r="C6" s="132"/>
      <c r="D6" s="132"/>
      <c r="E6" s="132"/>
      <c r="F6" s="132"/>
      <c r="G6" s="132"/>
      <c r="H6" s="132"/>
      <c r="I6" s="132"/>
      <c r="J6" s="132"/>
      <c r="K6" s="132"/>
      <c r="L6" s="132"/>
      <c r="M6" s="132"/>
      <c r="N6" s="132"/>
      <c r="O6" s="132"/>
      <c r="P6" s="132"/>
      <c r="Q6" s="132"/>
      <c r="R6" s="132"/>
      <c r="S6" s="132"/>
      <c r="T6" s="132"/>
      <c r="U6" s="132"/>
      <c r="V6" s="132"/>
      <c r="W6" s="132">
        <v>82378</v>
      </c>
      <c r="X6" s="132">
        <v>83194</v>
      </c>
      <c r="Y6" s="132">
        <v>83340.472817296031</v>
      </c>
      <c r="Z6" s="132">
        <v>85751.67154163713</v>
      </c>
      <c r="AA6" s="2340">
        <v>86023.807564285467</v>
      </c>
      <c r="AB6" s="2340">
        <v>86533.774636534217</v>
      </c>
      <c r="AC6" s="2340">
        <v>87213.07893755025</v>
      </c>
      <c r="AD6" s="2340">
        <v>88081.583334280556</v>
      </c>
      <c r="AE6" s="2340">
        <v>87807.357029550141</v>
      </c>
      <c r="AF6" s="2340">
        <v>89064.93560953885</v>
      </c>
      <c r="AG6" s="2340">
        <v>89389.810357526207</v>
      </c>
      <c r="AH6" s="2340">
        <v>89683.648206279453</v>
      </c>
      <c r="AI6" s="2340">
        <v>89802.286528318567</v>
      </c>
      <c r="AJ6" s="2340">
        <v>90990.633430283386</v>
      </c>
      <c r="AK6" s="2340">
        <v>90844.599085597729</v>
      </c>
      <c r="AL6" s="2340">
        <v>91089.730003122735</v>
      </c>
      <c r="AM6" s="2340">
        <v>91283.357977189196</v>
      </c>
      <c r="AN6" s="2340">
        <v>91646.274652244436</v>
      </c>
      <c r="AO6" s="2340">
        <v>91500.709142327702</v>
      </c>
      <c r="AP6" s="2340">
        <v>91464.987889794167</v>
      </c>
      <c r="AQ6" s="2340">
        <v>91364.667009474375</v>
      </c>
      <c r="AR6" s="2340">
        <v>91135.883978262835</v>
      </c>
      <c r="AS6" s="2340">
        <v>90380.507585525091</v>
      </c>
      <c r="AT6" s="2340">
        <v>89349.474276273861</v>
      </c>
      <c r="AU6" s="2340">
        <v>87876.875482764197</v>
      </c>
      <c r="AV6" s="2340">
        <v>88418.880660970652</v>
      </c>
      <c r="AW6" s="2340">
        <v>88708.028046647989</v>
      </c>
      <c r="AX6" s="2340">
        <v>91047.539677278939</v>
      </c>
      <c r="AY6" s="2340">
        <v>93063.546191112138</v>
      </c>
      <c r="AZ6" s="2340">
        <v>93102.117134824875</v>
      </c>
      <c r="BA6" s="2340">
        <v>93160.515643070044</v>
      </c>
      <c r="BB6" s="2340">
        <v>93894.410907877667</v>
      </c>
      <c r="BC6" s="2340">
        <v>94120.432995124647</v>
      </c>
      <c r="BD6" s="2340">
        <v>94599.301797503605</v>
      </c>
      <c r="BE6" s="2340">
        <v>94655.278911172049</v>
      </c>
      <c r="BF6" s="2340">
        <v>95026.975170094403</v>
      </c>
      <c r="BG6" s="2340">
        <v>95058.49076424299</v>
      </c>
      <c r="BH6" s="2340">
        <v>95340.780829365627</v>
      </c>
      <c r="BI6" s="2340">
        <v>95588.397310049768</v>
      </c>
      <c r="BJ6" s="2340">
        <v>95668.344025448227</v>
      </c>
      <c r="BK6" s="2340">
        <v>95989.256168118402</v>
      </c>
      <c r="BL6" s="2340">
        <v>96270.907830016251</v>
      </c>
      <c r="BM6" s="2340">
        <v>96527.164843593462</v>
      </c>
      <c r="BN6" s="2340">
        <v>96794.537813967676</v>
      </c>
      <c r="BO6" s="2340">
        <v>96978.328554965832</v>
      </c>
      <c r="BP6" s="2340">
        <v>97031.837427756021</v>
      </c>
      <c r="BQ6" s="2340">
        <v>97113.666545067303</v>
      </c>
      <c r="BR6" s="2340">
        <v>97156.504337783088</v>
      </c>
      <c r="BS6" s="2340">
        <v>97100.513618179713</v>
      </c>
      <c r="BT6" s="2340">
        <v>97169.159248247524</v>
      </c>
      <c r="BU6" s="2340">
        <v>97239.909797329179</v>
      </c>
      <c r="BV6" s="2340">
        <v>97320.369343924453</v>
      </c>
      <c r="BW6" s="2340">
        <v>97336.491792191315</v>
      </c>
      <c r="BX6" s="2340">
        <v>97461.084233046437</v>
      </c>
      <c r="BY6" s="2340">
        <v>97636.59577638554</v>
      </c>
      <c r="BZ6" s="2340">
        <v>97918.535115104431</v>
      </c>
      <c r="CA6" s="2340">
        <v>98091.250395110575</v>
      </c>
      <c r="CB6" s="2340">
        <v>98154.614748237233</v>
      </c>
      <c r="CC6" s="2340">
        <v>98310.264362004047</v>
      </c>
      <c r="CD6" s="2340">
        <v>98391.05410340034</v>
      </c>
      <c r="CE6" s="2340">
        <v>98463.944096281877</v>
      </c>
      <c r="CF6" s="2340">
        <v>98613.4889848288</v>
      </c>
      <c r="CG6" s="2340">
        <v>98665.609224877844</v>
      </c>
      <c r="CH6" s="2340">
        <v>98757.074100788959</v>
      </c>
      <c r="CI6" s="2340">
        <v>98829.359292051653</v>
      </c>
      <c r="CJ6" s="2340">
        <v>98847.227856268204</v>
      </c>
      <c r="CK6" s="2340">
        <v>98893.082271971114</v>
      </c>
      <c r="CL6" s="2340">
        <v>98985.36620650471</v>
      </c>
      <c r="CM6" s="2340">
        <v>98999.012451469607</v>
      </c>
      <c r="CN6" s="2340">
        <v>99065.360776128873</v>
      </c>
      <c r="CO6" s="2340">
        <v>99156.609961218404</v>
      </c>
      <c r="CP6" s="2340">
        <v>99202.623480628929</v>
      </c>
      <c r="CQ6" s="2340">
        <v>99255.834054259598</v>
      </c>
      <c r="CR6" s="2340">
        <v>99276.202860481193</v>
      </c>
      <c r="CS6" s="2340">
        <v>99327.685338331983</v>
      </c>
      <c r="CT6" s="2340">
        <v>99339.570867654576</v>
      </c>
      <c r="CU6" s="2340">
        <v>99373.757022941674</v>
      </c>
      <c r="CV6" s="2340">
        <v>99395.869928827</v>
      </c>
      <c r="CW6" s="2340">
        <v>99404.714893823955</v>
      </c>
      <c r="CX6" s="2340">
        <v>99452.807319506304</v>
      </c>
      <c r="CY6" s="2340">
        <v>99443.253353543347</v>
      </c>
      <c r="CZ6" s="2340">
        <v>99466.747407430739</v>
      </c>
      <c r="DA6" s="2340">
        <v>99459.463202599261</v>
      </c>
      <c r="DB6" s="2340">
        <v>99496.936374834448</v>
      </c>
      <c r="DC6" s="2340">
        <v>99500.576593371603</v>
      </c>
      <c r="DD6" s="2340">
        <v>99507.953317042717</v>
      </c>
      <c r="DE6" s="2340">
        <v>99504.090018748611</v>
      </c>
      <c r="DF6" s="2340">
        <v>99546.281722167638</v>
      </c>
      <c r="DG6" s="2340">
        <v>99548.748619429942</v>
      </c>
      <c r="DH6" s="2340">
        <v>99558.366983328015</v>
      </c>
      <c r="DI6" s="2340">
        <v>99562.772101800903</v>
      </c>
      <c r="DJ6" s="2340">
        <v>99596.228885583012</v>
      </c>
      <c r="DK6" s="2340">
        <v>99595.405072438429</v>
      </c>
      <c r="DL6" s="2340">
        <v>99585.808509954266</v>
      </c>
      <c r="DM6" s="2340">
        <v>99600.699380402031</v>
      </c>
      <c r="DN6" s="2340">
        <v>99579.143397063046</v>
      </c>
      <c r="DO6" s="2340">
        <v>99600.640605969791</v>
      </c>
      <c r="DP6" s="2340">
        <v>99610.722058170053</v>
      </c>
      <c r="DQ6" s="2340">
        <v>99609.095801854128</v>
      </c>
      <c r="DR6" s="2340">
        <v>99638.07553557567</v>
      </c>
      <c r="DS6" s="2340">
        <v>99629.229511562487</v>
      </c>
      <c r="DT6" s="2340">
        <v>99645.894337671096</v>
      </c>
      <c r="DU6" s="2340">
        <v>99661.795918789052</v>
      </c>
    </row>
    <row r="7" spans="1:126" ht="12.75">
      <c r="A7" s="131">
        <v>5</v>
      </c>
      <c r="B7" s="132"/>
      <c r="C7" s="132"/>
      <c r="D7" s="132"/>
      <c r="E7" s="132"/>
      <c r="F7" s="132"/>
      <c r="G7" s="132"/>
      <c r="H7" s="132"/>
      <c r="I7" s="132"/>
      <c r="J7" s="132"/>
      <c r="K7" s="132"/>
      <c r="L7" s="132"/>
      <c r="M7" s="132"/>
      <c r="N7" s="132"/>
      <c r="O7" s="132"/>
      <c r="P7" s="132"/>
      <c r="Q7" s="132"/>
      <c r="R7" s="132"/>
      <c r="S7" s="132"/>
      <c r="T7" s="132"/>
      <c r="U7" s="132"/>
      <c r="V7" s="132"/>
      <c r="W7" s="132">
        <v>82117</v>
      </c>
      <c r="X7" s="132">
        <v>82931</v>
      </c>
      <c r="Y7" s="132">
        <v>83059.851445698761</v>
      </c>
      <c r="Z7" s="132">
        <v>85473.010589292287</v>
      </c>
      <c r="AA7" s="2340">
        <v>85697.044614151149</v>
      </c>
      <c r="AB7" s="2340">
        <v>86234.298257043905</v>
      </c>
      <c r="AC7" s="2340">
        <v>86953.509815717509</v>
      </c>
      <c r="AD7" s="2340">
        <v>87840.239795944624</v>
      </c>
      <c r="AE7" s="2340">
        <v>87566.764871289168</v>
      </c>
      <c r="AF7" s="2340">
        <v>88820.89768596871</v>
      </c>
      <c r="AG7" s="2340">
        <v>89102.101934622013</v>
      </c>
      <c r="AH7" s="2340">
        <v>89389.562402647018</v>
      </c>
      <c r="AI7" s="2340">
        <v>89529.570246703064</v>
      </c>
      <c r="AJ7" s="2340">
        <v>90730.848951072825</v>
      </c>
      <c r="AK7" s="2340">
        <v>90563.213856238785</v>
      </c>
      <c r="AL7" s="2340">
        <v>90807.58549671105</v>
      </c>
      <c r="AM7" s="2340">
        <v>91000.61372073798</v>
      </c>
      <c r="AN7" s="2340">
        <v>91362.406285027406</v>
      </c>
      <c r="AO7" s="2340">
        <v>91188.949906044581</v>
      </c>
      <c r="AP7" s="2340">
        <v>91110.854335698226</v>
      </c>
      <c r="AQ7" s="2340">
        <v>90940.172850649251</v>
      </c>
      <c r="AR7" s="2340">
        <v>90868.855838206524</v>
      </c>
      <c r="AS7" s="2340">
        <v>90115.692698299506</v>
      </c>
      <c r="AT7" s="2340">
        <v>89183.349021975562</v>
      </c>
      <c r="AU7" s="2340">
        <v>87742.423863275573</v>
      </c>
      <c r="AV7" s="2340">
        <v>88283.59977355937</v>
      </c>
      <c r="AW7" s="2340">
        <v>88572.304763736611</v>
      </c>
      <c r="AX7" s="2340">
        <v>90936.0526641779</v>
      </c>
      <c r="AY7" s="2340">
        <v>92951.517815824627</v>
      </c>
      <c r="AZ7" s="2340">
        <v>93003.760461159574</v>
      </c>
      <c r="BA7" s="2340">
        <v>93067.425533359667</v>
      </c>
      <c r="BB7" s="2340">
        <v>93802.908803558414</v>
      </c>
      <c r="BC7" s="2340">
        <v>94031.970836187029</v>
      </c>
      <c r="BD7" s="2340">
        <v>94507.037596639086</v>
      </c>
      <c r="BE7" s="2340">
        <v>94570.489080473111</v>
      </c>
      <c r="BF7" s="2340">
        <v>94943.405745290365</v>
      </c>
      <c r="BG7" s="2340">
        <v>94971.887329354286</v>
      </c>
      <c r="BH7" s="2340">
        <v>95269.686796117065</v>
      </c>
      <c r="BI7" s="2340">
        <v>95513.329581624639</v>
      </c>
      <c r="BJ7" s="2340">
        <v>95590.081134050706</v>
      </c>
      <c r="BK7" s="2340">
        <v>95912.668192629571</v>
      </c>
      <c r="BL7" s="2340">
        <v>96196.774381118186</v>
      </c>
      <c r="BM7" s="2340">
        <v>96451.59497756332</v>
      </c>
      <c r="BN7" s="2340">
        <v>96722.098910678469</v>
      </c>
      <c r="BO7" s="2340">
        <v>96900.7755378601</v>
      </c>
      <c r="BP7" s="2340">
        <v>96954.72985624068</v>
      </c>
      <c r="BQ7" s="2340">
        <v>97043.887032406899</v>
      </c>
      <c r="BR7" s="2340">
        <v>97088.306026933438</v>
      </c>
      <c r="BS7" s="2340">
        <v>97037.373680113</v>
      </c>
      <c r="BT7" s="2340">
        <v>97113.538124521263</v>
      </c>
      <c r="BU7" s="2340">
        <v>97181.515775733395</v>
      </c>
      <c r="BV7" s="2340">
        <v>97266.789140978348</v>
      </c>
      <c r="BW7" s="2340">
        <v>97283.508624705617</v>
      </c>
      <c r="BX7" s="2340">
        <v>97407.677560044569</v>
      </c>
      <c r="BY7" s="2340">
        <v>97585.455458605153</v>
      </c>
      <c r="BZ7" s="2340">
        <v>97876.150896276449</v>
      </c>
      <c r="CA7" s="2340">
        <v>98049.985586494091</v>
      </c>
      <c r="CB7" s="2340">
        <v>98116.246862167856</v>
      </c>
      <c r="CC7" s="2340">
        <v>98275.069728246584</v>
      </c>
      <c r="CD7" s="2340">
        <v>98354.55490056664</v>
      </c>
      <c r="CE7" s="2340">
        <v>98426.696723501314</v>
      </c>
      <c r="CF7" s="2340">
        <v>98577.744674978559</v>
      </c>
      <c r="CG7" s="2340">
        <v>98637.031019691538</v>
      </c>
      <c r="CH7" s="2340">
        <v>98723.757416830063</v>
      </c>
      <c r="CI7" s="2340">
        <v>98798.449319916836</v>
      </c>
      <c r="CJ7" s="2340">
        <v>98819.996163819887</v>
      </c>
      <c r="CK7" s="2340">
        <v>98866.111573734379</v>
      </c>
      <c r="CL7" s="2340">
        <v>98961.583198510983</v>
      </c>
      <c r="CM7" s="2340">
        <v>98973.263350632158</v>
      </c>
      <c r="CN7" s="2340">
        <v>99042.181828473142</v>
      </c>
      <c r="CO7" s="2340">
        <v>99137.74673267646</v>
      </c>
      <c r="CP7" s="2340">
        <v>99181.204788265502</v>
      </c>
      <c r="CQ7" s="2340">
        <v>99239.890875786659</v>
      </c>
      <c r="CR7" s="2340">
        <v>99257.3939813654</v>
      </c>
      <c r="CS7" s="2340">
        <v>99311.14908206767</v>
      </c>
      <c r="CT7" s="2340">
        <v>99323.615577437246</v>
      </c>
      <c r="CU7" s="2340">
        <v>99361.665580472138</v>
      </c>
      <c r="CV7" s="2340">
        <v>99381.957305426913</v>
      </c>
      <c r="CW7" s="2340">
        <v>99389.813490653483</v>
      </c>
      <c r="CX7" s="2340">
        <v>99438.75847911743</v>
      </c>
      <c r="CY7" s="2340">
        <v>99428.879192823704</v>
      </c>
      <c r="CZ7" s="2340">
        <v>99453.3563344664</v>
      </c>
      <c r="DA7" s="2340">
        <v>99444.165833725026</v>
      </c>
      <c r="DB7" s="2340">
        <v>99483.783604960641</v>
      </c>
      <c r="DC7" s="2340">
        <v>99487.071876074842</v>
      </c>
      <c r="DD7" s="2340">
        <v>99495.337320829087</v>
      </c>
      <c r="DE7" s="2340">
        <v>99492.288565919909</v>
      </c>
      <c r="DF7" s="2340">
        <v>99533.962824571063</v>
      </c>
      <c r="DG7" s="2340">
        <v>99540.185697481153</v>
      </c>
      <c r="DH7" s="2340">
        <v>99545.850049934103</v>
      </c>
      <c r="DI7" s="2340">
        <v>99549.143833793205</v>
      </c>
      <c r="DJ7" s="2340">
        <v>99587.133950292307</v>
      </c>
      <c r="DK7" s="2340">
        <v>99586.161450453888</v>
      </c>
      <c r="DL7" s="2340">
        <v>99573.920415490313</v>
      </c>
      <c r="DM7" s="2340">
        <v>99588.05375063089</v>
      </c>
      <c r="DN7" s="2340">
        <v>99568.600393974673</v>
      </c>
      <c r="DO7" s="2340">
        <v>99590.862363556982</v>
      </c>
      <c r="DP7" s="2340">
        <v>99601.092524935215</v>
      </c>
      <c r="DQ7" s="2340">
        <v>99599.875636905024</v>
      </c>
      <c r="DR7" s="2340">
        <v>99629.244623347739</v>
      </c>
      <c r="DS7" s="2340">
        <v>99620.77462950231</v>
      </c>
      <c r="DT7" s="2340">
        <v>99637.797401117568</v>
      </c>
      <c r="DU7" s="2340">
        <v>99654.041833377705</v>
      </c>
    </row>
    <row r="8" spans="1:126" ht="12.75">
      <c r="A8" s="131">
        <v>6</v>
      </c>
      <c r="B8" s="132"/>
      <c r="C8" s="132"/>
      <c r="D8" s="132"/>
      <c r="E8" s="132"/>
      <c r="F8" s="132"/>
      <c r="G8" s="132"/>
      <c r="H8" s="132"/>
      <c r="I8" s="132"/>
      <c r="J8" s="132"/>
      <c r="K8" s="132"/>
      <c r="L8" s="132"/>
      <c r="M8" s="132"/>
      <c r="N8" s="132"/>
      <c r="O8" s="132"/>
      <c r="P8" s="132"/>
      <c r="Q8" s="132"/>
      <c r="R8" s="132"/>
      <c r="S8" s="132"/>
      <c r="T8" s="132"/>
      <c r="U8" s="132"/>
      <c r="V8" s="132"/>
      <c r="W8" s="132">
        <v>81919</v>
      </c>
      <c r="X8" s="132">
        <v>82717</v>
      </c>
      <c r="Y8" s="132">
        <v>82842.228509688444</v>
      </c>
      <c r="Z8" s="132">
        <v>85211.23861955732</v>
      </c>
      <c r="AA8" s="2340">
        <v>85445.925255882757</v>
      </c>
      <c r="AB8" s="2340">
        <v>86016.98367718987</v>
      </c>
      <c r="AC8" s="2340">
        <v>86751.777672945042</v>
      </c>
      <c r="AD8" s="2340">
        <v>87636.450439618027</v>
      </c>
      <c r="AE8" s="2340">
        <v>87363.609976787775</v>
      </c>
      <c r="AF8" s="2340">
        <v>88578.840967839162</v>
      </c>
      <c r="AG8" s="2340">
        <v>88854.709642026035</v>
      </c>
      <c r="AH8" s="2340">
        <v>89159.710604615277</v>
      </c>
      <c r="AI8" s="2340">
        <v>89313.138764249044</v>
      </c>
      <c r="AJ8" s="2340">
        <v>90492.894090458707</v>
      </c>
      <c r="AK8" s="2340">
        <v>90325.698643066367</v>
      </c>
      <c r="AL8" s="2340">
        <v>90569.429383334136</v>
      </c>
      <c r="AM8" s="2340">
        <v>90761.951362741151</v>
      </c>
      <c r="AN8" s="2340">
        <v>91098.83395219149</v>
      </c>
      <c r="AO8" s="2340">
        <v>90890.004534716936</v>
      </c>
      <c r="AP8" s="2340">
        <v>90752.427115609462</v>
      </c>
      <c r="AQ8" s="2340">
        <v>90732.829256549769</v>
      </c>
      <c r="AR8" s="2340">
        <v>90661.674846895417</v>
      </c>
      <c r="AS8" s="2340">
        <v>89985.31259845967</v>
      </c>
      <c r="AT8" s="2340">
        <v>89075.437169658966</v>
      </c>
      <c r="AU8" s="2340">
        <v>87636.255530401017</v>
      </c>
      <c r="AV8" s="2340">
        <v>88176.77661783337</v>
      </c>
      <c r="AW8" s="2340">
        <v>88487.615223051631</v>
      </c>
      <c r="AX8" s="2340">
        <v>90849.017619744496</v>
      </c>
      <c r="AY8" s="2340">
        <v>92863.298809298067</v>
      </c>
      <c r="AZ8" s="2340">
        <v>92915.77621919442</v>
      </c>
      <c r="BA8" s="2340">
        <v>92986.174329148314</v>
      </c>
      <c r="BB8" s="2340">
        <v>93725.398711961097</v>
      </c>
      <c r="BC8" s="2340">
        <v>93964.468257654109</v>
      </c>
      <c r="BD8" s="2340">
        <v>94432.447502026655</v>
      </c>
      <c r="BE8" s="2340">
        <v>94494.584243513455</v>
      </c>
      <c r="BF8" s="2340">
        <v>94870.104425935453</v>
      </c>
      <c r="BG8" s="2340">
        <v>94903.713599801733</v>
      </c>
      <c r="BH8" s="2340">
        <v>95200.023743954211</v>
      </c>
      <c r="BI8" s="2340">
        <v>95449.5472202729</v>
      </c>
      <c r="BJ8" s="2340">
        <v>95525.290318379193</v>
      </c>
      <c r="BK8" s="2340">
        <v>95843.989166482206</v>
      </c>
      <c r="BL8" s="2340">
        <v>96126.189459334564</v>
      </c>
      <c r="BM8" s="2340">
        <v>96384.587303193737</v>
      </c>
      <c r="BN8" s="2340">
        <v>96646.937178769818</v>
      </c>
      <c r="BO8" s="2340">
        <v>96836.092129974495</v>
      </c>
      <c r="BP8" s="2340">
        <v>96889.577692509978</v>
      </c>
      <c r="BQ8" s="2340">
        <v>96980.976072908466</v>
      </c>
      <c r="BR8" s="2340">
        <v>97031.155435713212</v>
      </c>
      <c r="BS8" s="2340">
        <v>96977.587295005855</v>
      </c>
      <c r="BT8" s="2340">
        <v>97058.326777854745</v>
      </c>
      <c r="BU8" s="2340">
        <v>97128.209655168088</v>
      </c>
      <c r="BV8" s="2340">
        <v>97218.805197251597</v>
      </c>
      <c r="BW8" s="2340">
        <v>97237.11031249685</v>
      </c>
      <c r="BX8" s="2340">
        <v>97360.588194201686</v>
      </c>
      <c r="BY8" s="2340">
        <v>97538.282111200984</v>
      </c>
      <c r="BZ8" s="2340">
        <v>97837.368348976801</v>
      </c>
      <c r="CA8" s="2340">
        <v>98011.716472119806</v>
      </c>
      <c r="CB8" s="2340">
        <v>98082.74495873462</v>
      </c>
      <c r="CC8" s="2340">
        <v>98243.521305468079</v>
      </c>
      <c r="CD8" s="2340">
        <v>98326.650292622478</v>
      </c>
      <c r="CE8" s="2340">
        <v>98396.420919190612</v>
      </c>
      <c r="CF8" s="2340">
        <v>98547.142462696051</v>
      </c>
      <c r="CG8" s="2340">
        <v>98609.219883912359</v>
      </c>
      <c r="CH8" s="2340">
        <v>98696.259195119026</v>
      </c>
      <c r="CI8" s="2340">
        <v>98770.915097822217</v>
      </c>
      <c r="CJ8" s="2340">
        <v>98793.776843272382</v>
      </c>
      <c r="CK8" s="2340">
        <v>98845.984886965904</v>
      </c>
      <c r="CL8" s="2340">
        <v>98942.692103884736</v>
      </c>
      <c r="CM8" s="2340">
        <v>98952.256829688966</v>
      </c>
      <c r="CN8" s="2340">
        <v>99021.186304142597</v>
      </c>
      <c r="CO8" s="2340">
        <v>99122.547042069898</v>
      </c>
      <c r="CP8" s="2340">
        <v>99164.233085872649</v>
      </c>
      <c r="CQ8" s="2340">
        <v>99227.046204741418</v>
      </c>
      <c r="CR8" s="2340">
        <v>99246.53365538051</v>
      </c>
      <c r="CS8" s="2340">
        <v>99297.388305515648</v>
      </c>
      <c r="CT8" s="2340">
        <v>99309.146038833307</v>
      </c>
      <c r="CU8" s="2340">
        <v>99349.36709329937</v>
      </c>
      <c r="CV8" s="2340">
        <v>99368.79221902549</v>
      </c>
      <c r="CW8" s="2340">
        <v>99375.660747197398</v>
      </c>
      <c r="CX8" s="2340">
        <v>99429.223124220967</v>
      </c>
      <c r="CY8" s="2340">
        <v>99413.448738397536</v>
      </c>
      <c r="CZ8" s="2340">
        <v>99441.831181835383</v>
      </c>
      <c r="DA8" s="2340">
        <v>99432.953554482534</v>
      </c>
      <c r="DB8" s="2340">
        <v>99473.369948542022</v>
      </c>
      <c r="DC8" s="2340">
        <v>99475.47954614737</v>
      </c>
      <c r="DD8" s="2340">
        <v>99483.616356271174</v>
      </c>
      <c r="DE8" s="2340">
        <v>99481.106618178106</v>
      </c>
      <c r="DF8" s="2340">
        <v>99524.513896814678</v>
      </c>
      <c r="DG8" s="2340">
        <v>99531.165431478497</v>
      </c>
      <c r="DH8" s="2340">
        <v>99536.347041120083</v>
      </c>
      <c r="DI8" s="2340">
        <v>99538.204833246928</v>
      </c>
      <c r="DJ8" s="2340">
        <v>99577.868066857191</v>
      </c>
      <c r="DK8" s="2340">
        <v>99578.561853900916</v>
      </c>
      <c r="DL8" s="2340">
        <v>99564.619105196602</v>
      </c>
      <c r="DM8" s="2340">
        <v>99576.952049828687</v>
      </c>
      <c r="DN8" s="2340">
        <v>99560.768816426411</v>
      </c>
      <c r="DO8" s="2340">
        <v>99582.66969252222</v>
      </c>
      <c r="DP8" s="2340">
        <v>99593.241936249047</v>
      </c>
      <c r="DQ8" s="2340">
        <v>99592.353711605741</v>
      </c>
      <c r="DR8" s="2340">
        <v>99622.03538879384</v>
      </c>
      <c r="DS8" s="2340">
        <v>99613.867711017068</v>
      </c>
      <c r="DT8" s="2340">
        <v>99631.178427764709</v>
      </c>
      <c r="DU8" s="2340">
        <v>99647.698850630346</v>
      </c>
    </row>
    <row r="9" spans="1:126" ht="12.75">
      <c r="A9" s="131">
        <v>7</v>
      </c>
      <c r="B9" s="132"/>
      <c r="C9" s="132"/>
      <c r="D9" s="132"/>
      <c r="E9" s="132"/>
      <c r="F9" s="132"/>
      <c r="G9" s="132"/>
      <c r="H9" s="132"/>
      <c r="I9" s="132"/>
      <c r="J9" s="132"/>
      <c r="K9" s="132"/>
      <c r="L9" s="132"/>
      <c r="M9" s="132"/>
      <c r="N9" s="132"/>
      <c r="O9" s="132"/>
      <c r="P9" s="132"/>
      <c r="Q9" s="132"/>
      <c r="R9" s="132"/>
      <c r="S9" s="132"/>
      <c r="T9" s="132"/>
      <c r="U9" s="132"/>
      <c r="V9" s="132"/>
      <c r="W9" s="132">
        <v>81745</v>
      </c>
      <c r="X9" s="132">
        <v>82529</v>
      </c>
      <c r="Y9" s="132">
        <v>82621.443614518983</v>
      </c>
      <c r="Z9" s="132">
        <v>84981.992050483619</v>
      </c>
      <c r="AA9" s="2340">
        <v>85248.23202166312</v>
      </c>
      <c r="AB9" s="2340">
        <v>85833.767501957453</v>
      </c>
      <c r="AC9" s="2340">
        <v>86566.996386501662</v>
      </c>
      <c r="AD9" s="2340">
        <v>87449.784800181646</v>
      </c>
      <c r="AE9" s="2340">
        <v>87145.023055899699</v>
      </c>
      <c r="AF9" s="2340">
        <v>88353.043104556229</v>
      </c>
      <c r="AG9" s="2340">
        <v>88644.944575206959</v>
      </c>
      <c r="AH9" s="2340">
        <v>88961.824999595337</v>
      </c>
      <c r="AI9" s="2340">
        <v>89098.085233774851</v>
      </c>
      <c r="AJ9" s="2340">
        <v>90274.999874375353</v>
      </c>
      <c r="AK9" s="2340">
        <v>90108.207010205806</v>
      </c>
      <c r="AL9" s="2340">
        <v>90351.350880983766</v>
      </c>
      <c r="AM9" s="2340">
        <v>90521.555087594155</v>
      </c>
      <c r="AN9" s="2340">
        <v>90824.642409175445</v>
      </c>
      <c r="AO9" s="2340">
        <v>90561.728931085992</v>
      </c>
      <c r="AP9" s="2340">
        <v>90579.089979818644</v>
      </c>
      <c r="AQ9" s="2340">
        <v>90559.529552669759</v>
      </c>
      <c r="AR9" s="2340">
        <v>90551.791180451022</v>
      </c>
      <c r="AS9" s="2340">
        <v>89893.527579609246</v>
      </c>
      <c r="AT9" s="2340">
        <v>88984.580223745914</v>
      </c>
      <c r="AU9" s="2340">
        <v>87546.866549760001</v>
      </c>
      <c r="AV9" s="2340">
        <v>88101.808822137609</v>
      </c>
      <c r="AW9" s="2340">
        <v>88416.869511243218</v>
      </c>
      <c r="AX9" s="2340">
        <v>90778.309967557943</v>
      </c>
      <c r="AY9" s="2340">
        <v>92788.704426215918</v>
      </c>
      <c r="AZ9" s="2340">
        <v>92838.842548821005</v>
      </c>
      <c r="BA9" s="2340">
        <v>92916.080833869026</v>
      </c>
      <c r="BB9" s="2340">
        <v>93661.274619263102</v>
      </c>
      <c r="BC9" s="2340">
        <v>93903.567104449612</v>
      </c>
      <c r="BD9" s="2340">
        <v>94361.560484901871</v>
      </c>
      <c r="BE9" s="2340">
        <v>94427.342322209282</v>
      </c>
      <c r="BF9" s="2340">
        <v>94806.807472931367</v>
      </c>
      <c r="BG9" s="2340">
        <v>94842.111963334901</v>
      </c>
      <c r="BH9" s="2340">
        <v>95140.513316326353</v>
      </c>
      <c r="BI9" s="2340">
        <v>95388.361613080415</v>
      </c>
      <c r="BJ9" s="2340">
        <v>95463.336537996642</v>
      </c>
      <c r="BK9" s="2340">
        <v>95778.125888053459</v>
      </c>
      <c r="BL9" s="2340">
        <v>96060.551585912268</v>
      </c>
      <c r="BM9" s="2340">
        <v>96323.031058104942</v>
      </c>
      <c r="BN9" s="2340">
        <v>96584.269457861097</v>
      </c>
      <c r="BO9" s="2340">
        <v>96770.104927529042</v>
      </c>
      <c r="BP9" s="2340">
        <v>96828.766054620966</v>
      </c>
      <c r="BQ9" s="2340">
        <v>96931.430266800977</v>
      </c>
      <c r="BR9" s="2340">
        <v>96976.460620922153</v>
      </c>
      <c r="BS9" s="2340">
        <v>96928.536181824282</v>
      </c>
      <c r="BT9" s="2340">
        <v>97008.60770679063</v>
      </c>
      <c r="BU9" s="2340">
        <v>97083.222726040796</v>
      </c>
      <c r="BV9" s="2340">
        <v>97171.322497076864</v>
      </c>
      <c r="BW9" s="2340">
        <v>97198.364698777281</v>
      </c>
      <c r="BX9" s="2340">
        <v>97321.349805049555</v>
      </c>
      <c r="BY9" s="2340">
        <v>97501.431168743729</v>
      </c>
      <c r="BZ9" s="2340">
        <v>97804.915452932692</v>
      </c>
      <c r="CA9" s="2340">
        <v>97981.096494168276</v>
      </c>
      <c r="CB9" s="2340">
        <v>98057.159118581665</v>
      </c>
      <c r="CC9" s="2340">
        <v>98214.514538843068</v>
      </c>
      <c r="CD9" s="2340">
        <v>98300.806350419414</v>
      </c>
      <c r="CE9" s="2340">
        <v>98369.958532590084</v>
      </c>
      <c r="CF9" s="2340">
        <v>98520.387999490078</v>
      </c>
      <c r="CG9" s="2340">
        <v>98588.861107612785</v>
      </c>
      <c r="CH9" s="2340">
        <v>98672.528462591363</v>
      </c>
      <c r="CI9" s="2340">
        <v>98751.144351185649</v>
      </c>
      <c r="CJ9" s="2340">
        <v>98773.868804370082</v>
      </c>
      <c r="CK9" s="2340">
        <v>98824.37213809602</v>
      </c>
      <c r="CL9" s="2340">
        <v>98927.544835056528</v>
      </c>
      <c r="CM9" s="2340">
        <v>98934.068681811783</v>
      </c>
      <c r="CN9" s="2340">
        <v>99005.150829647551</v>
      </c>
      <c r="CO9" s="2340">
        <v>99106.909108947148</v>
      </c>
      <c r="CP9" s="2340">
        <v>99150.508737404278</v>
      </c>
      <c r="CQ9" s="2340">
        <v>99211.13755191589</v>
      </c>
      <c r="CR9" s="2340">
        <v>99231.237401865161</v>
      </c>
      <c r="CS9" s="2340">
        <v>99286.154602076509</v>
      </c>
      <c r="CT9" s="2340">
        <v>99295.176475217057</v>
      </c>
      <c r="CU9" s="2340">
        <v>99338.494081596102</v>
      </c>
      <c r="CV9" s="2340">
        <v>99357.816378980293</v>
      </c>
      <c r="CW9" s="2340">
        <v>99364.720740885197</v>
      </c>
      <c r="CX9" s="2340">
        <v>99420.674928101565</v>
      </c>
      <c r="CY9" s="2340">
        <v>99401.133833084779</v>
      </c>
      <c r="CZ9" s="2340">
        <v>99431.355732263124</v>
      </c>
      <c r="DA9" s="2340">
        <v>99425.015374865718</v>
      </c>
      <c r="DB9" s="2340">
        <v>99460.978810687622</v>
      </c>
      <c r="DC9" s="2340">
        <v>99464.757796143283</v>
      </c>
      <c r="DD9" s="2340">
        <v>99476.498746382131</v>
      </c>
      <c r="DE9" s="2340">
        <v>99471.65980013716</v>
      </c>
      <c r="DF9" s="2340">
        <v>99515.440042036309</v>
      </c>
      <c r="DG9" s="2340">
        <v>99522.348945899255</v>
      </c>
      <c r="DH9" s="2340">
        <v>99526.189909622888</v>
      </c>
      <c r="DI9" s="2340">
        <v>99529.535650230639</v>
      </c>
      <c r="DJ9" s="2340">
        <v>99567.880402478186</v>
      </c>
      <c r="DK9" s="2340">
        <v>99569.703901401183</v>
      </c>
      <c r="DL9" s="2340">
        <v>99557.861015576244</v>
      </c>
      <c r="DM9" s="2340">
        <v>99568.642524527429</v>
      </c>
      <c r="DN9" s="2340">
        <v>99553.5234754126</v>
      </c>
      <c r="DO9" s="2340">
        <v>99575.721404257856</v>
      </c>
      <c r="DP9" s="2340">
        <v>99586.579280019738</v>
      </c>
      <c r="DQ9" s="2340">
        <v>99585.965680742593</v>
      </c>
      <c r="DR9" s="2340">
        <v>99615.908783621126</v>
      </c>
      <c r="DS9" s="2340">
        <v>99607.994065147635</v>
      </c>
      <c r="DT9" s="2340">
        <v>99625.545856485129</v>
      </c>
      <c r="DU9" s="2340">
        <v>99642.297502412359</v>
      </c>
    </row>
    <row r="10" spans="1:126" ht="12.75">
      <c r="A10" s="131">
        <v>8</v>
      </c>
      <c r="B10" s="132"/>
      <c r="C10" s="132"/>
      <c r="D10" s="132"/>
      <c r="E10" s="132"/>
      <c r="F10" s="132"/>
      <c r="G10" s="132"/>
      <c r="H10" s="132"/>
      <c r="I10" s="132"/>
      <c r="J10" s="132"/>
      <c r="K10" s="132"/>
      <c r="L10" s="132"/>
      <c r="M10" s="132"/>
      <c r="N10" s="132"/>
      <c r="O10" s="132"/>
      <c r="P10" s="132"/>
      <c r="Q10" s="132"/>
      <c r="R10" s="132"/>
      <c r="S10" s="132"/>
      <c r="T10" s="132"/>
      <c r="U10" s="132"/>
      <c r="V10" s="132"/>
      <c r="W10" s="132">
        <v>81582</v>
      </c>
      <c r="X10" s="132">
        <v>82347</v>
      </c>
      <c r="Y10" s="132">
        <v>82448.120572123007</v>
      </c>
      <c r="Z10" s="132">
        <v>84829.162011827546</v>
      </c>
      <c r="AA10" s="2340">
        <v>85081.145486900656</v>
      </c>
      <c r="AB10" s="2340">
        <v>85665.533317653622</v>
      </c>
      <c r="AC10" s="2340">
        <v>86397.325073584114</v>
      </c>
      <c r="AD10" s="2340">
        <v>87248.881334127189</v>
      </c>
      <c r="AE10" s="2340">
        <v>86953.514664407368</v>
      </c>
      <c r="AF10" s="2340">
        <v>88176.513547903771</v>
      </c>
      <c r="AG10" s="2340">
        <v>88467.831798832922</v>
      </c>
      <c r="AH10" s="2340">
        <v>88775.201122167491</v>
      </c>
      <c r="AI10" s="2340">
        <v>88911.175509993889</v>
      </c>
      <c r="AJ10" s="2340">
        <v>90085.621222223926</v>
      </c>
      <c r="AK10" s="2340">
        <v>89919.178255676627</v>
      </c>
      <c r="AL10" s="2340">
        <v>90142.858177787057</v>
      </c>
      <c r="AM10" s="2340">
        <v>90284.185243825181</v>
      </c>
      <c r="AN10" s="2340">
        <v>90538.844872999529</v>
      </c>
      <c r="AO10" s="2340">
        <v>90411.396461060387</v>
      </c>
      <c r="AP10" s="2340">
        <v>90428.728690452146</v>
      </c>
      <c r="AQ10" s="2340">
        <v>90441.87863734625</v>
      </c>
      <c r="AR10" s="2340">
        <v>90466.672496741405</v>
      </c>
      <c r="AS10" s="2340">
        <v>89809.027663684421</v>
      </c>
      <c r="AT10" s="2340">
        <v>88900.934718335586</v>
      </c>
      <c r="AU10" s="2340">
        <v>87482.594520378174</v>
      </c>
      <c r="AV10" s="2340">
        <v>88033.557576049847</v>
      </c>
      <c r="AW10" s="2340">
        <v>88352.494911529546</v>
      </c>
      <c r="AX10" s="2340">
        <v>90717.941141401112</v>
      </c>
      <c r="AY10" s="2340">
        <v>92722.404431519913</v>
      </c>
      <c r="AZ10" s="2340">
        <v>92770.247916257038</v>
      </c>
      <c r="BA10" s="2340">
        <v>92857.596263781743</v>
      </c>
      <c r="BB10" s="2340">
        <v>93596.196018117189</v>
      </c>
      <c r="BC10" s="2340">
        <v>93847.260524160432</v>
      </c>
      <c r="BD10" s="2340">
        <v>94308.620652407015</v>
      </c>
      <c r="BE10" s="2340">
        <v>94374.798606524972</v>
      </c>
      <c r="BF10" s="2340">
        <v>94745.815347307027</v>
      </c>
      <c r="BG10" s="2340">
        <v>94790.22910593696</v>
      </c>
      <c r="BH10" s="2340">
        <v>95080.944621456132</v>
      </c>
      <c r="BI10" s="2340">
        <v>95330.196846046616</v>
      </c>
      <c r="BJ10" s="2340">
        <v>95400.797092526438</v>
      </c>
      <c r="BK10" s="2340">
        <v>95724.849354947539</v>
      </c>
      <c r="BL10" s="2340">
        <v>96002.981157758579</v>
      </c>
      <c r="BM10" s="2340">
        <v>96265.565095651385</v>
      </c>
      <c r="BN10" s="2340">
        <v>96528.110047271242</v>
      </c>
      <c r="BO10" s="2340">
        <v>96713.051191366147</v>
      </c>
      <c r="BP10" s="2340">
        <v>96776.924119274787</v>
      </c>
      <c r="BQ10" s="2340">
        <v>96882.988535259981</v>
      </c>
      <c r="BR10" s="2340">
        <v>96930.137814408125</v>
      </c>
      <c r="BS10" s="2340">
        <v>96883.498759521026</v>
      </c>
      <c r="BT10" s="2340">
        <v>96965.394835281535</v>
      </c>
      <c r="BU10" s="2340">
        <v>97041.438866873359</v>
      </c>
      <c r="BV10" s="2340">
        <v>97128.401015515075</v>
      </c>
      <c r="BW10" s="2340">
        <v>97159.929447163697</v>
      </c>
      <c r="BX10" s="2340">
        <v>97283.48772986338</v>
      </c>
      <c r="BY10" s="2340">
        <v>97467.835845595051</v>
      </c>
      <c r="BZ10" s="2340">
        <v>97776.109936323948</v>
      </c>
      <c r="CA10" s="2340">
        <v>97953.851598929425</v>
      </c>
      <c r="CB10" s="2340">
        <v>98026.649763162583</v>
      </c>
      <c r="CC10" s="2340">
        <v>98189.374197492085</v>
      </c>
      <c r="CD10" s="2340">
        <v>98276.14344987669</v>
      </c>
      <c r="CE10" s="2340">
        <v>98341.928395268944</v>
      </c>
      <c r="CF10" s="2340">
        <v>98497.733686207575</v>
      </c>
      <c r="CG10" s="2340">
        <v>98561.548868119979</v>
      </c>
      <c r="CH10" s="2340">
        <v>98655.174850008101</v>
      </c>
      <c r="CI10" s="2340">
        <v>98733.160492477284</v>
      </c>
      <c r="CJ10" s="2340">
        <v>98755.826815028544</v>
      </c>
      <c r="CK10" s="2340">
        <v>98806.411469591869</v>
      </c>
      <c r="CL10" s="2340">
        <v>98911.283045159274</v>
      </c>
      <c r="CM10" s="2340">
        <v>98922.958267989554</v>
      </c>
      <c r="CN10" s="2340">
        <v>98991.567338463239</v>
      </c>
      <c r="CO10" s="2340">
        <v>99093.048717996746</v>
      </c>
      <c r="CP10" s="2340">
        <v>99137.507766880633</v>
      </c>
      <c r="CQ10" s="2340">
        <v>99200.223130944272</v>
      </c>
      <c r="CR10" s="2340">
        <v>99220.159547168892</v>
      </c>
      <c r="CS10" s="2340">
        <v>99273.445575572885</v>
      </c>
      <c r="CT10" s="2340">
        <v>99281.942123344954</v>
      </c>
      <c r="CU10" s="2340">
        <v>99329.271900786989</v>
      </c>
      <c r="CV10" s="2340">
        <v>99346.585506885269</v>
      </c>
      <c r="CW10" s="2340">
        <v>99354.757829735652</v>
      </c>
      <c r="CX10" s="2340">
        <v>99409.346636438422</v>
      </c>
      <c r="CY10" s="2340">
        <v>99393.786864915703</v>
      </c>
      <c r="CZ10" s="2340">
        <v>99421.680931325085</v>
      </c>
      <c r="DA10" s="2340">
        <v>99418.964274248749</v>
      </c>
      <c r="DB10" s="2340">
        <v>99451.91327819592</v>
      </c>
      <c r="DC10" s="2340">
        <v>99453.519919804152</v>
      </c>
      <c r="DD10" s="2340">
        <v>99468.860412406822</v>
      </c>
      <c r="DE10" s="2340">
        <v>99463.684665058405</v>
      </c>
      <c r="DF10" s="2340">
        <v>99507.644955079493</v>
      </c>
      <c r="DG10" s="2340">
        <v>99515.300169698472</v>
      </c>
      <c r="DH10" s="2340">
        <v>99517.720006693693</v>
      </c>
      <c r="DI10" s="2340">
        <v>99518.511290203023</v>
      </c>
      <c r="DJ10" s="2340">
        <v>99559.527096735459</v>
      </c>
      <c r="DK10" s="2340">
        <v>99562.44626595467</v>
      </c>
      <c r="DL10" s="2340">
        <v>99548.948800363767</v>
      </c>
      <c r="DM10" s="2340">
        <v>99561.944097558691</v>
      </c>
      <c r="DN10" s="2340">
        <v>99547.097761913014</v>
      </c>
      <c r="DO10" s="2340">
        <v>99569.554990445307</v>
      </c>
      <c r="DP10" s="2340">
        <v>99580.662376317719</v>
      </c>
      <c r="DQ10" s="2340">
        <v>99580.288845275587</v>
      </c>
      <c r="DR10" s="2340">
        <v>99610.460604829103</v>
      </c>
      <c r="DS10" s="2340">
        <v>99602.767319983323</v>
      </c>
      <c r="DT10" s="2340">
        <v>99620.530263021778</v>
      </c>
      <c r="DU10" s="2340">
        <v>99637.48456927501</v>
      </c>
    </row>
    <row r="11" spans="1:126" ht="12.75">
      <c r="A11" s="131">
        <v>9</v>
      </c>
      <c r="B11" s="132"/>
      <c r="C11" s="132"/>
      <c r="D11" s="132"/>
      <c r="E11" s="132"/>
      <c r="F11" s="132"/>
      <c r="G11" s="132"/>
      <c r="H11" s="132"/>
      <c r="I11" s="132"/>
      <c r="J11" s="132"/>
      <c r="K11" s="132"/>
      <c r="L11" s="132"/>
      <c r="M11" s="132"/>
      <c r="N11" s="132"/>
      <c r="O11" s="132"/>
      <c r="P11" s="132"/>
      <c r="Q11" s="132"/>
      <c r="R11" s="132"/>
      <c r="S11" s="132"/>
      <c r="T11" s="132"/>
      <c r="U11" s="132"/>
      <c r="V11" s="132"/>
      <c r="W11" s="132">
        <v>81421</v>
      </c>
      <c r="X11" s="132">
        <v>82195</v>
      </c>
      <c r="Y11" s="132">
        <v>82317.24680368726</v>
      </c>
      <c r="Z11" s="132">
        <v>84682.407561547079</v>
      </c>
      <c r="AA11" s="2340">
        <v>84933.955105208312</v>
      </c>
      <c r="AB11" s="2340">
        <v>85517.331945014084</v>
      </c>
      <c r="AC11" s="2340">
        <v>86222.131160631048</v>
      </c>
      <c r="AD11" s="2340">
        <v>87079.644411906076</v>
      </c>
      <c r="AE11" s="2340">
        <v>86800.168438827415</v>
      </c>
      <c r="AF11" s="2340">
        <v>88021.010511717643</v>
      </c>
      <c r="AG11" s="2340">
        <v>88304.022353380671</v>
      </c>
      <c r="AH11" s="2340">
        <v>88610.822543309565</v>
      </c>
      <c r="AI11" s="2340">
        <v>88746.545157258239</v>
      </c>
      <c r="AJ11" s="2340">
        <v>89918.816233839112</v>
      </c>
      <c r="AK11" s="2340">
        <v>89736.031777813507</v>
      </c>
      <c r="AL11" s="2340">
        <v>89934.219465424903</v>
      </c>
      <c r="AM11" s="2340">
        <v>90033.426261426997</v>
      </c>
      <c r="AN11" s="2340">
        <v>90403.036605690024</v>
      </c>
      <c r="AO11" s="2340">
        <v>90275.779366368792</v>
      </c>
      <c r="AP11" s="2340">
        <v>90322.571174195313</v>
      </c>
      <c r="AQ11" s="2340">
        <v>90370.429553222741</v>
      </c>
      <c r="AR11" s="2340">
        <v>90395.203825468983</v>
      </c>
      <c r="AS11" s="2340">
        <v>89738.078531830106</v>
      </c>
      <c r="AT11" s="2340">
        <v>88841.894569097509</v>
      </c>
      <c r="AU11" s="2340">
        <v>87424.562869348607</v>
      </c>
      <c r="AV11" s="2340">
        <v>87976.274345665617</v>
      </c>
      <c r="AW11" s="2340">
        <v>88304.947314772304</v>
      </c>
      <c r="AX11" s="2340">
        <v>90660.810511700533</v>
      </c>
      <c r="AY11" s="2340">
        <v>92662.234395815132</v>
      </c>
      <c r="AZ11" s="2340">
        <v>92716.610623210247</v>
      </c>
      <c r="BA11" s="2340">
        <v>92801.801036868535</v>
      </c>
      <c r="BB11" s="2340">
        <v>93544.858994449241</v>
      </c>
      <c r="BC11" s="2340">
        <v>93788.745154279284</v>
      </c>
      <c r="BD11" s="2340">
        <v>94254.703464736536</v>
      </c>
      <c r="BE11" s="2340">
        <v>94322.501403444752</v>
      </c>
      <c r="BF11" s="2340">
        <v>94693.97496742029</v>
      </c>
      <c r="BG11" s="2340">
        <v>94734.474478379314</v>
      </c>
      <c r="BH11" s="2340">
        <v>95025.557187546277</v>
      </c>
      <c r="BI11" s="2340">
        <v>95274.546751263086</v>
      </c>
      <c r="BJ11" s="2340">
        <v>95350.556238556295</v>
      </c>
      <c r="BK11" s="2340">
        <v>95674.5120140582</v>
      </c>
      <c r="BL11" s="2340">
        <v>95948.404002636948</v>
      </c>
      <c r="BM11" s="2340">
        <v>96213.315668664101</v>
      </c>
      <c r="BN11" s="2340">
        <v>96477.820464189601</v>
      </c>
      <c r="BO11" s="2340">
        <v>96672.983190924919</v>
      </c>
      <c r="BP11" s="2340">
        <v>96735.182276714244</v>
      </c>
      <c r="BQ11" s="2340">
        <v>96838.164238300247</v>
      </c>
      <c r="BR11" s="2340">
        <v>96892.767569214106</v>
      </c>
      <c r="BS11" s="2340">
        <v>96847.533873895751</v>
      </c>
      <c r="BT11" s="2340">
        <v>96921.944879247458</v>
      </c>
      <c r="BU11" s="2340">
        <v>97006.691374576214</v>
      </c>
      <c r="BV11" s="2340">
        <v>97091.309507789294</v>
      </c>
      <c r="BW11" s="2340">
        <v>97127.297328705041</v>
      </c>
      <c r="BX11" s="2340">
        <v>97253.115429719444</v>
      </c>
      <c r="BY11" s="2340">
        <v>97439.339363357081</v>
      </c>
      <c r="BZ11" s="2340">
        <v>97750.585293341763</v>
      </c>
      <c r="CA11" s="2340">
        <v>97926.825464147754</v>
      </c>
      <c r="CB11" s="2340">
        <v>97999.37266481237</v>
      </c>
      <c r="CC11" s="2340">
        <v>98168.8309007356</v>
      </c>
      <c r="CD11" s="2340">
        <v>98252.170605491425</v>
      </c>
      <c r="CE11" s="2340">
        <v>98314.49801474085</v>
      </c>
      <c r="CF11" s="2340">
        <v>98472.504204567769</v>
      </c>
      <c r="CG11" s="2340">
        <v>98542.139160155522</v>
      </c>
      <c r="CH11" s="2340">
        <v>98638.260718911843</v>
      </c>
      <c r="CI11" s="2340">
        <v>98715.784859038075</v>
      </c>
      <c r="CJ11" s="2340">
        <v>98742.128630005973</v>
      </c>
      <c r="CK11" s="2340">
        <v>98791.658528916916</v>
      </c>
      <c r="CL11" s="2340">
        <v>98898.101005732198</v>
      </c>
      <c r="CM11" s="2340">
        <v>98907.968369808936</v>
      </c>
      <c r="CN11" s="2340">
        <v>98977.18182696341</v>
      </c>
      <c r="CO11" s="2340">
        <v>99076.543632429704</v>
      </c>
      <c r="CP11" s="2340">
        <v>99127.540692254697</v>
      </c>
      <c r="CQ11" s="2340">
        <v>99190.994856531805</v>
      </c>
      <c r="CR11" s="2340">
        <v>99207.394362498759</v>
      </c>
      <c r="CS11" s="2340">
        <v>99259.26520964106</v>
      </c>
      <c r="CT11" s="2340">
        <v>99271.358784370532</v>
      </c>
      <c r="CU11" s="2340">
        <v>99319.335909999747</v>
      </c>
      <c r="CV11" s="2340">
        <v>99336.810186063973</v>
      </c>
      <c r="CW11" s="2340">
        <v>99341.543108382073</v>
      </c>
      <c r="CX11" s="2340">
        <v>99402.041649599123</v>
      </c>
      <c r="CY11" s="2340">
        <v>99386.704508718976</v>
      </c>
      <c r="CZ11" s="2340">
        <v>99411.702984201285</v>
      </c>
      <c r="DA11" s="2340">
        <v>99409.088538393407</v>
      </c>
      <c r="DB11" s="2340">
        <v>99443.981473040389</v>
      </c>
      <c r="DC11" s="2340">
        <v>99447.097902757829</v>
      </c>
      <c r="DD11" s="2340">
        <v>99461.863161505171</v>
      </c>
      <c r="DE11" s="2340">
        <v>99455.607533338334</v>
      </c>
      <c r="DF11" s="2340">
        <v>99498.657751023551</v>
      </c>
      <c r="DG11" s="2340">
        <v>99506.441151282183</v>
      </c>
      <c r="DH11" s="2340">
        <v>99509.581897619166</v>
      </c>
      <c r="DI11" s="2340">
        <v>99512.90492184207</v>
      </c>
      <c r="DJ11" s="2340">
        <v>99552.259414326021</v>
      </c>
      <c r="DK11" s="2340">
        <v>99554.760805809783</v>
      </c>
      <c r="DL11" s="2340">
        <v>99542.451534739987</v>
      </c>
      <c r="DM11" s="2340">
        <v>99555.705423792082</v>
      </c>
      <c r="DN11" s="2340">
        <v>99541.109063059819</v>
      </c>
      <c r="DO11" s="2340">
        <v>99563.804095926156</v>
      </c>
      <c r="DP11" s="2340">
        <v>99575.14047284385</v>
      </c>
      <c r="DQ11" s="2340">
        <v>99574.987426087668</v>
      </c>
      <c r="DR11" s="2340">
        <v>99605.369304968102</v>
      </c>
      <c r="DS11" s="2340">
        <v>99597.879670006136</v>
      </c>
      <c r="DT11" s="2340">
        <v>99615.836917745808</v>
      </c>
      <c r="DU11" s="2340">
        <v>99632.977840987805</v>
      </c>
    </row>
    <row r="12" spans="1:126" ht="12.75">
      <c r="A12" s="131">
        <v>10</v>
      </c>
      <c r="B12" s="132"/>
      <c r="C12" s="132"/>
      <c r="D12" s="132"/>
      <c r="E12" s="132"/>
      <c r="F12" s="132"/>
      <c r="G12" s="132"/>
      <c r="H12" s="132"/>
      <c r="I12" s="132"/>
      <c r="J12" s="132"/>
      <c r="K12" s="132"/>
      <c r="L12" s="132"/>
      <c r="M12" s="132"/>
      <c r="N12" s="132"/>
      <c r="O12" s="132"/>
      <c r="P12" s="132"/>
      <c r="Q12" s="132"/>
      <c r="R12" s="132"/>
      <c r="S12" s="132"/>
      <c r="T12" s="132"/>
      <c r="U12" s="132"/>
      <c r="V12" s="132"/>
      <c r="W12" s="132">
        <v>81289</v>
      </c>
      <c r="X12" s="132">
        <v>82081</v>
      </c>
      <c r="Y12" s="132">
        <v>82192.947761013696</v>
      </c>
      <c r="Z12" s="132">
        <v>84554.537126129144</v>
      </c>
      <c r="AA12" s="2340">
        <v>84805.704832999443</v>
      </c>
      <c r="AB12" s="2340">
        <v>85365.974529590269</v>
      </c>
      <c r="AC12" s="2340">
        <v>86076.154021343638</v>
      </c>
      <c r="AD12" s="2340">
        <v>86945.604713785855</v>
      </c>
      <c r="AE12" s="2340">
        <v>86666.558931658437</v>
      </c>
      <c r="AF12" s="2340">
        <v>87878.754459994059</v>
      </c>
      <c r="AG12" s="2340">
        <v>88161.30890918964</v>
      </c>
      <c r="AH12" s="2340">
        <v>88467.613260869985</v>
      </c>
      <c r="AI12" s="2340">
        <v>88603.116525335194</v>
      </c>
      <c r="AJ12" s="2340">
        <v>89758.960703113087</v>
      </c>
      <c r="AK12" s="2340">
        <v>89554.747026822806</v>
      </c>
      <c r="AL12" s="2340">
        <v>89716.19730966432</v>
      </c>
      <c r="AM12" s="2340">
        <v>89902.877793347929</v>
      </c>
      <c r="AN12" s="2340">
        <v>90271.952202611777</v>
      </c>
      <c r="AO12" s="2340">
        <v>90173.334001575422</v>
      </c>
      <c r="AP12" s="2340">
        <v>90254.829245814661</v>
      </c>
      <c r="AQ12" s="2340">
        <v>90302.65173105782</v>
      </c>
      <c r="AR12" s="2340">
        <v>90327.407422599877</v>
      </c>
      <c r="AS12" s="2340">
        <v>89682.008365741378</v>
      </c>
      <c r="AT12" s="2340">
        <v>88793.239199443866</v>
      </c>
      <c r="AU12" s="2340">
        <v>87371.560343358389</v>
      </c>
      <c r="AV12" s="2340">
        <v>87921.145733480735</v>
      </c>
      <c r="AW12" s="2340">
        <v>88252.912296778231</v>
      </c>
      <c r="AX12" s="2340">
        <v>90611.928493010579</v>
      </c>
      <c r="AY12" s="2340">
        <v>92609.125156220558</v>
      </c>
      <c r="AZ12" s="2340">
        <v>92663.205305781827</v>
      </c>
      <c r="BA12" s="2340">
        <v>92758.332052253871</v>
      </c>
      <c r="BB12" s="2340">
        <v>93492.872476971927</v>
      </c>
      <c r="BC12" s="2340">
        <v>93743.234485335895</v>
      </c>
      <c r="BD12" s="2340">
        <v>94204.15844154371</v>
      </c>
      <c r="BE12" s="2340">
        <v>94275.301249491138</v>
      </c>
      <c r="BF12" s="2340">
        <v>94647.834584867102</v>
      </c>
      <c r="BG12" s="2340">
        <v>94687.5661867452</v>
      </c>
      <c r="BH12" s="2340">
        <v>94978.053978971759</v>
      </c>
      <c r="BI12" s="2340">
        <v>95227.957928867603</v>
      </c>
      <c r="BJ12" s="2340">
        <v>95304.125643677864</v>
      </c>
      <c r="BK12" s="2340">
        <v>95627.209554952948</v>
      </c>
      <c r="BL12" s="2340">
        <v>95904.610722397847</v>
      </c>
      <c r="BM12" s="2340">
        <v>96166.924978689131</v>
      </c>
      <c r="BN12" s="2340">
        <v>96437.317008381695</v>
      </c>
      <c r="BO12" s="2340">
        <v>96635.929115586492</v>
      </c>
      <c r="BP12" s="2340">
        <v>96699.160806533604</v>
      </c>
      <c r="BQ12" s="2340">
        <v>96804.125391338937</v>
      </c>
      <c r="BR12" s="2340">
        <v>96856.697039354098</v>
      </c>
      <c r="BS12" s="2340">
        <v>96813.036124218313</v>
      </c>
      <c r="BT12" s="2340">
        <v>96887.387521882585</v>
      </c>
      <c r="BU12" s="2340">
        <v>96976.89308920638</v>
      </c>
      <c r="BV12" s="2340">
        <v>97062.067299247152</v>
      </c>
      <c r="BW12" s="2340">
        <v>97100.824221222443</v>
      </c>
      <c r="BX12" s="2340">
        <v>97222.116303631919</v>
      </c>
      <c r="BY12" s="2340">
        <v>97417.513146252881</v>
      </c>
      <c r="BZ12" s="2340">
        <v>97731.746872011048</v>
      </c>
      <c r="CA12" s="2340">
        <v>97904.024474234669</v>
      </c>
      <c r="CB12" s="2340">
        <v>97975.273618903433</v>
      </c>
      <c r="CC12" s="2340">
        <v>98144.966725041857</v>
      </c>
      <c r="CD12" s="2340">
        <v>98234.034380294193</v>
      </c>
      <c r="CE12" s="2340">
        <v>98296.007977802408</v>
      </c>
      <c r="CF12" s="2340">
        <v>98455.386253327539</v>
      </c>
      <c r="CG12" s="2340">
        <v>98525.828734081966</v>
      </c>
      <c r="CH12" s="2340">
        <v>98621.734890865875</v>
      </c>
      <c r="CI12" s="2340">
        <v>98701.159970895344</v>
      </c>
      <c r="CJ12" s="2340">
        <v>98727.282367104301</v>
      </c>
      <c r="CK12" s="2340">
        <v>98775.973659617885</v>
      </c>
      <c r="CL12" s="2340">
        <v>98886.54608120097</v>
      </c>
      <c r="CM12" s="2340">
        <v>98896.479061388032</v>
      </c>
      <c r="CN12" s="2340">
        <v>98965.865807383831</v>
      </c>
      <c r="CO12" s="2340">
        <v>99061.178888725291</v>
      </c>
      <c r="CP12" s="2340">
        <v>99117.832611117497</v>
      </c>
      <c r="CQ12" s="2340">
        <v>99181.083538610634</v>
      </c>
      <c r="CR12" s="2340">
        <v>99196.365892945993</v>
      </c>
      <c r="CS12" s="2340">
        <v>99249.325417109518</v>
      </c>
      <c r="CT12" s="2340">
        <v>99260.775112026662</v>
      </c>
      <c r="CU12" s="2340">
        <v>99309.866751918831</v>
      </c>
      <c r="CV12" s="2340">
        <v>99327.516612175328</v>
      </c>
      <c r="CW12" s="2340">
        <v>99334.305499835973</v>
      </c>
      <c r="CX12" s="2340">
        <v>99393.735298418673</v>
      </c>
      <c r="CY12" s="2340">
        <v>99378.819105317481</v>
      </c>
      <c r="CZ12" s="2340">
        <v>99403.096894135844</v>
      </c>
      <c r="DA12" s="2340">
        <v>99398.712177356807</v>
      </c>
      <c r="DB12" s="2340">
        <v>99433.924092454152</v>
      </c>
      <c r="DC12" s="2340">
        <v>99439.084287677993</v>
      </c>
      <c r="DD12" s="2340">
        <v>99454.459981299326</v>
      </c>
      <c r="DE12" s="2340">
        <v>99448.182568987453</v>
      </c>
      <c r="DF12" s="2340">
        <v>99490.547328970162</v>
      </c>
      <c r="DG12" s="2340">
        <v>99498.189496307998</v>
      </c>
      <c r="DH12" s="2340">
        <v>99502.545896188705</v>
      </c>
      <c r="DI12" s="2340">
        <v>99505.209472667353</v>
      </c>
      <c r="DJ12" s="2340">
        <v>99545.589508312085</v>
      </c>
      <c r="DK12" s="2340">
        <v>99548.153436556488</v>
      </c>
      <c r="DL12" s="2340">
        <v>99536.104517403932</v>
      </c>
      <c r="DM12" s="2340">
        <v>99549.606933827017</v>
      </c>
      <c r="DN12" s="2340">
        <v>99535.251008096631</v>
      </c>
      <c r="DO12" s="2340">
        <v>99558.174888448964</v>
      </c>
      <c r="DP12" s="2340">
        <v>99569.731790081263</v>
      </c>
      <c r="DQ12" s="2340">
        <v>99569.791228592658</v>
      </c>
      <c r="DR12" s="2340">
        <v>99600.375714223686</v>
      </c>
      <c r="DS12" s="2340">
        <v>99593.082610602156</v>
      </c>
      <c r="DT12" s="2340">
        <v>99611.227477397522</v>
      </c>
      <c r="DU12" s="2340">
        <v>99628.548718109989</v>
      </c>
    </row>
    <row r="13" spans="1:126" ht="12.75">
      <c r="A13" s="131">
        <v>11</v>
      </c>
      <c r="B13" s="132"/>
      <c r="C13" s="132"/>
      <c r="D13" s="132"/>
      <c r="E13" s="132"/>
      <c r="F13" s="132"/>
      <c r="G13" s="132"/>
      <c r="H13" s="132"/>
      <c r="I13" s="132"/>
      <c r="J13" s="132"/>
      <c r="K13" s="132"/>
      <c r="L13" s="132"/>
      <c r="M13" s="132"/>
      <c r="N13" s="132"/>
      <c r="O13" s="132"/>
      <c r="P13" s="132"/>
      <c r="Q13" s="132"/>
      <c r="R13" s="132"/>
      <c r="S13" s="132"/>
      <c r="T13" s="132"/>
      <c r="U13" s="132"/>
      <c r="V13" s="132"/>
      <c r="W13" s="132">
        <v>81190</v>
      </c>
      <c r="X13" s="132">
        <v>81972</v>
      </c>
      <c r="Y13" s="132">
        <v>82083.631140491547</v>
      </c>
      <c r="Z13" s="132">
        <v>84442.07959175139</v>
      </c>
      <c r="AA13" s="2340">
        <v>84673.499394211118</v>
      </c>
      <c r="AB13" s="2340">
        <v>85238.675353850122</v>
      </c>
      <c r="AC13" s="2340">
        <v>85959.453084679903</v>
      </c>
      <c r="AD13" s="2340">
        <v>86827.724987115245</v>
      </c>
      <c r="AE13" s="2340">
        <v>86543.188624003858</v>
      </c>
      <c r="AF13" s="2340">
        <v>87753.658585556725</v>
      </c>
      <c r="AG13" s="2340">
        <v>88035.810816990852</v>
      </c>
      <c r="AH13" s="2340">
        <v>88341.67914279722</v>
      </c>
      <c r="AI13" s="2340">
        <v>88464.376816875607</v>
      </c>
      <c r="AJ13" s="2340">
        <v>89599.245255580579</v>
      </c>
      <c r="AK13" s="2340">
        <v>89363.524538665544</v>
      </c>
      <c r="AL13" s="2340">
        <v>89587.005985538402</v>
      </c>
      <c r="AM13" s="2340">
        <v>89773.417649325507</v>
      </c>
      <c r="AN13" s="2340">
        <v>90170.21767070613</v>
      </c>
      <c r="AO13" s="2340">
        <v>90110.212667774322</v>
      </c>
      <c r="AP13" s="2340">
        <v>90191.650865342584</v>
      </c>
      <c r="AQ13" s="2340">
        <v>90239.439874846081</v>
      </c>
      <c r="AR13" s="2340">
        <v>90270.319001703378</v>
      </c>
      <c r="AS13" s="2340">
        <v>89635.381980922219</v>
      </c>
      <c r="AT13" s="2340">
        <v>88745.67217631948</v>
      </c>
      <c r="AU13" s="2340">
        <v>87323.608733719666</v>
      </c>
      <c r="AV13" s="2340">
        <v>87876.929081625931</v>
      </c>
      <c r="AW13" s="2340">
        <v>88205.122391269004</v>
      </c>
      <c r="AX13" s="2340">
        <v>90572.665551234051</v>
      </c>
      <c r="AY13" s="2340">
        <v>92563.194944892486</v>
      </c>
      <c r="AZ13" s="2340">
        <v>92624.779461896178</v>
      </c>
      <c r="BA13" s="2340">
        <v>92714.636214831946</v>
      </c>
      <c r="BB13" s="2340">
        <v>93450.564707088939</v>
      </c>
      <c r="BC13" s="2340">
        <v>93700.083613881157</v>
      </c>
      <c r="BD13" s="2340">
        <v>94158.084697855986</v>
      </c>
      <c r="BE13" s="2340">
        <v>94228.539285781779</v>
      </c>
      <c r="BF13" s="2340">
        <v>94600.087440783784</v>
      </c>
      <c r="BG13" s="2340">
        <v>94641.195638536316</v>
      </c>
      <c r="BH13" s="2340">
        <v>94931.306808805341</v>
      </c>
      <c r="BI13" s="2340">
        <v>95177.97988259152</v>
      </c>
      <c r="BJ13" s="2340">
        <v>95258.546051594094</v>
      </c>
      <c r="BK13" s="2340">
        <v>95584.645466263246</v>
      </c>
      <c r="BL13" s="2340">
        <v>95863.318816111423</v>
      </c>
      <c r="BM13" s="2340">
        <v>96130.598909602777</v>
      </c>
      <c r="BN13" s="2340">
        <v>96404.388918333527</v>
      </c>
      <c r="BO13" s="2340">
        <v>96602.785664126641</v>
      </c>
      <c r="BP13" s="2340">
        <v>96666.227468182755</v>
      </c>
      <c r="BQ13" s="2340">
        <v>96772.390845470916</v>
      </c>
      <c r="BR13" s="2340">
        <v>96825.612317305378</v>
      </c>
      <c r="BS13" s="2340">
        <v>96784.238846253284</v>
      </c>
      <c r="BT13" s="2340">
        <v>96855.634664919227</v>
      </c>
      <c r="BU13" s="2340">
        <v>96952.664378647736</v>
      </c>
      <c r="BV13" s="2340">
        <v>97040.068136683592</v>
      </c>
      <c r="BW13" s="2340">
        <v>97077.121216768035</v>
      </c>
      <c r="BX13" s="2340">
        <v>97202.321405514114</v>
      </c>
      <c r="BY13" s="2340">
        <v>97396.954275063137</v>
      </c>
      <c r="BZ13" s="2340">
        <v>97705.561217995477</v>
      </c>
      <c r="CA13" s="2340">
        <v>97882.703608032796</v>
      </c>
      <c r="CB13" s="2340">
        <v>97958.577550278118</v>
      </c>
      <c r="CC13" s="2340">
        <v>98122.34803659693</v>
      </c>
      <c r="CD13" s="2340">
        <v>98215.689655758906</v>
      </c>
      <c r="CE13" s="2340">
        <v>98279.698079137321</v>
      </c>
      <c r="CF13" s="2340">
        <v>98440.824698060285</v>
      </c>
      <c r="CG13" s="2340">
        <v>98509.891209954905</v>
      </c>
      <c r="CH13" s="2340">
        <v>98606.652507908511</v>
      </c>
      <c r="CI13" s="2340">
        <v>98688.600109054591</v>
      </c>
      <c r="CJ13" s="2340">
        <v>98713.98070391592</v>
      </c>
      <c r="CK13" s="2340">
        <v>98761.553498126101</v>
      </c>
      <c r="CL13" s="2340">
        <v>98874.803197962625</v>
      </c>
      <c r="CM13" s="2340">
        <v>98885.429058283175</v>
      </c>
      <c r="CN13" s="2340">
        <v>98954.36951704463</v>
      </c>
      <c r="CO13" s="2340">
        <v>99051.409897500183</v>
      </c>
      <c r="CP13" s="2340">
        <v>99107.923385819202</v>
      </c>
      <c r="CQ13" s="2340">
        <v>99172.60193174037</v>
      </c>
      <c r="CR13" s="2340">
        <v>99187.79669996239</v>
      </c>
      <c r="CS13" s="2340">
        <v>99241.376807091234</v>
      </c>
      <c r="CT13" s="2340">
        <v>99253.796085073074</v>
      </c>
      <c r="CU13" s="2340">
        <v>99298.732655003201</v>
      </c>
      <c r="CV13" s="2340">
        <v>99320.417492494511</v>
      </c>
      <c r="CW13" s="2340">
        <v>99324.820271295641</v>
      </c>
      <c r="CX13" s="2340">
        <v>99384.913317049097</v>
      </c>
      <c r="CY13" s="2340">
        <v>99369.906118577099</v>
      </c>
      <c r="CZ13" s="2340">
        <v>99396.670086634476</v>
      </c>
      <c r="DA13" s="2340">
        <v>99391.926318874685</v>
      </c>
      <c r="DB13" s="2340">
        <v>99427.732794716008</v>
      </c>
      <c r="DC13" s="2340">
        <v>99430.961722373802</v>
      </c>
      <c r="DD13" s="2340">
        <v>99446.357795967764</v>
      </c>
      <c r="DE13" s="2340">
        <v>99441.877905697562</v>
      </c>
      <c r="DF13" s="2340">
        <v>99481.462092072077</v>
      </c>
      <c r="DG13" s="2340">
        <v>99491.319333521998</v>
      </c>
      <c r="DH13" s="2340">
        <v>99496.327675284745</v>
      </c>
      <c r="DI13" s="2340">
        <v>99498.914571382891</v>
      </c>
      <c r="DJ13" s="2340">
        <v>99538.570239724329</v>
      </c>
      <c r="DK13" s="2340">
        <v>99541.405251508913</v>
      </c>
      <c r="DL13" s="2340">
        <v>99529.617898975514</v>
      </c>
      <c r="DM13" s="2340">
        <v>99543.370142723637</v>
      </c>
      <c r="DN13" s="2340">
        <v>99529.25610039325</v>
      </c>
      <c r="DO13" s="2340">
        <v>99552.410324671437</v>
      </c>
      <c r="DP13" s="2340">
        <v>99564.189352687943</v>
      </c>
      <c r="DQ13" s="2340">
        <v>99564.46297370315</v>
      </c>
      <c r="DR13" s="2340">
        <v>99595.25179459354</v>
      </c>
      <c r="DS13" s="2340">
        <v>99588.157063867096</v>
      </c>
      <c r="DT13" s="2340">
        <v>99606.491414102464</v>
      </c>
      <c r="DU13" s="2340">
        <v>99623.994886714601</v>
      </c>
    </row>
    <row r="14" spans="1:126" ht="12.75">
      <c r="A14" s="131">
        <v>12</v>
      </c>
      <c r="B14" s="132"/>
      <c r="C14" s="132"/>
      <c r="D14" s="132"/>
      <c r="E14" s="132"/>
      <c r="F14" s="132"/>
      <c r="G14" s="132"/>
      <c r="H14" s="132"/>
      <c r="I14" s="132"/>
      <c r="J14" s="132"/>
      <c r="K14" s="132"/>
      <c r="L14" s="132"/>
      <c r="M14" s="132"/>
      <c r="N14" s="132"/>
      <c r="O14" s="132"/>
      <c r="P14" s="132"/>
      <c r="Q14" s="132"/>
      <c r="R14" s="132"/>
      <c r="S14" s="132"/>
      <c r="T14" s="132"/>
      <c r="U14" s="132"/>
      <c r="V14" s="132"/>
      <c r="W14" s="132">
        <v>81091</v>
      </c>
      <c r="X14" s="132">
        <v>81872</v>
      </c>
      <c r="Y14" s="132">
        <v>81983.489110500144</v>
      </c>
      <c r="Z14" s="132">
        <v>84321.328417166224</v>
      </c>
      <c r="AA14" s="2340">
        <v>84557.675946751246</v>
      </c>
      <c r="AB14" s="2340">
        <v>85132.667908304138</v>
      </c>
      <c r="AC14" s="2340">
        <v>85852.549240806111</v>
      </c>
      <c r="AD14" s="2340">
        <v>86714.347792650558</v>
      </c>
      <c r="AE14" s="2340">
        <v>86430.182969097281</v>
      </c>
      <c r="AF14" s="2340">
        <v>87639.072333113523</v>
      </c>
      <c r="AG14" s="2340">
        <v>87920.856138121453</v>
      </c>
      <c r="AH14" s="2340">
        <v>88214.789662384195</v>
      </c>
      <c r="AI14" s="2340">
        <v>88319.983956544238</v>
      </c>
      <c r="AJ14" s="2340">
        <v>89423.751004382502</v>
      </c>
      <c r="AK14" s="2340">
        <v>89237.521969066031</v>
      </c>
      <c r="AL14" s="2340">
        <v>89460.688307098797</v>
      </c>
      <c r="AM14" s="2340">
        <v>89674.35271951108</v>
      </c>
      <c r="AN14" s="2340">
        <v>90108.00022051335</v>
      </c>
      <c r="AO14" s="2340">
        <v>90048.036621033563</v>
      </c>
      <c r="AP14" s="2340">
        <v>90129.418626245504</v>
      </c>
      <c r="AQ14" s="2340">
        <v>90180.705516399306</v>
      </c>
      <c r="AR14" s="2340">
        <v>90227.867414053238</v>
      </c>
      <c r="AS14" s="2340">
        <v>89587.415029098309</v>
      </c>
      <c r="AT14" s="2340">
        <v>88695.67843169508</v>
      </c>
      <c r="AU14" s="2340">
        <v>87276.168403899646</v>
      </c>
      <c r="AV14" s="2340">
        <v>87835.740115363762</v>
      </c>
      <c r="AW14" s="2340">
        <v>88164.552723663466</v>
      </c>
      <c r="AX14" s="2340">
        <v>90529.888946602805</v>
      </c>
      <c r="AY14" s="2340">
        <v>92521.733426840059</v>
      </c>
      <c r="AZ14" s="2340">
        <v>92582.243844368466</v>
      </c>
      <c r="BA14" s="2340">
        <v>92675.357157440129</v>
      </c>
      <c r="BB14" s="2340">
        <v>93410.226983956221</v>
      </c>
      <c r="BC14" s="2340">
        <v>93658.513535835475</v>
      </c>
      <c r="BD14" s="2340">
        <v>94114.883743580634</v>
      </c>
      <c r="BE14" s="2340">
        <v>94184.455839508315</v>
      </c>
      <c r="BF14" s="2340">
        <v>94557.971326253857</v>
      </c>
      <c r="BG14" s="2340">
        <v>94600.190233353453</v>
      </c>
      <c r="BH14" s="2340">
        <v>94890.229033582844</v>
      </c>
      <c r="BI14" s="2340">
        <v>95139.223419235306</v>
      </c>
      <c r="BJ14" s="2340">
        <v>95222.534127379535</v>
      </c>
      <c r="BK14" s="2340">
        <v>95545.746908946559</v>
      </c>
      <c r="BL14" s="2340">
        <v>95827.568151220592</v>
      </c>
      <c r="BM14" s="2340">
        <v>96095.503336128066</v>
      </c>
      <c r="BN14" s="2340">
        <v>96368.390877167854</v>
      </c>
      <c r="BO14" s="2340">
        <v>96567.792207316379</v>
      </c>
      <c r="BP14" s="2340">
        <v>96635.829685567878</v>
      </c>
      <c r="BQ14" s="2340">
        <v>96740.760156320946</v>
      </c>
      <c r="BR14" s="2340">
        <v>96798.613262941217</v>
      </c>
      <c r="BS14" s="2340">
        <v>96754.840747559429</v>
      </c>
      <c r="BT14" s="2340">
        <v>96825.409133303125</v>
      </c>
      <c r="BU14" s="2340">
        <v>96926.556556767362</v>
      </c>
      <c r="BV14" s="2340">
        <v>97016.070135769332</v>
      </c>
      <c r="BW14" s="2340">
        <v>97058.827946266887</v>
      </c>
      <c r="BX14" s="2340">
        <v>97178.814208526339</v>
      </c>
      <c r="BY14" s="2340">
        <v>97377.483462744596</v>
      </c>
      <c r="BZ14" s="2340">
        <v>97683.945418898176</v>
      </c>
      <c r="CA14" s="2340">
        <v>97863.762980886037</v>
      </c>
      <c r="CB14" s="2340">
        <v>97934.798039198227</v>
      </c>
      <c r="CC14" s="2340">
        <v>98098.189377890623</v>
      </c>
      <c r="CD14" s="2340">
        <v>98199.944137527666</v>
      </c>
      <c r="CE14" s="2340">
        <v>98263.577826723849</v>
      </c>
      <c r="CF14" s="2340">
        <v>98420.454667568745</v>
      </c>
      <c r="CG14" s="2340">
        <v>98491.912669740486</v>
      </c>
      <c r="CH14" s="2340">
        <v>98593.644619218991</v>
      </c>
      <c r="CI14" s="2340">
        <v>98673.965846120191</v>
      </c>
      <c r="CJ14" s="2340">
        <v>98701.341734035013</v>
      </c>
      <c r="CK14" s="2340">
        <v>98748.368535948772</v>
      </c>
      <c r="CL14" s="2340">
        <v>98859.917805819568</v>
      </c>
      <c r="CM14" s="2340">
        <v>98872.975828934621</v>
      </c>
      <c r="CN14" s="2340">
        <v>98940.095290084166</v>
      </c>
      <c r="CO14" s="2340">
        <v>99037.47114786641</v>
      </c>
      <c r="CP14" s="2340">
        <v>99093.437436242544</v>
      </c>
      <c r="CQ14" s="2340">
        <v>99159.192129803065</v>
      </c>
      <c r="CR14" s="2340">
        <v>99179.234085516757</v>
      </c>
      <c r="CS14" s="2340">
        <v>99233.179131038938</v>
      </c>
      <c r="CT14" s="2340">
        <v>99243.446228982997</v>
      </c>
      <c r="CU14" s="2340">
        <v>99288.542682694519</v>
      </c>
      <c r="CV14" s="2340">
        <v>99311.853030201659</v>
      </c>
      <c r="CW14" s="2340">
        <v>99319.305947197528</v>
      </c>
      <c r="CX14" s="2340">
        <v>99373.350691586209</v>
      </c>
      <c r="CY14" s="2340">
        <v>99363.117682804615</v>
      </c>
      <c r="CZ14" s="2340">
        <v>99389.48111851998</v>
      </c>
      <c r="DA14" s="2340">
        <v>99380.363067601473</v>
      </c>
      <c r="DB14" s="2340">
        <v>99421.917557713139</v>
      </c>
      <c r="DC14" s="2340">
        <v>99422.150613401536</v>
      </c>
      <c r="DD14" s="2340">
        <v>99438.868464088766</v>
      </c>
      <c r="DE14" s="2340">
        <v>99434.840093311999</v>
      </c>
      <c r="DF14" s="2340">
        <v>99474.759618628115</v>
      </c>
      <c r="DG14" s="2340">
        <v>99485.541390545332</v>
      </c>
      <c r="DH14" s="2340">
        <v>99489.410589149527</v>
      </c>
      <c r="DI14" s="2340">
        <v>99491.151695983499</v>
      </c>
      <c r="DJ14" s="2340">
        <v>99531.099424944652</v>
      </c>
      <c r="DK14" s="2340">
        <v>99534.218168893072</v>
      </c>
      <c r="DL14" s="2340">
        <v>99522.704788375428</v>
      </c>
      <c r="DM14" s="2340">
        <v>99536.718853898346</v>
      </c>
      <c r="DN14" s="2340">
        <v>99522.858508633799</v>
      </c>
      <c r="DO14" s="2340">
        <v>99546.254448947599</v>
      </c>
      <c r="DP14" s="2340">
        <v>99558.26673737893</v>
      </c>
      <c r="DQ14" s="2340">
        <v>99558.765438502509</v>
      </c>
      <c r="DR14" s="2340">
        <v>99589.7691058169</v>
      </c>
      <c r="DS14" s="2340">
        <v>99582.883126664863</v>
      </c>
      <c r="DT14" s="2340">
        <v>99601.416984874217</v>
      </c>
      <c r="DU14" s="2340">
        <v>99619.112459151016</v>
      </c>
    </row>
    <row r="15" spans="1:126" ht="12.75">
      <c r="A15" s="131">
        <v>13</v>
      </c>
      <c r="B15" s="132"/>
      <c r="C15" s="132"/>
      <c r="D15" s="132"/>
      <c r="E15" s="132"/>
      <c r="F15" s="132"/>
      <c r="G15" s="132"/>
      <c r="H15" s="132"/>
      <c r="I15" s="132"/>
      <c r="J15" s="132"/>
      <c r="K15" s="132"/>
      <c r="L15" s="132"/>
      <c r="M15" s="132"/>
      <c r="N15" s="132"/>
      <c r="O15" s="132"/>
      <c r="P15" s="132"/>
      <c r="Q15" s="132"/>
      <c r="R15" s="132"/>
      <c r="S15" s="132"/>
      <c r="T15" s="132"/>
      <c r="U15" s="132"/>
      <c r="V15" s="132"/>
      <c r="W15" s="132">
        <v>80997</v>
      </c>
      <c r="X15" s="132">
        <v>81777</v>
      </c>
      <c r="Y15" s="132">
        <v>81860.606039137914</v>
      </c>
      <c r="Z15" s="132">
        <v>84194.941214942141</v>
      </c>
      <c r="AA15" s="2340">
        <v>84439.378008982239</v>
      </c>
      <c r="AB15" s="2340">
        <v>85022.067330398975</v>
      </c>
      <c r="AC15" s="2340">
        <v>85732.439748513585</v>
      </c>
      <c r="AD15" s="2340">
        <v>86593.03262635725</v>
      </c>
      <c r="AE15" s="2340">
        <v>86309.265355270225</v>
      </c>
      <c r="AF15" s="2340">
        <v>87516.463458059705</v>
      </c>
      <c r="AG15" s="2340">
        <v>87785.552732052995</v>
      </c>
      <c r="AH15" s="2340">
        <v>88060.521768001097</v>
      </c>
      <c r="AI15" s="2340">
        <v>88134.641729794224</v>
      </c>
      <c r="AJ15" s="2340">
        <v>89303.028940526579</v>
      </c>
      <c r="AK15" s="2340">
        <v>89117.051314407785</v>
      </c>
      <c r="AL15" s="2340">
        <v>89371.272326781851</v>
      </c>
      <c r="AM15" s="2340">
        <v>89611.580672607422</v>
      </c>
      <c r="AN15" s="2340">
        <v>90044.924620358986</v>
      </c>
      <c r="AO15" s="2340">
        <v>89985.002995398841</v>
      </c>
      <c r="AP15" s="2340">
        <v>90077.726771206668</v>
      </c>
      <c r="AQ15" s="2340">
        <v>90129.828307470816</v>
      </c>
      <c r="AR15" s="2340">
        <v>90181.248893896802</v>
      </c>
      <c r="AS15" s="2340">
        <v>89540.324708745349</v>
      </c>
      <c r="AT15" s="2340">
        <v>88650.123063816805</v>
      </c>
      <c r="AU15" s="2340">
        <v>87233.90856928959</v>
      </c>
      <c r="AV15" s="2340">
        <v>87792.230644690921</v>
      </c>
      <c r="AW15" s="2340">
        <v>88125.367394889123</v>
      </c>
      <c r="AX15" s="2340">
        <v>90493.102895208373</v>
      </c>
      <c r="AY15" s="2340">
        <v>92481.50486423909</v>
      </c>
      <c r="AZ15" s="2340">
        <v>92538.717756213722</v>
      </c>
      <c r="BA15" s="2340">
        <v>92631.605572307337</v>
      </c>
      <c r="BB15" s="2340">
        <v>93369.299825466194</v>
      </c>
      <c r="BC15" s="2340">
        <v>93613.667259154492</v>
      </c>
      <c r="BD15" s="2340">
        <v>94071.246871840674</v>
      </c>
      <c r="BE15" s="2340">
        <v>94141.288504406213</v>
      </c>
      <c r="BF15" s="2340">
        <v>94523.036941332146</v>
      </c>
      <c r="BG15" s="2340">
        <v>94554.554914266671</v>
      </c>
      <c r="BH15" s="2340">
        <v>94841.473398783579</v>
      </c>
      <c r="BI15" s="2340">
        <v>95096.659684910745</v>
      </c>
      <c r="BJ15" s="2340">
        <v>95178.579755311119</v>
      </c>
      <c r="BK15" s="2340">
        <v>95510.334156471014</v>
      </c>
      <c r="BL15" s="2340">
        <v>95789.602722345793</v>
      </c>
      <c r="BM15" s="2340">
        <v>96059.430842216578</v>
      </c>
      <c r="BN15" s="2340">
        <v>96331.28677212121</v>
      </c>
      <c r="BO15" s="2340">
        <v>96533.710205762225</v>
      </c>
      <c r="BP15" s="2340">
        <v>96605.098350626795</v>
      </c>
      <c r="BQ15" s="2340">
        <v>96710.333506810144</v>
      </c>
      <c r="BR15" s="2340">
        <v>96770.402548879953</v>
      </c>
      <c r="BS15" s="2340">
        <v>96730.868968631374</v>
      </c>
      <c r="BT15" s="2340">
        <v>96798.812262902415</v>
      </c>
      <c r="BU15" s="2340">
        <v>96903.584078917294</v>
      </c>
      <c r="BV15" s="2340">
        <v>96992.392310052237</v>
      </c>
      <c r="BW15" s="2340">
        <v>97034.041037162198</v>
      </c>
      <c r="BX15" s="2340">
        <v>97159.0909733687</v>
      </c>
      <c r="BY15" s="2340">
        <v>97356.605434174344</v>
      </c>
      <c r="BZ15" s="2340">
        <v>97663.519862804882</v>
      </c>
      <c r="CA15" s="2340">
        <v>97844.118686372705</v>
      </c>
      <c r="CB15" s="2340">
        <v>97916.441893980664</v>
      </c>
      <c r="CC15" s="2340">
        <v>98077.297159813097</v>
      </c>
      <c r="CD15" s="2340">
        <v>98181.389871818537</v>
      </c>
      <c r="CE15" s="2340">
        <v>98243.981286133145</v>
      </c>
      <c r="CF15" s="2340">
        <v>98405.080107847243</v>
      </c>
      <c r="CG15" s="2340">
        <v>98477.945058444981</v>
      </c>
      <c r="CH15" s="2340">
        <v>98576.841418040189</v>
      </c>
      <c r="CI15" s="2340">
        <v>98660.881211331303</v>
      </c>
      <c r="CJ15" s="2340">
        <v>98684.995330765087</v>
      </c>
      <c r="CK15" s="2340">
        <v>98732.593410224057</v>
      </c>
      <c r="CL15" s="2340">
        <v>98845.070749280887</v>
      </c>
      <c r="CM15" s="2340">
        <v>98856.09087929489</v>
      </c>
      <c r="CN15" s="2340">
        <v>98927.267122950492</v>
      </c>
      <c r="CO15" s="2340">
        <v>99026.212116985917</v>
      </c>
      <c r="CP15" s="2340">
        <v>99080.35131636975</v>
      </c>
      <c r="CQ15" s="2340">
        <v>99145.323283932128</v>
      </c>
      <c r="CR15" s="2340">
        <v>99167.002684304403</v>
      </c>
      <c r="CS15" s="2340">
        <v>99221.008690262213</v>
      </c>
      <c r="CT15" s="2340">
        <v>99235.021334962337</v>
      </c>
      <c r="CU15" s="2340">
        <v>99276.694789645408</v>
      </c>
      <c r="CV15" s="2340">
        <v>99299.5747390381</v>
      </c>
      <c r="CW15" s="2340">
        <v>99308.304694877283</v>
      </c>
      <c r="CX15" s="2340">
        <v>99366.09197362508</v>
      </c>
      <c r="CY15" s="2340">
        <v>99354.288625686328</v>
      </c>
      <c r="CZ15" s="2340">
        <v>99381.032668416563</v>
      </c>
      <c r="DA15" s="2340">
        <v>99372.706080697622</v>
      </c>
      <c r="DB15" s="2340">
        <v>99416.436163621751</v>
      </c>
      <c r="DC15" s="2340">
        <v>99415.269262791597</v>
      </c>
      <c r="DD15" s="2340">
        <v>99428.513823242698</v>
      </c>
      <c r="DE15" s="2340">
        <v>99426.039656611829</v>
      </c>
      <c r="DF15" s="2340">
        <v>99466.812870970956</v>
      </c>
      <c r="DG15" s="2340">
        <v>99478.273637838938</v>
      </c>
      <c r="DH15" s="2340">
        <v>99480.495062595772</v>
      </c>
      <c r="DI15" s="2340">
        <v>99482.569183162923</v>
      </c>
      <c r="DJ15" s="2340">
        <v>99522.834314397653</v>
      </c>
      <c r="DK15" s="2340">
        <v>99526.261667602346</v>
      </c>
      <c r="DL15" s="2340">
        <v>99515.046499195669</v>
      </c>
      <c r="DM15" s="2340">
        <v>99529.345708910783</v>
      </c>
      <c r="DN15" s="2340">
        <v>99515.761878717167</v>
      </c>
      <c r="DO15" s="2340">
        <v>99539.421406747599</v>
      </c>
      <c r="DP15" s="2340">
        <v>99551.688245105222</v>
      </c>
      <c r="DQ15" s="2340">
        <v>99552.432745902333</v>
      </c>
      <c r="DR15" s="2340">
        <v>99583.671160959755</v>
      </c>
      <c r="DS15" s="2340">
        <v>99577.013461523587</v>
      </c>
      <c r="DT15" s="2340">
        <v>99595.765611387949</v>
      </c>
      <c r="DU15" s="2340">
        <v>99613.660352638311</v>
      </c>
    </row>
    <row r="16" spans="1:126" ht="12.75">
      <c r="A16" s="131">
        <v>14</v>
      </c>
      <c r="B16" s="132"/>
      <c r="C16" s="132"/>
      <c r="D16" s="132"/>
      <c r="E16" s="132"/>
      <c r="F16" s="132"/>
      <c r="G16" s="132"/>
      <c r="H16" s="132"/>
      <c r="I16" s="132"/>
      <c r="J16" s="132"/>
      <c r="K16" s="132"/>
      <c r="L16" s="132"/>
      <c r="M16" s="132"/>
      <c r="N16" s="132"/>
      <c r="O16" s="132"/>
      <c r="P16" s="132"/>
      <c r="Q16" s="132"/>
      <c r="R16" s="132"/>
      <c r="S16" s="132"/>
      <c r="T16" s="132"/>
      <c r="U16" s="132"/>
      <c r="V16" s="132"/>
      <c r="W16" s="132">
        <v>80901</v>
      </c>
      <c r="X16" s="132">
        <v>81641</v>
      </c>
      <c r="Y16" s="132">
        <v>81728.101539346913</v>
      </c>
      <c r="Z16" s="132">
        <v>84075.119880490834</v>
      </c>
      <c r="AA16" s="2340">
        <v>84327.786745143574</v>
      </c>
      <c r="AB16" s="2340">
        <v>84901.06887825529</v>
      </c>
      <c r="AC16" s="2340">
        <v>85610.430335736542</v>
      </c>
      <c r="AD16" s="2340">
        <v>86469.79846794164</v>
      </c>
      <c r="AE16" s="2340">
        <v>86186.435037900228</v>
      </c>
      <c r="AF16" s="2340">
        <v>87379.460293554177</v>
      </c>
      <c r="AG16" s="2340">
        <v>87629.388627622917</v>
      </c>
      <c r="AH16" s="2340">
        <v>87872.537862819983</v>
      </c>
      <c r="AI16" s="2340">
        <v>88015.659963459009</v>
      </c>
      <c r="AJ16" s="2340">
        <v>89182.469851456874</v>
      </c>
      <c r="AK16" s="2340">
        <v>89027.978799350909</v>
      </c>
      <c r="AL16" s="2340">
        <v>89301.562734366962</v>
      </c>
      <c r="AM16" s="2340">
        <v>89541.683639682786</v>
      </c>
      <c r="AN16" s="2340">
        <v>89974.689579155107</v>
      </c>
      <c r="AO16" s="2340">
        <v>89929.772910613319</v>
      </c>
      <c r="AP16" s="2340">
        <v>90024.475900379548</v>
      </c>
      <c r="AQ16" s="2340">
        <v>90081.669434325231</v>
      </c>
      <c r="AR16" s="2340">
        <v>90128.700056789981</v>
      </c>
      <c r="AS16" s="2340">
        <v>89489.818881039188</v>
      </c>
      <c r="AT16" s="2340">
        <v>88606.206688077524</v>
      </c>
      <c r="AU16" s="2340">
        <v>87188.401788070623</v>
      </c>
      <c r="AV16" s="2340">
        <v>87746.396995219999</v>
      </c>
      <c r="AW16" s="2340">
        <v>88079.829542866122</v>
      </c>
      <c r="AX16" s="2340">
        <v>90443.426495138468</v>
      </c>
      <c r="AY16" s="2340">
        <v>92440.076970671827</v>
      </c>
      <c r="AZ16" s="2340">
        <v>92493.523957791171</v>
      </c>
      <c r="BA16" s="2340">
        <v>92588.403285728113</v>
      </c>
      <c r="BB16" s="2340">
        <v>93324.786446532642</v>
      </c>
      <c r="BC16" s="2340">
        <v>93565.909353712879</v>
      </c>
      <c r="BD16" s="2340">
        <v>94024.026160079186</v>
      </c>
      <c r="BE16" s="2340">
        <v>94096.847592954262</v>
      </c>
      <c r="BF16" s="2340">
        <v>94477.134249723444</v>
      </c>
      <c r="BG16" s="2340">
        <v>94508.454089658859</v>
      </c>
      <c r="BH16" s="2340">
        <v>94795.37240381047</v>
      </c>
      <c r="BI16" s="2340">
        <v>95055.35797152204</v>
      </c>
      <c r="BJ16" s="2340">
        <v>95135.727135695546</v>
      </c>
      <c r="BK16" s="2340">
        <v>95469.657396955634</v>
      </c>
      <c r="BL16" s="2340">
        <v>95754.397754479127</v>
      </c>
      <c r="BM16" s="2340">
        <v>96022.539050801148</v>
      </c>
      <c r="BN16" s="2340">
        <v>96292.697840394176</v>
      </c>
      <c r="BO16" s="2340">
        <v>96502.474119322113</v>
      </c>
      <c r="BP16" s="2340">
        <v>96568.46399694799</v>
      </c>
      <c r="BQ16" s="2340">
        <v>96679.623051106915</v>
      </c>
      <c r="BR16" s="2340">
        <v>96740.013044254272</v>
      </c>
      <c r="BS16" s="2340">
        <v>96701.658545826198</v>
      </c>
      <c r="BT16" s="2340">
        <v>96768.895549579203</v>
      </c>
      <c r="BU16" s="2340">
        <v>96875.995970794989</v>
      </c>
      <c r="BV16" s="2340">
        <v>96964.856461201474</v>
      </c>
      <c r="BW16" s="2340">
        <v>97007.437293011142</v>
      </c>
      <c r="BX16" s="2340">
        <v>97140.675999347834</v>
      </c>
      <c r="BY16" s="2340">
        <v>97332.952997092681</v>
      </c>
      <c r="BZ16" s="2340">
        <v>97639.5180589589</v>
      </c>
      <c r="CA16" s="2340">
        <v>97824.721625942533</v>
      </c>
      <c r="CB16" s="2340">
        <v>97894.422162447911</v>
      </c>
      <c r="CC16" s="2340">
        <v>98056.204984453798</v>
      </c>
      <c r="CD16" s="2340">
        <v>98161.0978060661</v>
      </c>
      <c r="CE16" s="2340">
        <v>98223.682025441114</v>
      </c>
      <c r="CF16" s="2340">
        <v>98388.161458232498</v>
      </c>
      <c r="CG16" s="2340">
        <v>98461.715851800283</v>
      </c>
      <c r="CH16" s="2340">
        <v>98554.732122893955</v>
      </c>
      <c r="CI16" s="2340">
        <v>98643.964211270926</v>
      </c>
      <c r="CJ16" s="2340">
        <v>98670.560667944999</v>
      </c>
      <c r="CK16" s="2340">
        <v>98714.442636942578</v>
      </c>
      <c r="CL16" s="2340">
        <v>98828.10710728816</v>
      </c>
      <c r="CM16" s="2340">
        <v>98841.088024530909</v>
      </c>
      <c r="CN16" s="2340">
        <v>98917.066157051959</v>
      </c>
      <c r="CO16" s="2340">
        <v>99013.428070994269</v>
      </c>
      <c r="CP16" s="2340">
        <v>99063.608067970854</v>
      </c>
      <c r="CQ16" s="2340">
        <v>99134.979624927873</v>
      </c>
      <c r="CR16" s="2340">
        <v>99158.196618507936</v>
      </c>
      <c r="CS16" s="2340">
        <v>99212.564581600702</v>
      </c>
      <c r="CT16" s="2340">
        <v>99223.475351550485</v>
      </c>
      <c r="CU16" s="2340">
        <v>99266.933174759179</v>
      </c>
      <c r="CV16" s="2340">
        <v>99283.403945600949</v>
      </c>
      <c r="CW16" s="2340">
        <v>99298.590753066266</v>
      </c>
      <c r="CX16" s="2340">
        <v>99357.127993609349</v>
      </c>
      <c r="CY16" s="2340">
        <v>99346.566159581533</v>
      </c>
      <c r="CZ16" s="2340">
        <v>99369.623554366495</v>
      </c>
      <c r="DA16" s="2340">
        <v>99364.107008178151</v>
      </c>
      <c r="DB16" s="2340">
        <v>99408.15085647114</v>
      </c>
      <c r="DC16" s="2340">
        <v>99403.706154460771</v>
      </c>
      <c r="DD16" s="2340">
        <v>99419.809411783484</v>
      </c>
      <c r="DE16" s="2340">
        <v>99417.800365218151</v>
      </c>
      <c r="DF16" s="2340">
        <v>99455.405472281695</v>
      </c>
      <c r="DG16" s="2340">
        <v>99467.678764526718</v>
      </c>
      <c r="DH16" s="2340">
        <v>99470.289144459937</v>
      </c>
      <c r="DI16" s="2340">
        <v>99472.737955583041</v>
      </c>
      <c r="DJ16" s="2340">
        <v>99513.360385801745</v>
      </c>
      <c r="DK16" s="2340">
        <v>99517.135431975301</v>
      </c>
      <c r="DL16" s="2340">
        <v>99506.25648957488</v>
      </c>
      <c r="DM16" s="2340">
        <v>99520.877367405265</v>
      </c>
      <c r="DN16" s="2340">
        <v>99507.605719385538</v>
      </c>
      <c r="DO16" s="2340">
        <v>99531.562980975694</v>
      </c>
      <c r="DP16" s="2340">
        <v>99544.117551203861</v>
      </c>
      <c r="DQ16" s="2340">
        <v>99545.140092902366</v>
      </c>
      <c r="DR16" s="2340">
        <v>99576.644185788042</v>
      </c>
      <c r="DS16" s="2340">
        <v>99570.245061823094</v>
      </c>
      <c r="DT16" s="2340">
        <v>99589.231966341657</v>
      </c>
      <c r="DU16" s="2340">
        <v>99607.353374543745</v>
      </c>
    </row>
    <row r="17" spans="1:125" ht="12.75">
      <c r="A17" s="131">
        <v>15</v>
      </c>
      <c r="B17" s="132"/>
      <c r="C17" s="132"/>
      <c r="D17" s="132"/>
      <c r="E17" s="132"/>
      <c r="F17" s="132"/>
      <c r="G17" s="132"/>
      <c r="H17" s="132"/>
      <c r="I17" s="132"/>
      <c r="J17" s="132"/>
      <c r="K17" s="132"/>
      <c r="L17" s="132"/>
      <c r="M17" s="132"/>
      <c r="N17" s="132"/>
      <c r="O17" s="132"/>
      <c r="P17" s="132"/>
      <c r="Q17" s="132"/>
      <c r="R17" s="132"/>
      <c r="S17" s="132"/>
      <c r="T17" s="132"/>
      <c r="U17" s="132"/>
      <c r="V17" s="132"/>
      <c r="W17" s="132">
        <v>80754</v>
      </c>
      <c r="X17" s="132">
        <v>81499</v>
      </c>
      <c r="Y17" s="132">
        <v>81598.97697979449</v>
      </c>
      <c r="Z17" s="132">
        <v>83951.769085097083</v>
      </c>
      <c r="AA17" s="2340">
        <v>84194.554868758263</v>
      </c>
      <c r="AB17" s="2340">
        <v>84766.931257070537</v>
      </c>
      <c r="AC17" s="2340">
        <v>85475.171974145051</v>
      </c>
      <c r="AD17" s="2340">
        <v>86333.182366117908</v>
      </c>
      <c r="AE17" s="2340">
        <v>86036.649789259231</v>
      </c>
      <c r="AF17" s="2340">
        <v>87206.893665432683</v>
      </c>
      <c r="AG17" s="2340">
        <v>87421.716370517897</v>
      </c>
      <c r="AH17" s="2340">
        <v>87741.607781404382</v>
      </c>
      <c r="AI17" s="2340">
        <v>87884.51663011346</v>
      </c>
      <c r="AJ17" s="2340">
        <v>89084.088020092066</v>
      </c>
      <c r="AK17" s="2340">
        <v>88949.634178007487</v>
      </c>
      <c r="AL17" s="2340">
        <v>89222.977359160723</v>
      </c>
      <c r="AM17" s="2340">
        <v>89462.886958079864</v>
      </c>
      <c r="AN17" s="2340">
        <v>89907.967994075443</v>
      </c>
      <c r="AO17" s="2340">
        <v>89871.401908578744</v>
      </c>
      <c r="AP17" s="2340">
        <v>89966.013585878463</v>
      </c>
      <c r="AQ17" s="2340">
        <v>90025.329164725641</v>
      </c>
      <c r="AR17" s="2340">
        <v>90070.260784722836</v>
      </c>
      <c r="AS17" s="2340">
        <v>89431.658915924694</v>
      </c>
      <c r="AT17" s="2340">
        <v>88549.240027562526</v>
      </c>
      <c r="AU17" s="2340">
        <v>87141.767431617511</v>
      </c>
      <c r="AV17" s="2340">
        <v>87695.456860556282</v>
      </c>
      <c r="AW17" s="2340">
        <v>88034.262134544755</v>
      </c>
      <c r="AX17" s="2340">
        <v>90387.122176289515</v>
      </c>
      <c r="AY17" s="2340">
        <v>92391.450766984752</v>
      </c>
      <c r="AZ17" s="2340">
        <v>92438.009982962438</v>
      </c>
      <c r="BA17" s="2340">
        <v>92534.667292351543</v>
      </c>
      <c r="BB17" s="2340">
        <v>93268.18372236393</v>
      </c>
      <c r="BC17" s="2340">
        <v>93508.728272296838</v>
      </c>
      <c r="BD17" s="2340">
        <v>93972.989526999198</v>
      </c>
      <c r="BE17" s="2340">
        <v>94043.884869862202</v>
      </c>
      <c r="BF17" s="2340">
        <v>94424.607422611516</v>
      </c>
      <c r="BG17" s="2340">
        <v>94452.536750680127</v>
      </c>
      <c r="BH17" s="2340">
        <v>94746.820313546559</v>
      </c>
      <c r="BI17" s="2340">
        <v>95010.47564901752</v>
      </c>
      <c r="BJ17" s="2340">
        <v>95091.539418612985</v>
      </c>
      <c r="BK17" s="2340">
        <v>95418.429317952556</v>
      </c>
      <c r="BL17" s="2340">
        <v>95711.548883301104</v>
      </c>
      <c r="BM17" s="2340">
        <v>95975.455089355237</v>
      </c>
      <c r="BN17" s="2340">
        <v>96254.269077542107</v>
      </c>
      <c r="BO17" s="2340">
        <v>96461.504479930882</v>
      </c>
      <c r="BP17" s="2340">
        <v>96527.386252051918</v>
      </c>
      <c r="BQ17" s="2340">
        <v>96645.672744051975</v>
      </c>
      <c r="BR17" s="2340">
        <v>96704.24368208235</v>
      </c>
      <c r="BS17" s="2340">
        <v>96670.596657030415</v>
      </c>
      <c r="BT17" s="2340">
        <v>96738.89050810854</v>
      </c>
      <c r="BU17" s="2340">
        <v>96845.238915858718</v>
      </c>
      <c r="BV17" s="2340">
        <v>96937.670695531444</v>
      </c>
      <c r="BW17" s="2340">
        <v>96975.615170587072</v>
      </c>
      <c r="BX17" s="2340">
        <v>97114.959035344451</v>
      </c>
      <c r="BY17" s="2340">
        <v>97308.413867880838</v>
      </c>
      <c r="BZ17" s="2340">
        <v>97608.988264761196</v>
      </c>
      <c r="CA17" s="2340">
        <v>97800.279921769441</v>
      </c>
      <c r="CB17" s="2340">
        <v>97870.184716276213</v>
      </c>
      <c r="CC17" s="2340">
        <v>98032.200997102118</v>
      </c>
      <c r="CD17" s="2340">
        <v>98139.291474255777</v>
      </c>
      <c r="CE17" s="2340">
        <v>98198.535528987835</v>
      </c>
      <c r="CF17" s="2340">
        <v>98364.518876912247</v>
      </c>
      <c r="CG17" s="2340">
        <v>98440.018831592228</v>
      </c>
      <c r="CH17" s="2340">
        <v>98531.38582606439</v>
      </c>
      <c r="CI17" s="2340">
        <v>98623.911026159738</v>
      </c>
      <c r="CJ17" s="2340">
        <v>98650.828559853631</v>
      </c>
      <c r="CK17" s="2340">
        <v>98696.164648820384</v>
      </c>
      <c r="CL17" s="2340">
        <v>98808.646912638884</v>
      </c>
      <c r="CM17" s="2340">
        <v>98824.301713126712</v>
      </c>
      <c r="CN17" s="2340">
        <v>98899.691395088899</v>
      </c>
      <c r="CO17" s="2340">
        <v>99000.654659690117</v>
      </c>
      <c r="CP17" s="2340">
        <v>99046.176831676392</v>
      </c>
      <c r="CQ17" s="2340">
        <v>99122.283327894329</v>
      </c>
      <c r="CR17" s="2340">
        <v>99138.630081305164</v>
      </c>
      <c r="CS17" s="2340">
        <v>99198.668282613566</v>
      </c>
      <c r="CT17" s="2340">
        <v>99207.755152906058</v>
      </c>
      <c r="CU17" s="2340">
        <v>99254.58437770007</v>
      </c>
      <c r="CV17" s="2340">
        <v>99272.663222035786</v>
      </c>
      <c r="CW17" s="2340">
        <v>99287.191356948242</v>
      </c>
      <c r="CX17" s="2340">
        <v>99343.793935631882</v>
      </c>
      <c r="CY17" s="2340">
        <v>99336.223484430884</v>
      </c>
      <c r="CZ17" s="2340">
        <v>99356.583265296678</v>
      </c>
      <c r="DA17" s="2340">
        <v>99349.637830404987</v>
      </c>
      <c r="DB17" s="2340">
        <v>99395.291809197122</v>
      </c>
      <c r="DC17" s="2340">
        <v>99393.265431787571</v>
      </c>
      <c r="DD17" s="2340">
        <v>99405.902644204529</v>
      </c>
      <c r="DE17" s="2340">
        <v>99408.634876607277</v>
      </c>
      <c r="DF17" s="2340">
        <v>99442.430890415999</v>
      </c>
      <c r="DG17" s="2340">
        <v>99455.171005381198</v>
      </c>
      <c r="DH17" s="2340">
        <v>99458.232583254125</v>
      </c>
      <c r="DI17" s="2340">
        <v>99461.116334938124</v>
      </c>
      <c r="DJ17" s="2340">
        <v>99502.153716328088</v>
      </c>
      <c r="DK17" s="2340">
        <v>99506.332899363144</v>
      </c>
      <c r="DL17" s="2340">
        <v>99495.845053046593</v>
      </c>
      <c r="DM17" s="2340">
        <v>99510.840296037946</v>
      </c>
      <c r="DN17" s="2340">
        <v>99497.932263821509</v>
      </c>
      <c r="DO17" s="2340">
        <v>99522.236480072956</v>
      </c>
      <c r="DP17" s="2340">
        <v>99535.126591280816</v>
      </c>
      <c r="DQ17" s="2340">
        <v>99536.473606275089</v>
      </c>
      <c r="DR17" s="2340">
        <v>99568.287904639859</v>
      </c>
      <c r="DS17" s="2340">
        <v>99562.175929898818</v>
      </c>
      <c r="DT17" s="2340">
        <v>99581.438129578077</v>
      </c>
      <c r="DU17" s="2340">
        <v>99599.825506359732</v>
      </c>
    </row>
    <row r="18" spans="1:125" ht="12.75">
      <c r="A18" s="131">
        <v>16</v>
      </c>
      <c r="B18" s="132"/>
      <c r="C18" s="132"/>
      <c r="D18" s="132"/>
      <c r="E18" s="132"/>
      <c r="F18" s="132"/>
      <c r="G18" s="132"/>
      <c r="H18" s="132"/>
      <c r="I18" s="132"/>
      <c r="J18" s="132"/>
      <c r="K18" s="132"/>
      <c r="L18" s="132"/>
      <c r="M18" s="132"/>
      <c r="N18" s="132"/>
      <c r="O18" s="132"/>
      <c r="P18" s="132"/>
      <c r="Q18" s="132"/>
      <c r="R18" s="132"/>
      <c r="S18" s="132"/>
      <c r="T18" s="132"/>
      <c r="U18" s="132"/>
      <c r="V18" s="132"/>
      <c r="W18" s="132">
        <v>80604</v>
      </c>
      <c r="X18" s="132">
        <v>81345</v>
      </c>
      <c r="Y18" s="132">
        <v>81455.498247853218</v>
      </c>
      <c r="Z18" s="132">
        <v>83792.806231121547</v>
      </c>
      <c r="AA18" s="2340">
        <v>84035.132299383098</v>
      </c>
      <c r="AB18" s="2340">
        <v>84606.424891782241</v>
      </c>
      <c r="AC18" s="2340">
        <v>85313.324553547078</v>
      </c>
      <c r="AD18" s="2340">
        <v>86153.363094500455</v>
      </c>
      <c r="AE18" s="2340">
        <v>85833.011564209883</v>
      </c>
      <c r="AF18" s="2340">
        <v>86959.204006456959</v>
      </c>
      <c r="AG18" s="2340">
        <v>87266.979932542075</v>
      </c>
      <c r="AH18" s="2340">
        <v>87586.305135631294</v>
      </c>
      <c r="AI18" s="2340">
        <v>87769.347848256017</v>
      </c>
      <c r="AJ18" s="2340">
        <v>88991.440568551174</v>
      </c>
      <c r="AK18" s="2340">
        <v>88857.126558462362</v>
      </c>
      <c r="AL18" s="2340">
        <v>89130.185462707203</v>
      </c>
      <c r="AM18" s="2340">
        <v>89382.928602404136</v>
      </c>
      <c r="AN18" s="2340">
        <v>89837.942503633516</v>
      </c>
      <c r="AO18" s="2340">
        <v>89797.195548273536</v>
      </c>
      <c r="AP18" s="2340">
        <v>89893.340463218003</v>
      </c>
      <c r="AQ18" s="2340">
        <v>89947.660133429788</v>
      </c>
      <c r="AR18" s="2340">
        <v>90001.160368382523</v>
      </c>
      <c r="AS18" s="2340">
        <v>89361.213946044241</v>
      </c>
      <c r="AT18" s="2340">
        <v>88484.310885111801</v>
      </c>
      <c r="AU18" s="2340">
        <v>87085.258340327957</v>
      </c>
      <c r="AV18" s="2340">
        <v>87631.290118240402</v>
      </c>
      <c r="AW18" s="2340">
        <v>87973.66659965794</v>
      </c>
      <c r="AX18" s="2340">
        <v>90322.433010937661</v>
      </c>
      <c r="AY18" s="2340">
        <v>92330.025798177783</v>
      </c>
      <c r="AZ18" s="2340">
        <v>92377.877109869863</v>
      </c>
      <c r="BA18" s="2340">
        <v>92475.004287871983</v>
      </c>
      <c r="BB18" s="2340">
        <v>93207.174451391576</v>
      </c>
      <c r="BC18" s="2340">
        <v>93446.521360910963</v>
      </c>
      <c r="BD18" s="2340">
        <v>93907.201742050747</v>
      </c>
      <c r="BE18" s="2340">
        <v>93975.647287233354</v>
      </c>
      <c r="BF18" s="2340">
        <v>94358.881121555038</v>
      </c>
      <c r="BG18" s="2340">
        <v>94384.702742916023</v>
      </c>
      <c r="BH18" s="2340">
        <v>94686.139369917335</v>
      </c>
      <c r="BI18" s="2340">
        <v>94946.229458100846</v>
      </c>
      <c r="BJ18" s="2340">
        <v>95030.276031091096</v>
      </c>
      <c r="BK18" s="2340">
        <v>95356.721367512466</v>
      </c>
      <c r="BL18" s="2340">
        <v>95647.58483550587</v>
      </c>
      <c r="BM18" s="2340">
        <v>95918.097877668508</v>
      </c>
      <c r="BN18" s="2340">
        <v>96197.222474728536</v>
      </c>
      <c r="BO18" s="2340">
        <v>96405.613026110354</v>
      </c>
      <c r="BP18" s="2340">
        <v>96472.876485044326</v>
      </c>
      <c r="BQ18" s="2340">
        <v>96597.919203154175</v>
      </c>
      <c r="BR18" s="2340">
        <v>96657.80487570593</v>
      </c>
      <c r="BS18" s="2340">
        <v>96631.06409658512</v>
      </c>
      <c r="BT18" s="2340">
        <v>96697.158161630054</v>
      </c>
      <c r="BU18" s="2340">
        <v>96803.760374345453</v>
      </c>
      <c r="BV18" s="2340">
        <v>96894.711885785466</v>
      </c>
      <c r="BW18" s="2340">
        <v>96937.130054821653</v>
      </c>
      <c r="BX18" s="2340">
        <v>97079.365292613918</v>
      </c>
      <c r="BY18" s="2340">
        <v>97268.081627126099</v>
      </c>
      <c r="BZ18" s="2340">
        <v>97577.520320605341</v>
      </c>
      <c r="CA18" s="2340">
        <v>97765.264635852713</v>
      </c>
      <c r="CB18" s="2340">
        <v>97832.785770909395</v>
      </c>
      <c r="CC18" s="2340">
        <v>97999.624362390692</v>
      </c>
      <c r="CD18" s="2340">
        <v>98105.457666821327</v>
      </c>
      <c r="CE18" s="2340">
        <v>98172.159679021192</v>
      </c>
      <c r="CF18" s="2340">
        <v>98338.730313264299</v>
      </c>
      <c r="CG18" s="2340">
        <v>98408.842564147708</v>
      </c>
      <c r="CH18" s="2340">
        <v>98507.513458391884</v>
      </c>
      <c r="CI18" s="2340">
        <v>98603.29984635541</v>
      </c>
      <c r="CJ18" s="2340">
        <v>98626.487653809745</v>
      </c>
      <c r="CK18" s="2340">
        <v>98671.364016932814</v>
      </c>
      <c r="CL18" s="2340">
        <v>98783.358498325208</v>
      </c>
      <c r="CM18" s="2340">
        <v>98803.912842308549</v>
      </c>
      <c r="CN18" s="2340">
        <v>98882.134189110991</v>
      </c>
      <c r="CO18" s="2340">
        <v>98982.606057553567</v>
      </c>
      <c r="CP18" s="2340">
        <v>99026.45924867985</v>
      </c>
      <c r="CQ18" s="2340">
        <v>99099.958753941552</v>
      </c>
      <c r="CR18" s="2340">
        <v>99117.379245433578</v>
      </c>
      <c r="CS18" s="2340">
        <v>99183.199959454156</v>
      </c>
      <c r="CT18" s="2340">
        <v>99194.976924397633</v>
      </c>
      <c r="CU18" s="2340">
        <v>99237.088979736087</v>
      </c>
      <c r="CV18" s="2340">
        <v>99256.400912260273</v>
      </c>
      <c r="CW18" s="2340">
        <v>99273.451069923874</v>
      </c>
      <c r="CX18" s="2340">
        <v>99329.11779862229</v>
      </c>
      <c r="CY18" s="2340">
        <v>99321.598393041902</v>
      </c>
      <c r="CZ18" s="2340">
        <v>99340.624942145601</v>
      </c>
      <c r="DA18" s="2340">
        <v>99332.198958516383</v>
      </c>
      <c r="DB18" s="2340">
        <v>99379.968055782607</v>
      </c>
      <c r="DC18" s="2340">
        <v>99379.512816368719</v>
      </c>
      <c r="DD18" s="2340">
        <v>99389.049110293083</v>
      </c>
      <c r="DE18" s="2340">
        <v>99392.436493693982</v>
      </c>
      <c r="DF18" s="2340">
        <v>99426.801683067024</v>
      </c>
      <c r="DG18" s="2340">
        <v>99440.094167714647</v>
      </c>
      <c r="DH18" s="2340">
        <v>99443.69000875573</v>
      </c>
      <c r="DI18" s="2340">
        <v>99447.089116538409</v>
      </c>
      <c r="DJ18" s="2340">
        <v>99488.618400925989</v>
      </c>
      <c r="DK18" s="2340">
        <v>99493.27707526389</v>
      </c>
      <c r="DL18" s="2340">
        <v>99483.253590346838</v>
      </c>
      <c r="DM18" s="2340">
        <v>99498.693568179093</v>
      </c>
      <c r="DN18" s="2340">
        <v>99486.217848080007</v>
      </c>
      <c r="DO18" s="2340">
        <v>99510.93476448032</v>
      </c>
      <c r="DP18" s="2340">
        <v>99524.224287228222</v>
      </c>
      <c r="DQ18" s="2340">
        <v>99525.957817920455</v>
      </c>
      <c r="DR18" s="2340">
        <v>99558.123646768654</v>
      </c>
      <c r="DS18" s="2340">
        <v>99552.355193280353</v>
      </c>
      <c r="DT18" s="2340">
        <v>99571.946885818659</v>
      </c>
      <c r="DU18" s="2340">
        <v>99590.652781644909</v>
      </c>
    </row>
    <row r="19" spans="1:125" ht="12.75">
      <c r="A19" s="131">
        <v>17</v>
      </c>
      <c r="B19" s="132"/>
      <c r="C19" s="132"/>
      <c r="D19" s="132"/>
      <c r="E19" s="132"/>
      <c r="F19" s="132"/>
      <c r="G19" s="132"/>
      <c r="H19" s="132"/>
      <c r="I19" s="132"/>
      <c r="J19" s="132"/>
      <c r="K19" s="132"/>
      <c r="L19" s="132"/>
      <c r="M19" s="132"/>
      <c r="N19" s="132"/>
      <c r="O19" s="132"/>
      <c r="P19" s="132"/>
      <c r="Q19" s="132"/>
      <c r="R19" s="132"/>
      <c r="S19" s="132"/>
      <c r="T19" s="132"/>
      <c r="U19" s="132"/>
      <c r="V19" s="132"/>
      <c r="W19" s="132">
        <v>80420</v>
      </c>
      <c r="X19" s="132">
        <v>81173</v>
      </c>
      <c r="Y19" s="132">
        <v>81269.825418520108</v>
      </c>
      <c r="Z19" s="132">
        <v>83601.805651107265</v>
      </c>
      <c r="AA19" s="2340">
        <v>83843.579351908251</v>
      </c>
      <c r="AB19" s="2340">
        <v>84413.569717762977</v>
      </c>
      <c r="AC19" s="2340">
        <v>85099.41139409873</v>
      </c>
      <c r="AD19" s="2340">
        <v>85907.886438129688</v>
      </c>
      <c r="AE19" s="2340">
        <v>85539.534909162947</v>
      </c>
      <c r="AF19" s="2340">
        <v>86774.850493963269</v>
      </c>
      <c r="AG19" s="2340">
        <v>87081.973935085087</v>
      </c>
      <c r="AH19" s="2340">
        <v>87448.83093429674</v>
      </c>
      <c r="AI19" s="2340">
        <v>87665.78001779507</v>
      </c>
      <c r="AJ19" s="2340">
        <v>88886.430668680288</v>
      </c>
      <c r="AK19" s="2340">
        <v>88752.275149123379</v>
      </c>
      <c r="AL19" s="2340">
        <v>89037.432146928622</v>
      </c>
      <c r="AM19" s="2340">
        <v>89295.711467436326</v>
      </c>
      <c r="AN19" s="2340">
        <v>89750.628537402517</v>
      </c>
      <c r="AO19" s="2340">
        <v>89712.24968349711</v>
      </c>
      <c r="AP19" s="2340">
        <v>89806.127895498998</v>
      </c>
      <c r="AQ19" s="2340">
        <v>89856.967539157238</v>
      </c>
      <c r="AR19" s="2340">
        <v>89916.894601517837</v>
      </c>
      <c r="AS19" s="2340">
        <v>89269.817066592266</v>
      </c>
      <c r="AT19" s="2340">
        <v>88397.044464394217</v>
      </c>
      <c r="AU19" s="2340">
        <v>87004.337979506075</v>
      </c>
      <c r="AV19" s="2340">
        <v>87547.642239099529</v>
      </c>
      <c r="AW19" s="2340">
        <v>87888.194749441871</v>
      </c>
      <c r="AX19" s="2340">
        <v>90230.161338853955</v>
      </c>
      <c r="AY19" s="2340">
        <v>92237.063899969697</v>
      </c>
      <c r="AZ19" s="2340">
        <v>92282.115528161143</v>
      </c>
      <c r="BA19" s="2340">
        <v>92368.786662355269</v>
      </c>
      <c r="BB19" s="2340">
        <v>93109.633447106156</v>
      </c>
      <c r="BC19" s="2340">
        <v>93336.292161396443</v>
      </c>
      <c r="BD19" s="2340">
        <v>93799.363811412724</v>
      </c>
      <c r="BE19" s="2340">
        <v>93863.69783004174</v>
      </c>
      <c r="BF19" s="2340">
        <v>94245.637564290912</v>
      </c>
      <c r="BG19" s="2340">
        <v>94280.174321199607</v>
      </c>
      <c r="BH19" s="2340">
        <v>94573.090462123379</v>
      </c>
      <c r="BI19" s="2340">
        <v>94842.24957874119</v>
      </c>
      <c r="BJ19" s="2340">
        <v>94927.264615366832</v>
      </c>
      <c r="BK19" s="2340">
        <v>95253.707724935331</v>
      </c>
      <c r="BL19" s="2340">
        <v>95555.085565310466</v>
      </c>
      <c r="BM19" s="2340">
        <v>95822.682218020389</v>
      </c>
      <c r="BN19" s="2340">
        <v>96110.896034295132</v>
      </c>
      <c r="BO19" s="2340">
        <v>96327.273901552326</v>
      </c>
      <c r="BP19" s="2340">
        <v>96393.063384093388</v>
      </c>
      <c r="BQ19" s="2340">
        <v>96518.246778443281</v>
      </c>
      <c r="BR19" s="2340">
        <v>96591.028602796374</v>
      </c>
      <c r="BS19" s="2340">
        <v>96573.337444829885</v>
      </c>
      <c r="BT19" s="2340">
        <v>96635.875436284012</v>
      </c>
      <c r="BU19" s="2340">
        <v>96746.811969322531</v>
      </c>
      <c r="BV19" s="2340">
        <v>96838.045739993016</v>
      </c>
      <c r="BW19" s="2340">
        <v>96887.068048137895</v>
      </c>
      <c r="BX19" s="2340">
        <v>97022.404936300692</v>
      </c>
      <c r="BY19" s="2340">
        <v>97211.528828160779</v>
      </c>
      <c r="BZ19" s="2340">
        <v>97528.922598777252</v>
      </c>
      <c r="CA19" s="2340">
        <v>97712.291832541858</v>
      </c>
      <c r="CB19" s="2340">
        <v>97782.054359314396</v>
      </c>
      <c r="CC19" s="2340">
        <v>97947.608471915824</v>
      </c>
      <c r="CD19" s="2340">
        <v>98052.387550772866</v>
      </c>
      <c r="CE19" s="2340">
        <v>98125.927154689474</v>
      </c>
      <c r="CF19" s="2340">
        <v>98298.888875958859</v>
      </c>
      <c r="CG19" s="2340">
        <v>98366.686876786436</v>
      </c>
      <c r="CH19" s="2340">
        <v>98465.340630693259</v>
      </c>
      <c r="CI19" s="2340">
        <v>98557.756181346384</v>
      </c>
      <c r="CJ19" s="2340">
        <v>98586.217230210415</v>
      </c>
      <c r="CK19" s="2340">
        <v>98638.889275476919</v>
      </c>
      <c r="CL19" s="2340">
        <v>98751.300037277135</v>
      </c>
      <c r="CM19" s="2340">
        <v>98771.069933126375</v>
      </c>
      <c r="CN19" s="2340">
        <v>98851.039711142846</v>
      </c>
      <c r="CO19" s="2340">
        <v>98951.824499861745</v>
      </c>
      <c r="CP19" s="2340">
        <v>99000.813875722146</v>
      </c>
      <c r="CQ19" s="2340">
        <v>99074.869281194842</v>
      </c>
      <c r="CR19" s="2340">
        <v>99090.597089873365</v>
      </c>
      <c r="CS19" s="2340">
        <v>99158.620748245885</v>
      </c>
      <c r="CT19" s="2340">
        <v>99169.571137653547</v>
      </c>
      <c r="CU19" s="2340">
        <v>99211.034999104522</v>
      </c>
      <c r="CV19" s="2340">
        <v>99231.976274259345</v>
      </c>
      <c r="CW19" s="2340">
        <v>99248.212226851421</v>
      </c>
      <c r="CX19" s="2340">
        <v>99303.107115115403</v>
      </c>
      <c r="CY19" s="2340">
        <v>99297.095792299209</v>
      </c>
      <c r="CZ19" s="2340">
        <v>99320.5459754576</v>
      </c>
      <c r="DA19" s="2340">
        <v>99309.291840621489</v>
      </c>
      <c r="DB19" s="2340">
        <v>99357.885888697987</v>
      </c>
      <c r="DC19" s="2340">
        <v>99356.730989383213</v>
      </c>
      <c r="DD19" s="2340">
        <v>99368.70894621285</v>
      </c>
      <c r="DE19" s="2340">
        <v>99372.804191059389</v>
      </c>
      <c r="DF19" s="2340">
        <v>99407.846701807124</v>
      </c>
      <c r="DG19" s="2340">
        <v>99421.797019602935</v>
      </c>
      <c r="DH19" s="2340">
        <v>99426.029586038392</v>
      </c>
      <c r="DI19" s="2340">
        <v>99430.043295449766</v>
      </c>
      <c r="DJ19" s="2340">
        <v>99472.159484618052</v>
      </c>
      <c r="DK19" s="2340">
        <v>99477.390746001736</v>
      </c>
      <c r="DL19" s="2340">
        <v>99467.922191182399</v>
      </c>
      <c r="DM19" s="2340">
        <v>99483.893927346144</v>
      </c>
      <c r="DN19" s="2340">
        <v>99471.935529874114</v>
      </c>
      <c r="DO19" s="2340">
        <v>99497.146532654006</v>
      </c>
      <c r="DP19" s="2340">
        <v>99510.91457826861</v>
      </c>
      <c r="DQ19" s="2340">
        <v>99513.089431725006</v>
      </c>
      <c r="DR19" s="2340">
        <v>99545.678145717553</v>
      </c>
      <c r="DS19" s="2340">
        <v>99540.323266387684</v>
      </c>
      <c r="DT19" s="2340">
        <v>99560.311826363817</v>
      </c>
      <c r="DU19" s="2340">
        <v>99579.401599650344</v>
      </c>
    </row>
    <row r="20" spans="1:125" ht="12.75">
      <c r="A20" s="131">
        <v>18</v>
      </c>
      <c r="B20" s="132"/>
      <c r="C20" s="132"/>
      <c r="D20" s="132"/>
      <c r="E20" s="132"/>
      <c r="F20" s="132"/>
      <c r="G20" s="132"/>
      <c r="H20" s="132"/>
      <c r="I20" s="132"/>
      <c r="J20" s="132"/>
      <c r="K20" s="132"/>
      <c r="L20" s="132"/>
      <c r="M20" s="132"/>
      <c r="N20" s="132"/>
      <c r="O20" s="132"/>
      <c r="P20" s="132"/>
      <c r="Q20" s="132"/>
      <c r="R20" s="132"/>
      <c r="S20" s="132"/>
      <c r="T20" s="132"/>
      <c r="U20" s="132"/>
      <c r="V20" s="132"/>
      <c r="W20" s="132">
        <v>80244</v>
      </c>
      <c r="X20" s="132">
        <v>80986</v>
      </c>
      <c r="Y20" s="132">
        <v>81083.119531827208</v>
      </c>
      <c r="Z20" s="132">
        <v>83409.74237088197</v>
      </c>
      <c r="AA20" s="2340">
        <v>83650.960630927992</v>
      </c>
      <c r="AB20" s="2340">
        <v>84200.248705541089</v>
      </c>
      <c r="AC20" s="2340">
        <v>84855.031623077375</v>
      </c>
      <c r="AD20" s="2340">
        <v>85552.636325904896</v>
      </c>
      <c r="AE20" s="2340">
        <v>85324.830676540951</v>
      </c>
      <c r="AF20" s="2340">
        <v>86557.045619223427</v>
      </c>
      <c r="AG20" s="2340">
        <v>86916.675218389282</v>
      </c>
      <c r="AH20" s="2340">
        <v>87329.90052422609</v>
      </c>
      <c r="AI20" s="2340">
        <v>87546.554556970863</v>
      </c>
      <c r="AJ20" s="2340">
        <v>88765.545122970885</v>
      </c>
      <c r="AK20" s="2340">
        <v>88643.334153686781</v>
      </c>
      <c r="AL20" s="2340">
        <v>88932.612006514843</v>
      </c>
      <c r="AM20" s="2340">
        <v>89205.56312136566</v>
      </c>
      <c r="AN20" s="2340">
        <v>89651.497938060129</v>
      </c>
      <c r="AO20" s="2340">
        <v>89612.939338955839</v>
      </c>
      <c r="AP20" s="2340">
        <v>89707.558220874023</v>
      </c>
      <c r="AQ20" s="2340">
        <v>89751.742226556875</v>
      </c>
      <c r="AR20" s="2340">
        <v>89822.841303050838</v>
      </c>
      <c r="AS20" s="2340">
        <v>89162.488269488167</v>
      </c>
      <c r="AT20" s="2340">
        <v>88292.369355566028</v>
      </c>
      <c r="AU20" s="2340">
        <v>86911.214380485224</v>
      </c>
      <c r="AV20" s="2340">
        <v>87431.79950885773</v>
      </c>
      <c r="AW20" s="2340">
        <v>87790.022383403615</v>
      </c>
      <c r="AX20" s="2340">
        <v>90118.028044379957</v>
      </c>
      <c r="AY20" s="2340">
        <v>92115.166808667433</v>
      </c>
      <c r="AZ20" s="2340">
        <v>92168.361059201357</v>
      </c>
      <c r="BA20" s="2340">
        <v>92240.267515678832</v>
      </c>
      <c r="BB20" s="2340">
        <v>92978.733066188754</v>
      </c>
      <c r="BC20" s="2340">
        <v>93202.196901150441</v>
      </c>
      <c r="BD20" s="2340">
        <v>93662.77980003829</v>
      </c>
      <c r="BE20" s="2340">
        <v>93733.57512868318</v>
      </c>
      <c r="BF20" s="2340">
        <v>94125.202916945113</v>
      </c>
      <c r="BG20" s="2340">
        <v>94153.568435164852</v>
      </c>
      <c r="BH20" s="2340">
        <v>94446.273773366251</v>
      </c>
      <c r="BI20" s="2340">
        <v>94712.679662228969</v>
      </c>
      <c r="BJ20" s="2340">
        <v>94804.922242367029</v>
      </c>
      <c r="BK20" s="2340">
        <v>95143.560302414582</v>
      </c>
      <c r="BL20" s="2340">
        <v>95443.014733335745</v>
      </c>
      <c r="BM20" s="2340">
        <v>95713.249820638594</v>
      </c>
      <c r="BN20" s="2340">
        <v>96007.176355026633</v>
      </c>
      <c r="BO20" s="2340">
        <v>96228.444923028757</v>
      </c>
      <c r="BP20" s="2340">
        <v>96307.214579161038</v>
      </c>
      <c r="BQ20" s="2340">
        <v>96432.421540522948</v>
      </c>
      <c r="BR20" s="2340">
        <v>96513.242794857739</v>
      </c>
      <c r="BS20" s="2340">
        <v>96497.437402033174</v>
      </c>
      <c r="BT20" s="2340">
        <v>96562.497128651841</v>
      </c>
      <c r="BU20" s="2340">
        <v>96677.971717509441</v>
      </c>
      <c r="BV20" s="2340">
        <v>96772.192006234895</v>
      </c>
      <c r="BW20" s="2340">
        <v>96813.012817237191</v>
      </c>
      <c r="BX20" s="2340">
        <v>96948.673494053641</v>
      </c>
      <c r="BY20" s="2340">
        <v>97142.73432597224</v>
      </c>
      <c r="BZ20" s="2340">
        <v>97469.224235204994</v>
      </c>
      <c r="CA20" s="2340">
        <v>97644.772583193291</v>
      </c>
      <c r="CB20" s="2340">
        <v>97713.504208278988</v>
      </c>
      <c r="CC20" s="2340">
        <v>97889.80545977861</v>
      </c>
      <c r="CD20" s="2340">
        <v>97990.055331320851</v>
      </c>
      <c r="CE20" s="2340">
        <v>98063.754525385462</v>
      </c>
      <c r="CF20" s="2340">
        <v>98242.748820818379</v>
      </c>
      <c r="CG20" s="2340">
        <v>98318.697709205939</v>
      </c>
      <c r="CH20" s="2340">
        <v>98414.251157630861</v>
      </c>
      <c r="CI20" s="2340">
        <v>98506.624975796454</v>
      </c>
      <c r="CJ20" s="2340">
        <v>98537.819032619183</v>
      </c>
      <c r="CK20" s="2340">
        <v>98597.169130426671</v>
      </c>
      <c r="CL20" s="2340">
        <v>98713.046107442075</v>
      </c>
      <c r="CM20" s="2340">
        <v>98733.618342484144</v>
      </c>
      <c r="CN20" s="2340">
        <v>98821.960823447662</v>
      </c>
      <c r="CO20" s="2340">
        <v>98915.796483925908</v>
      </c>
      <c r="CP20" s="2340">
        <v>98965.621142878954</v>
      </c>
      <c r="CQ20" s="2340">
        <v>99043.267778423324</v>
      </c>
      <c r="CR20" s="2340">
        <v>99054.64764955733</v>
      </c>
      <c r="CS20" s="2340">
        <v>99123.584022897587</v>
      </c>
      <c r="CT20" s="2340">
        <v>99142.452748278723</v>
      </c>
      <c r="CU20" s="2340">
        <v>99182.542971600298</v>
      </c>
      <c r="CV20" s="2340">
        <v>99202.955587829143</v>
      </c>
      <c r="CW20" s="2340">
        <v>99219.754382430227</v>
      </c>
      <c r="CX20" s="2340">
        <v>99279.279773356349</v>
      </c>
      <c r="CY20" s="2340">
        <v>99268.918323675825</v>
      </c>
      <c r="CZ20" s="2340">
        <v>99294.390635049742</v>
      </c>
      <c r="DA20" s="2340">
        <v>99281.965136317696</v>
      </c>
      <c r="DB20" s="2340">
        <v>99331.598796443606</v>
      </c>
      <c r="DC20" s="2340">
        <v>99331.411412580623</v>
      </c>
      <c r="DD20" s="2340">
        <v>99344.252443961057</v>
      </c>
      <c r="DE20" s="2340">
        <v>99349.183217595477</v>
      </c>
      <c r="DF20" s="2340">
        <v>99385.025607697477</v>
      </c>
      <c r="DG20" s="2340">
        <v>99399.753397716981</v>
      </c>
      <c r="DH20" s="2340">
        <v>99404.739030669982</v>
      </c>
      <c r="DI20" s="2340">
        <v>99409.480125219285</v>
      </c>
      <c r="DJ20" s="2340">
        <v>99452.291238207355</v>
      </c>
      <c r="DK20" s="2340">
        <v>99458.201057477432</v>
      </c>
      <c r="DL20" s="2340">
        <v>99449.390624566076</v>
      </c>
      <c r="DM20" s="2340">
        <v>99465.993334525236</v>
      </c>
      <c r="DN20" s="2340">
        <v>99454.649281226491</v>
      </c>
      <c r="DO20" s="2340">
        <v>99480.447305899783</v>
      </c>
      <c r="DP20" s="2340">
        <v>99494.757717006811</v>
      </c>
      <c r="DQ20" s="2340">
        <v>99497.459141964137</v>
      </c>
      <c r="DR20" s="2340">
        <v>99530.552644623473</v>
      </c>
      <c r="DS20" s="2340">
        <v>99525.691830436161</v>
      </c>
      <c r="DT20" s="2340">
        <v>99546.15471351883</v>
      </c>
      <c r="DU20" s="2340">
        <v>99565.703557454341</v>
      </c>
    </row>
    <row r="21" spans="1:125" ht="12.75">
      <c r="A21" s="131">
        <v>19</v>
      </c>
      <c r="B21" s="132"/>
      <c r="C21" s="132"/>
      <c r="D21" s="132"/>
      <c r="E21" s="132"/>
      <c r="F21" s="132"/>
      <c r="G21" s="132"/>
      <c r="H21" s="132"/>
      <c r="I21" s="132"/>
      <c r="J21" s="132"/>
      <c r="K21" s="132"/>
      <c r="L21" s="132"/>
      <c r="M21" s="132"/>
      <c r="N21" s="132"/>
      <c r="O21" s="132"/>
      <c r="P21" s="132"/>
      <c r="Q21" s="132"/>
      <c r="R21" s="132"/>
      <c r="S21" s="132"/>
      <c r="T21" s="132"/>
      <c r="U21" s="132"/>
      <c r="V21" s="132"/>
      <c r="W21" s="132">
        <v>80037</v>
      </c>
      <c r="X21" s="132">
        <v>80778</v>
      </c>
      <c r="Y21" s="132">
        <v>80874.727502951806</v>
      </c>
      <c r="Z21" s="132">
        <v>83195.370679943022</v>
      </c>
      <c r="AA21" s="2340">
        <v>83414.469819347243</v>
      </c>
      <c r="AB21" s="2340">
        <v>83929.744487756994</v>
      </c>
      <c r="AC21" s="2340">
        <v>84462.476401421154</v>
      </c>
      <c r="AD21" s="2340">
        <v>85295.122890563929</v>
      </c>
      <c r="AE21" s="2340">
        <v>85068.002936204561</v>
      </c>
      <c r="AF21" s="2340">
        <v>86360.01377799995</v>
      </c>
      <c r="AG21" s="2340">
        <v>86781.954371800777</v>
      </c>
      <c r="AH21" s="2340">
        <v>87194.539178413543</v>
      </c>
      <c r="AI21" s="2340">
        <v>87410.857397407555</v>
      </c>
      <c r="AJ21" s="2340">
        <v>88641.096234296594</v>
      </c>
      <c r="AK21" s="2340">
        <v>88522.042448673121</v>
      </c>
      <c r="AL21" s="2340">
        <v>88808.330964240376</v>
      </c>
      <c r="AM21" s="2340">
        <v>89076.751752658267</v>
      </c>
      <c r="AN21" s="2340">
        <v>89511.19319112433</v>
      </c>
      <c r="AO21" s="2340">
        <v>89478.162871898225</v>
      </c>
      <c r="AP21" s="2340">
        <v>89576.530600329381</v>
      </c>
      <c r="AQ21" s="2340">
        <v>89615.815655195271</v>
      </c>
      <c r="AR21" s="2340">
        <v>89686.974994718053</v>
      </c>
      <c r="AS21" s="2340">
        <v>89031.955522498916</v>
      </c>
      <c r="AT21" s="2340">
        <v>88159.577070729414</v>
      </c>
      <c r="AU21" s="2340">
        <v>86782.375836623847</v>
      </c>
      <c r="AV21" s="2340">
        <v>87296.253715575498</v>
      </c>
      <c r="AW21" s="2340">
        <v>87659.333572364732</v>
      </c>
      <c r="AX21" s="2340">
        <v>89973.087911331211</v>
      </c>
      <c r="AY21" s="2340">
        <v>91969.962800893176</v>
      </c>
      <c r="AZ21" s="2340">
        <v>92022.414252585135</v>
      </c>
      <c r="BA21" s="2340">
        <v>92070.819955554878</v>
      </c>
      <c r="BB21" s="2340">
        <v>92807.114093860087</v>
      </c>
      <c r="BC21" s="2340">
        <v>93023.876439187588</v>
      </c>
      <c r="BD21" s="2340">
        <v>93493.424261913329</v>
      </c>
      <c r="BE21" s="2340">
        <v>93572.585826472263</v>
      </c>
      <c r="BF21" s="2340">
        <v>93962.146611074219</v>
      </c>
      <c r="BG21" s="2340">
        <v>93982.351904423282</v>
      </c>
      <c r="BH21" s="2340">
        <v>94273.675993105673</v>
      </c>
      <c r="BI21" s="2340">
        <v>94546.511432235726</v>
      </c>
      <c r="BJ21" s="2340">
        <v>94637.438042445356</v>
      </c>
      <c r="BK21" s="2340">
        <v>94988.654750706963</v>
      </c>
      <c r="BL21" s="2340">
        <v>95298.221595046634</v>
      </c>
      <c r="BM21" s="2340">
        <v>95576.69454829015</v>
      </c>
      <c r="BN21" s="2340">
        <v>95869.945414849237</v>
      </c>
      <c r="BO21" s="2340">
        <v>96098.460903655272</v>
      </c>
      <c r="BP21" s="2340">
        <v>96198.957952622746</v>
      </c>
      <c r="BQ21" s="2340">
        <v>96325.797399201125</v>
      </c>
      <c r="BR21" s="2340">
        <v>96418.622815668394</v>
      </c>
      <c r="BS21" s="2340">
        <v>96394.353987207898</v>
      </c>
      <c r="BT21" s="2340">
        <v>96467.067024577598</v>
      </c>
      <c r="BU21" s="2340">
        <v>96579.774883974911</v>
      </c>
      <c r="BV21" s="2340">
        <v>96668.204804803929</v>
      </c>
      <c r="BW21" s="2340">
        <v>96709.846256804885</v>
      </c>
      <c r="BX21" s="2340">
        <v>96844.989319622095</v>
      </c>
      <c r="BY21" s="2340">
        <v>97038.320055645672</v>
      </c>
      <c r="BZ21" s="2340">
        <v>97360.179042582124</v>
      </c>
      <c r="CA21" s="2340">
        <v>97536.385048084237</v>
      </c>
      <c r="CB21" s="2340">
        <v>97604.704031028959</v>
      </c>
      <c r="CC21" s="2340">
        <v>97783.646085172673</v>
      </c>
      <c r="CD21" s="2340">
        <v>97895.216287973628</v>
      </c>
      <c r="CE21" s="2340">
        <v>97968.290061176827</v>
      </c>
      <c r="CF21" s="2340">
        <v>98148.354029971539</v>
      </c>
      <c r="CG21" s="2340">
        <v>98235.175659411529</v>
      </c>
      <c r="CH21" s="2340">
        <v>98333.031081710084</v>
      </c>
      <c r="CI21" s="2340">
        <v>98436.988579226687</v>
      </c>
      <c r="CJ21" s="2340">
        <v>98475.284860016356</v>
      </c>
      <c r="CK21" s="2340">
        <v>98531.951987914945</v>
      </c>
      <c r="CL21" s="2340">
        <v>98656.938809866959</v>
      </c>
      <c r="CM21" s="2340">
        <v>98679.590282524674</v>
      </c>
      <c r="CN21" s="2340">
        <v>98768.121753355488</v>
      </c>
      <c r="CO21" s="2340">
        <v>98867.011862679297</v>
      </c>
      <c r="CP21" s="2340">
        <v>98916.993179179</v>
      </c>
      <c r="CQ21" s="2340">
        <v>98996.620017658934</v>
      </c>
      <c r="CR21" s="2340">
        <v>99012.078636111502</v>
      </c>
      <c r="CS21" s="2340">
        <v>99084.231651112234</v>
      </c>
      <c r="CT21" s="2340">
        <v>99105.508107908769</v>
      </c>
      <c r="CU21" s="2340">
        <v>99144.137023379517</v>
      </c>
      <c r="CV21" s="2340">
        <v>99166.358866026829</v>
      </c>
      <c r="CW21" s="2340">
        <v>99180.486689612779</v>
      </c>
      <c r="CX21" s="2340">
        <v>99239.658370919453</v>
      </c>
      <c r="CY21" s="2340">
        <v>99230.113495578757</v>
      </c>
      <c r="CZ21" s="2340">
        <v>99260.151678403083</v>
      </c>
      <c r="DA21" s="2340">
        <v>99243.207647820978</v>
      </c>
      <c r="DB21" s="2340">
        <v>99300.784306663758</v>
      </c>
      <c r="DC21" s="2340">
        <v>99301.631552113933</v>
      </c>
      <c r="DD21" s="2340">
        <v>99315.468699207442</v>
      </c>
      <c r="DE21" s="2340">
        <v>99321.364484587597</v>
      </c>
      <c r="DF21" s="2340">
        <v>99358.13116830404</v>
      </c>
      <c r="DG21" s="2340">
        <v>99373.758067081231</v>
      </c>
      <c r="DH21" s="2340">
        <v>99379.615213472032</v>
      </c>
      <c r="DI21" s="2340">
        <v>99385.19866309264</v>
      </c>
      <c r="DJ21" s="2340">
        <v>99428.814901933263</v>
      </c>
      <c r="DK21" s="2340">
        <v>99435.511573184995</v>
      </c>
      <c r="DL21" s="2340">
        <v>99427.464864958252</v>
      </c>
      <c r="DM21" s="2340">
        <v>99444.800178146121</v>
      </c>
      <c r="DN21" s="2340">
        <v>99434.170004925938</v>
      </c>
      <c r="DO21" s="2340">
        <v>99460.61924633669</v>
      </c>
      <c r="DP21" s="2340">
        <v>99475.562383834374</v>
      </c>
      <c r="DQ21" s="2340">
        <v>99478.878512769836</v>
      </c>
      <c r="DR21" s="2340">
        <v>99512.561540716299</v>
      </c>
      <c r="DS21" s="2340">
        <v>99508.278190038502</v>
      </c>
      <c r="DT21" s="2340">
        <v>99529.295712940089</v>
      </c>
      <c r="DU21" s="2340">
        <v>99549.381681455445</v>
      </c>
    </row>
    <row r="22" spans="1:125" ht="12.75">
      <c r="A22" s="131">
        <v>20</v>
      </c>
      <c r="B22" s="132"/>
      <c r="C22" s="132"/>
      <c r="D22" s="132"/>
      <c r="E22" s="132"/>
      <c r="F22" s="132"/>
      <c r="G22" s="132"/>
      <c r="H22" s="132"/>
      <c r="I22" s="132"/>
      <c r="J22" s="132"/>
      <c r="K22" s="132"/>
      <c r="L22" s="132"/>
      <c r="M22" s="132"/>
      <c r="N22" s="132"/>
      <c r="O22" s="132"/>
      <c r="P22" s="132"/>
      <c r="Q22" s="132"/>
      <c r="R22" s="132"/>
      <c r="S22" s="132"/>
      <c r="T22" s="132"/>
      <c r="U22" s="132"/>
      <c r="V22" s="132"/>
      <c r="W22" s="132">
        <v>79814</v>
      </c>
      <c r="X22" s="132">
        <v>80553</v>
      </c>
      <c r="Y22" s="132">
        <v>80649.054796945871</v>
      </c>
      <c r="Z22" s="132">
        <v>82940.00763256081</v>
      </c>
      <c r="AA22" s="2340">
        <v>83123.520320885335</v>
      </c>
      <c r="AB22" s="2340">
        <v>83508.189131121704</v>
      </c>
      <c r="AC22" s="2340">
        <v>84151.654488263928</v>
      </c>
      <c r="AD22" s="2340">
        <v>84981.236838326658</v>
      </c>
      <c r="AE22" s="2340">
        <v>84831.25753496126</v>
      </c>
      <c r="AF22" s="2340">
        <v>86210.610954164003</v>
      </c>
      <c r="AG22" s="2340">
        <v>86631.821590737556</v>
      </c>
      <c r="AH22" s="2340">
        <v>87043.692625634882</v>
      </c>
      <c r="AI22" s="2340">
        <v>87258.711175204357</v>
      </c>
      <c r="AJ22" s="2340">
        <v>88492.718101999475</v>
      </c>
      <c r="AK22" s="2340">
        <v>88390.757150974532</v>
      </c>
      <c r="AL22" s="2340">
        <v>88656.863176820494</v>
      </c>
      <c r="AM22" s="2340">
        <v>88917.240345787359</v>
      </c>
      <c r="AN22" s="2340">
        <v>89356.728099640473</v>
      </c>
      <c r="AO22" s="2340">
        <v>89321.51242290363</v>
      </c>
      <c r="AP22" s="2340">
        <v>89415.765841028828</v>
      </c>
      <c r="AQ22" s="2340">
        <v>89455.349302522402</v>
      </c>
      <c r="AR22" s="2340">
        <v>89533.613654932822</v>
      </c>
      <c r="AS22" s="2340">
        <v>88882.33632209721</v>
      </c>
      <c r="AT22" s="2340">
        <v>88015.527237450791</v>
      </c>
      <c r="AU22" s="2340">
        <v>86626.45637332731</v>
      </c>
      <c r="AV22" s="2340">
        <v>87139.82932618435</v>
      </c>
      <c r="AW22" s="2340">
        <v>87510.893638484325</v>
      </c>
      <c r="AX22" s="2340">
        <v>89833.550597075096</v>
      </c>
      <c r="AY22" s="2340">
        <v>91821.623492008686</v>
      </c>
      <c r="AZ22" s="2340">
        <v>91855.640749708327</v>
      </c>
      <c r="BA22" s="2340">
        <v>91893.460330862654</v>
      </c>
      <c r="BB22" s="2340">
        <v>92634.12782178972</v>
      </c>
      <c r="BC22" s="2340">
        <v>92846.625299165797</v>
      </c>
      <c r="BD22" s="2340">
        <v>93332.947637049787</v>
      </c>
      <c r="BE22" s="2340">
        <v>93403.991785973267</v>
      </c>
      <c r="BF22" s="2340">
        <v>93793.357817672251</v>
      </c>
      <c r="BG22" s="2340">
        <v>93808.299888141293</v>
      </c>
      <c r="BH22" s="2340">
        <v>94107.023373062533</v>
      </c>
      <c r="BI22" s="2340">
        <v>94379.998009612551</v>
      </c>
      <c r="BJ22" s="2340">
        <v>94485.039487893868</v>
      </c>
      <c r="BK22" s="2340">
        <v>94829.857487134796</v>
      </c>
      <c r="BL22" s="2340">
        <v>95147.064748141463</v>
      </c>
      <c r="BM22" s="2340">
        <v>95437.592802127256</v>
      </c>
      <c r="BN22" s="2340">
        <v>95730.956401564821</v>
      </c>
      <c r="BO22" s="2340">
        <v>95991.647757782848</v>
      </c>
      <c r="BP22" s="2340">
        <v>96088.398408381472</v>
      </c>
      <c r="BQ22" s="2340">
        <v>96214.260968842078</v>
      </c>
      <c r="BR22" s="2340">
        <v>96315.897880777717</v>
      </c>
      <c r="BS22" s="2340">
        <v>96298.510292971492</v>
      </c>
      <c r="BT22" s="2340">
        <v>96370.066345363986</v>
      </c>
      <c r="BU22" s="2340">
        <v>96462.934218799623</v>
      </c>
      <c r="BV22" s="2340">
        <v>96551.460558059771</v>
      </c>
      <c r="BW22" s="2340">
        <v>96597.94495722992</v>
      </c>
      <c r="BX22" s="2340">
        <v>96733.954568472443</v>
      </c>
      <c r="BY22" s="2340">
        <v>96928.674892134528</v>
      </c>
      <c r="BZ22" s="2340">
        <v>97255.570155909489</v>
      </c>
      <c r="CA22" s="2340">
        <v>97419.734766335416</v>
      </c>
      <c r="CB22" s="2340">
        <v>97502.224824025601</v>
      </c>
      <c r="CC22" s="2340">
        <v>97692.873113521302</v>
      </c>
      <c r="CD22" s="2340">
        <v>97806.791397588269</v>
      </c>
      <c r="CE22" s="2340">
        <v>97876.985581024099</v>
      </c>
      <c r="CF22" s="2340">
        <v>98065.878445111288</v>
      </c>
      <c r="CG22" s="2340">
        <v>98151.236478387</v>
      </c>
      <c r="CH22" s="2340">
        <v>98254.941114085828</v>
      </c>
      <c r="CI22" s="2340">
        <v>98370.935124891679</v>
      </c>
      <c r="CJ22" s="2340">
        <v>98416.481483710144</v>
      </c>
      <c r="CK22" s="2340">
        <v>98467.247670216151</v>
      </c>
      <c r="CL22" s="2340">
        <v>98600.969038023555</v>
      </c>
      <c r="CM22" s="2340">
        <v>98632.264671384139</v>
      </c>
      <c r="CN22" s="2340">
        <v>98719.970892272919</v>
      </c>
      <c r="CO22" s="2340">
        <v>98814.987727876418</v>
      </c>
      <c r="CP22" s="2340">
        <v>98868.766510542438</v>
      </c>
      <c r="CQ22" s="2340">
        <v>98950.966723129823</v>
      </c>
      <c r="CR22" s="2340">
        <v>98972.58948186817</v>
      </c>
      <c r="CS22" s="2340">
        <v>99039.541370845618</v>
      </c>
      <c r="CT22" s="2340">
        <v>99063.644103454193</v>
      </c>
      <c r="CU22" s="2340">
        <v>99106.039946257355</v>
      </c>
      <c r="CV22" s="2340">
        <v>99125.981002720582</v>
      </c>
      <c r="CW22" s="2340">
        <v>99141.429632673928</v>
      </c>
      <c r="CX22" s="2340">
        <v>99198.864322881156</v>
      </c>
      <c r="CY22" s="2340">
        <v>99185.19806816327</v>
      </c>
      <c r="CZ22" s="2340">
        <v>99214.784552183439</v>
      </c>
      <c r="DA22" s="2340">
        <v>99207.080476852294</v>
      </c>
      <c r="DB22" s="2340">
        <v>99265.827080893825</v>
      </c>
      <c r="DC22" s="2340">
        <v>99267.825708046541</v>
      </c>
      <c r="DD22" s="2340">
        <v>99282.77203739369</v>
      </c>
      <c r="DE22" s="2340">
        <v>99289.743141284518</v>
      </c>
      <c r="DF22" s="2340">
        <v>99327.540274158688</v>
      </c>
      <c r="DG22" s="2340">
        <v>99344.170340953031</v>
      </c>
      <c r="DH22" s="2340">
        <v>99351.000572184013</v>
      </c>
      <c r="DI22" s="2340">
        <v>99357.525180014884</v>
      </c>
      <c r="DJ22" s="2340">
        <v>99402.041380498194</v>
      </c>
      <c r="DK22" s="2340">
        <v>99409.618364904978</v>
      </c>
      <c r="DL22" s="2340">
        <v>99402.426737980597</v>
      </c>
      <c r="DM22" s="2340">
        <v>99420.582713753116</v>
      </c>
      <c r="DN22" s="2340">
        <v>99410.717579014105</v>
      </c>
      <c r="DO22" s="2340">
        <v>99437.899221183965</v>
      </c>
      <c r="DP22" s="2340">
        <v>99453.554434307051</v>
      </c>
      <c r="DQ22" s="2340">
        <v>99457.562813318669</v>
      </c>
      <c r="DR22" s="2340">
        <v>99491.910015005837</v>
      </c>
      <c r="DS22" s="2340">
        <v>99488.277776393923</v>
      </c>
      <c r="DT22" s="2340">
        <v>99509.920957631417</v>
      </c>
      <c r="DU22" s="2340">
        <v>99530.613188936884</v>
      </c>
    </row>
    <row r="23" spans="1:125" ht="12.75">
      <c r="A23" s="131">
        <v>21</v>
      </c>
      <c r="B23" s="132"/>
      <c r="C23" s="132"/>
      <c r="D23" s="132"/>
      <c r="E23" s="132"/>
      <c r="F23" s="132"/>
      <c r="G23" s="132"/>
      <c r="H23" s="132"/>
      <c r="I23" s="132"/>
      <c r="J23" s="132"/>
      <c r="K23" s="132"/>
      <c r="L23" s="132"/>
      <c r="M23" s="132"/>
      <c r="N23" s="132"/>
      <c r="O23" s="132"/>
      <c r="P23" s="132"/>
      <c r="Q23" s="132"/>
      <c r="R23" s="132"/>
      <c r="S23" s="132"/>
      <c r="T23" s="132"/>
      <c r="U23" s="132"/>
      <c r="V23" s="132"/>
      <c r="W23" s="132">
        <v>79577</v>
      </c>
      <c r="X23" s="132">
        <v>80314</v>
      </c>
      <c r="Y23" s="132">
        <v>80385.686817409718</v>
      </c>
      <c r="Z23" s="132">
        <v>82632.224306171353</v>
      </c>
      <c r="AA23" s="2340">
        <v>82679.331690876716</v>
      </c>
      <c r="AB23" s="2340">
        <v>83142.423262727389</v>
      </c>
      <c r="AC23" s="2340">
        <v>83783.070241605339</v>
      </c>
      <c r="AD23" s="2340">
        <v>84699.745747703957</v>
      </c>
      <c r="AE23" s="2340">
        <v>84671.774770795528</v>
      </c>
      <c r="AF23" s="2340">
        <v>86048.535005570171</v>
      </c>
      <c r="AG23" s="2340">
        <v>86468.953766146966</v>
      </c>
      <c r="AH23" s="2340">
        <v>86887.445941762562</v>
      </c>
      <c r="AI23" s="2340">
        <v>87109.33981741684</v>
      </c>
      <c r="AJ23" s="2340">
        <v>88330.806737003149</v>
      </c>
      <c r="AK23" s="2340">
        <v>88236.035310833366</v>
      </c>
      <c r="AL23" s="2340">
        <v>88481.887374830432</v>
      </c>
      <c r="AM23" s="2340">
        <v>88756.054903076059</v>
      </c>
      <c r="AN23" s="2340">
        <v>89189.728900499744</v>
      </c>
      <c r="AO23" s="2340">
        <v>89149.372782540173</v>
      </c>
      <c r="AP23" s="2340">
        <v>89255.810176055296</v>
      </c>
      <c r="AQ23" s="2340">
        <v>89289.392461285053</v>
      </c>
      <c r="AR23" s="2340">
        <v>89380.620621621885</v>
      </c>
      <c r="AS23" s="2340">
        <v>88725.385065883063</v>
      </c>
      <c r="AT23" s="2340">
        <v>87873.704162024267</v>
      </c>
      <c r="AU23" s="2340">
        <v>86479.199818655747</v>
      </c>
      <c r="AV23" s="2340">
        <v>86982.622678413376</v>
      </c>
      <c r="AW23" s="2340">
        <v>87365.766006444901</v>
      </c>
      <c r="AX23" s="2340">
        <v>89699.655492461767</v>
      </c>
      <c r="AY23" s="2340">
        <v>91664.38479449437</v>
      </c>
      <c r="AZ23" s="2340">
        <v>91692.188259530507</v>
      </c>
      <c r="BA23" s="2340">
        <v>91711.341253019666</v>
      </c>
      <c r="BB23" s="2340">
        <v>92463.720440763951</v>
      </c>
      <c r="BC23" s="2340">
        <v>92694.293437033513</v>
      </c>
      <c r="BD23" s="2340">
        <v>93167.264805979707</v>
      </c>
      <c r="BE23" s="2340">
        <v>93243.641868982668</v>
      </c>
      <c r="BF23" s="2340">
        <v>93617.977302987187</v>
      </c>
      <c r="BG23" s="2340">
        <v>93641.495777217511</v>
      </c>
      <c r="BH23" s="2340">
        <v>93956.877895339465</v>
      </c>
      <c r="BI23" s="2340">
        <v>94222.460242127258</v>
      </c>
      <c r="BJ23" s="2340">
        <v>94333.523823598254</v>
      </c>
      <c r="BK23" s="2340">
        <v>94693.811930637195</v>
      </c>
      <c r="BL23" s="2340">
        <v>95009.328440143596</v>
      </c>
      <c r="BM23" s="2340">
        <v>95311.898952456511</v>
      </c>
      <c r="BN23" s="2340">
        <v>95615.953644864931</v>
      </c>
      <c r="BO23" s="2340">
        <v>95882.555324825327</v>
      </c>
      <c r="BP23" s="2340">
        <v>95982.646023290959</v>
      </c>
      <c r="BQ23" s="2340">
        <v>96104.566449900594</v>
      </c>
      <c r="BR23" s="2340">
        <v>96216.210127853468</v>
      </c>
      <c r="BS23" s="2340">
        <v>96195.066344640902</v>
      </c>
      <c r="BT23" s="2340">
        <v>96260.216900940184</v>
      </c>
      <c r="BU23" s="2340">
        <v>96355.234405061259</v>
      </c>
      <c r="BV23" s="2340">
        <v>96446.979950134235</v>
      </c>
      <c r="BW23" s="2340">
        <v>96494.332866878714</v>
      </c>
      <c r="BX23" s="2340">
        <v>96635.707761434867</v>
      </c>
      <c r="BY23" s="2340">
        <v>96828.329610589979</v>
      </c>
      <c r="BZ23" s="2340">
        <v>97151.165702432379</v>
      </c>
      <c r="CA23" s="2340">
        <v>97321.497576965732</v>
      </c>
      <c r="CB23" s="2340">
        <v>97405.116689298666</v>
      </c>
      <c r="CC23" s="2340">
        <v>97599.529777658594</v>
      </c>
      <c r="CD23" s="2340">
        <v>97712.510521593824</v>
      </c>
      <c r="CE23" s="2340">
        <v>97790.686549432576</v>
      </c>
      <c r="CF23" s="2340">
        <v>97985.198296260409</v>
      </c>
      <c r="CG23" s="2340">
        <v>98080.307572537014</v>
      </c>
      <c r="CH23" s="2340">
        <v>98189.005954987952</v>
      </c>
      <c r="CI23" s="2340">
        <v>98313.783896502558</v>
      </c>
      <c r="CJ23" s="2340">
        <v>98353.679664619296</v>
      </c>
      <c r="CK23" s="2340">
        <v>98404.000739111871</v>
      </c>
      <c r="CL23" s="2340">
        <v>98547.901503622561</v>
      </c>
      <c r="CM23" s="2340">
        <v>98581.362015160572</v>
      </c>
      <c r="CN23" s="2340">
        <v>98665.875415980423</v>
      </c>
      <c r="CO23" s="2340">
        <v>98761.321314755201</v>
      </c>
      <c r="CP23" s="2340">
        <v>98821.666898099647</v>
      </c>
      <c r="CQ23" s="2340">
        <v>98912.681487451788</v>
      </c>
      <c r="CR23" s="2340">
        <v>98923.874817124932</v>
      </c>
      <c r="CS23" s="2340">
        <v>98993.330055286846</v>
      </c>
      <c r="CT23" s="2340">
        <v>99021.193202081704</v>
      </c>
      <c r="CU23" s="2340">
        <v>99064.252567753021</v>
      </c>
      <c r="CV23" s="2340">
        <v>99085.752849346187</v>
      </c>
      <c r="CW23" s="2340">
        <v>99100.487189437394</v>
      </c>
      <c r="CX23" s="2340">
        <v>99157.567592809108</v>
      </c>
      <c r="CY23" s="2340">
        <v>99146.888675041875</v>
      </c>
      <c r="CZ23" s="2340">
        <v>99174.458007010151</v>
      </c>
      <c r="DA23" s="2340">
        <v>99168.060121656163</v>
      </c>
      <c r="DB23" s="2340">
        <v>99228.045316056421</v>
      </c>
      <c r="DC23" s="2340">
        <v>99231.264131833639</v>
      </c>
      <c r="DD23" s="2340">
        <v>99247.386628275941</v>
      </c>
      <c r="DE23" s="2340">
        <v>99255.498813946411</v>
      </c>
      <c r="DF23" s="2340">
        <v>99294.389943911752</v>
      </c>
      <c r="DG23" s="2340">
        <v>99312.085898893361</v>
      </c>
      <c r="DH23" s="2340">
        <v>99319.950810200768</v>
      </c>
      <c r="DI23" s="2340">
        <v>99327.476823638761</v>
      </c>
      <c r="DJ23" s="2340">
        <v>99372.951014509264</v>
      </c>
      <c r="DK23" s="2340">
        <v>99381.465913717635</v>
      </c>
      <c r="DL23" s="2340">
        <v>99375.186009307741</v>
      </c>
      <c r="DM23" s="2340">
        <v>99394.179509121866</v>
      </c>
      <c r="DN23" s="2340">
        <v>99385.13336083827</v>
      </c>
      <c r="DO23" s="2340">
        <v>99413.099346528645</v>
      </c>
      <c r="DP23" s="2340">
        <v>99429.517644905922</v>
      </c>
      <c r="DQ23" s="2340">
        <v>99434.268357691268</v>
      </c>
      <c r="DR23" s="2340">
        <v>99469.328081441476</v>
      </c>
      <c r="DS23" s="2340">
        <v>99466.394926875932</v>
      </c>
      <c r="DT23" s="2340">
        <v>99488.710162654286</v>
      </c>
      <c r="DU23" s="2340">
        <v>99510.054006117876</v>
      </c>
    </row>
    <row r="24" spans="1:125" ht="12.75">
      <c r="A24" s="131">
        <v>22</v>
      </c>
      <c r="B24" s="132"/>
      <c r="C24" s="132"/>
      <c r="D24" s="132"/>
      <c r="E24" s="132"/>
      <c r="F24" s="132"/>
      <c r="G24" s="132"/>
      <c r="H24" s="132"/>
      <c r="I24" s="132"/>
      <c r="J24" s="132"/>
      <c r="K24" s="132"/>
      <c r="L24" s="132"/>
      <c r="M24" s="132"/>
      <c r="N24" s="132"/>
      <c r="O24" s="132"/>
      <c r="P24" s="132"/>
      <c r="Q24" s="132"/>
      <c r="R24" s="132"/>
      <c r="S24" s="132"/>
      <c r="T24" s="132"/>
      <c r="U24" s="132"/>
      <c r="V24" s="132"/>
      <c r="W24" s="132">
        <v>79332</v>
      </c>
      <c r="X24" s="132">
        <v>80041</v>
      </c>
      <c r="Y24" s="132">
        <v>80075.787485739696</v>
      </c>
      <c r="Z24" s="132">
        <v>82173.49778625145</v>
      </c>
      <c r="AA24" s="2340">
        <v>82279.163725492879</v>
      </c>
      <c r="AB24" s="2340">
        <v>82740.013934135786</v>
      </c>
      <c r="AC24" s="2340">
        <v>83476.40177030176</v>
      </c>
      <c r="AD24" s="2340">
        <v>84532.040251123501</v>
      </c>
      <c r="AE24" s="2340">
        <v>84504.124656749351</v>
      </c>
      <c r="AF24" s="2340">
        <v>85878.158906259137</v>
      </c>
      <c r="AG24" s="2340">
        <v>86305.108449865045</v>
      </c>
      <c r="AH24" s="2340">
        <v>86724.72556176348</v>
      </c>
      <c r="AI24" s="2340">
        <v>86949.298637371205</v>
      </c>
      <c r="AJ24" s="2340">
        <v>88171.980331416053</v>
      </c>
      <c r="AK24" s="2340">
        <v>88049.575497423357</v>
      </c>
      <c r="AL24" s="2340">
        <v>88303.055236897781</v>
      </c>
      <c r="AM24" s="2340">
        <v>88590.846921633958</v>
      </c>
      <c r="AN24" s="2340">
        <v>89028.90285947884</v>
      </c>
      <c r="AO24" s="2340">
        <v>88993.731186771154</v>
      </c>
      <c r="AP24" s="2340">
        <v>89078.828396522789</v>
      </c>
      <c r="AQ24" s="2340">
        <v>89133.822312796401</v>
      </c>
      <c r="AR24" s="2340">
        <v>89217.241686215886</v>
      </c>
      <c r="AS24" s="2340">
        <v>88578.249695510007</v>
      </c>
      <c r="AT24" s="2340">
        <v>87725.224123943975</v>
      </c>
      <c r="AU24" s="2340">
        <v>86333.269882205263</v>
      </c>
      <c r="AV24" s="2340">
        <v>86840.327136100022</v>
      </c>
      <c r="AW24" s="2340">
        <v>87226.658211967588</v>
      </c>
      <c r="AX24" s="2340">
        <v>89539.618745579341</v>
      </c>
      <c r="AY24" s="2340">
        <v>91503.999030435923</v>
      </c>
      <c r="AZ24" s="2340">
        <v>91522.242842783948</v>
      </c>
      <c r="BA24" s="2340">
        <v>91545.439888566398</v>
      </c>
      <c r="BB24" s="2340">
        <v>92311.608492079933</v>
      </c>
      <c r="BC24" s="2340">
        <v>92538.467466343965</v>
      </c>
      <c r="BD24" s="2340">
        <v>93016.45097952761</v>
      </c>
      <c r="BE24" s="2340">
        <v>93082.237779250034</v>
      </c>
      <c r="BF24" s="2340">
        <v>93460.443237797401</v>
      </c>
      <c r="BG24" s="2340">
        <v>93483.398513051725</v>
      </c>
      <c r="BH24" s="2340">
        <v>93808.619281599196</v>
      </c>
      <c r="BI24" s="2340">
        <v>94084.190393912999</v>
      </c>
      <c r="BJ24" s="2340">
        <v>94198.544435867021</v>
      </c>
      <c r="BK24" s="2340">
        <v>94558.733328061498</v>
      </c>
      <c r="BL24" s="2340">
        <v>94882.97479823239</v>
      </c>
      <c r="BM24" s="2340">
        <v>95202.160365439879</v>
      </c>
      <c r="BN24" s="2340">
        <v>95511.839326294605</v>
      </c>
      <c r="BO24" s="2340">
        <v>95780.466749844403</v>
      </c>
      <c r="BP24" s="2340">
        <v>95883.952753917023</v>
      </c>
      <c r="BQ24" s="2340">
        <v>96004.70970832993</v>
      </c>
      <c r="BR24" s="2340">
        <v>96110.677978154243</v>
      </c>
      <c r="BS24" s="2340">
        <v>96083.578424283653</v>
      </c>
      <c r="BT24" s="2340">
        <v>96150.550415185979</v>
      </c>
      <c r="BU24" s="2340">
        <v>96242.908685182585</v>
      </c>
      <c r="BV24" s="2340">
        <v>96343.788347956186</v>
      </c>
      <c r="BW24" s="2340">
        <v>96392.810411394399</v>
      </c>
      <c r="BX24" s="2340">
        <v>96529.490329149921</v>
      </c>
      <c r="BY24" s="2340">
        <v>96746.818910818358</v>
      </c>
      <c r="BZ24" s="2340">
        <v>97052.571005107515</v>
      </c>
      <c r="CA24" s="2340">
        <v>97231.289982913921</v>
      </c>
      <c r="CB24" s="2340">
        <v>97308.29387467778</v>
      </c>
      <c r="CC24" s="2340">
        <v>97510.462962921025</v>
      </c>
      <c r="CD24" s="2340">
        <v>97632.884557335259</v>
      </c>
      <c r="CE24" s="2340">
        <v>97707.762095077807</v>
      </c>
      <c r="CF24" s="2340">
        <v>97912.493710537878</v>
      </c>
      <c r="CG24" s="2340">
        <v>98012.786405242005</v>
      </c>
      <c r="CH24" s="2340">
        <v>98127.845516920352</v>
      </c>
      <c r="CI24" s="2340">
        <v>98252.551361923528</v>
      </c>
      <c r="CJ24" s="2340">
        <v>98292.921490534922</v>
      </c>
      <c r="CK24" s="2340">
        <v>98354.982508477988</v>
      </c>
      <c r="CL24" s="2340">
        <v>98493.328034956096</v>
      </c>
      <c r="CM24" s="2340">
        <v>98521.269163532343</v>
      </c>
      <c r="CN24" s="2340">
        <v>98614.556650081184</v>
      </c>
      <c r="CO24" s="2340">
        <v>98718.803317799364</v>
      </c>
      <c r="CP24" s="2340">
        <v>98778.946102504342</v>
      </c>
      <c r="CQ24" s="2340">
        <v>98861.93368657415</v>
      </c>
      <c r="CR24" s="2340">
        <v>98881.393206715162</v>
      </c>
      <c r="CS24" s="2340">
        <v>98952.829518665938</v>
      </c>
      <c r="CT24" s="2340">
        <v>98983.857655141925</v>
      </c>
      <c r="CU24" s="2340">
        <v>99021.722204143982</v>
      </c>
      <c r="CV24" s="2340">
        <v>99047.327060159936</v>
      </c>
      <c r="CW24" s="2340">
        <v>99061.004712199196</v>
      </c>
      <c r="CX24" s="2340">
        <v>99115.637866257006</v>
      </c>
      <c r="CY24" s="2340">
        <v>99104.008008536301</v>
      </c>
      <c r="CZ24" s="2340">
        <v>99132.924361340411</v>
      </c>
      <c r="DA24" s="2340">
        <v>99127.844960204384</v>
      </c>
      <c r="DB24" s="2340">
        <v>99189.080716618948</v>
      </c>
      <c r="DC24" s="2340">
        <v>99193.532804392642</v>
      </c>
      <c r="DD24" s="2340">
        <v>99210.844787469308</v>
      </c>
      <c r="DE24" s="2340">
        <v>99220.111817806173</v>
      </c>
      <c r="DF24" s="2340">
        <v>99260.110669928865</v>
      </c>
      <c r="DG24" s="2340">
        <v>99278.886762397073</v>
      </c>
      <c r="DH24" s="2340">
        <v>99287.800959463624</v>
      </c>
      <c r="DI24" s="2340">
        <v>99296.343201550219</v>
      </c>
      <c r="DJ24" s="2340">
        <v>99342.789981359558</v>
      </c>
      <c r="DK24" s="2340">
        <v>99352.257954982255</v>
      </c>
      <c r="DL24" s="2340">
        <v>99346.866451437498</v>
      </c>
      <c r="DM24" s="2340">
        <v>99366.714346582929</v>
      </c>
      <c r="DN24" s="2340">
        <v>99358.504330549607</v>
      </c>
      <c r="DO24" s="2340">
        <v>99387.271378098114</v>
      </c>
      <c r="DP24" s="2340">
        <v>99404.469551622678</v>
      </c>
      <c r="DQ24" s="2340">
        <v>99409.97944195215</v>
      </c>
      <c r="DR24" s="2340">
        <v>99445.768154666002</v>
      </c>
      <c r="DS24" s="2340">
        <v>99443.550838272786</v>
      </c>
      <c r="DT24" s="2340">
        <v>99466.554539731151</v>
      </c>
      <c r="DU24" s="2340">
        <v>99488.566311019837</v>
      </c>
    </row>
    <row r="25" spans="1:125" ht="12.75">
      <c r="A25" s="131">
        <v>23</v>
      </c>
      <c r="B25" s="132"/>
      <c r="C25" s="132"/>
      <c r="D25" s="132"/>
      <c r="E25" s="132"/>
      <c r="F25" s="132"/>
      <c r="G25" s="132"/>
      <c r="H25" s="132"/>
      <c r="I25" s="132"/>
      <c r="J25" s="132"/>
      <c r="K25" s="132"/>
      <c r="L25" s="132"/>
      <c r="M25" s="132"/>
      <c r="N25" s="132"/>
      <c r="O25" s="132"/>
      <c r="P25" s="132"/>
      <c r="Q25" s="132"/>
      <c r="R25" s="132"/>
      <c r="S25" s="132"/>
      <c r="T25" s="132"/>
      <c r="U25" s="132"/>
      <c r="V25" s="132"/>
      <c r="W25" s="132">
        <v>79070</v>
      </c>
      <c r="X25" s="132">
        <v>79742</v>
      </c>
      <c r="Y25" s="132">
        <v>79644.025875731721</v>
      </c>
      <c r="Z25" s="132">
        <v>81768.382442165224</v>
      </c>
      <c r="AA25" s="2340">
        <v>81873.527448326204</v>
      </c>
      <c r="AB25" s="2340">
        <v>82475.668841694453</v>
      </c>
      <c r="AC25" s="2340">
        <v>83303.60561863723</v>
      </c>
      <c r="AD25" s="2340">
        <v>84357.058927803679</v>
      </c>
      <c r="AE25" s="2340">
        <v>84329.201118709883</v>
      </c>
      <c r="AF25" s="2340">
        <v>85703.219803778673</v>
      </c>
      <c r="AG25" s="2340">
        <v>86132.857681130336</v>
      </c>
      <c r="AH25" s="2340">
        <v>86552.364432052695</v>
      </c>
      <c r="AI25" s="2340">
        <v>86777.587299862658</v>
      </c>
      <c r="AJ25" s="2340">
        <v>88007.485190522711</v>
      </c>
      <c r="AK25" s="2340">
        <v>87882.959399985324</v>
      </c>
      <c r="AL25" s="2340">
        <v>88138.471248904665</v>
      </c>
      <c r="AM25" s="2340">
        <v>88426.192340311638</v>
      </c>
      <c r="AN25" s="2340">
        <v>88875.698262991922</v>
      </c>
      <c r="AO25" s="2340">
        <v>88829.951633873017</v>
      </c>
      <c r="AP25" s="2340">
        <v>88931.801955078452</v>
      </c>
      <c r="AQ25" s="2340">
        <v>88979.814682078882</v>
      </c>
      <c r="AR25" s="2340">
        <v>89069.148232229272</v>
      </c>
      <c r="AS25" s="2340">
        <v>88439.49933634483</v>
      </c>
      <c r="AT25" s="2340">
        <v>87581.705316920677</v>
      </c>
      <c r="AU25" s="2340">
        <v>86178.436249198305</v>
      </c>
      <c r="AV25" s="2340">
        <v>86704.618242907527</v>
      </c>
      <c r="AW25" s="2340">
        <v>87085.87176153998</v>
      </c>
      <c r="AX25" s="2340">
        <v>89384.870363694441</v>
      </c>
      <c r="AY25" s="2340">
        <v>91349.398435932671</v>
      </c>
      <c r="AZ25" s="2340">
        <v>91354.997815938623</v>
      </c>
      <c r="BA25" s="2340">
        <v>91405.293615649265</v>
      </c>
      <c r="BB25" s="2340">
        <v>92181.104872831056</v>
      </c>
      <c r="BC25" s="2340">
        <v>92391.687229438467</v>
      </c>
      <c r="BD25" s="2340">
        <v>92868.849015431624</v>
      </c>
      <c r="BE25" s="2340">
        <v>92936.333676227034</v>
      </c>
      <c r="BF25" s="2340">
        <v>93308.172950785229</v>
      </c>
      <c r="BG25" s="2340">
        <v>93333.610828029981</v>
      </c>
      <c r="BH25" s="2340">
        <v>93683.667712917508</v>
      </c>
      <c r="BI25" s="2340">
        <v>93965.068680098673</v>
      </c>
      <c r="BJ25" s="2340">
        <v>94072.847560559239</v>
      </c>
      <c r="BK25" s="2340">
        <v>94435.24235722101</v>
      </c>
      <c r="BL25" s="2340">
        <v>94765.830819812662</v>
      </c>
      <c r="BM25" s="2340">
        <v>95098.245670374279</v>
      </c>
      <c r="BN25" s="2340">
        <v>95409.117435445965</v>
      </c>
      <c r="BO25" s="2340">
        <v>95683.051084128863</v>
      </c>
      <c r="BP25" s="2340">
        <v>95784.725626306114</v>
      </c>
      <c r="BQ25" s="2340">
        <v>95903.396232988758</v>
      </c>
      <c r="BR25" s="2340">
        <v>96002.541932591703</v>
      </c>
      <c r="BS25" s="2340">
        <v>95971.97387098246</v>
      </c>
      <c r="BT25" s="2340">
        <v>96050.059573216451</v>
      </c>
      <c r="BU25" s="2340">
        <v>96145.002274843981</v>
      </c>
      <c r="BV25" s="2340">
        <v>96242.066811868746</v>
      </c>
      <c r="BW25" s="2340">
        <v>96298.827505436304</v>
      </c>
      <c r="BX25" s="2340">
        <v>96436.809434239025</v>
      </c>
      <c r="BY25" s="2340">
        <v>96664.248425628582</v>
      </c>
      <c r="BZ25" s="2340">
        <v>96956.543795438833</v>
      </c>
      <c r="CA25" s="2340">
        <v>97144.713753201984</v>
      </c>
      <c r="CB25" s="2340">
        <v>97229.638018164536</v>
      </c>
      <c r="CC25" s="2340">
        <v>97426.453407794761</v>
      </c>
      <c r="CD25" s="2340">
        <v>97558.754603689827</v>
      </c>
      <c r="CE25" s="2340">
        <v>97634.207338279433</v>
      </c>
      <c r="CF25" s="2340">
        <v>97848.751611498927</v>
      </c>
      <c r="CG25" s="2340">
        <v>97957.032170234394</v>
      </c>
      <c r="CH25" s="2340">
        <v>98062.067467770714</v>
      </c>
      <c r="CI25" s="2340">
        <v>98197.66022567857</v>
      </c>
      <c r="CJ25" s="2340">
        <v>98238.644013731857</v>
      </c>
      <c r="CK25" s="2340">
        <v>98304.0059952476</v>
      </c>
      <c r="CL25" s="2340">
        <v>98441.412271254521</v>
      </c>
      <c r="CM25" s="2340">
        <v>98468.468733315967</v>
      </c>
      <c r="CN25" s="2340">
        <v>98567.284062704479</v>
      </c>
      <c r="CO25" s="2340">
        <v>98680.179224362088</v>
      </c>
      <c r="CP25" s="2340">
        <v>98735.566337536031</v>
      </c>
      <c r="CQ25" s="2340">
        <v>98815.194359668487</v>
      </c>
      <c r="CR25" s="2340">
        <v>98835.735478076575</v>
      </c>
      <c r="CS25" s="2340">
        <v>98909.281174586213</v>
      </c>
      <c r="CT25" s="2340">
        <v>98943.853818927222</v>
      </c>
      <c r="CU25" s="2340">
        <v>98981.120566385973</v>
      </c>
      <c r="CV25" s="2340">
        <v>99009.205159788704</v>
      </c>
      <c r="CW25" s="2340">
        <v>99014.359644573269</v>
      </c>
      <c r="CX25" s="2340">
        <v>99071.643514035663</v>
      </c>
      <c r="CY25" s="2340">
        <v>99061.384416194822</v>
      </c>
      <c r="CZ25" s="2340">
        <v>99091.6119226749</v>
      </c>
      <c r="DA25" s="2340">
        <v>99087.8170734429</v>
      </c>
      <c r="DB25" s="2340">
        <v>99150.271493732042</v>
      </c>
      <c r="DC25" s="2340">
        <v>99155.926684796083</v>
      </c>
      <c r="DD25" s="2340">
        <v>99174.399750421813</v>
      </c>
      <c r="DE25" s="2340">
        <v>99184.794879720459</v>
      </c>
      <c r="DF25" s="2340">
        <v>99225.876313305125</v>
      </c>
      <c r="DG25" s="2340">
        <v>99245.708900308469</v>
      </c>
      <c r="DH25" s="2340">
        <v>99255.650182370548</v>
      </c>
      <c r="DI25" s="2340">
        <v>99265.187831003161</v>
      </c>
      <c r="DJ25" s="2340">
        <v>99312.58767544305</v>
      </c>
      <c r="DK25" s="2340">
        <v>99322.952402985</v>
      </c>
      <c r="DL25" s="2340">
        <v>99318.435280082718</v>
      </c>
      <c r="DM25" s="2340">
        <v>99339.124459426865</v>
      </c>
      <c r="DN25" s="2340">
        <v>99331.738393338266</v>
      </c>
      <c r="DO25" s="2340">
        <v>99361.295119927265</v>
      </c>
      <c r="DP25" s="2340">
        <v>99379.26261022751</v>
      </c>
      <c r="DQ25" s="2340">
        <v>99385.521909495772</v>
      </c>
      <c r="DR25" s="2340">
        <v>99422.030523565772</v>
      </c>
      <c r="DS25" s="2340">
        <v>99420.520723205889</v>
      </c>
      <c r="DT25" s="2340">
        <v>99444.205185753555</v>
      </c>
      <c r="DU25" s="2340">
        <v>99466.877812503808</v>
      </c>
    </row>
    <row r="26" spans="1:125" ht="12.75">
      <c r="A26" s="131">
        <v>24</v>
      </c>
      <c r="B26" s="132"/>
      <c r="C26" s="132"/>
      <c r="D26" s="132"/>
      <c r="E26" s="132"/>
      <c r="F26" s="132"/>
      <c r="G26" s="132"/>
      <c r="H26" s="132"/>
      <c r="I26" s="132"/>
      <c r="J26" s="132"/>
      <c r="K26" s="132"/>
      <c r="L26" s="132"/>
      <c r="M26" s="132"/>
      <c r="N26" s="132"/>
      <c r="O26" s="132"/>
      <c r="P26" s="132"/>
      <c r="Q26" s="132"/>
      <c r="R26" s="132"/>
      <c r="S26" s="132"/>
      <c r="T26" s="132"/>
      <c r="U26" s="132"/>
      <c r="V26" s="132"/>
      <c r="W26" s="132">
        <v>78777</v>
      </c>
      <c r="X26" s="132">
        <v>79316</v>
      </c>
      <c r="Y26" s="132">
        <v>79260.141671010701</v>
      </c>
      <c r="Z26" s="132">
        <v>81374.25883879399</v>
      </c>
      <c r="AA26" s="2340">
        <v>81617.787081723523</v>
      </c>
      <c r="AB26" s="2340">
        <v>82299.995667061638</v>
      </c>
      <c r="AC26" s="2340">
        <v>83126.168938669536</v>
      </c>
      <c r="AD26" s="2340">
        <v>84177.378392287457</v>
      </c>
      <c r="AE26" s="2340">
        <v>84167.652861259194</v>
      </c>
      <c r="AF26" s="2340">
        <v>85527.494051916699</v>
      </c>
      <c r="AG26" s="2340">
        <v>85972.025598569497</v>
      </c>
      <c r="AH26" s="2340">
        <v>86387.312351007669</v>
      </c>
      <c r="AI26" s="2340">
        <v>86608.42822486347</v>
      </c>
      <c r="AJ26" s="2340">
        <v>87847.45847621093</v>
      </c>
      <c r="AK26" s="2340">
        <v>87732.094430198529</v>
      </c>
      <c r="AL26" s="2340">
        <v>87989.638422163509</v>
      </c>
      <c r="AM26" s="2340">
        <v>88279.088348345336</v>
      </c>
      <c r="AN26" s="2340">
        <v>88719.50684076843</v>
      </c>
      <c r="AO26" s="2340">
        <v>88680.694845363818</v>
      </c>
      <c r="AP26" s="2340">
        <v>88782.91143846311</v>
      </c>
      <c r="AQ26" s="2340">
        <v>88834.187530885669</v>
      </c>
      <c r="AR26" s="2340">
        <v>88921.667891733377</v>
      </c>
      <c r="AS26" s="2340">
        <v>88305.358664213258</v>
      </c>
      <c r="AT26" s="2340">
        <v>87454.049563153007</v>
      </c>
      <c r="AU26" s="2340">
        <v>86044.906096643885</v>
      </c>
      <c r="AV26" s="2340">
        <v>86561.856416051582</v>
      </c>
      <c r="AW26" s="2340">
        <v>86942.959764629821</v>
      </c>
      <c r="AX26" s="2340">
        <v>89237.198953897343</v>
      </c>
      <c r="AY26" s="2340">
        <v>91210.562190362078</v>
      </c>
      <c r="AZ26" s="2340">
        <v>91231.947227854514</v>
      </c>
      <c r="BA26" s="2340">
        <v>91274.776001061633</v>
      </c>
      <c r="BB26" s="2340">
        <v>92048.637024456431</v>
      </c>
      <c r="BC26" s="2340">
        <v>92246.831409261678</v>
      </c>
      <c r="BD26" s="2340">
        <v>92726.734524370739</v>
      </c>
      <c r="BE26" s="2340">
        <v>92799.75096245647</v>
      </c>
      <c r="BF26" s="2340">
        <v>93173.363483788868</v>
      </c>
      <c r="BG26" s="2340">
        <v>93203.324221936855</v>
      </c>
      <c r="BH26" s="2340">
        <v>93559.714247475451</v>
      </c>
      <c r="BI26" s="2340">
        <v>93845.156925142495</v>
      </c>
      <c r="BJ26" s="2340">
        <v>93954.029677977393</v>
      </c>
      <c r="BK26" s="2340">
        <v>94337.516380533401</v>
      </c>
      <c r="BL26" s="2340">
        <v>94666.920043822392</v>
      </c>
      <c r="BM26" s="2340">
        <v>95002.618997436191</v>
      </c>
      <c r="BN26" s="2340">
        <v>95310.080746039108</v>
      </c>
      <c r="BO26" s="2340">
        <v>95584.007412976556</v>
      </c>
      <c r="BP26" s="2340">
        <v>95688.708307590452</v>
      </c>
      <c r="BQ26" s="2340">
        <v>95795.210201196503</v>
      </c>
      <c r="BR26" s="2340">
        <v>95896.225916542477</v>
      </c>
      <c r="BS26" s="2340">
        <v>95871.461138630897</v>
      </c>
      <c r="BT26" s="2340">
        <v>95950.66226571791</v>
      </c>
      <c r="BU26" s="2340">
        <v>96056.470119222649</v>
      </c>
      <c r="BV26" s="2340">
        <v>96145.951396172823</v>
      </c>
      <c r="BW26" s="2340">
        <v>96196.269800525362</v>
      </c>
      <c r="BX26" s="2340">
        <v>96346.530653054782</v>
      </c>
      <c r="BY26" s="2340">
        <v>96580.452480471431</v>
      </c>
      <c r="BZ26" s="2340">
        <v>96872.563721456303</v>
      </c>
      <c r="CA26" s="2340">
        <v>97064.568611053386</v>
      </c>
      <c r="CB26" s="2340">
        <v>97156.14368217923</v>
      </c>
      <c r="CC26" s="2340">
        <v>97345.038866993418</v>
      </c>
      <c r="CD26" s="2340">
        <v>97490.025601651389</v>
      </c>
      <c r="CE26" s="2340">
        <v>97570.383860686459</v>
      </c>
      <c r="CF26" s="2340">
        <v>97791.340801680752</v>
      </c>
      <c r="CG26" s="2340">
        <v>97896.749634130392</v>
      </c>
      <c r="CH26" s="2340">
        <v>98003.427274405563</v>
      </c>
      <c r="CI26" s="2340">
        <v>98144.931679150017</v>
      </c>
      <c r="CJ26" s="2340">
        <v>98192.761575700351</v>
      </c>
      <c r="CK26" s="2340">
        <v>98247.445078788369</v>
      </c>
      <c r="CL26" s="2340">
        <v>98383.243312249979</v>
      </c>
      <c r="CM26" s="2340">
        <v>98422.197585158952</v>
      </c>
      <c r="CN26" s="2340">
        <v>98520.138895970449</v>
      </c>
      <c r="CO26" s="2340">
        <v>98629.822063391024</v>
      </c>
      <c r="CP26" s="2340">
        <v>98696.372179847647</v>
      </c>
      <c r="CQ26" s="2340">
        <v>98775.987093585674</v>
      </c>
      <c r="CR26" s="2340">
        <v>98791.967005399725</v>
      </c>
      <c r="CS26" s="2340">
        <v>98870.186007406825</v>
      </c>
      <c r="CT26" s="2340">
        <v>98901.399496408412</v>
      </c>
      <c r="CU26" s="2340">
        <v>98940.899105778153</v>
      </c>
      <c r="CV26" s="2340">
        <v>98970.838724222835</v>
      </c>
      <c r="CW26" s="2340">
        <v>98970.31958739589</v>
      </c>
      <c r="CX26" s="2340">
        <v>99028.917346185015</v>
      </c>
      <c r="CY26" s="2340">
        <v>99019.961196577031</v>
      </c>
      <c r="CZ26" s="2340">
        <v>99051.435502713459</v>
      </c>
      <c r="DA26" s="2340">
        <v>99048.863304270009</v>
      </c>
      <c r="DB26" s="2340">
        <v>99112.477915086274</v>
      </c>
      <c r="DC26" s="2340">
        <v>99119.279748733883</v>
      </c>
      <c r="DD26" s="2340">
        <v>99138.860075011762</v>
      </c>
      <c r="DE26" s="2340">
        <v>99150.331817864339</v>
      </c>
      <c r="DF26" s="2340">
        <v>99192.446912929052</v>
      </c>
      <c r="DG26" s="2340">
        <v>99213.289105225413</v>
      </c>
      <c r="DH26" s="2340">
        <v>99224.212635529999</v>
      </c>
      <c r="DI26" s="2340">
        <v>99234.702896715185</v>
      </c>
      <c r="DJ26" s="2340">
        <v>99282.979023614302</v>
      </c>
      <c r="DK26" s="2340">
        <v>99294.20557062325</v>
      </c>
      <c r="DL26" s="2340">
        <v>99290.529363915673</v>
      </c>
      <c r="DM26" s="2340">
        <v>99312.02798516734</v>
      </c>
      <c r="DN26" s="2340">
        <v>99305.435317705167</v>
      </c>
      <c r="DO26" s="2340">
        <v>99335.752715210416</v>
      </c>
      <c r="DP26" s="2340">
        <v>99354.461772605107</v>
      </c>
      <c r="DQ26" s="2340">
        <v>99361.443946522122</v>
      </c>
      <c r="DR26" s="2340">
        <v>99398.647251172399</v>
      </c>
      <c r="DS26" s="2340">
        <v>99397.82078189787</v>
      </c>
      <c r="DT26" s="2340">
        <v>99422.163022103065</v>
      </c>
      <c r="DU26" s="2340">
        <v>99445.474584985757</v>
      </c>
    </row>
    <row r="27" spans="1:125" ht="12.75">
      <c r="A27" s="131">
        <v>25</v>
      </c>
      <c r="B27" s="132"/>
      <c r="C27" s="132"/>
      <c r="D27" s="132"/>
      <c r="E27" s="132"/>
      <c r="F27" s="132"/>
      <c r="G27" s="132"/>
      <c r="H27" s="132"/>
      <c r="I27" s="132"/>
      <c r="J27" s="132"/>
      <c r="K27" s="132"/>
      <c r="L27" s="132"/>
      <c r="M27" s="132"/>
      <c r="N27" s="132"/>
      <c r="O27" s="132"/>
      <c r="P27" s="132"/>
      <c r="Q27" s="132"/>
      <c r="R27" s="132"/>
      <c r="S27" s="132"/>
      <c r="T27" s="132"/>
      <c r="U27" s="132"/>
      <c r="V27" s="132"/>
      <c r="W27" s="132">
        <v>78357</v>
      </c>
      <c r="X27" s="132">
        <v>78946</v>
      </c>
      <c r="Y27" s="132">
        <v>78889.996809407079</v>
      </c>
      <c r="Z27" s="132">
        <v>81127.98818136171</v>
      </c>
      <c r="AA27" s="2340">
        <v>81439.044128014546</v>
      </c>
      <c r="AB27" s="2340">
        <v>82119.758676550773</v>
      </c>
      <c r="AC27" s="2340">
        <v>82944.122628693847</v>
      </c>
      <c r="AD27" s="2340">
        <v>84033.259987902653</v>
      </c>
      <c r="AE27" s="2340">
        <v>84007.569085504161</v>
      </c>
      <c r="AF27" s="2340">
        <v>85370.106443658791</v>
      </c>
      <c r="AG27" s="2340">
        <v>85805.388601022787</v>
      </c>
      <c r="AH27" s="2340">
        <v>86227.694248412095</v>
      </c>
      <c r="AI27" s="2340">
        <v>86453.862131217946</v>
      </c>
      <c r="AJ27" s="2340">
        <v>87698.990363960329</v>
      </c>
      <c r="AK27" s="2340">
        <v>87581.614256140383</v>
      </c>
      <c r="AL27" s="2340">
        <v>87846.72552508222</v>
      </c>
      <c r="AM27" s="2340">
        <v>88131.968590900477</v>
      </c>
      <c r="AN27" s="2340">
        <v>88580.428289654781</v>
      </c>
      <c r="AO27" s="2340">
        <v>88533.689079632153</v>
      </c>
      <c r="AP27" s="2340">
        <v>88637.593764335499</v>
      </c>
      <c r="AQ27" s="2340">
        <v>88701.455709236936</v>
      </c>
      <c r="AR27" s="2340">
        <v>88783.019716685638</v>
      </c>
      <c r="AS27" s="2340">
        <v>88176.284258653337</v>
      </c>
      <c r="AT27" s="2340">
        <v>87327.275855971995</v>
      </c>
      <c r="AU27" s="2340">
        <v>85911.638230768556</v>
      </c>
      <c r="AV27" s="2340">
        <v>86414.816925108593</v>
      </c>
      <c r="AW27" s="2340">
        <v>86799.760141383085</v>
      </c>
      <c r="AX27" s="2340">
        <v>89109.066510132237</v>
      </c>
      <c r="AY27" s="2340">
        <v>91083.056868731263</v>
      </c>
      <c r="AZ27" s="2340">
        <v>91115.493493727146</v>
      </c>
      <c r="BA27" s="2340">
        <v>91145.590885125683</v>
      </c>
      <c r="BB27" s="2340">
        <v>91920.006396692479</v>
      </c>
      <c r="BC27" s="2340">
        <v>92114.538056081219</v>
      </c>
      <c r="BD27" s="2340">
        <v>92603.372371425037</v>
      </c>
      <c r="BE27" s="2340">
        <v>92663.89484943173</v>
      </c>
      <c r="BF27" s="2340">
        <v>93050.900194042901</v>
      </c>
      <c r="BG27" s="2340">
        <v>93085.789239114063</v>
      </c>
      <c r="BH27" s="2340">
        <v>93447.220687028777</v>
      </c>
      <c r="BI27" s="2340">
        <v>93735.569578586365</v>
      </c>
      <c r="BJ27" s="2340">
        <v>93843.813450397414</v>
      </c>
      <c r="BK27" s="2340">
        <v>94233.654276449612</v>
      </c>
      <c r="BL27" s="2340">
        <v>94568.535906998426</v>
      </c>
      <c r="BM27" s="2340">
        <v>94904.923702187269</v>
      </c>
      <c r="BN27" s="2340">
        <v>95212.682703028171</v>
      </c>
      <c r="BO27" s="2340">
        <v>95491.223231826443</v>
      </c>
      <c r="BP27" s="2340">
        <v>95588.99621289791</v>
      </c>
      <c r="BQ27" s="2340">
        <v>95701.182724711529</v>
      </c>
      <c r="BR27" s="2340">
        <v>95796.031855249545</v>
      </c>
      <c r="BS27" s="2340">
        <v>95773.116743863517</v>
      </c>
      <c r="BT27" s="2340">
        <v>95856.377343038257</v>
      </c>
      <c r="BU27" s="2340">
        <v>95959.104786742013</v>
      </c>
      <c r="BV27" s="2340">
        <v>96063.044035983505</v>
      </c>
      <c r="BW27" s="2340">
        <v>96111.246528791802</v>
      </c>
      <c r="BX27" s="2340">
        <v>96264.578572629747</v>
      </c>
      <c r="BY27" s="2340">
        <v>96486.764048916477</v>
      </c>
      <c r="BZ27" s="2340">
        <v>96794.09603405626</v>
      </c>
      <c r="CA27" s="2340">
        <v>96990.132787668525</v>
      </c>
      <c r="CB27" s="2340">
        <v>97088.035236459677</v>
      </c>
      <c r="CC27" s="2340">
        <v>97274.803415457733</v>
      </c>
      <c r="CD27" s="2340">
        <v>97422.391273630492</v>
      </c>
      <c r="CE27" s="2340">
        <v>97513.751247416483</v>
      </c>
      <c r="CF27" s="2340">
        <v>97729.901808916053</v>
      </c>
      <c r="CG27" s="2340">
        <v>97842.604649999208</v>
      </c>
      <c r="CH27" s="2340">
        <v>97948.460966858998</v>
      </c>
      <c r="CI27" s="2340">
        <v>98089.714220373135</v>
      </c>
      <c r="CJ27" s="2340">
        <v>98133.861622081546</v>
      </c>
      <c r="CK27" s="2340">
        <v>98192.776277433542</v>
      </c>
      <c r="CL27" s="2340">
        <v>98336.564779062799</v>
      </c>
      <c r="CM27" s="2340">
        <v>98376.748342169391</v>
      </c>
      <c r="CN27" s="2340">
        <v>98472.492479527413</v>
      </c>
      <c r="CO27" s="2340">
        <v>98584.305544743474</v>
      </c>
      <c r="CP27" s="2340">
        <v>98647.062906497536</v>
      </c>
      <c r="CQ27" s="2340">
        <v>98731.082640764638</v>
      </c>
      <c r="CR27" s="2340">
        <v>98744.874246860665</v>
      </c>
      <c r="CS27" s="2340">
        <v>98827.167738537362</v>
      </c>
      <c r="CT27" s="2340">
        <v>98855.372639330264</v>
      </c>
      <c r="CU27" s="2340">
        <v>98901.624253181595</v>
      </c>
      <c r="CV27" s="2340">
        <v>98927.238154360748</v>
      </c>
      <c r="CW27" s="2340">
        <v>98928.015521446199</v>
      </c>
      <c r="CX27" s="2340">
        <v>98987.846713615989</v>
      </c>
      <c r="CY27" s="2340">
        <v>98980.115232817421</v>
      </c>
      <c r="CZ27" s="2340">
        <v>99012.76190451975</v>
      </c>
      <c r="DA27" s="2340">
        <v>99011.340479460865</v>
      </c>
      <c r="DB27" s="2340">
        <v>99076.047293035605</v>
      </c>
      <c r="DC27" s="2340">
        <v>99083.929814242045</v>
      </c>
      <c r="DD27" s="2340">
        <v>99104.554348607286</v>
      </c>
      <c r="DE27" s="2340">
        <v>99117.042178244941</v>
      </c>
      <c r="DF27" s="2340">
        <v>99160.133282888695</v>
      </c>
      <c r="DG27" s="2340">
        <v>99181.929599043637</v>
      </c>
      <c r="DH27" s="2340">
        <v>99193.782124053498</v>
      </c>
      <c r="DI27" s="2340">
        <v>99205.140497503919</v>
      </c>
      <c r="DJ27" s="2340">
        <v>99254.249037474656</v>
      </c>
      <c r="DK27" s="2340">
        <v>99266.29497946937</v>
      </c>
      <c r="DL27" s="2340">
        <v>99263.418867578526</v>
      </c>
      <c r="DM27" s="2340">
        <v>99285.68797089468</v>
      </c>
      <c r="DN27" s="2340">
        <v>99279.851126741938</v>
      </c>
      <c r="DO27" s="2340">
        <v>99310.893422476642</v>
      </c>
      <c r="DP27" s="2340">
        <v>99330.309663079708</v>
      </c>
      <c r="DQ27" s="2340">
        <v>99337.981672561727</v>
      </c>
      <c r="DR27" s="2340">
        <v>99375.848177897671</v>
      </c>
      <c r="DS27" s="2340">
        <v>99375.674639079749</v>
      </c>
      <c r="DT27" s="2340">
        <v>99400.645663700285</v>
      </c>
      <c r="DU27" s="2340">
        <v>99424.568376165553</v>
      </c>
    </row>
    <row r="28" spans="1:125" ht="12.75">
      <c r="A28" s="131">
        <v>26</v>
      </c>
      <c r="B28" s="132"/>
      <c r="C28" s="132"/>
      <c r="D28" s="132"/>
      <c r="E28" s="132"/>
      <c r="F28" s="132"/>
      <c r="G28" s="132"/>
      <c r="H28" s="132"/>
      <c r="I28" s="132"/>
      <c r="J28" s="132"/>
      <c r="K28" s="132"/>
      <c r="L28" s="132"/>
      <c r="M28" s="132"/>
      <c r="N28" s="132"/>
      <c r="O28" s="132"/>
      <c r="P28" s="132"/>
      <c r="Q28" s="132"/>
      <c r="R28" s="132"/>
      <c r="S28" s="132"/>
      <c r="T28" s="132"/>
      <c r="U28" s="132"/>
      <c r="V28" s="132"/>
      <c r="W28" s="132">
        <v>78003</v>
      </c>
      <c r="X28" s="132">
        <v>78590</v>
      </c>
      <c r="Y28" s="132">
        <v>78659.424460671478</v>
      </c>
      <c r="Z28" s="132">
        <v>80947.072767717269</v>
      </c>
      <c r="AA28" s="2340">
        <v>81257.435059609081</v>
      </c>
      <c r="AB28" s="2340">
        <v>81936.63161470207</v>
      </c>
      <c r="AC28" s="2340">
        <v>82792.801074135758</v>
      </c>
      <c r="AD28" s="2340">
        <v>83879.827710042257</v>
      </c>
      <c r="AE28" s="2340">
        <v>83858.589484835858</v>
      </c>
      <c r="AF28" s="2340">
        <v>85208.128750958422</v>
      </c>
      <c r="AG28" s="2340">
        <v>85653.369391079963</v>
      </c>
      <c r="AH28" s="2340">
        <v>86078.145642700343</v>
      </c>
      <c r="AI28" s="2340">
        <v>86305.172038546021</v>
      </c>
      <c r="AJ28" s="2340">
        <v>87549.786694049326</v>
      </c>
      <c r="AK28" s="2340">
        <v>87444.248890124538</v>
      </c>
      <c r="AL28" s="2340">
        <v>87701.827012503229</v>
      </c>
      <c r="AM28" s="2340">
        <v>87997.159336534663</v>
      </c>
      <c r="AN28" s="2340">
        <v>88444.903065758277</v>
      </c>
      <c r="AO28" s="2340">
        <v>88390.505971270934</v>
      </c>
      <c r="AP28" s="2340">
        <v>88496.137273810222</v>
      </c>
      <c r="AQ28" s="2340">
        <v>88566.460916454467</v>
      </c>
      <c r="AR28" s="2340">
        <v>88645.532974458547</v>
      </c>
      <c r="AS28" s="2340">
        <v>88051.214180626732</v>
      </c>
      <c r="AT28" s="2340">
        <v>87203.23502065074</v>
      </c>
      <c r="AU28" s="2340">
        <v>85768.994724400589</v>
      </c>
      <c r="AV28" s="2340">
        <v>86284.671115900157</v>
      </c>
      <c r="AW28" s="2340">
        <v>86662.658143615641</v>
      </c>
      <c r="AX28" s="2340">
        <v>88989.455389428185</v>
      </c>
      <c r="AY28" s="2340">
        <v>90970.064312092727</v>
      </c>
      <c r="AZ28" s="2340">
        <v>90998.826654751188</v>
      </c>
      <c r="BA28" s="2340">
        <v>91019.226123227258</v>
      </c>
      <c r="BB28" s="2340">
        <v>91798.373183315285</v>
      </c>
      <c r="BC28" s="2340">
        <v>91987.185150192323</v>
      </c>
      <c r="BD28" s="2340">
        <v>92477.665687172048</v>
      </c>
      <c r="BE28" s="2340">
        <v>92542.175463972366</v>
      </c>
      <c r="BF28" s="2340">
        <v>92929.993139033948</v>
      </c>
      <c r="BG28" s="2340">
        <v>92969.802499904283</v>
      </c>
      <c r="BH28" s="2340">
        <v>93341.8450202323</v>
      </c>
      <c r="BI28" s="2340">
        <v>93631.551510647245</v>
      </c>
      <c r="BJ28" s="2340">
        <v>93749.462037680103</v>
      </c>
      <c r="BK28" s="2340">
        <v>94134.631151025984</v>
      </c>
      <c r="BL28" s="2340">
        <v>94470.337190739388</v>
      </c>
      <c r="BM28" s="2340">
        <v>94813.322773107575</v>
      </c>
      <c r="BN28" s="2340">
        <v>95114.509697874542</v>
      </c>
      <c r="BO28" s="2340">
        <v>95384.304674809071</v>
      </c>
      <c r="BP28" s="2340">
        <v>95480.072456908383</v>
      </c>
      <c r="BQ28" s="2340">
        <v>95599.892714758855</v>
      </c>
      <c r="BR28" s="2340">
        <v>95702.430219860267</v>
      </c>
      <c r="BS28" s="2340">
        <v>95681.345008064018</v>
      </c>
      <c r="BT28" s="2340">
        <v>95769.144499806396</v>
      </c>
      <c r="BU28" s="2340">
        <v>95873.317200126869</v>
      </c>
      <c r="BV28" s="2340">
        <v>95977.217335700945</v>
      </c>
      <c r="BW28" s="2340">
        <v>96035.856970944515</v>
      </c>
      <c r="BX28" s="2340">
        <v>96187.444404997092</v>
      </c>
      <c r="BY28" s="2340">
        <v>96410.774351268497</v>
      </c>
      <c r="BZ28" s="2340">
        <v>96719.568990821106</v>
      </c>
      <c r="CA28" s="2340">
        <v>96918.321080116148</v>
      </c>
      <c r="CB28" s="2340">
        <v>97013.660221243117</v>
      </c>
      <c r="CC28" s="2340">
        <v>97217.49440726664</v>
      </c>
      <c r="CD28" s="2340">
        <v>97359.862406245651</v>
      </c>
      <c r="CE28" s="2340">
        <v>97448.185312660353</v>
      </c>
      <c r="CF28" s="2340">
        <v>97674.687067185325</v>
      </c>
      <c r="CG28" s="2340">
        <v>97785.652876670545</v>
      </c>
      <c r="CH28" s="2340">
        <v>97895.122917719025</v>
      </c>
      <c r="CI28" s="2340">
        <v>98037.116858328984</v>
      </c>
      <c r="CJ28" s="2340">
        <v>98079.039992065169</v>
      </c>
      <c r="CK28" s="2340">
        <v>98140.273663311891</v>
      </c>
      <c r="CL28" s="2340">
        <v>98286.250793781321</v>
      </c>
      <c r="CM28" s="2340">
        <v>98327.478998945575</v>
      </c>
      <c r="CN28" s="2340">
        <v>98428.513659355667</v>
      </c>
      <c r="CO28" s="2340">
        <v>98539.200979720015</v>
      </c>
      <c r="CP28" s="2340">
        <v>98606.477103338271</v>
      </c>
      <c r="CQ28" s="2340">
        <v>98689.179442292691</v>
      </c>
      <c r="CR28" s="2340">
        <v>98701.526497658851</v>
      </c>
      <c r="CS28" s="2340">
        <v>98788.940636921834</v>
      </c>
      <c r="CT28" s="2340">
        <v>98810.134814087753</v>
      </c>
      <c r="CU28" s="2340">
        <v>98858.444695719154</v>
      </c>
      <c r="CV28" s="2340">
        <v>98885.302294150417</v>
      </c>
      <c r="CW28" s="2340">
        <v>98887.297761571899</v>
      </c>
      <c r="CX28" s="2340">
        <v>98948.288072470998</v>
      </c>
      <c r="CY28" s="2340">
        <v>98941.708943317004</v>
      </c>
      <c r="CZ28" s="2340">
        <v>98975.459186312131</v>
      </c>
      <c r="DA28" s="2340">
        <v>98975.122088449076</v>
      </c>
      <c r="DB28" s="2340">
        <v>99040.858222741037</v>
      </c>
      <c r="DC28" s="2340">
        <v>99049.760422150881</v>
      </c>
      <c r="DD28" s="2340">
        <v>99071.3708211302</v>
      </c>
      <c r="DE28" s="2340">
        <v>99084.81871762767</v>
      </c>
      <c r="DF28" s="2340">
        <v>99128.832452731338</v>
      </c>
      <c r="DG28" s="2340">
        <v>99151.531514693866</v>
      </c>
      <c r="DH28" s="2340">
        <v>99164.233478325681</v>
      </c>
      <c r="DI28" s="2340">
        <v>99176.417697318902</v>
      </c>
      <c r="DJ28" s="2340">
        <v>99226.31837881649</v>
      </c>
      <c r="DK28" s="2340">
        <v>99239.144759594274</v>
      </c>
      <c r="DL28" s="2340">
        <v>99237.031246639424</v>
      </c>
      <c r="DM28" s="2340">
        <v>99260.035032039406</v>
      </c>
      <c r="DN28" s="2340">
        <v>99254.919474369803</v>
      </c>
      <c r="DO28" s="2340">
        <v>99286.653774777762</v>
      </c>
      <c r="DP28" s="2340">
        <v>99306.745573071385</v>
      </c>
      <c r="DQ28" s="2340">
        <v>99315.077021264355</v>
      </c>
      <c r="DR28" s="2340">
        <v>99353.577744437978</v>
      </c>
      <c r="DS28" s="2340">
        <v>99354.029151123672</v>
      </c>
      <c r="DT28" s="2340">
        <v>99379.602261058404</v>
      </c>
      <c r="DU28" s="2340">
        <v>99404.110528382385</v>
      </c>
    </row>
    <row r="29" spans="1:125" ht="12.75">
      <c r="A29" s="131">
        <v>27</v>
      </c>
      <c r="B29" s="132"/>
      <c r="C29" s="132"/>
      <c r="D29" s="132"/>
      <c r="E29" s="132"/>
      <c r="F29" s="132"/>
      <c r="G29" s="132"/>
      <c r="H29" s="132"/>
      <c r="I29" s="132"/>
      <c r="J29" s="132"/>
      <c r="K29" s="132"/>
      <c r="L29" s="132"/>
      <c r="M29" s="132"/>
      <c r="N29" s="132"/>
      <c r="O29" s="132"/>
      <c r="P29" s="132"/>
      <c r="Q29" s="132"/>
      <c r="R29" s="132"/>
      <c r="S29" s="132"/>
      <c r="T29" s="132"/>
      <c r="U29" s="132"/>
      <c r="V29" s="132"/>
      <c r="W29" s="132">
        <v>77662</v>
      </c>
      <c r="X29" s="132">
        <v>78367</v>
      </c>
      <c r="Y29" s="132">
        <v>78481.654161390354</v>
      </c>
      <c r="Z29" s="132">
        <v>80764.132383262229</v>
      </c>
      <c r="AA29" s="2340">
        <v>81073.793256374367</v>
      </c>
      <c r="AB29" s="2340">
        <v>81791.974964949943</v>
      </c>
      <c r="AC29" s="2340">
        <v>82633.592480159801</v>
      </c>
      <c r="AD29" s="2340">
        <v>83719.62112091844</v>
      </c>
      <c r="AE29" s="2340">
        <v>83708.536795536813</v>
      </c>
      <c r="AF29" s="2340">
        <v>85050.841252394472</v>
      </c>
      <c r="AG29" s="2340">
        <v>85499.680895376383</v>
      </c>
      <c r="AH29" s="2340">
        <v>85932.531923942515</v>
      </c>
      <c r="AI29" s="2340">
        <v>86156.506934379897</v>
      </c>
      <c r="AJ29" s="2340">
        <v>87406.43674943778</v>
      </c>
      <c r="AK29" s="2340">
        <v>87299.308788201073</v>
      </c>
      <c r="AL29" s="2340">
        <v>87568.883866051809</v>
      </c>
      <c r="AM29" s="2340">
        <v>87858.817319623617</v>
      </c>
      <c r="AN29" s="2340">
        <v>88314.498657675271</v>
      </c>
      <c r="AO29" s="2340">
        <v>88251.748933067604</v>
      </c>
      <c r="AP29" s="2340">
        <v>88364.77999123068</v>
      </c>
      <c r="AQ29" s="2340">
        <v>88435.641054883483</v>
      </c>
      <c r="AR29" s="2340">
        <v>88522.430392866459</v>
      </c>
      <c r="AS29" s="2340">
        <v>87917.965577208233</v>
      </c>
      <c r="AT29" s="2340">
        <v>87067.714516579814</v>
      </c>
      <c r="AU29" s="2340">
        <v>85630.813740782425</v>
      </c>
      <c r="AV29" s="2340">
        <v>86149.515786940348</v>
      </c>
      <c r="AW29" s="2340">
        <v>86555.998360895843</v>
      </c>
      <c r="AX29" s="2340">
        <v>88874.462718527589</v>
      </c>
      <c r="AY29" s="2340">
        <v>90855.369132152482</v>
      </c>
      <c r="AZ29" s="2340">
        <v>90874.660473499069</v>
      </c>
      <c r="BA29" s="2340">
        <v>90890.45769339909</v>
      </c>
      <c r="BB29" s="2340">
        <v>91673.333869913928</v>
      </c>
      <c r="BC29" s="2340">
        <v>91870.728980242187</v>
      </c>
      <c r="BD29" s="2340">
        <v>92358.745057355103</v>
      </c>
      <c r="BE29" s="2340">
        <v>92427.470332204437</v>
      </c>
      <c r="BF29" s="2340">
        <v>92812.880726701333</v>
      </c>
      <c r="BG29" s="2340">
        <v>92867.462811582387</v>
      </c>
      <c r="BH29" s="2340">
        <v>93235.805210540115</v>
      </c>
      <c r="BI29" s="2340">
        <v>93534.317864937897</v>
      </c>
      <c r="BJ29" s="2340">
        <v>93652.315013105879</v>
      </c>
      <c r="BK29" s="2340">
        <v>94034.806976392356</v>
      </c>
      <c r="BL29" s="2340">
        <v>94371.936606454648</v>
      </c>
      <c r="BM29" s="2340">
        <v>94715.039075026871</v>
      </c>
      <c r="BN29" s="2340">
        <v>95007.92021656323</v>
      </c>
      <c r="BO29" s="2340">
        <v>95275.168980695831</v>
      </c>
      <c r="BP29" s="2340">
        <v>95379.914615336151</v>
      </c>
      <c r="BQ29" s="2340">
        <v>95507.323261472658</v>
      </c>
      <c r="BR29" s="2340">
        <v>95613.687024858154</v>
      </c>
      <c r="BS29" s="2340">
        <v>95597.270863652317</v>
      </c>
      <c r="BT29" s="2340">
        <v>95683.742043641265</v>
      </c>
      <c r="BU29" s="2340">
        <v>95795.241390352225</v>
      </c>
      <c r="BV29" s="2340">
        <v>95895.250102922946</v>
      </c>
      <c r="BW29" s="2340">
        <v>95955.721664435652</v>
      </c>
      <c r="BX29" s="2340">
        <v>96114.764031333427</v>
      </c>
      <c r="BY29" s="2340">
        <v>96337.781247332357</v>
      </c>
      <c r="BZ29" s="2340">
        <v>96650.377891879398</v>
      </c>
      <c r="CA29" s="2340">
        <v>96848.376908999111</v>
      </c>
      <c r="CB29" s="2340">
        <v>96946.384720728602</v>
      </c>
      <c r="CC29" s="2340">
        <v>97154.895176246268</v>
      </c>
      <c r="CD29" s="2340">
        <v>97295.264528573476</v>
      </c>
      <c r="CE29" s="2340">
        <v>97389.319362103648</v>
      </c>
      <c r="CF29" s="2340">
        <v>97614.561772126253</v>
      </c>
      <c r="CG29" s="2340">
        <v>97724.102222012138</v>
      </c>
      <c r="CH29" s="2340">
        <v>97837.729633175972</v>
      </c>
      <c r="CI29" s="2340">
        <v>97981.886303993902</v>
      </c>
      <c r="CJ29" s="2340">
        <v>98024.627959144913</v>
      </c>
      <c r="CK29" s="2340">
        <v>98091.209216463612</v>
      </c>
      <c r="CL29" s="2340">
        <v>98240.967217261204</v>
      </c>
      <c r="CM29" s="2340">
        <v>98280.281695040147</v>
      </c>
      <c r="CN29" s="2340">
        <v>98384.46808580881</v>
      </c>
      <c r="CO29" s="2340">
        <v>98491.686571788363</v>
      </c>
      <c r="CP29" s="2340">
        <v>98563.161627691006</v>
      </c>
      <c r="CQ29" s="2340">
        <v>98649.050305323035</v>
      </c>
      <c r="CR29" s="2340">
        <v>98657.691549418523</v>
      </c>
      <c r="CS29" s="2340">
        <v>98738.061464848652</v>
      </c>
      <c r="CT29" s="2340">
        <v>98766.84760630496</v>
      </c>
      <c r="CU29" s="2340">
        <v>98816.369698481751</v>
      </c>
      <c r="CV29" s="2340">
        <v>98844.414440859095</v>
      </c>
      <c r="CW29" s="2340">
        <v>98847.573547367007</v>
      </c>
      <c r="CX29" s="2340">
        <v>98909.671357014202</v>
      </c>
      <c r="CY29" s="2340">
        <v>98904.19448358861</v>
      </c>
      <c r="CZ29" s="2340">
        <v>98939.000664555293</v>
      </c>
      <c r="DA29" s="2340">
        <v>98939.701985571664</v>
      </c>
      <c r="DB29" s="2340">
        <v>99006.423990144176</v>
      </c>
      <c r="DC29" s="2340">
        <v>99016.303831342069</v>
      </c>
      <c r="DD29" s="2340">
        <v>99038.859945317279</v>
      </c>
      <c r="DE29" s="2340">
        <v>99053.229428149687</v>
      </c>
      <c r="DF29" s="2340">
        <v>99098.129158736177</v>
      </c>
      <c r="DG29" s="2340">
        <v>99121.668252203046</v>
      </c>
      <c r="DH29" s="2340">
        <v>99135.190193846705</v>
      </c>
      <c r="DI29" s="2340">
        <v>99148.172024018379</v>
      </c>
      <c r="DJ29" s="2340">
        <v>99198.837966984211</v>
      </c>
      <c r="DK29" s="2340">
        <v>99212.418867128494</v>
      </c>
      <c r="DL29" s="2340">
        <v>99211.043069875755</v>
      </c>
      <c r="DM29" s="2340">
        <v>99234.757811512987</v>
      </c>
      <c r="DN29" s="2340">
        <v>99230.340725099406</v>
      </c>
      <c r="DO29" s="2340">
        <v>99262.745322832852</v>
      </c>
      <c r="DP29" s="2340">
        <v>99283.491867082601</v>
      </c>
      <c r="DQ29" s="2340">
        <v>99292.462809435179</v>
      </c>
      <c r="DR29" s="2340">
        <v>99331.578760243763</v>
      </c>
      <c r="DS29" s="2340">
        <v>99332.636852837255</v>
      </c>
      <c r="DT29" s="2340">
        <v>99358.794657697159</v>
      </c>
      <c r="DU29" s="2340">
        <v>99383.871857189515</v>
      </c>
    </row>
    <row r="30" spans="1:125" ht="12.75">
      <c r="A30" s="131">
        <v>28</v>
      </c>
      <c r="B30" s="132"/>
      <c r="C30" s="132"/>
      <c r="D30" s="132"/>
      <c r="E30" s="132"/>
      <c r="F30" s="132"/>
      <c r="G30" s="132"/>
      <c r="H30" s="132"/>
      <c r="I30" s="132"/>
      <c r="J30" s="132"/>
      <c r="K30" s="132"/>
      <c r="L30" s="132"/>
      <c r="M30" s="132"/>
      <c r="N30" s="132"/>
      <c r="O30" s="132"/>
      <c r="P30" s="132"/>
      <c r="Q30" s="132"/>
      <c r="R30" s="132"/>
      <c r="S30" s="132"/>
      <c r="T30" s="132"/>
      <c r="U30" s="132"/>
      <c r="V30" s="132"/>
      <c r="W30" s="132">
        <v>77414</v>
      </c>
      <c r="X30" s="132">
        <v>78191</v>
      </c>
      <c r="Y30" s="132">
        <v>78305.070439527219</v>
      </c>
      <c r="Z30" s="132">
        <v>80582.413085399894</v>
      </c>
      <c r="AA30" s="2340">
        <v>80930.893976091465</v>
      </c>
      <c r="AB30" s="2340">
        <v>81646.048326992503</v>
      </c>
      <c r="AC30" s="2340">
        <v>82488.345263322684</v>
      </c>
      <c r="AD30" s="2340">
        <v>83568.219104495234</v>
      </c>
      <c r="AE30" s="2340">
        <v>83551.81568420041</v>
      </c>
      <c r="AF30" s="2340">
        <v>84912.763779641871</v>
      </c>
      <c r="AG30" s="2340">
        <v>85350.589616677593</v>
      </c>
      <c r="AH30" s="2340">
        <v>85780.460686986451</v>
      </c>
      <c r="AI30" s="2340">
        <v>86009.634672494445</v>
      </c>
      <c r="AJ30" s="2340">
        <v>87270.090245212967</v>
      </c>
      <c r="AK30" s="2340">
        <v>87163.513579028091</v>
      </c>
      <c r="AL30" s="2340">
        <v>87434.923768548091</v>
      </c>
      <c r="AM30" s="2340">
        <v>87723.332513887683</v>
      </c>
      <c r="AN30" s="2340">
        <v>88178.883862073999</v>
      </c>
      <c r="AO30" s="2340">
        <v>88109.821890538471</v>
      </c>
      <c r="AP30" s="2340">
        <v>88237.269599715582</v>
      </c>
      <c r="AQ30" s="2340">
        <v>88306.062748669894</v>
      </c>
      <c r="AR30" s="2340">
        <v>88381.458079913471</v>
      </c>
      <c r="AS30" s="2340">
        <v>87777.607640898859</v>
      </c>
      <c r="AT30" s="2340">
        <v>86941.708966938328</v>
      </c>
      <c r="AU30" s="2340">
        <v>85502.194029482867</v>
      </c>
      <c r="AV30" s="2340">
        <v>86035.266089939614</v>
      </c>
      <c r="AW30" s="2340">
        <v>86441.503402250048</v>
      </c>
      <c r="AX30" s="2340">
        <v>88759.074990223598</v>
      </c>
      <c r="AY30" s="2340">
        <v>90738.994537416685</v>
      </c>
      <c r="AZ30" s="2340">
        <v>90739.153028457527</v>
      </c>
      <c r="BA30" s="2340">
        <v>90764.705205299193</v>
      </c>
      <c r="BB30" s="2340">
        <v>91551.605724205932</v>
      </c>
      <c r="BC30" s="2340">
        <v>91764.748882144762</v>
      </c>
      <c r="BD30" s="2340">
        <v>92245.783510575086</v>
      </c>
      <c r="BE30" s="2340">
        <v>92311.271050411655</v>
      </c>
      <c r="BF30" s="2340">
        <v>92699.385114343982</v>
      </c>
      <c r="BG30" s="2340">
        <v>92761.89952804186</v>
      </c>
      <c r="BH30" s="2340">
        <v>93139.899812217627</v>
      </c>
      <c r="BI30" s="2340">
        <v>93429.971840063838</v>
      </c>
      <c r="BJ30" s="2340">
        <v>93556.578196303875</v>
      </c>
      <c r="BK30" s="2340">
        <v>93940.692786291693</v>
      </c>
      <c r="BL30" s="2340">
        <v>94276.463490945636</v>
      </c>
      <c r="BM30" s="2340">
        <v>94606.549637201126</v>
      </c>
      <c r="BN30" s="2340">
        <v>94896.393176360929</v>
      </c>
      <c r="BO30" s="2340">
        <v>95180.575287343789</v>
      </c>
      <c r="BP30" s="2340">
        <v>95280.772454248028</v>
      </c>
      <c r="BQ30" s="2340">
        <v>95412.07257671532</v>
      </c>
      <c r="BR30" s="2340">
        <v>95517.762225799626</v>
      </c>
      <c r="BS30" s="2340">
        <v>95506.733253669212</v>
      </c>
      <c r="BT30" s="2340">
        <v>95601.515974650392</v>
      </c>
      <c r="BU30" s="2340">
        <v>95720.656684659116</v>
      </c>
      <c r="BV30" s="2340">
        <v>95816.697834482795</v>
      </c>
      <c r="BW30" s="2340">
        <v>95873.391960570283</v>
      </c>
      <c r="BX30" s="2340">
        <v>96047.885501297002</v>
      </c>
      <c r="BY30" s="2340">
        <v>96266.770673622188</v>
      </c>
      <c r="BZ30" s="2340">
        <v>96581.733297229483</v>
      </c>
      <c r="CA30" s="2340">
        <v>96781.238899592208</v>
      </c>
      <c r="CB30" s="2340">
        <v>96884.072194010761</v>
      </c>
      <c r="CC30" s="2340">
        <v>97097.3622160495</v>
      </c>
      <c r="CD30" s="2340">
        <v>97234.174876160192</v>
      </c>
      <c r="CE30" s="2340">
        <v>97329.673936012041</v>
      </c>
      <c r="CF30" s="2340">
        <v>97550.116283355368</v>
      </c>
      <c r="CG30" s="2340">
        <v>97661.494654126946</v>
      </c>
      <c r="CH30" s="2340">
        <v>97779.92650868732</v>
      </c>
      <c r="CI30" s="2340">
        <v>97934.363015212191</v>
      </c>
      <c r="CJ30" s="2340">
        <v>97973.673085312126</v>
      </c>
      <c r="CK30" s="2340">
        <v>98038.854063887338</v>
      </c>
      <c r="CL30" s="2340">
        <v>98189.317858396942</v>
      </c>
      <c r="CM30" s="2340">
        <v>98233.155204320268</v>
      </c>
      <c r="CN30" s="2340">
        <v>98340.176313158197</v>
      </c>
      <c r="CO30" s="2340">
        <v>98448.606190297869</v>
      </c>
      <c r="CP30" s="2340">
        <v>98522.136696006026</v>
      </c>
      <c r="CQ30" s="2340">
        <v>98605.499044220298</v>
      </c>
      <c r="CR30" s="2340">
        <v>98609.5760789903</v>
      </c>
      <c r="CS30" s="2340">
        <v>98693.879367253045</v>
      </c>
      <c r="CT30" s="2340">
        <v>98723.886651179186</v>
      </c>
      <c r="CU30" s="2340">
        <v>98774.58737065742</v>
      </c>
      <c r="CV30" s="2340">
        <v>98803.787242737075</v>
      </c>
      <c r="CW30" s="2340">
        <v>98808.07948991633</v>
      </c>
      <c r="CX30" s="2340">
        <v>98871.255944504228</v>
      </c>
      <c r="CY30" s="2340">
        <v>98866.853783680897</v>
      </c>
      <c r="CZ30" s="2340">
        <v>98902.689827144626</v>
      </c>
      <c r="DA30" s="2340">
        <v>98904.404778325217</v>
      </c>
      <c r="DB30" s="2340">
        <v>98972.089221677539</v>
      </c>
      <c r="DC30" s="2340">
        <v>98982.924436349465</v>
      </c>
      <c r="DD30" s="2340">
        <v>99006.405186637916</v>
      </c>
      <c r="DE30" s="2340">
        <v>99021.676302072767</v>
      </c>
      <c r="DF30" s="2340">
        <v>99067.417927493341</v>
      </c>
      <c r="DG30" s="2340">
        <v>99091.78289891289</v>
      </c>
      <c r="DH30" s="2340">
        <v>99106.111449139862</v>
      </c>
      <c r="DI30" s="2340">
        <v>99119.878272108093</v>
      </c>
      <c r="DJ30" s="2340">
        <v>99171.297554956778</v>
      </c>
      <c r="DK30" s="2340">
        <v>99185.621760411115</v>
      </c>
      <c r="DL30" s="2340">
        <v>99184.973137636203</v>
      </c>
      <c r="DM30" s="2340">
        <v>99209.388906647539</v>
      </c>
      <c r="DN30" s="2340">
        <v>99205.66099491647</v>
      </c>
      <c r="DO30" s="2340">
        <v>99238.727135591325</v>
      </c>
      <c r="DP30" s="2340">
        <v>99260.120236881208</v>
      </c>
      <c r="DQ30" s="2340">
        <v>99269.723029116634</v>
      </c>
      <c r="DR30" s="2340">
        <v>99309.447031478878</v>
      </c>
      <c r="DS30" s="2340">
        <v>99311.105169491697</v>
      </c>
      <c r="DT30" s="2340">
        <v>99337.841457938368</v>
      </c>
      <c r="DU30" s="2340">
        <v>99363.481822232934</v>
      </c>
    </row>
    <row r="31" spans="1:125" ht="12.75">
      <c r="A31" s="131">
        <v>29</v>
      </c>
      <c r="B31" s="132"/>
      <c r="C31" s="132"/>
      <c r="D31" s="132"/>
      <c r="E31" s="132"/>
      <c r="F31" s="132"/>
      <c r="G31" s="132"/>
      <c r="H31" s="132"/>
      <c r="I31" s="132"/>
      <c r="J31" s="132"/>
      <c r="K31" s="132"/>
      <c r="L31" s="132"/>
      <c r="M31" s="132"/>
      <c r="N31" s="132"/>
      <c r="O31" s="132"/>
      <c r="P31" s="132"/>
      <c r="Q31" s="132"/>
      <c r="R31" s="132"/>
      <c r="S31" s="132"/>
      <c r="T31" s="132"/>
      <c r="U31" s="132"/>
      <c r="V31" s="132"/>
      <c r="W31" s="132">
        <v>77240</v>
      </c>
      <c r="X31" s="132">
        <v>78015</v>
      </c>
      <c r="Y31" s="132">
        <v>78128.88403103828</v>
      </c>
      <c r="Z31" s="132">
        <v>80441.564452925595</v>
      </c>
      <c r="AA31" s="2340">
        <v>80796.892132596535</v>
      </c>
      <c r="AB31" s="2340">
        <v>81500.579547576126</v>
      </c>
      <c r="AC31" s="2340">
        <v>82345.241342714129</v>
      </c>
      <c r="AD31" s="2340">
        <v>83421.936380999803</v>
      </c>
      <c r="AE31" s="2340">
        <v>83401.804882884288</v>
      </c>
      <c r="AF31" s="2340">
        <v>84771.43242782641</v>
      </c>
      <c r="AG31" s="2340">
        <v>85203.344155955681</v>
      </c>
      <c r="AH31" s="2340">
        <v>85630.40134647279</v>
      </c>
      <c r="AI31" s="2340">
        <v>85870.452701177637</v>
      </c>
      <c r="AJ31" s="2340">
        <v>87146.796606269854</v>
      </c>
      <c r="AK31" s="2340">
        <v>87023.237664991611</v>
      </c>
      <c r="AL31" s="2340">
        <v>87313.667039673819</v>
      </c>
      <c r="AM31" s="2340">
        <v>87590.526983393094</v>
      </c>
      <c r="AN31" s="2340">
        <v>88044.586123018016</v>
      </c>
      <c r="AO31" s="2340">
        <v>87972.343424029794</v>
      </c>
      <c r="AP31" s="2340">
        <v>88105.404816709532</v>
      </c>
      <c r="AQ31" s="2340">
        <v>88171.612137567063</v>
      </c>
      <c r="AR31" s="2340">
        <v>88237.523194520763</v>
      </c>
      <c r="AS31" s="2340">
        <v>87649.028087642262</v>
      </c>
      <c r="AT31" s="2340">
        <v>86813.767757863126</v>
      </c>
      <c r="AU31" s="2340">
        <v>85376.573916420297</v>
      </c>
      <c r="AV31" s="2340">
        <v>85915.933978468587</v>
      </c>
      <c r="AW31" s="2340">
        <v>86316.670294400872</v>
      </c>
      <c r="AX31" s="2340">
        <v>88644.907914256561</v>
      </c>
      <c r="AY31" s="2340">
        <v>90610.720248375801</v>
      </c>
      <c r="AZ31" s="2340">
        <v>90623.818135128618</v>
      </c>
      <c r="BA31" s="2340">
        <v>90641.557868051561</v>
      </c>
      <c r="BB31" s="2340">
        <v>91433.740792390483</v>
      </c>
      <c r="BC31" s="2340">
        <v>91642.500725597303</v>
      </c>
      <c r="BD31" s="2340">
        <v>92123.367595331467</v>
      </c>
      <c r="BE31" s="2340">
        <v>92199.096493494566</v>
      </c>
      <c r="BF31" s="2340">
        <v>92596.057603890993</v>
      </c>
      <c r="BG31" s="2340">
        <v>92655.119772942504</v>
      </c>
      <c r="BH31" s="2340">
        <v>93044.916750359422</v>
      </c>
      <c r="BI31" s="2340">
        <v>93330.772482379354</v>
      </c>
      <c r="BJ31" s="2340">
        <v>93453.134816833714</v>
      </c>
      <c r="BK31" s="2340">
        <v>93839.033844210906</v>
      </c>
      <c r="BL31" s="2340">
        <v>94170.275249012324</v>
      </c>
      <c r="BM31" s="2340">
        <v>94492.816532443932</v>
      </c>
      <c r="BN31" s="2340">
        <v>94796.021943374362</v>
      </c>
      <c r="BO31" s="2340">
        <v>95078.205792197405</v>
      </c>
      <c r="BP31" s="2340">
        <v>95181.267205597964</v>
      </c>
      <c r="BQ31" s="2340">
        <v>95314.13499629726</v>
      </c>
      <c r="BR31" s="2340">
        <v>95421.487328344156</v>
      </c>
      <c r="BS31" s="2340">
        <v>95422.301339295373</v>
      </c>
      <c r="BT31" s="2340">
        <v>95521.110171600056</v>
      </c>
      <c r="BU31" s="2340">
        <v>95635.333925142128</v>
      </c>
      <c r="BV31" s="2340">
        <v>95741.8957287175</v>
      </c>
      <c r="BW31" s="2340">
        <v>95806.84327624485</v>
      </c>
      <c r="BX31" s="2340">
        <v>95975.754081230916</v>
      </c>
      <c r="BY31" s="2340">
        <v>96192.721126118719</v>
      </c>
      <c r="BZ31" s="2340">
        <v>96515.24980106877</v>
      </c>
      <c r="CA31" s="2340">
        <v>96721.203168289852</v>
      </c>
      <c r="CB31" s="2340">
        <v>96822.03210520673</v>
      </c>
      <c r="CC31" s="2340">
        <v>97037.527447814209</v>
      </c>
      <c r="CD31" s="2340">
        <v>97174.527914007136</v>
      </c>
      <c r="CE31" s="2340">
        <v>97274.417498370123</v>
      </c>
      <c r="CF31" s="2340">
        <v>97487.403695528672</v>
      </c>
      <c r="CG31" s="2340">
        <v>97608.04977398293</v>
      </c>
      <c r="CH31" s="2340">
        <v>97724.228335755717</v>
      </c>
      <c r="CI31" s="2340">
        <v>97877.329895443458</v>
      </c>
      <c r="CJ31" s="2340">
        <v>97919.530051948299</v>
      </c>
      <c r="CK31" s="2340">
        <v>97992.202804421977</v>
      </c>
      <c r="CL31" s="2340">
        <v>98142.65173274836</v>
      </c>
      <c r="CM31" s="2340">
        <v>98186.989928542404</v>
      </c>
      <c r="CN31" s="2340">
        <v>98290.522780926272</v>
      </c>
      <c r="CO31" s="2340">
        <v>98403.639235050694</v>
      </c>
      <c r="CP31" s="2340">
        <v>98477.701648821647</v>
      </c>
      <c r="CQ31" s="2340">
        <v>98557.103076044819</v>
      </c>
      <c r="CR31" s="2340">
        <v>98563.762384651025</v>
      </c>
      <c r="CS31" s="2340">
        <v>98649.282165649522</v>
      </c>
      <c r="CT31" s="2340">
        <v>98680.497535486284</v>
      </c>
      <c r="CU31" s="2340">
        <v>98732.364773441746</v>
      </c>
      <c r="CV31" s="2340">
        <v>98762.708752073231</v>
      </c>
      <c r="CW31" s="2340">
        <v>98768.124179385792</v>
      </c>
      <c r="CX31" s="2340">
        <v>98832.369944739927</v>
      </c>
      <c r="CY31" s="2340">
        <v>98829.034343305553</v>
      </c>
      <c r="CZ31" s="2340">
        <v>98865.892722029559</v>
      </c>
      <c r="DA31" s="2340">
        <v>98868.614724633022</v>
      </c>
      <c r="DB31" s="2340">
        <v>98937.255440424575</v>
      </c>
      <c r="DC31" s="2340">
        <v>98949.040853285347</v>
      </c>
      <c r="DD31" s="2340">
        <v>98973.441672342844</v>
      </c>
      <c r="DE31" s="2340">
        <v>98989.587323427331</v>
      </c>
      <c r="DF31" s="2340">
        <v>99036.170672621723</v>
      </c>
      <c r="DG31" s="2340">
        <v>99061.361857707336</v>
      </c>
      <c r="DH31" s="2340">
        <v>99076.497776303484</v>
      </c>
      <c r="DI31" s="2340">
        <v>99091.050704218083</v>
      </c>
      <c r="DJ31" s="2340">
        <v>99143.224566635283</v>
      </c>
      <c r="DK31" s="2340">
        <v>99158.293827968329</v>
      </c>
      <c r="DL31" s="2340">
        <v>99158.374503170184</v>
      </c>
      <c r="DM31" s="2340">
        <v>99183.493565219062</v>
      </c>
      <c r="DN31" s="2340">
        <v>99180.457502305391</v>
      </c>
      <c r="DO31" s="2340">
        <v>99214.187909389628</v>
      </c>
      <c r="DP31" s="2340">
        <v>99236.230581688025</v>
      </c>
      <c r="DQ31" s="2340">
        <v>99246.468513348576</v>
      </c>
      <c r="DR31" s="2340">
        <v>99286.80390147971</v>
      </c>
      <c r="DS31" s="2340">
        <v>99289.065802482932</v>
      </c>
      <c r="DT31" s="2340">
        <v>99316.384338097007</v>
      </c>
      <c r="DU31" s="2340">
        <v>99342.591799376853</v>
      </c>
    </row>
    <row r="32" spans="1:125" ht="12.75">
      <c r="A32" s="131">
        <v>30</v>
      </c>
      <c r="B32" s="132"/>
      <c r="C32" s="132"/>
      <c r="D32" s="132"/>
      <c r="E32" s="132"/>
      <c r="F32" s="132"/>
      <c r="G32" s="132"/>
      <c r="H32" s="132"/>
      <c r="I32" s="132"/>
      <c r="J32" s="132"/>
      <c r="K32" s="132"/>
      <c r="L32" s="132"/>
      <c r="M32" s="132"/>
      <c r="N32" s="132"/>
      <c r="O32" s="132"/>
      <c r="P32" s="132"/>
      <c r="Q32" s="132"/>
      <c r="R32" s="132"/>
      <c r="S32" s="132"/>
      <c r="T32" s="132"/>
      <c r="U32" s="132"/>
      <c r="V32" s="132"/>
      <c r="W32" s="132">
        <v>77066</v>
      </c>
      <c r="X32" s="132">
        <v>77839</v>
      </c>
      <c r="Y32" s="132">
        <v>77995.505983036535</v>
      </c>
      <c r="Z32" s="132">
        <v>80287.754059783721</v>
      </c>
      <c r="AA32" s="2340">
        <v>80655.530229540498</v>
      </c>
      <c r="AB32" s="2340">
        <v>81346.62180967904</v>
      </c>
      <c r="AC32" s="2340">
        <v>82192.562491078497</v>
      </c>
      <c r="AD32" s="2340">
        <v>83278.42538587359</v>
      </c>
      <c r="AE32" s="2340">
        <v>83264.480676080726</v>
      </c>
      <c r="AF32" s="2340">
        <v>84622.381172182722</v>
      </c>
      <c r="AG32" s="2340">
        <v>85055.488358800096</v>
      </c>
      <c r="AH32" s="2340">
        <v>85488.319373644146</v>
      </c>
      <c r="AI32" s="2340">
        <v>85735.392278466839</v>
      </c>
      <c r="AJ32" s="2340">
        <v>87005.485761864125</v>
      </c>
      <c r="AK32" s="2340">
        <v>86888.941457592198</v>
      </c>
      <c r="AL32" s="2340">
        <v>87184.528689457991</v>
      </c>
      <c r="AM32" s="2340">
        <v>87454.750950441885</v>
      </c>
      <c r="AN32" s="2340">
        <v>87898.412102060553</v>
      </c>
      <c r="AO32" s="2340">
        <v>87839.086571193577</v>
      </c>
      <c r="AP32" s="2340">
        <v>87960.93215698158</v>
      </c>
      <c r="AQ32" s="2340">
        <v>88024.983962502447</v>
      </c>
      <c r="AR32" s="2340">
        <v>88089.466705985717</v>
      </c>
      <c r="AS32" s="2340">
        <v>87513.719903345991</v>
      </c>
      <c r="AT32" s="2340">
        <v>86691.327769999669</v>
      </c>
      <c r="AU32" s="2340">
        <v>85253.562219938816</v>
      </c>
      <c r="AV32" s="2340">
        <v>85786.521320737535</v>
      </c>
      <c r="AW32" s="2340">
        <v>86205.245153044874</v>
      </c>
      <c r="AX32" s="2340">
        <v>88524.934878047876</v>
      </c>
      <c r="AY32" s="2340">
        <v>90488.02609735266</v>
      </c>
      <c r="AZ32" s="2340">
        <v>90496.776108348611</v>
      </c>
      <c r="BA32" s="2340">
        <v>90515.298783181177</v>
      </c>
      <c r="BB32" s="2340">
        <v>91307.976681097382</v>
      </c>
      <c r="BC32" s="2340">
        <v>91518.963315059926</v>
      </c>
      <c r="BD32" s="2340">
        <v>92009.283324217933</v>
      </c>
      <c r="BE32" s="2340">
        <v>92090.290575643026</v>
      </c>
      <c r="BF32" s="2340">
        <v>92485.489792957713</v>
      </c>
      <c r="BG32" s="2340">
        <v>92556.085674265341</v>
      </c>
      <c r="BH32" s="2340">
        <v>92925.932508007536</v>
      </c>
      <c r="BI32" s="2340">
        <v>93220.10180690432</v>
      </c>
      <c r="BJ32" s="2340">
        <v>93344.208433542124</v>
      </c>
      <c r="BK32" s="2340">
        <v>93717.647214265628</v>
      </c>
      <c r="BL32" s="2340">
        <v>94046.965054097585</v>
      </c>
      <c r="BM32" s="2340">
        <v>94386.776327440282</v>
      </c>
      <c r="BN32" s="2340">
        <v>94690.162411430356</v>
      </c>
      <c r="BO32" s="2340">
        <v>94977.284104428647</v>
      </c>
      <c r="BP32" s="2340">
        <v>95078.636272709657</v>
      </c>
      <c r="BQ32" s="2340">
        <v>95224.037716735722</v>
      </c>
      <c r="BR32" s="2340">
        <v>95334.575511493909</v>
      </c>
      <c r="BS32" s="2340">
        <v>95340.316542243483</v>
      </c>
      <c r="BT32" s="2340">
        <v>95437.682860276662</v>
      </c>
      <c r="BU32" s="2340">
        <v>95560.127364982167</v>
      </c>
      <c r="BV32" s="2340">
        <v>95666.261577320605</v>
      </c>
      <c r="BW32" s="2340">
        <v>95737.024817164915</v>
      </c>
      <c r="BX32" s="2340">
        <v>95911.845275861517</v>
      </c>
      <c r="BY32" s="2340">
        <v>96126.93459245142</v>
      </c>
      <c r="BZ32" s="2340">
        <v>96455.077226593639</v>
      </c>
      <c r="CA32" s="2340">
        <v>96660.995980053878</v>
      </c>
      <c r="CB32" s="2340">
        <v>96758.994798625441</v>
      </c>
      <c r="CC32" s="2340">
        <v>96973.406765743435</v>
      </c>
      <c r="CD32" s="2340">
        <v>97108.221806967529</v>
      </c>
      <c r="CE32" s="2340">
        <v>97208.420290479175</v>
      </c>
      <c r="CF32" s="2340">
        <v>97427.323070439234</v>
      </c>
      <c r="CG32" s="2340">
        <v>97551.822579883301</v>
      </c>
      <c r="CH32" s="2340">
        <v>97666.092798698766</v>
      </c>
      <c r="CI32" s="2340">
        <v>97825.461098010492</v>
      </c>
      <c r="CJ32" s="2340">
        <v>97858.480500628459</v>
      </c>
      <c r="CK32" s="2340">
        <v>97938.983980664067</v>
      </c>
      <c r="CL32" s="2340">
        <v>98093.292598333239</v>
      </c>
      <c r="CM32" s="2340">
        <v>98143.625183169497</v>
      </c>
      <c r="CN32" s="2340">
        <v>98236.567697872189</v>
      </c>
      <c r="CO32" s="2340">
        <v>98358.653769956218</v>
      </c>
      <c r="CP32" s="2340">
        <v>98428.240504947578</v>
      </c>
      <c r="CQ32" s="2340">
        <v>98508.857873129367</v>
      </c>
      <c r="CR32" s="2340">
        <v>98516.810118489637</v>
      </c>
      <c r="CS32" s="2340">
        <v>98603.551629575246</v>
      </c>
      <c r="CT32" s="2340">
        <v>98635.981470151295</v>
      </c>
      <c r="CU32" s="2340">
        <v>98689.021864308001</v>
      </c>
      <c r="CV32" s="2340">
        <v>98720.517288704243</v>
      </c>
      <c r="CW32" s="2340">
        <v>98727.063939789325</v>
      </c>
      <c r="CX32" s="2340">
        <v>98792.386798915628</v>
      </c>
      <c r="CY32" s="2340">
        <v>98790.126659231173</v>
      </c>
      <c r="CZ32" s="2340">
        <v>98828.016173379481</v>
      </c>
      <c r="DA32" s="2340">
        <v>98831.754715934381</v>
      </c>
      <c r="DB32" s="2340">
        <v>98901.360774097644</v>
      </c>
      <c r="DC32" s="2340">
        <v>98914.106337479534</v>
      </c>
      <c r="DD32" s="2340">
        <v>98939.41592677981</v>
      </c>
      <c r="DE32" s="2340">
        <v>98956.449473303102</v>
      </c>
      <c r="DF32" s="2340">
        <v>99003.887627484699</v>
      </c>
      <c r="DG32" s="2340">
        <v>99029.918364635101</v>
      </c>
      <c r="DH32" s="2340">
        <v>99045.875111798523</v>
      </c>
      <c r="DI32" s="2340">
        <v>99061.227616807053</v>
      </c>
      <c r="DJ32" s="2340">
        <v>99114.169154101692</v>
      </c>
      <c r="DK32" s="2340">
        <v>99129.996926041116</v>
      </c>
      <c r="DL32" s="2340">
        <v>99130.820476081688</v>
      </c>
      <c r="DM32" s="2340">
        <v>99156.656135396406</v>
      </c>
      <c r="DN32" s="2340">
        <v>99154.325453195561</v>
      </c>
      <c r="DO32" s="2340">
        <v>99188.733268267621</v>
      </c>
      <c r="DP32" s="2340">
        <v>99211.438711222028</v>
      </c>
      <c r="DQ32" s="2340">
        <v>99222.325029672676</v>
      </c>
      <c r="DR32" s="2340">
        <v>99263.284717930044</v>
      </c>
      <c r="DS32" s="2340">
        <v>99266.163561858441</v>
      </c>
      <c r="DT32" s="2340">
        <v>99294.077229201168</v>
      </c>
      <c r="DU32" s="2340">
        <v>99320.864601916546</v>
      </c>
    </row>
    <row r="33" spans="1:125" ht="12.75">
      <c r="A33" s="131">
        <v>31</v>
      </c>
      <c r="B33" s="132"/>
      <c r="C33" s="132"/>
      <c r="D33" s="132"/>
      <c r="E33" s="132"/>
      <c r="F33" s="132"/>
      <c r="G33" s="132"/>
      <c r="H33" s="132"/>
      <c r="I33" s="132"/>
      <c r="J33" s="132"/>
      <c r="K33" s="132"/>
      <c r="L33" s="132"/>
      <c r="M33" s="132"/>
      <c r="N33" s="132"/>
      <c r="O33" s="132"/>
      <c r="P33" s="132"/>
      <c r="Q33" s="132"/>
      <c r="R33" s="132"/>
      <c r="S33" s="132"/>
      <c r="T33" s="132"/>
      <c r="U33" s="132"/>
      <c r="V33" s="132"/>
      <c r="W33" s="132">
        <v>76891</v>
      </c>
      <c r="X33" s="132">
        <v>77694</v>
      </c>
      <c r="Y33" s="132">
        <v>77856.350140066876</v>
      </c>
      <c r="Z33" s="132">
        <v>80144.355499555561</v>
      </c>
      <c r="AA33" s="2340">
        <v>80518.951940147846</v>
      </c>
      <c r="AB33" s="2340">
        <v>81201.758422220941</v>
      </c>
      <c r="AC33" s="2340">
        <v>82047.539957928893</v>
      </c>
      <c r="AD33" s="2340">
        <v>83124.241575055887</v>
      </c>
      <c r="AE33" s="2340">
        <v>83115.60751544463</v>
      </c>
      <c r="AF33" s="2340">
        <v>84478.067159530969</v>
      </c>
      <c r="AG33" s="2340">
        <v>84905.915917395716</v>
      </c>
      <c r="AH33" s="2340">
        <v>85346.374458754028</v>
      </c>
      <c r="AI33" s="2340">
        <v>85593.615355061222</v>
      </c>
      <c r="AJ33" s="2340">
        <v>86867.307961475613</v>
      </c>
      <c r="AK33" s="2340">
        <v>86751.579469529941</v>
      </c>
      <c r="AL33" s="2340">
        <v>87039.026606540312</v>
      </c>
      <c r="AM33" s="2340">
        <v>87317.506801532916</v>
      </c>
      <c r="AN33" s="2340">
        <v>87764.255318700816</v>
      </c>
      <c r="AO33" s="2340">
        <v>87697.285789558489</v>
      </c>
      <c r="AP33" s="2340">
        <v>87815.04886738678</v>
      </c>
      <c r="AQ33" s="2340">
        <v>87875.731270184944</v>
      </c>
      <c r="AR33" s="2340">
        <v>87957.049420263313</v>
      </c>
      <c r="AS33" s="2340">
        <v>87383.863024317747</v>
      </c>
      <c r="AT33" s="2340">
        <v>86562.708160865935</v>
      </c>
      <c r="AU33" s="2340">
        <v>85126.17439898361</v>
      </c>
      <c r="AV33" s="2340">
        <v>85653.809549411322</v>
      </c>
      <c r="AW33" s="2340">
        <v>86075.993778356351</v>
      </c>
      <c r="AX33" s="2340">
        <v>88401.541731146295</v>
      </c>
      <c r="AY33" s="2340">
        <v>90375.401306630636</v>
      </c>
      <c r="AZ33" s="2340">
        <v>90373.168035007257</v>
      </c>
      <c r="BA33" s="2340">
        <v>90394.388146007957</v>
      </c>
      <c r="BB33" s="2340">
        <v>91180.138251654891</v>
      </c>
      <c r="BC33" s="2340">
        <v>91409.099482760619</v>
      </c>
      <c r="BD33" s="2340">
        <v>91900.32018768134</v>
      </c>
      <c r="BE33" s="2340">
        <v>91977.251160129381</v>
      </c>
      <c r="BF33" s="2340">
        <v>92374.711218551456</v>
      </c>
      <c r="BG33" s="2340">
        <v>92441.248582940083</v>
      </c>
      <c r="BH33" s="2340">
        <v>92816.30975356925</v>
      </c>
      <c r="BI33" s="2340">
        <v>93101.588051894607</v>
      </c>
      <c r="BJ33" s="2340">
        <v>93220.624578404386</v>
      </c>
      <c r="BK33" s="2340">
        <v>93589.099361554283</v>
      </c>
      <c r="BL33" s="2340">
        <v>93932.069407422969</v>
      </c>
      <c r="BM33" s="2340">
        <v>94275.357203687425</v>
      </c>
      <c r="BN33" s="2340">
        <v>94576.880317958741</v>
      </c>
      <c r="BO33" s="2340">
        <v>94872.514664126153</v>
      </c>
      <c r="BP33" s="2340">
        <v>94983.949755234557</v>
      </c>
      <c r="BQ33" s="2340">
        <v>95135.22237591572</v>
      </c>
      <c r="BR33" s="2340">
        <v>95252.218190966712</v>
      </c>
      <c r="BS33" s="2340">
        <v>95254.497008430335</v>
      </c>
      <c r="BT33" s="2340">
        <v>95360.369687556129</v>
      </c>
      <c r="BU33" s="2340">
        <v>95482.101654450016</v>
      </c>
      <c r="BV33" s="2340">
        <v>95596.389086871932</v>
      </c>
      <c r="BW33" s="2340">
        <v>95671.663110507157</v>
      </c>
      <c r="BX33" s="2340">
        <v>95845.313786632032</v>
      </c>
      <c r="BY33" s="2340">
        <v>96063.242057359035</v>
      </c>
      <c r="BZ33" s="2340">
        <v>96395.492664022633</v>
      </c>
      <c r="CA33" s="2340">
        <v>96601.750132911198</v>
      </c>
      <c r="CB33" s="2340">
        <v>96690.588657790111</v>
      </c>
      <c r="CC33" s="2340">
        <v>96907.620194351985</v>
      </c>
      <c r="CD33" s="2340">
        <v>97045.022414484542</v>
      </c>
      <c r="CE33" s="2340">
        <v>97148.542501925185</v>
      </c>
      <c r="CF33" s="2340">
        <v>97361.507113311935</v>
      </c>
      <c r="CG33" s="2340">
        <v>97496.001262415215</v>
      </c>
      <c r="CH33" s="2340">
        <v>97605.4166006296</v>
      </c>
      <c r="CI33" s="2340">
        <v>97768.761534801044</v>
      </c>
      <c r="CJ33" s="2340">
        <v>97803.752614265904</v>
      </c>
      <c r="CK33" s="2340">
        <v>97884.750326685258</v>
      </c>
      <c r="CL33" s="2340">
        <v>98039.764162050793</v>
      </c>
      <c r="CM33" s="2340">
        <v>98096.713818682372</v>
      </c>
      <c r="CN33" s="2340">
        <v>98182.430570239434</v>
      </c>
      <c r="CO33" s="2340">
        <v>98304.362953602322</v>
      </c>
      <c r="CP33" s="2340">
        <v>98376.810519848907</v>
      </c>
      <c r="CQ33" s="2340">
        <v>98458.742672551394</v>
      </c>
      <c r="CR33" s="2340">
        <v>98468.012116233833</v>
      </c>
      <c r="CS33" s="2340">
        <v>98555.99820787998</v>
      </c>
      <c r="CT33" s="2340">
        <v>98589.666424501032</v>
      </c>
      <c r="CU33" s="2340">
        <v>98643.903527386516</v>
      </c>
      <c r="CV33" s="2340">
        <v>98676.574342314896</v>
      </c>
      <c r="CW33" s="2340">
        <v>98684.276580415986</v>
      </c>
      <c r="CX33" s="2340">
        <v>98750.699836238375</v>
      </c>
      <c r="CY33" s="2340">
        <v>98749.539577125644</v>
      </c>
      <c r="CZ33" s="2340">
        <v>98788.483892009172</v>
      </c>
      <c r="DA33" s="2340">
        <v>98793.263128817998</v>
      </c>
      <c r="DB33" s="2340">
        <v>98863.857507954264</v>
      </c>
      <c r="DC33" s="2340">
        <v>98877.567412670658</v>
      </c>
      <c r="DD33" s="2340">
        <v>98903.812026042491</v>
      </c>
      <c r="DE33" s="2340">
        <v>98921.759573047835</v>
      </c>
      <c r="DF33" s="2340">
        <v>98970.077881931036</v>
      </c>
      <c r="DG33" s="2340">
        <v>98996.973571714261</v>
      </c>
      <c r="DH33" s="2340">
        <v>99013.776410468694</v>
      </c>
      <c r="DI33" s="2340">
        <v>99029.953469230328</v>
      </c>
      <c r="DJ33" s="2340">
        <v>99083.686819393275</v>
      </c>
      <c r="DK33" s="2340">
        <v>99100.297484524635</v>
      </c>
      <c r="DL33" s="2340">
        <v>99101.888200179077</v>
      </c>
      <c r="DM33" s="2340">
        <v>99128.464097074713</v>
      </c>
      <c r="DN33" s="2340">
        <v>99126.862516483539</v>
      </c>
      <c r="DO33" s="2340">
        <v>99161.970664581095</v>
      </c>
      <c r="DP33" s="2340">
        <v>99185.361660378403</v>
      </c>
      <c r="DQ33" s="2340">
        <v>99196.918998135588</v>
      </c>
      <c r="DR33" s="2340">
        <v>99238.524937845476</v>
      </c>
      <c r="DS33" s="2340">
        <v>99242.042851955746</v>
      </c>
      <c r="DT33" s="2340">
        <v>99270.573168542542</v>
      </c>
      <c r="DU33" s="2340">
        <v>99297.961687307965</v>
      </c>
    </row>
    <row r="34" spans="1:125" ht="12.75">
      <c r="A34" s="131">
        <v>32</v>
      </c>
      <c r="B34" s="132"/>
      <c r="C34" s="132"/>
      <c r="D34" s="132"/>
      <c r="E34" s="132"/>
      <c r="F34" s="132"/>
      <c r="G34" s="132"/>
      <c r="H34" s="132"/>
      <c r="I34" s="132"/>
      <c r="J34" s="132"/>
      <c r="K34" s="132"/>
      <c r="L34" s="132"/>
      <c r="M34" s="132"/>
      <c r="N34" s="132"/>
      <c r="O34" s="132"/>
      <c r="P34" s="132"/>
      <c r="Q34" s="132"/>
      <c r="R34" s="132"/>
      <c r="S34" s="132"/>
      <c r="T34" s="132"/>
      <c r="U34" s="132"/>
      <c r="V34" s="132"/>
      <c r="W34" s="132">
        <v>76748</v>
      </c>
      <c r="X34" s="132">
        <v>77551</v>
      </c>
      <c r="Y34" s="132">
        <v>77706.601365466486</v>
      </c>
      <c r="Z34" s="132">
        <v>79994.956530018302</v>
      </c>
      <c r="AA34" s="2340">
        <v>80373.352049744964</v>
      </c>
      <c r="AB34" s="2340">
        <v>81048.298255067552</v>
      </c>
      <c r="AC34" s="2340">
        <v>81897.504356631878</v>
      </c>
      <c r="AD34" s="2340">
        <v>82980.729731955682</v>
      </c>
      <c r="AE34" s="2340">
        <v>82972.162747136506</v>
      </c>
      <c r="AF34" s="2340">
        <v>84334.405632714843</v>
      </c>
      <c r="AG34" s="2340">
        <v>84756.344221194217</v>
      </c>
      <c r="AH34" s="2340">
        <v>85199.036384291321</v>
      </c>
      <c r="AI34" s="2340">
        <v>85446.407986125865</v>
      </c>
      <c r="AJ34" s="2340">
        <v>86718.079232638644</v>
      </c>
      <c r="AK34" s="2340">
        <v>86605.787238052653</v>
      </c>
      <c r="AL34" s="2340">
        <v>86893.393039424845</v>
      </c>
      <c r="AM34" s="2340">
        <v>87179.169440637954</v>
      </c>
      <c r="AN34" s="2340">
        <v>87616.072604845467</v>
      </c>
      <c r="AO34" s="2340">
        <v>87544.896205633195</v>
      </c>
      <c r="AP34" s="2340">
        <v>87666.030532423858</v>
      </c>
      <c r="AQ34" s="2340">
        <v>87723.631573610211</v>
      </c>
      <c r="AR34" s="2340">
        <v>87815.521043285102</v>
      </c>
      <c r="AS34" s="2340">
        <v>87245.616026376316</v>
      </c>
      <c r="AT34" s="2340">
        <v>86424.446333484695</v>
      </c>
      <c r="AU34" s="2340">
        <v>84988.752829057732</v>
      </c>
      <c r="AV34" s="2340">
        <v>85518.14136926549</v>
      </c>
      <c r="AW34" s="2340">
        <v>85951.122553514579</v>
      </c>
      <c r="AX34" s="2340">
        <v>88274.179694903185</v>
      </c>
      <c r="AY34" s="2340">
        <v>90255.393593616478</v>
      </c>
      <c r="AZ34" s="2340">
        <v>90243.258120380982</v>
      </c>
      <c r="BA34" s="2340">
        <v>90265.194245730672</v>
      </c>
      <c r="BB34" s="2340">
        <v>91053.462376950512</v>
      </c>
      <c r="BC34" s="2340">
        <v>91288.796370131167</v>
      </c>
      <c r="BD34" s="2340">
        <v>91779.712088881584</v>
      </c>
      <c r="BE34" s="2340">
        <v>91861.425495476346</v>
      </c>
      <c r="BF34" s="2340">
        <v>92260.150963110558</v>
      </c>
      <c r="BG34" s="2340">
        <v>92322.036861665736</v>
      </c>
      <c r="BH34" s="2340">
        <v>92700.124433296005</v>
      </c>
      <c r="BI34" s="2340">
        <v>92971.672111800493</v>
      </c>
      <c r="BJ34" s="2340">
        <v>93085.358623327833</v>
      </c>
      <c r="BK34" s="2340">
        <v>93466.532971933135</v>
      </c>
      <c r="BL34" s="2340">
        <v>93818.639732819196</v>
      </c>
      <c r="BM34" s="2340">
        <v>94160.692702253029</v>
      </c>
      <c r="BN34" s="2340">
        <v>94467.30056789951</v>
      </c>
      <c r="BO34" s="2340">
        <v>94768.299232931458</v>
      </c>
      <c r="BP34" s="2340">
        <v>94888.048840307325</v>
      </c>
      <c r="BQ34" s="2340">
        <v>95045.91183426365</v>
      </c>
      <c r="BR34" s="2340">
        <v>95170.67476676665</v>
      </c>
      <c r="BS34" s="2340">
        <v>95170.303645918088</v>
      </c>
      <c r="BT34" s="2340">
        <v>95284.996159330913</v>
      </c>
      <c r="BU34" s="2340">
        <v>95405.001968614481</v>
      </c>
      <c r="BV34" s="2340">
        <v>95520.812290916161</v>
      </c>
      <c r="BW34" s="2340">
        <v>95597.478580088311</v>
      </c>
      <c r="BX34" s="2340">
        <v>95775.383859101334</v>
      </c>
      <c r="BY34" s="2340">
        <v>95992.343462245684</v>
      </c>
      <c r="BZ34" s="2340">
        <v>96328.030454429711</v>
      </c>
      <c r="CA34" s="2340">
        <v>96529.700907525068</v>
      </c>
      <c r="CB34" s="2340">
        <v>96620.869193349878</v>
      </c>
      <c r="CC34" s="2340">
        <v>96838.619219791159</v>
      </c>
      <c r="CD34" s="2340">
        <v>96978.772088249723</v>
      </c>
      <c r="CE34" s="2340">
        <v>97087.652264969467</v>
      </c>
      <c r="CF34" s="2340">
        <v>97298.407540636254</v>
      </c>
      <c r="CG34" s="2340">
        <v>97422.200826648521</v>
      </c>
      <c r="CH34" s="2340">
        <v>97538.037888511142</v>
      </c>
      <c r="CI34" s="2340">
        <v>97704.614065574569</v>
      </c>
      <c r="CJ34" s="2340">
        <v>97751.315941221314</v>
      </c>
      <c r="CK34" s="2340">
        <v>97825.067614404281</v>
      </c>
      <c r="CL34" s="2340">
        <v>97981.602246322058</v>
      </c>
      <c r="CM34" s="2340">
        <v>98042.746094503833</v>
      </c>
      <c r="CN34" s="2340">
        <v>98125.317056361106</v>
      </c>
      <c r="CO34" s="2340">
        <v>98248.912453232493</v>
      </c>
      <c r="CP34" s="2340">
        <v>98322.754905562149</v>
      </c>
      <c r="CQ34" s="2340">
        <v>98406.041807139365</v>
      </c>
      <c r="CR34" s="2340">
        <v>98416.669969401453</v>
      </c>
      <c r="CS34" s="2340">
        <v>98505.939768316661</v>
      </c>
      <c r="CT34" s="2340">
        <v>98540.886509827673</v>
      </c>
      <c r="CU34" s="2340">
        <v>98596.359575094</v>
      </c>
      <c r="CV34" s="2340">
        <v>98630.245175667238</v>
      </c>
      <c r="CW34" s="2340">
        <v>98639.142585192661</v>
      </c>
      <c r="CX34" s="2340">
        <v>98706.704018778866</v>
      </c>
      <c r="CY34" s="2340">
        <v>98706.682585586459</v>
      </c>
      <c r="CZ34" s="2340">
        <v>98746.719293111513</v>
      </c>
      <c r="DA34" s="2340">
        <v>98752.577154800994</v>
      </c>
      <c r="DB34" s="2340">
        <v>98824.17796488179</v>
      </c>
      <c r="DC34" s="2340">
        <v>98838.891674870843</v>
      </c>
      <c r="DD34" s="2340">
        <v>98866.109921944546</v>
      </c>
      <c r="DE34" s="2340">
        <v>98885.009677114955</v>
      </c>
      <c r="DF34" s="2340">
        <v>98934.245150353367</v>
      </c>
      <c r="DG34" s="2340">
        <v>98962.042682147861</v>
      </c>
      <c r="DH34" s="2340">
        <v>98979.728138440958</v>
      </c>
      <c r="DI34" s="2340">
        <v>98996.765723842487</v>
      </c>
      <c r="DJ34" s="2340">
        <v>99051.325586720995</v>
      </c>
      <c r="DK34" s="2340">
        <v>99068.754006344083</v>
      </c>
      <c r="DL34" s="2340">
        <v>99071.146472285371</v>
      </c>
      <c r="DM34" s="2340">
        <v>99098.496187775192</v>
      </c>
      <c r="DN34" s="2340">
        <v>99097.657251415949</v>
      </c>
      <c r="DO34" s="2340">
        <v>99133.498094915311</v>
      </c>
      <c r="DP34" s="2340">
        <v>99157.606686692365</v>
      </c>
      <c r="DQ34" s="2340">
        <v>99169.866763502883</v>
      </c>
      <c r="DR34" s="2340">
        <v>99212.14966348435</v>
      </c>
      <c r="DS34" s="2340">
        <v>99216.337467452773</v>
      </c>
      <c r="DT34" s="2340">
        <v>99245.514345927731</v>
      </c>
      <c r="DU34" s="2340">
        <v>99273.533446663059</v>
      </c>
    </row>
    <row r="35" spans="1:125" ht="12.75">
      <c r="A35" s="131">
        <v>33</v>
      </c>
      <c r="B35" s="132"/>
      <c r="C35" s="132"/>
      <c r="D35" s="132"/>
      <c r="E35" s="132"/>
      <c r="F35" s="132"/>
      <c r="G35" s="132"/>
      <c r="H35" s="132"/>
      <c r="I35" s="132"/>
      <c r="J35" s="132"/>
      <c r="K35" s="132"/>
      <c r="L35" s="132"/>
      <c r="M35" s="132"/>
      <c r="N35" s="132"/>
      <c r="O35" s="132"/>
      <c r="P35" s="132"/>
      <c r="Q35" s="132"/>
      <c r="R35" s="132"/>
      <c r="S35" s="132"/>
      <c r="T35" s="132"/>
      <c r="U35" s="132"/>
      <c r="V35" s="132"/>
      <c r="W35" s="132">
        <v>76605</v>
      </c>
      <c r="X35" s="132">
        <v>77404</v>
      </c>
      <c r="Y35" s="132">
        <v>77552.57976233364</v>
      </c>
      <c r="Z35" s="132">
        <v>79842.113625969781</v>
      </c>
      <c r="AA35" s="2340">
        <v>80211.919159772078</v>
      </c>
      <c r="AB35" s="2340">
        <v>80898.598223969588</v>
      </c>
      <c r="AC35" s="2340">
        <v>81742.133406735127</v>
      </c>
      <c r="AD35" s="2340">
        <v>82833.389605978067</v>
      </c>
      <c r="AE35" s="2340">
        <v>82816.569044427146</v>
      </c>
      <c r="AF35" s="2340">
        <v>84183.84358350336</v>
      </c>
      <c r="AG35" s="2340">
        <v>84598.255299656637</v>
      </c>
      <c r="AH35" s="2340">
        <v>85039.812786765426</v>
      </c>
      <c r="AI35" s="2340">
        <v>85299.310561308404</v>
      </c>
      <c r="AJ35" s="2340">
        <v>86569.491570014507</v>
      </c>
      <c r="AK35" s="2340">
        <v>86464.602070730572</v>
      </c>
      <c r="AL35" s="2340">
        <v>86749.336891689556</v>
      </c>
      <c r="AM35" s="2340">
        <v>87031.593159999873</v>
      </c>
      <c r="AN35" s="2340">
        <v>87457.693039411912</v>
      </c>
      <c r="AO35" s="2340">
        <v>87393.351911981415</v>
      </c>
      <c r="AP35" s="2340">
        <v>87512.156743396205</v>
      </c>
      <c r="AQ35" s="2340">
        <v>87581.956472718113</v>
      </c>
      <c r="AR35" s="2340">
        <v>87669.186442265549</v>
      </c>
      <c r="AS35" s="2340">
        <v>87096.557846299213</v>
      </c>
      <c r="AT35" s="2340">
        <v>86282.617406838341</v>
      </c>
      <c r="AU35" s="2340">
        <v>84850.236009485161</v>
      </c>
      <c r="AV35" s="2340">
        <v>85381.756789485575</v>
      </c>
      <c r="AW35" s="2340">
        <v>85818.914008101841</v>
      </c>
      <c r="AX35" s="2340">
        <v>88149.585956359195</v>
      </c>
      <c r="AY35" s="2340">
        <v>90126.328882206042</v>
      </c>
      <c r="AZ35" s="2340">
        <v>90105.965487983092</v>
      </c>
      <c r="BA35" s="2340">
        <v>90140.845804355864</v>
      </c>
      <c r="BB35" s="2340">
        <v>90932.125107210362</v>
      </c>
      <c r="BC35" s="2340">
        <v>91169.651589517802</v>
      </c>
      <c r="BD35" s="2340">
        <v>91659.590362524454</v>
      </c>
      <c r="BE35" s="2340">
        <v>91727.477210365483</v>
      </c>
      <c r="BF35" s="2340">
        <v>92132.06165130905</v>
      </c>
      <c r="BG35" s="2340">
        <v>92187.931086379001</v>
      </c>
      <c r="BH35" s="2340">
        <v>92569.127243972631</v>
      </c>
      <c r="BI35" s="2340">
        <v>92831.265129051113</v>
      </c>
      <c r="BJ35" s="2340">
        <v>92962.206297953686</v>
      </c>
      <c r="BK35" s="2340">
        <v>93342.446052809275</v>
      </c>
      <c r="BL35" s="2340">
        <v>93697.963257303098</v>
      </c>
      <c r="BM35" s="2340">
        <v>94043.22285528238</v>
      </c>
      <c r="BN35" s="2340">
        <v>94355.544771182176</v>
      </c>
      <c r="BO35" s="2340">
        <v>94668.492971594751</v>
      </c>
      <c r="BP35" s="2340">
        <v>94797.738788244082</v>
      </c>
      <c r="BQ35" s="2340">
        <v>94957.198203824679</v>
      </c>
      <c r="BR35" s="2340">
        <v>95082.893468828945</v>
      </c>
      <c r="BS35" s="2340">
        <v>95086.833459292073</v>
      </c>
      <c r="BT35" s="2340">
        <v>95208.645326485217</v>
      </c>
      <c r="BU35" s="2340">
        <v>95330.013822678971</v>
      </c>
      <c r="BV35" s="2340">
        <v>95441.034254615181</v>
      </c>
      <c r="BW35" s="2340">
        <v>95528.847081714863</v>
      </c>
      <c r="BX35" s="2340">
        <v>95705.200126346303</v>
      </c>
      <c r="BY35" s="2340">
        <v>95919.955956447797</v>
      </c>
      <c r="BZ35" s="2340">
        <v>96255.260907761738</v>
      </c>
      <c r="CA35" s="2340">
        <v>96460.930315671212</v>
      </c>
      <c r="CB35" s="2340">
        <v>96545.215441862645</v>
      </c>
      <c r="CC35" s="2340">
        <v>96762.952241408799</v>
      </c>
      <c r="CD35" s="2340">
        <v>96913.630047420942</v>
      </c>
      <c r="CE35" s="2340">
        <v>97018.899913532965</v>
      </c>
      <c r="CF35" s="2340">
        <v>97230.834289716469</v>
      </c>
      <c r="CG35" s="2340">
        <v>97349.88668921194</v>
      </c>
      <c r="CH35" s="2340">
        <v>97473.275056176935</v>
      </c>
      <c r="CI35" s="2340">
        <v>97647.772382097071</v>
      </c>
      <c r="CJ35" s="2340">
        <v>97692.918758520726</v>
      </c>
      <c r="CK35" s="2340">
        <v>97762.718560559762</v>
      </c>
      <c r="CL35" s="2340">
        <v>97924.049566580914</v>
      </c>
      <c r="CM35" s="2340">
        <v>97982.508372841126</v>
      </c>
      <c r="CN35" s="2340">
        <v>98064.989346737406</v>
      </c>
      <c r="CO35" s="2340">
        <v>98190.042851589125</v>
      </c>
      <c r="CP35" s="2340">
        <v>98265.337314901306</v>
      </c>
      <c r="CQ35" s="2340">
        <v>98350.035070181359</v>
      </c>
      <c r="CR35" s="2340">
        <v>98362.079760742679</v>
      </c>
      <c r="CS35" s="2340">
        <v>98452.687748157929</v>
      </c>
      <c r="CT35" s="2340">
        <v>98488.968538400484</v>
      </c>
      <c r="CU35" s="2340">
        <v>98545.731698713425</v>
      </c>
      <c r="CV35" s="2340">
        <v>98580.886156093111</v>
      </c>
      <c r="CW35" s="2340">
        <v>98591.03281510761</v>
      </c>
      <c r="CX35" s="2340">
        <v>98659.783994930418</v>
      </c>
      <c r="CY35" s="2340">
        <v>98660.954216669052</v>
      </c>
      <c r="CZ35" s="2340">
        <v>98702.134227352406</v>
      </c>
      <c r="DA35" s="2340">
        <v>98709.105546798208</v>
      </c>
      <c r="DB35" s="2340">
        <v>98781.763791432837</v>
      </c>
      <c r="DC35" s="2340">
        <v>98797.533040022565</v>
      </c>
      <c r="DD35" s="2340">
        <v>98825.77545648886</v>
      </c>
      <c r="DE35" s="2340">
        <v>98845.677331140178</v>
      </c>
      <c r="DF35" s="2340">
        <v>98895.878263112623</v>
      </c>
      <c r="DG35" s="2340">
        <v>98924.625670158333</v>
      </c>
      <c r="DH35" s="2340">
        <v>98943.241215487928</v>
      </c>
      <c r="DI35" s="2340">
        <v>98961.186004328149</v>
      </c>
      <c r="DJ35" s="2340">
        <v>99016.617367104394</v>
      </c>
      <c r="DK35" s="2340">
        <v>99034.908635535496</v>
      </c>
      <c r="DL35" s="2340">
        <v>99038.147509051414</v>
      </c>
      <c r="DM35" s="2340">
        <v>99066.314360346718</v>
      </c>
      <c r="DN35" s="2340">
        <v>99066.281252888526</v>
      </c>
      <c r="DO35" s="2340">
        <v>99102.896424700055</v>
      </c>
      <c r="DP35" s="2340">
        <v>99127.763770031976</v>
      </c>
      <c r="DQ35" s="2340">
        <v>99140.767265911505</v>
      </c>
      <c r="DR35" s="2340">
        <v>99183.766476925928</v>
      </c>
      <c r="DS35" s="2340">
        <v>99188.663589957054</v>
      </c>
      <c r="DT35" s="2340">
        <v>99218.525255983084</v>
      </c>
      <c r="DU35" s="2340">
        <v>99247.212508507451</v>
      </c>
    </row>
    <row r="36" spans="1:125" ht="12.75">
      <c r="A36" s="131">
        <v>34</v>
      </c>
      <c r="B36" s="132"/>
      <c r="C36" s="132"/>
      <c r="D36" s="132"/>
      <c r="E36" s="132"/>
      <c r="F36" s="132"/>
      <c r="G36" s="132"/>
      <c r="H36" s="132"/>
      <c r="I36" s="132"/>
      <c r="J36" s="132"/>
      <c r="K36" s="132"/>
      <c r="L36" s="132"/>
      <c r="M36" s="132"/>
      <c r="N36" s="132"/>
      <c r="O36" s="132"/>
      <c r="P36" s="132"/>
      <c r="Q36" s="132"/>
      <c r="R36" s="132"/>
      <c r="S36" s="132"/>
      <c r="T36" s="132"/>
      <c r="U36" s="132"/>
      <c r="V36" s="132"/>
      <c r="W36" s="132">
        <v>76456</v>
      </c>
      <c r="X36" s="132">
        <v>77249</v>
      </c>
      <c r="Y36" s="132">
        <v>77406.731672978945</v>
      </c>
      <c r="Z36" s="132">
        <v>79688.608517567729</v>
      </c>
      <c r="AA36" s="2340">
        <v>80054.606692218193</v>
      </c>
      <c r="AB36" s="2340">
        <v>80742.304221604907</v>
      </c>
      <c r="AC36" s="2340">
        <v>81587.714791875085</v>
      </c>
      <c r="AD36" s="2340">
        <v>82672.221294804986</v>
      </c>
      <c r="AE36" s="2340">
        <v>82664.591716168579</v>
      </c>
      <c r="AF36" s="2340">
        <v>84022.695120290067</v>
      </c>
      <c r="AG36" s="2340">
        <v>84439.490622752317</v>
      </c>
      <c r="AH36" s="2340">
        <v>84883.976735808465</v>
      </c>
      <c r="AI36" s="2340">
        <v>85131.503399715351</v>
      </c>
      <c r="AJ36" s="2340">
        <v>86417.814810302283</v>
      </c>
      <c r="AK36" s="2340">
        <v>86313.872038747038</v>
      </c>
      <c r="AL36" s="2340">
        <v>86591.266656874854</v>
      </c>
      <c r="AM36" s="2340">
        <v>86864.934532808038</v>
      </c>
      <c r="AN36" s="2340">
        <v>87304.813242093485</v>
      </c>
      <c r="AO36" s="2340">
        <v>87228.481446356906</v>
      </c>
      <c r="AP36" s="2340">
        <v>87358.523124597457</v>
      </c>
      <c r="AQ36" s="2340">
        <v>87425.385200789475</v>
      </c>
      <c r="AR36" s="2340">
        <v>87513.165850450197</v>
      </c>
      <c r="AS36" s="2340">
        <v>86939.113541687082</v>
      </c>
      <c r="AT36" s="2340">
        <v>86135.964619628707</v>
      </c>
      <c r="AU36" s="2340">
        <v>84702.109396249594</v>
      </c>
      <c r="AV36" s="2340">
        <v>85237.477967574087</v>
      </c>
      <c r="AW36" s="2340">
        <v>85688.919121062063</v>
      </c>
      <c r="AX36" s="2340">
        <v>88019.569237284217</v>
      </c>
      <c r="AY36" s="2340">
        <v>89996.612136375101</v>
      </c>
      <c r="AZ36" s="2340">
        <v>89980.685754316946</v>
      </c>
      <c r="BA36" s="2340">
        <v>90017.9530416247</v>
      </c>
      <c r="BB36" s="2340">
        <v>90807.030655932278</v>
      </c>
      <c r="BC36" s="2340">
        <v>91047.879047208422</v>
      </c>
      <c r="BD36" s="2340">
        <v>91533.056830593181</v>
      </c>
      <c r="BE36" s="2340">
        <v>91597.301380429766</v>
      </c>
      <c r="BF36" s="2340">
        <v>91992.040891864788</v>
      </c>
      <c r="BG36" s="2340">
        <v>92040.202155442501</v>
      </c>
      <c r="BH36" s="2340">
        <v>92421.340759401617</v>
      </c>
      <c r="BI36" s="2340">
        <v>92689.236339655152</v>
      </c>
      <c r="BJ36" s="2340">
        <v>92816.98409702447</v>
      </c>
      <c r="BK36" s="2340">
        <v>93215.455091121097</v>
      </c>
      <c r="BL36" s="2340">
        <v>93570.370878645335</v>
      </c>
      <c r="BM36" s="2340">
        <v>93925.441250453558</v>
      </c>
      <c r="BN36" s="2340">
        <v>94246.126570811408</v>
      </c>
      <c r="BO36" s="2340">
        <v>94577.811721869803</v>
      </c>
      <c r="BP36" s="2340">
        <v>94701.187420897622</v>
      </c>
      <c r="BQ36" s="2340">
        <v>94867.012601880444</v>
      </c>
      <c r="BR36" s="2340">
        <v>94997.109539742494</v>
      </c>
      <c r="BS36" s="2340">
        <v>95001.380424649309</v>
      </c>
      <c r="BT36" s="2340">
        <v>95129.039211311407</v>
      </c>
      <c r="BU36" s="2340">
        <v>95246.376245132415</v>
      </c>
      <c r="BV36" s="2340">
        <v>95362.293051927976</v>
      </c>
      <c r="BW36" s="2340">
        <v>95462.916190476753</v>
      </c>
      <c r="BX36" s="2340">
        <v>95632.744044444291</v>
      </c>
      <c r="BY36" s="2340">
        <v>95846.693810974815</v>
      </c>
      <c r="BZ36" s="2340">
        <v>96184.7623393424</v>
      </c>
      <c r="CA36" s="2340">
        <v>96380.227750960767</v>
      </c>
      <c r="CB36" s="2340">
        <v>96476.764598153299</v>
      </c>
      <c r="CC36" s="2340">
        <v>96696.558093001033</v>
      </c>
      <c r="CD36" s="2340">
        <v>96840.712114137365</v>
      </c>
      <c r="CE36" s="2340">
        <v>96950.158718436651</v>
      </c>
      <c r="CF36" s="2340">
        <v>97161.198956268519</v>
      </c>
      <c r="CG36" s="2340">
        <v>97280.355403214606</v>
      </c>
      <c r="CH36" s="2340">
        <v>97397.166720538051</v>
      </c>
      <c r="CI36" s="2340">
        <v>97578.253697848268</v>
      </c>
      <c r="CJ36" s="2340">
        <v>97626.517899736093</v>
      </c>
      <c r="CK36" s="2340">
        <v>97698.30344505157</v>
      </c>
      <c r="CL36" s="2340">
        <v>97863.492579307742</v>
      </c>
      <c r="CM36" s="2340">
        <v>97916.353324752927</v>
      </c>
      <c r="CN36" s="2340">
        <v>98000.429448672628</v>
      </c>
      <c r="CO36" s="2340">
        <v>98127.01235708264</v>
      </c>
      <c r="CP36" s="2340">
        <v>98203.831237778475</v>
      </c>
      <c r="CQ36" s="2340">
        <v>98290.01083809977</v>
      </c>
      <c r="CR36" s="2340">
        <v>98303.544951052812</v>
      </c>
      <c r="CS36" s="2340">
        <v>98395.559816698544</v>
      </c>
      <c r="CT36" s="2340">
        <v>98433.244456009168</v>
      </c>
      <c r="CU36" s="2340">
        <v>98491.365675112407</v>
      </c>
      <c r="CV36" s="2340">
        <v>98527.856735381676</v>
      </c>
      <c r="CW36" s="2340">
        <v>98539.320260117936</v>
      </c>
      <c r="CX36" s="2340">
        <v>98609.325632235938</v>
      </c>
      <c r="CY36" s="2340">
        <v>98611.753353761378</v>
      </c>
      <c r="CZ36" s="2340">
        <v>98654.125289707561</v>
      </c>
      <c r="DA36" s="2340">
        <v>98662.275896662453</v>
      </c>
      <c r="DB36" s="2340">
        <v>98736.054065511053</v>
      </c>
      <c r="DC36" s="2340">
        <v>98752.94215568254</v>
      </c>
      <c r="DD36" s="2340">
        <v>98782.270537923076</v>
      </c>
      <c r="DE36" s="2340">
        <v>98803.235515436027</v>
      </c>
      <c r="DF36" s="2340">
        <v>98854.460884380387</v>
      </c>
      <c r="DG36" s="2340">
        <v>98884.216774893401</v>
      </c>
      <c r="DH36" s="2340">
        <v>98903.820287902912</v>
      </c>
      <c r="DI36" s="2340">
        <v>98922.72915136299</v>
      </c>
      <c r="DJ36" s="2340">
        <v>98979.086804023813</v>
      </c>
      <c r="DK36" s="2340">
        <v>98998.295793320009</v>
      </c>
      <c r="DL36" s="2340">
        <v>99002.435375971429</v>
      </c>
      <c r="DM36" s="2340">
        <v>99031.472010824931</v>
      </c>
      <c r="DN36" s="2340">
        <v>99032.297179560832</v>
      </c>
      <c r="DO36" s="2340">
        <v>99069.737223253571</v>
      </c>
      <c r="DP36" s="2340">
        <v>99095.413257262175</v>
      </c>
      <c r="DQ36" s="2340">
        <v>99109.209497868913</v>
      </c>
      <c r="DR36" s="2340">
        <v>99152.972715219614</v>
      </c>
      <c r="DS36" s="2340">
        <v>99158.626882045879</v>
      </c>
      <c r="DT36" s="2340">
        <v>99189.219616392205</v>
      </c>
      <c r="DU36" s="2340">
        <v>99218.620484571598</v>
      </c>
    </row>
    <row r="37" spans="1:125" ht="12.75">
      <c r="A37" s="131">
        <v>35</v>
      </c>
      <c r="B37" s="132"/>
      <c r="C37" s="132"/>
      <c r="D37" s="132"/>
      <c r="E37" s="132"/>
      <c r="F37" s="132"/>
      <c r="G37" s="132"/>
      <c r="H37" s="132"/>
      <c r="I37" s="132"/>
      <c r="J37" s="132"/>
      <c r="K37" s="132"/>
      <c r="L37" s="132"/>
      <c r="M37" s="132"/>
      <c r="N37" s="132"/>
      <c r="O37" s="132"/>
      <c r="P37" s="132"/>
      <c r="Q37" s="132"/>
      <c r="R37" s="132"/>
      <c r="S37" s="132"/>
      <c r="T37" s="132"/>
      <c r="U37" s="132"/>
      <c r="V37" s="132"/>
      <c r="W37" s="132">
        <v>76305</v>
      </c>
      <c r="X37" s="132">
        <v>77087</v>
      </c>
      <c r="Y37" s="132">
        <v>77250.079433191873</v>
      </c>
      <c r="Z37" s="132">
        <v>79532.105805146493</v>
      </c>
      <c r="AA37" s="2340">
        <v>79899.644215365101</v>
      </c>
      <c r="AB37" s="2340">
        <v>80581.44257354991</v>
      </c>
      <c r="AC37" s="2340">
        <v>81428.607290561398</v>
      </c>
      <c r="AD37" s="2340">
        <v>82509.785983238078</v>
      </c>
      <c r="AE37" s="2340">
        <v>82498.946823007398</v>
      </c>
      <c r="AF37" s="2340">
        <v>83865.243216477043</v>
      </c>
      <c r="AG37" s="2340">
        <v>84280.05113016651</v>
      </c>
      <c r="AH37" s="2340">
        <v>84714.134332087779</v>
      </c>
      <c r="AI37" s="2340">
        <v>84961.312928640764</v>
      </c>
      <c r="AJ37" s="2340">
        <v>86271.41673689647</v>
      </c>
      <c r="AK37" s="2340">
        <v>86135.093175553862</v>
      </c>
      <c r="AL37" s="2340">
        <v>86428.342637911366</v>
      </c>
      <c r="AM37" s="2340">
        <v>86697.778124053162</v>
      </c>
      <c r="AN37" s="2340">
        <v>87140.961923464041</v>
      </c>
      <c r="AO37" s="2340">
        <v>87065.822329531031</v>
      </c>
      <c r="AP37" s="2340">
        <v>87190.34355600219</v>
      </c>
      <c r="AQ37" s="2340">
        <v>87260.220327085408</v>
      </c>
      <c r="AR37" s="2340">
        <v>87359.73158773937</v>
      </c>
      <c r="AS37" s="2340">
        <v>86775.539224849665</v>
      </c>
      <c r="AT37" s="2340">
        <v>85980.688119666826</v>
      </c>
      <c r="AU37" s="2340">
        <v>84559.449604358786</v>
      </c>
      <c r="AV37" s="2340">
        <v>85090.511568513728</v>
      </c>
      <c r="AW37" s="2340">
        <v>85554.508612421458</v>
      </c>
      <c r="AX37" s="2340">
        <v>87887.652766963147</v>
      </c>
      <c r="AY37" s="2340">
        <v>89853.504468348357</v>
      </c>
      <c r="AZ37" s="2340">
        <v>89844.588178798149</v>
      </c>
      <c r="BA37" s="2340">
        <v>89880.023592729674</v>
      </c>
      <c r="BB37" s="2340">
        <v>90672.560759225831</v>
      </c>
      <c r="BC37" s="2340">
        <v>90919.32792546018</v>
      </c>
      <c r="BD37" s="2340">
        <v>91393.109290576991</v>
      </c>
      <c r="BE37" s="2340">
        <v>91450.187694764623</v>
      </c>
      <c r="BF37" s="2340">
        <v>91832.791828148227</v>
      </c>
      <c r="BG37" s="2340">
        <v>91884.507190402277</v>
      </c>
      <c r="BH37" s="2340">
        <v>92274.213087529526</v>
      </c>
      <c r="BI37" s="2340">
        <v>92538.299255082922</v>
      </c>
      <c r="BJ37" s="2340">
        <v>92671.832819994175</v>
      </c>
      <c r="BK37" s="2340">
        <v>93083.926291057505</v>
      </c>
      <c r="BL37" s="2340">
        <v>93446.631288423916</v>
      </c>
      <c r="BM37" s="2340">
        <v>93810.251860039163</v>
      </c>
      <c r="BN37" s="2340">
        <v>94147.379559787543</v>
      </c>
      <c r="BO37" s="2340">
        <v>94465.362914210811</v>
      </c>
      <c r="BP37" s="2340">
        <v>94606.909908198882</v>
      </c>
      <c r="BQ37" s="2340">
        <v>94775.996612763105</v>
      </c>
      <c r="BR37" s="2340">
        <v>94903.71352884607</v>
      </c>
      <c r="BS37" s="2340">
        <v>94911.767216187422</v>
      </c>
      <c r="BT37" s="2340">
        <v>95046.24444218626</v>
      </c>
      <c r="BU37" s="2340">
        <v>95165.757274542178</v>
      </c>
      <c r="BV37" s="2340">
        <v>95279.88163247169</v>
      </c>
      <c r="BW37" s="2340">
        <v>95386.762587100558</v>
      </c>
      <c r="BX37" s="2340">
        <v>95560.234310298853</v>
      </c>
      <c r="BY37" s="2340">
        <v>95767.255938266389</v>
      </c>
      <c r="BZ37" s="2340">
        <v>96105.509858931837</v>
      </c>
      <c r="CA37" s="2340">
        <v>96307.402571182422</v>
      </c>
      <c r="CB37" s="2340">
        <v>96401.334578507332</v>
      </c>
      <c r="CC37" s="2340">
        <v>96615.623663776103</v>
      </c>
      <c r="CD37" s="2340">
        <v>96765.465205738656</v>
      </c>
      <c r="CE37" s="2340">
        <v>96872.575390002065</v>
      </c>
      <c r="CF37" s="2340">
        <v>97083.753422483554</v>
      </c>
      <c r="CG37" s="2340">
        <v>97208.318419830903</v>
      </c>
      <c r="CH37" s="2340">
        <v>97328.988229865558</v>
      </c>
      <c r="CI37" s="2340">
        <v>97509.700885360056</v>
      </c>
      <c r="CJ37" s="2340">
        <v>97553.766479427402</v>
      </c>
      <c r="CK37" s="2340">
        <v>97625.06747976238</v>
      </c>
      <c r="CL37" s="2340">
        <v>97790.566010459588</v>
      </c>
      <c r="CM37" s="2340">
        <v>97845.173655653605</v>
      </c>
      <c r="CN37" s="2340">
        <v>97930.932717634554</v>
      </c>
      <c r="CO37" s="2340">
        <v>98059.12941784627</v>
      </c>
      <c r="CP37" s="2340">
        <v>98137.558309923726</v>
      </c>
      <c r="CQ37" s="2340">
        <v>98225.303613386131</v>
      </c>
      <c r="CR37" s="2340">
        <v>98240.413142061589</v>
      </c>
      <c r="CS37" s="2340">
        <v>98333.91590074847</v>
      </c>
      <c r="CT37" s="2340">
        <v>98373.086623128343</v>
      </c>
      <c r="CU37" s="2340">
        <v>98432.645923978329</v>
      </c>
      <c r="CV37" s="2340">
        <v>98470.55328842302</v>
      </c>
      <c r="CW37" s="2340">
        <v>98483.413163718695</v>
      </c>
      <c r="CX37" s="2340">
        <v>98554.748460269024</v>
      </c>
      <c r="CY37" s="2340">
        <v>98558.497581253338</v>
      </c>
      <c r="CZ37" s="2340">
        <v>98602.137874262364</v>
      </c>
      <c r="DA37" s="2340">
        <v>98611.544236471382</v>
      </c>
      <c r="DB37" s="2340">
        <v>98686.514900629991</v>
      </c>
      <c r="DC37" s="2340">
        <v>98704.595334273065</v>
      </c>
      <c r="DD37" s="2340">
        <v>98735.08142037192</v>
      </c>
      <c r="DE37" s="2340">
        <v>98757.180282085945</v>
      </c>
      <c r="DF37" s="2340">
        <v>98809.498528256197</v>
      </c>
      <c r="DG37" s="2340">
        <v>98840.330902508809</v>
      </c>
      <c r="DH37" s="2340">
        <v>98860.989526616948</v>
      </c>
      <c r="DI37" s="2340">
        <v>98880.928429200285</v>
      </c>
      <c r="DJ37" s="2340">
        <v>98938.275910189463</v>
      </c>
      <c r="DK37" s="2340">
        <v>98958.466247756485</v>
      </c>
      <c r="DL37" s="2340">
        <v>98963.569498284633</v>
      </c>
      <c r="DM37" s="2340">
        <v>98993.536948248278</v>
      </c>
      <c r="DN37" s="2340">
        <v>98995.281187594635</v>
      </c>
      <c r="DO37" s="2340">
        <v>99033.604681030702</v>
      </c>
      <c r="DP37" s="2340">
        <v>99060.147271351059</v>
      </c>
      <c r="DQ37" s="2340">
        <v>99074.793413518477</v>
      </c>
      <c r="DR37" s="2340">
        <v>99119.37589670514</v>
      </c>
      <c r="DS37" s="2340">
        <v>99125.842433202721</v>
      </c>
      <c r="DT37" s="2340">
        <v>99157.219848744469</v>
      </c>
      <c r="DU37" s="2340">
        <v>99187.386995288296</v>
      </c>
    </row>
    <row r="38" spans="1:125" ht="12.75">
      <c r="A38" s="131">
        <v>36</v>
      </c>
      <c r="B38" s="132"/>
      <c r="C38" s="132"/>
      <c r="D38" s="132"/>
      <c r="E38" s="132"/>
      <c r="F38" s="132"/>
      <c r="G38" s="132"/>
      <c r="H38" s="132"/>
      <c r="I38" s="132"/>
      <c r="J38" s="132"/>
      <c r="K38" s="132"/>
      <c r="L38" s="132"/>
      <c r="M38" s="132"/>
      <c r="N38" s="132"/>
      <c r="O38" s="132"/>
      <c r="P38" s="132"/>
      <c r="Q38" s="132"/>
      <c r="R38" s="132"/>
      <c r="S38" s="132"/>
      <c r="T38" s="132"/>
      <c r="U38" s="132"/>
      <c r="V38" s="132"/>
      <c r="W38" s="132">
        <v>76129</v>
      </c>
      <c r="X38" s="132">
        <v>76920</v>
      </c>
      <c r="Y38" s="132">
        <v>77079.275657171893</v>
      </c>
      <c r="Z38" s="132">
        <v>79354.66695743383</v>
      </c>
      <c r="AA38" s="2340">
        <v>79733.818885438974</v>
      </c>
      <c r="AB38" s="2340">
        <v>80419.345683899053</v>
      </c>
      <c r="AC38" s="2340">
        <v>81264.767564439389</v>
      </c>
      <c r="AD38" s="2340">
        <v>82332.491748422399</v>
      </c>
      <c r="AE38" s="2340">
        <v>82328.584014887529</v>
      </c>
      <c r="AF38" s="2340">
        <v>83691.096175239159</v>
      </c>
      <c r="AG38" s="2340">
        <v>84118.898766867642</v>
      </c>
      <c r="AH38" s="2340">
        <v>84542.660290307584</v>
      </c>
      <c r="AI38" s="2340">
        <v>84790.201093579584</v>
      </c>
      <c r="AJ38" s="2340">
        <v>86090.543759855034</v>
      </c>
      <c r="AK38" s="2340">
        <v>85953.260724853724</v>
      </c>
      <c r="AL38" s="2340">
        <v>86254.798429253002</v>
      </c>
      <c r="AM38" s="2340">
        <v>86520.687574169729</v>
      </c>
      <c r="AN38" s="2340">
        <v>86979.288570168312</v>
      </c>
      <c r="AO38" s="2340">
        <v>86896.390715380461</v>
      </c>
      <c r="AP38" s="2340">
        <v>87024.084529946864</v>
      </c>
      <c r="AQ38" s="2340">
        <v>87096.412735753722</v>
      </c>
      <c r="AR38" s="2340">
        <v>87190.586078977271</v>
      </c>
      <c r="AS38" s="2340">
        <v>86607.193833442987</v>
      </c>
      <c r="AT38" s="2340">
        <v>85829.606873247787</v>
      </c>
      <c r="AU38" s="2340">
        <v>84414.897551123518</v>
      </c>
      <c r="AV38" s="2340">
        <v>84936.664011474262</v>
      </c>
      <c r="AW38" s="2340">
        <v>85416.925360418594</v>
      </c>
      <c r="AX38" s="2340">
        <v>87748.370721245999</v>
      </c>
      <c r="AY38" s="2340">
        <v>89719.663154001304</v>
      </c>
      <c r="AZ38" s="2340">
        <v>89705.810110174047</v>
      </c>
      <c r="BA38" s="2340">
        <v>89733.613471382167</v>
      </c>
      <c r="BB38" s="2340">
        <v>90522.269051803421</v>
      </c>
      <c r="BC38" s="2340">
        <v>90774.930145500737</v>
      </c>
      <c r="BD38" s="2340">
        <v>91235.021897676896</v>
      </c>
      <c r="BE38" s="2340">
        <v>91286.017807440701</v>
      </c>
      <c r="BF38" s="2340">
        <v>91663.102504672148</v>
      </c>
      <c r="BG38" s="2340">
        <v>91725.534431340464</v>
      </c>
      <c r="BH38" s="2340">
        <v>92117.293947351951</v>
      </c>
      <c r="BI38" s="2340">
        <v>92387.736444099413</v>
      </c>
      <c r="BJ38" s="2340">
        <v>92533.087786448581</v>
      </c>
      <c r="BK38" s="2340">
        <v>92941.087866162721</v>
      </c>
      <c r="BL38" s="2340">
        <v>93320.022724982045</v>
      </c>
      <c r="BM38" s="2340">
        <v>93701.934677425364</v>
      </c>
      <c r="BN38" s="2340">
        <v>94042.002756664413</v>
      </c>
      <c r="BO38" s="2340">
        <v>94358.296023608069</v>
      </c>
      <c r="BP38" s="2340">
        <v>94504.935953680208</v>
      </c>
      <c r="BQ38" s="2340">
        <v>94672.295934144844</v>
      </c>
      <c r="BR38" s="2340">
        <v>94806.880640083371</v>
      </c>
      <c r="BS38" s="2340">
        <v>94818.032721460666</v>
      </c>
      <c r="BT38" s="2340">
        <v>94962.573622505923</v>
      </c>
      <c r="BU38" s="2340">
        <v>95080.001035489855</v>
      </c>
      <c r="BV38" s="2340">
        <v>95200.979075425406</v>
      </c>
      <c r="BW38" s="2340">
        <v>95298.161491109466</v>
      </c>
      <c r="BX38" s="2340">
        <v>95477.187980252434</v>
      </c>
      <c r="BY38" s="2340">
        <v>95690.902635542428</v>
      </c>
      <c r="BZ38" s="2340">
        <v>96031.271385316941</v>
      </c>
      <c r="CA38" s="2340">
        <v>96224.131770916531</v>
      </c>
      <c r="CB38" s="2340">
        <v>96322.299050251226</v>
      </c>
      <c r="CC38" s="2340">
        <v>96528.48972964671</v>
      </c>
      <c r="CD38" s="2340">
        <v>96680.060568904271</v>
      </c>
      <c r="CE38" s="2340">
        <v>96792.374315998662</v>
      </c>
      <c r="CF38" s="2340">
        <v>97007.027862136398</v>
      </c>
      <c r="CG38" s="2340">
        <v>97141.048277283291</v>
      </c>
      <c r="CH38" s="2340">
        <v>97253.434195772687</v>
      </c>
      <c r="CI38" s="2340">
        <v>97436.775737373304</v>
      </c>
      <c r="CJ38" s="2340">
        <v>97467.837972033638</v>
      </c>
      <c r="CK38" s="2340">
        <v>97544.579760119464</v>
      </c>
      <c r="CL38" s="2340">
        <v>97711.8802780845</v>
      </c>
      <c r="CM38" s="2340">
        <v>97768.336868792743</v>
      </c>
      <c r="CN38" s="2340">
        <v>97855.877578691492</v>
      </c>
      <c r="CO38" s="2340">
        <v>97985.78292859983</v>
      </c>
      <c r="CP38" s="2340">
        <v>98065.918025458595</v>
      </c>
      <c r="CQ38" s="2340">
        <v>98155.323250768124</v>
      </c>
      <c r="CR38" s="2340">
        <v>98172.104800042696</v>
      </c>
      <c r="CS38" s="2340">
        <v>98267.186434097748</v>
      </c>
      <c r="CT38" s="2340">
        <v>98307.935580049612</v>
      </c>
      <c r="CU38" s="2340">
        <v>98369.022800010309</v>
      </c>
      <c r="CV38" s="2340">
        <v>98408.435932138033</v>
      </c>
      <c r="CW38" s="2340">
        <v>98422.781367728807</v>
      </c>
      <c r="CX38" s="2340">
        <v>98495.519293490361</v>
      </c>
      <c r="CY38" s="2340">
        <v>98500.678275597966</v>
      </c>
      <c r="CZ38" s="2340">
        <v>98545.672025971624</v>
      </c>
      <c r="DA38" s="2340">
        <v>98556.41931121696</v>
      </c>
      <c r="DB38" s="2340">
        <v>98632.663277953587</v>
      </c>
      <c r="DC38" s="2340">
        <v>98652.017937129218</v>
      </c>
      <c r="DD38" s="2340">
        <v>98683.741649403353</v>
      </c>
      <c r="DE38" s="2340">
        <v>98707.053266603121</v>
      </c>
      <c r="DF38" s="2340">
        <v>98760.540649800983</v>
      </c>
      <c r="DG38" s="2340">
        <v>98792.525298092281</v>
      </c>
      <c r="DH38" s="2340">
        <v>98814.313884200645</v>
      </c>
      <c r="DI38" s="2340">
        <v>98835.356374017094</v>
      </c>
      <c r="DJ38" s="2340">
        <v>98893.764521344172</v>
      </c>
      <c r="DK38" s="2340">
        <v>98915.007171497477</v>
      </c>
      <c r="DL38" s="2340">
        <v>98921.144325967383</v>
      </c>
      <c r="DM38" s="2340">
        <v>98952.110678077108</v>
      </c>
      <c r="DN38" s="2340">
        <v>98954.841833210361</v>
      </c>
      <c r="DO38" s="2340">
        <v>98994.114144422754</v>
      </c>
      <c r="DP38" s="2340">
        <v>99021.587882179694</v>
      </c>
      <c r="DQ38" s="2340">
        <v>99037.14773928003</v>
      </c>
      <c r="DR38" s="2340">
        <v>99082.611182744949</v>
      </c>
      <c r="DS38" s="2340">
        <v>99089.951871775615</v>
      </c>
      <c r="DT38" s="2340">
        <v>99122.173850855557</v>
      </c>
      <c r="DU38" s="2340">
        <v>99153.166107962592</v>
      </c>
    </row>
    <row r="39" spans="1:125" ht="12.75">
      <c r="A39" s="131">
        <v>37</v>
      </c>
      <c r="B39" s="132"/>
      <c r="C39" s="132"/>
      <c r="D39" s="132"/>
      <c r="E39" s="132"/>
      <c r="F39" s="132"/>
      <c r="G39" s="132"/>
      <c r="H39" s="132"/>
      <c r="I39" s="132"/>
      <c r="J39" s="132"/>
      <c r="K39" s="132"/>
      <c r="L39" s="132"/>
      <c r="M39" s="132"/>
      <c r="N39" s="132"/>
      <c r="O39" s="132"/>
      <c r="P39" s="132"/>
      <c r="Q39" s="132"/>
      <c r="R39" s="132"/>
      <c r="S39" s="132"/>
      <c r="T39" s="132"/>
      <c r="U39" s="132"/>
      <c r="V39" s="132"/>
      <c r="W39" s="132">
        <v>75954</v>
      </c>
      <c r="X39" s="132">
        <v>76751</v>
      </c>
      <c r="Y39" s="132">
        <v>76898.359136558836</v>
      </c>
      <c r="Z39" s="132">
        <v>79180.188992374329</v>
      </c>
      <c r="AA39" s="2340">
        <v>79553.716325132991</v>
      </c>
      <c r="AB39" s="2340">
        <v>80248.938627111202</v>
      </c>
      <c r="AC39" s="2340">
        <v>81092.946601184754</v>
      </c>
      <c r="AD39" s="2340">
        <v>82155.831181487607</v>
      </c>
      <c r="AE39" s="2340">
        <v>82156.286313179051</v>
      </c>
      <c r="AF39" s="2340">
        <v>83502.16930816049</v>
      </c>
      <c r="AG39" s="2340">
        <v>83928.284927265428</v>
      </c>
      <c r="AH39" s="2340">
        <v>84358.508106437541</v>
      </c>
      <c r="AI39" s="2340">
        <v>84609.519678384429</v>
      </c>
      <c r="AJ39" s="2340">
        <v>85909.827237631456</v>
      </c>
      <c r="AK39" s="2340">
        <v>85772.102040070706</v>
      </c>
      <c r="AL39" s="2340">
        <v>86058.173306939862</v>
      </c>
      <c r="AM39" s="2340">
        <v>86340.951119049321</v>
      </c>
      <c r="AN39" s="2340">
        <v>86789.911606428301</v>
      </c>
      <c r="AO39" s="2340">
        <v>86698.668432842169</v>
      </c>
      <c r="AP39" s="2340">
        <v>86842.056094144122</v>
      </c>
      <c r="AQ39" s="2340">
        <v>86911.551021588792</v>
      </c>
      <c r="AR39" s="2340">
        <v>87015.514155164608</v>
      </c>
      <c r="AS39" s="2340">
        <v>86437.290100427577</v>
      </c>
      <c r="AT39" s="2340">
        <v>85670.236530628841</v>
      </c>
      <c r="AU39" s="2340">
        <v>84256.279691702453</v>
      </c>
      <c r="AV39" s="2340">
        <v>84786.878900472613</v>
      </c>
      <c r="AW39" s="2340">
        <v>85265.195246366216</v>
      </c>
      <c r="AX39" s="2340">
        <v>87609.426716686852</v>
      </c>
      <c r="AY39" s="2340">
        <v>89569.67838758463</v>
      </c>
      <c r="AZ39" s="2340">
        <v>89555.897748478004</v>
      </c>
      <c r="BA39" s="2340">
        <v>89582.29165445012</v>
      </c>
      <c r="BB39" s="2340">
        <v>90359.865407049248</v>
      </c>
      <c r="BC39" s="2340">
        <v>90609.622450953131</v>
      </c>
      <c r="BD39" s="2340">
        <v>91067.83913636778</v>
      </c>
      <c r="BE39" s="2340">
        <v>91107.493330301222</v>
      </c>
      <c r="BF39" s="2340">
        <v>91503.110725652135</v>
      </c>
      <c r="BG39" s="2340">
        <v>91549.26301625825</v>
      </c>
      <c r="BH39" s="2340">
        <v>91947.886274994773</v>
      </c>
      <c r="BI39" s="2340">
        <v>92225.747101737026</v>
      </c>
      <c r="BJ39" s="2340">
        <v>92392.070995732487</v>
      </c>
      <c r="BK39" s="2340">
        <v>92803.687020686149</v>
      </c>
      <c r="BL39" s="2340">
        <v>93188.175441237297</v>
      </c>
      <c r="BM39" s="2340">
        <v>93574.867539492261</v>
      </c>
      <c r="BN39" s="2340">
        <v>93927.974085855385</v>
      </c>
      <c r="BO39" s="2340">
        <v>94246.638366623243</v>
      </c>
      <c r="BP39" s="2340">
        <v>94394.245131037867</v>
      </c>
      <c r="BQ39" s="2340">
        <v>94568.767398426557</v>
      </c>
      <c r="BR39" s="2340">
        <v>94705.714895722151</v>
      </c>
      <c r="BS39" s="2340">
        <v>94727.327547967943</v>
      </c>
      <c r="BT39" s="2340">
        <v>94874.147029631233</v>
      </c>
      <c r="BU39" s="2340">
        <v>94991.712025480258</v>
      </c>
      <c r="BV39" s="2340">
        <v>95116.185713182014</v>
      </c>
      <c r="BW39" s="2340">
        <v>95209.733643231506</v>
      </c>
      <c r="BX39" s="2340">
        <v>95392.516887791367</v>
      </c>
      <c r="BY39" s="2340">
        <v>95609.67173665564</v>
      </c>
      <c r="BZ39" s="2340">
        <v>95945.361108631041</v>
      </c>
      <c r="CA39" s="2340">
        <v>96143.541330456734</v>
      </c>
      <c r="CB39" s="2340">
        <v>96232.400127986795</v>
      </c>
      <c r="CC39" s="2340">
        <v>96445.382566871718</v>
      </c>
      <c r="CD39" s="2340">
        <v>96592.132940713418</v>
      </c>
      <c r="CE39" s="2340">
        <v>96712.385313288847</v>
      </c>
      <c r="CF39" s="2340">
        <v>96920.845206020356</v>
      </c>
      <c r="CG39" s="2340">
        <v>97051.94364823807</v>
      </c>
      <c r="CH39" s="2340">
        <v>97170.381386579378</v>
      </c>
      <c r="CI39" s="2340">
        <v>97340.547061589314</v>
      </c>
      <c r="CJ39" s="2340">
        <v>97378.945313595133</v>
      </c>
      <c r="CK39" s="2340">
        <v>97457.718433465416</v>
      </c>
      <c r="CL39" s="2340">
        <v>97626.925180916747</v>
      </c>
      <c r="CM39" s="2340">
        <v>97685.340507565095</v>
      </c>
      <c r="CN39" s="2340">
        <v>97774.769055278637</v>
      </c>
      <c r="CO39" s="2340">
        <v>97906.485080799408</v>
      </c>
      <c r="CP39" s="2340">
        <v>97988.429894462228</v>
      </c>
      <c r="CQ39" s="2340">
        <v>98079.59643430385</v>
      </c>
      <c r="CR39" s="2340">
        <v>98098.154030349455</v>
      </c>
      <c r="CS39" s="2340">
        <v>98194.912470581403</v>
      </c>
      <c r="CT39" s="2340">
        <v>98237.339484688622</v>
      </c>
      <c r="CU39" s="2340">
        <v>98300.051372253147</v>
      </c>
      <c r="CV39" s="2340">
        <v>98341.066646414271</v>
      </c>
      <c r="CW39" s="2340">
        <v>98356.98229775652</v>
      </c>
      <c r="CX39" s="2340">
        <v>98431.215720692955</v>
      </c>
      <c r="CY39" s="2340">
        <v>98437.879329071104</v>
      </c>
      <c r="CZ39" s="2340">
        <v>98484.317698395593</v>
      </c>
      <c r="DA39" s="2340">
        <v>98496.497205040097</v>
      </c>
      <c r="DB39" s="2340">
        <v>98574.101072858437</v>
      </c>
      <c r="DC39" s="2340">
        <v>98594.81779047093</v>
      </c>
      <c r="DD39" s="2340">
        <v>98627.864880530193</v>
      </c>
      <c r="DE39" s="2340">
        <v>98652.473915005859</v>
      </c>
      <c r="DF39" s="2340">
        <v>98707.212299184655</v>
      </c>
      <c r="DG39" s="2340">
        <v>98740.430628520233</v>
      </c>
      <c r="DH39" s="2340">
        <v>98763.429611869287</v>
      </c>
      <c r="DI39" s="2340">
        <v>98785.654753475275</v>
      </c>
      <c r="DJ39" s="2340">
        <v>98845.199718063144</v>
      </c>
      <c r="DK39" s="2340">
        <v>98867.571023051569</v>
      </c>
      <c r="DL39" s="2340">
        <v>98874.817678540508</v>
      </c>
      <c r="DM39" s="2340">
        <v>98906.856226019387</v>
      </c>
      <c r="DN39" s="2340">
        <v>98910.647375885208</v>
      </c>
      <c r="DO39" s="2340">
        <v>98950.938916577623</v>
      </c>
      <c r="DP39" s="2340">
        <v>98979.413409745539</v>
      </c>
      <c r="DQ39" s="2340">
        <v>98995.955784264865</v>
      </c>
      <c r="DR39" s="2340">
        <v>99042.366710962859</v>
      </c>
      <c r="DS39" s="2340">
        <v>99050.648219065682</v>
      </c>
      <c r="DT39" s="2340">
        <v>99083.779385698654</v>
      </c>
      <c r="DU39" s="2340">
        <v>99115.660267794723</v>
      </c>
    </row>
    <row r="40" spans="1:125" ht="12.75">
      <c r="A40" s="131">
        <v>38</v>
      </c>
      <c r="B40" s="132"/>
      <c r="C40" s="132"/>
      <c r="D40" s="132"/>
      <c r="E40" s="132"/>
      <c r="F40" s="132"/>
      <c r="G40" s="132"/>
      <c r="H40" s="132"/>
      <c r="I40" s="132"/>
      <c r="J40" s="132"/>
      <c r="K40" s="132"/>
      <c r="L40" s="132"/>
      <c r="M40" s="132"/>
      <c r="N40" s="132"/>
      <c r="O40" s="132"/>
      <c r="P40" s="132"/>
      <c r="Q40" s="132"/>
      <c r="R40" s="132"/>
      <c r="S40" s="132"/>
      <c r="T40" s="132"/>
      <c r="U40" s="132"/>
      <c r="V40" s="132"/>
      <c r="W40" s="132">
        <v>75768</v>
      </c>
      <c r="X40" s="132">
        <v>76570</v>
      </c>
      <c r="Y40" s="132">
        <v>76721.09240625563</v>
      </c>
      <c r="Z40" s="132">
        <v>79002.910412457975</v>
      </c>
      <c r="AA40" s="2340">
        <v>79361.010682246371</v>
      </c>
      <c r="AB40" s="2340">
        <v>80055.420264333152</v>
      </c>
      <c r="AC40" s="2340">
        <v>80904.369627726323</v>
      </c>
      <c r="AD40" s="2340">
        <v>81955.119817025421</v>
      </c>
      <c r="AE40" s="2340">
        <v>81959.970365360699</v>
      </c>
      <c r="AF40" s="2340">
        <v>83305.014114703197</v>
      </c>
      <c r="AG40" s="2340">
        <v>83730.750366126711</v>
      </c>
      <c r="AH40" s="2340">
        <v>84150.75281997236</v>
      </c>
      <c r="AI40" s="2340">
        <v>84398.369125115962</v>
      </c>
      <c r="AJ40" s="2340">
        <v>85689.791895868126</v>
      </c>
      <c r="AK40" s="2340">
        <v>85566.714698703916</v>
      </c>
      <c r="AL40" s="2340">
        <v>85861.700906430109</v>
      </c>
      <c r="AM40" s="2340">
        <v>86139.615713209932</v>
      </c>
      <c r="AN40" s="2340">
        <v>86595.904070767618</v>
      </c>
      <c r="AO40" s="2340">
        <v>86497.390101708472</v>
      </c>
      <c r="AP40" s="2340">
        <v>86636.686466761952</v>
      </c>
      <c r="AQ40" s="2340">
        <v>86708.670176091022</v>
      </c>
      <c r="AR40" s="2340">
        <v>86829.702940321673</v>
      </c>
      <c r="AS40" s="2340">
        <v>86256.877362147352</v>
      </c>
      <c r="AT40" s="2340">
        <v>85485.956199583423</v>
      </c>
      <c r="AU40" s="2340">
        <v>84084.916796156467</v>
      </c>
      <c r="AV40" s="2340">
        <v>84615.355042293246</v>
      </c>
      <c r="AW40" s="2340">
        <v>85110.770425066235</v>
      </c>
      <c r="AX40" s="2340">
        <v>87454.032133973116</v>
      </c>
      <c r="AY40" s="2340">
        <v>89409.44469856935</v>
      </c>
      <c r="AZ40" s="2340">
        <v>89389.87125461438</v>
      </c>
      <c r="BA40" s="2340">
        <v>89419.253580673088</v>
      </c>
      <c r="BB40" s="2340">
        <v>90182.201887126517</v>
      </c>
      <c r="BC40" s="2340">
        <v>90411.07402053976</v>
      </c>
      <c r="BD40" s="2340">
        <v>90878.188090295022</v>
      </c>
      <c r="BE40" s="2340">
        <v>90925.829323343321</v>
      </c>
      <c r="BF40" s="2340">
        <v>91322.761976685855</v>
      </c>
      <c r="BG40" s="2340">
        <v>91361.938791760709</v>
      </c>
      <c r="BH40" s="2340">
        <v>91781.9361949054</v>
      </c>
      <c r="BI40" s="2340">
        <v>92065.459618046691</v>
      </c>
      <c r="BJ40" s="2340">
        <v>92247.274946838137</v>
      </c>
      <c r="BK40" s="2340">
        <v>92661.258251918611</v>
      </c>
      <c r="BL40" s="2340">
        <v>93055.492124372366</v>
      </c>
      <c r="BM40" s="2340">
        <v>93450.747502818005</v>
      </c>
      <c r="BN40" s="2340">
        <v>93803.785002078977</v>
      </c>
      <c r="BO40" s="2340">
        <v>94131.657494233892</v>
      </c>
      <c r="BP40" s="2340">
        <v>94280.556403140727</v>
      </c>
      <c r="BQ40" s="2340">
        <v>94464.962685978287</v>
      </c>
      <c r="BR40" s="2340">
        <v>94609.575612395784</v>
      </c>
      <c r="BS40" s="2340">
        <v>94628.904833170673</v>
      </c>
      <c r="BT40" s="2340">
        <v>94781.415957845471</v>
      </c>
      <c r="BU40" s="2340">
        <v>94893.714709735068</v>
      </c>
      <c r="BV40" s="2340">
        <v>95030.641955508996</v>
      </c>
      <c r="BW40" s="2340">
        <v>95112.30178959445</v>
      </c>
      <c r="BX40" s="2340">
        <v>95303.692126037509</v>
      </c>
      <c r="BY40" s="2340">
        <v>95523.342557010343</v>
      </c>
      <c r="BZ40" s="2340">
        <v>95863.363735796185</v>
      </c>
      <c r="CA40" s="2340">
        <v>96058.140648721426</v>
      </c>
      <c r="CB40" s="2340">
        <v>96136.633330905141</v>
      </c>
      <c r="CC40" s="2340">
        <v>96346.754928576862</v>
      </c>
      <c r="CD40" s="2340">
        <v>96495.802418337698</v>
      </c>
      <c r="CE40" s="2340">
        <v>96622.844303618258</v>
      </c>
      <c r="CF40" s="2340">
        <v>96824.745575835914</v>
      </c>
      <c r="CG40" s="2340">
        <v>96943.353095848011</v>
      </c>
      <c r="CH40" s="2340">
        <v>97065.129981001315</v>
      </c>
      <c r="CI40" s="2340">
        <v>97242.609705785857</v>
      </c>
      <c r="CJ40" s="2340">
        <v>97283.243934136306</v>
      </c>
      <c r="CK40" s="2340">
        <v>97364.163237906003</v>
      </c>
      <c r="CL40" s="2340">
        <v>97535.383302092232</v>
      </c>
      <c r="CM40" s="2340">
        <v>97595.870361802663</v>
      </c>
      <c r="CN40" s="2340">
        <v>97687.296041750335</v>
      </c>
      <c r="CO40" s="2340">
        <v>97820.927737844162</v>
      </c>
      <c r="CP40" s="2340">
        <v>97904.788903824403</v>
      </c>
      <c r="CQ40" s="2340">
        <v>97997.821241096593</v>
      </c>
      <c r="CR40" s="2340">
        <v>98018.262216134244</v>
      </c>
      <c r="CS40" s="2340">
        <v>98116.798452972071</v>
      </c>
      <c r="CT40" s="2340">
        <v>98161.00599455458</v>
      </c>
      <c r="CU40" s="2340">
        <v>98225.44244219095</v>
      </c>
      <c r="CV40" s="2340">
        <v>98268.148253038089</v>
      </c>
      <c r="CW40" s="2340">
        <v>98285.734329905128</v>
      </c>
      <c r="CX40" s="2340">
        <v>98361.558643939512</v>
      </c>
      <c r="CY40" s="2340">
        <v>98369.824373590425</v>
      </c>
      <c r="CZ40" s="2340">
        <v>98417.801151537482</v>
      </c>
      <c r="DA40" s="2340">
        <v>98431.506909736767</v>
      </c>
      <c r="DB40" s="2340">
        <v>98510.559836775457</v>
      </c>
      <c r="DC40" s="2340">
        <v>98532.729166932797</v>
      </c>
      <c r="DD40" s="2340">
        <v>98567.18807836101</v>
      </c>
      <c r="DE40" s="2340">
        <v>98593.181909157385</v>
      </c>
      <c r="DF40" s="2340">
        <v>98649.255798129059</v>
      </c>
      <c r="DG40" s="2340">
        <v>98683.791912672998</v>
      </c>
      <c r="DH40" s="2340">
        <v>98708.084451098985</v>
      </c>
      <c r="DI40" s="2340">
        <v>98731.574031231998</v>
      </c>
      <c r="DJ40" s="2340">
        <v>98792.334589467398</v>
      </c>
      <c r="DK40" s="2340">
        <v>98815.913606383212</v>
      </c>
      <c r="DL40" s="2340">
        <v>98824.348106233156</v>
      </c>
      <c r="DM40" s="2340">
        <v>98857.534821416135</v>
      </c>
      <c r="DN40" s="2340">
        <v>98862.461784653278</v>
      </c>
      <c r="DO40" s="2340">
        <v>98903.845610875127</v>
      </c>
      <c r="DP40" s="2340">
        <v>98933.39313125785</v>
      </c>
      <c r="DQ40" s="2340">
        <v>98950.98950749365</v>
      </c>
      <c r="DR40" s="2340">
        <v>98998.417043295514</v>
      </c>
      <c r="DS40" s="2340">
        <v>99007.708715681729</v>
      </c>
      <c r="DT40" s="2340">
        <v>99041.816304591674</v>
      </c>
      <c r="DU40" s="2340">
        <v>99074.651927503728</v>
      </c>
    </row>
    <row r="41" spans="1:125" ht="12.75">
      <c r="A41" s="131">
        <v>39</v>
      </c>
      <c r="B41" s="132"/>
      <c r="C41" s="132"/>
      <c r="D41" s="132"/>
      <c r="E41" s="132"/>
      <c r="F41" s="132"/>
      <c r="G41" s="132"/>
      <c r="H41" s="132"/>
      <c r="I41" s="132"/>
      <c r="J41" s="132"/>
      <c r="K41" s="132"/>
      <c r="L41" s="132"/>
      <c r="M41" s="132"/>
      <c r="N41" s="132"/>
      <c r="O41" s="132"/>
      <c r="P41" s="132"/>
      <c r="Q41" s="132"/>
      <c r="R41" s="132"/>
      <c r="S41" s="132"/>
      <c r="T41" s="132"/>
      <c r="U41" s="132"/>
      <c r="V41" s="132"/>
      <c r="W41" s="132">
        <v>75577</v>
      </c>
      <c r="X41" s="132">
        <v>76388</v>
      </c>
      <c r="Y41" s="132">
        <v>76532.149676072877</v>
      </c>
      <c r="Z41" s="132">
        <v>78812.143861603297</v>
      </c>
      <c r="AA41" s="2340">
        <v>79165.228796927477</v>
      </c>
      <c r="AB41" s="2340">
        <v>79863.284348378977</v>
      </c>
      <c r="AC41" s="2340">
        <v>80710.200457890794</v>
      </c>
      <c r="AD41" s="2340">
        <v>81744.548902233524</v>
      </c>
      <c r="AE41" s="2340">
        <v>81755.108841034511</v>
      </c>
      <c r="AF41" s="2340">
        <v>83090.011214808619</v>
      </c>
      <c r="AG41" s="2340">
        <v>83505.694982512199</v>
      </c>
      <c r="AH41" s="2340">
        <v>83924.821630455845</v>
      </c>
      <c r="AI41" s="2340">
        <v>84180.772575578769</v>
      </c>
      <c r="AJ41" s="2340">
        <v>85459.15526724307</v>
      </c>
      <c r="AK41" s="2340">
        <v>85348.828730820256</v>
      </c>
      <c r="AL41" s="2340">
        <v>85640.670228206814</v>
      </c>
      <c r="AM41" s="2340">
        <v>85921.988233765849</v>
      </c>
      <c r="AN41" s="2340">
        <v>86383.782262134919</v>
      </c>
      <c r="AO41" s="2340">
        <v>86285.669869021818</v>
      </c>
      <c r="AP41" s="2340">
        <v>86426.600102904951</v>
      </c>
      <c r="AQ41" s="2340">
        <v>86505.05598488207</v>
      </c>
      <c r="AR41" s="2340">
        <v>86630.673045539384</v>
      </c>
      <c r="AS41" s="2340">
        <v>86055.852852342257</v>
      </c>
      <c r="AT41" s="2340">
        <v>85303.59695160095</v>
      </c>
      <c r="AU41" s="2340">
        <v>83895.147105245065</v>
      </c>
      <c r="AV41" s="2340">
        <v>84434.705273951346</v>
      </c>
      <c r="AW41" s="2340">
        <v>84930.58019246094</v>
      </c>
      <c r="AX41" s="2340">
        <v>87287.081111420935</v>
      </c>
      <c r="AY41" s="2340">
        <v>89239.233068602553</v>
      </c>
      <c r="AZ41" s="2340">
        <v>89210.74857604054</v>
      </c>
      <c r="BA41" s="2340">
        <v>89238.696623874857</v>
      </c>
      <c r="BB41" s="2340">
        <v>89981.720108465641</v>
      </c>
      <c r="BC41" s="2340">
        <v>90200.051717777198</v>
      </c>
      <c r="BD41" s="2340">
        <v>90674.196346202196</v>
      </c>
      <c r="BE41" s="2340">
        <v>90737.046182022706</v>
      </c>
      <c r="BF41" s="2340">
        <v>91139.899038476942</v>
      </c>
      <c r="BG41" s="2340">
        <v>91169.853162180007</v>
      </c>
      <c r="BH41" s="2340">
        <v>91610.029211374509</v>
      </c>
      <c r="BI41" s="2340">
        <v>91905.051579640771</v>
      </c>
      <c r="BJ41" s="2340">
        <v>92105.28560264135</v>
      </c>
      <c r="BK41" s="2340">
        <v>92509.150959895414</v>
      </c>
      <c r="BL41" s="2340">
        <v>92911.015042427462</v>
      </c>
      <c r="BM41" s="2340">
        <v>93315.492054376402</v>
      </c>
      <c r="BN41" s="2340">
        <v>93671.758452254406</v>
      </c>
      <c r="BO41" s="2340">
        <v>94009.161744443933</v>
      </c>
      <c r="BP41" s="2340">
        <v>94158.036886835253</v>
      </c>
      <c r="BQ41" s="2340">
        <v>94355.108907650167</v>
      </c>
      <c r="BR41" s="2340">
        <v>94501.478237865726</v>
      </c>
      <c r="BS41" s="2340">
        <v>94529.956856296354</v>
      </c>
      <c r="BT41" s="2340">
        <v>94678.318686574799</v>
      </c>
      <c r="BU41" s="2340">
        <v>94784.249052327577</v>
      </c>
      <c r="BV41" s="2340">
        <v>94922.430086303691</v>
      </c>
      <c r="BW41" s="2340">
        <v>95015.359102851129</v>
      </c>
      <c r="BX41" s="2340">
        <v>95208.798053086633</v>
      </c>
      <c r="BY41" s="2340">
        <v>95419.073888411978</v>
      </c>
      <c r="BZ41" s="2340">
        <v>95765.901547321235</v>
      </c>
      <c r="CA41" s="2340">
        <v>95958.451714172261</v>
      </c>
      <c r="CB41" s="2340">
        <v>96033.870726814814</v>
      </c>
      <c r="CC41" s="2340">
        <v>96246.158496349293</v>
      </c>
      <c r="CD41" s="2340">
        <v>96399.134747280739</v>
      </c>
      <c r="CE41" s="2340">
        <v>96522.516503423365</v>
      </c>
      <c r="CF41" s="2340">
        <v>96719.331157771914</v>
      </c>
      <c r="CG41" s="2340">
        <v>96833.087693791211</v>
      </c>
      <c r="CH41" s="2340">
        <v>96957.961182365252</v>
      </c>
      <c r="CI41" s="2340">
        <v>97137.696351508028</v>
      </c>
      <c r="CJ41" s="2340">
        <v>97180.683168121584</v>
      </c>
      <c r="CK41" s="2340">
        <v>97263.860822158793</v>
      </c>
      <c r="CL41" s="2340">
        <v>97437.198674480489</v>
      </c>
      <c r="CM41" s="2340">
        <v>97499.868028434605</v>
      </c>
      <c r="CN41" s="2340">
        <v>97593.397795473866</v>
      </c>
      <c r="CO41" s="2340">
        <v>97729.047901078884</v>
      </c>
      <c r="CP41" s="2340">
        <v>97814.929937587571</v>
      </c>
      <c r="CQ41" s="2340">
        <v>97909.930536109969</v>
      </c>
      <c r="CR41" s="2340">
        <v>97932.360355361467</v>
      </c>
      <c r="CS41" s="2340">
        <v>98032.773556362561</v>
      </c>
      <c r="CT41" s="2340">
        <v>98078.862596656167</v>
      </c>
      <c r="CU41" s="2340">
        <v>98145.110366285153</v>
      </c>
      <c r="CV41" s="2340">
        <v>98189.604960717217</v>
      </c>
      <c r="CW41" s="2340">
        <v>98208.959626151525</v>
      </c>
      <c r="CX41" s="2340">
        <v>98286.468247417826</v>
      </c>
      <c r="CY41" s="2340">
        <v>98296.431781770996</v>
      </c>
      <c r="CZ41" s="2340">
        <v>98346.039021687771</v>
      </c>
      <c r="DA41" s="2340">
        <v>98361.363458739143</v>
      </c>
      <c r="DB41" s="2340">
        <v>98441.953044315291</v>
      </c>
      <c r="DC41" s="2340">
        <v>98465.664129166471</v>
      </c>
      <c r="DD41" s="2340">
        <v>98501.621976851457</v>
      </c>
      <c r="DE41" s="2340">
        <v>98529.086752909192</v>
      </c>
      <c r="DF41" s="2340">
        <v>98586.579480302171</v>
      </c>
      <c r="DG41" s="2340">
        <v>98622.516418441141</v>
      </c>
      <c r="DH41" s="2340">
        <v>98648.184695400487</v>
      </c>
      <c r="DI41" s="2340">
        <v>98673.019606163289</v>
      </c>
      <c r="DJ41" s="2340">
        <v>98735.073679956084</v>
      </c>
      <c r="DK41" s="2340">
        <v>98759.938720499034</v>
      </c>
      <c r="DL41" s="2340">
        <v>98769.63874830275</v>
      </c>
      <c r="DM41" s="2340">
        <v>98804.048987767019</v>
      </c>
      <c r="DN41" s="2340">
        <v>98810.187060873359</v>
      </c>
      <c r="DO41" s="2340">
        <v>98852.735733679438</v>
      </c>
      <c r="DP41" s="2340">
        <v>98883.42813068979</v>
      </c>
      <c r="DQ41" s="2340">
        <v>98902.149641131109</v>
      </c>
      <c r="DR41" s="2340">
        <v>98950.662586539169</v>
      </c>
      <c r="DS41" s="2340">
        <v>98961.033535654453</v>
      </c>
      <c r="DT41" s="2340">
        <v>98996.184575967956</v>
      </c>
      <c r="DU41" s="2340">
        <v>99030.040901334563</v>
      </c>
    </row>
    <row r="42" spans="1:125" ht="12.75">
      <c r="A42" s="131">
        <v>40</v>
      </c>
      <c r="B42" s="132"/>
      <c r="C42" s="132"/>
      <c r="D42" s="132"/>
      <c r="E42" s="132"/>
      <c r="F42" s="132"/>
      <c r="G42" s="132"/>
      <c r="H42" s="132"/>
      <c r="I42" s="132"/>
      <c r="J42" s="132"/>
      <c r="K42" s="132"/>
      <c r="L42" s="132"/>
      <c r="M42" s="132"/>
      <c r="N42" s="132"/>
      <c r="O42" s="132"/>
      <c r="P42" s="132"/>
      <c r="Q42" s="132"/>
      <c r="R42" s="132"/>
      <c r="S42" s="132"/>
      <c r="T42" s="132"/>
      <c r="U42" s="132"/>
      <c r="V42" s="132"/>
      <c r="W42" s="132">
        <v>75363</v>
      </c>
      <c r="X42" s="132">
        <v>76177</v>
      </c>
      <c r="Y42" s="132">
        <v>76330.673634279097</v>
      </c>
      <c r="Z42" s="132">
        <v>78596.381609043689</v>
      </c>
      <c r="AA42" s="2340">
        <v>78951.740168803124</v>
      </c>
      <c r="AB42" s="2340">
        <v>79652.71140247646</v>
      </c>
      <c r="AC42" s="2340">
        <v>80480.212468841419</v>
      </c>
      <c r="AD42" s="2340">
        <v>81519.646319108142</v>
      </c>
      <c r="AE42" s="2340">
        <v>81528.830347961426</v>
      </c>
      <c r="AF42" s="2340">
        <v>82852.695269776988</v>
      </c>
      <c r="AG42" s="2340">
        <v>83265.608678169534</v>
      </c>
      <c r="AH42" s="2340">
        <v>83682.069097459564</v>
      </c>
      <c r="AI42" s="2340">
        <v>83943.592121823269</v>
      </c>
      <c r="AJ42" s="2340">
        <v>85223.058614258276</v>
      </c>
      <c r="AK42" s="2340">
        <v>85113.167974146578</v>
      </c>
      <c r="AL42" s="2340">
        <v>85399.746630000038</v>
      </c>
      <c r="AM42" s="2340">
        <v>85691.422456689703</v>
      </c>
      <c r="AN42" s="2340">
        <v>86150.835852961158</v>
      </c>
      <c r="AO42" s="2340">
        <v>86059.692873938693</v>
      </c>
      <c r="AP42" s="2340">
        <v>86198.313374160833</v>
      </c>
      <c r="AQ42" s="2340">
        <v>86276.536726931939</v>
      </c>
      <c r="AR42" s="2340">
        <v>86410.558301927813</v>
      </c>
      <c r="AS42" s="2340">
        <v>85843.509661401913</v>
      </c>
      <c r="AT42" s="2340">
        <v>85102.863006688873</v>
      </c>
      <c r="AU42" s="2340">
        <v>83713.781910997248</v>
      </c>
      <c r="AV42" s="2340">
        <v>84252.952309483037</v>
      </c>
      <c r="AW42" s="2340">
        <v>84746.705886075841</v>
      </c>
      <c r="AX42" s="2340">
        <v>87098.800814168746</v>
      </c>
      <c r="AY42" s="2340">
        <v>89055.196288104882</v>
      </c>
      <c r="AZ42" s="2340">
        <v>89016.478634250598</v>
      </c>
      <c r="BA42" s="2340">
        <v>89034.567794452232</v>
      </c>
      <c r="BB42" s="2340">
        <v>89768.014769887697</v>
      </c>
      <c r="BC42" s="2340">
        <v>89977.977627126253</v>
      </c>
      <c r="BD42" s="2340">
        <v>90458.902488723164</v>
      </c>
      <c r="BE42" s="2340">
        <v>90520.169871900129</v>
      </c>
      <c r="BF42" s="2340">
        <v>90949.864046128263</v>
      </c>
      <c r="BG42" s="2340">
        <v>90984.014611129372</v>
      </c>
      <c r="BH42" s="2340">
        <v>91432.07789853678</v>
      </c>
      <c r="BI42" s="2340">
        <v>91731.276609955094</v>
      </c>
      <c r="BJ42" s="2340">
        <v>91937.601464448002</v>
      </c>
      <c r="BK42" s="2340">
        <v>92350.909140578835</v>
      </c>
      <c r="BL42" s="2340">
        <v>92762.262713978605</v>
      </c>
      <c r="BM42" s="2340">
        <v>93167.83724782402</v>
      </c>
      <c r="BN42" s="2340">
        <v>93528.940756852608</v>
      </c>
      <c r="BO42" s="2340">
        <v>93877.697631265313</v>
      </c>
      <c r="BP42" s="2340">
        <v>94026.958339033677</v>
      </c>
      <c r="BQ42" s="2340">
        <v>94235.192093775186</v>
      </c>
      <c r="BR42" s="2340">
        <v>94391.76757444079</v>
      </c>
      <c r="BS42" s="2340">
        <v>94419.713242012716</v>
      </c>
      <c r="BT42" s="2340">
        <v>94569.074636834353</v>
      </c>
      <c r="BU42" s="2340">
        <v>94668.356983064892</v>
      </c>
      <c r="BV42" s="2340">
        <v>94819.391435166282</v>
      </c>
      <c r="BW42" s="2340">
        <v>94901.836618178189</v>
      </c>
      <c r="BX42" s="2340">
        <v>95106.146615179532</v>
      </c>
      <c r="BY42" s="2340">
        <v>95319.280449542799</v>
      </c>
      <c r="BZ42" s="2340">
        <v>95658.91731496279</v>
      </c>
      <c r="CA42" s="2340">
        <v>95853.276615239069</v>
      </c>
      <c r="CB42" s="2340">
        <v>95924.899278434372</v>
      </c>
      <c r="CC42" s="2340">
        <v>96138.46631180543</v>
      </c>
      <c r="CD42" s="2340">
        <v>96287.216108143271</v>
      </c>
      <c r="CE42" s="2340">
        <v>96410.219345596794</v>
      </c>
      <c r="CF42" s="2340">
        <v>96605.569860773321</v>
      </c>
      <c r="CG42" s="2340">
        <v>96716.501843594218</v>
      </c>
      <c r="CH42" s="2340">
        <v>96843.848210832235</v>
      </c>
      <c r="CI42" s="2340">
        <v>97025.940874632754</v>
      </c>
      <c r="CJ42" s="2340">
        <v>97071.390648004541</v>
      </c>
      <c r="CK42" s="2340">
        <v>97156.932814895641</v>
      </c>
      <c r="CL42" s="2340">
        <v>97332.487209816725</v>
      </c>
      <c r="CM42" s="2340">
        <v>97397.443741535579</v>
      </c>
      <c r="CN42" s="2340">
        <v>97493.179079090682</v>
      </c>
      <c r="CO42" s="2340">
        <v>97630.945069818525</v>
      </c>
      <c r="CP42" s="2340">
        <v>97718.947340252998</v>
      </c>
      <c r="CQ42" s="2340">
        <v>97816.013675151873</v>
      </c>
      <c r="CR42" s="2340">
        <v>97840.532905400236</v>
      </c>
      <c r="CS42" s="2340">
        <v>97942.917559136869</v>
      </c>
      <c r="CT42" s="2340">
        <v>97990.971786422771</v>
      </c>
      <c r="CU42" s="2340">
        <v>98059.124121261149</v>
      </c>
      <c r="CV42" s="2340">
        <v>98105.500680600075</v>
      </c>
      <c r="CW42" s="2340">
        <v>98126.717190372001</v>
      </c>
      <c r="CX42" s="2340">
        <v>98205.998830838318</v>
      </c>
      <c r="CY42" s="2340">
        <v>98217.751275680159</v>
      </c>
      <c r="CZ42" s="2340">
        <v>98269.076633855526</v>
      </c>
      <c r="DA42" s="2340">
        <v>98286.107919896211</v>
      </c>
      <c r="DB42" s="2340">
        <v>98368.317683409419</v>
      </c>
      <c r="DC42" s="2340">
        <v>98393.655709167753</v>
      </c>
      <c r="DD42" s="2340">
        <v>98431.19579917271</v>
      </c>
      <c r="DE42" s="2340">
        <v>98460.213996826744</v>
      </c>
      <c r="DF42" s="2340">
        <v>98519.205365420683</v>
      </c>
      <c r="DG42" s="2340">
        <v>98556.622759682083</v>
      </c>
      <c r="DH42" s="2340">
        <v>98583.745677976491</v>
      </c>
      <c r="DI42" s="2340">
        <v>98610.003654492466</v>
      </c>
      <c r="DJ42" s="2340">
        <v>98673.426132426641</v>
      </c>
      <c r="DK42" s="2340">
        <v>98699.652587100922</v>
      </c>
      <c r="DL42" s="2340">
        <v>98710.693018012185</v>
      </c>
      <c r="DM42" s="2340">
        <v>98746.399440835754</v>
      </c>
      <c r="DN42" s="2340">
        <v>98753.821329501894</v>
      </c>
      <c r="DO42" s="2340">
        <v>98797.604921967795</v>
      </c>
      <c r="DP42" s="2340">
        <v>98829.511657379189</v>
      </c>
      <c r="DQ42" s="2340">
        <v>98849.427145094582</v>
      </c>
      <c r="DR42" s="2340">
        <v>98899.092102551644</v>
      </c>
      <c r="DS42" s="2340">
        <v>98910.609338535869</v>
      </c>
      <c r="DT42" s="2340">
        <v>98946.868842682277</v>
      </c>
      <c r="DU42" s="2340">
        <v>98981.809901420769</v>
      </c>
    </row>
    <row r="43" spans="1:125" ht="12.75">
      <c r="A43" s="131">
        <v>41</v>
      </c>
      <c r="B43" s="132"/>
      <c r="C43" s="132"/>
      <c r="D43" s="132"/>
      <c r="E43" s="132"/>
      <c r="F43" s="132"/>
      <c r="G43" s="132"/>
      <c r="H43" s="132"/>
      <c r="I43" s="132"/>
      <c r="J43" s="132"/>
      <c r="K43" s="132"/>
      <c r="L43" s="132"/>
      <c r="M43" s="132"/>
      <c r="N43" s="132"/>
      <c r="O43" s="132"/>
      <c r="P43" s="132"/>
      <c r="Q43" s="132"/>
      <c r="R43" s="132"/>
      <c r="S43" s="132"/>
      <c r="T43" s="132"/>
      <c r="U43" s="132"/>
      <c r="V43" s="132"/>
      <c r="W43" s="132">
        <v>75149</v>
      </c>
      <c r="X43" s="132">
        <v>75956</v>
      </c>
      <c r="Y43" s="132">
        <v>76109.5477783776</v>
      </c>
      <c r="Z43" s="132">
        <v>78369.157312873009</v>
      </c>
      <c r="AA43" s="2340">
        <v>78725.313559881746</v>
      </c>
      <c r="AB43" s="2340">
        <v>79412.255397832647</v>
      </c>
      <c r="AC43" s="2340">
        <v>80244.333951124092</v>
      </c>
      <c r="AD43" s="2340">
        <v>81282.90427988382</v>
      </c>
      <c r="AE43" s="2340">
        <v>81265.515658397941</v>
      </c>
      <c r="AF43" s="2340">
        <v>82586.855539346361</v>
      </c>
      <c r="AG43" s="2340">
        <v>83000.177863618155</v>
      </c>
      <c r="AH43" s="2340">
        <v>83429.038754033492</v>
      </c>
      <c r="AI43" s="2340">
        <v>83692.935869683308</v>
      </c>
      <c r="AJ43" s="2340">
        <v>84969.088529363697</v>
      </c>
      <c r="AK43" s="2340">
        <v>84849.116436658194</v>
      </c>
      <c r="AL43" s="2340">
        <v>85140.573501711013</v>
      </c>
      <c r="AM43" s="2340">
        <v>85443.702213321914</v>
      </c>
      <c r="AN43" s="2340">
        <v>85894.825063332464</v>
      </c>
      <c r="AO43" s="2340">
        <v>85801.499096633139</v>
      </c>
      <c r="AP43" s="2340">
        <v>85958.229686819017</v>
      </c>
      <c r="AQ43" s="2340">
        <v>86035.28951745409</v>
      </c>
      <c r="AR43" s="2340">
        <v>86177.233314400335</v>
      </c>
      <c r="AS43" s="2340">
        <v>85624.007688828584</v>
      </c>
      <c r="AT43" s="2340">
        <v>84888.970425005726</v>
      </c>
      <c r="AU43" s="2340">
        <v>83517.571304713143</v>
      </c>
      <c r="AV43" s="2340">
        <v>84056.928928318259</v>
      </c>
      <c r="AW43" s="2340">
        <v>84561.175591057545</v>
      </c>
      <c r="AX43" s="2340">
        <v>86900.099519079973</v>
      </c>
      <c r="AY43" s="2340">
        <v>88841.65956967682</v>
      </c>
      <c r="AZ43" s="2340">
        <v>88784.341796406996</v>
      </c>
      <c r="BA43" s="2340">
        <v>88799.606207503675</v>
      </c>
      <c r="BB43" s="2340">
        <v>89541.688347241768</v>
      </c>
      <c r="BC43" s="2340">
        <v>89747.788461954464</v>
      </c>
      <c r="BD43" s="2340">
        <v>90228.492718196358</v>
      </c>
      <c r="BE43" s="2340">
        <v>90311.498569663294</v>
      </c>
      <c r="BF43" s="2340">
        <v>90753.647284307328</v>
      </c>
      <c r="BG43" s="2340">
        <v>90782.990579335456</v>
      </c>
      <c r="BH43" s="2340">
        <v>91242.840445292401</v>
      </c>
      <c r="BI43" s="2340">
        <v>91546.493735892698</v>
      </c>
      <c r="BJ43" s="2340">
        <v>91759.836077545755</v>
      </c>
      <c r="BK43" s="2340">
        <v>92172.892576385872</v>
      </c>
      <c r="BL43" s="2340">
        <v>92604.186380421044</v>
      </c>
      <c r="BM43" s="2340">
        <v>93016.295326704174</v>
      </c>
      <c r="BN43" s="2340">
        <v>93381.037976042076</v>
      </c>
      <c r="BO43" s="2340">
        <v>93730.625571526209</v>
      </c>
      <c r="BP43" s="2340">
        <v>93891.367048532993</v>
      </c>
      <c r="BQ43" s="2340">
        <v>94106.45282369465</v>
      </c>
      <c r="BR43" s="2340">
        <v>94263.617372489927</v>
      </c>
      <c r="BS43" s="2340">
        <v>94295.608698777578</v>
      </c>
      <c r="BT43" s="2340">
        <v>94449.41704034229</v>
      </c>
      <c r="BU43" s="2340">
        <v>94543.402511198685</v>
      </c>
      <c r="BV43" s="2340">
        <v>94706.99502880963</v>
      </c>
      <c r="BW43" s="2340">
        <v>94792.050743964792</v>
      </c>
      <c r="BX43" s="2340">
        <v>94988.325150352102</v>
      </c>
      <c r="BY43" s="2340">
        <v>95197.271965132415</v>
      </c>
      <c r="BZ43" s="2340">
        <v>95535.832561955409</v>
      </c>
      <c r="CA43" s="2340">
        <v>95738.159585300062</v>
      </c>
      <c r="CB43" s="2340">
        <v>95803.648355094541</v>
      </c>
      <c r="CC43" s="2340">
        <v>96028.184862264752</v>
      </c>
      <c r="CD43" s="2340">
        <v>96164.461328376288</v>
      </c>
      <c r="CE43" s="2340">
        <v>96283.552387640579</v>
      </c>
      <c r="CF43" s="2340">
        <v>96479.273217027308</v>
      </c>
      <c r="CG43" s="2340">
        <v>96592.858730683249</v>
      </c>
      <c r="CH43" s="2340">
        <v>96722.782516685489</v>
      </c>
      <c r="CI43" s="2340">
        <v>96907.332152053976</v>
      </c>
      <c r="CJ43" s="2340">
        <v>96955.352784301227</v>
      </c>
      <c r="CK43" s="2340">
        <v>97043.36324610046</v>
      </c>
      <c r="CL43" s="2340">
        <v>97221.230628749137</v>
      </c>
      <c r="CM43" s="2340">
        <v>97288.577017436968</v>
      </c>
      <c r="CN43" s="2340">
        <v>97386.617282018269</v>
      </c>
      <c r="CO43" s="2340">
        <v>97526.594576964722</v>
      </c>
      <c r="CP43" s="2340">
        <v>97616.814478996093</v>
      </c>
      <c r="CQ43" s="2340">
        <v>97716.042134184143</v>
      </c>
      <c r="CR43" s="2340">
        <v>97742.749548257474</v>
      </c>
      <c r="CS43" s="2340">
        <v>97847.183449098942</v>
      </c>
      <c r="CT43" s="2340">
        <v>97897.296017704342</v>
      </c>
      <c r="CU43" s="2340">
        <v>97967.443669580491</v>
      </c>
      <c r="CV43" s="2340">
        <v>98015.793000324586</v>
      </c>
      <c r="CW43" s="2340">
        <v>98038.962351867769</v>
      </c>
      <c r="CX43" s="2340">
        <v>98120.103540488955</v>
      </c>
      <c r="CY43" s="2340">
        <v>98133.733949718502</v>
      </c>
      <c r="CZ43" s="2340">
        <v>98186.863107392826</v>
      </c>
      <c r="DA43" s="2340">
        <v>98205.687548773873</v>
      </c>
      <c r="DB43" s="2340">
        <v>98289.59920099267</v>
      </c>
      <c r="DC43" s="2340">
        <v>98316.647664021279</v>
      </c>
      <c r="DD43" s="2340">
        <v>98355.851690933094</v>
      </c>
      <c r="DE43" s="2340">
        <v>98386.504262709204</v>
      </c>
      <c r="DF43" s="2340">
        <v>98447.072613194308</v>
      </c>
      <c r="DG43" s="2340">
        <v>98486.048724544424</v>
      </c>
      <c r="DH43" s="2340">
        <v>98514.703897148604</v>
      </c>
      <c r="DI43" s="2340">
        <v>98542.461458283797</v>
      </c>
      <c r="DJ43" s="2340">
        <v>98607.32605857942</v>
      </c>
      <c r="DK43" s="2340">
        <v>98634.988240420702</v>
      </c>
      <c r="DL43" s="2340">
        <v>98647.442948870666</v>
      </c>
      <c r="DM43" s="2340">
        <v>98684.517260633322</v>
      </c>
      <c r="DN43" s="2340">
        <v>98693.294798940638</v>
      </c>
      <c r="DO43" s="2340">
        <v>98738.382546894529</v>
      </c>
      <c r="DP43" s="2340">
        <v>98771.572311617114</v>
      </c>
      <c r="DQ43" s="2340">
        <v>98792.749913643624</v>
      </c>
      <c r="DR43" s="2340">
        <v>98843.632812053154</v>
      </c>
      <c r="DS43" s="2340">
        <v>98856.362752014073</v>
      </c>
      <c r="DT43" s="2340">
        <v>98893.795171795558</v>
      </c>
      <c r="DU43" s="2340">
        <v>98929.8844840987</v>
      </c>
    </row>
    <row r="44" spans="1:125" ht="12.75">
      <c r="A44" s="131">
        <v>42</v>
      </c>
      <c r="B44" s="132"/>
      <c r="C44" s="132"/>
      <c r="D44" s="132"/>
      <c r="E44" s="132"/>
      <c r="F44" s="132"/>
      <c r="G44" s="132"/>
      <c r="H44" s="132"/>
      <c r="I44" s="132"/>
      <c r="J44" s="132"/>
      <c r="K44" s="132"/>
      <c r="L44" s="132"/>
      <c r="M44" s="132"/>
      <c r="N44" s="132"/>
      <c r="O44" s="132"/>
      <c r="P44" s="132"/>
      <c r="Q44" s="132"/>
      <c r="R44" s="132"/>
      <c r="S44" s="132"/>
      <c r="T44" s="132"/>
      <c r="U44" s="132"/>
      <c r="V44" s="132"/>
      <c r="W44" s="132">
        <v>74919</v>
      </c>
      <c r="X44" s="132">
        <v>75719</v>
      </c>
      <c r="Y44" s="132">
        <v>75885.122794611365</v>
      </c>
      <c r="Z44" s="132">
        <v>78119.188215500675</v>
      </c>
      <c r="AA44" s="2340">
        <v>78473.66405286458</v>
      </c>
      <c r="AB44" s="2340">
        <v>79164.193018923906</v>
      </c>
      <c r="AC44" s="2340">
        <v>79993.980968496122</v>
      </c>
      <c r="AD44" s="2340">
        <v>81012.414672526429</v>
      </c>
      <c r="AE44" s="2340">
        <v>80989.098918753007</v>
      </c>
      <c r="AF44" s="2340">
        <v>82292.40464869891</v>
      </c>
      <c r="AG44" s="2340">
        <v>82716.896722682854</v>
      </c>
      <c r="AH44" s="2340">
        <v>83155.462883455853</v>
      </c>
      <c r="AI44" s="2340">
        <v>83418.773720588666</v>
      </c>
      <c r="AJ44" s="2340">
        <v>84680.566677868439</v>
      </c>
      <c r="AK44" s="2340">
        <v>84566.29988763544</v>
      </c>
      <c r="AL44" s="2340">
        <v>84860.015061637299</v>
      </c>
      <c r="AM44" s="2340">
        <v>85177.480878447997</v>
      </c>
      <c r="AN44" s="2340">
        <v>85623.496320933584</v>
      </c>
      <c r="AO44" s="2340">
        <v>85543.102108577339</v>
      </c>
      <c r="AP44" s="2340">
        <v>85681.823937184541</v>
      </c>
      <c r="AQ44" s="2340">
        <v>85782.283189935173</v>
      </c>
      <c r="AR44" s="2340">
        <v>85939.950171876495</v>
      </c>
      <c r="AS44" s="2340">
        <v>85391.168779976186</v>
      </c>
      <c r="AT44" s="2340">
        <v>84670.021273508246</v>
      </c>
      <c r="AU44" s="2340">
        <v>83291.66193125266</v>
      </c>
      <c r="AV44" s="2340">
        <v>83841.343904409063</v>
      </c>
      <c r="AW44" s="2340">
        <v>84352.38240513239</v>
      </c>
      <c r="AX44" s="2340">
        <v>86684.04806046201</v>
      </c>
      <c r="AY44" s="2340">
        <v>88610.847267071906</v>
      </c>
      <c r="AZ44" s="2340">
        <v>88526.791076121037</v>
      </c>
      <c r="BA44" s="2340">
        <v>88551.58051159115</v>
      </c>
      <c r="BB44" s="2340">
        <v>89296.337190270351</v>
      </c>
      <c r="BC44" s="2340">
        <v>89502.528917752497</v>
      </c>
      <c r="BD44" s="2340">
        <v>89993.105715954909</v>
      </c>
      <c r="BE44" s="2340">
        <v>90086.899942145188</v>
      </c>
      <c r="BF44" s="2340">
        <v>90536.68959863983</v>
      </c>
      <c r="BG44" s="2340">
        <v>90573.67115386184</v>
      </c>
      <c r="BH44" s="2340">
        <v>91035.915529300779</v>
      </c>
      <c r="BI44" s="2340">
        <v>91355.881191383029</v>
      </c>
      <c r="BJ44" s="2340">
        <v>91583.293380636343</v>
      </c>
      <c r="BK44" s="2340">
        <v>91991.373377874887</v>
      </c>
      <c r="BL44" s="2340">
        <v>92427.933953085085</v>
      </c>
      <c r="BM44" s="2340">
        <v>92853.960040541191</v>
      </c>
      <c r="BN44" s="2340">
        <v>93228.307742523772</v>
      </c>
      <c r="BO44" s="2340">
        <v>93577.069573207627</v>
      </c>
      <c r="BP44" s="2340">
        <v>93752.166232415126</v>
      </c>
      <c r="BQ44" s="2340">
        <v>93972.127998394106</v>
      </c>
      <c r="BR44" s="2340">
        <v>94129.219521614956</v>
      </c>
      <c r="BS44" s="2340">
        <v>94163.793895949158</v>
      </c>
      <c r="BT44" s="2340">
        <v>94321.423336846099</v>
      </c>
      <c r="BU44" s="2340">
        <v>94414.561713550589</v>
      </c>
      <c r="BV44" s="2340">
        <v>94584.670787995303</v>
      </c>
      <c r="BW44" s="2340">
        <v>94665.228367634234</v>
      </c>
      <c r="BX44" s="2340">
        <v>94863.475105420526</v>
      </c>
      <c r="BY44" s="2340">
        <v>95072.630390003877</v>
      </c>
      <c r="BZ44" s="2340">
        <v>95400.760899326546</v>
      </c>
      <c r="CA44" s="2340">
        <v>95607.235935015982</v>
      </c>
      <c r="CB44" s="2340">
        <v>95660.767945487183</v>
      </c>
      <c r="CC44" s="2340">
        <v>95888.109664256088</v>
      </c>
      <c r="CD44" s="2340">
        <v>96033.674011091076</v>
      </c>
      <c r="CE44" s="2340">
        <v>96147.126847903244</v>
      </c>
      <c r="CF44" s="2340">
        <v>96345.552811340633</v>
      </c>
      <c r="CG44" s="2340">
        <v>96461.901715303786</v>
      </c>
      <c r="CH44" s="2340">
        <v>96594.510294737091</v>
      </c>
      <c r="CI44" s="2340">
        <v>96781.619044971114</v>
      </c>
      <c r="CJ44" s="2340">
        <v>96832.321431173856</v>
      </c>
      <c r="CK44" s="2340">
        <v>96922.906830466425</v>
      </c>
      <c r="CL44" s="2340">
        <v>97103.186253689768</v>
      </c>
      <c r="CM44" s="2340">
        <v>97173.028036054297</v>
      </c>
      <c r="CN44" s="2340">
        <v>97273.475337681695</v>
      </c>
      <c r="CO44" s="2340">
        <v>97415.761981516451</v>
      </c>
      <c r="CP44" s="2340">
        <v>97508.299632149836</v>
      </c>
      <c r="CQ44" s="2340">
        <v>97609.786862647554</v>
      </c>
      <c r="CR44" s="2340">
        <v>97638.765612816656</v>
      </c>
      <c r="CS44" s="2340">
        <v>97745.34140490189</v>
      </c>
      <c r="CT44" s="2340">
        <v>97797.607174506877</v>
      </c>
      <c r="CU44" s="2340">
        <v>97869.842568618318</v>
      </c>
      <c r="CV44" s="2340">
        <v>97920.257214644531</v>
      </c>
      <c r="CW44" s="2340">
        <v>97945.472212220717</v>
      </c>
      <c r="CX44" s="2340">
        <v>98028.561164338724</v>
      </c>
      <c r="CY44" s="2340">
        <v>98044.160440668958</v>
      </c>
      <c r="CZ44" s="2340">
        <v>98099.180848365824</v>
      </c>
      <c r="DA44" s="2340">
        <v>98119.886604707368</v>
      </c>
      <c r="DB44" s="2340">
        <v>98205.583574373464</v>
      </c>
      <c r="DC44" s="2340">
        <v>98234.4278198338</v>
      </c>
      <c r="DD44" s="2340">
        <v>98275.379306131508</v>
      </c>
      <c r="DE44" s="2340">
        <v>98307.749055343113</v>
      </c>
      <c r="DF44" s="2340">
        <v>98369.974520062126</v>
      </c>
      <c r="DG44" s="2340">
        <v>98410.5894501414</v>
      </c>
      <c r="DH44" s="2340">
        <v>98440.856354522752</v>
      </c>
      <c r="DI44" s="2340">
        <v>98470.191886926666</v>
      </c>
      <c r="DJ44" s="2340">
        <v>98536.574121332233</v>
      </c>
      <c r="DK44" s="2340">
        <v>98565.748212947612</v>
      </c>
      <c r="DL44" s="2340">
        <v>98579.692972577817</v>
      </c>
      <c r="DM44" s="2340">
        <v>98618.208728039885</v>
      </c>
      <c r="DN44" s="2340">
        <v>98628.415652927477</v>
      </c>
      <c r="DO44" s="2340">
        <v>98674.878622213422</v>
      </c>
      <c r="DP44" s="2340">
        <v>98709.421957733546</v>
      </c>
      <c r="DQ44" s="2340">
        <v>98731.931681250877</v>
      </c>
      <c r="DR44" s="2340">
        <v>98784.100260182007</v>
      </c>
      <c r="DS44" s="2340">
        <v>98798.111198979532</v>
      </c>
      <c r="DT44" s="2340">
        <v>98836.782813495462</v>
      </c>
      <c r="DU44" s="2340">
        <v>98874.085724480858</v>
      </c>
    </row>
    <row r="45" spans="1:125" ht="12.75">
      <c r="A45" s="131">
        <v>43</v>
      </c>
      <c r="B45" s="132"/>
      <c r="C45" s="132"/>
      <c r="D45" s="132"/>
      <c r="E45" s="132"/>
      <c r="F45" s="132"/>
      <c r="G45" s="132"/>
      <c r="H45" s="132"/>
      <c r="I45" s="132"/>
      <c r="J45" s="132"/>
      <c r="K45" s="132"/>
      <c r="L45" s="132"/>
      <c r="M45" s="132"/>
      <c r="N45" s="132"/>
      <c r="O45" s="132"/>
      <c r="P45" s="132"/>
      <c r="Q45" s="132"/>
      <c r="R45" s="132"/>
      <c r="S45" s="132"/>
      <c r="T45" s="132"/>
      <c r="U45" s="132"/>
      <c r="V45" s="132"/>
      <c r="W45" s="132">
        <v>74657</v>
      </c>
      <c r="X45" s="132">
        <v>75463</v>
      </c>
      <c r="Y45" s="132">
        <v>75619.568842234396</v>
      </c>
      <c r="Z45" s="132">
        <v>77842.163126250933</v>
      </c>
      <c r="AA45" s="2340">
        <v>78216.099439057027</v>
      </c>
      <c r="AB45" s="2340">
        <v>78901.096984767515</v>
      </c>
      <c r="AC45" s="2340">
        <v>79696.828088674287</v>
      </c>
      <c r="AD45" s="2340">
        <v>80710.499174249635</v>
      </c>
      <c r="AE45" s="2340">
        <v>80677.719322411911</v>
      </c>
      <c r="AF45" s="2340">
        <v>81984.807174754373</v>
      </c>
      <c r="AG45" s="2340">
        <v>82416.280071809888</v>
      </c>
      <c r="AH45" s="2340">
        <v>82850.067084858179</v>
      </c>
      <c r="AI45" s="2340">
        <v>83109.402685950772</v>
      </c>
      <c r="AJ45" s="2340">
        <v>84374.744584027678</v>
      </c>
      <c r="AK45" s="2340">
        <v>84272.519671452232</v>
      </c>
      <c r="AL45" s="2340">
        <v>84569.663438501695</v>
      </c>
      <c r="AM45" s="2340">
        <v>84886.520587606428</v>
      </c>
      <c r="AN45" s="2340">
        <v>85332.475011740302</v>
      </c>
      <c r="AO45" s="2340">
        <v>85254.344668017031</v>
      </c>
      <c r="AP45" s="2340">
        <v>85403.240608981243</v>
      </c>
      <c r="AQ45" s="2340">
        <v>85522.693838674357</v>
      </c>
      <c r="AR45" s="2340">
        <v>85694.04373430289</v>
      </c>
      <c r="AS45" s="2340">
        <v>85145.132788453731</v>
      </c>
      <c r="AT45" s="2340">
        <v>84426.243913523082</v>
      </c>
      <c r="AU45" s="2340">
        <v>83062.735783757467</v>
      </c>
      <c r="AV45" s="2340">
        <v>83600.910167118229</v>
      </c>
      <c r="AW45" s="2340">
        <v>84105.847983522937</v>
      </c>
      <c r="AX45" s="2340">
        <v>86436.644010418895</v>
      </c>
      <c r="AY45" s="2340">
        <v>88356.362428401015</v>
      </c>
      <c r="AZ45" s="2340">
        <v>88279.434820443363</v>
      </c>
      <c r="BA45" s="2340">
        <v>88285.695723771889</v>
      </c>
      <c r="BB45" s="2340">
        <v>89036.725103980003</v>
      </c>
      <c r="BC45" s="2340">
        <v>89231.792230720603</v>
      </c>
      <c r="BD45" s="2340">
        <v>89743.730881114767</v>
      </c>
      <c r="BE45" s="2340">
        <v>89844.243782465477</v>
      </c>
      <c r="BF45" s="2340">
        <v>90301.837256168932</v>
      </c>
      <c r="BG45" s="2340">
        <v>90349.001922185475</v>
      </c>
      <c r="BH45" s="2340">
        <v>90821.196717296509</v>
      </c>
      <c r="BI45" s="2340">
        <v>91146.25093742428</v>
      </c>
      <c r="BJ45" s="2340">
        <v>91374.721313365502</v>
      </c>
      <c r="BK45" s="2340">
        <v>91791.56448158859</v>
      </c>
      <c r="BL45" s="2340">
        <v>92241.760456863747</v>
      </c>
      <c r="BM45" s="2340">
        <v>92679.409499881236</v>
      </c>
      <c r="BN45" s="2340">
        <v>93061.549671584013</v>
      </c>
      <c r="BO45" s="2340">
        <v>93416.902239268966</v>
      </c>
      <c r="BP45" s="2340">
        <v>93608.255731466983</v>
      </c>
      <c r="BQ45" s="2340">
        <v>93827.975767299111</v>
      </c>
      <c r="BR45" s="2340">
        <v>93979.917058463048</v>
      </c>
      <c r="BS45" s="2340">
        <v>94020.135372849865</v>
      </c>
      <c r="BT45" s="2340">
        <v>94181.573369517486</v>
      </c>
      <c r="BU45" s="2340">
        <v>94275.84491130455</v>
      </c>
      <c r="BV45" s="2340">
        <v>94438.194362316979</v>
      </c>
      <c r="BW45" s="2340">
        <v>94528.05562098285</v>
      </c>
      <c r="BX45" s="2340">
        <v>94728.010283100317</v>
      </c>
      <c r="BY45" s="2340">
        <v>94937.75096858367</v>
      </c>
      <c r="BZ45" s="2340">
        <v>95266.700252362702</v>
      </c>
      <c r="CA45" s="2340">
        <v>95475.98882442982</v>
      </c>
      <c r="CB45" s="2340">
        <v>95518.85862593721</v>
      </c>
      <c r="CC45" s="2340">
        <v>95731.596483784568</v>
      </c>
      <c r="CD45" s="2340">
        <v>95886.122770013739</v>
      </c>
      <c r="CE45" s="2340">
        <v>96002.58061368663</v>
      </c>
      <c r="CF45" s="2340">
        <v>96203.825583577564</v>
      </c>
      <c r="CG45" s="2340">
        <v>96323.057245223332</v>
      </c>
      <c r="CH45" s="2340">
        <v>96458.467244392406</v>
      </c>
      <c r="CI45" s="2340">
        <v>96648.246036546581</v>
      </c>
      <c r="CJ45" s="2340">
        <v>96701.75048345582</v>
      </c>
      <c r="CK45" s="2340">
        <v>96795.026487682597</v>
      </c>
      <c r="CL45" s="2340">
        <v>96977.825385811229</v>
      </c>
      <c r="CM45" s="2340">
        <v>97050.276935691654</v>
      </c>
      <c r="CN45" s="2340">
        <v>97153.241907185991</v>
      </c>
      <c r="CO45" s="2340">
        <v>97297.94410624016</v>
      </c>
      <c r="CP45" s="2340">
        <v>97392.907901739134</v>
      </c>
      <c r="CQ45" s="2340">
        <v>97496.737728166991</v>
      </c>
      <c r="CR45" s="2340">
        <v>97528.093823439311</v>
      </c>
      <c r="CS45" s="2340">
        <v>97636.910896578775</v>
      </c>
      <c r="CT45" s="2340">
        <v>97691.431646541911</v>
      </c>
      <c r="CU45" s="2340">
        <v>97765.853936778265</v>
      </c>
      <c r="CV45" s="2340">
        <v>97818.433181610191</v>
      </c>
      <c r="CW45" s="2340">
        <v>97845.793392335225</v>
      </c>
      <c r="CX45" s="2340">
        <v>97930.924726593395</v>
      </c>
      <c r="CY45" s="2340">
        <v>97948.590392712373</v>
      </c>
      <c r="CZ45" s="2340">
        <v>98005.595852126527</v>
      </c>
      <c r="DA45" s="2340">
        <v>98028.277495895891</v>
      </c>
      <c r="DB45" s="2340">
        <v>98115.849254455185</v>
      </c>
      <c r="DC45" s="2340">
        <v>98146.58082905566</v>
      </c>
      <c r="DD45" s="2340">
        <v>98189.369360649929</v>
      </c>
      <c r="DE45" s="2340">
        <v>98223.545104270292</v>
      </c>
      <c r="DF45" s="2340">
        <v>98287.513623714854</v>
      </c>
      <c r="DG45" s="2340">
        <v>98329.853288225568</v>
      </c>
      <c r="DH45" s="2340">
        <v>98361.817174863419</v>
      </c>
      <c r="DI45" s="2340">
        <v>98392.814760067529</v>
      </c>
      <c r="DJ45" s="2340">
        <v>98460.795613620532</v>
      </c>
      <c r="DK45" s="2340">
        <v>98491.563334903767</v>
      </c>
      <c r="DL45" s="2340">
        <v>98507.079434256739</v>
      </c>
      <c r="DM45" s="2340">
        <v>98547.115534622324</v>
      </c>
      <c r="DN45" s="2340">
        <v>98558.830955385667</v>
      </c>
      <c r="DO45" s="2340">
        <v>98606.745379000175</v>
      </c>
      <c r="DP45" s="2340">
        <v>98642.717962848605</v>
      </c>
      <c r="DQ45" s="2340">
        <v>98666.634919464894</v>
      </c>
      <c r="DR45" s="2340">
        <v>98720.161850050834</v>
      </c>
      <c r="DS45" s="2340">
        <v>98735.527071662393</v>
      </c>
      <c r="DT45" s="2340">
        <v>98775.508996714867</v>
      </c>
      <c r="DU45" s="2340">
        <v>98814.095624164984</v>
      </c>
    </row>
    <row r="46" spans="1:125" ht="12.75">
      <c r="A46" s="131">
        <v>44</v>
      </c>
      <c r="B46" s="132"/>
      <c r="C46" s="132"/>
      <c r="D46" s="132"/>
      <c r="E46" s="132"/>
      <c r="F46" s="132"/>
      <c r="G46" s="132"/>
      <c r="H46" s="132"/>
      <c r="I46" s="132"/>
      <c r="J46" s="132"/>
      <c r="K46" s="132"/>
      <c r="L46" s="132"/>
      <c r="M46" s="132"/>
      <c r="N46" s="132"/>
      <c r="O46" s="132"/>
      <c r="P46" s="132"/>
      <c r="Q46" s="132"/>
      <c r="R46" s="132"/>
      <c r="S46" s="132"/>
      <c r="T46" s="132"/>
      <c r="U46" s="132"/>
      <c r="V46" s="132"/>
      <c r="W46" s="132">
        <v>74384</v>
      </c>
      <c r="X46" s="132">
        <v>75186</v>
      </c>
      <c r="Y46" s="132">
        <v>75327.11237361512</v>
      </c>
      <c r="Z46" s="132">
        <v>77540.490947649756</v>
      </c>
      <c r="AA46" s="2340">
        <v>77914.607126195289</v>
      </c>
      <c r="AB46" s="2340">
        <v>78590.563805431069</v>
      </c>
      <c r="AC46" s="2340">
        <v>79386.399966286685</v>
      </c>
      <c r="AD46" s="2340">
        <v>80381.438999728227</v>
      </c>
      <c r="AE46" s="2340">
        <v>80363.028895893207</v>
      </c>
      <c r="AF46" s="2340">
        <v>81665.965691566118</v>
      </c>
      <c r="AG46" s="2340">
        <v>82061.220783697616</v>
      </c>
      <c r="AH46" s="2340">
        <v>82505.975165889729</v>
      </c>
      <c r="AI46" s="2340">
        <v>82785.011412560634</v>
      </c>
      <c r="AJ46" s="2340">
        <v>84039.143137169769</v>
      </c>
      <c r="AK46" s="2340">
        <v>83941.598961575452</v>
      </c>
      <c r="AL46" s="2340">
        <v>84244.171338392058</v>
      </c>
      <c r="AM46" s="2340">
        <v>84572.773418401805</v>
      </c>
      <c r="AN46" s="2340">
        <v>85029.418066503131</v>
      </c>
      <c r="AO46" s="2340">
        <v>84953.150171271642</v>
      </c>
      <c r="AP46" s="2340">
        <v>85120.767297595623</v>
      </c>
      <c r="AQ46" s="2340">
        <v>85238.253036356822</v>
      </c>
      <c r="AR46" s="2340">
        <v>85405.928608369941</v>
      </c>
      <c r="AS46" s="2340">
        <v>84880.824870362077</v>
      </c>
      <c r="AT46" s="2340">
        <v>84173.687058637981</v>
      </c>
      <c r="AU46" s="2340">
        <v>82817.82813501636</v>
      </c>
      <c r="AV46" s="2340">
        <v>83337.588920831389</v>
      </c>
      <c r="AW46" s="2340">
        <v>83840.949286619667</v>
      </c>
      <c r="AX46" s="2340">
        <v>86157.668767263487</v>
      </c>
      <c r="AY46" s="2340">
        <v>88076.190307842466</v>
      </c>
      <c r="AZ46" s="2340">
        <v>88017.775267131656</v>
      </c>
      <c r="BA46" s="2340">
        <v>88003.120239182914</v>
      </c>
      <c r="BB46" s="2340">
        <v>88760.196905647841</v>
      </c>
      <c r="BC46" s="2340">
        <v>88958.355634400417</v>
      </c>
      <c r="BD46" s="2340">
        <v>89483.37952137737</v>
      </c>
      <c r="BE46" s="2340">
        <v>89589.724447012093</v>
      </c>
      <c r="BF46" s="2340">
        <v>90054.01035155417</v>
      </c>
      <c r="BG46" s="2340">
        <v>90108.396049316158</v>
      </c>
      <c r="BH46" s="2340">
        <v>90590.015156506182</v>
      </c>
      <c r="BI46" s="2340">
        <v>90912.51876732723</v>
      </c>
      <c r="BJ46" s="2340">
        <v>91157.194296368543</v>
      </c>
      <c r="BK46" s="2340">
        <v>91579.355431443459</v>
      </c>
      <c r="BL46" s="2340">
        <v>92044.331626648345</v>
      </c>
      <c r="BM46" s="2340">
        <v>92484.060328668915</v>
      </c>
      <c r="BN46" s="2340">
        <v>92879.020805842039</v>
      </c>
      <c r="BO46" s="2340">
        <v>93243.037749925366</v>
      </c>
      <c r="BP46" s="2340">
        <v>93438.184136232216</v>
      </c>
      <c r="BQ46" s="2340">
        <v>93661.376685706273</v>
      </c>
      <c r="BR46" s="2340">
        <v>93818.161973742172</v>
      </c>
      <c r="BS46" s="2340">
        <v>93867.253299021264</v>
      </c>
      <c r="BT46" s="2340">
        <v>94025.835070726083</v>
      </c>
      <c r="BU46" s="2340">
        <v>94111.239134910691</v>
      </c>
      <c r="BV46" s="2340">
        <v>94287.882642019089</v>
      </c>
      <c r="BW46" s="2340">
        <v>94381.815304251504</v>
      </c>
      <c r="BX46" s="2340">
        <v>94582.704973572036</v>
      </c>
      <c r="BY46" s="2340">
        <v>94786.756771887449</v>
      </c>
      <c r="BZ46" s="2340">
        <v>95116.751383258234</v>
      </c>
      <c r="CA46" s="2340">
        <v>95308.771873869991</v>
      </c>
      <c r="CB46" s="2340">
        <v>95352.497301074633</v>
      </c>
      <c r="CC46" s="2340">
        <v>95571.638062282931</v>
      </c>
      <c r="CD46" s="2340">
        <v>95729.310159458561</v>
      </c>
      <c r="CE46" s="2340">
        <v>95848.91328103363</v>
      </c>
      <c r="CF46" s="2340">
        <v>96053.107832051115</v>
      </c>
      <c r="CG46" s="2340">
        <v>96175.35886201082</v>
      </c>
      <c r="CH46" s="2340">
        <v>96313.70368323884</v>
      </c>
      <c r="CI46" s="2340">
        <v>96506.279398721643</v>
      </c>
      <c r="CJ46" s="2340">
        <v>96562.723187929558</v>
      </c>
      <c r="CK46" s="2340">
        <v>96658.821754257966</v>
      </c>
      <c r="CL46" s="2340">
        <v>96844.262738790319</v>
      </c>
      <c r="CM46" s="2340">
        <v>96919.454336375886</v>
      </c>
      <c r="CN46" s="2340">
        <v>97025.062956878872</v>
      </c>
      <c r="CO46" s="2340">
        <v>97172.301627443667</v>
      </c>
      <c r="CP46" s="2340">
        <v>97269.785137312734</v>
      </c>
      <c r="CQ46" s="2340">
        <v>97376.073288037267</v>
      </c>
      <c r="CR46" s="2340">
        <v>97409.926568538416</v>
      </c>
      <c r="CS46" s="2340">
        <v>97521.097277297173</v>
      </c>
      <c r="CT46" s="2340">
        <v>97577.987975873912</v>
      </c>
      <c r="CU46" s="2340">
        <v>97654.709126955728</v>
      </c>
      <c r="CV46" s="2340">
        <v>97709.565021311675</v>
      </c>
      <c r="CW46" s="2340">
        <v>97739.182756425216</v>
      </c>
      <c r="CX46" s="2340">
        <v>97826.463186854991</v>
      </c>
      <c r="CY46" s="2340">
        <v>97846.305156918737</v>
      </c>
      <c r="CZ46" s="2340">
        <v>97905.401364992445</v>
      </c>
      <c r="DA46" s="2340">
        <v>97930.165408099361</v>
      </c>
      <c r="DB46" s="2340">
        <v>98019.712710365857</v>
      </c>
      <c r="DC46" s="2340">
        <v>98052.434648408467</v>
      </c>
      <c r="DD46" s="2340">
        <v>98097.161022455446</v>
      </c>
      <c r="DE46" s="2340">
        <v>98133.242656638497</v>
      </c>
      <c r="DF46" s="2340">
        <v>98199.050869038663</v>
      </c>
      <c r="DG46" s="2340">
        <v>98243.211841785538</v>
      </c>
      <c r="DH46" s="2340">
        <v>98276.968504868375</v>
      </c>
      <c r="DI46" s="2340">
        <v>98309.722595371015</v>
      </c>
      <c r="DJ46" s="2340">
        <v>98379.393023820885</v>
      </c>
      <c r="DK46" s="2340">
        <v>98411.846122238392</v>
      </c>
      <c r="DL46" s="2340">
        <v>98429.024796942744</v>
      </c>
      <c r="DM46" s="2340">
        <v>98470.669779175907</v>
      </c>
      <c r="DN46" s="2340">
        <v>98483.982439054278</v>
      </c>
      <c r="DO46" s="2340">
        <v>98533.433817470577</v>
      </c>
      <c r="DP46" s="2340">
        <v>98570.920504840833</v>
      </c>
      <c r="DQ46" s="2340">
        <v>98596.328893926606</v>
      </c>
      <c r="DR46" s="2340">
        <v>98651.295624205392</v>
      </c>
      <c r="DS46" s="2340">
        <v>98668.097241551586</v>
      </c>
      <c r="DT46" s="2340">
        <v>98709.469145563678</v>
      </c>
      <c r="DU46" s="2340">
        <v>98749.418023223043</v>
      </c>
    </row>
    <row r="47" spans="1:125" ht="12.75">
      <c r="A47" s="131">
        <v>45</v>
      </c>
      <c r="B47" s="132"/>
      <c r="C47" s="132"/>
      <c r="D47" s="132"/>
      <c r="E47" s="132"/>
      <c r="F47" s="132"/>
      <c r="G47" s="132"/>
      <c r="H47" s="132"/>
      <c r="I47" s="132"/>
      <c r="J47" s="132"/>
      <c r="K47" s="132"/>
      <c r="L47" s="132"/>
      <c r="M47" s="132"/>
      <c r="N47" s="132"/>
      <c r="O47" s="132"/>
      <c r="P47" s="132"/>
      <c r="Q47" s="132"/>
      <c r="R47" s="132"/>
      <c r="S47" s="132"/>
      <c r="T47" s="132"/>
      <c r="U47" s="132"/>
      <c r="V47" s="132"/>
      <c r="W47" s="132">
        <v>74084</v>
      </c>
      <c r="X47" s="132">
        <v>74870</v>
      </c>
      <c r="Y47" s="132">
        <v>75007.933081554016</v>
      </c>
      <c r="Z47" s="132">
        <v>77213.240259733706</v>
      </c>
      <c r="AA47" s="2340">
        <v>77577.573348104939</v>
      </c>
      <c r="AB47" s="2340">
        <v>78262.633384027838</v>
      </c>
      <c r="AC47" s="2340">
        <v>79045.831512143981</v>
      </c>
      <c r="AD47" s="2340">
        <v>80021.983186189245</v>
      </c>
      <c r="AE47" s="2340">
        <v>80006.196608129118</v>
      </c>
      <c r="AF47" s="2340">
        <v>81311.947200837996</v>
      </c>
      <c r="AG47" s="2340">
        <v>81689.367523237466</v>
      </c>
      <c r="AH47" s="2340">
        <v>82146.380059041781</v>
      </c>
      <c r="AI47" s="2340">
        <v>82435.072964813051</v>
      </c>
      <c r="AJ47" s="2340">
        <v>83672.64273994723</v>
      </c>
      <c r="AK47" s="2340">
        <v>83596.388229042423</v>
      </c>
      <c r="AL47" s="2340">
        <v>83886.97709143869</v>
      </c>
      <c r="AM47" s="2340">
        <v>84234.230529934284</v>
      </c>
      <c r="AN47" s="2340">
        <v>84689.818824994101</v>
      </c>
      <c r="AO47" s="2340">
        <v>84637.626092904611</v>
      </c>
      <c r="AP47" s="2340">
        <v>84818.754063342727</v>
      </c>
      <c r="AQ47" s="2340">
        <v>84943.695429878091</v>
      </c>
      <c r="AR47" s="2340">
        <v>85116.646607211922</v>
      </c>
      <c r="AS47" s="2340">
        <v>84593.805300915366</v>
      </c>
      <c r="AT47" s="2340">
        <v>83881.150502135948</v>
      </c>
      <c r="AU47" s="2340">
        <v>82535.056973985236</v>
      </c>
      <c r="AV47" s="2340">
        <v>83056.063618386717</v>
      </c>
      <c r="AW47" s="2340">
        <v>83550.017845399183</v>
      </c>
      <c r="AX47" s="2340">
        <v>85871.993280035342</v>
      </c>
      <c r="AY47" s="2340">
        <v>87776.283599945469</v>
      </c>
      <c r="AZ47" s="2340">
        <v>87714.182620575579</v>
      </c>
      <c r="BA47" s="2340">
        <v>87697.923406984934</v>
      </c>
      <c r="BB47" s="2340">
        <v>88470.457639719738</v>
      </c>
      <c r="BC47" s="2340">
        <v>88680.811706779772</v>
      </c>
      <c r="BD47" s="2340">
        <v>89214.763659263641</v>
      </c>
      <c r="BE47" s="2340">
        <v>89319.846390387407</v>
      </c>
      <c r="BF47" s="2340">
        <v>89789.630321949066</v>
      </c>
      <c r="BG47" s="2340">
        <v>89858.769567238982</v>
      </c>
      <c r="BH47" s="2340">
        <v>90339.339437577262</v>
      </c>
      <c r="BI47" s="2340">
        <v>90679.906893885287</v>
      </c>
      <c r="BJ47" s="2340">
        <v>90919.572563866997</v>
      </c>
      <c r="BK47" s="2340">
        <v>91356.074781779593</v>
      </c>
      <c r="BL47" s="2340">
        <v>91826.426473757994</v>
      </c>
      <c r="BM47" s="2340">
        <v>92284.959519658762</v>
      </c>
      <c r="BN47" s="2340">
        <v>92686.270186297435</v>
      </c>
      <c r="BO47" s="2340">
        <v>93055.496963836718</v>
      </c>
      <c r="BP47" s="2340">
        <v>93253.748584597721</v>
      </c>
      <c r="BQ47" s="2340">
        <v>93474.664317034214</v>
      </c>
      <c r="BR47" s="2340">
        <v>93642.312309028319</v>
      </c>
      <c r="BS47" s="2340">
        <v>93702.25096835506</v>
      </c>
      <c r="BT47" s="2340">
        <v>93860.315700595485</v>
      </c>
      <c r="BU47" s="2340">
        <v>93936.992864659405</v>
      </c>
      <c r="BV47" s="2340">
        <v>94118.578272213505</v>
      </c>
      <c r="BW47" s="2340">
        <v>94213.675047326673</v>
      </c>
      <c r="BX47" s="2340">
        <v>94421.512815264083</v>
      </c>
      <c r="BY47" s="2340">
        <v>94628.33005125873</v>
      </c>
      <c r="BZ47" s="2340">
        <v>94943.507055244569</v>
      </c>
      <c r="CA47" s="2340">
        <v>95122.075527262728</v>
      </c>
      <c r="CB47" s="2340">
        <v>95178.313894868043</v>
      </c>
      <c r="CC47" s="2340">
        <v>95400.718735739225</v>
      </c>
      <c r="CD47" s="2340">
        <v>95561.702250280257</v>
      </c>
      <c r="CE47" s="2340">
        <v>95684.618333350518</v>
      </c>
      <c r="CF47" s="2340">
        <v>95891.918657124668</v>
      </c>
      <c r="CG47" s="2340">
        <v>96017.35208935471</v>
      </c>
      <c r="CH47" s="2340">
        <v>96158.790846502205</v>
      </c>
      <c r="CI47" s="2340">
        <v>96354.314833592376</v>
      </c>
      <c r="CJ47" s="2340">
        <v>96413.861239239792</v>
      </c>
      <c r="CK47" s="2340">
        <v>96512.939277578043</v>
      </c>
      <c r="CL47" s="2340">
        <v>96701.168231314514</v>
      </c>
      <c r="CM47" s="2340">
        <v>96779.254514064407</v>
      </c>
      <c r="CN47" s="2340">
        <v>96887.656268766528</v>
      </c>
      <c r="CO47" s="2340">
        <v>97037.537179713196</v>
      </c>
      <c r="CP47" s="2340">
        <v>97137.679998917156</v>
      </c>
      <c r="CQ47" s="2340">
        <v>97246.563402698463</v>
      </c>
      <c r="CR47" s="2340">
        <v>97283.055445316961</v>
      </c>
      <c r="CS47" s="2340">
        <v>97396.712550804921</v>
      </c>
      <c r="CT47" s="2340">
        <v>97456.108874707861</v>
      </c>
      <c r="CU47" s="2340">
        <v>97535.260962018365</v>
      </c>
      <c r="CV47" s="2340">
        <v>97592.525569549121</v>
      </c>
      <c r="CW47" s="2340">
        <v>97624.533086232957</v>
      </c>
      <c r="CX47" s="2340">
        <v>97714.08827444246</v>
      </c>
      <c r="CY47" s="2340">
        <v>97736.235819541922</v>
      </c>
      <c r="CZ47" s="2340">
        <v>97797.54706087774</v>
      </c>
      <c r="DA47" s="2340">
        <v>97824.518637901201</v>
      </c>
      <c r="DB47" s="2340">
        <v>97916.15985724378</v>
      </c>
      <c r="DC47" s="2340">
        <v>97950.993085177834</v>
      </c>
      <c r="DD47" s="2340">
        <v>97997.775552007253</v>
      </c>
      <c r="DE47" s="2340">
        <v>98035.880201641761</v>
      </c>
      <c r="DF47" s="2340">
        <v>98103.641381287205</v>
      </c>
      <c r="DG47" s="2340">
        <v>98149.736785833025</v>
      </c>
      <c r="DH47" s="2340">
        <v>98185.398372799958</v>
      </c>
      <c r="DI47" s="2340">
        <v>98220.019492214968</v>
      </c>
      <c r="DJ47" s="2340">
        <v>98291.485905694019</v>
      </c>
      <c r="DK47" s="2340">
        <v>98325.731640864484</v>
      </c>
      <c r="DL47" s="2340">
        <v>98344.679494219206</v>
      </c>
      <c r="DM47" s="2340">
        <v>98388.036779500573</v>
      </c>
      <c r="DN47" s="2340">
        <v>98403.050278192793</v>
      </c>
      <c r="DO47" s="2340">
        <v>98454.138405563019</v>
      </c>
      <c r="DP47" s="2340">
        <v>98493.238189511467</v>
      </c>
      <c r="DQ47" s="2340">
        <v>98520.236192708762</v>
      </c>
      <c r="DR47" s="2340">
        <v>98576.737674371674</v>
      </c>
      <c r="DS47" s="2340">
        <v>98595.071357249719</v>
      </c>
      <c r="DT47" s="2340">
        <v>98637.926038816469</v>
      </c>
      <c r="DU47" s="2340">
        <v>98679.328608831391</v>
      </c>
    </row>
    <row r="48" spans="1:125" ht="12.75">
      <c r="A48" s="131">
        <v>46</v>
      </c>
      <c r="B48" s="132"/>
      <c r="C48" s="132"/>
      <c r="D48" s="132"/>
      <c r="E48" s="132"/>
      <c r="F48" s="132"/>
      <c r="G48" s="132"/>
      <c r="H48" s="132"/>
      <c r="I48" s="132"/>
      <c r="J48" s="132"/>
      <c r="K48" s="132"/>
      <c r="L48" s="132"/>
      <c r="M48" s="132"/>
      <c r="N48" s="132"/>
      <c r="O48" s="132"/>
      <c r="P48" s="132"/>
      <c r="Q48" s="132"/>
      <c r="R48" s="132"/>
      <c r="S48" s="132"/>
      <c r="T48" s="132"/>
      <c r="U48" s="132"/>
      <c r="V48" s="132"/>
      <c r="W48" s="132">
        <v>73760</v>
      </c>
      <c r="X48" s="132">
        <v>74527</v>
      </c>
      <c r="Y48" s="132">
        <v>74664.791866376851</v>
      </c>
      <c r="Z48" s="132">
        <v>76845.958966257618</v>
      </c>
      <c r="AA48" s="2340">
        <v>77220.058209342664</v>
      </c>
      <c r="AB48" s="2340">
        <v>77887.767566933719</v>
      </c>
      <c r="AC48" s="2340">
        <v>78668.414237135323</v>
      </c>
      <c r="AD48" s="2340">
        <v>79653.130196928629</v>
      </c>
      <c r="AE48" s="2340">
        <v>79605.114713393137</v>
      </c>
      <c r="AF48" s="2340">
        <v>80902.797080416261</v>
      </c>
      <c r="AG48" s="2340">
        <v>81289.964723547309</v>
      </c>
      <c r="AH48" s="2340">
        <v>81752.814185812545</v>
      </c>
      <c r="AI48" s="2340">
        <v>82034.763826206574</v>
      </c>
      <c r="AJ48" s="2340">
        <v>83278.387234661132</v>
      </c>
      <c r="AK48" s="2340">
        <v>83204.318005441281</v>
      </c>
      <c r="AL48" s="2340">
        <v>83508.457216181952</v>
      </c>
      <c r="AM48" s="2340">
        <v>83879.073873810994</v>
      </c>
      <c r="AN48" s="2340">
        <v>84337.069509142922</v>
      </c>
      <c r="AO48" s="2340">
        <v>84286.451959968472</v>
      </c>
      <c r="AP48" s="2340">
        <v>84477.623557503961</v>
      </c>
      <c r="AQ48" s="2340">
        <v>84615.901233952711</v>
      </c>
      <c r="AR48" s="2340">
        <v>84807.427909339211</v>
      </c>
      <c r="AS48" s="2340">
        <v>84275.56177762305</v>
      </c>
      <c r="AT48" s="2340">
        <v>83570.359385621385</v>
      </c>
      <c r="AU48" s="2340">
        <v>82211.623544654954</v>
      </c>
      <c r="AV48" s="2340">
        <v>82726.290124596344</v>
      </c>
      <c r="AW48" s="2340">
        <v>83251.130073226159</v>
      </c>
      <c r="AX48" s="2340">
        <v>85555.904391708653</v>
      </c>
      <c r="AY48" s="2340">
        <v>87457.640309375376</v>
      </c>
      <c r="AZ48" s="2340">
        <v>87395.001912950262</v>
      </c>
      <c r="BA48" s="2340">
        <v>87377.757426416298</v>
      </c>
      <c r="BB48" s="2340">
        <v>88160.841404188439</v>
      </c>
      <c r="BC48" s="2340">
        <v>88380.301048596855</v>
      </c>
      <c r="BD48" s="2340">
        <v>88915.223303940482</v>
      </c>
      <c r="BE48" s="2340">
        <v>89035.085591349445</v>
      </c>
      <c r="BF48" s="2340">
        <v>89498.650735349627</v>
      </c>
      <c r="BG48" s="2340">
        <v>89565.56240696997</v>
      </c>
      <c r="BH48" s="2340">
        <v>90072.127222325013</v>
      </c>
      <c r="BI48" s="2340">
        <v>90424.369127291895</v>
      </c>
      <c r="BJ48" s="2340">
        <v>90680.734782127023</v>
      </c>
      <c r="BK48" s="2340">
        <v>91119.436413380419</v>
      </c>
      <c r="BL48" s="2340">
        <v>91601.091482373013</v>
      </c>
      <c r="BM48" s="2340">
        <v>92064.971979015245</v>
      </c>
      <c r="BN48" s="2340">
        <v>92474.88098174824</v>
      </c>
      <c r="BO48" s="2340">
        <v>92849.713808499073</v>
      </c>
      <c r="BP48" s="2340">
        <v>93049.217315409987</v>
      </c>
      <c r="BQ48" s="2340">
        <v>93274.470323340589</v>
      </c>
      <c r="BR48" s="2340">
        <v>93452.662972276215</v>
      </c>
      <c r="BS48" s="2340">
        <v>93504.813853030675</v>
      </c>
      <c r="BT48" s="2340">
        <v>93670.510126754118</v>
      </c>
      <c r="BU48" s="2340">
        <v>93746.874599895862</v>
      </c>
      <c r="BV48" s="2340">
        <v>93936.005643252429</v>
      </c>
      <c r="BW48" s="2340">
        <v>94039.922191127116</v>
      </c>
      <c r="BX48" s="2340">
        <v>94243.283493451367</v>
      </c>
      <c r="BY48" s="2340">
        <v>94443.580153873932</v>
      </c>
      <c r="BZ48" s="2340">
        <v>94757.376468222021</v>
      </c>
      <c r="CA48" s="2340">
        <v>94930.836406005503</v>
      </c>
      <c r="CB48" s="2340">
        <v>94990.932242999435</v>
      </c>
      <c r="CC48" s="2340">
        <v>95216.796457639648</v>
      </c>
      <c r="CD48" s="2340">
        <v>95381.292417957025</v>
      </c>
      <c r="CE48" s="2340">
        <v>95507.724746095962</v>
      </c>
      <c r="CF48" s="2340">
        <v>95718.32030304207</v>
      </c>
      <c r="CG48" s="2340">
        <v>95847.133512705826</v>
      </c>
      <c r="CH48" s="2340">
        <v>95991.858746093058</v>
      </c>
      <c r="CI48" s="2340">
        <v>96190.514166380002</v>
      </c>
      <c r="CJ48" s="2340">
        <v>96253.360288369964</v>
      </c>
      <c r="CK48" s="2340">
        <v>96355.607188108726</v>
      </c>
      <c r="CL48" s="2340">
        <v>96546.800285974066</v>
      </c>
      <c r="CM48" s="2340">
        <v>96627.967618899289</v>
      </c>
      <c r="CN48" s="2340">
        <v>96739.295214009646</v>
      </c>
      <c r="CO48" s="2340">
        <v>96891.983344991007</v>
      </c>
      <c r="CP48" s="2340">
        <v>96994.953689130605</v>
      </c>
      <c r="CQ48" s="2340">
        <v>97106.597258921887</v>
      </c>
      <c r="CR48" s="2340">
        <v>97145.898324023859</v>
      </c>
      <c r="CS48" s="2340">
        <v>97262.201525957164</v>
      </c>
      <c r="CT48" s="2340">
        <v>97324.266482353894</v>
      </c>
      <c r="CU48" s="2340">
        <v>97406.008125647888</v>
      </c>
      <c r="CV48" s="2340">
        <v>97465.839922680738</v>
      </c>
      <c r="CW48" s="2340">
        <v>97500.395799084436</v>
      </c>
      <c r="CX48" s="2340">
        <v>97592.376417364154</v>
      </c>
      <c r="CY48" s="2340">
        <v>97616.984350490951</v>
      </c>
      <c r="CZ48" s="2340">
        <v>97680.659441010488</v>
      </c>
      <c r="DA48" s="2340">
        <v>97709.988259083329</v>
      </c>
      <c r="DB48" s="2340">
        <v>97803.865023991282</v>
      </c>
      <c r="DC48" s="2340">
        <v>97840.9540763892</v>
      </c>
      <c r="DD48" s="2340">
        <v>97889.93391585807</v>
      </c>
      <c r="DE48" s="2340">
        <v>97930.201437150623</v>
      </c>
      <c r="DF48" s="2340">
        <v>98000.050810331464</v>
      </c>
      <c r="DG48" s="2340">
        <v>98048.215604520112</v>
      </c>
      <c r="DH48" s="2340">
        <v>98085.915835320644</v>
      </c>
      <c r="DI48" s="2340">
        <v>98122.535706151408</v>
      </c>
      <c r="DJ48" s="2340">
        <v>98195.924903288644</v>
      </c>
      <c r="DK48" s="2340">
        <v>98232.090993553982</v>
      </c>
      <c r="DL48" s="2340">
        <v>98252.934893673228</v>
      </c>
      <c r="DM48" s="2340">
        <v>98298.12753177993</v>
      </c>
      <c r="DN48" s="2340">
        <v>98314.965055996363</v>
      </c>
      <c r="DO48" s="2340">
        <v>98367.808573995484</v>
      </c>
      <c r="DP48" s="2340">
        <v>98408.639086550989</v>
      </c>
      <c r="DQ48" s="2340">
        <v>98437.343316197308</v>
      </c>
      <c r="DR48" s="2340">
        <v>98495.492302297847</v>
      </c>
      <c r="DS48" s="2340">
        <v>98515.471585855266</v>
      </c>
      <c r="DT48" s="2340">
        <v>98559.919147444074</v>
      </c>
      <c r="DU48" s="2340">
        <v>98602.883861528258</v>
      </c>
    </row>
    <row r="49" spans="1:125" ht="12.75">
      <c r="A49" s="131">
        <v>47</v>
      </c>
      <c r="B49" s="132"/>
      <c r="C49" s="132"/>
      <c r="D49" s="132"/>
      <c r="E49" s="132"/>
      <c r="F49" s="132"/>
      <c r="G49" s="132"/>
      <c r="H49" s="132"/>
      <c r="I49" s="132"/>
      <c r="J49" s="132"/>
      <c r="K49" s="132"/>
      <c r="L49" s="132"/>
      <c r="M49" s="132"/>
      <c r="N49" s="132"/>
      <c r="O49" s="132"/>
      <c r="P49" s="132"/>
      <c r="Q49" s="132"/>
      <c r="R49" s="132"/>
      <c r="S49" s="132"/>
      <c r="T49" s="132"/>
      <c r="U49" s="132"/>
      <c r="V49" s="132"/>
      <c r="W49" s="132">
        <v>73391</v>
      </c>
      <c r="X49" s="132">
        <v>74159</v>
      </c>
      <c r="Y49" s="132">
        <v>74268.564023028055</v>
      </c>
      <c r="Z49" s="132">
        <v>76449.236087376485</v>
      </c>
      <c r="AA49" s="2340">
        <v>76816.224671857621</v>
      </c>
      <c r="AB49" s="2340">
        <v>77493.096379867435</v>
      </c>
      <c r="AC49" s="2340">
        <v>78257.305242069255</v>
      </c>
      <c r="AD49" s="2340">
        <v>79239.316381586861</v>
      </c>
      <c r="AE49" s="2340">
        <v>79182.458270100484</v>
      </c>
      <c r="AF49" s="2340">
        <v>80468.017242535512</v>
      </c>
      <c r="AG49" s="2340">
        <v>80843.635316112312</v>
      </c>
      <c r="AH49" s="2340">
        <v>81339.824254049876</v>
      </c>
      <c r="AI49" s="2340">
        <v>81614.682511714433</v>
      </c>
      <c r="AJ49" s="2340">
        <v>82861.396616952756</v>
      </c>
      <c r="AK49" s="2340">
        <v>82793.706504211383</v>
      </c>
      <c r="AL49" s="2340">
        <v>83119.670180627421</v>
      </c>
      <c r="AM49" s="2340">
        <v>83495.85188959993</v>
      </c>
      <c r="AN49" s="2340">
        <v>83958.497371546779</v>
      </c>
      <c r="AO49" s="2340">
        <v>83916.052022934717</v>
      </c>
      <c r="AP49" s="2340">
        <v>84118.576355094512</v>
      </c>
      <c r="AQ49" s="2340">
        <v>84264.195516800944</v>
      </c>
      <c r="AR49" s="2340">
        <v>84448.337024908746</v>
      </c>
      <c r="AS49" s="2340">
        <v>83913.00699283107</v>
      </c>
      <c r="AT49" s="2340">
        <v>83218.980321996161</v>
      </c>
      <c r="AU49" s="2340">
        <v>81863.066039143145</v>
      </c>
      <c r="AV49" s="2340">
        <v>82387.872469215523</v>
      </c>
      <c r="AW49" s="2340">
        <v>82918.532782222872</v>
      </c>
      <c r="AX49" s="2340">
        <v>85226.6726149147</v>
      </c>
      <c r="AY49" s="2340">
        <v>87126.454835434226</v>
      </c>
      <c r="AZ49" s="2340">
        <v>87057.586939164088</v>
      </c>
      <c r="BA49" s="2340">
        <v>87044.217240119251</v>
      </c>
      <c r="BB49" s="2340">
        <v>87840.260511940185</v>
      </c>
      <c r="BC49" s="2340">
        <v>88060.552578117218</v>
      </c>
      <c r="BD49" s="2340">
        <v>88593.878984248178</v>
      </c>
      <c r="BE49" s="2340">
        <v>88729.194908281104</v>
      </c>
      <c r="BF49" s="2340">
        <v>89182.877890689124</v>
      </c>
      <c r="BG49" s="2340">
        <v>89260.132786214119</v>
      </c>
      <c r="BH49" s="2340">
        <v>89789.257673177228</v>
      </c>
      <c r="BI49" s="2340">
        <v>90149.261044218685</v>
      </c>
      <c r="BJ49" s="2340">
        <v>90426.109154551988</v>
      </c>
      <c r="BK49" s="2340">
        <v>90857.913403870014</v>
      </c>
      <c r="BL49" s="2340">
        <v>91355.274499076695</v>
      </c>
      <c r="BM49" s="2340">
        <v>91831.859412512029</v>
      </c>
      <c r="BN49" s="2340">
        <v>92245.940204743281</v>
      </c>
      <c r="BO49" s="2340">
        <v>92627.084462823826</v>
      </c>
      <c r="BP49" s="2340">
        <v>92829.393391445818</v>
      </c>
      <c r="BQ49" s="2340">
        <v>93065.822332706826</v>
      </c>
      <c r="BR49" s="2340">
        <v>93244.27813442261</v>
      </c>
      <c r="BS49" s="2340">
        <v>93300.77810580915</v>
      </c>
      <c r="BT49" s="2340">
        <v>93462.915748864907</v>
      </c>
      <c r="BU49" s="2340">
        <v>93542.839846177609</v>
      </c>
      <c r="BV49" s="2340">
        <v>93742.613978882291</v>
      </c>
      <c r="BW49" s="2340">
        <v>93849.745329888261</v>
      </c>
      <c r="BX49" s="2340">
        <v>94043.711843142271</v>
      </c>
      <c r="BY49" s="2340">
        <v>94232.073288478452</v>
      </c>
      <c r="BZ49" s="2340">
        <v>94546.582232443776</v>
      </c>
      <c r="CA49" s="2340">
        <v>94723.991261821866</v>
      </c>
      <c r="CB49" s="2340">
        <v>94788.204823443361</v>
      </c>
      <c r="CC49" s="2340">
        <v>95017.758352687204</v>
      </c>
      <c r="CD49" s="2340">
        <v>95186.003236486387</v>
      </c>
      <c r="CE49" s="2340">
        <v>95316.190780186429</v>
      </c>
      <c r="CF49" s="2340">
        <v>95530.304354139356</v>
      </c>
      <c r="CG49" s="2340">
        <v>95662.729201215159</v>
      </c>
      <c r="CH49" s="2340">
        <v>95810.967036603368</v>
      </c>
      <c r="CI49" s="2340">
        <v>96012.969010402288</v>
      </c>
      <c r="CJ49" s="2340">
        <v>96079.34604338168</v>
      </c>
      <c r="CK49" s="2340">
        <v>96184.983936625023</v>
      </c>
      <c r="CL49" s="2340">
        <v>96379.347866711221</v>
      </c>
      <c r="CM49" s="2340">
        <v>96463.755722510148</v>
      </c>
      <c r="CN49" s="2340">
        <v>96578.211022865013</v>
      </c>
      <c r="CO49" s="2340">
        <v>96733.900014246872</v>
      </c>
      <c r="CP49" s="2340">
        <v>96839.895180661886</v>
      </c>
      <c r="CQ49" s="2340">
        <v>96954.492280628052</v>
      </c>
      <c r="CR49" s="2340">
        <v>96996.801843758585</v>
      </c>
      <c r="CS49" s="2340">
        <v>97115.938266187892</v>
      </c>
      <c r="CT49" s="2340">
        <v>97180.862727768035</v>
      </c>
      <c r="CU49" s="2340">
        <v>97265.37962102532</v>
      </c>
      <c r="CV49" s="2340">
        <v>97327.964050382303</v>
      </c>
      <c r="CW49" s="2340">
        <v>97365.253764720503</v>
      </c>
      <c r="CX49" s="2340">
        <v>97459.836041696763</v>
      </c>
      <c r="CY49" s="2340">
        <v>97487.085316609518</v>
      </c>
      <c r="CZ49" s="2340">
        <v>97553.298180962054</v>
      </c>
      <c r="DA49" s="2340">
        <v>97585.159125673992</v>
      </c>
      <c r="DB49" s="2340">
        <v>97681.436886581738</v>
      </c>
      <c r="DC49" s="2340">
        <v>97720.950515298638</v>
      </c>
      <c r="DD49" s="2340">
        <v>97772.292641490014</v>
      </c>
      <c r="DE49" s="2340">
        <v>97814.88623540345</v>
      </c>
      <c r="DF49" s="2340">
        <v>97886.981577270417</v>
      </c>
      <c r="DG49" s="2340">
        <v>97937.373166411286</v>
      </c>
      <c r="DH49" s="2340">
        <v>97977.267955093877</v>
      </c>
      <c r="DI49" s="2340">
        <v>98016.040122266742</v>
      </c>
      <c r="DJ49" s="2340">
        <v>98091.499891855477</v>
      </c>
      <c r="DK49" s="2340">
        <v>98129.735139763798</v>
      </c>
      <c r="DL49" s="2340">
        <v>98152.622854541391</v>
      </c>
      <c r="DM49" s="2340">
        <v>98199.794143907464</v>
      </c>
      <c r="DN49" s="2340">
        <v>98218.5991039324</v>
      </c>
      <c r="DO49" s="2340">
        <v>98273.33611626504</v>
      </c>
      <c r="DP49" s="2340">
        <v>98316.034249136719</v>
      </c>
      <c r="DQ49" s="2340">
        <v>98346.580374742494</v>
      </c>
      <c r="DR49" s="2340">
        <v>98406.508027916148</v>
      </c>
      <c r="DS49" s="2340">
        <v>98428.264940805937</v>
      </c>
      <c r="DT49" s="2340">
        <v>98474.43340121978</v>
      </c>
      <c r="DU49" s="2340">
        <v>98519.086331882325</v>
      </c>
    </row>
    <row r="50" spans="1:125" ht="12.75">
      <c r="A50" s="131">
        <v>48</v>
      </c>
      <c r="B50" s="132"/>
      <c r="C50" s="132"/>
      <c r="D50" s="132"/>
      <c r="E50" s="132"/>
      <c r="F50" s="132"/>
      <c r="G50" s="132"/>
      <c r="H50" s="132"/>
      <c r="I50" s="132"/>
      <c r="J50" s="132"/>
      <c r="K50" s="132"/>
      <c r="L50" s="132"/>
      <c r="M50" s="132"/>
      <c r="N50" s="132"/>
      <c r="O50" s="132"/>
      <c r="P50" s="132"/>
      <c r="Q50" s="132"/>
      <c r="R50" s="132"/>
      <c r="S50" s="132"/>
      <c r="T50" s="132"/>
      <c r="U50" s="132"/>
      <c r="V50" s="132"/>
      <c r="W50" s="132">
        <v>72991</v>
      </c>
      <c r="X50" s="132">
        <v>73738</v>
      </c>
      <c r="Y50" s="132">
        <v>73859.840946832788</v>
      </c>
      <c r="Z50" s="132">
        <v>76036.311869729267</v>
      </c>
      <c r="AA50" s="2340">
        <v>76389.527030120778</v>
      </c>
      <c r="AB50" s="2340">
        <v>77052.59983119354</v>
      </c>
      <c r="AC50" s="2340">
        <v>77816.162720775581</v>
      </c>
      <c r="AD50" s="2340">
        <v>78769.672264345994</v>
      </c>
      <c r="AE50" s="2340">
        <v>78716.471328078303</v>
      </c>
      <c r="AF50" s="2340">
        <v>79996.659520517002</v>
      </c>
      <c r="AG50" s="2340">
        <v>80368.444360882451</v>
      </c>
      <c r="AH50" s="2340">
        <v>80876.108150898159</v>
      </c>
      <c r="AI50" s="2340">
        <v>81165.13159319757</v>
      </c>
      <c r="AJ50" s="2340">
        <v>82411.910518606906</v>
      </c>
      <c r="AK50" s="2340">
        <v>82360.197776981295</v>
      </c>
      <c r="AL50" s="2340">
        <v>82691.597102260828</v>
      </c>
      <c r="AM50" s="2340">
        <v>83070.780326383814</v>
      </c>
      <c r="AN50" s="2340">
        <v>83557.429875533548</v>
      </c>
      <c r="AO50" s="2340">
        <v>83515.025604228082</v>
      </c>
      <c r="AP50" s="2340">
        <v>83721.869026041371</v>
      </c>
      <c r="AQ50" s="2340">
        <v>83869.584413848905</v>
      </c>
      <c r="AR50" s="2340">
        <v>84067.022670829814</v>
      </c>
      <c r="AS50" s="2340">
        <v>83528.64327488438</v>
      </c>
      <c r="AT50" s="2340">
        <v>82841.097921815308</v>
      </c>
      <c r="AU50" s="2340">
        <v>81486.346991619197</v>
      </c>
      <c r="AV50" s="2340">
        <v>82025.112199834155</v>
      </c>
      <c r="AW50" s="2340">
        <v>82542.618419130435</v>
      </c>
      <c r="AX50" s="2340">
        <v>84857.102862108935</v>
      </c>
      <c r="AY50" s="2340">
        <v>86768.750241103146</v>
      </c>
      <c r="AZ50" s="2340">
        <v>86709.311230322972</v>
      </c>
      <c r="BA50" s="2340">
        <v>86707.819023868011</v>
      </c>
      <c r="BB50" s="2340">
        <v>87491.49834773902</v>
      </c>
      <c r="BC50" s="2340">
        <v>87722.996686256112</v>
      </c>
      <c r="BD50" s="2340">
        <v>88244.692208150635</v>
      </c>
      <c r="BE50" s="2340">
        <v>88380.721166672884</v>
      </c>
      <c r="BF50" s="2340">
        <v>88863.670249854651</v>
      </c>
      <c r="BG50" s="2340">
        <v>88940.252128515116</v>
      </c>
      <c r="BH50" s="2340">
        <v>89482.00796086232</v>
      </c>
      <c r="BI50" s="2340">
        <v>89854.517762391552</v>
      </c>
      <c r="BJ50" s="2340">
        <v>90139.501766974106</v>
      </c>
      <c r="BK50" s="2340">
        <v>90584.151092928048</v>
      </c>
      <c r="BL50" s="2340">
        <v>91081.987810944542</v>
      </c>
      <c r="BM50" s="2340">
        <v>91568.698648353267</v>
      </c>
      <c r="BN50" s="2340">
        <v>91999.160485530898</v>
      </c>
      <c r="BO50" s="2340">
        <v>92382.927317336434</v>
      </c>
      <c r="BP50" s="2340">
        <v>92604.756484494923</v>
      </c>
      <c r="BQ50" s="2340">
        <v>92819.50106203949</v>
      </c>
      <c r="BR50" s="2340">
        <v>93023.740464548711</v>
      </c>
      <c r="BS50" s="2340">
        <v>93073.479817659754</v>
      </c>
      <c r="BT50" s="2340">
        <v>93243.050824724196</v>
      </c>
      <c r="BU50" s="2340">
        <v>93319.367054701375</v>
      </c>
      <c r="BV50" s="2340">
        <v>93531.934862921713</v>
      </c>
      <c r="BW50" s="2340">
        <v>93623.976261125877</v>
      </c>
      <c r="BX50" s="2340">
        <v>93802.569837126794</v>
      </c>
      <c r="BY50" s="2340">
        <v>93999.288418254859</v>
      </c>
      <c r="BZ50" s="2340">
        <v>94317.766746421679</v>
      </c>
      <c r="CA50" s="2340">
        <v>94499.405021556973</v>
      </c>
      <c r="CB50" s="2340">
        <v>94568.033359468405</v>
      </c>
      <c r="CC50" s="2340">
        <v>94801.538738375049</v>
      </c>
      <c r="CD50" s="2340">
        <v>94973.802456614299</v>
      </c>
      <c r="CE50" s="2340">
        <v>95108.017906201349</v>
      </c>
      <c r="CF50" s="2340">
        <v>95325.903739384201</v>
      </c>
      <c r="CG50" s="2340">
        <v>95462.204730244062</v>
      </c>
      <c r="CH50" s="2340">
        <v>95614.213108291413</v>
      </c>
      <c r="CI50" s="2340">
        <v>95819.807023418078</v>
      </c>
      <c r="CJ50" s="2340">
        <v>95889.978572432665</v>
      </c>
      <c r="CK50" s="2340">
        <v>95999.260721376239</v>
      </c>
      <c r="CL50" s="2340">
        <v>96196.958879163925</v>
      </c>
      <c r="CM50" s="2340">
        <v>96284.845766780927</v>
      </c>
      <c r="CN50" s="2340">
        <v>96402.659253797014</v>
      </c>
      <c r="CO50" s="2340">
        <v>96561.570182594238</v>
      </c>
      <c r="CP50" s="2340">
        <v>96670.815355819694</v>
      </c>
      <c r="CQ50" s="2340">
        <v>96788.586649360339</v>
      </c>
      <c r="CR50" s="2340">
        <v>96834.132273888012</v>
      </c>
      <c r="CS50" s="2340">
        <v>96956.315392185803</v>
      </c>
      <c r="CT50" s="2340">
        <v>97024.317051096354</v>
      </c>
      <c r="CU50" s="2340">
        <v>97111.820956495401</v>
      </c>
      <c r="CV50" s="2340">
        <v>97177.369453116262</v>
      </c>
      <c r="CW50" s="2340">
        <v>97217.604439969175</v>
      </c>
      <c r="CX50" s="2340">
        <v>97314.989258793852</v>
      </c>
      <c r="CY50" s="2340">
        <v>97345.086091079458</v>
      </c>
      <c r="CZ50" s="2340">
        <v>97414.034920374877</v>
      </c>
      <c r="DA50" s="2340">
        <v>97448.62723978718</v>
      </c>
      <c r="DB50" s="2340">
        <v>97547.494489725665</v>
      </c>
      <c r="DC50" s="2340">
        <v>97589.624906798781</v>
      </c>
      <c r="DD50" s="2340">
        <v>97643.517139801595</v>
      </c>
      <c r="DE50" s="2340">
        <v>97688.622649839963</v>
      </c>
      <c r="DF50" s="2340">
        <v>97763.143610450526</v>
      </c>
      <c r="DG50" s="2340">
        <v>97815.941196609623</v>
      </c>
      <c r="DH50" s="2340">
        <v>97858.208024198189</v>
      </c>
      <c r="DI50" s="2340">
        <v>97899.307251474893</v>
      </c>
      <c r="DJ50" s="2340">
        <v>97977.005793621589</v>
      </c>
      <c r="DK50" s="2340">
        <v>98017.479527061078</v>
      </c>
      <c r="DL50" s="2340">
        <v>98042.579186089511</v>
      </c>
      <c r="DM50" s="2340">
        <v>98091.892157442344</v>
      </c>
      <c r="DN50" s="2340">
        <v>98112.82768986054</v>
      </c>
      <c r="DO50" s="2340">
        <v>98169.615285453547</v>
      </c>
      <c r="DP50" s="2340">
        <v>98214.336731565301</v>
      </c>
      <c r="DQ50" s="2340">
        <v>98246.87903924736</v>
      </c>
      <c r="DR50" s="2340">
        <v>98308.734509090296</v>
      </c>
      <c r="DS50" s="2340">
        <v>98332.419167349988</v>
      </c>
      <c r="DT50" s="2340">
        <v>98380.454072232154</v>
      </c>
      <c r="DU50" s="2340">
        <v>98426.938539090974</v>
      </c>
    </row>
    <row r="51" spans="1:125" ht="12.75">
      <c r="A51" s="131">
        <v>49</v>
      </c>
      <c r="B51" s="132"/>
      <c r="C51" s="132"/>
      <c r="D51" s="132"/>
      <c r="E51" s="132"/>
      <c r="F51" s="132"/>
      <c r="G51" s="132"/>
      <c r="H51" s="132"/>
      <c r="I51" s="132"/>
      <c r="J51" s="132"/>
      <c r="K51" s="132"/>
      <c r="L51" s="132"/>
      <c r="M51" s="132"/>
      <c r="N51" s="132"/>
      <c r="O51" s="132"/>
      <c r="P51" s="132"/>
      <c r="Q51" s="132"/>
      <c r="R51" s="132"/>
      <c r="S51" s="132"/>
      <c r="T51" s="132"/>
      <c r="U51" s="132"/>
      <c r="V51" s="132"/>
      <c r="W51" s="132">
        <v>72528</v>
      </c>
      <c r="X51" s="132">
        <v>73290</v>
      </c>
      <c r="Y51" s="132">
        <v>73410.54085107577</v>
      </c>
      <c r="Z51" s="132">
        <v>75563.160827347601</v>
      </c>
      <c r="AA51" s="2340">
        <v>75926.794687697082</v>
      </c>
      <c r="AB51" s="2340">
        <v>76576.695287671188</v>
      </c>
      <c r="AC51" s="2340">
        <v>77340.051733055312</v>
      </c>
      <c r="AD51" s="2340">
        <v>78284.231190023929</v>
      </c>
      <c r="AE51" s="2340">
        <v>78213.191606026594</v>
      </c>
      <c r="AF51" s="2340">
        <v>79476.165722485966</v>
      </c>
      <c r="AG51" s="2340">
        <v>79869.062241366002</v>
      </c>
      <c r="AH51" s="2340">
        <v>80373.511058731325</v>
      </c>
      <c r="AI51" s="2340">
        <v>80672.34310930167</v>
      </c>
      <c r="AJ51" s="2340">
        <v>81946.914616502792</v>
      </c>
      <c r="AK51" s="2340">
        <v>81899.329850061258</v>
      </c>
      <c r="AL51" s="2340">
        <v>82230.165769988365</v>
      </c>
      <c r="AM51" s="2340">
        <v>82630.275100755971</v>
      </c>
      <c r="AN51" s="2340">
        <v>83118.480609607897</v>
      </c>
      <c r="AO51" s="2340">
        <v>83083.706235665552</v>
      </c>
      <c r="AP51" s="2340">
        <v>83312.242107842452</v>
      </c>
      <c r="AQ51" s="2340">
        <v>83446.386243138666</v>
      </c>
      <c r="AR51" s="2340">
        <v>83653.584442429594</v>
      </c>
      <c r="AS51" s="2340">
        <v>83111.561529686369</v>
      </c>
      <c r="AT51" s="2340">
        <v>82412.544657203514</v>
      </c>
      <c r="AU51" s="2340">
        <v>81085.355099279914</v>
      </c>
      <c r="AV51" s="2340">
        <v>81640.986211980111</v>
      </c>
      <c r="AW51" s="2340">
        <v>82163.788699043202</v>
      </c>
      <c r="AX51" s="2340">
        <v>84482.985252264683</v>
      </c>
      <c r="AY51" s="2340">
        <v>86394.907826823663</v>
      </c>
      <c r="AZ51" s="2340">
        <v>86325.929021043659</v>
      </c>
      <c r="BA51" s="2340">
        <v>86340.579373682922</v>
      </c>
      <c r="BB51" s="2340">
        <v>87111.784685558261</v>
      </c>
      <c r="BC51" s="2340">
        <v>87359.442631134123</v>
      </c>
      <c r="BD51" s="2340">
        <v>87875.608232090177</v>
      </c>
      <c r="BE51" s="2340">
        <v>88020.988952300948</v>
      </c>
      <c r="BF51" s="2340">
        <v>88521.57028879998</v>
      </c>
      <c r="BG51" s="2340">
        <v>88602.374007157996</v>
      </c>
      <c r="BH51" s="2340">
        <v>89156.455302692033</v>
      </c>
      <c r="BI51" s="2340">
        <v>89532.980188018017</v>
      </c>
      <c r="BJ51" s="2340">
        <v>89832.948827767235</v>
      </c>
      <c r="BK51" s="2340">
        <v>90280.414685643715</v>
      </c>
      <c r="BL51" s="2340">
        <v>90786.445125217637</v>
      </c>
      <c r="BM51" s="2340">
        <v>91298.339688555308</v>
      </c>
      <c r="BN51" s="2340">
        <v>91733.739649225477</v>
      </c>
      <c r="BO51" s="2340">
        <v>92116.218351357704</v>
      </c>
      <c r="BP51" s="2340">
        <v>92338.475384156016</v>
      </c>
      <c r="BQ51" s="2340">
        <v>92569.422319203499</v>
      </c>
      <c r="BR51" s="2340">
        <v>92774.733165721598</v>
      </c>
      <c r="BS51" s="2340">
        <v>92826.880810632021</v>
      </c>
      <c r="BT51" s="2340">
        <v>93001.684481158882</v>
      </c>
      <c r="BU51" s="2340">
        <v>93080.183390580467</v>
      </c>
      <c r="BV51" s="2340">
        <v>93278.88235432528</v>
      </c>
      <c r="BW51" s="2340">
        <v>93370.28176859321</v>
      </c>
      <c r="BX51" s="2340">
        <v>93544.776551018658</v>
      </c>
      <c r="BY51" s="2340">
        <v>93746.155478803907</v>
      </c>
      <c r="BZ51" s="2340">
        <v>94068.889704794987</v>
      </c>
      <c r="CA51" s="2340">
        <v>94255.068925093976</v>
      </c>
      <c r="CB51" s="2340">
        <v>94328.44255539935</v>
      </c>
      <c r="CC51" s="2340">
        <v>94566.191880509024</v>
      </c>
      <c r="CD51" s="2340">
        <v>94742.77474601593</v>
      </c>
      <c r="CE51" s="2340">
        <v>94881.321513473158</v>
      </c>
      <c r="CF51" s="2340">
        <v>95103.262484919571</v>
      </c>
      <c r="CG51" s="2340">
        <v>95243.733929861482</v>
      </c>
      <c r="CH51" s="2340">
        <v>95399.799855689897</v>
      </c>
      <c r="CI51" s="2340">
        <v>95609.258746265754</v>
      </c>
      <c r="CJ51" s="2340">
        <v>95683.518130712822</v>
      </c>
      <c r="CK51" s="2340">
        <v>95796.639145650086</v>
      </c>
      <c r="CL51" s="2340">
        <v>95997.922110795291</v>
      </c>
      <c r="CM51" s="2340">
        <v>96089.553935763892</v>
      </c>
      <c r="CN51" s="2340">
        <v>96210.982554807633</v>
      </c>
      <c r="CO51" s="2340">
        <v>96373.361872236113</v>
      </c>
      <c r="CP51" s="2340">
        <v>96486.108069642709</v>
      </c>
      <c r="CQ51" s="2340">
        <v>96607.299523698501</v>
      </c>
      <c r="CR51" s="2340">
        <v>96656.334856009475</v>
      </c>
      <c r="CS51" s="2340">
        <v>96781.802604420751</v>
      </c>
      <c r="CT51" s="2340">
        <v>96853.124084783878</v>
      </c>
      <c r="CU51" s="2340">
        <v>96943.851007776815</v>
      </c>
      <c r="CV51" s="2340">
        <v>97012.599203414429</v>
      </c>
      <c r="CW51" s="2340">
        <v>97056.01508562472</v>
      </c>
      <c r="CX51" s="2340">
        <v>97156.426300944135</v>
      </c>
      <c r="CY51" s="2340">
        <v>97189.600480904453</v>
      </c>
      <c r="CZ51" s="2340">
        <v>97261.506114481235</v>
      </c>
      <c r="DA51" s="2340">
        <v>97299.051819177679</v>
      </c>
      <c r="DB51" s="2340">
        <v>97400.718575080886</v>
      </c>
      <c r="DC51" s="2340">
        <v>97445.679936524408</v>
      </c>
      <c r="DD51" s="2340">
        <v>97502.331531540069</v>
      </c>
      <c r="DE51" s="2340">
        <v>97550.156004566888</v>
      </c>
      <c r="DF51" s="2340">
        <v>97627.302722657507</v>
      </c>
      <c r="DG51" s="2340">
        <v>97682.705940659624</v>
      </c>
      <c r="DH51" s="2340">
        <v>97727.542519470953</v>
      </c>
      <c r="DI51" s="2340">
        <v>97771.163486570455</v>
      </c>
      <c r="DJ51" s="2340">
        <v>97851.288161297809</v>
      </c>
      <c r="DK51" s="2340">
        <v>97894.188994107564</v>
      </c>
      <c r="DL51" s="2340">
        <v>97921.687872631417</v>
      </c>
      <c r="DM51" s="2340">
        <v>97973.324115005234</v>
      </c>
      <c r="DN51" s="2340">
        <v>97996.571924532196</v>
      </c>
      <c r="DO51" s="2340">
        <v>98055.585064674393</v>
      </c>
      <c r="DP51" s="2340">
        <v>98102.5032273416</v>
      </c>
      <c r="DQ51" s="2340">
        <v>98137.213550674962</v>
      </c>
      <c r="DR51" s="2340">
        <v>98201.16294349388</v>
      </c>
      <c r="DS51" s="2340">
        <v>98226.942529771535</v>
      </c>
      <c r="DT51" s="2340">
        <v>98277.005965951801</v>
      </c>
      <c r="DU51" s="2340">
        <v>98325.481573660945</v>
      </c>
    </row>
    <row r="52" spans="1:125" ht="12.75">
      <c r="A52" s="131">
        <v>50</v>
      </c>
      <c r="B52" s="132"/>
      <c r="C52" s="132"/>
      <c r="D52" s="132"/>
      <c r="E52" s="132"/>
      <c r="F52" s="132"/>
      <c r="G52" s="132"/>
      <c r="H52" s="132"/>
      <c r="I52" s="132"/>
      <c r="J52" s="132"/>
      <c r="K52" s="132"/>
      <c r="L52" s="132"/>
      <c r="M52" s="132"/>
      <c r="N52" s="132"/>
      <c r="O52" s="132"/>
      <c r="P52" s="132"/>
      <c r="Q52" s="132"/>
      <c r="R52" s="132"/>
      <c r="S52" s="132"/>
      <c r="T52" s="132"/>
      <c r="U52" s="132"/>
      <c r="V52" s="132"/>
      <c r="W52" s="132">
        <v>72045</v>
      </c>
      <c r="X52" s="132">
        <v>72812</v>
      </c>
      <c r="Y52" s="132">
        <v>72912.104457008041</v>
      </c>
      <c r="Z52" s="132">
        <v>75052.214301503132</v>
      </c>
      <c r="AA52" s="2340">
        <v>75409.02443831852</v>
      </c>
      <c r="AB52" s="2340">
        <v>76056.631583438648</v>
      </c>
      <c r="AC52" s="2340">
        <v>76832.092332110187</v>
      </c>
      <c r="AD52" s="2340">
        <v>77752.077130379432</v>
      </c>
      <c r="AE52" s="2340">
        <v>77659.555702431855</v>
      </c>
      <c r="AF52" s="2340">
        <v>78918.117737377223</v>
      </c>
      <c r="AG52" s="2340">
        <v>79319.365345795915</v>
      </c>
      <c r="AH52" s="2340">
        <v>79832.499102933652</v>
      </c>
      <c r="AI52" s="2340">
        <v>80152.272935182889</v>
      </c>
      <c r="AJ52" s="2340">
        <v>81443.739052194418</v>
      </c>
      <c r="AK52" s="2340">
        <v>81400.124168223949</v>
      </c>
      <c r="AL52" s="2340">
        <v>81744.809117361234</v>
      </c>
      <c r="AM52" s="2340">
        <v>82161.512668883021</v>
      </c>
      <c r="AN52" s="2340">
        <v>82658.277141682964</v>
      </c>
      <c r="AO52" s="2340">
        <v>82627.659286582115</v>
      </c>
      <c r="AP52" s="2340">
        <v>82854.9828806976</v>
      </c>
      <c r="AQ52" s="2340">
        <v>82963.257533292766</v>
      </c>
      <c r="AR52" s="2340">
        <v>83210.203682050735</v>
      </c>
      <c r="AS52" s="2340">
        <v>82657.02888883157</v>
      </c>
      <c r="AT52" s="2340">
        <v>81970.92040246875</v>
      </c>
      <c r="AU52" s="2340">
        <v>80646.854477444984</v>
      </c>
      <c r="AV52" s="2340">
        <v>81208.866278819041</v>
      </c>
      <c r="AW52" s="2340">
        <v>81761.133744665305</v>
      </c>
      <c r="AX52" s="2340">
        <v>84090.510485292587</v>
      </c>
      <c r="AY52" s="2340">
        <v>86003.208664682024</v>
      </c>
      <c r="AZ52" s="2340">
        <v>85921.390862187065</v>
      </c>
      <c r="BA52" s="2340">
        <v>85943.102316660923</v>
      </c>
      <c r="BB52" s="2340">
        <v>86715.751878619078</v>
      </c>
      <c r="BC52" s="2340">
        <v>86959.137226128398</v>
      </c>
      <c r="BD52" s="2340">
        <v>87480.973562373052</v>
      </c>
      <c r="BE52" s="2340">
        <v>87646.161066325891</v>
      </c>
      <c r="BF52" s="2340">
        <v>88153.673678863459</v>
      </c>
      <c r="BG52" s="2340">
        <v>88233.681601139033</v>
      </c>
      <c r="BH52" s="2340">
        <v>88809.306516493525</v>
      </c>
      <c r="BI52" s="2340">
        <v>89190.846172867386</v>
      </c>
      <c r="BJ52" s="2340">
        <v>89499.795250956842</v>
      </c>
      <c r="BK52" s="2340">
        <v>89955.708199364788</v>
      </c>
      <c r="BL52" s="2340">
        <v>90472.875410022272</v>
      </c>
      <c r="BM52" s="2340">
        <v>90986.775452942369</v>
      </c>
      <c r="BN52" s="2340">
        <v>91436.459240575598</v>
      </c>
      <c r="BO52" s="2340">
        <v>91823.893117614105</v>
      </c>
      <c r="BP52" s="2340">
        <v>92052.093570849276</v>
      </c>
      <c r="BQ52" s="2340">
        <v>92292.763096652023</v>
      </c>
      <c r="BR52" s="2340">
        <v>92508.104811979763</v>
      </c>
      <c r="BS52" s="2340">
        <v>92556.588327523219</v>
      </c>
      <c r="BT52" s="2340">
        <v>92741.701368994254</v>
      </c>
      <c r="BU52" s="2340">
        <v>92785.612994029827</v>
      </c>
      <c r="BV52" s="2340">
        <v>92980.905373664718</v>
      </c>
      <c r="BW52" s="2340">
        <v>93084.793768365344</v>
      </c>
      <c r="BX52" s="2340">
        <v>93264.464572220619</v>
      </c>
      <c r="BY52" s="2340">
        <v>93470.847683939166</v>
      </c>
      <c r="BZ52" s="2340">
        <v>93798.148731554189</v>
      </c>
      <c r="CA52" s="2340">
        <v>93989.207328071774</v>
      </c>
      <c r="CB52" s="2340">
        <v>94067.685250308525</v>
      </c>
      <c r="CC52" s="2340">
        <v>94309.995702299697</v>
      </c>
      <c r="CD52" s="2340">
        <v>94491.223905788749</v>
      </c>
      <c r="CE52" s="2340">
        <v>94634.431613569948</v>
      </c>
      <c r="CF52" s="2340">
        <v>94860.735012652658</v>
      </c>
      <c r="CG52" s="2340">
        <v>95005.696712814242</v>
      </c>
      <c r="CH52" s="2340">
        <v>95166.132071204818</v>
      </c>
      <c r="CI52" s="2340">
        <v>95379.752634886521</v>
      </c>
      <c r="CJ52" s="2340">
        <v>95458.315029498088</v>
      </c>
      <c r="CK52" s="2340">
        <v>95575.56882941036</v>
      </c>
      <c r="CL52" s="2340">
        <v>95780.70955761701</v>
      </c>
      <c r="CM52" s="2340">
        <v>95876.37602919605</v>
      </c>
      <c r="CN52" s="2340">
        <v>96001.699727526764</v>
      </c>
      <c r="CO52" s="2340">
        <v>96167.815942595582</v>
      </c>
      <c r="CP52" s="2340">
        <v>96284.336678305554</v>
      </c>
      <c r="CQ52" s="2340">
        <v>96409.216311339667</v>
      </c>
      <c r="CR52" s="2340">
        <v>96462.01777449713</v>
      </c>
      <c r="CS52" s="2340">
        <v>96591.029436736688</v>
      </c>
      <c r="CT52" s="2340">
        <v>96665.935161542468</v>
      </c>
      <c r="CU52" s="2340">
        <v>96760.142314494296</v>
      </c>
      <c r="CV52" s="2340">
        <v>96832.347030416524</v>
      </c>
      <c r="CW52" s="2340">
        <v>96879.20063635867</v>
      </c>
      <c r="CX52" s="2340">
        <v>96982.882239748884</v>
      </c>
      <c r="CY52" s="2340">
        <v>97019.384257908823</v>
      </c>
      <c r="CZ52" s="2340">
        <v>97094.48742518817</v>
      </c>
      <c r="DA52" s="2340">
        <v>97135.228539194577</v>
      </c>
      <c r="DB52" s="2340">
        <v>97239.92373881214</v>
      </c>
      <c r="DC52" s="2340">
        <v>97287.949518156674</v>
      </c>
      <c r="DD52" s="2340">
        <v>97347.58860932177</v>
      </c>
      <c r="DE52" s="2340">
        <v>97398.357780941195</v>
      </c>
      <c r="DF52" s="2340">
        <v>97478.348458690278</v>
      </c>
      <c r="DG52" s="2340">
        <v>97536.574973414448</v>
      </c>
      <c r="DH52" s="2340">
        <v>97584.196880990829</v>
      </c>
      <c r="DI52" s="2340">
        <v>97630.551864961482</v>
      </c>
      <c r="DJ52" s="2340">
        <v>97713.306964101066</v>
      </c>
      <c r="DK52" s="2340">
        <v>97758.840570359549</v>
      </c>
      <c r="DL52" s="2340">
        <v>97788.942892010644</v>
      </c>
      <c r="DM52" s="2340">
        <v>97843.100427459634</v>
      </c>
      <c r="DN52" s="2340">
        <v>97868.858674341725</v>
      </c>
      <c r="DO52" s="2340">
        <v>97930.288161485732</v>
      </c>
      <c r="DP52" s="2340">
        <v>97979.59215176705</v>
      </c>
      <c r="DQ52" s="2340">
        <v>98016.657897405588</v>
      </c>
      <c r="DR52" s="2340">
        <v>98082.882371234926</v>
      </c>
      <c r="DS52" s="2340">
        <v>98110.939230746051</v>
      </c>
      <c r="DT52" s="2340">
        <v>98163.20798430001</v>
      </c>
      <c r="DU52" s="2340">
        <v>98213.848816192869</v>
      </c>
    </row>
    <row r="53" spans="1:125" ht="12.75">
      <c r="A53" s="131">
        <v>51</v>
      </c>
      <c r="B53" s="132"/>
      <c r="C53" s="132"/>
      <c r="D53" s="132"/>
      <c r="E53" s="132"/>
      <c r="F53" s="132"/>
      <c r="G53" s="132"/>
      <c r="H53" s="132"/>
      <c r="I53" s="132"/>
      <c r="J53" s="132"/>
      <c r="K53" s="132"/>
      <c r="L53" s="132"/>
      <c r="M53" s="132"/>
      <c r="N53" s="132"/>
      <c r="O53" s="132"/>
      <c r="P53" s="132"/>
      <c r="Q53" s="132"/>
      <c r="R53" s="132"/>
      <c r="S53" s="132"/>
      <c r="T53" s="132"/>
      <c r="U53" s="132"/>
      <c r="V53" s="132"/>
      <c r="W53" s="132">
        <v>71500</v>
      </c>
      <c r="X53" s="132">
        <v>72271</v>
      </c>
      <c r="Y53" s="132">
        <v>72389.081125217854</v>
      </c>
      <c r="Z53" s="132">
        <v>74497.283128170748</v>
      </c>
      <c r="AA53" s="2340">
        <v>74855.127610456941</v>
      </c>
      <c r="AB53" s="2340">
        <v>75500.137190652516</v>
      </c>
      <c r="AC53" s="2340">
        <v>76253.119357280739</v>
      </c>
      <c r="AD53" s="2340">
        <v>77176.893330063671</v>
      </c>
      <c r="AE53" s="2340">
        <v>77064.78934254199</v>
      </c>
      <c r="AF53" s="2340">
        <v>78318.21781375556</v>
      </c>
      <c r="AG53" s="2340">
        <v>78736.049891653543</v>
      </c>
      <c r="AH53" s="2340">
        <v>79243.981192239269</v>
      </c>
      <c r="AI53" s="2340">
        <v>79571.886494226215</v>
      </c>
      <c r="AJ53" s="2340">
        <v>80883.584435045792</v>
      </c>
      <c r="AK53" s="2340">
        <v>80856.896097384975</v>
      </c>
      <c r="AL53" s="2340">
        <v>81212.981065888787</v>
      </c>
      <c r="AM53" s="2340">
        <v>81649.20524320587</v>
      </c>
      <c r="AN53" s="2340">
        <v>82143.231475762092</v>
      </c>
      <c r="AO53" s="2340">
        <v>82118.594239715516</v>
      </c>
      <c r="AP53" s="2340">
        <v>82329.457688486582</v>
      </c>
      <c r="AQ53" s="2340">
        <v>82439.847218750685</v>
      </c>
      <c r="AR53" s="2340">
        <v>82716.870481022343</v>
      </c>
      <c r="AS53" s="2340">
        <v>82163.662583621393</v>
      </c>
      <c r="AT53" s="2340">
        <v>81497.923037031156</v>
      </c>
      <c r="AU53" s="2340">
        <v>80171.774625266567</v>
      </c>
      <c r="AV53" s="2340">
        <v>80771.644565431125</v>
      </c>
      <c r="AW53" s="2340">
        <v>81325.633346757633</v>
      </c>
      <c r="AX53" s="2340">
        <v>83676.104200289454</v>
      </c>
      <c r="AY53" s="2340">
        <v>85563.801443617544</v>
      </c>
      <c r="AZ53" s="2340">
        <v>85502.371904626809</v>
      </c>
      <c r="BA53" s="2340">
        <v>85511.295094161978</v>
      </c>
      <c r="BB53" s="2340">
        <v>86287.069331301274</v>
      </c>
      <c r="BC53" s="2340">
        <v>86528.65297315456</v>
      </c>
      <c r="BD53" s="2340">
        <v>87067.659544054826</v>
      </c>
      <c r="BE53" s="2340">
        <v>87248.036706793675</v>
      </c>
      <c r="BF53" s="2340">
        <v>87766.093061295556</v>
      </c>
      <c r="BG53" s="2340">
        <v>87848.817722922395</v>
      </c>
      <c r="BH53" s="2340">
        <v>88440.033527733554</v>
      </c>
      <c r="BI53" s="2340">
        <v>88824.804129837095</v>
      </c>
      <c r="BJ53" s="2340">
        <v>89139.618632424899</v>
      </c>
      <c r="BK53" s="2340">
        <v>89602.766672778962</v>
      </c>
      <c r="BL53" s="2340">
        <v>90134.60258184839</v>
      </c>
      <c r="BM53" s="2340">
        <v>90668.448377947614</v>
      </c>
      <c r="BN53" s="2340">
        <v>91106.582901932939</v>
      </c>
      <c r="BO53" s="2340">
        <v>91506.108336582809</v>
      </c>
      <c r="BP53" s="2340">
        <v>91751.708603568681</v>
      </c>
      <c r="BQ53" s="2340">
        <v>91985.792038192958</v>
      </c>
      <c r="BR53" s="2340">
        <v>92212.126940183574</v>
      </c>
      <c r="BS53" s="2340">
        <v>92269.494025771943</v>
      </c>
      <c r="BT53" s="2340">
        <v>92429.165478895375</v>
      </c>
      <c r="BU53" s="2340">
        <v>92460.945286949034</v>
      </c>
      <c r="BV53" s="2340">
        <v>92665.151709436264</v>
      </c>
      <c r="BW53" s="2340">
        <v>92774.949351464791</v>
      </c>
      <c r="BX53" s="2340">
        <v>92960.171937162988</v>
      </c>
      <c r="BY53" s="2340">
        <v>93171.923035807034</v>
      </c>
      <c r="BZ53" s="2340">
        <v>93504.1197646691</v>
      </c>
      <c r="CA53" s="2340">
        <v>93700.416002870072</v>
      </c>
      <c r="CB53" s="2340">
        <v>93784.378501834391</v>
      </c>
      <c r="CC53" s="2340">
        <v>94031.585918497804</v>
      </c>
      <c r="CD53" s="2340">
        <v>94217.804995606522</v>
      </c>
      <c r="CE53" s="2340">
        <v>94366.022932897642</v>
      </c>
      <c r="CF53" s="2340">
        <v>94597.01434270016</v>
      </c>
      <c r="CG53" s="2340">
        <v>94746.805304631227</v>
      </c>
      <c r="CH53" s="2340">
        <v>94911.94075232248</v>
      </c>
      <c r="CI53" s="2340">
        <v>95129.916148251563</v>
      </c>
      <c r="CJ53" s="2340">
        <v>95213.106929465168</v>
      </c>
      <c r="CK53" s="2340">
        <v>95334.806068209306</v>
      </c>
      <c r="CL53" s="2340">
        <v>95544.094788073606</v>
      </c>
      <c r="CM53" s="2340">
        <v>95644.104068604618</v>
      </c>
      <c r="CN53" s="2340">
        <v>95773.620636223801</v>
      </c>
      <c r="CO53" s="2340">
        <v>95943.759374012254</v>
      </c>
      <c r="CP53" s="2340">
        <v>96064.345661900355</v>
      </c>
      <c r="CQ53" s="2340">
        <v>96193.198663954332</v>
      </c>
      <c r="CR53" s="2340">
        <v>96250.060465344344</v>
      </c>
      <c r="CS53" s="2340">
        <v>96382.891988506133</v>
      </c>
      <c r="CT53" s="2340">
        <v>96461.663433065929</v>
      </c>
      <c r="CU53" s="2340">
        <v>96559.624629777449</v>
      </c>
      <c r="CV53" s="2340">
        <v>96635.559299863278</v>
      </c>
      <c r="CW53" s="2340">
        <v>96686.124107943469</v>
      </c>
      <c r="CX53" s="2340">
        <v>96793.335902160557</v>
      </c>
      <c r="CY53" s="2340">
        <v>96833.432537603614</v>
      </c>
      <c r="CZ53" s="2340">
        <v>96911.989624195296</v>
      </c>
      <c r="DA53" s="2340">
        <v>96956.183948495396</v>
      </c>
      <c r="DB53" s="2340">
        <v>97064.151443578725</v>
      </c>
      <c r="DC53" s="2340">
        <v>97115.49036857074</v>
      </c>
      <c r="DD53" s="2340">
        <v>97178.360008349424</v>
      </c>
      <c r="DE53" s="2340">
        <v>97232.31439676859</v>
      </c>
      <c r="DF53" s="2340">
        <v>97315.381530205312</v>
      </c>
      <c r="DG53" s="2340">
        <v>97376.663290130353</v>
      </c>
      <c r="DH53" s="2340">
        <v>97427.300270360152</v>
      </c>
      <c r="DI53" s="2340">
        <v>97476.615513209428</v>
      </c>
      <c r="DJ53" s="2340">
        <v>97562.21876905988</v>
      </c>
      <c r="DK53" s="2340">
        <v>97610.604381959594</v>
      </c>
      <c r="DL53" s="2340">
        <v>97643.527852858198</v>
      </c>
      <c r="DM53" s="2340">
        <v>97700.417781278287</v>
      </c>
      <c r="DN53" s="2340">
        <v>97728.897734967803</v>
      </c>
      <c r="DO53" s="2340">
        <v>97792.946994491722</v>
      </c>
      <c r="DP53" s="2340">
        <v>97844.838450080162</v>
      </c>
      <c r="DQ53" s="2340">
        <v>97884.459453597272</v>
      </c>
      <c r="DR53" s="2340">
        <v>97953.152182899546</v>
      </c>
      <c r="DS53" s="2340">
        <v>97983.680778254973</v>
      </c>
      <c r="DT53" s="2340">
        <v>98038.34338635976</v>
      </c>
      <c r="DU53" s="2340">
        <v>98091.335107518942</v>
      </c>
    </row>
    <row r="54" spans="1:125" ht="12.75">
      <c r="A54" s="131">
        <v>52</v>
      </c>
      <c r="B54" s="132"/>
      <c r="C54" s="132"/>
      <c r="D54" s="132"/>
      <c r="E54" s="132"/>
      <c r="F54" s="132"/>
      <c r="G54" s="132"/>
      <c r="H54" s="132"/>
      <c r="I54" s="132"/>
      <c r="J54" s="132"/>
      <c r="K54" s="132"/>
      <c r="L54" s="132"/>
      <c r="M54" s="132"/>
      <c r="N54" s="132"/>
      <c r="O54" s="132"/>
      <c r="P54" s="132"/>
      <c r="Q54" s="132"/>
      <c r="R54" s="132"/>
      <c r="S54" s="132"/>
      <c r="T54" s="132"/>
      <c r="U54" s="132"/>
      <c r="V54" s="132"/>
      <c r="W54" s="132">
        <v>70922</v>
      </c>
      <c r="X54" s="132">
        <v>71695</v>
      </c>
      <c r="Y54" s="132">
        <v>71755.382023267681</v>
      </c>
      <c r="Z54" s="132">
        <v>73885.386724303316</v>
      </c>
      <c r="AA54" s="2340">
        <v>74261.305227545221</v>
      </c>
      <c r="AB54" s="2340">
        <v>74886.35913605566</v>
      </c>
      <c r="AC54" s="2340">
        <v>75643.786857138344</v>
      </c>
      <c r="AD54" s="2340">
        <v>76551.844969344602</v>
      </c>
      <c r="AE54" s="2340">
        <v>76436.777166102038</v>
      </c>
      <c r="AF54" s="2340">
        <v>77681.909055153155</v>
      </c>
      <c r="AG54" s="2340">
        <v>78112.085982759789</v>
      </c>
      <c r="AH54" s="2340">
        <v>78639.880313902497</v>
      </c>
      <c r="AI54" s="2340">
        <v>78974.606385915395</v>
      </c>
      <c r="AJ54" s="2340">
        <v>80282.685346614409</v>
      </c>
      <c r="AK54" s="2340">
        <v>80266.117611003065</v>
      </c>
      <c r="AL54" s="2340">
        <v>80668.23103314238</v>
      </c>
      <c r="AM54" s="2340">
        <v>81104.795428459256</v>
      </c>
      <c r="AN54" s="2340">
        <v>81598.992569798604</v>
      </c>
      <c r="AO54" s="2340">
        <v>81553.079292119844</v>
      </c>
      <c r="AP54" s="2340">
        <v>81783.723517240403</v>
      </c>
      <c r="AQ54" s="2340">
        <v>81913.864340534157</v>
      </c>
      <c r="AR54" s="2340">
        <v>82210.406173107054</v>
      </c>
      <c r="AS54" s="2340">
        <v>81648.911483784206</v>
      </c>
      <c r="AT54" s="2340">
        <v>80984.197491138504</v>
      </c>
      <c r="AU54" s="2340">
        <v>79696.226250679349</v>
      </c>
      <c r="AV54" s="2340">
        <v>80299.538445913437</v>
      </c>
      <c r="AW54" s="2340">
        <v>80874.661748443657</v>
      </c>
      <c r="AX54" s="2340">
        <v>83216.855723823042</v>
      </c>
      <c r="AY54" s="2340">
        <v>85114.975427424142</v>
      </c>
      <c r="AZ54" s="2340">
        <v>85036.26919120067</v>
      </c>
      <c r="BA54" s="2340">
        <v>85065.248924573069</v>
      </c>
      <c r="BB54" s="2340">
        <v>85842.892891717405</v>
      </c>
      <c r="BC54" s="2340">
        <v>86090.333737865789</v>
      </c>
      <c r="BD54" s="2340">
        <v>86614.173467115877</v>
      </c>
      <c r="BE54" s="2340">
        <v>86810.423296852357</v>
      </c>
      <c r="BF54" s="2340">
        <v>87348.880610080247</v>
      </c>
      <c r="BG54" s="2340">
        <v>87422.502088247376</v>
      </c>
      <c r="BH54" s="2340">
        <v>88022.300719026796</v>
      </c>
      <c r="BI54" s="2340">
        <v>88397.119910300666</v>
      </c>
      <c r="BJ54" s="2340">
        <v>88753.526398564718</v>
      </c>
      <c r="BK54" s="2340">
        <v>89221.974542033364</v>
      </c>
      <c r="BL54" s="2340">
        <v>89764.985308924995</v>
      </c>
      <c r="BM54" s="2340">
        <v>90310.081320696292</v>
      </c>
      <c r="BN54" s="2340">
        <v>90767.989472245434</v>
      </c>
      <c r="BO54" s="2340">
        <v>91162.590815206859</v>
      </c>
      <c r="BP54" s="2340">
        <v>91413.078959376158</v>
      </c>
      <c r="BQ54" s="2340">
        <v>91660.700212421667</v>
      </c>
      <c r="BR54" s="2340">
        <v>91889.990917301198</v>
      </c>
      <c r="BS54" s="2340">
        <v>91923.804474923527</v>
      </c>
      <c r="BT54" s="2340">
        <v>92072.917583439892</v>
      </c>
      <c r="BU54" s="2340">
        <v>92113.252507641257</v>
      </c>
      <c r="BV54" s="2340">
        <v>92323.547803720474</v>
      </c>
      <c r="BW54" s="2340">
        <v>92439.670502849287</v>
      </c>
      <c r="BX54" s="2340">
        <v>92630.834279134215</v>
      </c>
      <c r="BY54" s="2340">
        <v>92848.330438526391</v>
      </c>
      <c r="BZ54" s="2340">
        <v>93185.763567145143</v>
      </c>
      <c r="CA54" s="2340">
        <v>93387.66902213209</v>
      </c>
      <c r="CB54" s="2340">
        <v>93477.510817953575</v>
      </c>
      <c r="CC54" s="2340">
        <v>93729.963612698921</v>
      </c>
      <c r="CD54" s="2340">
        <v>93921.532237155101</v>
      </c>
      <c r="CE54" s="2340">
        <v>94075.12312470375</v>
      </c>
      <c r="CF54" s="2340">
        <v>94311.140607356559</v>
      </c>
      <c r="CG54" s="2340">
        <v>94466.113038868047</v>
      </c>
      <c r="CH54" s="2340">
        <v>94636.152563568365</v>
      </c>
      <c r="CI54" s="2340">
        <v>94858.796582396666</v>
      </c>
      <c r="CJ54" s="2340">
        <v>94946.955121179664</v>
      </c>
      <c r="CK54" s="2340">
        <v>95073.425613337502</v>
      </c>
      <c r="CL54" s="2340">
        <v>95287.165028869553</v>
      </c>
      <c r="CM54" s="2340">
        <v>95391.838661177753</v>
      </c>
      <c r="CN54" s="2340">
        <v>95525.858839907305</v>
      </c>
      <c r="CO54" s="2340">
        <v>95700.318160382129</v>
      </c>
      <c r="CP54" s="2340">
        <v>95825.273758273936</v>
      </c>
      <c r="CQ54" s="2340">
        <v>95958.397840944832</v>
      </c>
      <c r="CR54" s="2340">
        <v>96019.62718767456</v>
      </c>
      <c r="CS54" s="2340">
        <v>96156.566702814001</v>
      </c>
      <c r="CT54" s="2340">
        <v>96239.497835774207</v>
      </c>
      <c r="CU54" s="2340">
        <v>96341.499065244541</v>
      </c>
      <c r="CV54" s="2340">
        <v>96421.449324335568</v>
      </c>
      <c r="CW54" s="2340">
        <v>96476.01105849701</v>
      </c>
      <c r="CX54" s="2340">
        <v>96587.024481088447</v>
      </c>
      <c r="CY54" s="2340">
        <v>96630.994519215819</v>
      </c>
      <c r="CZ54" s="2340">
        <v>96713.273458771175</v>
      </c>
      <c r="DA54" s="2340">
        <v>96761.190446083085</v>
      </c>
      <c r="DB54" s="2340">
        <v>96872.685107794605</v>
      </c>
      <c r="DC54" s="2340">
        <v>96927.597191923691</v>
      </c>
      <c r="DD54" s="2340">
        <v>96993.951478778268</v>
      </c>
      <c r="DE54" s="2340">
        <v>97051.342557473443</v>
      </c>
      <c r="DF54" s="2340">
        <v>97137.729242494534</v>
      </c>
      <c r="DG54" s="2340">
        <v>97202.308797870923</v>
      </c>
      <c r="DH54" s="2340">
        <v>97256.201117748002</v>
      </c>
      <c r="DI54" s="2340">
        <v>97308.713242448182</v>
      </c>
      <c r="DJ54" s="2340">
        <v>97397.392383817089</v>
      </c>
      <c r="DK54" s="2340">
        <v>97448.859329389787</v>
      </c>
      <c r="DL54" s="2340">
        <v>97484.831698260125</v>
      </c>
      <c r="DM54" s="2340">
        <v>97544.674865951019</v>
      </c>
      <c r="DN54" s="2340">
        <v>97576.097572037092</v>
      </c>
      <c r="DO54" s="2340">
        <v>97642.979447290185</v>
      </c>
      <c r="DP54" s="2340">
        <v>97697.669357233768</v>
      </c>
      <c r="DQ54" s="2340">
        <v>97740.054737518716</v>
      </c>
      <c r="DR54" s="2340">
        <v>97811.417876013948</v>
      </c>
      <c r="DS54" s="2340">
        <v>97844.621729119768</v>
      </c>
      <c r="DT54" s="2340">
        <v>97901.87551812554</v>
      </c>
      <c r="DU54" s="2340">
        <v>97957.412459838568</v>
      </c>
    </row>
    <row r="55" spans="1:125" ht="12.75">
      <c r="A55" s="131">
        <v>53</v>
      </c>
      <c r="B55" s="132"/>
      <c r="C55" s="132"/>
      <c r="D55" s="132"/>
      <c r="E55" s="132"/>
      <c r="F55" s="132"/>
      <c r="G55" s="132"/>
      <c r="H55" s="132"/>
      <c r="I55" s="132"/>
      <c r="J55" s="132"/>
      <c r="K55" s="132"/>
      <c r="L55" s="132"/>
      <c r="M55" s="132"/>
      <c r="N55" s="132"/>
      <c r="O55" s="132"/>
      <c r="P55" s="132"/>
      <c r="Q55" s="132"/>
      <c r="R55" s="132"/>
      <c r="S55" s="132"/>
      <c r="T55" s="132"/>
      <c r="U55" s="132"/>
      <c r="V55" s="132"/>
      <c r="W55" s="132">
        <v>70290</v>
      </c>
      <c r="X55" s="132">
        <v>71062</v>
      </c>
      <c r="Y55" s="132">
        <v>71109.741139062433</v>
      </c>
      <c r="Z55" s="132">
        <v>73251.42209855729</v>
      </c>
      <c r="AA55" s="2340">
        <v>73618.352001442006</v>
      </c>
      <c r="AB55" s="2340">
        <v>74236.92466890307</v>
      </c>
      <c r="AC55" s="2340">
        <v>74958.816230096927</v>
      </c>
      <c r="AD55" s="2340">
        <v>75860.175823341517</v>
      </c>
      <c r="AE55" s="2340">
        <v>75756.139256851646</v>
      </c>
      <c r="AF55" s="2340">
        <v>77002.966952588118</v>
      </c>
      <c r="AG55" s="2340">
        <v>77453.286596900551</v>
      </c>
      <c r="AH55" s="2340">
        <v>77990.885884154661</v>
      </c>
      <c r="AI55" s="2340">
        <v>78328.385729172514</v>
      </c>
      <c r="AJ55" s="2340">
        <v>79641.625812436541</v>
      </c>
      <c r="AK55" s="2340">
        <v>79636.617343945938</v>
      </c>
      <c r="AL55" s="2340">
        <v>80078.677182057145</v>
      </c>
      <c r="AM55" s="2340">
        <v>80526.019110820664</v>
      </c>
      <c r="AN55" s="2340">
        <v>80995.553841548899</v>
      </c>
      <c r="AO55" s="2340">
        <v>80960.787154196587</v>
      </c>
      <c r="AP55" s="2340">
        <v>81199.915506451653</v>
      </c>
      <c r="AQ55" s="2340">
        <v>81342.384279401027</v>
      </c>
      <c r="AR55" s="2340">
        <v>81638.859619236828</v>
      </c>
      <c r="AS55" s="2340">
        <v>81101.108907928894</v>
      </c>
      <c r="AT55" s="2340">
        <v>80435.564034164054</v>
      </c>
      <c r="AU55" s="2340">
        <v>79189.278110707121</v>
      </c>
      <c r="AV55" s="2340">
        <v>79814.796973456017</v>
      </c>
      <c r="AW55" s="2340">
        <v>80382.601502526828</v>
      </c>
      <c r="AX55" s="2340">
        <v>82745.707426371839</v>
      </c>
      <c r="AY55" s="2340">
        <v>84611.109609549705</v>
      </c>
      <c r="AZ55" s="2340">
        <v>84538.092024858925</v>
      </c>
      <c r="BA55" s="2340">
        <v>84574.176123921759</v>
      </c>
      <c r="BB55" s="2340">
        <v>85350.35894143855</v>
      </c>
      <c r="BC55" s="2340">
        <v>85598.641135065365</v>
      </c>
      <c r="BD55" s="2340">
        <v>86138.350563950837</v>
      </c>
      <c r="BE55" s="2340">
        <v>86349.895691504789</v>
      </c>
      <c r="BF55" s="2340">
        <v>86893.97656614962</v>
      </c>
      <c r="BG55" s="2340">
        <v>86978.888360653567</v>
      </c>
      <c r="BH55" s="2340">
        <v>87581.271669744892</v>
      </c>
      <c r="BI55" s="2340">
        <v>87960.744071376248</v>
      </c>
      <c r="BJ55" s="2340">
        <v>88321.083762507595</v>
      </c>
      <c r="BK55" s="2340">
        <v>88813.007984955228</v>
      </c>
      <c r="BL55" s="2340">
        <v>89360.22103859474</v>
      </c>
      <c r="BM55" s="2340">
        <v>89909.990959197239</v>
      </c>
      <c r="BN55" s="2340">
        <v>90393.01705403121</v>
      </c>
      <c r="BO55" s="2340">
        <v>90790.288794593711</v>
      </c>
      <c r="BP55" s="2340">
        <v>91046.185631082582</v>
      </c>
      <c r="BQ55" s="2340">
        <v>91302.469920022806</v>
      </c>
      <c r="BR55" s="2340">
        <v>91514.401204593887</v>
      </c>
      <c r="BS55" s="2340">
        <v>91530.933048111241</v>
      </c>
      <c r="BT55" s="2340">
        <v>91690.357234585128</v>
      </c>
      <c r="BU55" s="2340">
        <v>91738.012521776545</v>
      </c>
      <c r="BV55" s="2340">
        <v>91954.809356512909</v>
      </c>
      <c r="BW55" s="2340">
        <v>92077.691591167153</v>
      </c>
      <c r="BX55" s="2340">
        <v>92275.2034514228</v>
      </c>
      <c r="BY55" s="2340">
        <v>92498.838737339669</v>
      </c>
      <c r="BZ55" s="2340">
        <v>92841.864275782456</v>
      </c>
      <c r="CA55" s="2340">
        <v>93049.767465842364</v>
      </c>
      <c r="CB55" s="2340">
        <v>93145.901489117969</v>
      </c>
      <c r="CC55" s="2340">
        <v>93403.96406860312</v>
      </c>
      <c r="CD55" s="2340">
        <v>93601.257519362669</v>
      </c>
      <c r="CE55" s="2340">
        <v>93760.600980753734</v>
      </c>
      <c r="CF55" s="2340">
        <v>94001.998350492737</v>
      </c>
      <c r="CG55" s="2340">
        <v>94162.362883015332</v>
      </c>
      <c r="CH55" s="2340">
        <v>94337.653737963701</v>
      </c>
      <c r="CI55" s="2340">
        <v>94565.29648518977</v>
      </c>
      <c r="CJ55" s="2340">
        <v>94658.779811773653</v>
      </c>
      <c r="CK55" s="2340">
        <v>94790.364665677334</v>
      </c>
      <c r="CL55" s="2340">
        <v>95008.873294351506</v>
      </c>
      <c r="CM55" s="2340">
        <v>95118.549624989828</v>
      </c>
      <c r="CN55" s="2340">
        <v>95257.400421177605</v>
      </c>
      <c r="CO55" s="2340">
        <v>95436.494011316099</v>
      </c>
      <c r="CP55" s="2340">
        <v>95566.138611561168</v>
      </c>
      <c r="CQ55" s="2340">
        <v>95703.847122058389</v>
      </c>
      <c r="CR55" s="2340">
        <v>95769.767356201584</v>
      </c>
      <c r="CS55" s="2340">
        <v>95911.118157096513</v>
      </c>
      <c r="CT55" s="2340">
        <v>95998.518417979663</v>
      </c>
      <c r="CU55" s="2340">
        <v>96104.860736329472</v>
      </c>
      <c r="CV55" s="2340">
        <v>96189.127273432983</v>
      </c>
      <c r="CW55" s="2340">
        <v>96247.986720247776</v>
      </c>
      <c r="CX55" s="2340">
        <v>96363.08754073373</v>
      </c>
      <c r="CY55" s="2340">
        <v>96411.224477843964</v>
      </c>
      <c r="CZ55" s="2340">
        <v>96497.507358930146</v>
      </c>
      <c r="DA55" s="2340">
        <v>96549.430694555558</v>
      </c>
      <c r="DB55" s="2340">
        <v>96664.72087840311</v>
      </c>
      <c r="DC55" s="2340">
        <v>96723.479881124833</v>
      </c>
      <c r="DD55" s="2340">
        <v>96793.586353926032</v>
      </c>
      <c r="DE55" s="2340">
        <v>96854.678899002785</v>
      </c>
      <c r="DF55" s="2340">
        <v>96944.641101676578</v>
      </c>
      <c r="DG55" s="2340">
        <v>97012.773840358524</v>
      </c>
      <c r="DH55" s="2340">
        <v>97070.174482429633</v>
      </c>
      <c r="DI55" s="2340">
        <v>97126.132635449816</v>
      </c>
      <c r="DJ55" s="2340">
        <v>97218.127454520261</v>
      </c>
      <c r="DK55" s="2340">
        <v>97272.917196683877</v>
      </c>
      <c r="DL55" s="2340">
        <v>97312.178262166912</v>
      </c>
      <c r="DM55" s="2340">
        <v>97375.207205934465</v>
      </c>
      <c r="DN55" s="2340">
        <v>97409.805402247177</v>
      </c>
      <c r="DO55" s="2340">
        <v>97479.744003061423</v>
      </c>
      <c r="DP55" s="2340">
        <v>97537.454519722276</v>
      </c>
      <c r="DQ55" s="2340">
        <v>97582.824454654736</v>
      </c>
      <c r="DR55" s="2340">
        <v>97657.070852095218</v>
      </c>
      <c r="DS55" s="2340">
        <v>97693.164240387501</v>
      </c>
      <c r="DT55" s="2340">
        <v>97753.216968132314</v>
      </c>
      <c r="DU55" s="2340">
        <v>97811.503731282282</v>
      </c>
    </row>
    <row r="56" spans="1:125" ht="12.75">
      <c r="A56" s="131">
        <v>54</v>
      </c>
      <c r="B56" s="132"/>
      <c r="C56" s="132"/>
      <c r="D56" s="132"/>
      <c r="E56" s="132"/>
      <c r="F56" s="132"/>
      <c r="G56" s="132"/>
      <c r="H56" s="132"/>
      <c r="I56" s="132"/>
      <c r="J56" s="132"/>
      <c r="K56" s="132"/>
      <c r="L56" s="132"/>
      <c r="M56" s="132"/>
      <c r="N56" s="132"/>
      <c r="O56" s="132"/>
      <c r="P56" s="132"/>
      <c r="Q56" s="132"/>
      <c r="R56" s="132"/>
      <c r="S56" s="132"/>
      <c r="T56" s="132"/>
      <c r="U56" s="132"/>
      <c r="V56" s="132"/>
      <c r="W56" s="132">
        <v>69591</v>
      </c>
      <c r="X56" s="132">
        <v>70368</v>
      </c>
      <c r="Y56" s="132">
        <v>70419.931344241471</v>
      </c>
      <c r="Z56" s="132">
        <v>72538.976954427882</v>
      </c>
      <c r="AA56" s="2340">
        <v>72935.673008905898</v>
      </c>
      <c r="AB56" s="2340">
        <v>73544.041687064208</v>
      </c>
      <c r="AC56" s="2340">
        <v>74253.656011896252</v>
      </c>
      <c r="AD56" s="2340">
        <v>75131.109181874155</v>
      </c>
      <c r="AE56" s="2340">
        <v>75036.484014382004</v>
      </c>
      <c r="AF56" s="2340">
        <v>76271.664172159377</v>
      </c>
      <c r="AG56" s="2340">
        <v>76751.689940798024</v>
      </c>
      <c r="AH56" s="2340">
        <v>77293.68489204123</v>
      </c>
      <c r="AI56" s="2340">
        <v>77633.874101694819</v>
      </c>
      <c r="AJ56" s="2340">
        <v>78953.286523983857</v>
      </c>
      <c r="AK56" s="2340">
        <v>78966.412603097342</v>
      </c>
      <c r="AL56" s="2340">
        <v>79411.307440720411</v>
      </c>
      <c r="AM56" s="2340">
        <v>79851.453716727789</v>
      </c>
      <c r="AN56" s="2340">
        <v>80363.964166883263</v>
      </c>
      <c r="AO56" s="2340">
        <v>80327.15470857067</v>
      </c>
      <c r="AP56" s="2340">
        <v>80594.818951686902</v>
      </c>
      <c r="AQ56" s="2340">
        <v>80742.616689780305</v>
      </c>
      <c r="AR56" s="2340">
        <v>81044.338888057275</v>
      </c>
      <c r="AS56" s="2340">
        <v>80524.0581105038</v>
      </c>
      <c r="AT56" s="2340">
        <v>79865.39726371564</v>
      </c>
      <c r="AU56" s="2340">
        <v>78667.62657859239</v>
      </c>
      <c r="AV56" s="2340">
        <v>79274.320820477733</v>
      </c>
      <c r="AW56" s="2340">
        <v>79885.483474089415</v>
      </c>
      <c r="AX56" s="2340">
        <v>82240.544176718569</v>
      </c>
      <c r="AY56" s="2340">
        <v>84066.239160159937</v>
      </c>
      <c r="AZ56" s="2340">
        <v>84008.310776300219</v>
      </c>
      <c r="BA56" s="2340">
        <v>84050.705091014373</v>
      </c>
      <c r="BB56" s="2340">
        <v>84845.959780097939</v>
      </c>
      <c r="BC56" s="2340">
        <v>85093.083740440808</v>
      </c>
      <c r="BD56" s="2340">
        <v>85636.021108320158</v>
      </c>
      <c r="BE56" s="2340">
        <v>85862.111985046053</v>
      </c>
      <c r="BF56" s="2340">
        <v>86408.808648288134</v>
      </c>
      <c r="BG56" s="2340">
        <v>86481.853197282093</v>
      </c>
      <c r="BH56" s="2340">
        <v>87119.254036716884</v>
      </c>
      <c r="BI56" s="2340">
        <v>87501.712393954396</v>
      </c>
      <c r="BJ56" s="2340">
        <v>87862.482414978382</v>
      </c>
      <c r="BK56" s="2340">
        <v>88357.160618639537</v>
      </c>
      <c r="BL56" s="2340">
        <v>88912.310678668975</v>
      </c>
      <c r="BM56" s="2340">
        <v>89492.887079777836</v>
      </c>
      <c r="BN56" s="2340">
        <v>89974.001286838378</v>
      </c>
      <c r="BO56" s="2340">
        <v>90380.289430574107</v>
      </c>
      <c r="BP56" s="2340">
        <v>90641.838805178922</v>
      </c>
      <c r="BQ56" s="2340">
        <v>90898.753581326426</v>
      </c>
      <c r="BR56" s="2340">
        <v>91094.423012646163</v>
      </c>
      <c r="BS56" s="2340">
        <v>91111.100276446203</v>
      </c>
      <c r="BT56" s="2340">
        <v>91277.982443490939</v>
      </c>
      <c r="BU56" s="2340">
        <v>91333.457340277877</v>
      </c>
      <c r="BV56" s="2340">
        <v>91557.194240573255</v>
      </c>
      <c r="BW56" s="2340">
        <v>91687.297839467006</v>
      </c>
      <c r="BX56" s="2340">
        <v>91891.590338776325</v>
      </c>
      <c r="BY56" s="2340">
        <v>92121.783732288284</v>
      </c>
      <c r="BZ56" s="2340">
        <v>92470.780233124155</v>
      </c>
      <c r="CA56" s="2340">
        <v>92685.094376682246</v>
      </c>
      <c r="CB56" s="2340">
        <v>92787.959892253566</v>
      </c>
      <c r="CC56" s="2340">
        <v>93052.019938486861</v>
      </c>
      <c r="CD56" s="2340">
        <v>93255.437525496702</v>
      </c>
      <c r="CE56" s="2340">
        <v>93420.937547666763</v>
      </c>
      <c r="CF56" s="2340">
        <v>93667.914885471575</v>
      </c>
      <c r="CG56" s="2340">
        <v>93834.052418192223</v>
      </c>
      <c r="CH56" s="2340">
        <v>94014.966394685616</v>
      </c>
      <c r="CI56" s="2340">
        <v>94247.961370203586</v>
      </c>
      <c r="CJ56" s="2340">
        <v>94347.151628264939</v>
      </c>
      <c r="CK56" s="2340">
        <v>94484.218021690569</v>
      </c>
      <c r="CL56" s="2340">
        <v>94707.836930514764</v>
      </c>
      <c r="CM56" s="2340">
        <v>94822.878104956137</v>
      </c>
      <c r="CN56" s="2340">
        <v>94966.909554247817</v>
      </c>
      <c r="CO56" s="2340">
        <v>95150.973234481993</v>
      </c>
      <c r="CP56" s="2340">
        <v>95285.649012745678</v>
      </c>
      <c r="CQ56" s="2340">
        <v>95428.277334453829</v>
      </c>
      <c r="CR56" s="2340">
        <v>95499.23443583108</v>
      </c>
      <c r="CS56" s="2340">
        <v>95645.321126295152</v>
      </c>
      <c r="CT56" s="2340">
        <v>95737.521617010236</v>
      </c>
      <c r="CU56" s="2340">
        <v>95848.527163851802</v>
      </c>
      <c r="CV56" s="2340">
        <v>95937.431684936499</v>
      </c>
      <c r="CW56" s="2340">
        <v>96000.910609803861</v>
      </c>
      <c r="CX56" s="2340">
        <v>96120.404576229499</v>
      </c>
      <c r="CY56" s="2340">
        <v>96173.022333791596</v>
      </c>
      <c r="CZ56" s="2340">
        <v>96263.610900750238</v>
      </c>
      <c r="DA56" s="2340">
        <v>96319.843981514976</v>
      </c>
      <c r="DB56" s="2340">
        <v>96439.216739636235</v>
      </c>
      <c r="DC56" s="2340">
        <v>96502.115413322215</v>
      </c>
      <c r="DD56" s="2340">
        <v>96576.260165710351</v>
      </c>
      <c r="DE56" s="2340">
        <v>96641.337288249313</v>
      </c>
      <c r="DF56" s="2340">
        <v>96735.148710435184</v>
      </c>
      <c r="DG56" s="2340">
        <v>96807.107674427752</v>
      </c>
      <c r="DH56" s="2340">
        <v>96868.287078900539</v>
      </c>
      <c r="DI56" s="2340">
        <v>96927.957578592104</v>
      </c>
      <c r="DJ56" s="2340">
        <v>97023.524410362224</v>
      </c>
      <c r="DK56" s="2340">
        <v>97081.895014902693</v>
      </c>
      <c r="DL56" s="2340">
        <v>97124.701028167037</v>
      </c>
      <c r="DM56" s="2340">
        <v>97191.164241079212</v>
      </c>
      <c r="DN56" s="2340">
        <v>97229.186588914788</v>
      </c>
      <c r="DO56" s="2340">
        <v>97302.421369950433</v>
      </c>
      <c r="DP56" s="2340">
        <v>97363.389825378807</v>
      </c>
      <c r="DQ56" s="2340">
        <v>97411.979506473363</v>
      </c>
      <c r="DR56" s="2340">
        <v>97489.336531577341</v>
      </c>
      <c r="DS56" s="2340">
        <v>97528.548295523942</v>
      </c>
      <c r="DT56" s="2340">
        <v>97591.621839744272</v>
      </c>
      <c r="DU56" s="2340">
        <v>97652.87690913603</v>
      </c>
    </row>
    <row r="57" spans="1:125" ht="12.75">
      <c r="A57" s="131">
        <v>55</v>
      </c>
      <c r="B57" s="132"/>
      <c r="C57" s="132"/>
      <c r="D57" s="132"/>
      <c r="E57" s="132"/>
      <c r="F57" s="132"/>
      <c r="G57" s="132"/>
      <c r="H57" s="132"/>
      <c r="I57" s="132"/>
      <c r="J57" s="132"/>
      <c r="K57" s="132"/>
      <c r="L57" s="132"/>
      <c r="M57" s="132"/>
      <c r="N57" s="132"/>
      <c r="O57" s="132"/>
      <c r="P57" s="132"/>
      <c r="Q57" s="132"/>
      <c r="R57" s="132"/>
      <c r="S57" s="132"/>
      <c r="T57" s="132"/>
      <c r="U57" s="132"/>
      <c r="V57" s="132"/>
      <c r="W57" s="132">
        <v>68835</v>
      </c>
      <c r="X57" s="132">
        <v>69613</v>
      </c>
      <c r="Y57" s="132">
        <v>69694.038133408016</v>
      </c>
      <c r="Z57" s="132">
        <v>71783.575548989043</v>
      </c>
      <c r="AA57" s="2340">
        <v>72183.194411941018</v>
      </c>
      <c r="AB57" s="2340">
        <v>72782.041923519675</v>
      </c>
      <c r="AC57" s="2340">
        <v>73499.068476248794</v>
      </c>
      <c r="AD57" s="2340">
        <v>74354.188776269468</v>
      </c>
      <c r="AE57" s="2340">
        <v>74260.165657222402</v>
      </c>
      <c r="AF57" s="2340">
        <v>75481.113079746967</v>
      </c>
      <c r="AG57" s="2340">
        <v>75973.836664034505</v>
      </c>
      <c r="AH57" s="2340">
        <v>76537.741962988526</v>
      </c>
      <c r="AI57" s="2340">
        <v>76868.955595763648</v>
      </c>
      <c r="AJ57" s="2340">
        <v>78236.437256653415</v>
      </c>
      <c r="AK57" s="2340">
        <v>78222.823200800747</v>
      </c>
      <c r="AL57" s="2340">
        <v>78712.78350210104</v>
      </c>
      <c r="AM57" s="2340">
        <v>79149.751433497964</v>
      </c>
      <c r="AN57" s="2340">
        <v>79669.45956044308</v>
      </c>
      <c r="AO57" s="2340">
        <v>79667.211589919592</v>
      </c>
      <c r="AP57" s="2340">
        <v>79925.321565607926</v>
      </c>
      <c r="AQ57" s="2340">
        <v>80091.035910353981</v>
      </c>
      <c r="AR57" s="2340">
        <v>80439.782342085557</v>
      </c>
      <c r="AS57" s="2340">
        <v>79925.337667663523</v>
      </c>
      <c r="AT57" s="2340">
        <v>79276.013880961837</v>
      </c>
      <c r="AU57" s="2340">
        <v>78079.312550615316</v>
      </c>
      <c r="AV57" s="2340">
        <v>78710.464829067831</v>
      </c>
      <c r="AW57" s="2340">
        <v>79335.832927905998</v>
      </c>
      <c r="AX57" s="2340">
        <v>81669.884416889268</v>
      </c>
      <c r="AY57" s="2340">
        <v>83506.739167113599</v>
      </c>
      <c r="AZ57" s="2340">
        <v>83438.261357514653</v>
      </c>
      <c r="BA57" s="2340">
        <v>83489.695955361793</v>
      </c>
      <c r="BB57" s="2340">
        <v>84306.777717668141</v>
      </c>
      <c r="BC57" s="2340">
        <v>84540.408261591423</v>
      </c>
      <c r="BD57" s="2340">
        <v>85089.458641941485</v>
      </c>
      <c r="BE57" s="2340">
        <v>85313.942647566524</v>
      </c>
      <c r="BF57" s="2340">
        <v>85864.157822492722</v>
      </c>
      <c r="BG57" s="2340">
        <v>85962.585065214647</v>
      </c>
      <c r="BH57" s="2340">
        <v>86588.917334994811</v>
      </c>
      <c r="BI57" s="2340">
        <v>87006.951842719965</v>
      </c>
      <c r="BJ57" s="2340">
        <v>87356.164244214116</v>
      </c>
      <c r="BK57" s="2340">
        <v>87866.144695255643</v>
      </c>
      <c r="BL57" s="2340">
        <v>88439.510620573259</v>
      </c>
      <c r="BM57" s="2340">
        <v>89020.378657362395</v>
      </c>
      <c r="BN57" s="2340">
        <v>89520.738573762617</v>
      </c>
      <c r="BO57" s="2340">
        <v>89938.250596449725</v>
      </c>
      <c r="BP57" s="2340">
        <v>90193.806890515349</v>
      </c>
      <c r="BQ57" s="2340">
        <v>90438.080469706736</v>
      </c>
      <c r="BR57" s="2340">
        <v>90632.987394644355</v>
      </c>
      <c r="BS57" s="2340">
        <v>90658.533202008213</v>
      </c>
      <c r="BT57" s="2340">
        <v>90833.381854584339</v>
      </c>
      <c r="BU57" s="2340">
        <v>90897.2165841143</v>
      </c>
      <c r="BV57" s="2340">
        <v>91128.368196947296</v>
      </c>
      <c r="BW57" s="2340">
        <v>91266.193041451421</v>
      </c>
      <c r="BX57" s="2340">
        <v>91477.734466246533</v>
      </c>
      <c r="BY57" s="2340">
        <v>91714.93962407425</v>
      </c>
      <c r="BZ57" s="2340">
        <v>92070.317088968601</v>
      </c>
      <c r="CA57" s="2340">
        <v>92291.489685930166</v>
      </c>
      <c r="CB57" s="2340">
        <v>92401.562369642503</v>
      </c>
      <c r="CC57" s="2340">
        <v>92672.039840451762</v>
      </c>
      <c r="CD57" s="2340">
        <v>92882.014109381038</v>
      </c>
      <c r="CE57" s="2340">
        <v>93053.914293246999</v>
      </c>
      <c r="CF57" s="2340">
        <v>93306.86917481829</v>
      </c>
      <c r="CG57" s="2340">
        <v>93479.195083244427</v>
      </c>
      <c r="CH57" s="2340">
        <v>93666.137633310296</v>
      </c>
      <c r="CI57" s="2340">
        <v>93904.870443881344</v>
      </c>
      <c r="CJ57" s="2340">
        <v>94010.184111474155</v>
      </c>
      <c r="CK57" s="2340">
        <v>94153.132267789668</v>
      </c>
      <c r="CL57" s="2340">
        <v>94382.233392305541</v>
      </c>
      <c r="CM57" s="2340">
        <v>94503.034031623203</v>
      </c>
      <c r="CN57" s="2340">
        <v>94652.627591528624</v>
      </c>
      <c r="CO57" s="2340">
        <v>94842.027386519476</v>
      </c>
      <c r="CP57" s="2340">
        <v>94982.107145496237</v>
      </c>
      <c r="CQ57" s="2340">
        <v>95130.020663700314</v>
      </c>
      <c r="CR57" s="2340">
        <v>95206.391367488177</v>
      </c>
      <c r="CS57" s="2340">
        <v>95357.567526765837</v>
      </c>
      <c r="CT57" s="2340">
        <v>95454.928751839325</v>
      </c>
      <c r="CU57" s="2340">
        <v>95570.948275186107</v>
      </c>
      <c r="CV57" s="2340">
        <v>95664.840973208076</v>
      </c>
      <c r="CW57" s="2340">
        <v>95733.289544597545</v>
      </c>
      <c r="CX57" s="2340">
        <v>95857.5094654516</v>
      </c>
      <c r="CY57" s="2340">
        <v>95914.949577390726</v>
      </c>
      <c r="CZ57" s="2340">
        <v>96010.172148904574</v>
      </c>
      <c r="DA57" s="2340">
        <v>96071.044987491987</v>
      </c>
      <c r="DB57" s="2340">
        <v>96194.812631932218</v>
      </c>
      <c r="DC57" s="2340">
        <v>96262.16934577447</v>
      </c>
      <c r="DD57" s="2340">
        <v>96340.6634870696</v>
      </c>
      <c r="DE57" s="2340">
        <v>96410.032998284849</v>
      </c>
      <c r="DF57" s="2340">
        <v>96507.991233059336</v>
      </c>
      <c r="DG57" s="2340">
        <v>96584.073221584666</v>
      </c>
      <c r="DH57" s="2340">
        <v>96649.325302774276</v>
      </c>
      <c r="DI57" s="2340">
        <v>96712.99754296022</v>
      </c>
      <c r="DJ57" s="2340">
        <v>96812.414954145323</v>
      </c>
      <c r="DK57" s="2340">
        <v>96874.646769484491</v>
      </c>
      <c r="DL57" s="2340">
        <v>96921.276044811195</v>
      </c>
      <c r="DM57" s="2340">
        <v>96991.443414183173</v>
      </c>
      <c r="DN57" s="2340">
        <v>97033.159901838226</v>
      </c>
      <c r="DO57" s="2340">
        <v>97109.950870917703</v>
      </c>
      <c r="DP57" s="2340">
        <v>97174.434912886602</v>
      </c>
      <c r="DQ57" s="2340">
        <v>97226.499609149352</v>
      </c>
      <c r="DR57" s="2340">
        <v>97307.214045663088</v>
      </c>
      <c r="DS57" s="2340">
        <v>97349.792475174036</v>
      </c>
      <c r="DT57" s="2340">
        <v>97416.127568597876</v>
      </c>
      <c r="DU57" s="2340">
        <v>97480.587957806594</v>
      </c>
    </row>
    <row r="58" spans="1:125" ht="12.75">
      <c r="A58" s="131">
        <v>56</v>
      </c>
      <c r="B58" s="132"/>
      <c r="C58" s="132"/>
      <c r="D58" s="132"/>
      <c r="E58" s="132"/>
      <c r="F58" s="132"/>
      <c r="G58" s="132"/>
      <c r="H58" s="132"/>
      <c r="I58" s="132"/>
      <c r="J58" s="132"/>
      <c r="K58" s="132"/>
      <c r="L58" s="132"/>
      <c r="M58" s="132"/>
      <c r="N58" s="132"/>
      <c r="O58" s="132"/>
      <c r="P58" s="132"/>
      <c r="Q58" s="132"/>
      <c r="R58" s="132"/>
      <c r="S58" s="132"/>
      <c r="T58" s="132"/>
      <c r="U58" s="132"/>
      <c r="V58" s="132"/>
      <c r="W58" s="132">
        <v>68034</v>
      </c>
      <c r="X58" s="132">
        <v>68818</v>
      </c>
      <c r="Y58" s="132">
        <v>68901.548721742511</v>
      </c>
      <c r="Z58" s="132">
        <v>70968.839919769161</v>
      </c>
      <c r="AA58" s="2340">
        <v>71385.224109233153</v>
      </c>
      <c r="AB58" s="2340">
        <v>71973.092534249066</v>
      </c>
      <c r="AC58" s="2340">
        <v>72677.395535200689</v>
      </c>
      <c r="AD58" s="2340">
        <v>73517.196352856801</v>
      </c>
      <c r="AE58" s="2340">
        <v>73409.702919270494</v>
      </c>
      <c r="AF58" s="2340">
        <v>74659.276369306739</v>
      </c>
      <c r="AG58" s="2340">
        <v>75146.697467642371</v>
      </c>
      <c r="AH58" s="2340">
        <v>75726.748134768379</v>
      </c>
      <c r="AI58" s="2340">
        <v>76074.157439014467</v>
      </c>
      <c r="AJ58" s="2340">
        <v>77427.569592287022</v>
      </c>
      <c r="AK58" s="2340">
        <v>77437.945301323751</v>
      </c>
      <c r="AL58" s="2340">
        <v>77953.760438395577</v>
      </c>
      <c r="AM58" s="2340">
        <v>78418.210442016949</v>
      </c>
      <c r="AN58" s="2340">
        <v>78950.512994587887</v>
      </c>
      <c r="AO58" s="2340">
        <v>78959.779997472811</v>
      </c>
      <c r="AP58" s="2340">
        <v>79223.809812435633</v>
      </c>
      <c r="AQ58" s="2340">
        <v>79423.866680583815</v>
      </c>
      <c r="AR58" s="2340">
        <v>79799.116461514423</v>
      </c>
      <c r="AS58" s="2340">
        <v>79291.251296390721</v>
      </c>
      <c r="AT58" s="2340">
        <v>78653.502283966605</v>
      </c>
      <c r="AU58" s="2340">
        <v>77466.544335217157</v>
      </c>
      <c r="AV58" s="2340">
        <v>78103.570667264314</v>
      </c>
      <c r="AW58" s="2340">
        <v>78731.147114387175</v>
      </c>
      <c r="AX58" s="2340">
        <v>81092.365099435134</v>
      </c>
      <c r="AY58" s="2340">
        <v>82887.347173829694</v>
      </c>
      <c r="AZ58" s="2340">
        <v>82848.310970170263</v>
      </c>
      <c r="BA58" s="2340">
        <v>82894.46206468025</v>
      </c>
      <c r="BB58" s="2340">
        <v>83733.351378021864</v>
      </c>
      <c r="BC58" s="2340">
        <v>83960.107910368359</v>
      </c>
      <c r="BD58" s="2340">
        <v>84509.595612204241</v>
      </c>
      <c r="BE58" s="2340">
        <v>84730.646793295949</v>
      </c>
      <c r="BF58" s="2340">
        <v>85294.414047375132</v>
      </c>
      <c r="BG58" s="2340">
        <v>85400.697171861713</v>
      </c>
      <c r="BH58" s="2340">
        <v>86062.545527739683</v>
      </c>
      <c r="BI58" s="2340">
        <v>86452.270594117159</v>
      </c>
      <c r="BJ58" s="2340">
        <v>86816.677805042826</v>
      </c>
      <c r="BK58" s="2340">
        <v>87340.663082081504</v>
      </c>
      <c r="BL58" s="2340">
        <v>87927.981037699559</v>
      </c>
      <c r="BM58" s="2340">
        <v>88514.082502759818</v>
      </c>
      <c r="BN58" s="2340">
        <v>89041.336583623197</v>
      </c>
      <c r="BO58" s="2340">
        <v>89405.527226861072</v>
      </c>
      <c r="BP58" s="2340">
        <v>89670.545169684381</v>
      </c>
      <c r="BQ58" s="2340">
        <v>89931.309657911901</v>
      </c>
      <c r="BR58" s="2340">
        <v>90134.949096449374</v>
      </c>
      <c r="BS58" s="2340">
        <v>90169.991859477246</v>
      </c>
      <c r="BT58" s="2340">
        <v>90353.367411103638</v>
      </c>
      <c r="BU58" s="2340">
        <v>90426.157271266638</v>
      </c>
      <c r="BV58" s="2340">
        <v>90665.246858953848</v>
      </c>
      <c r="BW58" s="2340">
        <v>90811.343960944272</v>
      </c>
      <c r="BX58" s="2340">
        <v>91030.650624374379</v>
      </c>
      <c r="BY58" s="2340">
        <v>91275.367800488457</v>
      </c>
      <c r="BZ58" s="2340">
        <v>91637.578535541979</v>
      </c>
      <c r="CA58" s="2340">
        <v>91866.103096632549</v>
      </c>
      <c r="CB58" s="2340">
        <v>91983.907412062152</v>
      </c>
      <c r="CC58" s="2340">
        <v>92261.265566233051</v>
      </c>
      <c r="CD58" s="2340">
        <v>92478.063039203349</v>
      </c>
      <c r="CE58" s="2340">
        <v>92656.837588301467</v>
      </c>
      <c r="CF58" s="2340">
        <v>92916.211820473123</v>
      </c>
      <c r="CG58" s="2340">
        <v>93095.187345318191</v>
      </c>
      <c r="CH58" s="2340">
        <v>93288.60869387089</v>
      </c>
      <c r="CI58" s="2340">
        <v>93533.507660751115</v>
      </c>
      <c r="CJ58" s="2340">
        <v>93645.406825699611</v>
      </c>
      <c r="CK58" s="2340">
        <v>93794.680867584771</v>
      </c>
      <c r="CL58" s="2340">
        <v>94029.677170968076</v>
      </c>
      <c r="CM58" s="2340">
        <v>94156.67500623237</v>
      </c>
      <c r="CN58" s="2340">
        <v>94312.253844201696</v>
      </c>
      <c r="CO58" s="2340">
        <v>94507.395875295231</v>
      </c>
      <c r="CP58" s="2340">
        <v>94653.293047362778</v>
      </c>
      <c r="CQ58" s="2340">
        <v>94806.896939822735</v>
      </c>
      <c r="CR58" s="2340">
        <v>94889.098738787114</v>
      </c>
      <c r="CS58" s="2340">
        <v>95045.756358194922</v>
      </c>
      <c r="CT58" s="2340">
        <v>95148.677773465097</v>
      </c>
      <c r="CU58" s="2340">
        <v>95270.099916525927</v>
      </c>
      <c r="CV58" s="2340">
        <v>95369.368702711494</v>
      </c>
      <c r="CW58" s="2340">
        <v>95443.174679528005</v>
      </c>
      <c r="CX58" s="2340">
        <v>95572.489183615791</v>
      </c>
      <c r="CY58" s="2340">
        <v>95635.129706961132</v>
      </c>
      <c r="CZ58" s="2340">
        <v>95735.349753305563</v>
      </c>
      <c r="DA58" s="2340">
        <v>95801.227551163436</v>
      </c>
      <c r="DB58" s="2340">
        <v>95929.735798341644</v>
      </c>
      <c r="DC58" s="2340">
        <v>96001.902774936359</v>
      </c>
      <c r="DD58" s="2340">
        <v>96085.090468406968</v>
      </c>
      <c r="DE58" s="2340">
        <v>96159.092806571469</v>
      </c>
      <c r="DF58" s="2340">
        <v>96261.527005097872</v>
      </c>
      <c r="DG58" s="2340">
        <v>96342.060185850976</v>
      </c>
      <c r="DH58" s="2340">
        <v>96411.70984299948</v>
      </c>
      <c r="DI58" s="2340">
        <v>96479.703668850474</v>
      </c>
      <c r="DJ58" s="2340">
        <v>96583.279565385252</v>
      </c>
      <c r="DK58" s="2340">
        <v>96649.682331214615</v>
      </c>
      <c r="DL58" s="2340">
        <v>96700.442274553279</v>
      </c>
      <c r="DM58" s="2340">
        <v>96774.611896012328</v>
      </c>
      <c r="DN58" s="2340">
        <v>96820.320619027916</v>
      </c>
      <c r="DO58" s="2340">
        <v>96900.954872430273</v>
      </c>
      <c r="DP58" s="2340">
        <v>96969.238915662951</v>
      </c>
      <c r="DQ58" s="2340">
        <v>97025.060340718293</v>
      </c>
      <c r="DR58" s="2340">
        <v>97109.404544340156</v>
      </c>
      <c r="DS58" s="2340">
        <v>97155.623533379126</v>
      </c>
      <c r="DT58" s="2340">
        <v>97225.485729161708</v>
      </c>
      <c r="DU58" s="2340">
        <v>97293.412836950156</v>
      </c>
    </row>
    <row r="59" spans="1:125" ht="12.75">
      <c r="A59" s="131">
        <v>57</v>
      </c>
      <c r="B59" s="132"/>
      <c r="C59" s="132"/>
      <c r="D59" s="132"/>
      <c r="E59" s="132"/>
      <c r="F59" s="132"/>
      <c r="G59" s="132"/>
      <c r="H59" s="132"/>
      <c r="I59" s="132"/>
      <c r="J59" s="132"/>
      <c r="K59" s="132"/>
      <c r="L59" s="132"/>
      <c r="M59" s="132"/>
      <c r="N59" s="132"/>
      <c r="O59" s="132"/>
      <c r="P59" s="132"/>
      <c r="Q59" s="132"/>
      <c r="R59" s="132"/>
      <c r="S59" s="132"/>
      <c r="T59" s="132"/>
      <c r="U59" s="132"/>
      <c r="V59" s="132"/>
      <c r="W59" s="132">
        <v>67177</v>
      </c>
      <c r="X59" s="132">
        <v>67970</v>
      </c>
      <c r="Y59" s="132">
        <v>68030.876777130106</v>
      </c>
      <c r="Z59" s="132">
        <v>70087.505509467315</v>
      </c>
      <c r="AA59" s="2340">
        <v>70524.241459941404</v>
      </c>
      <c r="AB59" s="2340">
        <v>71097.231088814238</v>
      </c>
      <c r="AC59" s="2340">
        <v>71815.295008169865</v>
      </c>
      <c r="AD59" s="2340">
        <v>72609.641548219341</v>
      </c>
      <c r="AE59" s="2340">
        <v>72496.095076996324</v>
      </c>
      <c r="AF59" s="2340">
        <v>73765.824912093914</v>
      </c>
      <c r="AG59" s="2340">
        <v>74273.851707999434</v>
      </c>
      <c r="AH59" s="2340">
        <v>74868.37213001815</v>
      </c>
      <c r="AI59" s="2340">
        <v>75202.766921360526</v>
      </c>
      <c r="AJ59" s="2340">
        <v>76555.129523387746</v>
      </c>
      <c r="AK59" s="2340">
        <v>76610.484077135858</v>
      </c>
      <c r="AL59" s="2340">
        <v>77141.431069970393</v>
      </c>
      <c r="AM59" s="2340">
        <v>77642.623974260525</v>
      </c>
      <c r="AN59" s="2340">
        <v>78184.621755907268</v>
      </c>
      <c r="AO59" s="2340">
        <v>78181.03691434639</v>
      </c>
      <c r="AP59" s="2340">
        <v>78494.510203290643</v>
      </c>
      <c r="AQ59" s="2340">
        <v>78730.072989197419</v>
      </c>
      <c r="AR59" s="2340">
        <v>79127.185889141416</v>
      </c>
      <c r="AS59" s="2340">
        <v>78609.905789415949</v>
      </c>
      <c r="AT59" s="2340">
        <v>78007.776646287093</v>
      </c>
      <c r="AU59" s="2340">
        <v>76843.821729106625</v>
      </c>
      <c r="AV59" s="2340">
        <v>77462.686894328435</v>
      </c>
      <c r="AW59" s="2340">
        <v>78123.395867252068</v>
      </c>
      <c r="AX59" s="2340">
        <v>80464.567137681341</v>
      </c>
      <c r="AY59" s="2340">
        <v>82245.159996967035</v>
      </c>
      <c r="AZ59" s="2340">
        <v>82217.562656479247</v>
      </c>
      <c r="BA59" s="2340">
        <v>82272.710164589604</v>
      </c>
      <c r="BB59" s="2340">
        <v>83099.891714218786</v>
      </c>
      <c r="BC59" s="2340">
        <v>83335.757452742211</v>
      </c>
      <c r="BD59" s="2340">
        <v>83889.076757151299</v>
      </c>
      <c r="BE59" s="2340">
        <v>84134.016940684669</v>
      </c>
      <c r="BF59" s="2340">
        <v>84684.108489583246</v>
      </c>
      <c r="BG59" s="2340">
        <v>84808.780553108751</v>
      </c>
      <c r="BH59" s="2340">
        <v>85473.370186730244</v>
      </c>
      <c r="BI59" s="2340">
        <v>85853.739567927769</v>
      </c>
      <c r="BJ59" s="2340">
        <v>86237.072742735094</v>
      </c>
      <c r="BK59" s="2340">
        <v>86768.593297078449</v>
      </c>
      <c r="BL59" s="2340">
        <v>87387.75191961386</v>
      </c>
      <c r="BM59" s="2340">
        <v>87963.897130236626</v>
      </c>
      <c r="BN59" s="2340">
        <v>88468.670245578352</v>
      </c>
      <c r="BO59" s="2340">
        <v>88834.97500174788</v>
      </c>
      <c r="BP59" s="2340">
        <v>89113.05261773261</v>
      </c>
      <c r="BQ59" s="2340">
        <v>89382.99222553843</v>
      </c>
      <c r="BR59" s="2340">
        <v>89596.001885165635</v>
      </c>
      <c r="BS59" s="2340">
        <v>89641.246075348696</v>
      </c>
      <c r="BT59" s="2340">
        <v>89833.777025817108</v>
      </c>
      <c r="BU59" s="2340">
        <v>89916.189518919811</v>
      </c>
      <c r="BV59" s="2340">
        <v>90163.804101282105</v>
      </c>
      <c r="BW59" s="2340">
        <v>90318.791499444997</v>
      </c>
      <c r="BX59" s="2340">
        <v>90546.442676909384</v>
      </c>
      <c r="BY59" s="2340">
        <v>90799.233209284183</v>
      </c>
      <c r="BZ59" s="2340">
        <v>91168.784990524291</v>
      </c>
      <c r="CA59" s="2340">
        <v>91405.215321765456</v>
      </c>
      <c r="CB59" s="2340">
        <v>91531.339639714846</v>
      </c>
      <c r="CC59" s="2340">
        <v>91815.873063352919</v>
      </c>
      <c r="CD59" s="2340">
        <v>92040.022863657214</v>
      </c>
      <c r="CE59" s="2340">
        <v>92226.207453621668</v>
      </c>
      <c r="CF59" s="2340">
        <v>92492.500405542276</v>
      </c>
      <c r="CG59" s="2340">
        <v>92678.646471512533</v>
      </c>
      <c r="CH59" s="2340">
        <v>92879.055106638523</v>
      </c>
      <c r="CI59" s="2340">
        <v>93130.604138352996</v>
      </c>
      <c r="CJ59" s="2340">
        <v>93249.610235703862</v>
      </c>
      <c r="CK59" s="2340">
        <v>93405.711409134121</v>
      </c>
      <c r="CL59" s="2340">
        <v>93647.069245512379</v>
      </c>
      <c r="CM59" s="2340">
        <v>93780.758102283988</v>
      </c>
      <c r="CN59" s="2340">
        <v>93942.799659739088</v>
      </c>
      <c r="CO59" s="2340">
        <v>94144.142224892668</v>
      </c>
      <c r="CP59" s="2340">
        <v>94296.323109674631</v>
      </c>
      <c r="CQ59" s="2340">
        <v>94456.074332135249</v>
      </c>
      <c r="CR59" s="2340">
        <v>94544.577748772877</v>
      </c>
      <c r="CS59" s="2340">
        <v>94707.158801003709</v>
      </c>
      <c r="CT59" s="2340">
        <v>94816.090542219303</v>
      </c>
      <c r="CU59" s="2340">
        <v>94943.353254571601</v>
      </c>
      <c r="CV59" s="2340">
        <v>95048.43511484284</v>
      </c>
      <c r="CW59" s="2340">
        <v>95128.035162723099</v>
      </c>
      <c r="CX59" s="2340">
        <v>95262.859484905843</v>
      </c>
      <c r="CY59" s="2340">
        <v>95331.125993437643</v>
      </c>
      <c r="CZ59" s="2340">
        <v>95436.752718689575</v>
      </c>
      <c r="DA59" s="2340">
        <v>95508.046457358287</v>
      </c>
      <c r="DB59" s="2340">
        <v>95641.684484883051</v>
      </c>
      <c r="DC59" s="2340">
        <v>95719.057989084424</v>
      </c>
      <c r="DD59" s="2340">
        <v>95807.326400280639</v>
      </c>
      <c r="DE59" s="2340">
        <v>95886.344449715412</v>
      </c>
      <c r="DF59" s="2340">
        <v>95993.624819423072</v>
      </c>
      <c r="DG59" s="2340">
        <v>96078.978168224261</v>
      </c>
      <c r="DH59" s="2340">
        <v>96153.390608784524</v>
      </c>
      <c r="DI59" s="2340">
        <v>96226.065479018347</v>
      </c>
      <c r="DJ59" s="2340">
        <v>96334.145934800807</v>
      </c>
      <c r="DK59" s="2340">
        <v>96405.06762433298</v>
      </c>
      <c r="DL59" s="2340">
        <v>96460.303484245174</v>
      </c>
      <c r="DM59" s="2340">
        <v>96538.810147508324</v>
      </c>
      <c r="DN59" s="2340">
        <v>96588.845762302619</v>
      </c>
      <c r="DO59" s="2340">
        <v>96673.645633012027</v>
      </c>
      <c r="DP59" s="2340">
        <v>96746.048909702004</v>
      </c>
      <c r="DQ59" s="2340">
        <v>96805.943174338099</v>
      </c>
      <c r="DR59" s="2340">
        <v>96894.222763563084</v>
      </c>
      <c r="DS59" s="2340">
        <v>96944.38950851257</v>
      </c>
      <c r="DT59" s="2340">
        <v>97018.076643479071</v>
      </c>
      <c r="DU59" s="2340">
        <v>97089.763585591689</v>
      </c>
    </row>
    <row r="60" spans="1:125" ht="12.75">
      <c r="A60" s="131">
        <v>58</v>
      </c>
      <c r="B60" s="132"/>
      <c r="C60" s="132"/>
      <c r="D60" s="132"/>
      <c r="E60" s="132"/>
      <c r="F60" s="132"/>
      <c r="G60" s="132"/>
      <c r="H60" s="132"/>
      <c r="I60" s="132"/>
      <c r="J60" s="132"/>
      <c r="K60" s="132"/>
      <c r="L60" s="132"/>
      <c r="M60" s="132"/>
      <c r="N60" s="132"/>
      <c r="O60" s="132"/>
      <c r="P60" s="132"/>
      <c r="Q60" s="132"/>
      <c r="R60" s="132"/>
      <c r="S60" s="132"/>
      <c r="T60" s="132"/>
      <c r="U60" s="132"/>
      <c r="V60" s="132"/>
      <c r="W60" s="132">
        <v>66236</v>
      </c>
      <c r="X60" s="132">
        <v>67041</v>
      </c>
      <c r="Y60" s="132">
        <v>67070.181740447661</v>
      </c>
      <c r="Z60" s="132">
        <v>69169.534754357344</v>
      </c>
      <c r="AA60" s="2340">
        <v>69586.684136267708</v>
      </c>
      <c r="AB60" s="2340">
        <v>70176.604120215619</v>
      </c>
      <c r="AC60" s="2340">
        <v>70889.852190815494</v>
      </c>
      <c r="AD60" s="2340">
        <v>71665.674562490181</v>
      </c>
      <c r="AE60" s="2340">
        <v>71552.463449827366</v>
      </c>
      <c r="AF60" s="2340">
        <v>72804.892667966662</v>
      </c>
      <c r="AG60" s="2340">
        <v>73348.200341195843</v>
      </c>
      <c r="AH60" s="2340">
        <v>73924.687861747181</v>
      </c>
      <c r="AI60" s="2340">
        <v>74271.04961212365</v>
      </c>
      <c r="AJ60" s="2340">
        <v>75636.698614441877</v>
      </c>
      <c r="AK60" s="2340">
        <v>75725.898877612824</v>
      </c>
      <c r="AL60" s="2340">
        <v>76267.124153412704</v>
      </c>
      <c r="AM60" s="2340">
        <v>76799.234102394126</v>
      </c>
      <c r="AN60" s="2340">
        <v>77353.061671894553</v>
      </c>
      <c r="AO60" s="2340">
        <v>77385.550937508509</v>
      </c>
      <c r="AP60" s="2340">
        <v>77721.519226170727</v>
      </c>
      <c r="AQ60" s="2340">
        <v>77999.802711415759</v>
      </c>
      <c r="AR60" s="2340">
        <v>78401.377064790504</v>
      </c>
      <c r="AS60" s="2340">
        <v>77891.394395883297</v>
      </c>
      <c r="AT60" s="2340">
        <v>77305.220424959756</v>
      </c>
      <c r="AU60" s="2340">
        <v>76158.118641247347</v>
      </c>
      <c r="AV60" s="2340">
        <v>76780.957691505828</v>
      </c>
      <c r="AW60" s="2340">
        <v>77466.367025604442</v>
      </c>
      <c r="AX60" s="2340">
        <v>79801.801983216603</v>
      </c>
      <c r="AY60" s="2340">
        <v>81620.435794241479</v>
      </c>
      <c r="AZ60" s="2340">
        <v>81556.318797748536</v>
      </c>
      <c r="BA60" s="2340">
        <v>81624.119704149489</v>
      </c>
      <c r="BB60" s="2340">
        <v>82421.548853879998</v>
      </c>
      <c r="BC60" s="2340">
        <v>82651.895503035383</v>
      </c>
      <c r="BD60" s="2340">
        <v>83221.720547284232</v>
      </c>
      <c r="BE60" s="2340">
        <v>83452.158338887268</v>
      </c>
      <c r="BF60" s="2340">
        <v>84040.669536607209</v>
      </c>
      <c r="BG60" s="2340">
        <v>84145.120004934855</v>
      </c>
      <c r="BH60" s="2340">
        <v>84840.584729782538</v>
      </c>
      <c r="BI60" s="2340">
        <v>85221.982330603307</v>
      </c>
      <c r="BJ60" s="2340">
        <v>85616.661184487893</v>
      </c>
      <c r="BK60" s="2340">
        <v>86140.090364477786</v>
      </c>
      <c r="BL60" s="2340">
        <v>86786.455670213545</v>
      </c>
      <c r="BM60" s="2340">
        <v>87363.403265144996</v>
      </c>
      <c r="BN60" s="2340">
        <v>87845.460884129629</v>
      </c>
      <c r="BO60" s="2340">
        <v>88219.79826527297</v>
      </c>
      <c r="BP60" s="2340">
        <v>88507.85507270458</v>
      </c>
      <c r="BQ60" s="2340">
        <v>88787.67199221022</v>
      </c>
      <c r="BR60" s="2340">
        <v>89010.774956338064</v>
      </c>
      <c r="BS60" s="2340">
        <v>89067.019254267056</v>
      </c>
      <c r="BT60" s="2340">
        <v>89269.418401690957</v>
      </c>
      <c r="BU60" s="2340">
        <v>89362.210499012857</v>
      </c>
      <c r="BV60" s="2340">
        <v>89619.0160575685</v>
      </c>
      <c r="BW60" s="2340">
        <v>89783.594861905513</v>
      </c>
      <c r="BX60" s="2340">
        <v>90020.247856955481</v>
      </c>
      <c r="BY60" s="2340">
        <v>90281.748795150124</v>
      </c>
      <c r="BZ60" s="2340">
        <v>90659.21812844128</v>
      </c>
      <c r="CA60" s="2340">
        <v>90904.182814731685</v>
      </c>
      <c r="CB60" s="2340">
        <v>91039.05689767249</v>
      </c>
      <c r="CC60" s="2340">
        <v>91331.352264034329</v>
      </c>
      <c r="CD60" s="2340">
        <v>91563.45885613776</v>
      </c>
      <c r="CE60" s="2340">
        <v>91757.665228555663</v>
      </c>
      <c r="CF60" s="2340">
        <v>92031.447492396721</v>
      </c>
      <c r="CG60" s="2340">
        <v>92225.358914833603</v>
      </c>
      <c r="CH60" s="2340">
        <v>92433.335469997633</v>
      </c>
      <c r="CI60" s="2340">
        <v>92692.087310322313</v>
      </c>
      <c r="CJ60" s="2340">
        <v>92818.795317570664</v>
      </c>
      <c r="CK60" s="2340">
        <v>92982.295662388831</v>
      </c>
      <c r="CL60" s="2340">
        <v>93230.547549943964</v>
      </c>
      <c r="CM60" s="2340">
        <v>93371.490807419803</v>
      </c>
      <c r="CN60" s="2340">
        <v>93540.539830362017</v>
      </c>
      <c r="CO60" s="2340">
        <v>93748.605936799591</v>
      </c>
      <c r="CP60" s="2340">
        <v>93907.602422378288</v>
      </c>
      <c r="CQ60" s="2340">
        <v>94074.0221788294</v>
      </c>
      <c r="CR60" s="2340">
        <v>94169.363561801438</v>
      </c>
      <c r="CS60" s="2340">
        <v>94338.372061395727</v>
      </c>
      <c r="CT60" s="2340">
        <v>94453.827193145233</v>
      </c>
      <c r="CU60" s="2340">
        <v>94587.429655719257</v>
      </c>
      <c r="CV60" s="2340">
        <v>94698.822533275015</v>
      </c>
      <c r="CW60" s="2340">
        <v>94784.714080057514</v>
      </c>
      <c r="CX60" s="2340">
        <v>94925.521361404637</v>
      </c>
      <c r="CY60" s="2340">
        <v>94999.898484476391</v>
      </c>
      <c r="CZ60" s="2340">
        <v>95111.397936829759</v>
      </c>
      <c r="DA60" s="2340">
        <v>95188.575512092808</v>
      </c>
      <c r="DB60" s="2340">
        <v>95327.786530297963</v>
      </c>
      <c r="DC60" s="2340">
        <v>95410.817596131499</v>
      </c>
      <c r="DD60" s="2340">
        <v>95504.607373029125</v>
      </c>
      <c r="DE60" s="2340">
        <v>95589.076816926492</v>
      </c>
      <c r="DF60" s="2340">
        <v>95701.624639763046</v>
      </c>
      <c r="DG60" s="2340">
        <v>95792.217907013735</v>
      </c>
      <c r="DH60" s="2340">
        <v>95871.808498477898</v>
      </c>
      <c r="DI60" s="2340">
        <v>95949.573173827695</v>
      </c>
      <c r="DJ60" s="2340">
        <v>96062.551768878999</v>
      </c>
      <c r="DK60" s="2340">
        <v>96138.387951679266</v>
      </c>
      <c r="DL60" s="2340">
        <v>96198.492093166147</v>
      </c>
      <c r="DM60" s="2340">
        <v>96281.716278194144</v>
      </c>
      <c r="DN60" s="2340">
        <v>96336.458972614564</v>
      </c>
      <c r="DO60" s="2340">
        <v>96425.790678769932</v>
      </c>
      <c r="DP60" s="2340">
        <v>96502.675789656991</v>
      </c>
      <c r="DQ60" s="2340">
        <v>96567.001854996852</v>
      </c>
      <c r="DR60" s="2340">
        <v>96659.563888358505</v>
      </c>
      <c r="DS60" s="2340">
        <v>96714.027081294014</v>
      </c>
      <c r="DT60" s="2340">
        <v>96791.877221478746</v>
      </c>
      <c r="DU60" s="2340">
        <v>96867.656640730391</v>
      </c>
    </row>
    <row r="61" spans="1:125" ht="12.75">
      <c r="A61" s="131">
        <v>59</v>
      </c>
      <c r="B61" s="132"/>
      <c r="C61" s="132"/>
      <c r="D61" s="132"/>
      <c r="E61" s="132"/>
      <c r="F61" s="132"/>
      <c r="G61" s="132"/>
      <c r="H61" s="132"/>
      <c r="I61" s="132"/>
      <c r="J61" s="132"/>
      <c r="K61" s="132"/>
      <c r="L61" s="132"/>
      <c r="M61" s="132"/>
      <c r="N61" s="132"/>
      <c r="O61" s="132"/>
      <c r="P61" s="132"/>
      <c r="Q61" s="132"/>
      <c r="R61" s="132"/>
      <c r="S61" s="132"/>
      <c r="T61" s="132"/>
      <c r="U61" s="132"/>
      <c r="V61" s="132"/>
      <c r="W61" s="132">
        <v>65227</v>
      </c>
      <c r="X61" s="132">
        <v>66033</v>
      </c>
      <c r="Y61" s="132">
        <v>66057.037001165969</v>
      </c>
      <c r="Z61" s="132">
        <v>68161.358805418276</v>
      </c>
      <c r="AA61" s="2340">
        <v>68603.988820912768</v>
      </c>
      <c r="AB61" s="2340">
        <v>69187.313245939731</v>
      </c>
      <c r="AC61" s="2340">
        <v>69902.555606071386</v>
      </c>
      <c r="AD61" s="2340">
        <v>70640.928101981248</v>
      </c>
      <c r="AE61" s="2340">
        <v>70573.253970069753</v>
      </c>
      <c r="AF61" s="2340">
        <v>71809.419298198831</v>
      </c>
      <c r="AG61" s="2340">
        <v>72347.816020977029</v>
      </c>
      <c r="AH61" s="2340">
        <v>72933.809034573016</v>
      </c>
      <c r="AI61" s="2340">
        <v>73286.212668915003</v>
      </c>
      <c r="AJ61" s="2340">
        <v>74652.081540097992</v>
      </c>
      <c r="AK61" s="2340">
        <v>74779.419323507362</v>
      </c>
      <c r="AL61" s="2340">
        <v>75353.372849314823</v>
      </c>
      <c r="AM61" s="2340">
        <v>75920.554326004931</v>
      </c>
      <c r="AN61" s="2340">
        <v>76503.69252144733</v>
      </c>
      <c r="AO61" s="2340">
        <v>76565.453706586588</v>
      </c>
      <c r="AP61" s="2340">
        <v>76932.848192254867</v>
      </c>
      <c r="AQ61" s="2340">
        <v>77214.906770107846</v>
      </c>
      <c r="AR61" s="2340">
        <v>77639.566494525498</v>
      </c>
      <c r="AS61" s="2340">
        <v>77129.689159845351</v>
      </c>
      <c r="AT61" s="2340">
        <v>76547.655869835944</v>
      </c>
      <c r="AU61" s="2340">
        <v>75430.400553836997</v>
      </c>
      <c r="AV61" s="2340">
        <v>76063.95697110788</v>
      </c>
      <c r="AW61" s="2340">
        <v>76759.452432506048</v>
      </c>
      <c r="AX61" s="2340">
        <v>79079.097252182459</v>
      </c>
      <c r="AY61" s="2340">
        <v>80900.657500583911</v>
      </c>
      <c r="AZ61" s="2340">
        <v>80839.442501332363</v>
      </c>
      <c r="BA61" s="2340">
        <v>80912.749471865391</v>
      </c>
      <c r="BB61" s="2340">
        <v>81675.154431866744</v>
      </c>
      <c r="BC61" s="2340">
        <v>81931.494658896394</v>
      </c>
      <c r="BD61" s="2340">
        <v>82485.909152070264</v>
      </c>
      <c r="BE61" s="2340">
        <v>82743.783841915065</v>
      </c>
      <c r="BF61" s="2340">
        <v>83332.294714902353</v>
      </c>
      <c r="BG61" s="2340">
        <v>83432.080455525997</v>
      </c>
      <c r="BH61" s="2340">
        <v>84138.702230208961</v>
      </c>
      <c r="BI61" s="2340">
        <v>84538.747976881248</v>
      </c>
      <c r="BJ61" s="2340">
        <v>84969.192466964698</v>
      </c>
      <c r="BK61" s="2340">
        <v>85481.496791732847</v>
      </c>
      <c r="BL61" s="2340">
        <v>86103.470192862005</v>
      </c>
      <c r="BM61" s="2340">
        <v>86680.759302333172</v>
      </c>
      <c r="BN61" s="2340">
        <v>87165.92490872927</v>
      </c>
      <c r="BO61" s="2340">
        <v>87550.530031103146</v>
      </c>
      <c r="BP61" s="2340">
        <v>87849.353233819609</v>
      </c>
      <c r="BQ61" s="2340">
        <v>88139.830337030493</v>
      </c>
      <c r="BR61" s="2340">
        <v>88373.833075149611</v>
      </c>
      <c r="BS61" s="2340">
        <v>88441.968668656584</v>
      </c>
      <c r="BT61" s="2340">
        <v>88655.03145875172</v>
      </c>
      <c r="BU61" s="2340">
        <v>88759.048184246509</v>
      </c>
      <c r="BV61" s="2340">
        <v>89025.788262089889</v>
      </c>
      <c r="BW61" s="2340">
        <v>89200.741461703568</v>
      </c>
      <c r="BX61" s="2340">
        <v>89447.130485218222</v>
      </c>
      <c r="BY61" s="2340">
        <v>89718.053571231343</v>
      </c>
      <c r="BZ61" s="2340">
        <v>90104.084693026452</v>
      </c>
      <c r="CA61" s="2340">
        <v>90358.038806465964</v>
      </c>
      <c r="CB61" s="2340">
        <v>90502.409600346815</v>
      </c>
      <c r="CC61" s="2340">
        <v>90803.127236477187</v>
      </c>
      <c r="CD61" s="2340">
        <v>91043.870791236754</v>
      </c>
      <c r="CE61" s="2340">
        <v>91246.787204855762</v>
      </c>
      <c r="CF61" s="2340">
        <v>91528.70104589939</v>
      </c>
      <c r="CG61" s="2340">
        <v>91731.047088515596</v>
      </c>
      <c r="CH61" s="2340">
        <v>91947.244938090662</v>
      </c>
      <c r="CI61" s="2340">
        <v>92213.821771429473</v>
      </c>
      <c r="CJ61" s="2340">
        <v>92348.900944169392</v>
      </c>
      <c r="CK61" s="2340">
        <v>92520.444041911527</v>
      </c>
      <c r="CL61" s="2340">
        <v>92776.189389713458</v>
      </c>
      <c r="CM61" s="2340">
        <v>92925.020809226524</v>
      </c>
      <c r="CN61" s="2340">
        <v>93101.690187141692</v>
      </c>
      <c r="CO61" s="2340">
        <v>93317.068392171917</v>
      </c>
      <c r="CP61" s="2340">
        <v>93483.478850281957</v>
      </c>
      <c r="CQ61" s="2340">
        <v>93657.153504814123</v>
      </c>
      <c r="CR61" s="2340">
        <v>93759.936001617796</v>
      </c>
      <c r="CS61" s="2340">
        <v>93935.938950522977</v>
      </c>
      <c r="CT61" s="2340">
        <v>94058.494457061286</v>
      </c>
      <c r="CU61" s="2340">
        <v>94198.998074795221</v>
      </c>
      <c r="CV61" s="2340">
        <v>94317.26188530802</v>
      </c>
      <c r="CW61" s="2340">
        <v>94410.004158051568</v>
      </c>
      <c r="CX61" s="2340">
        <v>94557.326460382508</v>
      </c>
      <c r="CY61" s="2340">
        <v>94638.358937034864</v>
      </c>
      <c r="CZ61" s="2340">
        <v>94756.255047306578</v>
      </c>
      <c r="DA61" s="2340">
        <v>94839.842326684375</v>
      </c>
      <c r="DB61" s="2340">
        <v>94985.124606994825</v>
      </c>
      <c r="DC61" s="2340">
        <v>95074.320092482856</v>
      </c>
      <c r="DD61" s="2340">
        <v>95174.126413525417</v>
      </c>
      <c r="DE61" s="2340">
        <v>95264.536783342162</v>
      </c>
      <c r="DF61" s="2340">
        <v>95382.825449194061</v>
      </c>
      <c r="DG61" s="2340">
        <v>95479.130198206505</v>
      </c>
      <c r="DH61" s="2340">
        <v>95564.36550529224</v>
      </c>
      <c r="DI61" s="2340">
        <v>95647.679079751193</v>
      </c>
      <c r="DJ61" s="2340">
        <v>95765.997910492966</v>
      </c>
      <c r="DK61" s="2340">
        <v>95847.192769219706</v>
      </c>
      <c r="DL61" s="2340">
        <v>95912.605687313611</v>
      </c>
      <c r="DM61" s="2340">
        <v>96000.974559997543</v>
      </c>
      <c r="DN61" s="2340">
        <v>96060.851048876924</v>
      </c>
      <c r="DO61" s="2340">
        <v>96155.125666951193</v>
      </c>
      <c r="DP61" s="2340">
        <v>96236.899547792404</v>
      </c>
      <c r="DQ61" s="2340">
        <v>96306.06018427886</v>
      </c>
      <c r="DR61" s="2340">
        <v>96403.294098838349</v>
      </c>
      <c r="DS61" s="2340">
        <v>96462.444865257537</v>
      </c>
      <c r="DT61" s="2340">
        <v>96544.837224187329</v>
      </c>
      <c r="DU61" s="2340">
        <v>96625.082196589574</v>
      </c>
    </row>
    <row r="62" spans="1:125" ht="12.75">
      <c r="A62" s="131">
        <v>60</v>
      </c>
      <c r="B62" s="132"/>
      <c r="C62" s="132"/>
      <c r="D62" s="132"/>
      <c r="E62" s="132"/>
      <c r="F62" s="132"/>
      <c r="G62" s="132"/>
      <c r="H62" s="132"/>
      <c r="I62" s="132"/>
      <c r="J62" s="132"/>
      <c r="K62" s="132"/>
      <c r="L62" s="132"/>
      <c r="M62" s="132"/>
      <c r="N62" s="132"/>
      <c r="O62" s="132"/>
      <c r="P62" s="132"/>
      <c r="Q62" s="132"/>
      <c r="R62" s="132"/>
      <c r="S62" s="132"/>
      <c r="T62" s="132"/>
      <c r="U62" s="132"/>
      <c r="V62" s="132"/>
      <c r="W62" s="132">
        <v>64136</v>
      </c>
      <c r="X62" s="132">
        <v>64943</v>
      </c>
      <c r="Y62" s="132">
        <v>64981.90310429057</v>
      </c>
      <c r="Z62" s="132">
        <v>67108.499828170097</v>
      </c>
      <c r="AA62" s="2340">
        <v>67555.338341527255</v>
      </c>
      <c r="AB62" s="2340">
        <v>68142.507503216475</v>
      </c>
      <c r="AC62" s="2340">
        <v>68844.180211952829</v>
      </c>
      <c r="AD62" s="2340">
        <v>69558.369325287524</v>
      </c>
      <c r="AE62" s="2340">
        <v>69503.806758779625</v>
      </c>
      <c r="AF62" s="2340">
        <v>70730.726042925875</v>
      </c>
      <c r="AG62" s="2340">
        <v>71245.16295268487</v>
      </c>
      <c r="AH62" s="2340">
        <v>71859.859049783132</v>
      </c>
      <c r="AI62" s="2340">
        <v>72235.963865682046</v>
      </c>
      <c r="AJ62" s="2340">
        <v>73629.802102939939</v>
      </c>
      <c r="AK62" s="2340">
        <v>73783.397163896196</v>
      </c>
      <c r="AL62" s="2340">
        <v>74361.060395645589</v>
      </c>
      <c r="AM62" s="2340">
        <v>75001.484754283258</v>
      </c>
      <c r="AN62" s="2340">
        <v>75597.737006199983</v>
      </c>
      <c r="AO62" s="2340">
        <v>75689.958894705414</v>
      </c>
      <c r="AP62" s="2340">
        <v>76101.742496302904</v>
      </c>
      <c r="AQ62" s="2340">
        <v>76365.647857583594</v>
      </c>
      <c r="AR62" s="2340">
        <v>76833.962274427555</v>
      </c>
      <c r="AS62" s="2340">
        <v>76309.283248965687</v>
      </c>
      <c r="AT62" s="2340">
        <v>75757.177186381639</v>
      </c>
      <c r="AU62" s="2340">
        <v>74666.202918194322</v>
      </c>
      <c r="AV62" s="2340">
        <v>75304.202676195549</v>
      </c>
      <c r="AW62" s="2340">
        <v>76027.920490075092</v>
      </c>
      <c r="AX62" s="2340">
        <v>78322.414633812921</v>
      </c>
      <c r="AY62" s="2340">
        <v>80115.087742073621</v>
      </c>
      <c r="AZ62" s="2340">
        <v>80078.801428647552</v>
      </c>
      <c r="BA62" s="2340">
        <v>80131.584923721719</v>
      </c>
      <c r="BB62" s="2340">
        <v>80899.445880383166</v>
      </c>
      <c r="BC62" s="2340">
        <v>81138.72241916036</v>
      </c>
      <c r="BD62" s="2340">
        <v>81720.234320198186</v>
      </c>
      <c r="BE62" s="2340">
        <v>81974.763223703354</v>
      </c>
      <c r="BF62" s="2340">
        <v>82561.496789129596</v>
      </c>
      <c r="BG62" s="2340">
        <v>82682.859162297245</v>
      </c>
      <c r="BH62" s="2340">
        <v>83391.545861024133</v>
      </c>
      <c r="BI62" s="2340">
        <v>83798.436106695473</v>
      </c>
      <c r="BJ62" s="2340">
        <v>84246.576765966005</v>
      </c>
      <c r="BK62" s="2340">
        <v>84730.284982938421</v>
      </c>
      <c r="BL62" s="2340">
        <v>85348.347079072351</v>
      </c>
      <c r="BM62" s="2340">
        <v>85930.886001813225</v>
      </c>
      <c r="BN62" s="2340">
        <v>86426.408115363869</v>
      </c>
      <c r="BO62" s="2340">
        <v>86822.085995521702</v>
      </c>
      <c r="BP62" s="2340">
        <v>87132.529964722606</v>
      </c>
      <c r="BQ62" s="2340">
        <v>87434.517398817756</v>
      </c>
      <c r="BR62" s="2340">
        <v>87680.296376496015</v>
      </c>
      <c r="BS62" s="2340">
        <v>87761.292932192824</v>
      </c>
      <c r="BT62" s="2340">
        <v>87985.884711519728</v>
      </c>
      <c r="BU62" s="2340">
        <v>88102.04612090427</v>
      </c>
      <c r="BV62" s="2340">
        <v>88379.530103222234</v>
      </c>
      <c r="BW62" s="2340">
        <v>88565.710661649427</v>
      </c>
      <c r="BX62" s="2340">
        <v>88822.635648038529</v>
      </c>
      <c r="BY62" s="2340">
        <v>89103.756567817036</v>
      </c>
      <c r="BZ62" s="2340">
        <v>89498.799645782987</v>
      </c>
      <c r="CA62" s="2340">
        <v>89762.514935445506</v>
      </c>
      <c r="CB62" s="2340">
        <v>89917.202707336299</v>
      </c>
      <c r="CC62" s="2340">
        <v>90227.068180127128</v>
      </c>
      <c r="CD62" s="2340">
        <v>90477.196084003284</v>
      </c>
      <c r="CE62" s="2340">
        <v>90689.578863253642</v>
      </c>
      <c r="CF62" s="2340">
        <v>90980.330349992422</v>
      </c>
      <c r="CG62" s="2340">
        <v>91191.84669201709</v>
      </c>
      <c r="CH62" s="2340">
        <v>91416.984184079512</v>
      </c>
      <c r="CI62" s="2340">
        <v>91692.07028127418</v>
      </c>
      <c r="CJ62" s="2340">
        <v>91836.256423293773</v>
      </c>
      <c r="CK62" s="2340">
        <v>92016.550015923203</v>
      </c>
      <c r="CL62" s="2340">
        <v>92280.448269213404</v>
      </c>
      <c r="CM62" s="2340">
        <v>92437.864880135909</v>
      </c>
      <c r="CN62" s="2340">
        <v>92622.828817663656</v>
      </c>
      <c r="CO62" s="2340">
        <v>92846.166715366242</v>
      </c>
      <c r="CP62" s="2340">
        <v>93020.649461428882</v>
      </c>
      <c r="CQ62" s="2340">
        <v>93202.224183613274</v>
      </c>
      <c r="CR62" s="2340">
        <v>93313.111284361788</v>
      </c>
      <c r="CS62" s="2340">
        <v>93496.732631295032</v>
      </c>
      <c r="CT62" s="2340">
        <v>93627.023334637182</v>
      </c>
      <c r="CU62" s="2340">
        <v>93775.045861050341</v>
      </c>
      <c r="CV62" s="2340">
        <v>93900.79668247285</v>
      </c>
      <c r="CW62" s="2340">
        <v>94001.004951850249</v>
      </c>
      <c r="CX62" s="2340">
        <v>94155.427812599708</v>
      </c>
      <c r="CY62" s="2340">
        <v>94243.714964837767</v>
      </c>
      <c r="CZ62" s="2340">
        <v>94368.584262543169</v>
      </c>
      <c r="DA62" s="2340">
        <v>94459.159819667082</v>
      </c>
      <c r="DB62" s="2340">
        <v>94611.061732814051</v>
      </c>
      <c r="DC62" s="2340">
        <v>94706.979306998081</v>
      </c>
      <c r="DD62" s="2340">
        <v>94813.347012284576</v>
      </c>
      <c r="DE62" s="2340">
        <v>94910.236902216042</v>
      </c>
      <c r="DF62" s="2340">
        <v>95034.787306910817</v>
      </c>
      <c r="DG62" s="2340">
        <v>95137.322354091579</v>
      </c>
      <c r="DH62" s="2340">
        <v>95228.715650192098</v>
      </c>
      <c r="DI62" s="2340">
        <v>95318.083156089706</v>
      </c>
      <c r="DJ62" s="2340">
        <v>95442.228625320597</v>
      </c>
      <c r="DK62" s="2340">
        <v>95529.270742976485</v>
      </c>
      <c r="DL62" s="2340">
        <v>95600.476902025432</v>
      </c>
      <c r="DM62" s="2340">
        <v>95694.460298230435</v>
      </c>
      <c r="DN62" s="2340">
        <v>95759.939825080859</v>
      </c>
      <c r="DO62" s="2340">
        <v>95859.60945642482</v>
      </c>
      <c r="DP62" s="2340">
        <v>95946.719595812596</v>
      </c>
      <c r="DQ62" s="2340">
        <v>96021.157651348942</v>
      </c>
      <c r="DR62" s="2340">
        <v>96123.491669996205</v>
      </c>
      <c r="DS62" s="2340">
        <v>96187.759966903206</v>
      </c>
      <c r="DT62" s="2340">
        <v>96275.111427027863</v>
      </c>
      <c r="DU62" s="2340">
        <v>96360.232048995909</v>
      </c>
    </row>
    <row r="63" spans="1:125" ht="12.75">
      <c r="A63" s="131">
        <v>61</v>
      </c>
      <c r="B63" s="132"/>
      <c r="C63" s="132"/>
      <c r="D63" s="132"/>
      <c r="E63" s="132"/>
      <c r="F63" s="132"/>
      <c r="G63" s="132"/>
      <c r="H63" s="132"/>
      <c r="I63" s="132"/>
      <c r="J63" s="132"/>
      <c r="K63" s="132"/>
      <c r="L63" s="132"/>
      <c r="M63" s="132"/>
      <c r="N63" s="132"/>
      <c r="O63" s="132"/>
      <c r="P63" s="132"/>
      <c r="Q63" s="132"/>
      <c r="R63" s="132"/>
      <c r="S63" s="132"/>
      <c r="T63" s="132"/>
      <c r="U63" s="132"/>
      <c r="V63" s="132"/>
      <c r="W63" s="132">
        <v>62994</v>
      </c>
      <c r="X63" s="132">
        <v>63810</v>
      </c>
      <c r="Y63" s="132">
        <v>63859.993746279419</v>
      </c>
      <c r="Z63" s="132">
        <v>65983.90308989615</v>
      </c>
      <c r="AA63" s="2340">
        <v>66429.899806244852</v>
      </c>
      <c r="AB63" s="2340">
        <v>67035.510821410862</v>
      </c>
      <c r="AC63" s="2340">
        <v>67727.862797658905</v>
      </c>
      <c r="AD63" s="2340">
        <v>68407.365455524356</v>
      </c>
      <c r="AE63" s="2340">
        <v>68354.000709838656</v>
      </c>
      <c r="AF63" s="2340">
        <v>69530.074633623444</v>
      </c>
      <c r="AG63" s="2340">
        <v>70094.340758893144</v>
      </c>
      <c r="AH63" s="2340">
        <v>70723.295109154307</v>
      </c>
      <c r="AI63" s="2340">
        <v>71129.451365179732</v>
      </c>
      <c r="AJ63" s="2340">
        <v>72537.892830557452</v>
      </c>
      <c r="AK63" s="2340">
        <v>72713.369702861251</v>
      </c>
      <c r="AL63" s="2340">
        <v>73347.821420173379</v>
      </c>
      <c r="AM63" s="2340">
        <v>74035.97036450234</v>
      </c>
      <c r="AN63" s="2340">
        <v>74662.946135835839</v>
      </c>
      <c r="AO63" s="2340">
        <v>74770.825481955166</v>
      </c>
      <c r="AP63" s="2340">
        <v>75203.258560288363</v>
      </c>
      <c r="AQ63" s="2340">
        <v>75478.507968340564</v>
      </c>
      <c r="AR63" s="2340">
        <v>75973.155208635682</v>
      </c>
      <c r="AS63" s="2340">
        <v>75465.315955609796</v>
      </c>
      <c r="AT63" s="2340">
        <v>74936.959162376035</v>
      </c>
      <c r="AU63" s="2340">
        <v>73860.218737069197</v>
      </c>
      <c r="AV63" s="2340">
        <v>74506.800279485265</v>
      </c>
      <c r="AW63" s="2340">
        <v>75224.186900975823</v>
      </c>
      <c r="AX63" s="2340">
        <v>77505.474810150175</v>
      </c>
      <c r="AY63" s="2340">
        <v>79278.850651517045</v>
      </c>
      <c r="AZ63" s="2340">
        <v>79242.872845818361</v>
      </c>
      <c r="BA63" s="2340">
        <v>79294.82382053521</v>
      </c>
      <c r="BB63" s="2340">
        <v>80049.895622850046</v>
      </c>
      <c r="BC63" s="2340">
        <v>80327.456202498142</v>
      </c>
      <c r="BD63" s="2340">
        <v>80879.259395823683</v>
      </c>
      <c r="BE63" s="2340">
        <v>81166.433571230678</v>
      </c>
      <c r="BF63" s="2340">
        <v>81747.299096802468</v>
      </c>
      <c r="BG63" s="2340">
        <v>81870.071866644168</v>
      </c>
      <c r="BH63" s="2340">
        <v>82607.175169946087</v>
      </c>
      <c r="BI63" s="2340">
        <v>83007.080699265498</v>
      </c>
      <c r="BJ63" s="2340">
        <v>83433.339154880814</v>
      </c>
      <c r="BK63" s="2340">
        <v>83878.172749463425</v>
      </c>
      <c r="BL63" s="2340">
        <v>84523.120648193624</v>
      </c>
      <c r="BM63" s="2340">
        <v>85116.081074952468</v>
      </c>
      <c r="BN63" s="2340">
        <v>85622.739214927293</v>
      </c>
      <c r="BO63" s="2340">
        <v>86030.337481967697</v>
      </c>
      <c r="BP63" s="2340">
        <v>86353.303476724133</v>
      </c>
      <c r="BQ63" s="2340">
        <v>86667.698793039337</v>
      </c>
      <c r="BR63" s="2340">
        <v>86926.180514587686</v>
      </c>
      <c r="BS63" s="2340">
        <v>87021.065081152614</v>
      </c>
      <c r="BT63" s="2340">
        <v>87258.101964578076</v>
      </c>
      <c r="BU63" s="2340">
        <v>87387.383467788371</v>
      </c>
      <c r="BV63" s="2340">
        <v>87676.468916830083</v>
      </c>
      <c r="BW63" s="2340">
        <v>87874.781714442855</v>
      </c>
      <c r="BX63" s="2340">
        <v>88143.091347398906</v>
      </c>
      <c r="BY63" s="2340">
        <v>88434.983948116773</v>
      </c>
      <c r="BZ63" s="2340">
        <v>88839.795673148037</v>
      </c>
      <c r="CA63" s="2340">
        <v>89114.09824410663</v>
      </c>
      <c r="CB63" s="2340">
        <v>89279.981364792126</v>
      </c>
      <c r="CC63" s="2340">
        <v>89599.771884261048</v>
      </c>
      <c r="CD63" s="2340">
        <v>89860.084978065264</v>
      </c>
      <c r="CE63" s="2340">
        <v>90082.744778857101</v>
      </c>
      <c r="CF63" s="2340">
        <v>90383.090961525173</v>
      </c>
      <c r="CG63" s="2340">
        <v>90604.566578524027</v>
      </c>
      <c r="CH63" s="2340">
        <v>90839.414318312498</v>
      </c>
      <c r="CI63" s="2340">
        <v>91123.743964778419</v>
      </c>
      <c r="CJ63" s="2340">
        <v>91277.826718560813</v>
      </c>
      <c r="CK63" s="2340">
        <v>91467.630542864325</v>
      </c>
      <c r="CL63" s="2340">
        <v>91740.389852504421</v>
      </c>
      <c r="CM63" s="2340">
        <v>91907.140179484079</v>
      </c>
      <c r="CN63" s="2340">
        <v>92101.122870274179</v>
      </c>
      <c r="CO63" s="2340">
        <v>92333.116260883427</v>
      </c>
      <c r="CP63" s="2340">
        <v>92516.378664971198</v>
      </c>
      <c r="CQ63" s="2340">
        <v>92706.546828492152</v>
      </c>
      <c r="CR63" s="2340">
        <v>92826.251587765524</v>
      </c>
      <c r="CS63" s="2340">
        <v>93018.162114149993</v>
      </c>
      <c r="CT63" s="2340">
        <v>93156.870483939696</v>
      </c>
      <c r="CU63" s="2340">
        <v>93313.076157983262</v>
      </c>
      <c r="CV63" s="2340">
        <v>93446.976466575652</v>
      </c>
      <c r="CW63" s="2340">
        <v>93555.312366107057</v>
      </c>
      <c r="CX63" s="2340">
        <v>93717.465615623907</v>
      </c>
      <c r="CY63" s="2340">
        <v>93813.652030746656</v>
      </c>
      <c r="CZ63" s="2340">
        <v>93946.114716602053</v>
      </c>
      <c r="DA63" s="2340">
        <v>94044.300932193786</v>
      </c>
      <c r="DB63" s="2340">
        <v>94203.41253881494</v>
      </c>
      <c r="DC63" s="2340">
        <v>94306.652190412002</v>
      </c>
      <c r="DD63" s="2340">
        <v>94420.167523886863</v>
      </c>
      <c r="DE63" s="2340">
        <v>94524.116469219676</v>
      </c>
      <c r="DF63" s="2340">
        <v>94655.489190536042</v>
      </c>
      <c r="DG63" s="2340">
        <v>94764.81285257655</v>
      </c>
      <c r="DH63" s="2340">
        <v>94862.916485450609</v>
      </c>
      <c r="DI63" s="2340">
        <v>94958.881413957904</v>
      </c>
      <c r="DJ63" s="2340">
        <v>95089.377052374126</v>
      </c>
      <c r="DK63" s="2340">
        <v>95182.792235283167</v>
      </c>
      <c r="DL63" s="2340">
        <v>95260.312981486844</v>
      </c>
      <c r="DM63" s="2340">
        <v>95360.416557235119</v>
      </c>
      <c r="DN63" s="2340">
        <v>95432.004079897015</v>
      </c>
      <c r="DO63" s="2340">
        <v>95537.555306191949</v>
      </c>
      <c r="DP63" s="2340">
        <v>95630.48329038739</v>
      </c>
      <c r="DQ63" s="2340">
        <v>95710.675323378251</v>
      </c>
      <c r="DR63" s="2340">
        <v>95818.570316890531</v>
      </c>
      <c r="DS63" s="2340">
        <v>95888.418789228119</v>
      </c>
      <c r="DT63" s="2340">
        <v>95981.177962436152</v>
      </c>
      <c r="DU63" s="2340">
        <v>96071.6155244455</v>
      </c>
    </row>
    <row r="64" spans="1:125" ht="12.75">
      <c r="A64" s="131">
        <v>62</v>
      </c>
      <c r="B64" s="132"/>
      <c r="C64" s="132"/>
      <c r="D64" s="132"/>
      <c r="E64" s="132"/>
      <c r="F64" s="132"/>
      <c r="G64" s="132"/>
      <c r="H64" s="132"/>
      <c r="I64" s="132"/>
      <c r="J64" s="132"/>
      <c r="K64" s="132"/>
      <c r="L64" s="132"/>
      <c r="M64" s="132"/>
      <c r="N64" s="132"/>
      <c r="O64" s="132"/>
      <c r="P64" s="132"/>
      <c r="Q64" s="132"/>
      <c r="R64" s="132"/>
      <c r="S64" s="132"/>
      <c r="T64" s="132"/>
      <c r="U64" s="132"/>
      <c r="V64" s="132"/>
      <c r="W64" s="132">
        <v>61784</v>
      </c>
      <c r="X64" s="132">
        <v>62604</v>
      </c>
      <c r="Y64" s="132">
        <v>62638.22274684297</v>
      </c>
      <c r="Z64" s="132">
        <v>64766.020189446543</v>
      </c>
      <c r="AA64" s="2340">
        <v>65246.414285812942</v>
      </c>
      <c r="AB64" s="2340">
        <v>65858.438811605709</v>
      </c>
      <c r="AC64" s="2340">
        <v>66521.047914851515</v>
      </c>
      <c r="AD64" s="2340">
        <v>67163.802364195959</v>
      </c>
      <c r="AE64" s="2340">
        <v>67120.387037945766</v>
      </c>
      <c r="AF64" s="2340">
        <v>68291.550299755472</v>
      </c>
      <c r="AG64" s="2340">
        <v>68898.302567863226</v>
      </c>
      <c r="AH64" s="2340">
        <v>69546.972449673165</v>
      </c>
      <c r="AI64" s="2340">
        <v>69979.534708135208</v>
      </c>
      <c r="AJ64" s="2340">
        <v>71375.645203199369</v>
      </c>
      <c r="AK64" s="2340">
        <v>71582.762986663176</v>
      </c>
      <c r="AL64" s="2340">
        <v>72293.149011174872</v>
      </c>
      <c r="AM64" s="2340">
        <v>73018.245935666942</v>
      </c>
      <c r="AN64" s="2340">
        <v>73667.559898376698</v>
      </c>
      <c r="AO64" s="2340">
        <v>73805.774256966251</v>
      </c>
      <c r="AP64" s="2340">
        <v>74260.924795700907</v>
      </c>
      <c r="AQ64" s="2340">
        <v>74545.92737367787</v>
      </c>
      <c r="AR64" s="2340">
        <v>75072.794630063494</v>
      </c>
      <c r="AS64" s="2340">
        <v>74582.032715139547</v>
      </c>
      <c r="AT64" s="2340">
        <v>74083.007766605064</v>
      </c>
      <c r="AU64" s="2340">
        <v>73016.917227886195</v>
      </c>
      <c r="AV64" s="2340">
        <v>73645.296771406618</v>
      </c>
      <c r="AW64" s="2340">
        <v>74370.763233836682</v>
      </c>
      <c r="AX64" s="2340">
        <v>76648.087942249142</v>
      </c>
      <c r="AY64" s="2340">
        <v>78369.923134167722</v>
      </c>
      <c r="AZ64" s="2340">
        <v>78357.864387399502</v>
      </c>
      <c r="BA64" s="2340">
        <v>78407.883298010012</v>
      </c>
      <c r="BB64" s="2340">
        <v>79172.326260527232</v>
      </c>
      <c r="BC64" s="2340">
        <v>79412.209025271804</v>
      </c>
      <c r="BD64" s="2340">
        <v>80006.206566250868</v>
      </c>
      <c r="BE64" s="2340">
        <v>80289.700306938539</v>
      </c>
      <c r="BF64" s="2340">
        <v>80852.596075601992</v>
      </c>
      <c r="BG64" s="2340">
        <v>81010.459355113198</v>
      </c>
      <c r="BH64" s="2340">
        <v>81740.629325463218</v>
      </c>
      <c r="BI64" s="2340">
        <v>82110.354153713546</v>
      </c>
      <c r="BJ64" s="2340">
        <v>82514.947366565058</v>
      </c>
      <c r="BK64" s="2340">
        <v>82973.837769201258</v>
      </c>
      <c r="BL64" s="2340">
        <v>83629.467411967213</v>
      </c>
      <c r="BM64" s="2340">
        <v>84233.57385068947</v>
      </c>
      <c r="BN64" s="2340">
        <v>84752.158770448703</v>
      </c>
      <c r="BO64" s="2340">
        <v>85172.540415047129</v>
      </c>
      <c r="BP64" s="2340">
        <v>85508.948578739102</v>
      </c>
      <c r="BQ64" s="2340">
        <v>85836.66922486262</v>
      </c>
      <c r="BR64" s="2340">
        <v>86108.802506265114</v>
      </c>
      <c r="BS64" s="2340">
        <v>86218.630038589967</v>
      </c>
      <c r="BT64" s="2340">
        <v>86469.052200977778</v>
      </c>
      <c r="BU64" s="2340">
        <v>86612.456975325418</v>
      </c>
      <c r="BV64" s="2340">
        <v>86914.024895179973</v>
      </c>
      <c r="BW64" s="2340">
        <v>87125.401344909624</v>
      </c>
      <c r="BX64" s="2340">
        <v>87405.730253748727</v>
      </c>
      <c r="BY64" s="2340">
        <v>87709.262548406885</v>
      </c>
      <c r="BZ64" s="2340">
        <v>88124.629002139875</v>
      </c>
      <c r="CA64" s="2340">
        <v>88410.378039814925</v>
      </c>
      <c r="CB64" s="2340">
        <v>88588.370858846203</v>
      </c>
      <c r="CC64" s="2340">
        <v>88918.895482459848</v>
      </c>
      <c r="CD64" s="2340">
        <v>89190.227992175322</v>
      </c>
      <c r="CE64" s="2340">
        <v>89424.009740987327</v>
      </c>
      <c r="CF64" s="2340">
        <v>89734.739893540755</v>
      </c>
      <c r="CG64" s="2340">
        <v>89966.997837908537</v>
      </c>
      <c r="CH64" s="2340">
        <v>90212.360030794254</v>
      </c>
      <c r="CI64" s="2340">
        <v>90506.699786849917</v>
      </c>
      <c r="CJ64" s="2340">
        <v>90671.503942420502</v>
      </c>
      <c r="CK64" s="2340">
        <v>90871.61181277677</v>
      </c>
      <c r="CL64" s="2340">
        <v>91153.972317830339</v>
      </c>
      <c r="CM64" s="2340">
        <v>91330.839002345194</v>
      </c>
      <c r="CN64" s="2340">
        <v>91534.597887035023</v>
      </c>
      <c r="CO64" s="2340">
        <v>91775.974743730112</v>
      </c>
      <c r="CP64" s="2340">
        <v>91968.757100394549</v>
      </c>
      <c r="CQ64" s="2340">
        <v>92168.244561408123</v>
      </c>
      <c r="CR64" s="2340">
        <v>92297.513610322771</v>
      </c>
      <c r="CS64" s="2340">
        <v>92498.415901067958</v>
      </c>
      <c r="CT64" s="2340">
        <v>92646.256908091862</v>
      </c>
      <c r="CU64" s="2340">
        <v>92811.341777739115</v>
      </c>
      <c r="CV64" s="2340">
        <v>92954.085911496033</v>
      </c>
      <c r="CW64" s="2340">
        <v>93071.243018725334</v>
      </c>
      <c r="CX64" s="2340">
        <v>93241.787082369556</v>
      </c>
      <c r="CY64" s="2340">
        <v>93346.54871785258</v>
      </c>
      <c r="CZ64" s="2340">
        <v>93487.255334241403</v>
      </c>
      <c r="DA64" s="2340">
        <v>93593.705108299298</v>
      </c>
      <c r="DB64" s="2340">
        <v>93760.645581601129</v>
      </c>
      <c r="DC64" s="2340">
        <v>93871.836924800402</v>
      </c>
      <c r="DD64" s="2340">
        <v>93993.115180652385</v>
      </c>
      <c r="DE64" s="2340">
        <v>94104.731504372656</v>
      </c>
      <c r="DF64" s="2340">
        <v>94243.515082642698</v>
      </c>
      <c r="DG64" s="2340">
        <v>94360.213564283957</v>
      </c>
      <c r="DH64" s="2340">
        <v>94465.607519879326</v>
      </c>
      <c r="DI64" s="2340">
        <v>94568.74061369829</v>
      </c>
      <c r="DJ64" s="2340">
        <v>94706.136312293413</v>
      </c>
      <c r="DK64" s="2340">
        <v>94806.476830960964</v>
      </c>
      <c r="DL64" s="2340">
        <v>94890.859769103045</v>
      </c>
      <c r="DM64" s="2340">
        <v>94997.614726338928</v>
      </c>
      <c r="DN64" s="2340">
        <v>95075.840701423134</v>
      </c>
      <c r="DO64" s="2340">
        <v>95187.784764431752</v>
      </c>
      <c r="DP64" s="2340">
        <v>95287.036593534955</v>
      </c>
      <c r="DQ64" s="2340">
        <v>95373.483324074827</v>
      </c>
      <c r="DR64" s="2340">
        <v>95487.423599005939</v>
      </c>
      <c r="DS64" s="2340">
        <v>95563.3383685757</v>
      </c>
      <c r="DT64" s="2340">
        <v>95661.976686151</v>
      </c>
      <c r="DU64" s="2340">
        <v>95758.194933706574</v>
      </c>
    </row>
    <row r="65" spans="1:125" ht="12.75">
      <c r="A65" s="131">
        <v>63</v>
      </c>
      <c r="B65" s="132"/>
      <c r="C65" s="132"/>
      <c r="D65" s="132"/>
      <c r="E65" s="132"/>
      <c r="F65" s="132"/>
      <c r="G65" s="132"/>
      <c r="H65" s="132"/>
      <c r="I65" s="132"/>
      <c r="J65" s="132"/>
      <c r="K65" s="132"/>
      <c r="L65" s="132"/>
      <c r="M65" s="132"/>
      <c r="N65" s="132"/>
      <c r="O65" s="132"/>
      <c r="P65" s="132"/>
      <c r="Q65" s="132"/>
      <c r="R65" s="132"/>
      <c r="S65" s="132"/>
      <c r="T65" s="132"/>
      <c r="U65" s="132"/>
      <c r="V65" s="132"/>
      <c r="W65" s="132">
        <v>60505</v>
      </c>
      <c r="X65" s="132">
        <v>61331</v>
      </c>
      <c r="Y65" s="132">
        <v>61372.977101332588</v>
      </c>
      <c r="Z65" s="132">
        <v>63469.997453707954</v>
      </c>
      <c r="AA65" s="2340">
        <v>63992.212378358643</v>
      </c>
      <c r="AB65" s="2340">
        <v>64622.527517183</v>
      </c>
      <c r="AC65" s="2340">
        <v>65238.951156490701</v>
      </c>
      <c r="AD65" s="2340">
        <v>65846.653145742312</v>
      </c>
      <c r="AE65" s="2340">
        <v>65827.25308871083</v>
      </c>
      <c r="AF65" s="2340">
        <v>66976.153877259392</v>
      </c>
      <c r="AG65" s="2340">
        <v>67611.577729909332</v>
      </c>
      <c r="AH65" s="2340">
        <v>68292.325673426603</v>
      </c>
      <c r="AI65" s="2340">
        <v>68725.786023895897</v>
      </c>
      <c r="AJ65" s="2340">
        <v>70199.702999604386</v>
      </c>
      <c r="AK65" s="2340">
        <v>70440.081772217804</v>
      </c>
      <c r="AL65" s="2340">
        <v>71170.995584987162</v>
      </c>
      <c r="AM65" s="2340">
        <v>71960.737264084528</v>
      </c>
      <c r="AN65" s="2340">
        <v>72638.688471417088</v>
      </c>
      <c r="AO65" s="2340">
        <v>72783.828669716633</v>
      </c>
      <c r="AP65" s="2340">
        <v>73242.959657160885</v>
      </c>
      <c r="AQ65" s="2340">
        <v>73567.237745245744</v>
      </c>
      <c r="AR65" s="2340">
        <v>74101.747527927335</v>
      </c>
      <c r="AS65" s="2340">
        <v>73648.324618911836</v>
      </c>
      <c r="AT65" s="2340">
        <v>73164.722811114756</v>
      </c>
      <c r="AU65" s="2340">
        <v>72107.404183075283</v>
      </c>
      <c r="AV65" s="2340">
        <v>72728.709565283236</v>
      </c>
      <c r="AW65" s="2340">
        <v>73486.995681685818</v>
      </c>
      <c r="AX65" s="2340">
        <v>75734.184033796308</v>
      </c>
      <c r="AY65" s="2340">
        <v>77427.971766875242</v>
      </c>
      <c r="AZ65" s="2340">
        <v>77419.604499679597</v>
      </c>
      <c r="BA65" s="2340">
        <v>77483.901984892203</v>
      </c>
      <c r="BB65" s="2340">
        <v>78181.685472596946</v>
      </c>
      <c r="BC65" s="2340">
        <v>78456.583340779442</v>
      </c>
      <c r="BD65" s="2340">
        <v>79068.09554205602</v>
      </c>
      <c r="BE65" s="2340">
        <v>79317.112750559594</v>
      </c>
      <c r="BF65" s="2340">
        <v>79914.794416421864</v>
      </c>
      <c r="BG65" s="2340">
        <v>80066.525600535693</v>
      </c>
      <c r="BH65" s="2340">
        <v>80765.331203074034</v>
      </c>
      <c r="BI65" s="2340">
        <v>81104.216456652866</v>
      </c>
      <c r="BJ65" s="2340">
        <v>81526.946960529734</v>
      </c>
      <c r="BK65" s="2340">
        <v>81999.602551954755</v>
      </c>
      <c r="BL65" s="2340">
        <v>82666.569758159065</v>
      </c>
      <c r="BM65" s="2340">
        <v>83282.522042837023</v>
      </c>
      <c r="BN65" s="2340">
        <v>83813.80226750717</v>
      </c>
      <c r="BO65" s="2340">
        <v>84247.810620739678</v>
      </c>
      <c r="BP65" s="2340">
        <v>84598.563844506061</v>
      </c>
      <c r="BQ65" s="2340">
        <v>84940.511592206283</v>
      </c>
      <c r="BR65" s="2340">
        <v>85227.231595443125</v>
      </c>
      <c r="BS65" s="2340">
        <v>85353.046536410722</v>
      </c>
      <c r="BT65" s="2340">
        <v>85617.783429496281</v>
      </c>
      <c r="BU65" s="2340">
        <v>85776.306362503499</v>
      </c>
      <c r="BV65" s="2340">
        <v>86091.228904887335</v>
      </c>
      <c r="BW65" s="2340">
        <v>86316.375340026672</v>
      </c>
      <c r="BX65" s="2340">
        <v>86609.620434027747</v>
      </c>
      <c r="BY65" s="2340">
        <v>86925.663463572637</v>
      </c>
      <c r="BZ65" s="2340">
        <v>87352.373257475308</v>
      </c>
      <c r="CA65" s="2340">
        <v>87650.432485124795</v>
      </c>
      <c r="CB65" s="2340">
        <v>87841.455600038404</v>
      </c>
      <c r="CC65" s="2340">
        <v>88183.528609935442</v>
      </c>
      <c r="CD65" s="2340">
        <v>88466.721118443369</v>
      </c>
      <c r="CE65" s="2340">
        <v>88712.476961406326</v>
      </c>
      <c r="CF65" s="2340">
        <v>89034.387259362804</v>
      </c>
      <c r="CG65" s="2340">
        <v>89278.25868515308</v>
      </c>
      <c r="CH65" s="2340">
        <v>89534.947893997669</v>
      </c>
      <c r="CI65" s="2340">
        <v>89840.07256612707</v>
      </c>
      <c r="CJ65" s="2340">
        <v>90016.432723241465</v>
      </c>
      <c r="CK65" s="2340">
        <v>90227.648217625116</v>
      </c>
      <c r="CL65" s="2340">
        <v>90520.3593319754</v>
      </c>
      <c r="CM65" s="2340">
        <v>90708.135507699539</v>
      </c>
      <c r="CN65" s="2340">
        <v>90922.438492047353</v>
      </c>
      <c r="CO65" s="2340">
        <v>91173.937120864808</v>
      </c>
      <c r="CP65" s="2340">
        <v>91376.990664281446</v>
      </c>
      <c r="CQ65" s="2340">
        <v>91586.534315610581</v>
      </c>
      <c r="CR65" s="2340">
        <v>91726.126045740646</v>
      </c>
      <c r="CS65" s="2340">
        <v>91936.733957043529</v>
      </c>
      <c r="CT65" s="2340">
        <v>92094.434374361008</v>
      </c>
      <c r="CU65" s="2340">
        <v>92269.106224422212</v>
      </c>
      <c r="CV65" s="2340">
        <v>92421.400493283567</v>
      </c>
      <c r="CW65" s="2340">
        <v>92548.084593754742</v>
      </c>
      <c r="CX65" s="2340">
        <v>92727.69172318223</v>
      </c>
      <c r="CY65" s="2340">
        <v>92841.716869273398</v>
      </c>
      <c r="CZ65" s="2340">
        <v>92991.330022317125</v>
      </c>
      <c r="DA65" s="2340">
        <v>93106.708551119125</v>
      </c>
      <c r="DB65" s="2340">
        <v>93282.108909283867</v>
      </c>
      <c r="DC65" s="2340">
        <v>93401.89375919236</v>
      </c>
      <c r="DD65" s="2340">
        <v>93531.562316306139</v>
      </c>
      <c r="DE65" s="2340">
        <v>93651.466434372152</v>
      </c>
      <c r="DF65" s="2340">
        <v>93798.261263052831</v>
      </c>
      <c r="DG65" s="2340">
        <v>93922.932694456133</v>
      </c>
      <c r="DH65" s="2340">
        <v>94036.208874167554</v>
      </c>
      <c r="DI65" s="2340">
        <v>94147.092715979641</v>
      </c>
      <c r="DJ65" s="2340">
        <v>94291.949908577968</v>
      </c>
      <c r="DK65" s="2340">
        <v>94399.779696604368</v>
      </c>
      <c r="DL65" s="2340">
        <v>94491.584076638159</v>
      </c>
      <c r="DM65" s="2340">
        <v>94605.533023105862</v>
      </c>
      <c r="DN65" s="2340">
        <v>94690.939350854416</v>
      </c>
      <c r="DO65" s="2340">
        <v>94809.79863266983</v>
      </c>
      <c r="DP65" s="2340">
        <v>94915.891390228062</v>
      </c>
      <c r="DQ65" s="2340">
        <v>95009.104557500716</v>
      </c>
      <c r="DR65" s="2340">
        <v>95129.585170687104</v>
      </c>
      <c r="DS65" s="2340">
        <v>95212.063160019752</v>
      </c>
      <c r="DT65" s="2340">
        <v>95317.062606127234</v>
      </c>
      <c r="DU65" s="2340">
        <v>95419.535709516436</v>
      </c>
    </row>
    <row r="66" spans="1:125" ht="12.75">
      <c r="A66" s="131">
        <v>64</v>
      </c>
      <c r="B66" s="132"/>
      <c r="C66" s="132"/>
      <c r="D66" s="132"/>
      <c r="E66" s="132"/>
      <c r="F66" s="132"/>
      <c r="G66" s="132"/>
      <c r="H66" s="132"/>
      <c r="I66" s="132"/>
      <c r="J66" s="132"/>
      <c r="K66" s="132"/>
      <c r="L66" s="132"/>
      <c r="M66" s="132"/>
      <c r="N66" s="132"/>
      <c r="O66" s="132"/>
      <c r="P66" s="132"/>
      <c r="Q66" s="132"/>
      <c r="R66" s="132"/>
      <c r="S66" s="132"/>
      <c r="T66" s="132"/>
      <c r="U66" s="132"/>
      <c r="V66" s="132"/>
      <c r="W66" s="132">
        <v>59081</v>
      </c>
      <c r="X66" s="132">
        <v>59985</v>
      </c>
      <c r="Y66" s="132">
        <v>60051.737879612148</v>
      </c>
      <c r="Z66" s="132">
        <v>62099.653552684773</v>
      </c>
      <c r="AA66" s="2340">
        <v>62669.21643452454</v>
      </c>
      <c r="AB66" s="2340">
        <v>63276.579479399123</v>
      </c>
      <c r="AC66" s="2340">
        <v>63862.389594232154</v>
      </c>
      <c r="AD66" s="2340">
        <v>64462.996543709538</v>
      </c>
      <c r="AE66" s="2340">
        <v>64458.543917051233</v>
      </c>
      <c r="AF66" s="2340">
        <v>65595.953295030675</v>
      </c>
      <c r="AG66" s="2340">
        <v>66260.459522219739</v>
      </c>
      <c r="AH66" s="2340">
        <v>66961.822561393186</v>
      </c>
      <c r="AI66" s="2340">
        <v>67445.368899396941</v>
      </c>
      <c r="AJ66" s="2340">
        <v>68954.880079721421</v>
      </c>
      <c r="AK66" s="2340">
        <v>69242.117798692794</v>
      </c>
      <c r="AL66" s="2340">
        <v>69995.532922368031</v>
      </c>
      <c r="AM66" s="2340">
        <v>70857.758703674088</v>
      </c>
      <c r="AN66" s="2340">
        <v>71543.021340549167</v>
      </c>
      <c r="AO66" s="2340">
        <v>71705.487600830747</v>
      </c>
      <c r="AP66" s="2340">
        <v>72201.829861250051</v>
      </c>
      <c r="AQ66" s="2340">
        <v>72544.040254201871</v>
      </c>
      <c r="AR66" s="2340">
        <v>73116.853402003369</v>
      </c>
      <c r="AS66" s="2340">
        <v>72658.924492346356</v>
      </c>
      <c r="AT66" s="2340">
        <v>72179.27876592621</v>
      </c>
      <c r="AU66" s="2340">
        <v>71146.501462207074</v>
      </c>
      <c r="AV66" s="2340">
        <v>71762.6704955491</v>
      </c>
      <c r="AW66" s="2340">
        <v>72540.766634239888</v>
      </c>
      <c r="AX66" s="2340">
        <v>74774.298934440099</v>
      </c>
      <c r="AY66" s="2340">
        <v>76429.18119480391</v>
      </c>
      <c r="AZ66" s="2340">
        <v>76448.771877710169</v>
      </c>
      <c r="BA66" s="2340">
        <v>76454.998532806538</v>
      </c>
      <c r="BB66" s="2340">
        <v>77150.141217014883</v>
      </c>
      <c r="BC66" s="2340">
        <v>77437.039151239354</v>
      </c>
      <c r="BD66" s="2340">
        <v>78029.555451161461</v>
      </c>
      <c r="BE66" s="2340">
        <v>78300.199324898975</v>
      </c>
      <c r="BF66" s="2340">
        <v>78904.259969926919</v>
      </c>
      <c r="BG66" s="2340">
        <v>79004.381786113445</v>
      </c>
      <c r="BH66" s="2340">
        <v>79698.147498893682</v>
      </c>
      <c r="BI66" s="2340">
        <v>80031.738783911249</v>
      </c>
      <c r="BJ66" s="2340">
        <v>80469.81522736745</v>
      </c>
      <c r="BK66" s="2340">
        <v>80956.990400944778</v>
      </c>
      <c r="BL66" s="2340">
        <v>81635.889267205435</v>
      </c>
      <c r="BM66" s="2340">
        <v>82264.326688682631</v>
      </c>
      <c r="BN66" s="2340">
        <v>82809.010912560654</v>
      </c>
      <c r="BO66" s="2340">
        <v>83257.430135763803</v>
      </c>
      <c r="BP66" s="2340">
        <v>83623.373157578753</v>
      </c>
      <c r="BQ66" s="2340">
        <v>83980.393770717928</v>
      </c>
      <c r="BR66" s="2340">
        <v>84282.581126960213</v>
      </c>
      <c r="BS66" s="2340">
        <v>84425.373585139561</v>
      </c>
      <c r="BT66" s="2340">
        <v>84705.304277217598</v>
      </c>
      <c r="BU66" s="2340">
        <v>84879.890742154705</v>
      </c>
      <c r="BV66" s="2340">
        <v>85208.808053322704</v>
      </c>
      <c r="BW66" s="2340">
        <v>85448.644906195404</v>
      </c>
      <c r="BX66" s="2340">
        <v>85755.670222860674</v>
      </c>
      <c r="BY66" s="2340">
        <v>86085.063805153099</v>
      </c>
      <c r="BZ66" s="2340">
        <v>86523.87674637587</v>
      </c>
      <c r="CA66" s="2340">
        <v>86835.081090086853</v>
      </c>
      <c r="CB66" s="2340">
        <v>87040.026589619665</v>
      </c>
      <c r="CC66" s="2340">
        <v>87394.436341169989</v>
      </c>
      <c r="CD66" s="2340">
        <v>87690.304134868828</v>
      </c>
      <c r="CE66" s="2340">
        <v>87948.861732274672</v>
      </c>
      <c r="CF66" s="2340">
        <v>88282.725545283582</v>
      </c>
      <c r="CG66" s="2340">
        <v>88539.01921522677</v>
      </c>
      <c r="CH66" s="2340">
        <v>88807.82670393381</v>
      </c>
      <c r="CI66" s="2340">
        <v>89124.491089226402</v>
      </c>
      <c r="CJ66" s="2340">
        <v>89313.221854634496</v>
      </c>
      <c r="CK66" s="2340">
        <v>89536.329693733045</v>
      </c>
      <c r="CL66" s="2340">
        <v>89840.123342279665</v>
      </c>
      <c r="CM66" s="2340">
        <v>90039.584794069815</v>
      </c>
      <c r="CN66" s="2340">
        <v>90265.183381922136</v>
      </c>
      <c r="CO66" s="2340">
        <v>90527.526645294987</v>
      </c>
      <c r="CP66" s="2340">
        <v>90741.587595318037</v>
      </c>
      <c r="CQ66" s="2340">
        <v>90961.910034868823</v>
      </c>
      <c r="CR66" s="2340">
        <v>91112.56882856584</v>
      </c>
      <c r="CS66" s="2340">
        <v>91333.583212025798</v>
      </c>
      <c r="CT66" s="2340">
        <v>91501.857140769978</v>
      </c>
      <c r="CU66" s="2340">
        <v>91686.811747033338</v>
      </c>
      <c r="CV66" s="2340">
        <v>91849.350897913493</v>
      </c>
      <c r="CW66" s="2340">
        <v>91986.256628672796</v>
      </c>
      <c r="CX66" s="2340">
        <v>92175.588672704791</v>
      </c>
      <c r="CY66" s="2340">
        <v>92299.555410916058</v>
      </c>
      <c r="CZ66" s="2340">
        <v>92458.7281151559</v>
      </c>
      <c r="DA66" s="2340">
        <v>92583.691302111474</v>
      </c>
      <c r="DB66" s="2340">
        <v>92768.173933990489</v>
      </c>
      <c r="DC66" s="2340">
        <v>92897.185653007371</v>
      </c>
      <c r="DD66" s="2340">
        <v>93035.863859298654</v>
      </c>
      <c r="DE66" s="2340">
        <v>93164.668484455295</v>
      </c>
      <c r="DF66" s="2340">
        <v>93320.067699215884</v>
      </c>
      <c r="DG66" s="2340">
        <v>93453.303201059069</v>
      </c>
      <c r="DH66" s="2340">
        <v>93575.046771435213</v>
      </c>
      <c r="DI66" s="2340">
        <v>93694.257501326865</v>
      </c>
      <c r="DJ66" s="2340">
        <v>93847.131578038316</v>
      </c>
      <c r="DK66" s="2340">
        <v>93963.008671678152</v>
      </c>
      <c r="DL66" s="2340">
        <v>94062.788053489654</v>
      </c>
      <c r="DM66" s="2340">
        <v>94184.46822380081</v>
      </c>
      <c r="DN66" s="2340">
        <v>94277.591575806451</v>
      </c>
      <c r="DO66" s="2340">
        <v>94403.883554756161</v>
      </c>
      <c r="DP66" s="2340">
        <v>94517.329591359594</v>
      </c>
      <c r="DQ66" s="2340">
        <v>94617.816363323363</v>
      </c>
      <c r="DR66" s="2340">
        <v>94745.328068937844</v>
      </c>
      <c r="DS66" s="2340">
        <v>94834.86196846336</v>
      </c>
      <c r="DT66" s="2340">
        <v>94946.700529742608</v>
      </c>
      <c r="DU66" s="2340">
        <v>95055.89881583555</v>
      </c>
    </row>
    <row r="67" spans="1:125" ht="12.75">
      <c r="A67" s="131">
        <v>65</v>
      </c>
      <c r="B67" s="132"/>
      <c r="C67" s="132"/>
      <c r="D67" s="132"/>
      <c r="E67" s="132"/>
      <c r="F67" s="132"/>
      <c r="G67" s="132"/>
      <c r="H67" s="132"/>
      <c r="I67" s="132"/>
      <c r="J67" s="132"/>
      <c r="K67" s="132"/>
      <c r="L67" s="132"/>
      <c r="M67" s="132"/>
      <c r="N67" s="132"/>
      <c r="O67" s="132"/>
      <c r="P67" s="132"/>
      <c r="Q67" s="132"/>
      <c r="R67" s="132"/>
      <c r="S67" s="132"/>
      <c r="T67" s="132"/>
      <c r="U67" s="132"/>
      <c r="V67" s="132"/>
      <c r="W67" s="132">
        <v>57671</v>
      </c>
      <c r="X67" s="132">
        <v>58572</v>
      </c>
      <c r="Y67" s="132">
        <v>58676.973179420151</v>
      </c>
      <c r="Z67" s="132">
        <v>60697.876650147395</v>
      </c>
      <c r="AA67" s="2340">
        <v>61254.225922037142</v>
      </c>
      <c r="AB67" s="2340">
        <v>61859.651277257602</v>
      </c>
      <c r="AC67" s="2340">
        <v>62410.999182447624</v>
      </c>
      <c r="AD67" s="2340">
        <v>62988.346060655276</v>
      </c>
      <c r="AE67" s="2340">
        <v>62999.063485818748</v>
      </c>
      <c r="AF67" s="2340">
        <v>64148.10325304357</v>
      </c>
      <c r="AG67" s="2340">
        <v>64838.288510228653</v>
      </c>
      <c r="AH67" s="2340">
        <v>65593.908902330702</v>
      </c>
      <c r="AI67" s="2340">
        <v>66143.234710772784</v>
      </c>
      <c r="AJ67" s="2340">
        <v>67679.365405583303</v>
      </c>
      <c r="AK67" s="2340">
        <v>68002.75658366803</v>
      </c>
      <c r="AL67" s="2340">
        <v>68818.095462953046</v>
      </c>
      <c r="AM67" s="2340">
        <v>69707.448686279051</v>
      </c>
      <c r="AN67" s="2340">
        <v>70390.743149009431</v>
      </c>
      <c r="AO67" s="2340">
        <v>70586.071833285925</v>
      </c>
      <c r="AP67" s="2340">
        <v>71120.433782174892</v>
      </c>
      <c r="AQ67" s="2340">
        <v>71499.256257448913</v>
      </c>
      <c r="AR67" s="2340">
        <v>72068.330904938892</v>
      </c>
      <c r="AS67" s="2340">
        <v>71611.193508945915</v>
      </c>
      <c r="AT67" s="2340">
        <v>71161.239541009665</v>
      </c>
      <c r="AU67" s="2340">
        <v>70138.743997601734</v>
      </c>
      <c r="AV67" s="2340">
        <v>70723.730440026382</v>
      </c>
      <c r="AW67" s="2340">
        <v>71513.971104222437</v>
      </c>
      <c r="AX67" s="2340">
        <v>73708.206846847679</v>
      </c>
      <c r="AY67" s="2340">
        <v>75374.874940496666</v>
      </c>
      <c r="AZ67" s="2340">
        <v>75347.058512931617</v>
      </c>
      <c r="BA67" s="2340">
        <v>75363.451355934871</v>
      </c>
      <c r="BB67" s="2340">
        <v>76072.903901440382</v>
      </c>
      <c r="BC67" s="2340">
        <v>76324.58290430007</v>
      </c>
      <c r="BD67" s="2340">
        <v>76912.695869086601</v>
      </c>
      <c r="BE67" s="2340">
        <v>77225.110383471445</v>
      </c>
      <c r="BF67" s="2340">
        <v>77758.514939554603</v>
      </c>
      <c r="BG67" s="2340">
        <v>77838.270285215971</v>
      </c>
      <c r="BH67" s="2340">
        <v>78540.684706966407</v>
      </c>
      <c r="BI67" s="2340">
        <v>78892.037910219791</v>
      </c>
      <c r="BJ67" s="2340">
        <v>79346.164210335672</v>
      </c>
      <c r="BK67" s="2340">
        <v>79848.523788902443</v>
      </c>
      <c r="BL67" s="2340">
        <v>80539.867433071326</v>
      </c>
      <c r="BM67" s="2340">
        <v>81181.349168388115</v>
      </c>
      <c r="BN67" s="2340">
        <v>81740.066040351623</v>
      </c>
      <c r="BO67" s="2340">
        <v>82203.600205532814</v>
      </c>
      <c r="BP67" s="2340">
        <v>82585.498217788423</v>
      </c>
      <c r="BQ67" s="2340">
        <v>82958.360422110796</v>
      </c>
      <c r="BR67" s="2340">
        <v>83276.820097210031</v>
      </c>
      <c r="BS67" s="2340">
        <v>83437.503613715002</v>
      </c>
      <c r="BT67" s="2340">
        <v>83733.436425289998</v>
      </c>
      <c r="BU67" s="2340">
        <v>83924.820047754067</v>
      </c>
      <c r="BV67" s="2340">
        <v>84268.545164283685</v>
      </c>
      <c r="BW67" s="2340">
        <v>84523.938039118482</v>
      </c>
      <c r="BX67" s="2340">
        <v>84845.556115464875</v>
      </c>
      <c r="BY67" s="2340">
        <v>85189.090842718375</v>
      </c>
      <c r="BZ67" s="2340">
        <v>85640.721269935981</v>
      </c>
      <c r="CA67" s="2340">
        <v>85965.859493295793</v>
      </c>
      <c r="CB67" s="2340">
        <v>86185.573141013083</v>
      </c>
      <c r="CC67" s="2340">
        <v>86553.065851609674</v>
      </c>
      <c r="CD67" s="2340">
        <v>86862.38262905064</v>
      </c>
      <c r="CE67" s="2340">
        <v>87134.528968864674</v>
      </c>
      <c r="CF67" s="2340">
        <v>87481.08160192598</v>
      </c>
      <c r="CG67" s="2340">
        <v>87750.568434304252</v>
      </c>
      <c r="CH67" s="2340">
        <v>88032.249169299335</v>
      </c>
      <c r="CI67" s="2340">
        <v>88361.173729500879</v>
      </c>
      <c r="CJ67" s="2340">
        <v>88563.054897951311</v>
      </c>
      <c r="CK67" s="2340">
        <v>88798.806708820237</v>
      </c>
      <c r="CL67" s="2340">
        <v>89114.383928987911</v>
      </c>
      <c r="CM67" s="2340">
        <v>89326.275387469825</v>
      </c>
      <c r="CN67" s="2340">
        <v>89563.891463543812</v>
      </c>
      <c r="CO67" s="2340">
        <v>89837.774089991115</v>
      </c>
      <c r="CP67" s="2340">
        <v>90063.551000307169</v>
      </c>
      <c r="CQ67" s="2340">
        <v>90295.348221296255</v>
      </c>
      <c r="CR67" s="2340">
        <v>90457.792081792402</v>
      </c>
      <c r="CS67" s="2340">
        <v>90689.889079258646</v>
      </c>
      <c r="CT67" s="2340">
        <v>90869.426270250275</v>
      </c>
      <c r="CU67" s="2340">
        <v>91065.336091648453</v>
      </c>
      <c r="CV67" s="2340">
        <v>91238.792176621515</v>
      </c>
      <c r="CW67" s="2340">
        <v>91386.592057392045</v>
      </c>
      <c r="CX67" s="2340">
        <v>91586.289999750879</v>
      </c>
      <c r="CY67" s="2340">
        <v>91720.855720364183</v>
      </c>
      <c r="CZ67" s="2340">
        <v>91890.221328293861</v>
      </c>
      <c r="DA67" s="2340">
        <v>92025.405827413051</v>
      </c>
      <c r="DB67" s="2340">
        <v>92219.575021534285</v>
      </c>
      <c r="DC67" s="2340">
        <v>92358.429070644677</v>
      </c>
      <c r="DD67" s="2340">
        <v>92506.719069214043</v>
      </c>
      <c r="DE67" s="2340">
        <v>92645.020232558338</v>
      </c>
      <c r="DF67" s="2340">
        <v>92809.601052924889</v>
      </c>
      <c r="DG67" s="2340">
        <v>92951.976218603406</v>
      </c>
      <c r="DH67" s="2340">
        <v>93082.757270175076</v>
      </c>
      <c r="DI67" s="2340">
        <v>93210.856447573547</v>
      </c>
      <c r="DJ67" s="2340">
        <v>93372.288928409544</v>
      </c>
      <c r="DK67" s="2340">
        <v>93496.757722669383</v>
      </c>
      <c r="DL67" s="2340">
        <v>93605.052380920315</v>
      </c>
      <c r="DM67" s="2340">
        <v>93734.988298441152</v>
      </c>
      <c r="DN67" s="2340">
        <v>93836.352885048342</v>
      </c>
      <c r="DO67" s="2340">
        <v>93970.583178528497</v>
      </c>
      <c r="DP67" s="2340">
        <v>94091.883295970954</v>
      </c>
      <c r="DQ67" s="2340">
        <v>94200.13959290598</v>
      </c>
      <c r="DR67" s="2340">
        <v>94335.162403785245</v>
      </c>
      <c r="DS67" s="2340">
        <v>94432.234302785029</v>
      </c>
      <c r="DT67" s="2340">
        <v>94551.379815086737</v>
      </c>
      <c r="DU67" s="2340">
        <v>94667.763763881623</v>
      </c>
    </row>
    <row r="68" spans="1:125" ht="12.75">
      <c r="A68" s="131">
        <v>66</v>
      </c>
      <c r="B68" s="132"/>
      <c r="C68" s="132"/>
      <c r="D68" s="132"/>
      <c r="E68" s="132"/>
      <c r="F68" s="132"/>
      <c r="G68" s="132"/>
      <c r="H68" s="132"/>
      <c r="I68" s="132"/>
      <c r="J68" s="132"/>
      <c r="K68" s="132"/>
      <c r="L68" s="132"/>
      <c r="M68" s="132"/>
      <c r="N68" s="132"/>
      <c r="O68" s="132"/>
      <c r="P68" s="132"/>
      <c r="Q68" s="132"/>
      <c r="R68" s="132"/>
      <c r="S68" s="132"/>
      <c r="T68" s="132"/>
      <c r="U68" s="132"/>
      <c r="V68" s="132"/>
      <c r="W68" s="132">
        <v>56140</v>
      </c>
      <c r="X68" s="132">
        <v>57110</v>
      </c>
      <c r="Y68" s="132">
        <v>57191.736143898393</v>
      </c>
      <c r="Z68" s="132">
        <v>59146.189583086081</v>
      </c>
      <c r="AA68" s="2340">
        <v>59746.822398548567</v>
      </c>
      <c r="AB68" s="2340">
        <v>60378.631497664792</v>
      </c>
      <c r="AC68" s="2340">
        <v>60915.046904134935</v>
      </c>
      <c r="AD68" s="2340">
        <v>61467.149254481665</v>
      </c>
      <c r="AE68" s="2340">
        <v>61486.688623570612</v>
      </c>
      <c r="AF68" s="2340">
        <v>62612.860002013389</v>
      </c>
      <c r="AG68" s="2340">
        <v>63351.118793951522</v>
      </c>
      <c r="AH68" s="2340">
        <v>64179.439670208347</v>
      </c>
      <c r="AI68" s="2340">
        <v>64780.863840905156</v>
      </c>
      <c r="AJ68" s="2340">
        <v>66320.762545295715</v>
      </c>
      <c r="AK68" s="2340">
        <v>66729.414464426562</v>
      </c>
      <c r="AL68" s="2340">
        <v>67552.489648718052</v>
      </c>
      <c r="AM68" s="2340">
        <v>68455.759548795875</v>
      </c>
      <c r="AN68" s="2340">
        <v>69193.224173678362</v>
      </c>
      <c r="AO68" s="2340">
        <v>69400.378706794218</v>
      </c>
      <c r="AP68" s="2340">
        <v>69965.200237485595</v>
      </c>
      <c r="AQ68" s="2340">
        <v>70374.420712833467</v>
      </c>
      <c r="AR68" s="2340">
        <v>70948.719775706908</v>
      </c>
      <c r="AS68" s="2340">
        <v>70518.83286643961</v>
      </c>
      <c r="AT68" s="2340">
        <v>70086.231648666551</v>
      </c>
      <c r="AU68" s="2340">
        <v>69054.130740725755</v>
      </c>
      <c r="AV68" s="2340">
        <v>69611.464547500553</v>
      </c>
      <c r="AW68" s="2340">
        <v>70418.960818812411</v>
      </c>
      <c r="AX68" s="2340">
        <v>72623.599799302043</v>
      </c>
      <c r="AY68" s="2340">
        <v>74218.734901521122</v>
      </c>
      <c r="AZ68" s="2340">
        <v>74176.285854954011</v>
      </c>
      <c r="BA68" s="2340">
        <v>74198.432466830127</v>
      </c>
      <c r="BB68" s="2340">
        <v>74902.23113167753</v>
      </c>
      <c r="BC68" s="2340">
        <v>75170.155875383047</v>
      </c>
      <c r="BD68" s="2340">
        <v>75753.744843450215</v>
      </c>
      <c r="BE68" s="2340">
        <v>75990.50547479777</v>
      </c>
      <c r="BF68" s="2340">
        <v>76492.901810270239</v>
      </c>
      <c r="BG68" s="2340">
        <v>76602.53104979638</v>
      </c>
      <c r="BH68" s="2340">
        <v>77318.073200570783</v>
      </c>
      <c r="BI68" s="2340">
        <v>77687.869841676802</v>
      </c>
      <c r="BJ68" s="2340">
        <v>78158.646747333099</v>
      </c>
      <c r="BK68" s="2340">
        <v>78676.757239979634</v>
      </c>
      <c r="BL68" s="2340">
        <v>79380.969332707915</v>
      </c>
      <c r="BM68" s="2340">
        <v>80035.966146006889</v>
      </c>
      <c r="BN68" s="2340">
        <v>80609.256152736634</v>
      </c>
      <c r="BO68" s="2340">
        <v>81088.521332207602</v>
      </c>
      <c r="BP68" s="2340">
        <v>81487.052301712247</v>
      </c>
      <c r="BQ68" s="2340">
        <v>81876.440340737507</v>
      </c>
      <c r="BR68" s="2340">
        <v>82211.894438435731</v>
      </c>
      <c r="BS68" s="2340">
        <v>82391.299084336351</v>
      </c>
      <c r="BT68" s="2340">
        <v>82703.881159825658</v>
      </c>
      <c r="BU68" s="2340">
        <v>82912.922315362288</v>
      </c>
      <c r="BV68" s="2340">
        <v>83272.206107454156</v>
      </c>
      <c r="BW68" s="2340">
        <v>83543.958886572102</v>
      </c>
      <c r="BX68" s="2340">
        <v>83880.924105157348</v>
      </c>
      <c r="BY68" s="2340">
        <v>84239.334927235876</v>
      </c>
      <c r="BZ68" s="2340">
        <v>84704.445476858193</v>
      </c>
      <c r="CA68" s="2340">
        <v>85044.254236261899</v>
      </c>
      <c r="CB68" s="2340">
        <v>85279.529821025251</v>
      </c>
      <c r="CC68" s="2340">
        <v>85660.804052738313</v>
      </c>
      <c r="CD68" s="2340">
        <v>85984.296662257839</v>
      </c>
      <c r="CE68" s="2340">
        <v>86270.773039959691</v>
      </c>
      <c r="CF68" s="2340">
        <v>86630.706859335114</v>
      </c>
      <c r="CG68" s="2340">
        <v>86914.115320992642</v>
      </c>
      <c r="CH68" s="2340">
        <v>87209.383551354884</v>
      </c>
      <c r="CI68" s="2340">
        <v>87551.250137527793</v>
      </c>
      <c r="CJ68" s="2340">
        <v>87767.022731792138</v>
      </c>
      <c r="CK68" s="2340">
        <v>88016.133238579758</v>
      </c>
      <c r="CL68" s="2340">
        <v>88344.160460373838</v>
      </c>
      <c r="CM68" s="2340">
        <v>88569.192170212991</v>
      </c>
      <c r="CN68" s="2340">
        <v>88819.514707696653</v>
      </c>
      <c r="CO68" s="2340">
        <v>89105.600118022441</v>
      </c>
      <c r="CP68" s="2340">
        <v>89343.770918551949</v>
      </c>
      <c r="CQ68" s="2340">
        <v>89587.709497925403</v>
      </c>
      <c r="CR68" s="2340">
        <v>89762.627477102666</v>
      </c>
      <c r="CS68" s="2340">
        <v>90006.4560027181</v>
      </c>
      <c r="CT68" s="2340">
        <v>90197.91954886826</v>
      </c>
      <c r="CU68" s="2340">
        <v>90405.431534113406</v>
      </c>
      <c r="CV68" s="2340">
        <v>90590.451879961329</v>
      </c>
      <c r="CW68" s="2340">
        <v>90749.794446949221</v>
      </c>
      <c r="CX68" s="2340">
        <v>90960.476590141217</v>
      </c>
      <c r="CY68" s="2340">
        <v>91106.276388834478</v>
      </c>
      <c r="CZ68" s="2340">
        <v>91286.447052902513</v>
      </c>
      <c r="DA68" s="2340">
        <v>91432.468892387958</v>
      </c>
      <c r="DB68" s="2340">
        <v>91636.909480945338</v>
      </c>
      <c r="DC68" s="2340">
        <v>91786.202249401438</v>
      </c>
      <c r="DD68" s="2340">
        <v>91944.687894332412</v>
      </c>
      <c r="DE68" s="2340">
        <v>92093.063972725387</v>
      </c>
      <c r="DF68" s="2340">
        <v>92267.386782600399</v>
      </c>
      <c r="DG68" s="2340">
        <v>92419.460881967068</v>
      </c>
      <c r="DH68" s="2340">
        <v>92559.833737007502</v>
      </c>
      <c r="DI68" s="2340">
        <v>92697.367735666281</v>
      </c>
      <c r="DJ68" s="2340">
        <v>92867.885694107186</v>
      </c>
      <c r="DK68" s="2340">
        <v>93001.476500047749</v>
      </c>
      <c r="DL68" s="2340">
        <v>93118.813080383668</v>
      </c>
      <c r="DM68" s="2340">
        <v>93257.516251015972</v>
      </c>
      <c r="DN68" s="2340">
        <v>93367.63362747716</v>
      </c>
      <c r="DO68" s="2340">
        <v>93510.295812725497</v>
      </c>
      <c r="DP68" s="2340">
        <v>93639.939167592544</v>
      </c>
      <c r="DQ68" s="2340">
        <v>93756.449646084613</v>
      </c>
      <c r="DR68" s="2340">
        <v>93899.452834164753</v>
      </c>
      <c r="DS68" s="2340">
        <v>94004.534335068965</v>
      </c>
      <c r="DT68" s="2340">
        <v>94131.444616757668</v>
      </c>
      <c r="DU68" s="2340">
        <v>94255.465049707986</v>
      </c>
    </row>
    <row r="69" spans="1:125" ht="12.75">
      <c r="A69" s="131">
        <v>67</v>
      </c>
      <c r="B69" s="132"/>
      <c r="C69" s="132"/>
      <c r="D69" s="132"/>
      <c r="E69" s="132"/>
      <c r="F69" s="132"/>
      <c r="G69" s="132"/>
      <c r="H69" s="132"/>
      <c r="I69" s="132"/>
      <c r="J69" s="132"/>
      <c r="K69" s="132"/>
      <c r="L69" s="132"/>
      <c r="M69" s="132"/>
      <c r="N69" s="132"/>
      <c r="O69" s="132"/>
      <c r="P69" s="132"/>
      <c r="Q69" s="132"/>
      <c r="R69" s="132"/>
      <c r="S69" s="132"/>
      <c r="T69" s="132"/>
      <c r="U69" s="132"/>
      <c r="V69" s="132"/>
      <c r="W69" s="132">
        <v>54575</v>
      </c>
      <c r="X69" s="132">
        <v>55545</v>
      </c>
      <c r="Y69" s="132">
        <v>55599.264777842123</v>
      </c>
      <c r="Z69" s="132">
        <v>57528.605668727389</v>
      </c>
      <c r="AA69" s="2340">
        <v>58179.849097244798</v>
      </c>
      <c r="AB69" s="2340">
        <v>58808.099312713268</v>
      </c>
      <c r="AC69" s="2340">
        <v>59302.693801293964</v>
      </c>
      <c r="AD69" s="2340">
        <v>59885.753259689489</v>
      </c>
      <c r="AE69" s="2340">
        <v>59888.639387686162</v>
      </c>
      <c r="AF69" s="2340">
        <v>61095.76636917788</v>
      </c>
      <c r="AG69" s="2340">
        <v>61859.627182388293</v>
      </c>
      <c r="AH69" s="2340">
        <v>62732.96461689908</v>
      </c>
      <c r="AI69" s="2340">
        <v>63340.010863389667</v>
      </c>
      <c r="AJ69" s="2340">
        <v>64943.037851291738</v>
      </c>
      <c r="AK69" s="2340">
        <v>65380.038911261174</v>
      </c>
      <c r="AL69" s="2340">
        <v>66234.338176466568</v>
      </c>
      <c r="AM69" s="2340">
        <v>67159.872552349334</v>
      </c>
      <c r="AN69" s="2340">
        <v>67944.278655892515</v>
      </c>
      <c r="AO69" s="2340">
        <v>68194.946287908402</v>
      </c>
      <c r="AP69" s="2340">
        <v>68753.169519144969</v>
      </c>
      <c r="AQ69" s="2340">
        <v>69170.788605552938</v>
      </c>
      <c r="AR69" s="2340">
        <v>69778.768791983413</v>
      </c>
      <c r="AS69" s="2340">
        <v>69373.775294366613</v>
      </c>
      <c r="AT69" s="2340">
        <v>68896.384463858034</v>
      </c>
      <c r="AU69" s="2340">
        <v>67924.168422849136</v>
      </c>
      <c r="AV69" s="2340">
        <v>68454.707270090337</v>
      </c>
      <c r="AW69" s="2340">
        <v>69281.790483121891</v>
      </c>
      <c r="AX69" s="2340">
        <v>71408.840585157959</v>
      </c>
      <c r="AY69" s="2340">
        <v>73017.177108761491</v>
      </c>
      <c r="AZ69" s="2340">
        <v>72976.749507502333</v>
      </c>
      <c r="BA69" s="2340">
        <v>72930.706306093707</v>
      </c>
      <c r="BB69" s="2340">
        <v>73654.551753295018</v>
      </c>
      <c r="BC69" s="2340">
        <v>73925.422309858506</v>
      </c>
      <c r="BD69" s="2340">
        <v>74434.361582425408</v>
      </c>
      <c r="BE69" s="2340">
        <v>74652.303560245331</v>
      </c>
      <c r="BF69" s="2340">
        <v>75170.512569785496</v>
      </c>
      <c r="BG69" s="2340">
        <v>75304.045066713545</v>
      </c>
      <c r="BH69" s="2340">
        <v>76032.990300045727</v>
      </c>
      <c r="BI69" s="2340">
        <v>76421.795196655163</v>
      </c>
      <c r="BJ69" s="2340">
        <v>76909.713850177664</v>
      </c>
      <c r="BK69" s="2340">
        <v>77444.037072070147</v>
      </c>
      <c r="BL69" s="2340">
        <v>78161.445131115819</v>
      </c>
      <c r="BM69" s="2340">
        <v>78830.332961558437</v>
      </c>
      <c r="BN69" s="2340">
        <v>79418.642410921806</v>
      </c>
      <c r="BO69" s="2340">
        <v>79914.161105620398</v>
      </c>
      <c r="BP69" s="2340">
        <v>80329.910622219337</v>
      </c>
      <c r="BQ69" s="2340">
        <v>80736.419324172195</v>
      </c>
      <c r="BR69" s="2340">
        <v>81089.502505779921</v>
      </c>
      <c r="BS69" s="2340">
        <v>81288.35814408843</v>
      </c>
      <c r="BT69" s="2340">
        <v>81618.31118109377</v>
      </c>
      <c r="BU69" s="2340">
        <v>81845.797590006085</v>
      </c>
      <c r="BV69" s="2340">
        <v>82221.323855803465</v>
      </c>
      <c r="BW69" s="2340">
        <v>82510.174271398122</v>
      </c>
      <c r="BX69" s="2340">
        <v>82863.178474931134</v>
      </c>
      <c r="BY69" s="2340">
        <v>83237.14047117329</v>
      </c>
      <c r="BZ69" s="2340">
        <v>83716.337746872829</v>
      </c>
      <c r="CA69" s="2340">
        <v>84071.497836234688</v>
      </c>
      <c r="CB69" s="2340">
        <v>84323.073936350775</v>
      </c>
      <c r="CC69" s="2340">
        <v>84718.777120236206</v>
      </c>
      <c r="CD69" s="2340">
        <v>85057.122452975658</v>
      </c>
      <c r="CE69" s="2340">
        <v>85358.621668173728</v>
      </c>
      <c r="CF69" s="2340">
        <v>85732.583255004167</v>
      </c>
      <c r="CG69" s="2340">
        <v>86030.596931958396</v>
      </c>
      <c r="CH69" s="2340">
        <v>86340.123897944592</v>
      </c>
      <c r="CI69" s="2340">
        <v>86695.573481540792</v>
      </c>
      <c r="CJ69" s="2340">
        <v>86925.938046757132</v>
      </c>
      <c r="CK69" s="2340">
        <v>87189.083420457988</v>
      </c>
      <c r="CL69" s="2340">
        <v>87530.19072028152</v>
      </c>
      <c r="CM69" s="2340">
        <v>87769.037172556476</v>
      </c>
      <c r="CN69" s="2340">
        <v>88032.721030682325</v>
      </c>
      <c r="CO69" s="2340">
        <v>88331.640162107491</v>
      </c>
      <c r="CP69" s="2340">
        <v>88582.851272846485</v>
      </c>
      <c r="CQ69" s="2340">
        <v>88839.56759850141</v>
      </c>
      <c r="CR69" s="2340">
        <v>89027.619372386282</v>
      </c>
      <c r="CS69" s="2340">
        <v>89283.800590277198</v>
      </c>
      <c r="CT69" s="2340">
        <v>89487.826690108326</v>
      </c>
      <c r="CU69" s="2340">
        <v>89707.56210388981</v>
      </c>
      <c r="CV69" s="2340">
        <v>89904.7693196584</v>
      </c>
      <c r="CW69" s="2340">
        <v>90076.279319962676</v>
      </c>
      <c r="CX69" s="2340">
        <v>90298.541418022971</v>
      </c>
      <c r="CY69" s="2340">
        <v>90456.1885311605</v>
      </c>
      <c r="CZ69" s="2340">
        <v>90647.755623623205</v>
      </c>
      <c r="DA69" s="2340">
        <v>90805.210822309426</v>
      </c>
      <c r="DB69" s="2340">
        <v>91020.488700422444</v>
      </c>
      <c r="DC69" s="2340">
        <v>91180.798279372684</v>
      </c>
      <c r="DD69" s="2340">
        <v>91350.045959019786</v>
      </c>
      <c r="DE69" s="2340">
        <v>91509.058604436184</v>
      </c>
      <c r="DF69" s="2340">
        <v>91693.667873356157</v>
      </c>
      <c r="DG69" s="2340">
        <v>91855.98491071217</v>
      </c>
      <c r="DH69" s="2340">
        <v>92006.489281818067</v>
      </c>
      <c r="DI69" s="2340">
        <v>92153.990518675666</v>
      </c>
      <c r="DJ69" s="2340">
        <v>92334.107770537637</v>
      </c>
      <c r="DK69" s="2340">
        <v>92477.338171002004</v>
      </c>
      <c r="DL69" s="2340">
        <v>92604.231146725433</v>
      </c>
      <c r="DM69" s="2340">
        <v>92752.201502509255</v>
      </c>
      <c r="DN69" s="2340">
        <v>92871.572143730416</v>
      </c>
      <c r="DO69" s="2340">
        <v>93023.149282608851</v>
      </c>
      <c r="DP69" s="2340">
        <v>93161.614991538634</v>
      </c>
      <c r="DQ69" s="2340">
        <v>93286.854727366343</v>
      </c>
      <c r="DR69" s="2340">
        <v>93438.298468999783</v>
      </c>
      <c r="DS69" s="2340">
        <v>93551.852475424428</v>
      </c>
      <c r="DT69" s="2340">
        <v>93686.977087160762</v>
      </c>
      <c r="DU69" s="2340">
        <v>93819.076966360662</v>
      </c>
    </row>
    <row r="70" spans="1:125" ht="12.75">
      <c r="A70" s="131">
        <v>68</v>
      </c>
      <c r="B70" s="132"/>
      <c r="C70" s="132"/>
      <c r="D70" s="132"/>
      <c r="E70" s="132"/>
      <c r="F70" s="132"/>
      <c r="G70" s="132"/>
      <c r="H70" s="132"/>
      <c r="I70" s="132"/>
      <c r="J70" s="132"/>
      <c r="K70" s="132"/>
      <c r="L70" s="132"/>
      <c r="M70" s="132"/>
      <c r="N70" s="132"/>
      <c r="O70" s="132"/>
      <c r="P70" s="132"/>
      <c r="Q70" s="132"/>
      <c r="R70" s="132"/>
      <c r="S70" s="132"/>
      <c r="T70" s="132"/>
      <c r="U70" s="132"/>
      <c r="V70" s="132"/>
      <c r="W70" s="132">
        <v>52923</v>
      </c>
      <c r="X70" s="132">
        <v>53885</v>
      </c>
      <c r="Y70" s="132">
        <v>53971.649485670372</v>
      </c>
      <c r="Z70" s="132">
        <v>55855.273598067732</v>
      </c>
      <c r="AA70" s="2340">
        <v>56533.062954045381</v>
      </c>
      <c r="AB70" s="2340">
        <v>57180.015205012045</v>
      </c>
      <c r="AC70" s="2340">
        <v>57622.302135805789</v>
      </c>
      <c r="AD70" s="2340">
        <v>58165.168092185231</v>
      </c>
      <c r="AE70" s="2340">
        <v>58268.385678142535</v>
      </c>
      <c r="AF70" s="2340">
        <v>59504.558636478556</v>
      </c>
      <c r="AG70" s="2340">
        <v>60296.039487963899</v>
      </c>
      <c r="AH70" s="2340">
        <v>61179.518701648703</v>
      </c>
      <c r="AI70" s="2340">
        <v>61882.633472712987</v>
      </c>
      <c r="AJ70" s="2340">
        <v>63465.486994005652</v>
      </c>
      <c r="AK70" s="2340">
        <v>63921.89663669905</v>
      </c>
      <c r="AL70" s="2340">
        <v>64877.565535983442</v>
      </c>
      <c r="AM70" s="2340">
        <v>65838.561930265118</v>
      </c>
      <c r="AN70" s="2340">
        <v>66657.911072810923</v>
      </c>
      <c r="AO70" s="2340">
        <v>66945.931808100053</v>
      </c>
      <c r="AP70" s="2340">
        <v>67499.139459855767</v>
      </c>
      <c r="AQ70" s="2340">
        <v>67929.41875317425</v>
      </c>
      <c r="AR70" s="2340">
        <v>68556.608126998413</v>
      </c>
      <c r="AS70" s="2340">
        <v>68126.933025336883</v>
      </c>
      <c r="AT70" s="2340">
        <v>67679.457435402379</v>
      </c>
      <c r="AU70" s="2340">
        <v>66722.744487970747</v>
      </c>
      <c r="AV70" s="2340">
        <v>67223.704598185956</v>
      </c>
      <c r="AW70" s="2340">
        <v>68073.175992588804</v>
      </c>
      <c r="AX70" s="2340">
        <v>70124.120010962622</v>
      </c>
      <c r="AY70" s="2340">
        <v>71710.984608363695</v>
      </c>
      <c r="AZ70" s="2340">
        <v>71655.004833562343</v>
      </c>
      <c r="BA70" s="2340">
        <v>71639.616778237541</v>
      </c>
      <c r="BB70" s="2340">
        <v>72335.824295306011</v>
      </c>
      <c r="BC70" s="2340">
        <v>72524.01063547605</v>
      </c>
      <c r="BD70" s="2340">
        <v>72998.771074470642</v>
      </c>
      <c r="BE70" s="2340">
        <v>73251.159578189545</v>
      </c>
      <c r="BF70" s="2340">
        <v>73787.117277005033</v>
      </c>
      <c r="BG70" s="2340">
        <v>73945.180053126285</v>
      </c>
      <c r="BH70" s="2340">
        <v>74687.689773387596</v>
      </c>
      <c r="BI70" s="2340">
        <v>75095.94729421346</v>
      </c>
      <c r="BJ70" s="2340">
        <v>75601.385068076532</v>
      </c>
      <c r="BK70" s="2340">
        <v>76152.27385522479</v>
      </c>
      <c r="BL70" s="2340">
        <v>76883.10406809648</v>
      </c>
      <c r="BM70" s="2340">
        <v>77566.159265643946</v>
      </c>
      <c r="BN70" s="2340">
        <v>78169.836122143664</v>
      </c>
      <c r="BO70" s="2340">
        <v>78682.033770807495</v>
      </c>
      <c r="BP70" s="2340">
        <v>79115.492160007328</v>
      </c>
      <c r="BQ70" s="2340">
        <v>79539.62425506291</v>
      </c>
      <c r="BR70" s="2340">
        <v>79910.952700192749</v>
      </c>
      <c r="BS70" s="2340">
        <v>80129.995204841631</v>
      </c>
      <c r="BT70" s="2340">
        <v>80477.964495762804</v>
      </c>
      <c r="BU70" s="2340">
        <v>80724.608963958643</v>
      </c>
      <c r="BV70" s="2340">
        <v>81116.991590631078</v>
      </c>
      <c r="BW70" s="2340">
        <v>81423.609054723449</v>
      </c>
      <c r="BX70" s="2340">
        <v>81793.279233379173</v>
      </c>
      <c r="BY70" s="2340">
        <v>82183.405383635909</v>
      </c>
      <c r="BZ70" s="2340">
        <v>82677.237354569632</v>
      </c>
      <c r="CA70" s="2340">
        <v>83048.371956562565</v>
      </c>
      <c r="CB70" s="2340">
        <v>83316.930929317561</v>
      </c>
      <c r="CC70" s="2340">
        <v>83727.65776100244</v>
      </c>
      <c r="CD70" s="2340">
        <v>84081.481627824745</v>
      </c>
      <c r="CE70" s="2340">
        <v>84398.647227168709</v>
      </c>
      <c r="CF70" s="2340">
        <v>84787.236398750654</v>
      </c>
      <c r="CG70" s="2340">
        <v>85100.493582037408</v>
      </c>
      <c r="CH70" s="2340">
        <v>85424.907194743311</v>
      </c>
      <c r="CI70" s="2340">
        <v>85794.539455487713</v>
      </c>
      <c r="CJ70" s="2340">
        <v>86040.156452520081</v>
      </c>
      <c r="CK70" s="2340">
        <v>86317.974671116215</v>
      </c>
      <c r="CL70" s="2340">
        <v>86672.755860363119</v>
      </c>
      <c r="CM70" s="2340">
        <v>86926.056546509848</v>
      </c>
      <c r="CN70" s="2340">
        <v>87203.723221224092</v>
      </c>
      <c r="CO70" s="2340">
        <v>87516.075218709724</v>
      </c>
      <c r="CP70" s="2340">
        <v>87780.942604733209</v>
      </c>
      <c r="CQ70" s="2340">
        <v>88051.044015269348</v>
      </c>
      <c r="CR70" s="2340">
        <v>88252.861480269115</v>
      </c>
      <c r="CS70" s="2340">
        <v>88521.990158706292</v>
      </c>
      <c r="CT70" s="2340">
        <v>88739.189832121512</v>
      </c>
      <c r="CU70" s="2340">
        <v>88971.745986359601</v>
      </c>
      <c r="CV70" s="2340">
        <v>89181.739896471627</v>
      </c>
      <c r="CW70" s="2340">
        <v>89366.020432535079</v>
      </c>
      <c r="CX70" s="2340">
        <v>89600.437668080049</v>
      </c>
      <c r="CY70" s="2340">
        <v>89770.525841789684</v>
      </c>
      <c r="CZ70" s="2340">
        <v>89974.06223241835</v>
      </c>
      <c r="DA70" s="2340">
        <v>90143.529310329497</v>
      </c>
      <c r="DB70" s="2340">
        <v>90370.193737645983</v>
      </c>
      <c r="DC70" s="2340">
        <v>90542.08254491596</v>
      </c>
      <c r="DD70" s="2340">
        <v>90722.643823105289</v>
      </c>
      <c r="DE70" s="2340">
        <v>90892.840706577277</v>
      </c>
      <c r="DF70" s="2340">
        <v>91088.267668153101</v>
      </c>
      <c r="DG70" s="2340">
        <v>91261.359212475596</v>
      </c>
      <c r="DH70" s="2340">
        <v>91422.523131932598</v>
      </c>
      <c r="DI70" s="2340">
        <v>91580.513052113572</v>
      </c>
      <c r="DJ70" s="2340">
        <v>91770.733035683981</v>
      </c>
      <c r="DK70" s="2340">
        <v>91924.110966173976</v>
      </c>
      <c r="DL70" s="2340">
        <v>92061.065823688565</v>
      </c>
      <c r="DM70" s="2340">
        <v>92218.794847528552</v>
      </c>
      <c r="DN70" s="2340">
        <v>92347.911423707672</v>
      </c>
      <c r="DO70" s="2340">
        <v>92508.879227048325</v>
      </c>
      <c r="DP70" s="2340">
        <v>92656.639610688464</v>
      </c>
      <c r="DQ70" s="2340">
        <v>92791.077419067864</v>
      </c>
      <c r="DR70" s="2340">
        <v>92951.416026447099</v>
      </c>
      <c r="DS70" s="2340">
        <v>93073.900146661603</v>
      </c>
      <c r="DT70" s="2340">
        <v>93217.683721831068</v>
      </c>
      <c r="DU70" s="2340">
        <v>93358.301505793163</v>
      </c>
    </row>
    <row r="71" spans="1:125" ht="12.75">
      <c r="A71" s="131">
        <v>69</v>
      </c>
      <c r="B71" s="132"/>
      <c r="C71" s="132"/>
      <c r="D71" s="132"/>
      <c r="E71" s="132"/>
      <c r="F71" s="132"/>
      <c r="G71" s="132"/>
      <c r="H71" s="132"/>
      <c r="I71" s="132"/>
      <c r="J71" s="132"/>
      <c r="K71" s="132"/>
      <c r="L71" s="132"/>
      <c r="M71" s="132"/>
      <c r="N71" s="132"/>
      <c r="O71" s="132"/>
      <c r="P71" s="132"/>
      <c r="Q71" s="132"/>
      <c r="R71" s="132"/>
      <c r="S71" s="132"/>
      <c r="T71" s="132"/>
      <c r="U71" s="132"/>
      <c r="V71" s="132"/>
      <c r="W71" s="132">
        <v>51171</v>
      </c>
      <c r="X71" s="132">
        <v>52151</v>
      </c>
      <c r="Y71" s="132">
        <v>52271.982629825958</v>
      </c>
      <c r="Z71" s="132">
        <v>54101.751759931423</v>
      </c>
      <c r="AA71" s="2340">
        <v>54826.901717470304</v>
      </c>
      <c r="AB71" s="2340">
        <v>55486.469684102158</v>
      </c>
      <c r="AC71" s="2340">
        <v>55887.077996622451</v>
      </c>
      <c r="AD71" s="2340">
        <v>56417.358010135162</v>
      </c>
      <c r="AE71" s="2340">
        <v>56590.608595447251</v>
      </c>
      <c r="AF71" s="2340">
        <v>57829.907017918689</v>
      </c>
      <c r="AG71" s="2340">
        <v>58663.003370301711</v>
      </c>
      <c r="AH71" s="2340">
        <v>59614.856314827615</v>
      </c>
      <c r="AI71" s="2340">
        <v>60359.627468490246</v>
      </c>
      <c r="AJ71" s="2340">
        <v>61904.174698447401</v>
      </c>
      <c r="AK71" s="2340">
        <v>62438.806933937252</v>
      </c>
      <c r="AL71" s="2340">
        <v>63446.275120710714</v>
      </c>
      <c r="AM71" s="2340">
        <v>64447.081199161432</v>
      </c>
      <c r="AN71" s="2340">
        <v>65318.792179181553</v>
      </c>
      <c r="AO71" s="2340">
        <v>65617.351189873632</v>
      </c>
      <c r="AP71" s="2340">
        <v>66179.550462554354</v>
      </c>
      <c r="AQ71" s="2340">
        <v>66613.994150299419</v>
      </c>
      <c r="AR71" s="2340">
        <v>67251.512073828912</v>
      </c>
      <c r="AS71" s="2340">
        <v>66823.869065704523</v>
      </c>
      <c r="AT71" s="2340">
        <v>66344.333638578537</v>
      </c>
      <c r="AU71" s="2340">
        <v>65450.886554283818</v>
      </c>
      <c r="AV71" s="2340">
        <v>65939.023587758595</v>
      </c>
      <c r="AW71" s="2340">
        <v>66777.375950353031</v>
      </c>
      <c r="AX71" s="2340">
        <v>68772.589922746774</v>
      </c>
      <c r="AY71" s="2340">
        <v>70321.698463581735</v>
      </c>
      <c r="AZ71" s="2340">
        <v>70279.673059427732</v>
      </c>
      <c r="BA71" s="2340">
        <v>70233.800384694128</v>
      </c>
      <c r="BB71" s="2340">
        <v>70870.338081944312</v>
      </c>
      <c r="BC71" s="2340">
        <v>71018.77086553612</v>
      </c>
      <c r="BD71" s="2340">
        <v>71514.481459962466</v>
      </c>
      <c r="BE71" s="2340">
        <v>71790.700847895103</v>
      </c>
      <c r="BF71" s="2340">
        <v>72344.580101815052</v>
      </c>
      <c r="BG71" s="2340">
        <v>72527.663867518859</v>
      </c>
      <c r="BH71" s="2340">
        <v>73283.78106761504</v>
      </c>
      <c r="BI71" s="2340">
        <v>73711.81364626337</v>
      </c>
      <c r="BJ71" s="2340">
        <v>74235.031913687053</v>
      </c>
      <c r="BK71" s="2340">
        <v>74802.727605987398</v>
      </c>
      <c r="BL71" s="2340">
        <v>75547.100889630412</v>
      </c>
      <c r="BM71" s="2340">
        <v>76244.49680415653</v>
      </c>
      <c r="BN71" s="2340">
        <v>76863.78807457404</v>
      </c>
      <c r="BO71" s="2340">
        <v>77392.99133390082</v>
      </c>
      <c r="BP71" s="2340">
        <v>77844.55271867213</v>
      </c>
      <c r="BQ71" s="2340">
        <v>78286.885917794221</v>
      </c>
      <c r="BR71" s="2340">
        <v>78677.005288451342</v>
      </c>
      <c r="BS71" s="2340">
        <v>78916.888593622265</v>
      </c>
      <c r="BT71" s="2340">
        <v>79283.441964210666</v>
      </c>
      <c r="BU71" s="2340">
        <v>79549.882311132926</v>
      </c>
      <c r="BV71" s="2340">
        <v>79959.664237392586</v>
      </c>
      <c r="BW71" s="2340">
        <v>80284.649662258103</v>
      </c>
      <c r="BX71" s="2340">
        <v>80671.54745885091</v>
      </c>
      <c r="BY71" s="2340">
        <v>81078.388167012861</v>
      </c>
      <c r="BZ71" s="2340">
        <v>81587.343063322565</v>
      </c>
      <c r="CA71" s="2340">
        <v>81975.017770332037</v>
      </c>
      <c r="CB71" s="2340">
        <v>82261.186727485503</v>
      </c>
      <c r="CC71" s="2340">
        <v>82687.479212518883</v>
      </c>
      <c r="CD71" s="2340">
        <v>83057.356984422149</v>
      </c>
      <c r="CE71" s="2340">
        <v>83390.78433344177</v>
      </c>
      <c r="CF71" s="2340">
        <v>83794.554825785817</v>
      </c>
      <c r="CG71" s="2340">
        <v>84123.649906327526</v>
      </c>
      <c r="CH71" s="2340">
        <v>84463.536198691319</v>
      </c>
      <c r="CI71" s="2340">
        <v>84847.910777881843</v>
      </c>
      <c r="CJ71" s="2340">
        <v>85109.402881845759</v>
      </c>
      <c r="CK71" s="2340">
        <v>85402.495914559564</v>
      </c>
      <c r="CL71" s="2340">
        <v>85771.510286483957</v>
      </c>
      <c r="CM71" s="2340">
        <v>86039.872296695859</v>
      </c>
      <c r="CN71" s="2340">
        <v>86332.1124538609</v>
      </c>
      <c r="CO71" s="2340">
        <v>86658.467064864308</v>
      </c>
      <c r="CP71" s="2340">
        <v>86937.579071225264</v>
      </c>
      <c r="CQ71" s="2340">
        <v>87221.646752078886</v>
      </c>
      <c r="CR71" s="2340">
        <v>87437.837487494864</v>
      </c>
      <c r="CS71" s="2340">
        <v>87720.48508282681</v>
      </c>
      <c r="CT71" s="2340">
        <v>87951.447694802191</v>
      </c>
      <c r="CU71" s="2340">
        <v>88197.401445819167</v>
      </c>
      <c r="CV71" s="2340">
        <v>88420.762813162408</v>
      </c>
      <c r="CW71" s="2340">
        <v>88618.399305114639</v>
      </c>
      <c r="CX71" s="2340">
        <v>88865.529984634588</v>
      </c>
      <c r="CY71" s="2340">
        <v>89048.637653521713</v>
      </c>
      <c r="CZ71" s="2340">
        <v>89264.70172622797</v>
      </c>
      <c r="DA71" s="2340">
        <v>89446.7459932083</v>
      </c>
      <c r="DB71" s="2340">
        <v>89685.333567403213</v>
      </c>
      <c r="DC71" s="2340">
        <v>89869.352715101748</v>
      </c>
      <c r="DD71" s="2340">
        <v>90061.768685845338</v>
      </c>
      <c r="DE71" s="2340">
        <v>90243.687954901732</v>
      </c>
      <c r="DF71" s="2340">
        <v>90450.454945453501</v>
      </c>
      <c r="DG71" s="2340">
        <v>90634.844638676164</v>
      </c>
      <c r="DH71" s="2340">
        <v>90807.189067437488</v>
      </c>
      <c r="DI71" s="2340">
        <v>90976.182797363785</v>
      </c>
      <c r="DJ71" s="2340">
        <v>91177.00306055398</v>
      </c>
      <c r="DK71" s="2340">
        <v>91341.031533242116</v>
      </c>
      <c r="DL71" s="2340">
        <v>91488.549606887173</v>
      </c>
      <c r="DM71" s="2340">
        <v>91656.525062270914</v>
      </c>
      <c r="DN71" s="2340">
        <v>91795.877341561936</v>
      </c>
      <c r="DO71" s="2340">
        <v>91966.708902440238</v>
      </c>
      <c r="DP71" s="2340">
        <v>92124.234299836666</v>
      </c>
      <c r="DQ71" s="2340">
        <v>92268.337627077577</v>
      </c>
      <c r="DR71" s="2340">
        <v>92438.02430263818</v>
      </c>
      <c r="DS71" s="2340">
        <v>92569.895807167442</v>
      </c>
      <c r="DT71" s="2340">
        <v>92722.782894244549</v>
      </c>
      <c r="DU71" s="2340">
        <v>92872.35739373049</v>
      </c>
    </row>
    <row r="72" spans="1:125" ht="12.75">
      <c r="A72" s="131">
        <v>70</v>
      </c>
      <c r="B72" s="132"/>
      <c r="C72" s="132"/>
      <c r="D72" s="132"/>
      <c r="E72" s="132"/>
      <c r="F72" s="132"/>
      <c r="G72" s="132"/>
      <c r="H72" s="132"/>
      <c r="I72" s="132"/>
      <c r="J72" s="132"/>
      <c r="K72" s="132"/>
      <c r="L72" s="132"/>
      <c r="M72" s="132"/>
      <c r="N72" s="132"/>
      <c r="O72" s="132"/>
      <c r="P72" s="132"/>
      <c r="Q72" s="132"/>
      <c r="R72" s="132"/>
      <c r="S72" s="132"/>
      <c r="T72" s="132"/>
      <c r="U72" s="132"/>
      <c r="V72" s="132"/>
      <c r="W72" s="132">
        <v>49364</v>
      </c>
      <c r="X72" s="132">
        <v>50354</v>
      </c>
      <c r="Y72" s="132">
        <v>50498.525560921211</v>
      </c>
      <c r="Z72" s="132">
        <v>52306.298818693169</v>
      </c>
      <c r="AA72" s="2340">
        <v>53043.292126739827</v>
      </c>
      <c r="AB72" s="2340">
        <v>53665.415600324886</v>
      </c>
      <c r="AC72" s="2340">
        <v>54135.344558249169</v>
      </c>
      <c r="AD72" s="2340">
        <v>54656.529188723682</v>
      </c>
      <c r="AE72" s="2340">
        <v>54842.900047414951</v>
      </c>
      <c r="AF72" s="2340">
        <v>56155.954548437032</v>
      </c>
      <c r="AG72" s="2340">
        <v>57014.939117792572</v>
      </c>
      <c r="AH72" s="2340">
        <v>58002.114716930453</v>
      </c>
      <c r="AI72" s="2340">
        <v>58745.219214401921</v>
      </c>
      <c r="AJ72" s="2340">
        <v>60329.894175768975</v>
      </c>
      <c r="AK72" s="2340">
        <v>60926.175764452404</v>
      </c>
      <c r="AL72" s="2340">
        <v>61990.170502445435</v>
      </c>
      <c r="AM72" s="2340">
        <v>63026.935988788689</v>
      </c>
      <c r="AN72" s="2340">
        <v>63908.638671183209</v>
      </c>
      <c r="AO72" s="2340">
        <v>64197.249296603171</v>
      </c>
      <c r="AP72" s="2340">
        <v>64792.412834835202</v>
      </c>
      <c r="AQ72" s="2340">
        <v>65209.936192731388</v>
      </c>
      <c r="AR72" s="2340">
        <v>65879.028018756435</v>
      </c>
      <c r="AS72" s="2340">
        <v>65430.992991663858</v>
      </c>
      <c r="AT72" s="2340">
        <v>65026.502330724179</v>
      </c>
      <c r="AU72" s="2340">
        <v>64081.493645146002</v>
      </c>
      <c r="AV72" s="2340">
        <v>64527.867958868963</v>
      </c>
      <c r="AW72" s="2340">
        <v>65383.994224650989</v>
      </c>
      <c r="AX72" s="2340">
        <v>67327.628910826621</v>
      </c>
      <c r="AY72" s="2340">
        <v>68874.611878540556</v>
      </c>
      <c r="AZ72" s="2340">
        <v>68834.211338396432</v>
      </c>
      <c r="BA72" s="2340">
        <v>68661.36995233022</v>
      </c>
      <c r="BB72" s="2340">
        <v>69273.975359106204</v>
      </c>
      <c r="BC72" s="2340">
        <v>69456.491852395033</v>
      </c>
      <c r="BD72" s="2340">
        <v>69971.806193618075</v>
      </c>
      <c r="BE72" s="2340">
        <v>70272.09946462822</v>
      </c>
      <c r="BF72" s="2340">
        <v>70843.939565319757</v>
      </c>
      <c r="BG72" s="2340">
        <v>71052.400909609161</v>
      </c>
      <c r="BH72" s="2340">
        <v>71822.045908918328</v>
      </c>
      <c r="BI72" s="2340">
        <v>72270.053564870192</v>
      </c>
      <c r="BJ72" s="2340">
        <v>72811.196223208244</v>
      </c>
      <c r="BK72" s="2340">
        <v>73395.826778372779</v>
      </c>
      <c r="BL72" s="2340">
        <v>74153.75503673502</v>
      </c>
      <c r="BM72" s="2340">
        <v>74865.55891685118</v>
      </c>
      <c r="BN72" s="2340">
        <v>75500.608527999459</v>
      </c>
      <c r="BO72" s="2340">
        <v>76047.044250467006</v>
      </c>
      <c r="BP72" s="2340">
        <v>76517.282840248459</v>
      </c>
      <c r="BQ72" s="2340">
        <v>76978.232369368285</v>
      </c>
      <c r="BR72" s="2340">
        <v>77387.603857155875</v>
      </c>
      <c r="BS72" s="2340">
        <v>77648.901189181619</v>
      </c>
      <c r="BT72" s="2340">
        <v>78034.529098706917</v>
      </c>
      <c r="BU72" s="2340">
        <v>78321.329463317699</v>
      </c>
      <c r="BV72" s="2340">
        <v>78748.982694901395</v>
      </c>
      <c r="BW72" s="2340">
        <v>79092.869548794435</v>
      </c>
      <c r="BX72" s="2340">
        <v>79497.491860866823</v>
      </c>
      <c r="BY72" s="2340">
        <v>79921.535531372661</v>
      </c>
      <c r="BZ72" s="2340">
        <v>80446.041578043674</v>
      </c>
      <c r="CA72" s="2340">
        <v>80850.765509100107</v>
      </c>
      <c r="CB72" s="2340">
        <v>81155.118597378765</v>
      </c>
      <c r="CC72" s="2340">
        <v>81597.467112807572</v>
      </c>
      <c r="CD72" s="2340">
        <v>81983.925493980627</v>
      </c>
      <c r="CE72" s="2340">
        <v>82334.164054833425</v>
      </c>
      <c r="CF72" s="2340">
        <v>82753.625272354722</v>
      </c>
      <c r="CG72" s="2340">
        <v>83099.111351028172</v>
      </c>
      <c r="CH72" s="2340">
        <v>83455.01712316116</v>
      </c>
      <c r="CI72" s="2340">
        <v>83854.655987327045</v>
      </c>
      <c r="CJ72" s="2340">
        <v>84132.611729937984</v>
      </c>
      <c r="CK72" s="2340">
        <v>84441.54900412749</v>
      </c>
      <c r="CL72" s="2340">
        <v>84825.324222986485</v>
      </c>
      <c r="CM72" s="2340">
        <v>85109.326171803201</v>
      </c>
      <c r="CN72" s="2340">
        <v>85416.70346286596</v>
      </c>
      <c r="CO72" s="2340">
        <v>85757.604653239745</v>
      </c>
      <c r="CP72" s="2340">
        <v>86051.526144346732</v>
      </c>
      <c r="CQ72" s="2340">
        <v>86350.119318434037</v>
      </c>
      <c r="CR72" s="2340">
        <v>86581.271458405099</v>
      </c>
      <c r="CS72" s="2340">
        <v>86877.990492065393</v>
      </c>
      <c r="CT72" s="2340">
        <v>87123.288654397591</v>
      </c>
      <c r="CU72" s="2340">
        <v>87383.201249901249</v>
      </c>
      <c r="CV72" s="2340">
        <v>87620.496882599153</v>
      </c>
      <c r="CW72" s="2340">
        <v>87832.062451779115</v>
      </c>
      <c r="CX72" s="2340">
        <v>88092.453038297448</v>
      </c>
      <c r="CY72" s="2340">
        <v>88289.14893897064</v>
      </c>
      <c r="CZ72" s="2340">
        <v>88518.289986274423</v>
      </c>
      <c r="DA72" s="2340">
        <v>88713.469256012206</v>
      </c>
      <c r="DB72" s="2340">
        <v>88964.509219986401</v>
      </c>
      <c r="DC72" s="2340">
        <v>89161.204293428615</v>
      </c>
      <c r="DD72" s="2340">
        <v>89366.011328353692</v>
      </c>
      <c r="DE72" s="2340">
        <v>89560.187466482443</v>
      </c>
      <c r="DF72" s="2340">
        <v>89778.813623386712</v>
      </c>
      <c r="DG72" s="2340">
        <v>89975.023074484154</v>
      </c>
      <c r="DH72" s="2340">
        <v>90159.067907185352</v>
      </c>
      <c r="DI72" s="2340">
        <v>90339.580301126654</v>
      </c>
      <c r="DJ72" s="2340">
        <v>90551.498331023438</v>
      </c>
      <c r="DK72" s="2340">
        <v>90726.681544380364</v>
      </c>
      <c r="DL72" s="2340">
        <v>90885.266250988716</v>
      </c>
      <c r="DM72" s="2340">
        <v>91063.978275906251</v>
      </c>
      <c r="DN72" s="2340">
        <v>91214.059420457663</v>
      </c>
      <c r="DO72" s="2340">
        <v>91395.231291388875</v>
      </c>
      <c r="DP72" s="2340">
        <v>91562.996226992123</v>
      </c>
      <c r="DQ72" s="2340">
        <v>91717.237402828134</v>
      </c>
      <c r="DR72" s="2340">
        <v>91896.730313564345</v>
      </c>
      <c r="DS72" s="2340">
        <v>92038.452450153476</v>
      </c>
      <c r="DT72" s="2340">
        <v>92200.893677386761</v>
      </c>
      <c r="DU72" s="2340">
        <v>92359.8702282257</v>
      </c>
    </row>
    <row r="73" spans="1:125" ht="12.75">
      <c r="A73" s="131">
        <v>71</v>
      </c>
      <c r="B73" s="132"/>
      <c r="C73" s="132"/>
      <c r="D73" s="132"/>
      <c r="E73" s="132"/>
      <c r="F73" s="132"/>
      <c r="G73" s="132"/>
      <c r="H73" s="132"/>
      <c r="I73" s="132"/>
      <c r="J73" s="132"/>
      <c r="K73" s="132"/>
      <c r="L73" s="132"/>
      <c r="M73" s="132"/>
      <c r="N73" s="132"/>
      <c r="O73" s="132"/>
      <c r="P73" s="132"/>
      <c r="Q73" s="132"/>
      <c r="R73" s="132"/>
      <c r="S73" s="132"/>
      <c r="T73" s="132"/>
      <c r="U73" s="132"/>
      <c r="V73" s="132"/>
      <c r="W73" s="132">
        <v>47496</v>
      </c>
      <c r="X73" s="132">
        <v>48498</v>
      </c>
      <c r="Y73" s="132">
        <v>48653.428248599703</v>
      </c>
      <c r="Z73" s="132">
        <v>50391.692410920783</v>
      </c>
      <c r="AA73" s="2340">
        <v>51178.938058211046</v>
      </c>
      <c r="AB73" s="2340">
        <v>51888.10823592524</v>
      </c>
      <c r="AC73" s="2340">
        <v>52321.324505681143</v>
      </c>
      <c r="AD73" s="2340">
        <v>52845.623050994276</v>
      </c>
      <c r="AE73" s="2340">
        <v>53061.437345940154</v>
      </c>
      <c r="AF73" s="2340">
        <v>54390.123852285717</v>
      </c>
      <c r="AG73" s="2340">
        <v>55307.048662720488</v>
      </c>
      <c r="AH73" s="2340">
        <v>56275.242054150687</v>
      </c>
      <c r="AI73" s="2340">
        <v>57107.251136537889</v>
      </c>
      <c r="AJ73" s="2340">
        <v>58679.84705962419</v>
      </c>
      <c r="AK73" s="2340">
        <v>59383.970663514716</v>
      </c>
      <c r="AL73" s="2340">
        <v>60453.038509181199</v>
      </c>
      <c r="AM73" s="2340">
        <v>61525.446559773271</v>
      </c>
      <c r="AN73" s="2340">
        <v>62422.755765613052</v>
      </c>
      <c r="AO73" s="2340">
        <v>62728.755654355875</v>
      </c>
      <c r="AP73" s="2340">
        <v>63296.443668890439</v>
      </c>
      <c r="AQ73" s="2340">
        <v>63765.365828705042</v>
      </c>
      <c r="AR73" s="2340">
        <v>64408.273493156084</v>
      </c>
      <c r="AS73" s="2340">
        <v>64012.647741389781</v>
      </c>
      <c r="AT73" s="2340">
        <v>63540.828886442694</v>
      </c>
      <c r="AU73" s="2340">
        <v>62600.598908187058</v>
      </c>
      <c r="AV73" s="2340">
        <v>63044.472065116155</v>
      </c>
      <c r="AW73" s="2340">
        <v>63916.604818538188</v>
      </c>
      <c r="AX73" s="2340">
        <v>65848.167232915963</v>
      </c>
      <c r="AY73" s="2340">
        <v>67336.895214000338</v>
      </c>
      <c r="AZ73" s="2340">
        <v>67201.251153838442</v>
      </c>
      <c r="BA73" s="2340">
        <v>66996.420522740882</v>
      </c>
      <c r="BB73" s="2340">
        <v>67626.486690574209</v>
      </c>
      <c r="BC73" s="2340">
        <v>67836.561915751066</v>
      </c>
      <c r="BD73" s="2340">
        <v>68371.37305991957</v>
      </c>
      <c r="BE73" s="2340">
        <v>68695.837339886624</v>
      </c>
      <c r="BF73" s="2340">
        <v>69285.538353217838</v>
      </c>
      <c r="BG73" s="2340">
        <v>69519.597728498542</v>
      </c>
      <c r="BH73" s="2340">
        <v>70302.560725419258</v>
      </c>
      <c r="BI73" s="2340">
        <v>70770.616865977354</v>
      </c>
      <c r="BJ73" s="2340">
        <v>71329.705325103801</v>
      </c>
      <c r="BK73" s="2340">
        <v>71931.279991070114</v>
      </c>
      <c r="BL73" s="2340">
        <v>72702.65920896153</v>
      </c>
      <c r="BM73" s="2340">
        <v>73428.825878524483</v>
      </c>
      <c r="BN73" s="2340">
        <v>74079.669242861841</v>
      </c>
      <c r="BO73" s="2340">
        <v>74643.856300922213</v>
      </c>
      <c r="BP73" s="2340">
        <v>75133.074424861668</v>
      </c>
      <c r="BQ73" s="2340">
        <v>75612.963090426594</v>
      </c>
      <c r="BR73" s="2340">
        <v>76041.959726235305</v>
      </c>
      <c r="BS73" s="2340">
        <v>76325.161549398777</v>
      </c>
      <c r="BT73" s="2340">
        <v>76730.274094410299</v>
      </c>
      <c r="BU73" s="2340">
        <v>77037.923104854257</v>
      </c>
      <c r="BV73" s="2340">
        <v>77483.845785794983</v>
      </c>
      <c r="BW73" s="2340">
        <v>77847.098183129943</v>
      </c>
      <c r="BX73" s="2340">
        <v>78269.874908887577</v>
      </c>
      <c r="BY73" s="2340">
        <v>78711.545736589309</v>
      </c>
      <c r="BZ73" s="2340">
        <v>79251.968229227059</v>
      </c>
      <c r="CA73" s="2340">
        <v>79674.192448395479</v>
      </c>
      <c r="CB73" s="2340">
        <v>79997.250417559524</v>
      </c>
      <c r="CC73" s="2340">
        <v>80456.092211679308</v>
      </c>
      <c r="CD73" s="2340">
        <v>80859.608468161037</v>
      </c>
      <c r="CE73" s="2340">
        <v>81227.161567284507</v>
      </c>
      <c r="CF73" s="2340">
        <v>81662.777917554064</v>
      </c>
      <c r="CG73" s="2340">
        <v>82025.167014748644</v>
      </c>
      <c r="CH73" s="2340">
        <v>82397.600140574854</v>
      </c>
      <c r="CI73" s="2340">
        <v>82812.987682013772</v>
      </c>
      <c r="CJ73" s="2340">
        <v>83107.962831392375</v>
      </c>
      <c r="CK73" s="2340">
        <v>83433.282508161021</v>
      </c>
      <c r="CL73" s="2340">
        <v>83832.315391436001</v>
      </c>
      <c r="CM73" s="2340">
        <v>84132.509253539101</v>
      </c>
      <c r="CN73" s="2340">
        <v>84455.562105174584</v>
      </c>
      <c r="CO73" s="2340">
        <v>84811.529713305325</v>
      </c>
      <c r="CP73" s="2340">
        <v>85120.804289503722</v>
      </c>
      <c r="CQ73" s="2340">
        <v>85434.462539526488</v>
      </c>
      <c r="CR73" s="2340">
        <v>85681.147813291507</v>
      </c>
      <c r="CS73" s="2340">
        <v>85992.474485079132</v>
      </c>
      <c r="CT73" s="2340">
        <v>86252.667235199333</v>
      </c>
      <c r="CU73" s="2340">
        <v>86527.087492488121</v>
      </c>
      <c r="CV73" s="2340">
        <v>86778.873728622188</v>
      </c>
      <c r="CW73" s="2340">
        <v>87004.933005658138</v>
      </c>
      <c r="CX73" s="2340">
        <v>87279.121631469883</v>
      </c>
      <c r="CY73" s="2340">
        <v>87489.968937138154</v>
      </c>
      <c r="CZ73" s="2340">
        <v>87732.731126701256</v>
      </c>
      <c r="DA73" s="2340">
        <v>87941.600046864201</v>
      </c>
      <c r="DB73" s="2340">
        <v>88205.618261177893</v>
      </c>
      <c r="DC73" s="2340">
        <v>88415.533804733612</v>
      </c>
      <c r="DD73" s="2340">
        <v>88633.26805183322</v>
      </c>
      <c r="DE73" s="2340">
        <v>88840.236532157767</v>
      </c>
      <c r="DF73" s="2340">
        <v>89071.242328549561</v>
      </c>
      <c r="DG73" s="2340">
        <v>89279.795885010244</v>
      </c>
      <c r="DH73" s="2340">
        <v>89476.06487295893</v>
      </c>
      <c r="DI73" s="2340">
        <v>89668.615517238533</v>
      </c>
      <c r="DJ73" s="2340">
        <v>89892.133564323769</v>
      </c>
      <c r="DK73" s="2340">
        <v>90078.982046708348</v>
      </c>
      <c r="DL73" s="2340">
        <v>90249.144192166481</v>
      </c>
      <c r="DM73" s="2340">
        <v>90439.090499595128</v>
      </c>
      <c r="DN73" s="2340">
        <v>90600.402505659309</v>
      </c>
      <c r="DO73" s="2340">
        <v>90792.399951241779</v>
      </c>
      <c r="DP73" s="2340">
        <v>90970.888511852027</v>
      </c>
      <c r="DQ73" s="2340">
        <v>91135.75024566504</v>
      </c>
      <c r="DR73" s="2340">
        <v>91325.517869913019</v>
      </c>
      <c r="DS73" s="2340">
        <v>91477.565486403138</v>
      </c>
      <c r="DT73" s="2340">
        <v>91650.023061708634</v>
      </c>
      <c r="DU73" s="2340">
        <v>91818.859062370961</v>
      </c>
    </row>
    <row r="74" spans="1:125" ht="12.75">
      <c r="A74" s="131">
        <v>72</v>
      </c>
      <c r="B74" s="132"/>
      <c r="C74" s="132"/>
      <c r="D74" s="132"/>
      <c r="E74" s="132"/>
      <c r="F74" s="132"/>
      <c r="G74" s="132"/>
      <c r="H74" s="132"/>
      <c r="I74" s="132"/>
      <c r="J74" s="132"/>
      <c r="K74" s="132"/>
      <c r="L74" s="132"/>
      <c r="M74" s="132"/>
      <c r="N74" s="132"/>
      <c r="O74" s="132"/>
      <c r="P74" s="132"/>
      <c r="Q74" s="132"/>
      <c r="R74" s="132"/>
      <c r="S74" s="132"/>
      <c r="T74" s="132"/>
      <c r="U74" s="132"/>
      <c r="V74" s="132"/>
      <c r="W74" s="132">
        <v>45529</v>
      </c>
      <c r="X74" s="132">
        <v>46545</v>
      </c>
      <c r="Y74" s="132">
        <v>46732.885177659373</v>
      </c>
      <c r="Z74" s="132">
        <v>48390.36231458214</v>
      </c>
      <c r="AA74" s="2340">
        <v>49261.797428520651</v>
      </c>
      <c r="AB74" s="2340">
        <v>50015.403144379379</v>
      </c>
      <c r="AC74" s="2340">
        <v>50441.317146543341</v>
      </c>
      <c r="AD74" s="2340">
        <v>50975.123414627233</v>
      </c>
      <c r="AE74" s="2340">
        <v>51231.134291401089</v>
      </c>
      <c r="AF74" s="2340">
        <v>52574.105742058877</v>
      </c>
      <c r="AG74" s="2340">
        <v>53492.105735844743</v>
      </c>
      <c r="AH74" s="2340">
        <v>54551.060390275023</v>
      </c>
      <c r="AI74" s="2340">
        <v>55415.111661979165</v>
      </c>
      <c r="AJ74" s="2340">
        <v>57000.217910910033</v>
      </c>
      <c r="AK74" s="2340">
        <v>57748.102329651927</v>
      </c>
      <c r="AL74" s="2340">
        <v>58856.7983241478</v>
      </c>
      <c r="AM74" s="2340">
        <v>59949.816144436598</v>
      </c>
      <c r="AN74" s="2340">
        <v>60873.065341530084</v>
      </c>
      <c r="AO74" s="2340">
        <v>61167.456428839083</v>
      </c>
      <c r="AP74" s="2340">
        <v>61757.50122450904</v>
      </c>
      <c r="AQ74" s="2340">
        <v>62208.427137471728</v>
      </c>
      <c r="AR74" s="2340">
        <v>62888.681276622541</v>
      </c>
      <c r="AS74" s="2340">
        <v>62434.005268603374</v>
      </c>
      <c r="AT74" s="2340">
        <v>62000.889915099826</v>
      </c>
      <c r="AU74" s="2340">
        <v>61044.873451776941</v>
      </c>
      <c r="AV74" s="2340">
        <v>61452.784569238873</v>
      </c>
      <c r="AW74" s="2340">
        <v>62384.328067835013</v>
      </c>
      <c r="AX74" s="2340">
        <v>64244.020966313081</v>
      </c>
      <c r="AY74" s="2340">
        <v>65616.482802295839</v>
      </c>
      <c r="AZ74" s="2340">
        <v>65439.704108612495</v>
      </c>
      <c r="BA74" s="2340">
        <v>65274.04595012834</v>
      </c>
      <c r="BB74" s="2340">
        <v>65921.007727158532</v>
      </c>
      <c r="BC74" s="2340">
        <v>66158.349592436934</v>
      </c>
      <c r="BD74" s="2340">
        <v>66712.126544513842</v>
      </c>
      <c r="BE74" s="2340">
        <v>67060.450231773561</v>
      </c>
      <c r="BF74" s="2340">
        <v>67667.509433007916</v>
      </c>
      <c r="BG74" s="2340">
        <v>67927.00594743088</v>
      </c>
      <c r="BH74" s="2340">
        <v>68722.68873480476</v>
      </c>
      <c r="BI74" s="2340">
        <v>69210.499496016462</v>
      </c>
      <c r="BJ74" s="2340">
        <v>69787.194371612597</v>
      </c>
      <c r="BK74" s="2340">
        <v>70405.369176594293</v>
      </c>
      <c r="BL74" s="2340">
        <v>71189.741890459132</v>
      </c>
      <c r="BM74" s="2340">
        <v>71929.883225445723</v>
      </c>
      <c r="BN74" s="2340">
        <v>72596.748739748742</v>
      </c>
      <c r="BO74" s="2340">
        <v>73178.600988156584</v>
      </c>
      <c r="BP74" s="2340">
        <v>73686.799693847468</v>
      </c>
      <c r="BQ74" s="2340">
        <v>74185.659702471807</v>
      </c>
      <c r="BR74" s="2340">
        <v>74634.377606315989</v>
      </c>
      <c r="BS74" s="2340">
        <v>74939.718831683465</v>
      </c>
      <c r="BT74" s="2340">
        <v>75364.471312518159</v>
      </c>
      <c r="BU74" s="2340">
        <v>75693.220609798766</v>
      </c>
      <c r="BV74" s="2340">
        <v>76157.571913172957</v>
      </c>
      <c r="BW74" s="2340">
        <v>76540.431324944191</v>
      </c>
      <c r="BX74" s="2340">
        <v>76981.57347984481</v>
      </c>
      <c r="BY74" s="2340">
        <v>77441.083702538497</v>
      </c>
      <c r="BZ74" s="2340">
        <v>77997.574979499157</v>
      </c>
      <c r="CA74" s="2340">
        <v>78437.556909758991</v>
      </c>
      <c r="CB74" s="2340">
        <v>78779.664786273512</v>
      </c>
      <c r="CC74" s="2340">
        <v>79255.255959357528</v>
      </c>
      <c r="CD74" s="2340">
        <v>79676.13945561272</v>
      </c>
      <c r="CE74" s="2340">
        <v>80061.353823826255</v>
      </c>
      <c r="CF74" s="2340">
        <v>80513.433452143901</v>
      </c>
      <c r="CG74" s="2340">
        <v>80893.096225819754</v>
      </c>
      <c r="CH74" s="2340">
        <v>81282.429247974738</v>
      </c>
      <c r="CI74" s="2340">
        <v>81713.916762699053</v>
      </c>
      <c r="CJ74" s="2340">
        <v>82026.353807498657</v>
      </c>
      <c r="CK74" s="2340">
        <v>82368.484091322651</v>
      </c>
      <c r="CL74" s="2340">
        <v>82783.159728760496</v>
      </c>
      <c r="CM74" s="2340">
        <v>83100.002951569579</v>
      </c>
      <c r="CN74" s="2340">
        <v>83439.178789650701</v>
      </c>
      <c r="CO74" s="2340">
        <v>83810.643819836434</v>
      </c>
      <c r="CP74" s="2340">
        <v>84135.737240976727</v>
      </c>
      <c r="CQ74" s="2340">
        <v>84464.92737301052</v>
      </c>
      <c r="CR74" s="2340">
        <v>84727.657793295672</v>
      </c>
      <c r="CS74" s="2340">
        <v>85054.066437627844</v>
      </c>
      <c r="CT74" s="2340">
        <v>85329.661897621088</v>
      </c>
      <c r="CU74" s="2340">
        <v>85619.091011138487</v>
      </c>
      <c r="CV74" s="2340">
        <v>85885.883944379966</v>
      </c>
      <c r="CW74" s="2340">
        <v>86126.968902248656</v>
      </c>
      <c r="CX74" s="2340">
        <v>86415.459951011057</v>
      </c>
      <c r="CY74" s="2340">
        <v>86640.99971153216</v>
      </c>
      <c r="CZ74" s="2340">
        <v>86897.905569633862</v>
      </c>
      <c r="DA74" s="2340">
        <v>87121.005075624125</v>
      </c>
      <c r="DB74" s="2340">
        <v>87398.511216681247</v>
      </c>
      <c r="DC74" s="2340">
        <v>87622.185561982944</v>
      </c>
      <c r="DD74" s="2340">
        <v>87853.379662275009</v>
      </c>
      <c r="DE74" s="2340">
        <v>88073.677156679725</v>
      </c>
      <c r="DF74" s="2340">
        <v>88317.584864600081</v>
      </c>
      <c r="DG74" s="2340">
        <v>88539.014458302801</v>
      </c>
      <c r="DH74" s="2340">
        <v>88748.043426288976</v>
      </c>
      <c r="DI74" s="2340">
        <v>88953.167370145122</v>
      </c>
      <c r="DJ74" s="2340">
        <v>89188.802517483186</v>
      </c>
      <c r="DK74" s="2340">
        <v>89387.848503478264</v>
      </c>
      <c r="DL74" s="2340">
        <v>89570.125084852349</v>
      </c>
      <c r="DM74" s="2340">
        <v>89771.829885866697</v>
      </c>
      <c r="DN74" s="2340">
        <v>89944.906827202052</v>
      </c>
      <c r="DO74" s="2340">
        <v>90148.246106629696</v>
      </c>
      <c r="DP74" s="2340">
        <v>90337.977072996757</v>
      </c>
      <c r="DQ74" s="2340">
        <v>90513.980361451962</v>
      </c>
      <c r="DR74" s="2340">
        <v>90714.528780864013</v>
      </c>
      <c r="DS74" s="2340">
        <v>90877.420322775681</v>
      </c>
      <c r="DT74" s="2340">
        <v>91060.399686578006</v>
      </c>
      <c r="DU74" s="2340">
        <v>91239.597905672214</v>
      </c>
    </row>
    <row r="75" spans="1:125" ht="12.75">
      <c r="A75" s="131">
        <v>73</v>
      </c>
      <c r="B75" s="132"/>
      <c r="C75" s="132"/>
      <c r="D75" s="132"/>
      <c r="E75" s="132"/>
      <c r="F75" s="132"/>
      <c r="G75" s="132"/>
      <c r="H75" s="132"/>
      <c r="I75" s="132"/>
      <c r="J75" s="132"/>
      <c r="K75" s="132"/>
      <c r="L75" s="132"/>
      <c r="M75" s="132"/>
      <c r="N75" s="132"/>
      <c r="O75" s="132"/>
      <c r="P75" s="132"/>
      <c r="Q75" s="132"/>
      <c r="R75" s="132"/>
      <c r="S75" s="132"/>
      <c r="T75" s="132"/>
      <c r="U75" s="132"/>
      <c r="V75" s="132"/>
      <c r="W75" s="132">
        <v>43516</v>
      </c>
      <c r="X75" s="132">
        <v>44542</v>
      </c>
      <c r="Y75" s="132">
        <v>44692.369239221429</v>
      </c>
      <c r="Z75" s="132">
        <v>46427.424759348651</v>
      </c>
      <c r="AA75" s="2340">
        <v>47301.025789294683</v>
      </c>
      <c r="AB75" s="2340">
        <v>48074.570147061502</v>
      </c>
      <c r="AC75" s="2340">
        <v>48551.648124928572</v>
      </c>
      <c r="AD75" s="2340">
        <v>49119.097761763063</v>
      </c>
      <c r="AE75" s="2340">
        <v>49348.337186477511</v>
      </c>
      <c r="AF75" s="2340">
        <v>50660.622596308036</v>
      </c>
      <c r="AG75" s="2340">
        <v>51644.510060152184</v>
      </c>
      <c r="AH75" s="2340">
        <v>52779.30813732979</v>
      </c>
      <c r="AI75" s="2340">
        <v>53670.467808159214</v>
      </c>
      <c r="AJ75" s="2340">
        <v>55255.936261494229</v>
      </c>
      <c r="AK75" s="2340">
        <v>56038.571120068817</v>
      </c>
      <c r="AL75" s="2340">
        <v>57182.663514702988</v>
      </c>
      <c r="AM75" s="2340">
        <v>58324.378672165898</v>
      </c>
      <c r="AN75" s="2340">
        <v>59223.990792304794</v>
      </c>
      <c r="AO75" s="2340">
        <v>59522.914404952622</v>
      </c>
      <c r="AP75" s="2340">
        <v>60112.461368684519</v>
      </c>
      <c r="AQ75" s="2340">
        <v>60600.641326182464</v>
      </c>
      <c r="AR75" s="2340">
        <v>61256.313091232536</v>
      </c>
      <c r="AS75" s="2340">
        <v>60814.803453568878</v>
      </c>
      <c r="AT75" s="2340">
        <v>60368.73494452946</v>
      </c>
      <c r="AU75" s="2340">
        <v>59404.421378889718</v>
      </c>
      <c r="AV75" s="2340">
        <v>59816.055692543465</v>
      </c>
      <c r="AW75" s="2340">
        <v>60760.071798471494</v>
      </c>
      <c r="AX75" s="2340">
        <v>62482.207031203689</v>
      </c>
      <c r="AY75" s="2340">
        <v>63784.7752397765</v>
      </c>
      <c r="AZ75" s="2340">
        <v>63620.703520369774</v>
      </c>
      <c r="BA75" s="2340">
        <v>63493.576779370393</v>
      </c>
      <c r="BB75" s="2340">
        <v>64156.513768232253</v>
      </c>
      <c r="BC75" s="2340">
        <v>64420.615132423933</v>
      </c>
      <c r="BD75" s="2340">
        <v>64992.611625630765</v>
      </c>
      <c r="BE75" s="2340">
        <v>65364.277640045737</v>
      </c>
      <c r="BF75" s="2340">
        <v>65987.985560388115</v>
      </c>
      <c r="BG75" s="2340">
        <v>66272.566508904842</v>
      </c>
      <c r="BH75" s="2340">
        <v>67080.167634726298</v>
      </c>
      <c r="BI75" s="2340">
        <v>67587.250245784046</v>
      </c>
      <c r="BJ75" s="2340">
        <v>68181.024855654367</v>
      </c>
      <c r="BK75" s="2340">
        <v>68815.271390252441</v>
      </c>
      <c r="BL75" s="2340">
        <v>69611.992998009417</v>
      </c>
      <c r="BM75" s="2340">
        <v>70366.183693676678</v>
      </c>
      <c r="BN75" s="2340">
        <v>71048.700081592382</v>
      </c>
      <c r="BO75" s="2340">
        <v>71647.954061486089</v>
      </c>
      <c r="BP75" s="2340">
        <v>72174.965716463557</v>
      </c>
      <c r="BQ75" s="2340">
        <v>72692.666415991727</v>
      </c>
      <c r="BR75" s="2340">
        <v>73161.046722723171</v>
      </c>
      <c r="BS75" s="2340">
        <v>73488.62023676699</v>
      </c>
      <c r="BT75" s="2340">
        <v>73933.02519688796</v>
      </c>
      <c r="BU75" s="2340">
        <v>74282.994287008318</v>
      </c>
      <c r="BV75" s="2340">
        <v>74765.79891268356</v>
      </c>
      <c r="BW75" s="2340">
        <v>75168.382050600339</v>
      </c>
      <c r="BX75" s="2340">
        <v>75627.97744928913</v>
      </c>
      <c r="BY75" s="2340">
        <v>76105.419779945223</v>
      </c>
      <c r="BZ75" s="2340">
        <v>76678.011282050851</v>
      </c>
      <c r="CA75" s="2340">
        <v>77135.899178049163</v>
      </c>
      <c r="CB75" s="2340">
        <v>77497.303619821498</v>
      </c>
      <c r="CC75" s="2340">
        <v>77989.797808467149</v>
      </c>
      <c r="CD75" s="2340">
        <v>78428.263309814109</v>
      </c>
      <c r="CE75" s="2340">
        <v>78831.397712525053</v>
      </c>
      <c r="CF75" s="2340">
        <v>79300.160495190285</v>
      </c>
      <c r="CG75" s="2340">
        <v>79697.388283219494</v>
      </c>
      <c r="CH75" s="2340">
        <v>80103.917773308174</v>
      </c>
      <c r="CI75" s="2340">
        <v>80551.781567825863</v>
      </c>
      <c r="CJ75" s="2340">
        <v>80882.060077851012</v>
      </c>
      <c r="CK75" s="2340">
        <v>81241.367948891217</v>
      </c>
      <c r="CL75" s="2340">
        <v>81672.008731137626</v>
      </c>
      <c r="CM75" s="2340">
        <v>82005.906508560191</v>
      </c>
      <c r="CN75" s="2340">
        <v>82361.602384934333</v>
      </c>
      <c r="CO75" s="2340">
        <v>82748.946516637196</v>
      </c>
      <c r="CP75" s="2340">
        <v>83090.281800031866</v>
      </c>
      <c r="CQ75" s="2340">
        <v>83435.430763204204</v>
      </c>
      <c r="CR75" s="2340">
        <v>83714.68636937048</v>
      </c>
      <c r="CS75" s="2340">
        <v>84056.617756619118</v>
      </c>
      <c r="CT75" s="2340">
        <v>84348.097069064752</v>
      </c>
      <c r="CU75" s="2340">
        <v>84653.011077475036</v>
      </c>
      <c r="CV75" s="2340">
        <v>84935.306021099401</v>
      </c>
      <c r="CW75" s="2340">
        <v>85191.932363197528</v>
      </c>
      <c r="CX75" s="2340">
        <v>85495.213078205416</v>
      </c>
      <c r="CY75" s="2340">
        <v>85735.976236247749</v>
      </c>
      <c r="CZ75" s="2340">
        <v>86007.538305511844</v>
      </c>
      <c r="DA75" s="2340">
        <v>86245.404099231586</v>
      </c>
      <c r="DB75" s="2340">
        <v>86536.900920477827</v>
      </c>
      <c r="DC75" s="2340">
        <v>86774.871503497037</v>
      </c>
      <c r="DD75" s="2340">
        <v>87020.058733894635</v>
      </c>
      <c r="DE75" s="2340">
        <v>87254.225325640611</v>
      </c>
      <c r="DF75" s="2340">
        <v>87511.560869861045</v>
      </c>
      <c r="DG75" s="2340">
        <v>87746.405539318846</v>
      </c>
      <c r="DH75" s="2340">
        <v>87968.74007480203</v>
      </c>
      <c r="DI75" s="2340">
        <v>88186.984110762118</v>
      </c>
      <c r="DJ75" s="2340">
        <v>88435.264687429401</v>
      </c>
      <c r="DK75" s="2340">
        <v>88647.055798850924</v>
      </c>
      <c r="DL75" s="2340">
        <v>88842.001869225001</v>
      </c>
      <c r="DM75" s="2340">
        <v>89056.007525019915</v>
      </c>
      <c r="DN75" s="2340">
        <v>89241.404976276433</v>
      </c>
      <c r="DO75" s="2340">
        <v>89456.623094374925</v>
      </c>
      <c r="DP75" s="2340">
        <v>89658.13819050965</v>
      </c>
      <c r="DQ75" s="2340">
        <v>89845.829108256396</v>
      </c>
      <c r="DR75" s="2340">
        <v>90057.688984099543</v>
      </c>
      <c r="DS75" s="2340">
        <v>90231.971096056863</v>
      </c>
      <c r="DT75" s="2340">
        <v>90426.005591754292</v>
      </c>
      <c r="DU75" s="2340">
        <v>90616.097949265793</v>
      </c>
    </row>
    <row r="76" spans="1:125" ht="12.75">
      <c r="A76" s="131">
        <v>74</v>
      </c>
      <c r="B76" s="132"/>
      <c r="C76" s="132"/>
      <c r="D76" s="132"/>
      <c r="E76" s="132"/>
      <c r="F76" s="132"/>
      <c r="G76" s="132"/>
      <c r="H76" s="132"/>
      <c r="I76" s="132"/>
      <c r="J76" s="132"/>
      <c r="K76" s="132"/>
      <c r="L76" s="132"/>
      <c r="M76" s="132"/>
      <c r="N76" s="132"/>
      <c r="O76" s="132"/>
      <c r="P76" s="132"/>
      <c r="Q76" s="132"/>
      <c r="R76" s="132"/>
      <c r="S76" s="132"/>
      <c r="T76" s="132"/>
      <c r="U76" s="132"/>
      <c r="V76" s="132"/>
      <c r="W76" s="132">
        <v>41435</v>
      </c>
      <c r="X76" s="132">
        <v>42442</v>
      </c>
      <c r="Y76" s="132">
        <v>42678.191480175177</v>
      </c>
      <c r="Z76" s="132">
        <v>44435.956254293276</v>
      </c>
      <c r="AA76" s="2340">
        <v>45285.826199208357</v>
      </c>
      <c r="AB76" s="2340">
        <v>46132.39470484748</v>
      </c>
      <c r="AC76" s="2340">
        <v>46657.726958843268</v>
      </c>
      <c r="AD76" s="2340">
        <v>47168.420450029749</v>
      </c>
      <c r="AE76" s="2340">
        <v>47372.081248992901</v>
      </c>
      <c r="AF76" s="2340">
        <v>48745.241819055016</v>
      </c>
      <c r="AG76" s="2340">
        <v>49744.067643415314</v>
      </c>
      <c r="AH76" s="2340">
        <v>50989.685677642556</v>
      </c>
      <c r="AI76" s="2340">
        <v>51865.840400719746</v>
      </c>
      <c r="AJ76" s="2340">
        <v>53459.695093391187</v>
      </c>
      <c r="AK76" s="2340">
        <v>54246.524866390857</v>
      </c>
      <c r="AL76" s="2340">
        <v>55438.766970669792</v>
      </c>
      <c r="AM76" s="2340">
        <v>56590.500404213424</v>
      </c>
      <c r="AN76" s="2340">
        <v>57500.305236682332</v>
      </c>
      <c r="AO76" s="2340">
        <v>57777.041363886579</v>
      </c>
      <c r="AP76" s="2340">
        <v>58431.769417571792</v>
      </c>
      <c r="AQ76" s="2340">
        <v>58825.095930593154</v>
      </c>
      <c r="AR76" s="2340">
        <v>59550.347050647244</v>
      </c>
      <c r="AS76" s="2340">
        <v>59082.645809666996</v>
      </c>
      <c r="AT76" s="2340">
        <v>58605.673749437716</v>
      </c>
      <c r="AU76" s="2340">
        <v>57705.647852493719</v>
      </c>
      <c r="AV76" s="2340">
        <v>58097.509171320839</v>
      </c>
      <c r="AW76" s="2340">
        <v>58954.002321354325</v>
      </c>
      <c r="AX76" s="2340">
        <v>60575.800993172197</v>
      </c>
      <c r="AY76" s="2340">
        <v>61866.558040605887</v>
      </c>
      <c r="AZ76" s="2340">
        <v>61742.485927119706</v>
      </c>
      <c r="BA76" s="2340">
        <v>61653.466227428151</v>
      </c>
      <c r="BB76" s="2340">
        <v>62331.267095696181</v>
      </c>
      <c r="BC76" s="2340">
        <v>62621.444464456858</v>
      </c>
      <c r="BD76" s="2340">
        <v>63210.732790647526</v>
      </c>
      <c r="BE76" s="2340">
        <v>63605.052865102145</v>
      </c>
      <c r="BF76" s="2340">
        <v>64244.52381322554</v>
      </c>
      <c r="BG76" s="2340">
        <v>64553.676734784618</v>
      </c>
      <c r="BH76" s="2340">
        <v>65372.217985588657</v>
      </c>
      <c r="BI76" s="2340">
        <v>65897.928440668387</v>
      </c>
      <c r="BJ76" s="2340">
        <v>66508.094656583678</v>
      </c>
      <c r="BK76" s="2340">
        <v>67157.724554095941</v>
      </c>
      <c r="BL76" s="2340">
        <v>67966.748233118589</v>
      </c>
      <c r="BM76" s="2340">
        <v>68734.349927615302</v>
      </c>
      <c r="BN76" s="2340">
        <v>69431.984879918542</v>
      </c>
      <c r="BO76" s="2340">
        <v>70048.224217799478</v>
      </c>
      <c r="BP76" s="2340">
        <v>70593.736218487931</v>
      </c>
      <c r="BQ76" s="2340">
        <v>71130.006800829346</v>
      </c>
      <c r="BR76" s="2340">
        <v>71617.85755054155</v>
      </c>
      <c r="BS76" s="2340">
        <v>71967.635631124271</v>
      </c>
      <c r="BT76" s="2340">
        <v>72431.582817876813</v>
      </c>
      <c r="BU76" s="2340">
        <v>72802.778396349808</v>
      </c>
      <c r="BV76" s="2340">
        <v>73303.944554055852</v>
      </c>
      <c r="BW76" s="2340">
        <v>73726.260725464992</v>
      </c>
      <c r="BX76" s="2340">
        <v>74204.290347628412</v>
      </c>
      <c r="BY76" s="2340">
        <v>74699.653511812561</v>
      </c>
      <c r="BZ76" s="2340">
        <v>75288.270376566143</v>
      </c>
      <c r="CA76" s="2340">
        <v>75764.117447685523</v>
      </c>
      <c r="CB76" s="2340">
        <v>76144.980327925485</v>
      </c>
      <c r="CC76" s="2340">
        <v>76654.441389887288</v>
      </c>
      <c r="CD76" s="2340">
        <v>77110.621187254626</v>
      </c>
      <c r="CE76" s="2340">
        <v>77531.857967515563</v>
      </c>
      <c r="CF76" s="2340">
        <v>78017.446380060006</v>
      </c>
      <c r="CG76" s="2340">
        <v>78432.4615678517</v>
      </c>
      <c r="CH76" s="2340">
        <v>78856.417927441755</v>
      </c>
      <c r="CI76" s="2340">
        <v>79320.868559507129</v>
      </c>
      <c r="CJ76" s="2340">
        <v>79669.313987207686</v>
      </c>
      <c r="CK76" s="2340">
        <v>80046.113484703033</v>
      </c>
      <c r="CL76" s="2340">
        <v>80492.986885421051</v>
      </c>
      <c r="CM76" s="2340">
        <v>80844.299519284774</v>
      </c>
      <c r="CN76" s="2340">
        <v>81216.869028176137</v>
      </c>
      <c r="CO76" s="2340">
        <v>81620.431111429367</v>
      </c>
      <c r="CP76" s="2340">
        <v>81978.394631805102</v>
      </c>
      <c r="CQ76" s="2340">
        <v>82339.89523382351</v>
      </c>
      <c r="CR76" s="2340">
        <v>82636.129431745314</v>
      </c>
      <c r="CS76" s="2340">
        <v>82993.995761536746</v>
      </c>
      <c r="CT76" s="2340">
        <v>83301.817735455581</v>
      </c>
      <c r="CU76" s="2340">
        <v>83622.671846476369</v>
      </c>
      <c r="CV76" s="2340">
        <v>83920.947341714214</v>
      </c>
      <c r="CW76" s="2340">
        <v>84193.618203919104</v>
      </c>
      <c r="CX76" s="2340">
        <v>84512.162125238377</v>
      </c>
      <c r="CY76" s="2340">
        <v>84768.672657108778</v>
      </c>
      <c r="CZ76" s="2340">
        <v>85055.396393122588</v>
      </c>
      <c r="DA76" s="2340">
        <v>85308.561577190878</v>
      </c>
      <c r="DB76" s="2340">
        <v>85614.547337552242</v>
      </c>
      <c r="DC76" s="2340">
        <v>85867.352875657249</v>
      </c>
      <c r="DD76" s="2340">
        <v>86127.069117635489</v>
      </c>
      <c r="DE76" s="2340">
        <v>86375.65006146532</v>
      </c>
      <c r="DF76" s="2340">
        <v>86646.944601831405</v>
      </c>
      <c r="DG76" s="2340">
        <v>86895.75187824812</v>
      </c>
      <c r="DH76" s="2340">
        <v>87131.94853587242</v>
      </c>
      <c r="DI76" s="2340">
        <v>87363.872236712836</v>
      </c>
      <c r="DJ76" s="2340">
        <v>87625.338718412633</v>
      </c>
      <c r="DK76" s="2340">
        <v>87850.438692375465</v>
      </c>
      <c r="DL76" s="2340">
        <v>88058.627936815828</v>
      </c>
      <c r="DM76" s="2340">
        <v>88285.495414411169</v>
      </c>
      <c r="DN76" s="2340">
        <v>88483.790761196869</v>
      </c>
      <c r="DO76" s="2340">
        <v>88711.445679716257</v>
      </c>
      <c r="DP76" s="2340">
        <v>88925.30966210668</v>
      </c>
      <c r="DQ76" s="2340">
        <v>89125.259335112583</v>
      </c>
      <c r="DR76" s="2340">
        <v>89348.985797709465</v>
      </c>
      <c r="DS76" s="2340">
        <v>89535.233092613489</v>
      </c>
      <c r="DT76" s="2340">
        <v>89740.883660027015</v>
      </c>
      <c r="DU76" s="2340">
        <v>89942.430834178595</v>
      </c>
    </row>
    <row r="77" spans="1:125" ht="12.75">
      <c r="A77" s="131">
        <v>75</v>
      </c>
      <c r="B77" s="132"/>
      <c r="C77" s="132"/>
      <c r="D77" s="132"/>
      <c r="E77" s="132"/>
      <c r="F77" s="132"/>
      <c r="G77" s="132"/>
      <c r="H77" s="132"/>
      <c r="I77" s="132"/>
      <c r="J77" s="132"/>
      <c r="K77" s="132"/>
      <c r="L77" s="132"/>
      <c r="M77" s="132"/>
      <c r="N77" s="132"/>
      <c r="O77" s="132"/>
      <c r="P77" s="132"/>
      <c r="Q77" s="132"/>
      <c r="R77" s="132"/>
      <c r="S77" s="132"/>
      <c r="T77" s="132"/>
      <c r="U77" s="132"/>
      <c r="V77" s="132"/>
      <c r="W77" s="132">
        <v>39279</v>
      </c>
      <c r="X77" s="132">
        <v>40361</v>
      </c>
      <c r="Y77" s="132">
        <v>40614.105360412475</v>
      </c>
      <c r="Z77" s="132">
        <v>42360.926811850833</v>
      </c>
      <c r="AA77" s="2340">
        <v>43245.318812953388</v>
      </c>
      <c r="AB77" s="2340">
        <v>44129.508337042025</v>
      </c>
      <c r="AC77" s="2340">
        <v>44678.797613906085</v>
      </c>
      <c r="AD77" s="2340">
        <v>45098.476488257009</v>
      </c>
      <c r="AE77" s="2340">
        <v>45380.73840076568</v>
      </c>
      <c r="AF77" s="2340">
        <v>46786.891915224092</v>
      </c>
      <c r="AG77" s="2340">
        <v>47830.143287792547</v>
      </c>
      <c r="AH77" s="2340">
        <v>49075.243777212418</v>
      </c>
      <c r="AI77" s="2340">
        <v>49964.346308815097</v>
      </c>
      <c r="AJ77" s="2340">
        <v>51517.907505165</v>
      </c>
      <c r="AK77" s="2340">
        <v>52387.76079331994</v>
      </c>
      <c r="AL77" s="2340">
        <v>53587.649102876552</v>
      </c>
      <c r="AM77" s="2340">
        <v>54777.084893155035</v>
      </c>
      <c r="AN77" s="2340">
        <v>55660.730352998813</v>
      </c>
      <c r="AO77" s="2340">
        <v>56033.588849802662</v>
      </c>
      <c r="AP77" s="2340">
        <v>56566.660090840858</v>
      </c>
      <c r="AQ77" s="2340">
        <v>57038.351656372412</v>
      </c>
      <c r="AR77" s="2340">
        <v>57726.726431978495</v>
      </c>
      <c r="AS77" s="2340">
        <v>57242.417870071185</v>
      </c>
      <c r="AT77" s="2340">
        <v>56793.428147291415</v>
      </c>
      <c r="AU77" s="2340">
        <v>55899.554379594651</v>
      </c>
      <c r="AV77" s="2340">
        <v>56161.175767943678</v>
      </c>
      <c r="AW77" s="2340">
        <v>57016.076303750458</v>
      </c>
      <c r="AX77" s="2340">
        <v>58602.814447469609</v>
      </c>
      <c r="AY77" s="2340">
        <v>59887.683732567653</v>
      </c>
      <c r="AZ77" s="2340">
        <v>59803.013257364983</v>
      </c>
      <c r="BA77" s="2340">
        <v>59751.537019066935</v>
      </c>
      <c r="BB77" s="2340">
        <v>60442.927487430388</v>
      </c>
      <c r="BC77" s="2340">
        <v>60758.351501499266</v>
      </c>
      <c r="BD77" s="2340">
        <v>61363.849012808794</v>
      </c>
      <c r="BE77" s="2340">
        <v>61779.990721716764</v>
      </c>
      <c r="BF77" s="2340">
        <v>62434.186718045356</v>
      </c>
      <c r="BG77" s="2340">
        <v>62767.264779886464</v>
      </c>
      <c r="BH77" s="2340">
        <v>63595.611878008713</v>
      </c>
      <c r="BI77" s="2340">
        <v>64139.166778562576</v>
      </c>
      <c r="BJ77" s="2340">
        <v>64764.895403010472</v>
      </c>
      <c r="BK77" s="2340">
        <v>65429.961575920308</v>
      </c>
      <c r="BL77" s="2340">
        <v>66250.419989788192</v>
      </c>
      <c r="BM77" s="2340">
        <v>67030.64902931363</v>
      </c>
      <c r="BN77" s="2340">
        <v>67742.73160513569</v>
      </c>
      <c r="BO77" s="2340">
        <v>68375.40894597843</v>
      </c>
      <c r="BP77" s="2340">
        <v>68938.985080644969</v>
      </c>
      <c r="BQ77" s="2340">
        <v>69493.435101821204</v>
      </c>
      <c r="BR77" s="2340">
        <v>70000.451075701931</v>
      </c>
      <c r="BS77" s="2340">
        <v>70372.304818756253</v>
      </c>
      <c r="BT77" s="2340">
        <v>70855.579381828778</v>
      </c>
      <c r="BU77" s="2340">
        <v>71247.912980261579</v>
      </c>
      <c r="BV77" s="2340">
        <v>71767.248906682798</v>
      </c>
      <c r="BW77" s="2340">
        <v>72209.215982752808</v>
      </c>
      <c r="BX77" s="2340">
        <v>72705.569101468529</v>
      </c>
      <c r="BY77" s="2340">
        <v>73218.752256612977</v>
      </c>
      <c r="BZ77" s="2340">
        <v>73823.226944398091</v>
      </c>
      <c r="CA77" s="2340">
        <v>74317.004549845384</v>
      </c>
      <c r="CB77" s="2340">
        <v>74717.415660849525</v>
      </c>
      <c r="CC77" s="2340">
        <v>75243.829628294712</v>
      </c>
      <c r="CD77" s="2340">
        <v>75717.784988728614</v>
      </c>
      <c r="CE77" s="2340">
        <v>76157.240998235633</v>
      </c>
      <c r="CF77" s="2340">
        <v>76659.730472439463</v>
      </c>
      <c r="CG77" s="2340">
        <v>77092.696387501535</v>
      </c>
      <c r="CH77" s="2340">
        <v>77534.253244303967</v>
      </c>
      <c r="CI77" s="2340">
        <v>78015.44443555738</v>
      </c>
      <c r="CJ77" s="2340">
        <v>78382.336599047034</v>
      </c>
      <c r="CK77" s="2340">
        <v>78776.896850883117</v>
      </c>
      <c r="CL77" s="2340">
        <v>79240.223031908914</v>
      </c>
      <c r="CM77" s="2340">
        <v>79609.27312516731</v>
      </c>
      <c r="CN77" s="2340">
        <v>79999.033202588238</v>
      </c>
      <c r="CO77" s="2340">
        <v>80419.1156880653</v>
      </c>
      <c r="CP77" s="2340">
        <v>80794.063231781663</v>
      </c>
      <c r="CQ77" s="2340">
        <v>81172.279844334087</v>
      </c>
      <c r="CR77" s="2340">
        <v>81485.924743343217</v>
      </c>
      <c r="CS77" s="2340">
        <v>81860.11468723978</v>
      </c>
      <c r="CT77" s="2340">
        <v>82184.720501562275</v>
      </c>
      <c r="CU77" s="2340">
        <v>82521.953503791345</v>
      </c>
      <c r="CV77" s="2340">
        <v>82836.675429244671</v>
      </c>
      <c r="CW77" s="2340">
        <v>83125.885193968265</v>
      </c>
      <c r="CX77" s="2340">
        <v>83460.155743203519</v>
      </c>
      <c r="CY77" s="2340">
        <v>83732.93394092111</v>
      </c>
      <c r="CZ77" s="2340">
        <v>84035.320776401393</v>
      </c>
      <c r="DA77" s="2340">
        <v>84304.318656769639</v>
      </c>
      <c r="DB77" s="2340">
        <v>84625.289749204196</v>
      </c>
      <c r="DC77" s="2340">
        <v>84893.472608823053</v>
      </c>
      <c r="DD77" s="2340">
        <v>85168.258519390161</v>
      </c>
      <c r="DE77" s="2340">
        <v>85431.806207548667</v>
      </c>
      <c r="DF77" s="2340">
        <v>85717.597942513836</v>
      </c>
      <c r="DG77" s="2340">
        <v>85980.925454005541</v>
      </c>
      <c r="DH77" s="2340">
        <v>86231.553177904731</v>
      </c>
      <c r="DI77" s="2340">
        <v>86477.730153202821</v>
      </c>
      <c r="DJ77" s="2340">
        <v>86752.936296418324</v>
      </c>
      <c r="DK77" s="2340">
        <v>86991.925934568746</v>
      </c>
      <c r="DL77" s="2340">
        <v>87213.951461501274</v>
      </c>
      <c r="DM77" s="2340">
        <v>87454.261012210321</v>
      </c>
      <c r="DN77" s="2340">
        <v>87666.053972096372</v>
      </c>
      <c r="DO77" s="2340">
        <v>87906.725042188904</v>
      </c>
      <c r="DP77" s="2340">
        <v>88133.52600289564</v>
      </c>
      <c r="DQ77" s="2340">
        <v>88346.330787686617</v>
      </c>
      <c r="DR77" s="2340">
        <v>88582.503538239209</v>
      </c>
      <c r="DS77" s="2340">
        <v>88781.318560419066</v>
      </c>
      <c r="DT77" s="2340">
        <v>88999.173627051045</v>
      </c>
      <c r="DU77" s="2340">
        <v>89212.764853012632</v>
      </c>
    </row>
    <row r="78" spans="1:125" ht="12.75">
      <c r="A78" s="131">
        <v>76</v>
      </c>
      <c r="B78" s="132"/>
      <c r="C78" s="132"/>
      <c r="D78" s="132"/>
      <c r="E78" s="132"/>
      <c r="F78" s="132"/>
      <c r="G78" s="132"/>
      <c r="H78" s="132"/>
      <c r="I78" s="132"/>
      <c r="J78" s="132"/>
      <c r="K78" s="132"/>
      <c r="L78" s="132"/>
      <c r="M78" s="132"/>
      <c r="N78" s="132"/>
      <c r="O78" s="132"/>
      <c r="P78" s="132"/>
      <c r="Q78" s="132"/>
      <c r="R78" s="132"/>
      <c r="S78" s="132"/>
      <c r="T78" s="132"/>
      <c r="U78" s="132"/>
      <c r="V78" s="132"/>
      <c r="W78" s="132">
        <v>37120</v>
      </c>
      <c r="X78" s="132">
        <v>38220</v>
      </c>
      <c r="Y78" s="132">
        <v>38515.215770322822</v>
      </c>
      <c r="Z78" s="132">
        <v>40301.786013971156</v>
      </c>
      <c r="AA78" s="2340">
        <v>41167.083914207353</v>
      </c>
      <c r="AB78" s="2340">
        <v>42104.725900513236</v>
      </c>
      <c r="AC78" s="2340">
        <v>42581.62809903187</v>
      </c>
      <c r="AD78" s="2340">
        <v>43022.270522991581</v>
      </c>
      <c r="AE78" s="2340">
        <v>43332.535049149839</v>
      </c>
      <c r="AF78" s="2340">
        <v>44803.776799676794</v>
      </c>
      <c r="AG78" s="2340">
        <v>45844.130530213661</v>
      </c>
      <c r="AH78" s="2340">
        <v>47055.070647827713</v>
      </c>
      <c r="AI78" s="2340">
        <v>47988.185190250995</v>
      </c>
      <c r="AJ78" s="2340">
        <v>49576.082273089152</v>
      </c>
      <c r="AK78" s="2340">
        <v>50414.841247830198</v>
      </c>
      <c r="AL78" s="2340">
        <v>51664.843465417631</v>
      </c>
      <c r="AM78" s="2340">
        <v>52813.989616708175</v>
      </c>
      <c r="AN78" s="2340">
        <v>53808.799083707359</v>
      </c>
      <c r="AO78" s="2340">
        <v>54071.995437299192</v>
      </c>
      <c r="AP78" s="2340">
        <v>54642.530176971064</v>
      </c>
      <c r="AQ78" s="2340">
        <v>55111.523615844955</v>
      </c>
      <c r="AR78" s="2340">
        <v>55771.206938270763</v>
      </c>
      <c r="AS78" s="2340">
        <v>55351.681809600188</v>
      </c>
      <c r="AT78" s="2340">
        <v>54859.638512612117</v>
      </c>
      <c r="AU78" s="2340">
        <v>53899.029334410952</v>
      </c>
      <c r="AV78" s="2340">
        <v>54083.733835475541</v>
      </c>
      <c r="AW78" s="2340">
        <v>55001.844209044939</v>
      </c>
      <c r="AX78" s="2340">
        <v>56568.861290031673</v>
      </c>
      <c r="AY78" s="2340">
        <v>57845.615367978739</v>
      </c>
      <c r="AZ78" s="2340">
        <v>57799.6204217903</v>
      </c>
      <c r="BA78" s="2340">
        <v>57784.998675064817</v>
      </c>
      <c r="BB78" s="2340">
        <v>58488.547007128574</v>
      </c>
      <c r="BC78" s="2340">
        <v>58828.25112308075</v>
      </c>
      <c r="BD78" s="2340">
        <v>59448.725471996499</v>
      </c>
      <c r="BE78" s="2340">
        <v>59885.718769230356</v>
      </c>
      <c r="BF78" s="2340">
        <v>60553.453318156695</v>
      </c>
      <c r="BG78" s="2340">
        <v>60909.681598492258</v>
      </c>
      <c r="BH78" s="2340">
        <v>61746.545486606505</v>
      </c>
      <c r="BI78" s="2340">
        <v>62307.025512101107</v>
      </c>
      <c r="BJ78" s="2340">
        <v>62948.357536403077</v>
      </c>
      <c r="BK78" s="2340">
        <v>63627.97896333073</v>
      </c>
      <c r="BL78" s="2340">
        <v>64458.858532663049</v>
      </c>
      <c r="BM78" s="2340">
        <v>65250.789847498148</v>
      </c>
      <c r="BN78" s="2340">
        <v>65976.514576493399</v>
      </c>
      <c r="BO78" s="2340">
        <v>66624.955989396432</v>
      </c>
      <c r="BP78" s="2340">
        <v>67206.041050903368</v>
      </c>
      <c r="BQ78" s="2340">
        <v>67778.164776058504</v>
      </c>
      <c r="BR78" s="2340">
        <v>68303.931882629127</v>
      </c>
      <c r="BS78" s="2340">
        <v>68697.636294061202</v>
      </c>
      <c r="BT78" s="2340">
        <v>69199.922722609568</v>
      </c>
      <c r="BU78" s="2340">
        <v>69613.215030325344</v>
      </c>
      <c r="BV78" s="2340">
        <v>70150.432107025918</v>
      </c>
      <c r="BW78" s="2340">
        <v>70611.879951445502</v>
      </c>
      <c r="BX78" s="2340">
        <v>71126.35693657583</v>
      </c>
      <c r="BY78" s="2340">
        <v>71657.172141304371</v>
      </c>
      <c r="BZ78" s="2340">
        <v>72277.246074731782</v>
      </c>
      <c r="CA78" s="2340">
        <v>72788.845945917579</v>
      </c>
      <c r="CB78" s="2340">
        <v>73208.825675118394</v>
      </c>
      <c r="CC78" s="2340">
        <v>73752.10241065672</v>
      </c>
      <c r="CD78" s="2340">
        <v>74243.825432196158</v>
      </c>
      <c r="CE78" s="2340">
        <v>74701.553968138876</v>
      </c>
      <c r="CF78" s="2340">
        <v>75220.9542818802</v>
      </c>
      <c r="CG78" s="2340">
        <v>75671.976911338119</v>
      </c>
      <c r="CH78" s="2340">
        <v>76131.252663829815</v>
      </c>
      <c r="CI78" s="2340">
        <v>76629.28248607523</v>
      </c>
      <c r="CJ78" s="2340">
        <v>77014.857377703389</v>
      </c>
      <c r="CK78" s="2340">
        <v>77427.404138910206</v>
      </c>
      <c r="CL78" s="2340">
        <v>77907.356977513773</v>
      </c>
      <c r="CM78" s="2340">
        <v>78294.430966344749</v>
      </c>
      <c r="CN78" s="2340">
        <v>78701.663222161558</v>
      </c>
      <c r="CO78" s="2340">
        <v>79138.53324507676</v>
      </c>
      <c r="CP78" s="2340">
        <v>79530.791308260639</v>
      </c>
      <c r="CQ78" s="2340">
        <v>79926.061091886062</v>
      </c>
      <c r="CR78" s="2340">
        <v>80257.529063109512</v>
      </c>
      <c r="CS78" s="2340">
        <v>80648.408920542322</v>
      </c>
      <c r="CT78" s="2340">
        <v>80990.22353139834</v>
      </c>
      <c r="CU78" s="2340">
        <v>81344.259092227498</v>
      </c>
      <c r="CV78" s="2340">
        <v>81675.882060335018</v>
      </c>
      <c r="CW78" s="2340">
        <v>81982.117870408154</v>
      </c>
      <c r="CX78" s="2340">
        <v>82332.569583244767</v>
      </c>
      <c r="CY78" s="2340">
        <v>82622.133614526785</v>
      </c>
      <c r="CZ78" s="2340">
        <v>82940.682333924604</v>
      </c>
      <c r="DA78" s="2340">
        <v>83226.047965777776</v>
      </c>
      <c r="DB78" s="2340">
        <v>83562.500162625336</v>
      </c>
      <c r="DC78" s="2340">
        <v>83846.60788720964</v>
      </c>
      <c r="DD78" s="2340">
        <v>84137.010382801207</v>
      </c>
      <c r="DE78" s="2340">
        <v>84416.085884659493</v>
      </c>
      <c r="DF78" s="2340">
        <v>84716.921467559543</v>
      </c>
      <c r="DG78" s="2340">
        <v>84995.338475547134</v>
      </c>
      <c r="DH78" s="2340">
        <v>85260.980203592218</v>
      </c>
      <c r="DI78" s="2340">
        <v>85521.999728756753</v>
      </c>
      <c r="DJ78" s="2340">
        <v>85811.51405011992</v>
      </c>
      <c r="DK78" s="2340">
        <v>86064.992892800554</v>
      </c>
      <c r="DL78" s="2340">
        <v>86301.469000967423</v>
      </c>
      <c r="DM78" s="2340">
        <v>86555.821838316304</v>
      </c>
      <c r="DN78" s="2340">
        <v>86781.736291870373</v>
      </c>
      <c r="DO78" s="2340">
        <v>87036.025944909357</v>
      </c>
      <c r="DP78" s="2340">
        <v>87276.377081594284</v>
      </c>
      <c r="DQ78" s="2340">
        <v>87502.660414522528</v>
      </c>
      <c r="DR78" s="2340">
        <v>87751.885466878331</v>
      </c>
      <c r="DS78" s="2340">
        <v>87963.900629616997</v>
      </c>
      <c r="DT78" s="2340">
        <v>88194.577963667267</v>
      </c>
      <c r="DU78" s="2340">
        <v>88420.832918108295</v>
      </c>
    </row>
    <row r="79" spans="1:125" ht="12.75">
      <c r="A79" s="131">
        <v>77</v>
      </c>
      <c r="B79" s="132"/>
      <c r="C79" s="132"/>
      <c r="D79" s="132"/>
      <c r="E79" s="132"/>
      <c r="F79" s="132"/>
      <c r="G79" s="132"/>
      <c r="H79" s="132"/>
      <c r="I79" s="132"/>
      <c r="J79" s="132"/>
      <c r="K79" s="132"/>
      <c r="L79" s="132"/>
      <c r="M79" s="132"/>
      <c r="N79" s="132"/>
      <c r="O79" s="132"/>
      <c r="P79" s="132"/>
      <c r="Q79" s="132"/>
      <c r="R79" s="132"/>
      <c r="S79" s="132"/>
      <c r="T79" s="132"/>
      <c r="U79" s="132"/>
      <c r="V79" s="132"/>
      <c r="W79" s="132">
        <v>34980</v>
      </c>
      <c r="X79" s="132">
        <v>36060</v>
      </c>
      <c r="Y79" s="132">
        <v>36452.260576239329</v>
      </c>
      <c r="Z79" s="132">
        <v>38252.564930576853</v>
      </c>
      <c r="AA79" s="2340">
        <v>39077.045970677864</v>
      </c>
      <c r="AB79" s="2340">
        <v>39952.136000256185</v>
      </c>
      <c r="AC79" s="2340">
        <v>40492.091949166177</v>
      </c>
      <c r="AD79" s="2340">
        <v>40911.769919136023</v>
      </c>
      <c r="AE79" s="2340">
        <v>41256.476636210798</v>
      </c>
      <c r="AF79" s="2340">
        <v>42739.348552867516</v>
      </c>
      <c r="AG79" s="2340">
        <v>43782.018229730973</v>
      </c>
      <c r="AH79" s="2340">
        <v>44993.713700727218</v>
      </c>
      <c r="AI79" s="2340">
        <v>45967.771694412855</v>
      </c>
      <c r="AJ79" s="2340">
        <v>47508.336223372025</v>
      </c>
      <c r="AK79" s="2340">
        <v>48388.210472514205</v>
      </c>
      <c r="AL79" s="2340">
        <v>49599.368886512246</v>
      </c>
      <c r="AM79" s="2340">
        <v>50819.328192729932</v>
      </c>
      <c r="AN79" s="2340">
        <v>51740.077021236575</v>
      </c>
      <c r="AO79" s="2340">
        <v>52079.889032752704</v>
      </c>
      <c r="AP79" s="2340">
        <v>52587.059231269785</v>
      </c>
      <c r="AQ79" s="2340">
        <v>53053.272490528187</v>
      </c>
      <c r="AR79" s="2340">
        <v>53771.369446880097</v>
      </c>
      <c r="AS79" s="2340">
        <v>53331.341502834955</v>
      </c>
      <c r="AT79" s="2340">
        <v>52723.179988880962</v>
      </c>
      <c r="AU79" s="2340">
        <v>51792.249973823004</v>
      </c>
      <c r="AV79" s="2340">
        <v>52006.873135107555</v>
      </c>
      <c r="AW79" s="2340">
        <v>52925.963443083558</v>
      </c>
      <c r="AX79" s="2340">
        <v>54470.467261233905</v>
      </c>
      <c r="AY79" s="2340">
        <v>55736.674016723657</v>
      </c>
      <c r="AZ79" s="2340">
        <v>55728.508851011939</v>
      </c>
      <c r="BA79" s="2340">
        <v>55749.934692556446</v>
      </c>
      <c r="BB79" s="2340">
        <v>56464.04484598108</v>
      </c>
      <c r="BC79" s="2340">
        <v>56826.925288931299</v>
      </c>
      <c r="BD79" s="2340">
        <v>57460.988737614789</v>
      </c>
      <c r="BE79" s="2340">
        <v>57917.723573777119</v>
      </c>
      <c r="BF79" s="2340">
        <v>58597.654700734296</v>
      </c>
      <c r="BG79" s="2340">
        <v>58976.128958043482</v>
      </c>
      <c r="BH79" s="2340">
        <v>59820.055358551312</v>
      </c>
      <c r="BI79" s="2340">
        <v>60397.544465652623</v>
      </c>
      <c r="BJ79" s="2340">
        <v>61053.454697908215</v>
      </c>
      <c r="BK79" s="2340">
        <v>61746.606068892848</v>
      </c>
      <c r="BL79" s="2340">
        <v>62586.738998308625</v>
      </c>
      <c r="BM79" s="2340">
        <v>63389.298817402378</v>
      </c>
      <c r="BN79" s="2340">
        <v>64127.71959334956</v>
      </c>
      <c r="BO79" s="2340">
        <v>64791.119834617108</v>
      </c>
      <c r="BP79" s="2340">
        <v>65389.03606539937</v>
      </c>
      <c r="BQ79" s="2340">
        <v>65978.20905423451</v>
      </c>
      <c r="BR79" s="2340">
        <v>66522.201723764447</v>
      </c>
      <c r="BS79" s="2340">
        <v>66937.435422483948</v>
      </c>
      <c r="BT79" s="2340">
        <v>67458.315339107707</v>
      </c>
      <c r="BU79" s="2340">
        <v>67892.295553026503</v>
      </c>
      <c r="BV79" s="2340">
        <v>68447.005529044065</v>
      </c>
      <c r="BW79" s="2340">
        <v>68927.674560213316</v>
      </c>
      <c r="BX79" s="2340">
        <v>69459.984572919449</v>
      </c>
      <c r="BY79" s="2340">
        <v>70008.154259268762</v>
      </c>
      <c r="BZ79" s="2340">
        <v>70643.473855826</v>
      </c>
      <c r="CA79" s="2340">
        <v>71172.706038244767</v>
      </c>
      <c r="CB79" s="2340">
        <v>71612.204915840048</v>
      </c>
      <c r="CC79" s="2340">
        <v>72172.175681180001</v>
      </c>
      <c r="CD79" s="2340">
        <v>72681.587807949036</v>
      </c>
      <c r="CE79" s="2340">
        <v>73157.577778078368</v>
      </c>
      <c r="CF79" s="2340">
        <v>73693.83130464796</v>
      </c>
      <c r="CG79" s="2340">
        <v>74162.95876168384</v>
      </c>
      <c r="CH79" s="2340">
        <v>74640.016011362124</v>
      </c>
      <c r="CI79" s="2340">
        <v>75154.925801213176</v>
      </c>
      <c r="CJ79" s="2340">
        <v>75559.376412530211</v>
      </c>
      <c r="CK79" s="2340">
        <v>75990.092560112927</v>
      </c>
      <c r="CL79" s="2340">
        <v>76486.799185910466</v>
      </c>
      <c r="CM79" s="2340">
        <v>76892.14845431727</v>
      </c>
      <c r="CN79" s="2340">
        <v>77317.100078226955</v>
      </c>
      <c r="CO79" s="2340">
        <v>77770.990016232739</v>
      </c>
      <c r="CP79" s="2340">
        <v>78180.857168547926</v>
      </c>
      <c r="CQ79" s="2340">
        <v>78593.491501755401</v>
      </c>
      <c r="CR79" s="2340">
        <v>78943.17769133547</v>
      </c>
      <c r="CS79" s="2340">
        <v>79351.093106031738</v>
      </c>
      <c r="CT79" s="2340">
        <v>79710.527814161629</v>
      </c>
      <c r="CU79" s="2340">
        <v>80081.776969226223</v>
      </c>
      <c r="CV79" s="2340">
        <v>80430.747255195936</v>
      </c>
      <c r="CW79" s="2340">
        <v>80754.492419512317</v>
      </c>
      <c r="CX79" s="2340">
        <v>81121.57380123467</v>
      </c>
      <c r="CY79" s="2340">
        <v>81428.443555982987</v>
      </c>
      <c r="CZ79" s="2340">
        <v>81763.653816120044</v>
      </c>
      <c r="DA79" s="2340">
        <v>82065.92809833771</v>
      </c>
      <c r="DB79" s="2340">
        <v>82418.360008165517</v>
      </c>
      <c r="DC79" s="2340">
        <v>82718.949614957237</v>
      </c>
      <c r="DD79" s="2340">
        <v>83025.526167518692</v>
      </c>
      <c r="DE79" s="2340">
        <v>83320.703771357774</v>
      </c>
      <c r="DF79" s="2340">
        <v>83637.142634919976</v>
      </c>
      <c r="DG79" s="2340">
        <v>83931.234753775207</v>
      </c>
      <c r="DH79" s="2340">
        <v>84212.492392425993</v>
      </c>
      <c r="DI79" s="2340">
        <v>84488.964522811613</v>
      </c>
      <c r="DJ79" s="2340">
        <v>84793.375104199658</v>
      </c>
      <c r="DK79" s="2340">
        <v>85061.966794338732</v>
      </c>
      <c r="DL79" s="2340">
        <v>85313.534630688984</v>
      </c>
      <c r="DM79" s="2340">
        <v>85582.55841705903</v>
      </c>
      <c r="DN79" s="2340">
        <v>85823.248330483184</v>
      </c>
      <c r="DO79" s="2340">
        <v>86091.787691368445</v>
      </c>
      <c r="DP79" s="2340">
        <v>86346.333160862894</v>
      </c>
      <c r="DQ79" s="2340">
        <v>86586.75164731624</v>
      </c>
      <c r="DR79" s="2340">
        <v>86849.667179329917</v>
      </c>
      <c r="DS79" s="2340">
        <v>87075.551136543072</v>
      </c>
      <c r="DT79" s="2340">
        <v>87319.704031651461</v>
      </c>
      <c r="DU79" s="2340">
        <v>87559.279118558668</v>
      </c>
    </row>
    <row r="80" spans="1:125" ht="12.75">
      <c r="A80" s="131">
        <v>78</v>
      </c>
      <c r="B80" s="132"/>
      <c r="C80" s="132"/>
      <c r="D80" s="132"/>
      <c r="E80" s="132"/>
      <c r="F80" s="132"/>
      <c r="G80" s="132"/>
      <c r="H80" s="132"/>
      <c r="I80" s="132"/>
      <c r="J80" s="132"/>
      <c r="K80" s="132"/>
      <c r="L80" s="132"/>
      <c r="M80" s="132"/>
      <c r="N80" s="132"/>
      <c r="O80" s="132"/>
      <c r="P80" s="132"/>
      <c r="Q80" s="132"/>
      <c r="R80" s="132"/>
      <c r="S80" s="132"/>
      <c r="T80" s="132"/>
      <c r="U80" s="132"/>
      <c r="V80" s="132"/>
      <c r="W80" s="132">
        <v>32768</v>
      </c>
      <c r="X80" s="132">
        <v>33890</v>
      </c>
      <c r="Y80" s="132">
        <v>34331.202541309183</v>
      </c>
      <c r="Z80" s="132">
        <v>36091.726229786946</v>
      </c>
      <c r="AA80" s="2340">
        <v>36876.703584125687</v>
      </c>
      <c r="AB80" s="2340">
        <v>37808.799821109125</v>
      </c>
      <c r="AC80" s="2340">
        <v>38320.020044581572</v>
      </c>
      <c r="AD80" s="2340">
        <v>38777.79038133641</v>
      </c>
      <c r="AE80" s="2340">
        <v>39161.26234344468</v>
      </c>
      <c r="AF80" s="2340">
        <v>40597.065989393537</v>
      </c>
      <c r="AG80" s="2340">
        <v>41612.873366842388</v>
      </c>
      <c r="AH80" s="2340">
        <v>42872.56243575798</v>
      </c>
      <c r="AI80" s="2340">
        <v>43786.351499455508</v>
      </c>
      <c r="AJ80" s="2340">
        <v>45340.232208939313</v>
      </c>
      <c r="AK80" s="2340">
        <v>46215.781297931615</v>
      </c>
      <c r="AL80" s="2340">
        <v>47522.939455339125</v>
      </c>
      <c r="AM80" s="2340">
        <v>48688.52136209295</v>
      </c>
      <c r="AN80" s="2340">
        <v>49606.169151688991</v>
      </c>
      <c r="AO80" s="2340">
        <v>49946.696939461923</v>
      </c>
      <c r="AP80" s="2340">
        <v>50447.13981662369</v>
      </c>
      <c r="AQ80" s="2340">
        <v>50939.168589672292</v>
      </c>
      <c r="AR80" s="2340">
        <v>51660.468864438539</v>
      </c>
      <c r="AS80" s="2340">
        <v>51053.450328839281</v>
      </c>
      <c r="AT80" s="2340">
        <v>50459.170985654957</v>
      </c>
      <c r="AU80" s="2340">
        <v>49623.651034528084</v>
      </c>
      <c r="AV80" s="2340">
        <v>49865.783400577864</v>
      </c>
      <c r="AW80" s="2340">
        <v>50783.553564768612</v>
      </c>
      <c r="AX80" s="2340">
        <v>52302.490843522755</v>
      </c>
      <c r="AY80" s="2340">
        <v>53555.480661998365</v>
      </c>
      <c r="AZ80" s="2340">
        <v>53584.185857743912</v>
      </c>
      <c r="BA80" s="2340">
        <v>53640.739337522136</v>
      </c>
      <c r="BB80" s="2340">
        <v>54363.634771822988</v>
      </c>
      <c r="BC80" s="2340">
        <v>54748.444912473737</v>
      </c>
      <c r="BD80" s="2340">
        <v>55394.540514168024</v>
      </c>
      <c r="BE80" s="2340">
        <v>55869.75833578554</v>
      </c>
      <c r="BF80" s="2340">
        <v>56560.373420968484</v>
      </c>
      <c r="BG80" s="2340">
        <v>56960.053945970561</v>
      </c>
      <c r="BH80" s="2340">
        <v>57810.695392733433</v>
      </c>
      <c r="BI80" s="2340">
        <v>58404.069767983317</v>
      </c>
      <c r="BJ80" s="2340">
        <v>59073.377147664723</v>
      </c>
      <c r="BK80" s="2340">
        <v>59778.875834312166</v>
      </c>
      <c r="BL80" s="2340">
        <v>60626.922984498531</v>
      </c>
      <c r="BM80" s="2340">
        <v>61438.873000116881</v>
      </c>
      <c r="BN80" s="2340">
        <v>62188.889300997202</v>
      </c>
      <c r="BO80" s="2340">
        <v>62866.300390427539</v>
      </c>
      <c r="BP80" s="2340">
        <v>63480.238127821613</v>
      </c>
      <c r="BQ80" s="2340">
        <v>64085.708325508196</v>
      </c>
      <c r="BR80" s="2340">
        <v>64647.282083141414</v>
      </c>
      <c r="BS80" s="2340">
        <v>65083.623701392826</v>
      </c>
      <c r="BT80" s="2340">
        <v>65622.569482497624</v>
      </c>
      <c r="BU80" s="2340">
        <v>66076.871565691486</v>
      </c>
      <c r="BV80" s="2340">
        <v>66648.57966261504</v>
      </c>
      <c r="BW80" s="2340">
        <v>67148.116241840471</v>
      </c>
      <c r="BX80" s="2340">
        <v>67697.871425300254</v>
      </c>
      <c r="BY80" s="2340">
        <v>68263.022397362423</v>
      </c>
      <c r="BZ80" s="2340">
        <v>68913.130944245771</v>
      </c>
      <c r="CA80" s="2340">
        <v>69459.718829015095</v>
      </c>
      <c r="CB80" s="2340">
        <v>69918.615236638594</v>
      </c>
      <c r="CC80" s="2340">
        <v>70495.027400893901</v>
      </c>
      <c r="CD80" s="2340">
        <v>71021.975752533937</v>
      </c>
      <c r="CE80" s="2340">
        <v>71516.149152059414</v>
      </c>
      <c r="CF80" s="2340">
        <v>72069.12699609308</v>
      </c>
      <c r="CG80" s="2340">
        <v>72556.347691627059</v>
      </c>
      <c r="CH80" s="2340">
        <v>73051.19146044433</v>
      </c>
      <c r="CI80" s="2340">
        <v>73582.963308808292</v>
      </c>
      <c r="CJ80" s="2340">
        <v>74006.440243913428</v>
      </c>
      <c r="CK80" s="2340">
        <v>74455.465950554135</v>
      </c>
      <c r="CL80" s="2340">
        <v>74969.005475816622</v>
      </c>
      <c r="CM80" s="2340">
        <v>75392.847669202267</v>
      </c>
      <c r="CN80" s="2340">
        <v>75835.732483235086</v>
      </c>
      <c r="CO80" s="2340">
        <v>76306.840521425038</v>
      </c>
      <c r="CP80" s="2340">
        <v>76734.589315351404</v>
      </c>
      <c r="CQ80" s="2340">
        <v>77164.875866326067</v>
      </c>
      <c r="CR80" s="2340">
        <v>77533.16204713269</v>
      </c>
      <c r="CS80" s="2340">
        <v>77958.440642085858</v>
      </c>
      <c r="CT80" s="2340">
        <v>78335.897130065423</v>
      </c>
      <c r="CU80" s="2340">
        <v>78724.762241102231</v>
      </c>
      <c r="CV80" s="2340">
        <v>79091.522481885215</v>
      </c>
      <c r="CW80" s="2340">
        <v>79433.261971791129</v>
      </c>
      <c r="CX80" s="2340">
        <v>79817.420154137028</v>
      </c>
      <c r="CY80" s="2340">
        <v>80142.123511628248</v>
      </c>
      <c r="CZ80" s="2340">
        <v>80494.50162117985</v>
      </c>
      <c r="DA80" s="2340">
        <v>80814.238017278287</v>
      </c>
      <c r="DB80" s="2340">
        <v>81183.156817698939</v>
      </c>
      <c r="DC80" s="2340">
        <v>81500.801890833667</v>
      </c>
      <c r="DD80" s="2340">
        <v>81824.127641914543</v>
      </c>
      <c r="DE80" s="2340">
        <v>82136.00237994967</v>
      </c>
      <c r="DF80" s="2340">
        <v>82468.623934322546</v>
      </c>
      <c r="DG80" s="2340">
        <v>82779.000974390801</v>
      </c>
      <c r="DH80" s="2340">
        <v>83076.503662481657</v>
      </c>
      <c r="DI80" s="2340">
        <v>83369.06773206385</v>
      </c>
      <c r="DJ80" s="2340">
        <v>83688.990240597486</v>
      </c>
      <c r="DK80" s="2340">
        <v>83973.351442319428</v>
      </c>
      <c r="DL80" s="2340">
        <v>84240.688397040183</v>
      </c>
      <c r="DM80" s="2340">
        <v>84525.046375146543</v>
      </c>
      <c r="DN80" s="2340">
        <v>84781.20563108963</v>
      </c>
      <c r="DO80" s="2340">
        <v>85064.663864344926</v>
      </c>
      <c r="DP80" s="2340">
        <v>85334.088515297321</v>
      </c>
      <c r="DQ80" s="2340">
        <v>85589.3420404395</v>
      </c>
      <c r="DR80" s="2340">
        <v>85866.628131039775</v>
      </c>
      <c r="DS80" s="2340">
        <v>86107.096341942408</v>
      </c>
      <c r="DT80" s="2340">
        <v>86365.42388739805</v>
      </c>
      <c r="DU80" s="2340">
        <v>86619.022669686019</v>
      </c>
    </row>
    <row r="81" spans="1:125" ht="12.75">
      <c r="A81" s="131">
        <v>79</v>
      </c>
      <c r="B81" s="132"/>
      <c r="C81" s="132"/>
      <c r="D81" s="132"/>
      <c r="E81" s="132"/>
      <c r="F81" s="132"/>
      <c r="G81" s="132"/>
      <c r="H81" s="132"/>
      <c r="I81" s="132"/>
      <c r="J81" s="132"/>
      <c r="K81" s="132"/>
      <c r="L81" s="132"/>
      <c r="M81" s="132"/>
      <c r="N81" s="132"/>
      <c r="O81" s="132"/>
      <c r="P81" s="132"/>
      <c r="Q81" s="132"/>
      <c r="R81" s="132"/>
      <c r="S81" s="132"/>
      <c r="T81" s="132"/>
      <c r="U81" s="132"/>
      <c r="V81" s="132"/>
      <c r="W81" s="132">
        <v>30576</v>
      </c>
      <c r="X81" s="132">
        <v>31733</v>
      </c>
      <c r="Y81" s="132">
        <v>32168.981033755594</v>
      </c>
      <c r="Z81" s="132">
        <v>33851.491580808084</v>
      </c>
      <c r="AA81" s="2340">
        <v>34665.669401199993</v>
      </c>
      <c r="AB81" s="2340">
        <v>35626.669633809041</v>
      </c>
      <c r="AC81" s="2340">
        <v>36121.601461540493</v>
      </c>
      <c r="AD81" s="2340">
        <v>36596.736819421865</v>
      </c>
      <c r="AE81" s="2340">
        <v>36943.877373963645</v>
      </c>
      <c r="AF81" s="2340">
        <v>38347.196370184975</v>
      </c>
      <c r="AG81" s="2340">
        <v>39403.879308612319</v>
      </c>
      <c r="AH81" s="2340">
        <v>40603.087279081134</v>
      </c>
      <c r="AI81" s="2340">
        <v>41549.343358939099</v>
      </c>
      <c r="AJ81" s="2340">
        <v>43073.397243863503</v>
      </c>
      <c r="AK81" s="2340">
        <v>44048.041874084709</v>
      </c>
      <c r="AL81" s="2340">
        <v>45264.005510146453</v>
      </c>
      <c r="AM81" s="2340">
        <v>46454.710355481948</v>
      </c>
      <c r="AN81" s="2340">
        <v>47323.458080348828</v>
      </c>
      <c r="AO81" s="2340">
        <v>47707.407702948003</v>
      </c>
      <c r="AP81" s="2340">
        <v>48220.46528989997</v>
      </c>
      <c r="AQ81" s="2340">
        <v>48712.312328044689</v>
      </c>
      <c r="AR81" s="2340">
        <v>49265.473053865309</v>
      </c>
      <c r="AS81" s="2340">
        <v>48707.500283466688</v>
      </c>
      <c r="AT81" s="2340">
        <v>48146.185426263299</v>
      </c>
      <c r="AU81" s="2340">
        <v>47386.178679196571</v>
      </c>
      <c r="AV81" s="2340">
        <v>47654.177377102198</v>
      </c>
      <c r="AW81" s="2340">
        <v>48568.091291956887</v>
      </c>
      <c r="AX81" s="2340">
        <v>50058.093234118911</v>
      </c>
      <c r="AY81" s="2340">
        <v>51294.913052359429</v>
      </c>
      <c r="AZ81" s="2340">
        <v>51359.409455551424</v>
      </c>
      <c r="BA81" s="2340">
        <v>51450.050770311733</v>
      </c>
      <c r="BB81" s="2340">
        <v>52179.745944571041</v>
      </c>
      <c r="BC81" s="2340">
        <v>52585.079001936436</v>
      </c>
      <c r="BD81" s="2340">
        <v>53241.454835702694</v>
      </c>
      <c r="BE81" s="2340">
        <v>53733.7285990327</v>
      </c>
      <c r="BF81" s="2340">
        <v>54433.317423350287</v>
      </c>
      <c r="BG81" s="2340">
        <v>54854.45712354283</v>
      </c>
      <c r="BH81" s="2340">
        <v>55710.057538906316</v>
      </c>
      <c r="BI81" s="2340">
        <v>56318.021879293796</v>
      </c>
      <c r="BJ81" s="2340">
        <v>56999.365782444183</v>
      </c>
      <c r="BK81" s="2340">
        <v>57715.847250706742</v>
      </c>
      <c r="BL81" s="2340">
        <v>58570.269159055963</v>
      </c>
      <c r="BM81" s="2340">
        <v>59390.179070255013</v>
      </c>
      <c r="BN81" s="2340">
        <v>60150.510896383144</v>
      </c>
      <c r="BO81" s="2340">
        <v>60840.81981852543</v>
      </c>
      <c r="BP81" s="2340">
        <v>61469.817670024298</v>
      </c>
      <c r="BQ81" s="2340">
        <v>62090.68624930724</v>
      </c>
      <c r="BR81" s="2340">
        <v>62669.060403398609</v>
      </c>
      <c r="BS81" s="2340">
        <v>63125.975810417869</v>
      </c>
      <c r="BT81" s="2340">
        <v>63682.334833337256</v>
      </c>
      <c r="BU81" s="2340">
        <v>64156.484965874683</v>
      </c>
      <c r="BV81" s="2340">
        <v>64744.573885412006</v>
      </c>
      <c r="BW81" s="2340">
        <v>65262.517125687416</v>
      </c>
      <c r="BX81" s="2340">
        <v>65829.218197844806</v>
      </c>
      <c r="BY81" s="2340">
        <v>66410.86716038904</v>
      </c>
      <c r="BZ81" s="2340">
        <v>67075.18801484631</v>
      </c>
      <c r="CA81" s="2340">
        <v>67638.755372859494</v>
      </c>
      <c r="CB81" s="2340">
        <v>68116.845878064123</v>
      </c>
      <c r="CC81" s="2340">
        <v>68709.349880206981</v>
      </c>
      <c r="CD81" s="2340">
        <v>69253.596272655937</v>
      </c>
      <c r="CE81" s="2340">
        <v>69765.7987134672</v>
      </c>
      <c r="CF81" s="2340">
        <v>70335.289795457807</v>
      </c>
      <c r="CG81" s="2340">
        <v>70840.524087454396</v>
      </c>
      <c r="CH81" s="2340">
        <v>71353.093667130524</v>
      </c>
      <c r="CI81" s="2340">
        <v>71901.641536893119</v>
      </c>
      <c r="CJ81" s="2340">
        <v>72344.248015952806</v>
      </c>
      <c r="CK81" s="2340">
        <v>72811.675369850433</v>
      </c>
      <c r="CL81" s="2340">
        <v>73342.07190548045</v>
      </c>
      <c r="CM81" s="2340">
        <v>73784.587198677342</v>
      </c>
      <c r="CN81" s="2340">
        <v>74245.581744680982</v>
      </c>
      <c r="CO81" s="2340">
        <v>74734.067500939331</v>
      </c>
      <c r="CP81" s="2340">
        <v>75179.941857753656</v>
      </c>
      <c r="CQ81" s="2340">
        <v>75628.142294842677</v>
      </c>
      <c r="CR81" s="2340">
        <v>76015.396876305356</v>
      </c>
      <c r="CS81" s="2340">
        <v>76458.346900580262</v>
      </c>
      <c r="CT81" s="2340">
        <v>76854.217718405955</v>
      </c>
      <c r="CU81" s="2340">
        <v>77261.092981601381</v>
      </c>
      <c r="CV81" s="2340">
        <v>77646.083713280605</v>
      </c>
      <c r="CW81" s="2340">
        <v>78006.306799573882</v>
      </c>
      <c r="CX81" s="2340">
        <v>78407.989255446853</v>
      </c>
      <c r="CY81" s="2340">
        <v>78751.065901032722</v>
      </c>
      <c r="CZ81" s="2340">
        <v>79121.128143833979</v>
      </c>
      <c r="DA81" s="2340">
        <v>79458.897280605088</v>
      </c>
      <c r="DB81" s="2340">
        <v>79844.822194085689</v>
      </c>
      <c r="DC81" s="2340">
        <v>80180.118154460186</v>
      </c>
      <c r="DD81" s="2340">
        <v>80520.791312611953</v>
      </c>
      <c r="DE81" s="2340">
        <v>80849.984970178484</v>
      </c>
      <c r="DF81" s="2340">
        <v>81199.394299780848</v>
      </c>
      <c r="DG81" s="2340">
        <v>81526.696865178048</v>
      </c>
      <c r="DH81" s="2340">
        <v>81841.108191841849</v>
      </c>
      <c r="DI81" s="2340">
        <v>82150.440417113365</v>
      </c>
      <c r="DJ81" s="2340">
        <v>82486.525195850569</v>
      </c>
      <c r="DK81" s="2340">
        <v>82787.353901872702</v>
      </c>
      <c r="DL81" s="2340">
        <v>83071.182601806955</v>
      </c>
      <c r="DM81" s="2340">
        <v>83371.58233953263</v>
      </c>
      <c r="DN81" s="2340">
        <v>83643.954447005672</v>
      </c>
      <c r="DO81" s="2340">
        <v>83943.047933975045</v>
      </c>
      <c r="DP81" s="2340">
        <v>84228.087050932663</v>
      </c>
      <c r="DQ81" s="2340">
        <v>84498.929079436566</v>
      </c>
      <c r="DR81" s="2340">
        <v>84791.317608798141</v>
      </c>
      <c r="DS81" s="2340">
        <v>85047.143362089526</v>
      </c>
      <c r="DT81" s="2340">
        <v>85320.401164428986</v>
      </c>
      <c r="DU81" s="2340">
        <v>85588.785360576003</v>
      </c>
    </row>
    <row r="82" spans="1:125" ht="12.75">
      <c r="A82" s="131">
        <v>80</v>
      </c>
      <c r="B82" s="132"/>
      <c r="C82" s="132"/>
      <c r="D82" s="132"/>
      <c r="E82" s="132"/>
      <c r="F82" s="132"/>
      <c r="G82" s="132"/>
      <c r="H82" s="132"/>
      <c r="I82" s="132"/>
      <c r="J82" s="132"/>
      <c r="K82" s="132"/>
      <c r="L82" s="132"/>
      <c r="M82" s="132"/>
      <c r="N82" s="132"/>
      <c r="O82" s="132"/>
      <c r="P82" s="132"/>
      <c r="Q82" s="132"/>
      <c r="R82" s="132"/>
      <c r="S82" s="132"/>
      <c r="T82" s="132"/>
      <c r="U82" s="132"/>
      <c r="V82" s="132"/>
      <c r="W82" s="132">
        <v>28438</v>
      </c>
      <c r="X82" s="132">
        <v>29568</v>
      </c>
      <c r="Y82" s="132">
        <v>29930.710622355964</v>
      </c>
      <c r="Z82" s="132">
        <v>31644.836327349865</v>
      </c>
      <c r="AA82" s="2340">
        <v>32438.27457446816</v>
      </c>
      <c r="AB82" s="2340">
        <v>33423.373628396948</v>
      </c>
      <c r="AC82" s="2340">
        <v>33965.430165697013</v>
      </c>
      <c r="AD82" s="2340">
        <v>34340.926068895576</v>
      </c>
      <c r="AE82" s="2340">
        <v>34673.169150763933</v>
      </c>
      <c r="AF82" s="2340">
        <v>36082.498574723519</v>
      </c>
      <c r="AG82" s="2340">
        <v>37085.000336224781</v>
      </c>
      <c r="AH82" s="2340">
        <v>38272.348244577486</v>
      </c>
      <c r="AI82" s="2340">
        <v>39183.394177494782</v>
      </c>
      <c r="AJ82" s="2340">
        <v>40772.138124025056</v>
      </c>
      <c r="AK82" s="2340">
        <v>41684.066413593959</v>
      </c>
      <c r="AL82" s="2340">
        <v>42972.095924160669</v>
      </c>
      <c r="AM82" s="2340">
        <v>44092.607035580193</v>
      </c>
      <c r="AN82" s="2340">
        <v>44931.388725368255</v>
      </c>
      <c r="AO82" s="2340">
        <v>45369.32357854279</v>
      </c>
      <c r="AP82" s="2340">
        <v>45889.210044950691</v>
      </c>
      <c r="AQ82" s="2340">
        <v>46235.074642895735</v>
      </c>
      <c r="AR82" s="2340">
        <v>46764.42594477535</v>
      </c>
      <c r="AS82" s="2340">
        <v>46251.217558509939</v>
      </c>
      <c r="AT82" s="2340">
        <v>45756.9516854596</v>
      </c>
      <c r="AU82" s="2340">
        <v>45072.182242652554</v>
      </c>
      <c r="AV82" s="2340">
        <v>45364.226225980165</v>
      </c>
      <c r="AW82" s="2340">
        <v>46271.464005947855</v>
      </c>
      <c r="AX82" s="2340">
        <v>47728.779271494277</v>
      </c>
      <c r="AY82" s="2340">
        <v>48946.133442111779</v>
      </c>
      <c r="AZ82" s="2340">
        <v>49045.202286650652</v>
      </c>
      <c r="BA82" s="2340">
        <v>49168.751488244416</v>
      </c>
      <c r="BB82" s="2340">
        <v>49903.01002480356</v>
      </c>
      <c r="BC82" s="2340">
        <v>50327.268582637735</v>
      </c>
      <c r="BD82" s="2340">
        <v>50991.938769220389</v>
      </c>
      <c r="BE82" s="2340">
        <v>51499.639931499674</v>
      </c>
      <c r="BF82" s="2340">
        <v>52207.878432421261</v>
      </c>
      <c r="BG82" s="2340">
        <v>52649.194723625471</v>
      </c>
      <c r="BH82" s="2340">
        <v>53507.742623928352</v>
      </c>
      <c r="BI82" s="2340">
        <v>54128.79552902509</v>
      </c>
      <c r="BJ82" s="2340">
        <v>54820.598928402665</v>
      </c>
      <c r="BK82" s="2340">
        <v>55546.479033194824</v>
      </c>
      <c r="BL82" s="2340">
        <v>56405.493583415198</v>
      </c>
      <c r="BM82" s="2340">
        <v>57231.700427623684</v>
      </c>
      <c r="BN82" s="2340">
        <v>58000.850263941931</v>
      </c>
      <c r="BO82" s="2340">
        <v>58702.743999686929</v>
      </c>
      <c r="BP82" s="2340">
        <v>59345.656669960008</v>
      </c>
      <c r="BQ82" s="2340">
        <v>59980.846707743985</v>
      </c>
      <c r="BR82" s="2340">
        <v>60575.075180665095</v>
      </c>
      <c r="BS82" s="2340">
        <v>61051.893462410677</v>
      </c>
      <c r="BT82" s="2340">
        <v>61624.860954272888</v>
      </c>
      <c r="BU82" s="2340">
        <v>62118.254092558585</v>
      </c>
      <c r="BV82" s="2340">
        <v>62721.956888245913</v>
      </c>
      <c r="BW82" s="2340">
        <v>63257.714800188456</v>
      </c>
      <c r="BX82" s="2340">
        <v>63840.725977606031</v>
      </c>
      <c r="BY82" s="2340">
        <v>64438.254520854913</v>
      </c>
      <c r="BZ82" s="2340">
        <v>65116.063582472183</v>
      </c>
      <c r="CA82" s="2340">
        <v>65696.111506536341</v>
      </c>
      <c r="CB82" s="2340">
        <v>66193.091703602026</v>
      </c>
      <c r="CC82" s="2340">
        <v>66801.21818169461</v>
      </c>
      <c r="CD82" s="2340">
        <v>67362.418741842688</v>
      </c>
      <c r="CE82" s="2340">
        <v>67892.400935550555</v>
      </c>
      <c r="CF82" s="2340">
        <v>68478.091942396219</v>
      </c>
      <c r="CG82" s="2340">
        <v>69001.175179213518</v>
      </c>
      <c r="CH82" s="2340">
        <v>69531.327540685917</v>
      </c>
      <c r="CI82" s="2340">
        <v>70096.479954776485</v>
      </c>
      <c r="CJ82" s="2340">
        <v>70558.259158959729</v>
      </c>
      <c r="CK82" s="2340">
        <v>71044.119199365712</v>
      </c>
      <c r="CL82" s="2340">
        <v>71591.327142042253</v>
      </c>
      <c r="CM82" s="2340">
        <v>72052.647468354582</v>
      </c>
      <c r="CN82" s="2340">
        <v>72531.880156714702</v>
      </c>
      <c r="CO82" s="2340">
        <v>73037.85341172693</v>
      </c>
      <c r="CP82" s="2340">
        <v>73502.059554942083</v>
      </c>
      <c r="CQ82" s="2340">
        <v>73968.400989716465</v>
      </c>
      <c r="CR82" s="2340">
        <v>74374.973314861389</v>
      </c>
      <c r="CS82" s="2340">
        <v>74835.876447038114</v>
      </c>
      <c r="CT82" s="2340">
        <v>75250.540127088345</v>
      </c>
      <c r="CU82" s="2340">
        <v>75675.80683800226</v>
      </c>
      <c r="CV82" s="2340">
        <v>76079.463111464866</v>
      </c>
      <c r="CW82" s="2340">
        <v>76458.661418220639</v>
      </c>
      <c r="CX82" s="2340">
        <v>76878.313027649405</v>
      </c>
      <c r="CY82" s="2340">
        <v>77240.314160892172</v>
      </c>
      <c r="CZ82" s="2340">
        <v>77628.586026715042</v>
      </c>
      <c r="DA82" s="2340">
        <v>77984.976576671586</v>
      </c>
      <c r="DB82" s="2340">
        <v>78388.438508244231</v>
      </c>
      <c r="DC82" s="2340">
        <v>78742.004529772399</v>
      </c>
      <c r="DD82" s="2340">
        <v>79100.648550367332</v>
      </c>
      <c r="DE82" s="2340">
        <v>79447.812695033062</v>
      </c>
      <c r="DF82" s="2340">
        <v>79814.643312601911</v>
      </c>
      <c r="DG82" s="2340">
        <v>80159.546753797069</v>
      </c>
      <c r="DH82" s="2340">
        <v>80491.569568565013</v>
      </c>
      <c r="DI82" s="2340">
        <v>80818.388430202001</v>
      </c>
      <c r="DJ82" s="2340">
        <v>81171.325350173589</v>
      </c>
      <c r="DK82" s="2340">
        <v>81489.367318314326</v>
      </c>
      <c r="DL82" s="2340">
        <v>81790.463000037344</v>
      </c>
      <c r="DM82" s="2340">
        <v>82107.66355258679</v>
      </c>
      <c r="DN82" s="2340">
        <v>82397.050087046853</v>
      </c>
      <c r="DO82" s="2340">
        <v>82712.550301369178</v>
      </c>
      <c r="DP82" s="2340">
        <v>83013.998266415554</v>
      </c>
      <c r="DQ82" s="2340">
        <v>83301.245276482907</v>
      </c>
      <c r="DR82" s="2340">
        <v>83609.528952054927</v>
      </c>
      <c r="DS82" s="2340">
        <v>83881.553864875503</v>
      </c>
      <c r="DT82" s="2340">
        <v>84170.564255325182</v>
      </c>
      <c r="DU82" s="2340">
        <v>84454.564368071995</v>
      </c>
    </row>
    <row r="83" spans="1:125" ht="12.75">
      <c r="A83" s="131">
        <v>81</v>
      </c>
      <c r="B83" s="132"/>
      <c r="C83" s="132"/>
      <c r="D83" s="132"/>
      <c r="E83" s="132"/>
      <c r="F83" s="132"/>
      <c r="G83" s="132"/>
      <c r="H83" s="132"/>
      <c r="I83" s="132"/>
      <c r="J83" s="132"/>
      <c r="K83" s="132"/>
      <c r="L83" s="132"/>
      <c r="M83" s="132"/>
      <c r="N83" s="132"/>
      <c r="O83" s="132"/>
      <c r="P83" s="132"/>
      <c r="Q83" s="132"/>
      <c r="R83" s="132"/>
      <c r="S83" s="132"/>
      <c r="T83" s="132"/>
      <c r="U83" s="132"/>
      <c r="V83" s="132"/>
      <c r="W83" s="132">
        <v>26271</v>
      </c>
      <c r="X83" s="132">
        <v>27291</v>
      </c>
      <c r="Y83" s="132">
        <v>27735.061535849261</v>
      </c>
      <c r="Z83" s="132">
        <v>29407.374694588056</v>
      </c>
      <c r="AA83" s="2340">
        <v>30241.408440351413</v>
      </c>
      <c r="AB83" s="2340">
        <v>31177.400676720863</v>
      </c>
      <c r="AC83" s="2340">
        <v>31648.236752077522</v>
      </c>
      <c r="AD83" s="2340">
        <v>31988.911525926429</v>
      </c>
      <c r="AE83" s="2340">
        <v>32390.257528887159</v>
      </c>
      <c r="AF83" s="2340">
        <v>33742.172017223224</v>
      </c>
      <c r="AG83" s="2340">
        <v>34738.505603393824</v>
      </c>
      <c r="AH83" s="2340">
        <v>35847.142658139957</v>
      </c>
      <c r="AI83" s="2340">
        <v>36841.668544757369</v>
      </c>
      <c r="AJ83" s="2340">
        <v>38297.619152635816</v>
      </c>
      <c r="AK83" s="2340">
        <v>39264.991268717349</v>
      </c>
      <c r="AL83" s="2340">
        <v>40499.631278731198</v>
      </c>
      <c r="AM83" s="2340">
        <v>41608.330002399751</v>
      </c>
      <c r="AN83" s="2340">
        <v>42475.491262263648</v>
      </c>
      <c r="AO83" s="2340">
        <v>42920.425505457373</v>
      </c>
      <c r="AP83" s="2340">
        <v>43245.748262363813</v>
      </c>
      <c r="AQ83" s="2340">
        <v>43624.504353418954</v>
      </c>
      <c r="AR83" s="2340">
        <v>44154.973147930657</v>
      </c>
      <c r="AS83" s="2340">
        <v>43710.529986010624</v>
      </c>
      <c r="AT83" s="2340">
        <v>43282.49740943763</v>
      </c>
      <c r="AU83" s="2340">
        <v>42672.657733280823</v>
      </c>
      <c r="AV83" s="2340">
        <v>42986.705191910318</v>
      </c>
      <c r="AW83" s="2340">
        <v>43884.101567852143</v>
      </c>
      <c r="AX83" s="2340">
        <v>45304.516465174573</v>
      </c>
      <c r="AY83" s="2340">
        <v>46498.693647825923</v>
      </c>
      <c r="AZ83" s="2340">
        <v>46630.940206787614</v>
      </c>
      <c r="BA83" s="2340">
        <v>46786.040765215272</v>
      </c>
      <c r="BB83" s="2340">
        <v>47522.3184429514</v>
      </c>
      <c r="BC83" s="2340">
        <v>47963.668423753152</v>
      </c>
      <c r="BD83" s="2340">
        <v>48634.358814503721</v>
      </c>
      <c r="BE83" s="2340">
        <v>49157.419308183868</v>
      </c>
      <c r="BF83" s="2340">
        <v>49872.171468553177</v>
      </c>
      <c r="BG83" s="2340">
        <v>50332.158914359767</v>
      </c>
      <c r="BH83" s="2340">
        <v>51191.327751808785</v>
      </c>
      <c r="BI83" s="2340">
        <v>51823.711398324907</v>
      </c>
      <c r="BJ83" s="2340">
        <v>52524.128296224277</v>
      </c>
      <c r="BK83" s="2340">
        <v>53257.549843763889</v>
      </c>
      <c r="BL83" s="2340">
        <v>54119.07401383893</v>
      </c>
      <c r="BM83" s="2340">
        <v>54949.625620555904</v>
      </c>
      <c r="BN83" s="2340">
        <v>55725.824655425764</v>
      </c>
      <c r="BO83" s="2340">
        <v>56437.739682158448</v>
      </c>
      <c r="BP83" s="2340">
        <v>57093.19051572201</v>
      </c>
      <c r="BQ83" s="2340">
        <v>57741.400532601561</v>
      </c>
      <c r="BR83" s="2340">
        <v>58350.327817093574</v>
      </c>
      <c r="BS83" s="2340">
        <v>58846.202930069354</v>
      </c>
      <c r="BT83" s="2340">
        <v>59434.780364702769</v>
      </c>
      <c r="BU83" s="2340">
        <v>59946.642821939065</v>
      </c>
      <c r="BV83" s="2340">
        <v>60565.001572954789</v>
      </c>
      <c r="BW83" s="2340">
        <v>61117.813464904466</v>
      </c>
      <c r="BX83" s="2340">
        <v>61716.323641690062</v>
      </c>
      <c r="BY83" s="2340">
        <v>62328.93960606608</v>
      </c>
      <c r="BZ83" s="2340">
        <v>63019.323987258227</v>
      </c>
      <c r="CA83" s="2340">
        <v>63615.194664495684</v>
      </c>
      <c r="CB83" s="2340">
        <v>64130.627455106958</v>
      </c>
      <c r="CC83" s="2340">
        <v>64753.7514801496</v>
      </c>
      <c r="CD83" s="2340">
        <v>65331.423807279614</v>
      </c>
      <c r="CE83" s="2340">
        <v>65878.810975241839</v>
      </c>
      <c r="CF83" s="2340">
        <v>66480.254155634917</v>
      </c>
      <c r="CG83" s="2340">
        <v>67020.908125430928</v>
      </c>
      <c r="CH83" s="2340">
        <v>67568.38992093454</v>
      </c>
      <c r="CI83" s="2340">
        <v>68149.861264446168</v>
      </c>
      <c r="CJ83" s="2340">
        <v>68630.773129339577</v>
      </c>
      <c r="CK83" s="2340">
        <v>69135.012426141097</v>
      </c>
      <c r="CL83" s="2340">
        <v>69698.89114719948</v>
      </c>
      <c r="CM83" s="2340">
        <v>70179.079590307636</v>
      </c>
      <c r="CN83" s="2340">
        <v>70676.610137060008</v>
      </c>
      <c r="CO83" s="2340">
        <v>71200.109915445297</v>
      </c>
      <c r="CP83" s="2340">
        <v>71682.79815737532</v>
      </c>
      <c r="CQ83" s="2340">
        <v>72167.455661948494</v>
      </c>
      <c r="CR83" s="2340">
        <v>72593.662011419961</v>
      </c>
      <c r="CS83" s="2340">
        <v>73072.757743576309</v>
      </c>
      <c r="CT83" s="2340">
        <v>73506.566042156774</v>
      </c>
      <c r="CU83" s="2340">
        <v>73950.580149046669</v>
      </c>
      <c r="CV83" s="2340">
        <v>74373.320815225132</v>
      </c>
      <c r="CW83" s="2340">
        <v>74771.979445587538</v>
      </c>
      <c r="CX83" s="2340">
        <v>75210.032579539518</v>
      </c>
      <c r="CY83" s="2340">
        <v>75591.514273806912</v>
      </c>
      <c r="CZ83" s="2340">
        <v>75998.523379802849</v>
      </c>
      <c r="DA83" s="2340">
        <v>76374.137085028909</v>
      </c>
      <c r="DB83" s="2340">
        <v>76795.672282256666</v>
      </c>
      <c r="DC83" s="2340">
        <v>77168.147807268469</v>
      </c>
      <c r="DD83" s="2340">
        <v>77545.408349267556</v>
      </c>
      <c r="DE83" s="2340">
        <v>77911.222432242896</v>
      </c>
      <c r="DF83" s="2340">
        <v>78296.134169093741</v>
      </c>
      <c r="DG83" s="2340">
        <v>78659.348037715987</v>
      </c>
      <c r="DH83" s="2340">
        <v>79009.725060094133</v>
      </c>
      <c r="DI83" s="2340">
        <v>79354.792721713369</v>
      </c>
      <c r="DJ83" s="2340">
        <v>79725.312072479908</v>
      </c>
      <c r="DK83" s="2340">
        <v>80061.363752081961</v>
      </c>
      <c r="DL83" s="2340">
        <v>80380.558440232271</v>
      </c>
      <c r="DM83" s="2340">
        <v>80715.374382833921</v>
      </c>
      <c r="DN83" s="2340">
        <v>81022.64068657087</v>
      </c>
      <c r="DO83" s="2340">
        <v>81355.379313012105</v>
      </c>
      <c r="DP83" s="2340">
        <v>81674.09579061855</v>
      </c>
      <c r="DQ83" s="2340">
        <v>81978.634508721749</v>
      </c>
      <c r="DR83" s="2340">
        <v>82303.673702114756</v>
      </c>
      <c r="DS83" s="2340">
        <v>82592.816465302501</v>
      </c>
      <c r="DT83" s="2340">
        <v>82898.476986856214</v>
      </c>
      <c r="DU83" s="2340">
        <v>83199.001405934163</v>
      </c>
    </row>
    <row r="84" spans="1:125" ht="12.75">
      <c r="A84" s="131">
        <v>82</v>
      </c>
      <c r="B84" s="132"/>
      <c r="C84" s="132"/>
      <c r="D84" s="132"/>
      <c r="E84" s="132"/>
      <c r="F84" s="132"/>
      <c r="G84" s="132"/>
      <c r="H84" s="132"/>
      <c r="I84" s="132"/>
      <c r="J84" s="132"/>
      <c r="K84" s="132"/>
      <c r="L84" s="132"/>
      <c r="M84" s="132"/>
      <c r="N84" s="132"/>
      <c r="O84" s="132"/>
      <c r="P84" s="132"/>
      <c r="Q84" s="132"/>
      <c r="R84" s="132"/>
      <c r="S84" s="132"/>
      <c r="T84" s="132"/>
      <c r="U84" s="132"/>
      <c r="V84" s="132"/>
      <c r="W84" s="132">
        <v>24066</v>
      </c>
      <c r="X84" s="132">
        <v>25092</v>
      </c>
      <c r="Y84" s="132">
        <v>25525.788509440419</v>
      </c>
      <c r="Z84" s="132">
        <v>27191.600345296061</v>
      </c>
      <c r="AA84" s="2340">
        <v>27967.115553185715</v>
      </c>
      <c r="AB84" s="2340">
        <v>28847.104463653606</v>
      </c>
      <c r="AC84" s="2340">
        <v>29246.092584062291</v>
      </c>
      <c r="AD84" s="2340">
        <v>29652.102396697846</v>
      </c>
      <c r="AE84" s="2340">
        <v>30020.662543564642</v>
      </c>
      <c r="AF84" s="2340">
        <v>31341.830180504025</v>
      </c>
      <c r="AG84" s="2340">
        <v>32227.841083913048</v>
      </c>
      <c r="AH84" s="2340">
        <v>33405.70465592057</v>
      </c>
      <c r="AI84" s="2340">
        <v>34316.893932181811</v>
      </c>
      <c r="AJ84" s="2340">
        <v>35792.333516032966</v>
      </c>
      <c r="AK84" s="2340">
        <v>36673.201885990129</v>
      </c>
      <c r="AL84" s="2340">
        <v>37937.451926110734</v>
      </c>
      <c r="AM84" s="2340">
        <v>39042.046461295125</v>
      </c>
      <c r="AN84" s="2340">
        <v>39915.672770968442</v>
      </c>
      <c r="AO84" s="2340">
        <v>40202.944468364694</v>
      </c>
      <c r="AP84" s="2340">
        <v>40471.68153165259</v>
      </c>
      <c r="AQ84" s="2340">
        <v>40913.329697460911</v>
      </c>
      <c r="AR84" s="2340">
        <v>41452.364799224444</v>
      </c>
      <c r="AS84" s="2340">
        <v>41075.61832194301</v>
      </c>
      <c r="AT84" s="2340">
        <v>40712.87803537451</v>
      </c>
      <c r="AU84" s="2340">
        <v>40177.588060942908</v>
      </c>
      <c r="AV84" s="2340">
        <v>40511.315132359203</v>
      </c>
      <c r="AW84" s="2340">
        <v>41395.283254026654</v>
      </c>
      <c r="AX84" s="2340">
        <v>42774.030222810929</v>
      </c>
      <c r="AY84" s="2340">
        <v>43940.816208445831</v>
      </c>
      <c r="AZ84" s="2340">
        <v>44104.612702064849</v>
      </c>
      <c r="BA84" s="2340">
        <v>44289.674691279157</v>
      </c>
      <c r="BB84" s="2340">
        <v>45025.04501723477</v>
      </c>
      <c r="BC84" s="2340">
        <v>45481.350710969687</v>
      </c>
      <c r="BD84" s="2340">
        <v>46157.447955309239</v>
      </c>
      <c r="BE84" s="2340">
        <v>46693.772392109022</v>
      </c>
      <c r="BF84" s="2340">
        <v>47412.540925407207</v>
      </c>
      <c r="BG84" s="2340">
        <v>47889.406974999292</v>
      </c>
      <c r="BH84" s="2340">
        <v>48746.476675636637</v>
      </c>
      <c r="BI84" s="2340">
        <v>49388.107074110638</v>
      </c>
      <c r="BJ84" s="2340">
        <v>50094.950593332491</v>
      </c>
      <c r="BK84" s="2340">
        <v>50833.710539957363</v>
      </c>
      <c r="BL84" s="2340">
        <v>51695.282801914262</v>
      </c>
      <c r="BM84" s="2340">
        <v>52527.861751431563</v>
      </c>
      <c r="BN84" s="2340">
        <v>53308.996508800068</v>
      </c>
      <c r="BO84" s="2340">
        <v>54029.04870140725</v>
      </c>
      <c r="BP84" s="2340">
        <v>54695.362688619774</v>
      </c>
      <c r="BQ84" s="2340">
        <v>55355.000728566418</v>
      </c>
      <c r="BR84" s="2340">
        <v>55977.198526237276</v>
      </c>
      <c r="BS84" s="2340">
        <v>56491.051952693342</v>
      </c>
      <c r="BT84" s="2340">
        <v>57093.986457920968</v>
      </c>
      <c r="BU84" s="2340">
        <v>57623.319826676998</v>
      </c>
      <c r="BV84" s="2340">
        <v>58255.125577317551</v>
      </c>
      <c r="BW84" s="2340">
        <v>58824.006063079425</v>
      </c>
      <c r="BX84" s="2340">
        <v>59436.971647160615</v>
      </c>
      <c r="BY84" s="2340">
        <v>60063.65227451246</v>
      </c>
      <c r="BZ84" s="2340">
        <v>60765.450648026643</v>
      </c>
      <c r="CA84" s="2340">
        <v>61376.273328315787</v>
      </c>
      <c r="CB84" s="2340">
        <v>61909.539934479399</v>
      </c>
      <c r="CC84" s="2340">
        <v>62546.827745314156</v>
      </c>
      <c r="CD84" s="2340">
        <v>63140.300983239962</v>
      </c>
      <c r="CE84" s="2340">
        <v>63704.54554874912</v>
      </c>
      <c r="CF84" s="2340">
        <v>64321.109759584477</v>
      </c>
      <c r="CG84" s="2340">
        <v>64878.897933939079</v>
      </c>
      <c r="CH84" s="2340">
        <v>65443.301508014963</v>
      </c>
      <c r="CI84" s="2340">
        <v>66040.647399974376</v>
      </c>
      <c r="CJ84" s="2340">
        <v>66540.530306135479</v>
      </c>
      <c r="CK84" s="2340">
        <v>67062.97257771359</v>
      </c>
      <c r="CL84" s="2340">
        <v>67643.246057059601</v>
      </c>
      <c r="CM84" s="2340">
        <v>68142.261972558903</v>
      </c>
      <c r="CN84" s="2340">
        <v>68658.046737683821</v>
      </c>
      <c r="CO84" s="2340">
        <v>69199.00639721613</v>
      </c>
      <c r="CP84" s="2340">
        <v>69700.239481506331</v>
      </c>
      <c r="CQ84" s="2340">
        <v>70203.30543180785</v>
      </c>
      <c r="CR84" s="2340">
        <v>70649.402547710779</v>
      </c>
      <c r="CS84" s="2340">
        <v>71146.860007589814</v>
      </c>
      <c r="CT84" s="2340">
        <v>71600.113197029481</v>
      </c>
      <c r="CU84" s="2340">
        <v>72063.181121494563</v>
      </c>
      <c r="CV84" s="2340">
        <v>72505.386831823562</v>
      </c>
      <c r="CW84" s="2340">
        <v>72923.964683243539</v>
      </c>
      <c r="CX84" s="2340">
        <v>73380.818466859142</v>
      </c>
      <c r="CY84" s="2340">
        <v>73782.324933327356</v>
      </c>
      <c r="CZ84" s="2340">
        <v>74208.583939985576</v>
      </c>
      <c r="DA84" s="2340">
        <v>74604.021165176746</v>
      </c>
      <c r="DB84" s="2340">
        <v>75044.155323749917</v>
      </c>
      <c r="DC84" s="2340">
        <v>75436.187699358721</v>
      </c>
      <c r="DD84" s="2340">
        <v>75832.720944356144</v>
      </c>
      <c r="DE84" s="2340">
        <v>76217.882135403517</v>
      </c>
      <c r="DF84" s="2340">
        <v>76621.550880521492</v>
      </c>
      <c r="DG84" s="2340">
        <v>77003.810683895863</v>
      </c>
      <c r="DH84" s="2340">
        <v>77373.317788880988</v>
      </c>
      <c r="DI84" s="2340">
        <v>77737.434502231758</v>
      </c>
      <c r="DJ84" s="2340">
        <v>78126.300913206185</v>
      </c>
      <c r="DK84" s="2340">
        <v>78481.205954420817</v>
      </c>
      <c r="DL84" s="2340">
        <v>78819.386623417711</v>
      </c>
      <c r="DM84" s="2340">
        <v>79172.686184047736</v>
      </c>
      <c r="DN84" s="2340">
        <v>79498.761653349764</v>
      </c>
      <c r="DO84" s="2340">
        <v>79849.630315294082</v>
      </c>
      <c r="DP84" s="2340">
        <v>80186.541407505356</v>
      </c>
      <c r="DQ84" s="2340">
        <v>80509.331373462293</v>
      </c>
      <c r="DR84" s="2340">
        <v>80852.056338804861</v>
      </c>
      <c r="DS84" s="2340">
        <v>81159.317387342366</v>
      </c>
      <c r="DT84" s="2340">
        <v>81482.605284676931</v>
      </c>
      <c r="DU84" s="2340">
        <v>81800.645656844266</v>
      </c>
    </row>
    <row r="85" spans="1:125" ht="12.75">
      <c r="A85" s="131">
        <v>83</v>
      </c>
      <c r="B85" s="132"/>
      <c r="C85" s="132"/>
      <c r="D85" s="132"/>
      <c r="E85" s="132"/>
      <c r="F85" s="132"/>
      <c r="G85" s="132"/>
      <c r="H85" s="132"/>
      <c r="I85" s="132"/>
      <c r="J85" s="132"/>
      <c r="K85" s="132"/>
      <c r="L85" s="132"/>
      <c r="M85" s="132"/>
      <c r="N85" s="132"/>
      <c r="O85" s="132"/>
      <c r="P85" s="132"/>
      <c r="Q85" s="132"/>
      <c r="R85" s="132"/>
      <c r="S85" s="132"/>
      <c r="T85" s="132"/>
      <c r="U85" s="132"/>
      <c r="V85" s="132"/>
      <c r="W85" s="132">
        <v>21925</v>
      </c>
      <c r="X85" s="132">
        <v>22886</v>
      </c>
      <c r="Y85" s="132">
        <v>23355.359612129636</v>
      </c>
      <c r="Z85" s="132">
        <v>24942.14944209555</v>
      </c>
      <c r="AA85" s="2340">
        <v>25641.443121276978</v>
      </c>
      <c r="AB85" s="2340">
        <v>26452.038995207709</v>
      </c>
      <c r="AC85" s="2340">
        <v>26923.750916585584</v>
      </c>
      <c r="AD85" s="2340">
        <v>27231.829239698149</v>
      </c>
      <c r="AE85" s="2340">
        <v>27610.825007242613</v>
      </c>
      <c r="AF85" s="2340">
        <v>28791.797072676858</v>
      </c>
      <c r="AG85" s="2340">
        <v>29767.174025864952</v>
      </c>
      <c r="AH85" s="2340">
        <v>30820.952252381019</v>
      </c>
      <c r="AI85" s="2340">
        <v>31749.905792404385</v>
      </c>
      <c r="AJ85" s="2340">
        <v>33137.695492291758</v>
      </c>
      <c r="AK85" s="2340">
        <v>34033.143684072558</v>
      </c>
      <c r="AL85" s="2340">
        <v>35313.949947997855</v>
      </c>
      <c r="AM85" s="2340">
        <v>36408.27286892409</v>
      </c>
      <c r="AN85" s="2340">
        <v>37098.064271056122</v>
      </c>
      <c r="AO85" s="2340">
        <v>37359.432815080814</v>
      </c>
      <c r="AP85" s="2340">
        <v>37652.319565529207</v>
      </c>
      <c r="AQ85" s="2340">
        <v>38105.144981868187</v>
      </c>
      <c r="AR85" s="2340">
        <v>38649.052935558611</v>
      </c>
      <c r="AS85" s="2340">
        <v>38338.664493431046</v>
      </c>
      <c r="AT85" s="2340">
        <v>38040.016732378972</v>
      </c>
      <c r="AU85" s="2340">
        <v>37578.68704566465</v>
      </c>
      <c r="AV85" s="2340">
        <v>37929.390998061834</v>
      </c>
      <c r="AW85" s="2340">
        <v>38795.846521966247</v>
      </c>
      <c r="AX85" s="2340">
        <v>40127.542871036603</v>
      </c>
      <c r="AY85" s="2340">
        <v>41262.147351845138</v>
      </c>
      <c r="AZ85" s="2340">
        <v>41455.525959095801</v>
      </c>
      <c r="BA85" s="2340">
        <v>41668.621015579578</v>
      </c>
      <c r="BB85" s="2340">
        <v>42399.685174606246</v>
      </c>
      <c r="BC85" s="2340">
        <v>42870.65458409056</v>
      </c>
      <c r="BD85" s="2340">
        <v>43549.174940241966</v>
      </c>
      <c r="BE85" s="2340">
        <v>44096.254724442028</v>
      </c>
      <c r="BF85" s="2340">
        <v>44816.084327371733</v>
      </c>
      <c r="BG85" s="2340">
        <v>45307.648659212224</v>
      </c>
      <c r="BH85" s="2340">
        <v>46159.409861403677</v>
      </c>
      <c r="BI85" s="2340">
        <v>46807.778072179281</v>
      </c>
      <c r="BJ85" s="2340">
        <v>47518.422133645567</v>
      </c>
      <c r="BK85" s="2340">
        <v>48259.873232938677</v>
      </c>
      <c r="BL85" s="2340">
        <v>49118.555351755778</v>
      </c>
      <c r="BM85" s="2340">
        <v>49950.380116326523</v>
      </c>
      <c r="BN85" s="2340">
        <v>50733.89322159611</v>
      </c>
      <c r="BO85" s="2340">
        <v>51459.778645407736</v>
      </c>
      <c r="BP85" s="2340">
        <v>52134.883621915178</v>
      </c>
      <c r="BQ85" s="2340">
        <v>52803.968927594935</v>
      </c>
      <c r="BR85" s="2340">
        <v>53437.63863139788</v>
      </c>
      <c r="BS85" s="2340">
        <v>53968.063568579448</v>
      </c>
      <c r="BT85" s="2340">
        <v>54583.752240166519</v>
      </c>
      <c r="BU85" s="2340">
        <v>55129.23947109138</v>
      </c>
      <c r="BV85" s="2340">
        <v>55772.938000774389</v>
      </c>
      <c r="BW85" s="2340">
        <v>56356.584582766038</v>
      </c>
      <c r="BX85" s="2340">
        <v>56982.637409247312</v>
      </c>
      <c r="BY85" s="2340">
        <v>57622.037988184493</v>
      </c>
      <c r="BZ85" s="2340">
        <v>58333.748757597124</v>
      </c>
      <c r="CA85" s="2340">
        <v>58958.350624642881</v>
      </c>
      <c r="CB85" s="2340">
        <v>59508.564241986634</v>
      </c>
      <c r="CC85" s="2340">
        <v>60158.885805240832</v>
      </c>
      <c r="CD85" s="2340">
        <v>60767.215341484909</v>
      </c>
      <c r="CE85" s="2340">
        <v>61347.513572175019</v>
      </c>
      <c r="CF85" s="2340">
        <v>61978.300833671914</v>
      </c>
      <c r="CG85" s="2340">
        <v>62552.547725968368</v>
      </c>
      <c r="CH85" s="2340">
        <v>63133.231620244915</v>
      </c>
      <c r="CI85" s="2340">
        <v>63745.769788697165</v>
      </c>
      <c r="CJ85" s="2340">
        <v>64264.265659133838</v>
      </c>
      <c r="CK85" s="2340">
        <v>64804.537638590948</v>
      </c>
      <c r="CL85" s="2340">
        <v>65400.719921803859</v>
      </c>
      <c r="CM85" s="2340">
        <v>65918.34838994038</v>
      </c>
      <c r="CN85" s="2340">
        <v>66452.170745246302</v>
      </c>
      <c r="CO85" s="2340">
        <v>67010.348934278562</v>
      </c>
      <c r="CP85" s="2340">
        <v>67530.035791059592</v>
      </c>
      <c r="CQ85" s="2340">
        <v>68051.455023869348</v>
      </c>
      <c r="CR85" s="2340">
        <v>68517.578788142884</v>
      </c>
      <c r="CS85" s="2340">
        <v>69033.435053692418</v>
      </c>
      <c r="CT85" s="2340">
        <v>69506.323343919197</v>
      </c>
      <c r="CU85" s="2340">
        <v>69988.644527517143</v>
      </c>
      <c r="CV85" s="2340">
        <v>70450.602558606959</v>
      </c>
      <c r="CW85" s="2340">
        <v>70889.479553771176</v>
      </c>
      <c r="CX85" s="2340">
        <v>71365.447082602623</v>
      </c>
      <c r="CY85" s="2340">
        <v>71787.461539251395</v>
      </c>
      <c r="CZ85" s="2340">
        <v>72233.419500440345</v>
      </c>
      <c r="DA85" s="2340">
        <v>72649.233279605643</v>
      </c>
      <c r="DB85" s="2340">
        <v>73108.435201927248</v>
      </c>
      <c r="DC85" s="2340">
        <v>73520.636731251841</v>
      </c>
      <c r="DD85" s="2340">
        <v>73937.067661568624</v>
      </c>
      <c r="DE85" s="2340">
        <v>74342.250998859483</v>
      </c>
      <c r="DF85" s="2340">
        <v>74765.329444802308</v>
      </c>
      <c r="DG85" s="2340">
        <v>75167.359655886932</v>
      </c>
      <c r="DH85" s="2340">
        <v>75556.770773684912</v>
      </c>
      <c r="DI85" s="2340">
        <v>75940.741339114116</v>
      </c>
      <c r="DJ85" s="2340">
        <v>76348.720476538656</v>
      </c>
      <c r="DK85" s="2340">
        <v>76723.339184740602</v>
      </c>
      <c r="DL85" s="2340">
        <v>77081.419214901165</v>
      </c>
      <c r="DM85" s="2340">
        <v>77454.096321019388</v>
      </c>
      <c r="DN85" s="2340">
        <v>77799.948878504321</v>
      </c>
      <c r="DO85" s="2340">
        <v>78169.873728094812</v>
      </c>
      <c r="DP85" s="2340">
        <v>78525.948366333614</v>
      </c>
      <c r="DQ85" s="2340">
        <v>78868.000116348165</v>
      </c>
      <c r="DR85" s="2340">
        <v>79229.389432825177</v>
      </c>
      <c r="DS85" s="2340">
        <v>79555.832086169787</v>
      </c>
      <c r="DT85" s="2340">
        <v>79897.785834172944</v>
      </c>
      <c r="DU85" s="2340">
        <v>80234.399903710364</v>
      </c>
    </row>
    <row r="86" spans="1:125" ht="12.75">
      <c r="A86" s="131">
        <v>84</v>
      </c>
      <c r="B86" s="132"/>
      <c r="C86" s="132"/>
      <c r="D86" s="132"/>
      <c r="E86" s="132"/>
      <c r="F86" s="132"/>
      <c r="G86" s="132"/>
      <c r="H86" s="132"/>
      <c r="I86" s="132"/>
      <c r="J86" s="132"/>
      <c r="K86" s="132"/>
      <c r="L86" s="132"/>
      <c r="M86" s="132"/>
      <c r="N86" s="132"/>
      <c r="O86" s="132"/>
      <c r="P86" s="132"/>
      <c r="Q86" s="132"/>
      <c r="R86" s="132"/>
      <c r="S86" s="132"/>
      <c r="T86" s="132"/>
      <c r="U86" s="132"/>
      <c r="V86" s="132"/>
      <c r="W86" s="132">
        <v>19775</v>
      </c>
      <c r="X86" s="132">
        <v>20692</v>
      </c>
      <c r="Y86" s="132">
        <v>21206.400939472387</v>
      </c>
      <c r="Z86" s="132">
        <v>22678.161864760834</v>
      </c>
      <c r="AA86" s="2340">
        <v>23326.529968234241</v>
      </c>
      <c r="AB86" s="2340">
        <v>24122.327607844789</v>
      </c>
      <c r="AC86" s="2340">
        <v>24529.58405430413</v>
      </c>
      <c r="AD86" s="2340">
        <v>24803.008870388683</v>
      </c>
      <c r="AE86" s="2340">
        <v>25089.754837205273</v>
      </c>
      <c r="AF86" s="2340">
        <v>26310.343115321615</v>
      </c>
      <c r="AG86" s="2340">
        <v>27167.700727473792</v>
      </c>
      <c r="AH86" s="2340">
        <v>28218.340716882118</v>
      </c>
      <c r="AI86" s="2340">
        <v>29123.027667100287</v>
      </c>
      <c r="AJ86" s="2340">
        <v>30453.615474611226</v>
      </c>
      <c r="AK86" s="2340">
        <v>31380.267914368585</v>
      </c>
      <c r="AL86" s="2340">
        <v>32604.113952755706</v>
      </c>
      <c r="AM86" s="2340">
        <v>33508.041208895273</v>
      </c>
      <c r="AN86" s="2340">
        <v>34146.083169949605</v>
      </c>
      <c r="AO86" s="2340">
        <v>34427.512875266184</v>
      </c>
      <c r="AP86" s="2340">
        <v>34739.642287694231</v>
      </c>
      <c r="AQ86" s="2340">
        <v>35199.563565826284</v>
      </c>
      <c r="AR86" s="2340">
        <v>35744.113475075865</v>
      </c>
      <c r="AS86" s="2340">
        <v>35498.235029098818</v>
      </c>
      <c r="AT86" s="2340">
        <v>35261.989319970067</v>
      </c>
      <c r="AU86" s="2340">
        <v>34873.568954882692</v>
      </c>
      <c r="AV86" s="2340">
        <v>35238.046480836667</v>
      </c>
      <c r="AW86" s="2340">
        <v>36082.361323433623</v>
      </c>
      <c r="AX86" s="2340">
        <v>37361.024294782408</v>
      </c>
      <c r="AY86" s="2340">
        <v>38458.059293651429</v>
      </c>
      <c r="AZ86" s="2340">
        <v>38678.556837135955</v>
      </c>
      <c r="BA86" s="2340">
        <v>38917.266532789297</v>
      </c>
      <c r="BB86" s="2340">
        <v>39642.554855753806</v>
      </c>
      <c r="BC86" s="2340">
        <v>40125.214192403655</v>
      </c>
      <c r="BD86" s="2340">
        <v>40802.615023669641</v>
      </c>
      <c r="BE86" s="2340">
        <v>41357.405701255724</v>
      </c>
      <c r="BF86" s="2340">
        <v>42074.778187251017</v>
      </c>
      <c r="BG86" s="2340">
        <v>42578.341613852812</v>
      </c>
      <c r="BH86" s="2340">
        <v>43421.000555301114</v>
      </c>
      <c r="BI86" s="2340">
        <v>44073.054826599495</v>
      </c>
      <c r="BJ86" s="2340">
        <v>44784.320782306</v>
      </c>
      <c r="BK86" s="2340">
        <v>45525.259332599722</v>
      </c>
      <c r="BL86" s="2340">
        <v>46377.532429900035</v>
      </c>
      <c r="BM86" s="2340">
        <v>47205.248815482031</v>
      </c>
      <c r="BN86" s="2340">
        <v>47988.02458355113</v>
      </c>
      <c r="BO86" s="2340">
        <v>48716.899186859373</v>
      </c>
      <c r="BP86" s="2340">
        <v>49398.200846626038</v>
      </c>
      <c r="BQ86" s="2340">
        <v>50074.237881412955</v>
      </c>
      <c r="BR86" s="2340">
        <v>50717.081859413905</v>
      </c>
      <c r="BS86" s="2340">
        <v>51262.207997670099</v>
      </c>
      <c r="BT86" s="2340">
        <v>51888.568329689158</v>
      </c>
      <c r="BU86" s="2340">
        <v>52448.440416580808</v>
      </c>
      <c r="BV86" s="2340">
        <v>53102.004808391262</v>
      </c>
      <c r="BW86" s="2340">
        <v>53698.66761395838</v>
      </c>
      <c r="BX86" s="2340">
        <v>54335.987287154458</v>
      </c>
      <c r="BY86" s="2340">
        <v>54986.314523737019</v>
      </c>
      <c r="BZ86" s="2340">
        <v>55705.97266407797</v>
      </c>
      <c r="CA86" s="2340">
        <v>56342.752375369353</v>
      </c>
      <c r="CB86" s="2340">
        <v>56908.629623760593</v>
      </c>
      <c r="CC86" s="2340">
        <v>57570.434611172437</v>
      </c>
      <c r="CD86" s="2340">
        <v>58192.277357343948</v>
      </c>
      <c r="CE86" s="2340">
        <v>58787.444718580438</v>
      </c>
      <c r="CF86" s="2340">
        <v>59431.168034669667</v>
      </c>
      <c r="CG86" s="2340">
        <v>60020.836499025107</v>
      </c>
      <c r="CH86" s="2340">
        <v>60616.804095598833</v>
      </c>
      <c r="CI86" s="2340">
        <v>61243.494894413496</v>
      </c>
      <c r="CJ86" s="2340">
        <v>61779.929045893048</v>
      </c>
      <c r="CK86" s="2340">
        <v>62337.342225049062</v>
      </c>
      <c r="CL86" s="2340">
        <v>62948.621467093057</v>
      </c>
      <c r="CM86" s="2340">
        <v>63484.357580343865</v>
      </c>
      <c r="CN86" s="2340">
        <v>64035.71397037054</v>
      </c>
      <c r="CO86" s="2340">
        <v>64610.582469366156</v>
      </c>
      <c r="CP86" s="2340">
        <v>65148.36723685982</v>
      </c>
      <c r="CQ86" s="2340">
        <v>65687.827709466626</v>
      </c>
      <c r="CR86" s="2340">
        <v>66173.885185409163</v>
      </c>
      <c r="CS86" s="2340">
        <v>66707.93928922333</v>
      </c>
      <c r="CT86" s="2340">
        <v>67200.438434551761</v>
      </c>
      <c r="CU86" s="2340">
        <v>67702.002742238314</v>
      </c>
      <c r="CV86" s="2340">
        <v>68183.806197815051</v>
      </c>
      <c r="CW86" s="2340">
        <v>68643.184376340054</v>
      </c>
      <c r="CX86" s="2340">
        <v>69138.395533502277</v>
      </c>
      <c r="CY86" s="2340">
        <v>69581.245094380953</v>
      </c>
      <c r="CZ86" s="2340">
        <v>70047.194091380559</v>
      </c>
      <c r="DA86" s="2340">
        <v>70483.798837674636</v>
      </c>
      <c r="DB86" s="2340">
        <v>70962.39064188562</v>
      </c>
      <c r="DC86" s="2340">
        <v>71395.251059203976</v>
      </c>
      <c r="DD86" s="2340">
        <v>71832.087760650233</v>
      </c>
      <c r="DE86" s="2340">
        <v>72257.862444093043</v>
      </c>
      <c r="DF86" s="2340">
        <v>72700.897996380168</v>
      </c>
      <c r="DG86" s="2340">
        <v>73123.332071556142</v>
      </c>
      <c r="DH86" s="2340">
        <v>73533.341227601049</v>
      </c>
      <c r="DI86" s="2340">
        <v>73937.898954724951</v>
      </c>
      <c r="DJ86" s="2340">
        <v>74365.682888997166</v>
      </c>
      <c r="DK86" s="2340">
        <v>74760.819953865823</v>
      </c>
      <c r="DL86" s="2340">
        <v>75139.668967051068</v>
      </c>
      <c r="DM86" s="2340">
        <v>75532.574590352699</v>
      </c>
      <c r="DN86" s="2340">
        <v>75899.144329441799</v>
      </c>
      <c r="DO86" s="2340">
        <v>76289.020947503508</v>
      </c>
      <c r="DP86" s="2340">
        <v>76665.207802835808</v>
      </c>
      <c r="DQ86" s="2340">
        <v>77027.521798552756</v>
      </c>
      <c r="DR86" s="2340">
        <v>77408.542544793017</v>
      </c>
      <c r="DS86" s="2340">
        <v>77755.235661032333</v>
      </c>
      <c r="DT86" s="2340">
        <v>78116.898901625173</v>
      </c>
      <c r="DU86" s="2340">
        <v>78473.156198604876</v>
      </c>
    </row>
    <row r="87" spans="1:125" ht="12.75">
      <c r="A87" s="131">
        <v>85</v>
      </c>
      <c r="B87" s="132"/>
      <c r="C87" s="132"/>
      <c r="D87" s="132"/>
      <c r="E87" s="132"/>
      <c r="F87" s="132"/>
      <c r="G87" s="132"/>
      <c r="H87" s="132"/>
      <c r="I87" s="132"/>
      <c r="J87" s="132"/>
      <c r="K87" s="132"/>
      <c r="L87" s="132"/>
      <c r="M87" s="132"/>
      <c r="N87" s="132"/>
      <c r="O87" s="132"/>
      <c r="P87" s="132"/>
      <c r="Q87" s="132"/>
      <c r="R87" s="132"/>
      <c r="S87" s="132"/>
      <c r="T87" s="132"/>
      <c r="U87" s="132"/>
      <c r="V87" s="132"/>
      <c r="W87" s="132">
        <v>17664</v>
      </c>
      <c r="X87" s="132">
        <v>18604</v>
      </c>
      <c r="Y87" s="132">
        <v>19050.220879921151</v>
      </c>
      <c r="Z87" s="132">
        <v>20389.84192662669</v>
      </c>
      <c r="AA87" s="2340">
        <v>20999.379199018294</v>
      </c>
      <c r="AB87" s="2340">
        <v>21741.762244334172</v>
      </c>
      <c r="AC87" s="2340">
        <v>22098.668082715765</v>
      </c>
      <c r="AD87" s="2340">
        <v>22303.523790347408</v>
      </c>
      <c r="AE87" s="2340">
        <v>22687.050386103114</v>
      </c>
      <c r="AF87" s="2340">
        <v>23710.671723713469</v>
      </c>
      <c r="AG87" s="2340">
        <v>24626.208784694492</v>
      </c>
      <c r="AH87" s="2340">
        <v>25551.854788112247</v>
      </c>
      <c r="AI87" s="2340">
        <v>26419.705121404928</v>
      </c>
      <c r="AJ87" s="2340">
        <v>27755.095371895433</v>
      </c>
      <c r="AK87" s="2340">
        <v>28646.263012588795</v>
      </c>
      <c r="AL87" s="2340">
        <v>29650.359280470897</v>
      </c>
      <c r="AM87" s="2340">
        <v>30512.60804931193</v>
      </c>
      <c r="AN87" s="2340">
        <v>31116.507107181707</v>
      </c>
      <c r="AO87" s="2340">
        <v>31415.297761590915</v>
      </c>
      <c r="AP87" s="2340">
        <v>31742.239940326072</v>
      </c>
      <c r="AQ87" s="2340">
        <v>32204.566876845405</v>
      </c>
      <c r="AR87" s="2340">
        <v>32744.930480186864</v>
      </c>
      <c r="AS87" s="2340">
        <v>32560.960344155774</v>
      </c>
      <c r="AT87" s="2340">
        <v>32384.697053814794</v>
      </c>
      <c r="AU87" s="2340">
        <v>32067.405715586472</v>
      </c>
      <c r="AV87" s="2340">
        <v>32441.849729027046</v>
      </c>
      <c r="AW87" s="2340">
        <v>33258.845532448533</v>
      </c>
      <c r="AX87" s="2340">
        <v>34477.966083916908</v>
      </c>
      <c r="AY87" s="2340">
        <v>35531.472769847518</v>
      </c>
      <c r="AZ87" s="2340">
        <v>35775.980621716757</v>
      </c>
      <c r="BA87" s="2340">
        <v>36039.967139396278</v>
      </c>
      <c r="BB87" s="2340">
        <v>36754.97691180402</v>
      </c>
      <c r="BC87" s="2340">
        <v>37245.702817432582</v>
      </c>
      <c r="BD87" s="2340">
        <v>37917.794579506597</v>
      </c>
      <c r="BE87" s="2340">
        <v>38476.603552800865</v>
      </c>
      <c r="BF87" s="2340">
        <v>39187.349055435239</v>
      </c>
      <c r="BG87" s="2340">
        <v>39699.567455996243</v>
      </c>
      <c r="BH87" s="2340">
        <v>40528.669272832514</v>
      </c>
      <c r="BI87" s="2340">
        <v>41180.705684742032</v>
      </c>
      <c r="BJ87" s="2340">
        <v>41888.758510472071</v>
      </c>
      <c r="BK87" s="2340">
        <v>42625.321415593658</v>
      </c>
      <c r="BL87" s="2340">
        <v>43466.994492412763</v>
      </c>
      <c r="BM87" s="2340">
        <v>44286.576945147695</v>
      </c>
      <c r="BN87" s="2340">
        <v>45064.833477209366</v>
      </c>
      <c r="BO87" s="2340">
        <v>45793.195681034049</v>
      </c>
      <c r="BP87" s="2340">
        <v>46477.452248370544</v>
      </c>
      <c r="BQ87" s="2340">
        <v>47157.302904181321</v>
      </c>
      <c r="BR87" s="2340">
        <v>47806.391469521928</v>
      </c>
      <c r="BS87" s="2340">
        <v>48363.740612960122</v>
      </c>
      <c r="BT87" s="2340">
        <v>48998.073797776262</v>
      </c>
      <c r="BU87" s="2340">
        <v>49569.965844039303</v>
      </c>
      <c r="BV87" s="2340">
        <v>50230.760872065541</v>
      </c>
      <c r="BW87" s="2340">
        <v>50838.101182038874</v>
      </c>
      <c r="BX87" s="2340">
        <v>51484.276717769833</v>
      </c>
      <c r="BY87" s="2340">
        <v>52143.150931222182</v>
      </c>
      <c r="BZ87" s="2340">
        <v>52868.195081039019</v>
      </c>
      <c r="CA87" s="2340">
        <v>53514.982879141207</v>
      </c>
      <c r="CB87" s="2340">
        <v>54094.698720025903</v>
      </c>
      <c r="CC87" s="2340">
        <v>54765.878302499499</v>
      </c>
      <c r="CD87" s="2340">
        <v>55399.351773514063</v>
      </c>
      <c r="CE87" s="2340">
        <v>56007.680574816914</v>
      </c>
      <c r="CF87" s="2340">
        <v>56662.524868552064</v>
      </c>
      <c r="CG87" s="2340">
        <v>57266.07427793221</v>
      </c>
      <c r="CH87" s="2340">
        <v>57875.832944601272</v>
      </c>
      <c r="CI87" s="2340">
        <v>58515.140698367941</v>
      </c>
      <c r="CJ87" s="2340">
        <v>59068.379503537115</v>
      </c>
      <c r="CK87" s="2340">
        <v>59641.789846067077</v>
      </c>
      <c r="CL87" s="2340">
        <v>60266.891335447901</v>
      </c>
      <c r="CM87" s="2340">
        <v>60819.801091469177</v>
      </c>
      <c r="CN87" s="2340">
        <v>61387.76376876641</v>
      </c>
      <c r="CO87" s="2340">
        <v>61978.372266610779</v>
      </c>
      <c r="CP87" s="2340">
        <v>62533.499043919663</v>
      </c>
      <c r="CQ87" s="2340">
        <v>63090.298013605265</v>
      </c>
      <c r="CR87" s="2340">
        <v>63595.833562095715</v>
      </c>
      <c r="CS87" s="2340">
        <v>64147.51548956678</v>
      </c>
      <c r="CT87" s="2340">
        <v>64659.25630981259</v>
      </c>
      <c r="CU87" s="2340">
        <v>65179.715426146104</v>
      </c>
      <c r="CV87" s="2340">
        <v>65681.135921803041</v>
      </c>
      <c r="CW87" s="2340">
        <v>66160.913501808609</v>
      </c>
      <c r="CX87" s="2340">
        <v>66675.191422589822</v>
      </c>
      <c r="CY87" s="2340">
        <v>67138.924597005011</v>
      </c>
      <c r="CZ87" s="2340">
        <v>67624.87943752986</v>
      </c>
      <c r="DA87" s="2340">
        <v>68082.432209766732</v>
      </c>
      <c r="DB87" s="2340">
        <v>68580.472893558283</v>
      </c>
      <c r="DC87" s="2340">
        <v>69034.244452741143</v>
      </c>
      <c r="DD87" s="2340">
        <v>69491.765190467035</v>
      </c>
      <c r="DE87" s="2340">
        <v>69938.483573269768</v>
      </c>
      <c r="DF87" s="2340">
        <v>70401.80935171491</v>
      </c>
      <c r="DG87" s="2340">
        <v>70845.082649003962</v>
      </c>
      <c r="DH87" s="2340">
        <v>71276.198871651184</v>
      </c>
      <c r="DI87" s="2340">
        <v>71701.902500583135</v>
      </c>
      <c r="DJ87" s="2340">
        <v>72150.008538438196</v>
      </c>
      <c r="DK87" s="2340">
        <v>72566.313964783301</v>
      </c>
      <c r="DL87" s="2340">
        <v>72966.660860117379</v>
      </c>
      <c r="DM87" s="2340">
        <v>73380.507966898484</v>
      </c>
      <c r="DN87" s="2340">
        <v>73768.614307999043</v>
      </c>
      <c r="DO87" s="2340">
        <v>74179.216640551502</v>
      </c>
      <c r="DP87" s="2340">
        <v>74576.355155089332</v>
      </c>
      <c r="DQ87" s="2340">
        <v>74959.8349377579</v>
      </c>
      <c r="DR87" s="2340">
        <v>75361.357559116426</v>
      </c>
      <c r="DS87" s="2340">
        <v>75729.292794199238</v>
      </c>
      <c r="DT87" s="2340">
        <v>76111.633315115803</v>
      </c>
      <c r="DU87" s="2340">
        <v>76488.536117280702</v>
      </c>
    </row>
    <row r="88" spans="1:125" ht="12.75">
      <c r="A88" s="131">
        <v>86</v>
      </c>
      <c r="B88" s="132"/>
      <c r="C88" s="132"/>
      <c r="D88" s="132"/>
      <c r="E88" s="132"/>
      <c r="F88" s="132"/>
      <c r="G88" s="132"/>
      <c r="H88" s="132"/>
      <c r="I88" s="132"/>
      <c r="J88" s="132"/>
      <c r="K88" s="132"/>
      <c r="L88" s="132"/>
      <c r="M88" s="132"/>
      <c r="N88" s="132"/>
      <c r="O88" s="132"/>
      <c r="P88" s="132"/>
      <c r="Q88" s="132"/>
      <c r="R88" s="132"/>
      <c r="S88" s="132"/>
      <c r="T88" s="132"/>
      <c r="U88" s="132"/>
      <c r="V88" s="132"/>
      <c r="W88" s="132">
        <v>15676</v>
      </c>
      <c r="X88" s="132">
        <v>16501</v>
      </c>
      <c r="Y88" s="132">
        <v>16871.923762388196</v>
      </c>
      <c r="Z88" s="132">
        <v>18180.053916766141</v>
      </c>
      <c r="AA88" s="2340">
        <v>18686.909272958274</v>
      </c>
      <c r="AB88" s="2340">
        <v>19374.277919721299</v>
      </c>
      <c r="AC88" s="2340">
        <v>19621.51203945998</v>
      </c>
      <c r="AD88" s="2340">
        <v>19908.448637158039</v>
      </c>
      <c r="AE88" s="2340">
        <v>20178.615753094324</v>
      </c>
      <c r="AF88" s="2340">
        <v>21207.652977458823</v>
      </c>
      <c r="AG88" s="2340">
        <v>21985.360400979273</v>
      </c>
      <c r="AH88" s="2340">
        <v>22855.850078149007</v>
      </c>
      <c r="AI88" s="2340">
        <v>23780.295093957266</v>
      </c>
      <c r="AJ88" s="2340">
        <v>25028.693746571393</v>
      </c>
      <c r="AK88" s="2340">
        <v>25664.890672300251</v>
      </c>
      <c r="AL88" s="2340">
        <v>26658.817650237655</v>
      </c>
      <c r="AM88" s="2340">
        <v>27445.682728122723</v>
      </c>
      <c r="AN88" s="2340">
        <v>28030.848329410102</v>
      </c>
      <c r="AO88" s="2340">
        <v>28341.810441402547</v>
      </c>
      <c r="AP88" s="2340">
        <v>28678.435771525656</v>
      </c>
      <c r="AQ88" s="2340">
        <v>29137.847180517776</v>
      </c>
      <c r="AR88" s="2340">
        <v>29668.593686080854</v>
      </c>
      <c r="AS88" s="2340">
        <v>29542.953643094377</v>
      </c>
      <c r="AT88" s="2340">
        <v>29423.304225086442</v>
      </c>
      <c r="AU88" s="2340">
        <v>29174.373995764083</v>
      </c>
      <c r="AV88" s="2340">
        <v>29554.308695981308</v>
      </c>
      <c r="AW88" s="2340">
        <v>30338.307181940589</v>
      </c>
      <c r="AX88" s="2340">
        <v>31490.998092164227</v>
      </c>
      <c r="AY88" s="2340">
        <v>32494.538955864649</v>
      </c>
      <c r="AZ88" s="2340">
        <v>32762.151930195068</v>
      </c>
      <c r="BA88" s="2340">
        <v>33047.590186130488</v>
      </c>
      <c r="BB88" s="2340">
        <v>33747.149120921094</v>
      </c>
      <c r="BC88" s="2340">
        <v>34241.578604801201</v>
      </c>
      <c r="BD88" s="2340">
        <v>34903.472325376526</v>
      </c>
      <c r="BE88" s="2340">
        <v>35461.874838402582</v>
      </c>
      <c r="BF88" s="2340">
        <v>36161.116543318778</v>
      </c>
      <c r="BG88" s="2340">
        <v>36677.897121277594</v>
      </c>
      <c r="BH88" s="2340">
        <v>37488.284500542759</v>
      </c>
      <c r="BI88" s="2340">
        <v>38135.862801762894</v>
      </c>
      <c r="BJ88" s="2340">
        <v>38836.133272405896</v>
      </c>
      <c r="BK88" s="2340">
        <v>39563.720586820353</v>
      </c>
      <c r="BL88" s="2340">
        <v>40389.86756565245</v>
      </c>
      <c r="BM88" s="2340">
        <v>41196.546129256407</v>
      </c>
      <c r="BN88" s="2340">
        <v>41965.749346986238</v>
      </c>
      <c r="BO88" s="2340">
        <v>42689.340528504545</v>
      </c>
      <c r="BP88" s="2340">
        <v>43372.551615618184</v>
      </c>
      <c r="BQ88" s="2340">
        <v>44052.31974287155</v>
      </c>
      <c r="BR88" s="2340">
        <v>44703.967458332401</v>
      </c>
      <c r="BS88" s="2340">
        <v>45270.312904282917</v>
      </c>
      <c r="BT88" s="2340">
        <v>45909.172764170246</v>
      </c>
      <c r="BU88" s="2340">
        <v>46489.981529968733</v>
      </c>
      <c r="BV88" s="2340">
        <v>47154.631898647931</v>
      </c>
      <c r="BW88" s="2340">
        <v>47769.580864457574</v>
      </c>
      <c r="BX88" s="2340">
        <v>48421.472782286364</v>
      </c>
      <c r="BY88" s="2340">
        <v>49085.789726475377</v>
      </c>
      <c r="BZ88" s="2340">
        <v>49812.930246579075</v>
      </c>
      <c r="CA88" s="2340">
        <v>50466.844586109844</v>
      </c>
      <c r="CB88" s="2340">
        <v>51057.879908848685</v>
      </c>
      <c r="CC88" s="2340">
        <v>51735.623626086672</v>
      </c>
      <c r="CD88" s="2340">
        <v>52378.157487096403</v>
      </c>
      <c r="CE88" s="2340">
        <v>52997.264960597618</v>
      </c>
      <c r="CF88" s="2340">
        <v>53660.739120613784</v>
      </c>
      <c r="CG88" s="2340">
        <v>54275.971755311126</v>
      </c>
      <c r="CH88" s="2340">
        <v>54897.379473263507</v>
      </c>
      <c r="CI88" s="2340">
        <v>55547.121418270493</v>
      </c>
      <c r="CJ88" s="2340">
        <v>56115.413690227353</v>
      </c>
      <c r="CK88" s="2340">
        <v>56703.064969742329</v>
      </c>
      <c r="CL88" s="2340">
        <v>57340.098723371309</v>
      </c>
      <c r="CM88" s="2340">
        <v>57908.661346211549</v>
      </c>
      <c r="CN88" s="2340">
        <v>58491.722342633875</v>
      </c>
      <c r="CO88" s="2340">
        <v>59096.544500645956</v>
      </c>
      <c r="CP88" s="2340">
        <v>59667.701646838977</v>
      </c>
      <c r="CQ88" s="2340">
        <v>60240.590870157255</v>
      </c>
      <c r="CR88" s="2340">
        <v>60764.629225875491</v>
      </c>
      <c r="CS88" s="2340">
        <v>61332.846751596371</v>
      </c>
      <c r="CT88" s="2340">
        <v>61862.960879863393</v>
      </c>
      <c r="CU88" s="2340">
        <v>62401.475768882876</v>
      </c>
      <c r="CV88" s="2340">
        <v>62921.811277145789</v>
      </c>
      <c r="CW88" s="2340">
        <v>63421.430965328916</v>
      </c>
      <c r="CX88" s="2340">
        <v>63954.143359596877</v>
      </c>
      <c r="CY88" s="2340">
        <v>64438.380825542146</v>
      </c>
      <c r="CZ88" s="2340">
        <v>64943.932349987561</v>
      </c>
      <c r="DA88" s="2340">
        <v>65422.186817835536</v>
      </c>
      <c r="DB88" s="2340">
        <v>65939.329314069138</v>
      </c>
      <c r="DC88" s="2340">
        <v>66413.884156561107</v>
      </c>
      <c r="DD88" s="2340">
        <v>66891.996696525544</v>
      </c>
      <c r="DE88" s="2340">
        <v>67359.655181930604</v>
      </c>
      <c r="DF88" s="2340">
        <v>67843.253212323063</v>
      </c>
      <c r="DG88" s="2340">
        <v>68307.467609124389</v>
      </c>
      <c r="DH88" s="2340">
        <v>68759.881257049929</v>
      </c>
      <c r="DI88" s="2340">
        <v>69206.983189732055</v>
      </c>
      <c r="DJ88" s="2340">
        <v>69675.624470488314</v>
      </c>
      <c r="DK88" s="2340">
        <v>70113.465685263873</v>
      </c>
      <c r="DL88" s="2340">
        <v>70535.772617209266</v>
      </c>
      <c r="DM88" s="2340">
        <v>70971.012391446566</v>
      </c>
      <c r="DN88" s="2340">
        <v>71381.232152030876</v>
      </c>
      <c r="DO88" s="2340">
        <v>71813.092867192754</v>
      </c>
      <c r="DP88" s="2340">
        <v>72231.79560095763</v>
      </c>
      <c r="DQ88" s="2340">
        <v>72637.132183303664</v>
      </c>
      <c r="DR88" s="2340">
        <v>73059.817040037451</v>
      </c>
      <c r="DS88" s="2340">
        <v>73449.797439262111</v>
      </c>
      <c r="DT88" s="2340">
        <v>73853.597891918238</v>
      </c>
      <c r="DU88" s="2340">
        <v>74251.97404085884</v>
      </c>
    </row>
    <row r="89" spans="1:125" ht="12.75">
      <c r="A89" s="131">
        <v>87</v>
      </c>
      <c r="B89" s="132"/>
      <c r="C89" s="132"/>
      <c r="D89" s="132"/>
      <c r="E89" s="132"/>
      <c r="F89" s="132"/>
      <c r="G89" s="132"/>
      <c r="H89" s="132"/>
      <c r="I89" s="132"/>
      <c r="J89" s="132"/>
      <c r="K89" s="132"/>
      <c r="L89" s="132"/>
      <c r="M89" s="132"/>
      <c r="N89" s="132"/>
      <c r="O89" s="132"/>
      <c r="P89" s="132"/>
      <c r="Q89" s="132"/>
      <c r="R89" s="132"/>
      <c r="S89" s="132"/>
      <c r="T89" s="132"/>
      <c r="U89" s="132"/>
      <c r="V89" s="132"/>
      <c r="W89" s="132">
        <v>13673</v>
      </c>
      <c r="X89" s="132">
        <v>14443</v>
      </c>
      <c r="Y89" s="132">
        <v>14815.724684660647</v>
      </c>
      <c r="Z89" s="132">
        <v>15932.651619568658</v>
      </c>
      <c r="AA89" s="2340">
        <v>16361.028037544367</v>
      </c>
      <c r="AB89" s="2340">
        <v>16962.129682542738</v>
      </c>
      <c r="AC89" s="2340">
        <v>17309.32332670199</v>
      </c>
      <c r="AD89" s="2340">
        <v>17443.530857636229</v>
      </c>
      <c r="AE89" s="2340">
        <v>17790.701039610449</v>
      </c>
      <c r="AF89" s="2340">
        <v>18654.143853842786</v>
      </c>
      <c r="AG89" s="2340">
        <v>19429.599698167527</v>
      </c>
      <c r="AH89" s="2340">
        <v>20220.98828194516</v>
      </c>
      <c r="AI89" s="2340">
        <v>21123.83743061986</v>
      </c>
      <c r="AJ89" s="2340">
        <v>22115.472736087238</v>
      </c>
      <c r="AK89" s="2340">
        <v>22707.959047214703</v>
      </c>
      <c r="AL89" s="2340">
        <v>23621.408923600331</v>
      </c>
      <c r="AM89" s="2340">
        <v>24359.178646696098</v>
      </c>
      <c r="AN89" s="2340">
        <v>24919.421994889723</v>
      </c>
      <c r="AO89" s="2340">
        <v>25236.669371987897</v>
      </c>
      <c r="AP89" s="2340">
        <v>25577.165110427715</v>
      </c>
      <c r="AQ89" s="2340">
        <v>26027.76305232706</v>
      </c>
      <c r="AR89" s="2340">
        <v>26542.931049905957</v>
      </c>
      <c r="AS89" s="2340">
        <v>26470.89488491894</v>
      </c>
      <c r="AT89" s="2340">
        <v>26403.369805956081</v>
      </c>
      <c r="AU89" s="2340">
        <v>26218.82556413209</v>
      </c>
      <c r="AV89" s="2340">
        <v>26599.102393681256</v>
      </c>
      <c r="AW89" s="2340">
        <v>27344.052012190339</v>
      </c>
      <c r="AX89" s="2340">
        <v>28423.28772509603</v>
      </c>
      <c r="AY89" s="2340">
        <v>29373.332928375879</v>
      </c>
      <c r="AZ89" s="2340">
        <v>29659.246020140046</v>
      </c>
      <c r="BA89" s="2340">
        <v>29961.418289340967</v>
      </c>
      <c r="BB89" s="2340">
        <v>30639.717824474814</v>
      </c>
      <c r="BC89" s="2340">
        <v>31132.710106262231</v>
      </c>
      <c r="BD89" s="2340">
        <v>31778.822617165184</v>
      </c>
      <c r="BE89" s="2340">
        <v>32331.628437580359</v>
      </c>
      <c r="BF89" s="2340">
        <v>33013.78283571374</v>
      </c>
      <c r="BG89" s="2340">
        <v>33530.224775934053</v>
      </c>
      <c r="BH89" s="2340">
        <v>34316.053633027681</v>
      </c>
      <c r="BI89" s="2340">
        <v>34953.959881566843</v>
      </c>
      <c r="BJ89" s="2340">
        <v>35641.114158804943</v>
      </c>
      <c r="BK89" s="2340">
        <v>36354.358388112421</v>
      </c>
      <c r="BL89" s="2340">
        <v>37159.304934022643</v>
      </c>
      <c r="BM89" s="2340">
        <v>37947.538942578991</v>
      </c>
      <c r="BN89" s="2340">
        <v>38702.359360131806</v>
      </c>
      <c r="BO89" s="2340">
        <v>39416.102642808306</v>
      </c>
      <c r="BP89" s="2340">
        <v>40093.43225728799</v>
      </c>
      <c r="BQ89" s="2340">
        <v>40768.380114939617</v>
      </c>
      <c r="BR89" s="2340">
        <v>41418.05053543816</v>
      </c>
      <c r="BS89" s="2340">
        <v>41989.29850623737</v>
      </c>
      <c r="BT89" s="2340">
        <v>42628.38424649222</v>
      </c>
      <c r="BU89" s="2340">
        <v>43214.144621312145</v>
      </c>
      <c r="BV89" s="2340">
        <v>43878.424503883907</v>
      </c>
      <c r="BW89" s="2340">
        <v>44497.058771917269</v>
      </c>
      <c r="BX89" s="2340">
        <v>45150.67812070599</v>
      </c>
      <c r="BY89" s="2340">
        <v>45816.486544034306</v>
      </c>
      <c r="BZ89" s="2340">
        <v>46541.590626101766</v>
      </c>
      <c r="CA89" s="2340">
        <v>47198.906465926564</v>
      </c>
      <c r="CB89" s="2340">
        <v>47797.902582660623</v>
      </c>
      <c r="CC89" s="2340">
        <v>48478.564671830653</v>
      </c>
      <c r="CD89" s="2340">
        <v>49126.758415932127</v>
      </c>
      <c r="CE89" s="2340">
        <v>49753.438241041789</v>
      </c>
      <c r="CF89" s="2340">
        <v>50422.231161227384</v>
      </c>
      <c r="CG89" s="2340">
        <v>51046.13884577826</v>
      </c>
      <c r="CH89" s="2340">
        <v>51676.249933675739</v>
      </c>
      <c r="CI89" s="2340">
        <v>52333.444130281772</v>
      </c>
      <c r="CJ89" s="2340">
        <v>52914.256474099937</v>
      </c>
      <c r="CK89" s="2340">
        <v>53513.617171218168</v>
      </c>
      <c r="CL89" s="2340">
        <v>54159.919986495763</v>
      </c>
      <c r="CM89" s="2340">
        <v>54741.860532244245</v>
      </c>
      <c r="CN89" s="2340">
        <v>55337.765392448389</v>
      </c>
      <c r="CO89" s="2340">
        <v>55954.534463745986</v>
      </c>
      <c r="CP89" s="2340">
        <v>56539.685983349416</v>
      </c>
      <c r="CQ89" s="2340">
        <v>57126.703057354418</v>
      </c>
      <c r="CR89" s="2340">
        <v>57667.57563671461</v>
      </c>
      <c r="CS89" s="2340">
        <v>58250.545235967867</v>
      </c>
      <c r="CT89" s="2340">
        <v>58797.492586973654</v>
      </c>
      <c r="CU89" s="2340">
        <v>59352.56218013099</v>
      </c>
      <c r="CV89" s="2340">
        <v>59890.46464707105</v>
      </c>
      <c r="CW89" s="2340">
        <v>60408.740242049149</v>
      </c>
      <c r="CX89" s="2340">
        <v>60958.629531884995</v>
      </c>
      <c r="CY89" s="2340">
        <v>61462.391351031307</v>
      </c>
      <c r="CZ89" s="2340">
        <v>61986.536341334169</v>
      </c>
      <c r="DA89" s="2340">
        <v>62484.671859361566</v>
      </c>
      <c r="DB89" s="2340">
        <v>63019.995991249714</v>
      </c>
      <c r="DC89" s="2340">
        <v>63514.657503940165</v>
      </c>
      <c r="DD89" s="2340">
        <v>64012.73210157721</v>
      </c>
      <c r="DE89" s="2340">
        <v>64500.804967141499</v>
      </c>
      <c r="DF89" s="2340">
        <v>65004.142420390999</v>
      </c>
      <c r="DG89" s="2340">
        <v>65488.903032185997</v>
      </c>
      <c r="DH89" s="2340">
        <v>65962.323562666948</v>
      </c>
      <c r="DI89" s="2340">
        <v>66430.609110019301</v>
      </c>
      <c r="DJ89" s="2340">
        <v>66919.536587132054</v>
      </c>
      <c r="DK89" s="2340">
        <v>67378.840836386938</v>
      </c>
      <c r="DL89" s="2340">
        <v>67823.146879786145</v>
      </c>
      <c r="DM89" s="2340">
        <v>68279.814834934994</v>
      </c>
      <c r="DN89" s="2340">
        <v>68712.329404400924</v>
      </c>
      <c r="DO89" s="2340">
        <v>69165.589817403568</v>
      </c>
      <c r="DP89" s="2340">
        <v>69606.093946596957</v>
      </c>
      <c r="DQ89" s="2340">
        <v>70033.618975979014</v>
      </c>
      <c r="DR89" s="2340">
        <v>70477.772049748601</v>
      </c>
      <c r="DS89" s="2340">
        <v>70890.269017096623</v>
      </c>
      <c r="DT89" s="2340">
        <v>71315.986351530199</v>
      </c>
      <c r="DU89" s="2340">
        <v>71736.350694903245</v>
      </c>
    </row>
    <row r="90" spans="1:125" ht="12.75">
      <c r="A90" s="131">
        <v>88</v>
      </c>
      <c r="B90" s="132"/>
      <c r="C90" s="132"/>
      <c r="D90" s="132"/>
      <c r="E90" s="132"/>
      <c r="F90" s="132"/>
      <c r="G90" s="132"/>
      <c r="H90" s="132"/>
      <c r="I90" s="132"/>
      <c r="J90" s="132"/>
      <c r="K90" s="132"/>
      <c r="L90" s="132"/>
      <c r="M90" s="132"/>
      <c r="N90" s="132"/>
      <c r="O90" s="132"/>
      <c r="P90" s="132"/>
      <c r="Q90" s="132"/>
      <c r="R90" s="132"/>
      <c r="S90" s="132"/>
      <c r="T90" s="132"/>
      <c r="U90" s="132"/>
      <c r="V90" s="132"/>
      <c r="W90" s="132">
        <v>11773</v>
      </c>
      <c r="X90" s="132">
        <v>12483</v>
      </c>
      <c r="Y90" s="132">
        <v>12761.418021944281</v>
      </c>
      <c r="Z90" s="132">
        <v>13759.543530951505</v>
      </c>
      <c r="AA90" s="2340">
        <v>14085.735730950222</v>
      </c>
      <c r="AB90" s="2340">
        <v>14748.208451296279</v>
      </c>
      <c r="AC90" s="2340">
        <v>14943.539239201675</v>
      </c>
      <c r="AD90" s="2340">
        <v>15165.139096527446</v>
      </c>
      <c r="AE90" s="2340">
        <v>15377.352252145403</v>
      </c>
      <c r="AF90" s="2340">
        <v>16229.901313989565</v>
      </c>
      <c r="AG90" s="2340">
        <v>16968.530604115571</v>
      </c>
      <c r="AH90" s="2340">
        <v>17677.109551455884</v>
      </c>
      <c r="AI90" s="2340">
        <v>18305.785954934119</v>
      </c>
      <c r="AJ90" s="2340">
        <v>19188.234477516668</v>
      </c>
      <c r="AK90" s="2340">
        <v>19777.681006889146</v>
      </c>
      <c r="AL90" s="2340">
        <v>20611.399139617293</v>
      </c>
      <c r="AM90" s="2340">
        <v>21293.997604301239</v>
      </c>
      <c r="AN90" s="2340">
        <v>21822.980803574348</v>
      </c>
      <c r="AO90" s="2340">
        <v>22140.046689540461</v>
      </c>
      <c r="AP90" s="2340">
        <v>22478.03335022023</v>
      </c>
      <c r="AQ90" s="2340">
        <v>22913.495941749505</v>
      </c>
      <c r="AR90" s="2340">
        <v>23406.763369836299</v>
      </c>
      <c r="AS90" s="2340">
        <v>23382.375009092179</v>
      </c>
      <c r="AT90" s="2340">
        <v>23361.276596460379</v>
      </c>
      <c r="AU90" s="2340">
        <v>23235.794517125887</v>
      </c>
      <c r="AV90" s="2340">
        <v>23610.673672310339</v>
      </c>
      <c r="AW90" s="2340">
        <v>24310.369186144904</v>
      </c>
      <c r="AX90" s="2340">
        <v>25312.653872100142</v>
      </c>
      <c r="AY90" s="2340">
        <v>26202.341327588139</v>
      </c>
      <c r="AZ90" s="2340">
        <v>26500.830598274362</v>
      </c>
      <c r="BA90" s="2340">
        <v>26814.113561826409</v>
      </c>
      <c r="BB90" s="2340">
        <v>27464.829389578805</v>
      </c>
      <c r="BC90" s="2340">
        <v>27950.506845595952</v>
      </c>
      <c r="BD90" s="2340">
        <v>28574.648759570413</v>
      </c>
      <c r="BE90" s="2340">
        <v>29115.946174227574</v>
      </c>
      <c r="BF90" s="2340">
        <v>29774.803908893973</v>
      </c>
      <c r="BG90" s="2340">
        <v>30285.21075011752</v>
      </c>
      <c r="BH90" s="2340">
        <v>31040.047300506321</v>
      </c>
      <c r="BI90" s="2340">
        <v>31662.329521916836</v>
      </c>
      <c r="BJ90" s="2340">
        <v>32330.312006265714</v>
      </c>
      <c r="BK90" s="2340">
        <v>33023.119923497921</v>
      </c>
      <c r="BL90" s="2340">
        <v>33800.505267898072</v>
      </c>
      <c r="BM90" s="2340">
        <v>34564.029319881556</v>
      </c>
      <c r="BN90" s="2340">
        <v>35298.367421088798</v>
      </c>
      <c r="BO90" s="2340">
        <v>35996.37087164542</v>
      </c>
      <c r="BP90" s="2340">
        <v>36662.130754462851</v>
      </c>
      <c r="BQ90" s="2340">
        <v>37326.653414748696</v>
      </c>
      <c r="BR90" s="2340">
        <v>37968.91817868573</v>
      </c>
      <c r="BS90" s="2340">
        <v>38540.037117159947</v>
      </c>
      <c r="BT90" s="2340">
        <v>39174.135244493256</v>
      </c>
      <c r="BU90" s="2340">
        <v>39759.940713197466</v>
      </c>
      <c r="BV90" s="2340">
        <v>40418.709246548562</v>
      </c>
      <c r="BW90" s="2340">
        <v>41036.16780054952</v>
      </c>
      <c r="BX90" s="2340">
        <v>41686.596062516423</v>
      </c>
      <c r="BY90" s="2340">
        <v>42349.014590080194</v>
      </c>
      <c r="BZ90" s="2340">
        <v>43067.031727257767</v>
      </c>
      <c r="CA90" s="2340">
        <v>43723.083294535922</v>
      </c>
      <c r="CB90" s="2340">
        <v>44325.725563717468</v>
      </c>
      <c r="CC90" s="2340">
        <v>45004.722743145096</v>
      </c>
      <c r="CD90" s="2340">
        <v>45654.230949845522</v>
      </c>
      <c r="CE90" s="2340">
        <v>46284.329123114614</v>
      </c>
      <c r="CF90" s="2340">
        <v>46954.190326853743</v>
      </c>
      <c r="CG90" s="2340">
        <v>47582.821229557907</v>
      </c>
      <c r="CH90" s="2340">
        <v>48217.750604666246</v>
      </c>
      <c r="CI90" s="2340">
        <v>48878.481899712977</v>
      </c>
      <c r="CJ90" s="2340">
        <v>49468.346190723205</v>
      </c>
      <c r="CK90" s="2340">
        <v>50075.957678358856</v>
      </c>
      <c r="CL90" s="2340">
        <v>50727.947128365282</v>
      </c>
      <c r="CM90" s="2340">
        <v>51320.075946901496</v>
      </c>
      <c r="CN90" s="2340">
        <v>51925.663350235503</v>
      </c>
      <c r="CO90" s="2340">
        <v>52551.213092698723</v>
      </c>
      <c r="CP90" s="2340">
        <v>53147.43210714333</v>
      </c>
      <c r="CQ90" s="2340">
        <v>53745.732437018916</v>
      </c>
      <c r="CR90" s="2340">
        <v>54300.900500884512</v>
      </c>
      <c r="CS90" s="2340">
        <v>54895.975738899157</v>
      </c>
      <c r="CT90" s="2340">
        <v>55457.366310077887</v>
      </c>
      <c r="CU90" s="2340">
        <v>56026.649576398675</v>
      </c>
      <c r="CV90" s="2340">
        <v>56579.943816512052</v>
      </c>
      <c r="CW90" s="2340">
        <v>57114.875945885709</v>
      </c>
      <c r="CX90" s="2340">
        <v>57679.87880802466</v>
      </c>
      <c r="CY90" s="2340">
        <v>58201.397802596104</v>
      </c>
      <c r="CZ90" s="2340">
        <v>58742.35488980887</v>
      </c>
      <c r="DA90" s="2340">
        <v>59258.789379304064</v>
      </c>
      <c r="DB90" s="2340">
        <v>59810.619250708369</v>
      </c>
      <c r="DC90" s="2340">
        <v>60323.975143681047</v>
      </c>
      <c r="DD90" s="2340">
        <v>60840.65850122313</v>
      </c>
      <c r="DE90" s="2340">
        <v>61347.911418919837</v>
      </c>
      <c r="DF90" s="2340">
        <v>61869.756357733939</v>
      </c>
      <c r="DG90" s="2340">
        <v>62373.986229535032</v>
      </c>
      <c r="DH90" s="2340">
        <v>62867.456761707588</v>
      </c>
      <c r="DI90" s="2340">
        <v>63356.059305821691</v>
      </c>
      <c r="DJ90" s="2340">
        <v>63864.379790504245</v>
      </c>
      <c r="DK90" s="2340">
        <v>64344.450856387506</v>
      </c>
      <c r="DL90" s="2340">
        <v>64810.188878129775</v>
      </c>
      <c r="DM90" s="2340">
        <v>65287.724113145545</v>
      </c>
      <c r="DN90" s="2340">
        <v>65742.13841902127</v>
      </c>
      <c r="DO90" s="2340">
        <v>66216.370499756333</v>
      </c>
      <c r="DP90" s="2340">
        <v>66678.360530335805</v>
      </c>
      <c r="DQ90" s="2340">
        <v>67127.869845377849</v>
      </c>
      <c r="DR90" s="2340">
        <v>67593.269047178255</v>
      </c>
      <c r="DS90" s="2340">
        <v>68028.248555691025</v>
      </c>
      <c r="DT90" s="2340">
        <v>68475.842847048028</v>
      </c>
      <c r="DU90" s="2340">
        <v>68918.227644761238</v>
      </c>
    </row>
    <row r="91" spans="1:125" ht="12.75">
      <c r="A91" s="131">
        <v>89</v>
      </c>
      <c r="B91" s="132"/>
      <c r="C91" s="132"/>
      <c r="D91" s="132"/>
      <c r="E91" s="132"/>
      <c r="F91" s="132"/>
      <c r="G91" s="132"/>
      <c r="H91" s="132"/>
      <c r="I91" s="132"/>
      <c r="J91" s="132"/>
      <c r="K91" s="132"/>
      <c r="L91" s="132"/>
      <c r="M91" s="132"/>
      <c r="N91" s="132"/>
      <c r="O91" s="132"/>
      <c r="P91" s="132"/>
      <c r="Q91" s="132"/>
      <c r="R91" s="132"/>
      <c r="S91" s="132"/>
      <c r="T91" s="132"/>
      <c r="U91" s="132"/>
      <c r="V91" s="132"/>
      <c r="W91" s="132">
        <v>10051</v>
      </c>
      <c r="X91" s="132">
        <v>10560</v>
      </c>
      <c r="Y91" s="132">
        <v>10832.178501058806</v>
      </c>
      <c r="Z91" s="132">
        <v>11628.594154225622</v>
      </c>
      <c r="AA91" s="2340">
        <v>12045.775738814662</v>
      </c>
      <c r="AB91" s="2340">
        <v>12519.25775262824</v>
      </c>
      <c r="AC91" s="2340">
        <v>12761.819121573253</v>
      </c>
      <c r="AD91" s="2340">
        <v>12872.494613255807</v>
      </c>
      <c r="AE91" s="2340">
        <v>13083.638565512398</v>
      </c>
      <c r="AF91" s="2340">
        <v>13876.383484995518</v>
      </c>
      <c r="AG91" s="2340">
        <v>14538.14627358572</v>
      </c>
      <c r="AH91" s="2340">
        <v>15063.73740865451</v>
      </c>
      <c r="AI91" s="2340">
        <v>15603.916146449134</v>
      </c>
      <c r="AJ91" s="2340">
        <v>16389.640558430125</v>
      </c>
      <c r="AK91" s="2340">
        <v>16927.868225424234</v>
      </c>
      <c r="AL91" s="2340">
        <v>17677.23416687124</v>
      </c>
      <c r="AM91" s="2340">
        <v>18299.18019939556</v>
      </c>
      <c r="AN91" s="2340">
        <v>18790.742629387343</v>
      </c>
      <c r="AO91" s="2340">
        <v>19100.814603918068</v>
      </c>
      <c r="AP91" s="2340">
        <v>19429.578711413604</v>
      </c>
      <c r="AQ91" s="2340">
        <v>19843.421729463564</v>
      </c>
      <c r="AR91" s="2340">
        <v>20308.381262350493</v>
      </c>
      <c r="AS91" s="2340">
        <v>20324.509885598618</v>
      </c>
      <c r="AT91" s="2340">
        <v>20342.976842299435</v>
      </c>
      <c r="AU91" s="2340">
        <v>20269.874624808308</v>
      </c>
      <c r="AV91" s="2340">
        <v>20633.210755826989</v>
      </c>
      <c r="AW91" s="2340">
        <v>21284.960142465294</v>
      </c>
      <c r="AX91" s="2340">
        <v>22203.911080577753</v>
      </c>
      <c r="AY91" s="2340">
        <v>23026.624469065609</v>
      </c>
      <c r="AZ91" s="2340">
        <v>23331.14836969761</v>
      </c>
      <c r="BA91" s="2340">
        <v>23649.109676922235</v>
      </c>
      <c r="BB91" s="2340">
        <v>24265.622895037643</v>
      </c>
      <c r="BC91" s="2340">
        <v>24737.515032013387</v>
      </c>
      <c r="BD91" s="2340">
        <v>25333.078820520044</v>
      </c>
      <c r="BE91" s="2340">
        <v>25856.378760391937</v>
      </c>
      <c r="BF91" s="2340">
        <v>26485.283889632294</v>
      </c>
      <c r="BG91" s="2340">
        <v>26983.273709696787</v>
      </c>
      <c r="BH91" s="2340">
        <v>27700.288319159954</v>
      </c>
      <c r="BI91" s="2340">
        <v>28300.387801434874</v>
      </c>
      <c r="BJ91" s="2340">
        <v>28942.55871286567</v>
      </c>
      <c r="BK91" s="2340">
        <v>29608.247007229445</v>
      </c>
      <c r="BL91" s="2340">
        <v>30351.179593639627</v>
      </c>
      <c r="BM91" s="2340">
        <v>31083.142218957029</v>
      </c>
      <c r="BN91" s="2340">
        <v>31790.244871173702</v>
      </c>
      <c r="BO91" s="2340">
        <v>32465.89360994277</v>
      </c>
      <c r="BP91" s="2340">
        <v>33113.61312549482</v>
      </c>
      <c r="BQ91" s="2340">
        <v>33761.297554396297</v>
      </c>
      <c r="BR91" s="2340">
        <v>34389.877646838439</v>
      </c>
      <c r="BS91" s="2340">
        <v>34954.905648089727</v>
      </c>
      <c r="BT91" s="2340">
        <v>35577.909546868919</v>
      </c>
      <c r="BU91" s="2340">
        <v>36157.906662322923</v>
      </c>
      <c r="BV91" s="2340">
        <v>36805.117460365422</v>
      </c>
      <c r="BW91" s="2340">
        <v>37415.588941927082</v>
      </c>
      <c r="BX91" s="2340">
        <v>38056.96726197713</v>
      </c>
      <c r="BY91" s="2340">
        <v>38710.168795073776</v>
      </c>
      <c r="BZ91" s="2340">
        <v>39415.12356997266</v>
      </c>
      <c r="CA91" s="2340">
        <v>40064.269979252531</v>
      </c>
      <c r="CB91" s="2340">
        <v>40665.229972831708</v>
      </c>
      <c r="CC91" s="2340">
        <v>41336.998385409788</v>
      </c>
      <c r="CD91" s="2340">
        <v>41982.471725986572</v>
      </c>
      <c r="CE91" s="2340">
        <v>42610.815114025871</v>
      </c>
      <c r="CF91" s="2340">
        <v>43276.487383063111</v>
      </c>
      <c r="CG91" s="2340">
        <v>43904.860874029626</v>
      </c>
      <c r="CH91" s="2340">
        <v>44539.694361469708</v>
      </c>
      <c r="CI91" s="2340">
        <v>45199.02523250298</v>
      </c>
      <c r="CJ91" s="2340">
        <v>45793.425767148008</v>
      </c>
      <c r="CK91" s="2340">
        <v>46404.788692404923</v>
      </c>
      <c r="CL91" s="2340">
        <v>47057.855021262774</v>
      </c>
      <c r="CM91" s="2340">
        <v>47655.940402953602</v>
      </c>
      <c r="CN91" s="2340">
        <v>48267.013412761895</v>
      </c>
      <c r="CO91" s="2340">
        <v>48897.149389566832</v>
      </c>
      <c r="CP91" s="2340">
        <v>49500.478668939897</v>
      </c>
      <c r="CQ91" s="2340">
        <v>50106.192555755559</v>
      </c>
      <c r="CR91" s="2340">
        <v>50672.091644384927</v>
      </c>
      <c r="CS91" s="2340">
        <v>51275.612604011207</v>
      </c>
      <c r="CT91" s="2340">
        <v>51848.045959303301</v>
      </c>
      <c r="CU91" s="2340">
        <v>52428.200131111385</v>
      </c>
      <c r="CV91" s="2340">
        <v>52993.716374645526</v>
      </c>
      <c r="CW91" s="2340">
        <v>53542.319333359119</v>
      </c>
      <c r="CX91" s="2340">
        <v>54119.396885599257</v>
      </c>
      <c r="CY91" s="2340">
        <v>54655.939149086851</v>
      </c>
      <c r="CZ91" s="2340">
        <v>55210.971037082905</v>
      </c>
      <c r="DA91" s="2340">
        <v>55743.177582120974</v>
      </c>
      <c r="DB91" s="2340">
        <v>56308.902599354107</v>
      </c>
      <c r="DC91" s="2340">
        <v>56838.618544748337</v>
      </c>
      <c r="DD91" s="2340">
        <v>57371.647024587532</v>
      </c>
      <c r="DE91" s="2340">
        <v>57895.94806451309</v>
      </c>
      <c r="DF91" s="2340">
        <v>58434.18190401006</v>
      </c>
      <c r="DG91" s="2340">
        <v>58955.93141459598</v>
      </c>
      <c r="DH91" s="2340">
        <v>59467.63633391889</v>
      </c>
      <c r="DI91" s="2340">
        <v>59974.844141574198</v>
      </c>
      <c r="DJ91" s="2340">
        <v>60500.829585182772</v>
      </c>
      <c r="DK91" s="2340">
        <v>61000.153554717355</v>
      </c>
      <c r="DL91" s="2340">
        <v>61485.954542703672</v>
      </c>
      <c r="DM91" s="2340">
        <v>61983.005872360678</v>
      </c>
      <c r="DN91" s="2340">
        <v>62458.15240761204</v>
      </c>
      <c r="DO91" s="2340">
        <v>62952.165629533229</v>
      </c>
      <c r="DP91" s="2340">
        <v>63434.579622409823</v>
      </c>
      <c r="DQ91" s="2340">
        <v>63905.139039233174</v>
      </c>
      <c r="DR91" s="2340">
        <v>64390.842483028588</v>
      </c>
      <c r="DS91" s="2340">
        <v>64847.571451934993</v>
      </c>
      <c r="DT91" s="2340">
        <v>65316.314592494142</v>
      </c>
      <c r="DU91" s="2340">
        <v>65780.078925311129</v>
      </c>
    </row>
    <row r="92" spans="1:125" ht="12.75">
      <c r="A92" s="131">
        <v>90</v>
      </c>
      <c r="B92" s="132"/>
      <c r="C92" s="132"/>
      <c r="D92" s="132"/>
      <c r="E92" s="132"/>
      <c r="F92" s="132"/>
      <c r="G92" s="132"/>
      <c r="H92" s="132"/>
      <c r="I92" s="132"/>
      <c r="J92" s="132"/>
      <c r="K92" s="132"/>
      <c r="L92" s="132"/>
      <c r="M92" s="132"/>
      <c r="N92" s="132"/>
      <c r="O92" s="132"/>
      <c r="P92" s="132"/>
      <c r="Q92" s="132"/>
      <c r="R92" s="132"/>
      <c r="S92" s="132"/>
      <c r="T92" s="132"/>
      <c r="U92" s="132"/>
      <c r="V92" s="132"/>
      <c r="W92" s="132">
        <v>8336</v>
      </c>
      <c r="X92" s="132">
        <v>8782</v>
      </c>
      <c r="Y92" s="132">
        <v>8963.8597037073832</v>
      </c>
      <c r="Z92" s="132">
        <v>9773.4788183387955</v>
      </c>
      <c r="AA92" s="2340">
        <v>10039.92618575606</v>
      </c>
      <c r="AB92" s="2340">
        <v>10501.176738750553</v>
      </c>
      <c r="AC92" s="2340">
        <v>10634.00012606521</v>
      </c>
      <c r="AD92" s="2340">
        <v>10725.716238864778</v>
      </c>
      <c r="AE92" s="2340">
        <v>10975.900975901292</v>
      </c>
      <c r="AF92" s="2340">
        <v>11667.104847631357</v>
      </c>
      <c r="AG92" s="2340">
        <v>12085.54578975742</v>
      </c>
      <c r="AH92" s="2340">
        <v>12538.991823167775</v>
      </c>
      <c r="AI92" s="2340">
        <v>13039.0095113102</v>
      </c>
      <c r="AJ92" s="2340">
        <v>13726.757401237854</v>
      </c>
      <c r="AK92" s="2340">
        <v>14209.366083171471</v>
      </c>
      <c r="AL92" s="2340">
        <v>14871.242006671104</v>
      </c>
      <c r="AM92" s="2340">
        <v>15428.079000505119</v>
      </c>
      <c r="AN92" s="2340">
        <v>15876.635326582553</v>
      </c>
      <c r="AO92" s="2340">
        <v>16172.901302421815</v>
      </c>
      <c r="AP92" s="2340">
        <v>16485.737127466007</v>
      </c>
      <c r="AQ92" s="2340">
        <v>16871.671241978489</v>
      </c>
      <c r="AR92" s="2340">
        <v>17302.195479215581</v>
      </c>
      <c r="AS92" s="2340">
        <v>17350.753973349147</v>
      </c>
      <c r="AT92" s="2340">
        <v>17400.964638205922</v>
      </c>
      <c r="AU92" s="2340">
        <v>17372.359203587104</v>
      </c>
      <c r="AV92" s="2340">
        <v>17721.235594406564</v>
      </c>
      <c r="AW92" s="2340">
        <v>18319.173863711439</v>
      </c>
      <c r="AX92" s="2340">
        <v>19149.393366171564</v>
      </c>
      <c r="AY92" s="2340">
        <v>19899.180012656027</v>
      </c>
      <c r="AZ92" s="2340">
        <v>20202.609170356252</v>
      </c>
      <c r="BA92" s="2340">
        <v>20518.229555747192</v>
      </c>
      <c r="BB92" s="2340">
        <v>21093.943752723928</v>
      </c>
      <c r="BC92" s="2340">
        <v>21545.241981348059</v>
      </c>
      <c r="BD92" s="2340">
        <v>22105.490812400894</v>
      </c>
      <c r="BE92" s="2340">
        <v>22603.978567496364</v>
      </c>
      <c r="BF92" s="2340">
        <v>23196.108228542711</v>
      </c>
      <c r="BG92" s="2340">
        <v>23674.833940433389</v>
      </c>
      <c r="BH92" s="2340">
        <v>24347.091529266894</v>
      </c>
      <c r="BI92" s="2340">
        <v>24918.078675815119</v>
      </c>
      <c r="BJ92" s="2340">
        <v>25527.454255229346</v>
      </c>
      <c r="BK92" s="2340">
        <v>26158.98708268478</v>
      </c>
      <c r="BL92" s="2340">
        <v>26860.299270821088</v>
      </c>
      <c r="BM92" s="2340">
        <v>27553.501836066265</v>
      </c>
      <c r="BN92" s="2340">
        <v>28226.180202077259</v>
      </c>
      <c r="BO92" s="2340">
        <v>28872.330949949213</v>
      </c>
      <c r="BP92" s="2340">
        <v>29494.929713155288</v>
      </c>
      <c r="BQ92" s="2340">
        <v>30118.715806569489</v>
      </c>
      <c r="BR92" s="2340">
        <v>30726.624203093692</v>
      </c>
      <c r="BS92" s="2340">
        <v>31278.777617223153</v>
      </c>
      <c r="BT92" s="2340">
        <v>31883.805876319075</v>
      </c>
      <c r="BU92" s="2340">
        <v>32451.286444348283</v>
      </c>
      <c r="BV92" s="2340">
        <v>33080.092583949561</v>
      </c>
      <c r="BW92" s="2340">
        <v>33676.896729894943</v>
      </c>
      <c r="BX92" s="2340">
        <v>34302.507426544209</v>
      </c>
      <c r="BY92" s="2340">
        <v>34939.794122047831</v>
      </c>
      <c r="BZ92" s="2340">
        <v>35624.867995032117</v>
      </c>
      <c r="CA92" s="2340">
        <v>36260.545996087356</v>
      </c>
      <c r="CB92" s="2340">
        <v>36853.508557302121</v>
      </c>
      <c r="CC92" s="2340">
        <v>37511.544106525522</v>
      </c>
      <c r="CD92" s="2340">
        <v>38146.651539442784</v>
      </c>
      <c r="CE92" s="2340">
        <v>38767.055347866182</v>
      </c>
      <c r="CF92" s="2340">
        <v>39422.284640406608</v>
      </c>
      <c r="CG92" s="2340">
        <v>40044.38078761597</v>
      </c>
      <c r="CH92" s="2340">
        <v>40673.157969390071</v>
      </c>
      <c r="CI92" s="2340">
        <v>41325.110147793632</v>
      </c>
      <c r="CJ92" s="2340">
        <v>41918.438138639547</v>
      </c>
      <c r="CK92" s="2340">
        <v>42527.964167777543</v>
      </c>
      <c r="CL92" s="2340">
        <v>43176.42616329719</v>
      </c>
      <c r="CM92" s="2340">
        <v>43775.127501431103</v>
      </c>
      <c r="CN92" s="2340">
        <v>44386.383322341091</v>
      </c>
      <c r="CO92" s="2340">
        <v>45015.810895724033</v>
      </c>
      <c r="CP92" s="2340">
        <v>45621.177162427412</v>
      </c>
      <c r="CQ92" s="2340">
        <v>46229.318453748376</v>
      </c>
      <c r="CR92" s="2340">
        <v>46801.251069910388</v>
      </c>
      <c r="CS92" s="2340">
        <v>47408.440775842275</v>
      </c>
      <c r="CT92" s="2340">
        <v>47987.389449021852</v>
      </c>
      <c r="CU92" s="2340">
        <v>48573.950168388357</v>
      </c>
      <c r="CV92" s="2340">
        <v>49147.395926810379</v>
      </c>
      <c r="CW92" s="2340">
        <v>49705.561177725918</v>
      </c>
      <c r="CX92" s="2340">
        <v>50290.564528195609</v>
      </c>
      <c r="CY92" s="2340">
        <v>50838.282003372551</v>
      </c>
      <c r="CZ92" s="2340">
        <v>51403.548243058693</v>
      </c>
      <c r="DA92" s="2340">
        <v>51947.899520404426</v>
      </c>
      <c r="DB92" s="2340">
        <v>52523.822274269907</v>
      </c>
      <c r="DC92" s="2340">
        <v>53066.479359118399</v>
      </c>
      <c r="DD92" s="2340">
        <v>53612.514199519275</v>
      </c>
      <c r="DE92" s="2340">
        <v>54150.664696853972</v>
      </c>
      <c r="DF92" s="2340">
        <v>54702.113128520359</v>
      </c>
      <c r="DG92" s="2340">
        <v>55238.385564382581</v>
      </c>
      <c r="DH92" s="2340">
        <v>55765.472244547789</v>
      </c>
      <c r="DI92" s="2340">
        <v>56288.547561225882</v>
      </c>
      <c r="DJ92" s="2340">
        <v>56829.455539239782</v>
      </c>
      <c r="DK92" s="2340">
        <v>57345.515346608707</v>
      </c>
      <c r="DL92" s="2340">
        <v>57849.019536374683</v>
      </c>
      <c r="DM92" s="2340">
        <v>58363.257242817665</v>
      </c>
      <c r="DN92" s="2340">
        <v>58857.003579508368</v>
      </c>
      <c r="DO92" s="2340">
        <v>59368.654394105986</v>
      </c>
      <c r="DP92" s="2340">
        <v>59869.491083368805</v>
      </c>
      <c r="DQ92" s="2340">
        <v>60359.241385232592</v>
      </c>
      <c r="DR92" s="2340">
        <v>60863.394014582896</v>
      </c>
      <c r="DS92" s="2340">
        <v>61340.2429434937</v>
      </c>
      <c r="DT92" s="2340">
        <v>61828.522735126491</v>
      </c>
      <c r="DU92" s="2340">
        <v>62312.156006445672</v>
      </c>
    </row>
    <row r="93" spans="1:125" ht="12.75">
      <c r="A93" s="131">
        <v>91</v>
      </c>
      <c r="B93" s="132"/>
      <c r="C93" s="132"/>
      <c r="D93" s="132"/>
      <c r="E93" s="132"/>
      <c r="F93" s="132"/>
      <c r="G93" s="132"/>
      <c r="H93" s="132"/>
      <c r="I93" s="132"/>
      <c r="J93" s="132"/>
      <c r="K93" s="132"/>
      <c r="L93" s="132"/>
      <c r="M93" s="132"/>
      <c r="N93" s="132"/>
      <c r="O93" s="132"/>
      <c r="P93" s="132"/>
      <c r="Q93" s="132"/>
      <c r="R93" s="132"/>
      <c r="S93" s="132"/>
      <c r="T93" s="132"/>
      <c r="U93" s="132"/>
      <c r="V93" s="132"/>
      <c r="W93" s="132">
        <v>6783</v>
      </c>
      <c r="X93" s="132">
        <v>7129</v>
      </c>
      <c r="Y93" s="132">
        <v>7361.0961276874277</v>
      </c>
      <c r="Z93" s="132">
        <v>7990.9408799531247</v>
      </c>
      <c r="AA93" s="2340">
        <v>8241.1035267881853</v>
      </c>
      <c r="AB93" s="2340">
        <v>8568.8787074891079</v>
      </c>
      <c r="AC93" s="2340">
        <v>8677.8288734238868</v>
      </c>
      <c r="AD93" s="2340">
        <v>8825.0569884875331</v>
      </c>
      <c r="AE93" s="2340">
        <v>9007.6691496099393</v>
      </c>
      <c r="AF93" s="2340">
        <v>9462.1885519010284</v>
      </c>
      <c r="AG93" s="2340">
        <v>9847.2726573987384</v>
      </c>
      <c r="AH93" s="2340">
        <v>10224.371694977324</v>
      </c>
      <c r="AI93" s="2340">
        <v>10658.778591017424</v>
      </c>
      <c r="AJ93" s="2340">
        <v>11248.765783924997</v>
      </c>
      <c r="AK93" s="2340">
        <v>11672.696145264117</v>
      </c>
      <c r="AL93" s="2340">
        <v>12245.851659878273</v>
      </c>
      <c r="AM93" s="2340">
        <v>12734.585815202136</v>
      </c>
      <c r="AN93" s="2340">
        <v>13135.566877633715</v>
      </c>
      <c r="AO93" s="2340">
        <v>13411.644927298124</v>
      </c>
      <c r="AP93" s="2340">
        <v>13702.279912633941</v>
      </c>
      <c r="AQ93" s="2340">
        <v>14054.63997150654</v>
      </c>
      <c r="AR93" s="2340">
        <v>14445.314404088285</v>
      </c>
      <c r="AS93" s="2340">
        <v>14517.622793791654</v>
      </c>
      <c r="AT93" s="2340">
        <v>14591.141137148572</v>
      </c>
      <c r="AU93" s="2340">
        <v>14601.549328083969</v>
      </c>
      <c r="AV93" s="2340">
        <v>14929.436668947179</v>
      </c>
      <c r="AW93" s="2340">
        <v>15468.561062644665</v>
      </c>
      <c r="AX93" s="2340">
        <v>16206.126934692655</v>
      </c>
      <c r="AY93" s="2340">
        <v>16878.17150952766</v>
      </c>
      <c r="AZ93" s="2340">
        <v>17173.140682820449</v>
      </c>
      <c r="BA93" s="2340">
        <v>17479.156979830997</v>
      </c>
      <c r="BB93" s="2340">
        <v>18007.90638127672</v>
      </c>
      <c r="BC93" s="2340">
        <v>18431.82719478089</v>
      </c>
      <c r="BD93" s="2340">
        <v>18950.282918834248</v>
      </c>
      <c r="BE93" s="2340">
        <v>19417.177788258428</v>
      </c>
      <c r="BF93" s="2340">
        <v>19965.923463949795</v>
      </c>
      <c r="BG93" s="2340">
        <v>20418.406620414738</v>
      </c>
      <c r="BH93" s="2340">
        <v>21039.257225376969</v>
      </c>
      <c r="BI93" s="2340">
        <v>21574.177598573984</v>
      </c>
      <c r="BJ93" s="2340">
        <v>22143.779702347667</v>
      </c>
      <c r="BK93" s="2340">
        <v>22734.116129600614</v>
      </c>
      <c r="BL93" s="2340">
        <v>23386.726944674199</v>
      </c>
      <c r="BM93" s="2340">
        <v>24033.973134035121</v>
      </c>
      <c r="BN93" s="2340">
        <v>24664.933753902562</v>
      </c>
      <c r="BO93" s="2340">
        <v>25274.22475833822</v>
      </c>
      <c r="BP93" s="2340">
        <v>25864.302110433924</v>
      </c>
      <c r="BQ93" s="2340">
        <v>26456.760830420197</v>
      </c>
      <c r="BR93" s="2340">
        <v>27036.562665379315</v>
      </c>
      <c r="BS93" s="2340">
        <v>27568.462956207157</v>
      </c>
      <c r="BT93" s="2340">
        <v>28148.094314814371</v>
      </c>
      <c r="BU93" s="2340">
        <v>28695.703930595744</v>
      </c>
      <c r="BV93" s="2340">
        <v>29298.677807821667</v>
      </c>
      <c r="BW93" s="2340">
        <v>29874.461055594114</v>
      </c>
      <c r="BX93" s="2340">
        <v>30476.922145083918</v>
      </c>
      <c r="BY93" s="2340">
        <v>31090.912334357879</v>
      </c>
      <c r="BZ93" s="2340">
        <v>31748.636509041335</v>
      </c>
      <c r="CA93" s="2340">
        <v>32363.522802575117</v>
      </c>
      <c r="CB93" s="2340">
        <v>32941.320691800152</v>
      </c>
      <c r="CC93" s="2340">
        <v>33578.32614975547</v>
      </c>
      <c r="CD93" s="2340">
        <v>34195.881933658093</v>
      </c>
      <c r="CE93" s="2340">
        <v>34801.25993370021</v>
      </c>
      <c r="CF93" s="2340">
        <v>35438.906906398261</v>
      </c>
      <c r="CG93" s="2340">
        <v>36047.75492196883</v>
      </c>
      <c r="CH93" s="2340">
        <v>36663.549045624692</v>
      </c>
      <c r="CI93" s="2340">
        <v>37301.180747937222</v>
      </c>
      <c r="CJ93" s="2340">
        <v>37886.780593494295</v>
      </c>
      <c r="CK93" s="2340">
        <v>38487.834107073693</v>
      </c>
      <c r="CL93" s="2340">
        <v>39124.98389503939</v>
      </c>
      <c r="CM93" s="2340">
        <v>39717.869803658563</v>
      </c>
      <c r="CN93" s="2340">
        <v>40322.912526947483</v>
      </c>
      <c r="CO93" s="2340">
        <v>40945.246109538486</v>
      </c>
      <c r="CP93" s="2340">
        <v>41546.452284551735</v>
      </c>
      <c r="CQ93" s="2340">
        <v>42150.902615948013</v>
      </c>
      <c r="CR93" s="2340">
        <v>42723.002556187232</v>
      </c>
      <c r="CS93" s="2340">
        <v>43327.933974041618</v>
      </c>
      <c r="CT93" s="2340">
        <v>43907.69376616762</v>
      </c>
      <c r="CU93" s="2340">
        <v>44495.019932558935</v>
      </c>
      <c r="CV93" s="2340">
        <v>45070.91348269915</v>
      </c>
      <c r="CW93" s="2340">
        <v>45633.33157979884</v>
      </c>
      <c r="CX93" s="2340">
        <v>46220.924505601019</v>
      </c>
      <c r="CY93" s="2340">
        <v>46774.76051259369</v>
      </c>
      <c r="CZ93" s="2340">
        <v>47345.221560810875</v>
      </c>
      <c r="DA93" s="2340">
        <v>47896.882132859566</v>
      </c>
      <c r="DB93" s="2340">
        <v>48478.113208115828</v>
      </c>
      <c r="DC93" s="2340">
        <v>49029.088350615522</v>
      </c>
      <c r="DD93" s="2340">
        <v>49583.591637037607</v>
      </c>
      <c r="DE93" s="2340">
        <v>50131.195100401237</v>
      </c>
      <c r="DF93" s="2340">
        <v>50691.495397207444</v>
      </c>
      <c r="DG93" s="2340">
        <v>51238.10590910849</v>
      </c>
      <c r="DH93" s="2340">
        <v>51776.537140403379</v>
      </c>
      <c r="DI93" s="2340">
        <v>52311.563603173017</v>
      </c>
      <c r="DJ93" s="2340">
        <v>52863.484832779999</v>
      </c>
      <c r="DK93" s="2340">
        <v>53392.598515390644</v>
      </c>
      <c r="DL93" s="2340">
        <v>53910.287551623078</v>
      </c>
      <c r="DM93" s="2340">
        <v>54438.234666604963</v>
      </c>
      <c r="DN93" s="2340">
        <v>54947.307527214834</v>
      </c>
      <c r="DO93" s="2340">
        <v>55473.324325607107</v>
      </c>
      <c r="DP93" s="2340">
        <v>55989.463310521292</v>
      </c>
      <c r="DQ93" s="2340">
        <v>56495.435935449597</v>
      </c>
      <c r="DR93" s="2340">
        <v>57015.085736416702</v>
      </c>
      <c r="DS93" s="2340">
        <v>57509.337876349797</v>
      </c>
      <c r="DT93" s="2340">
        <v>58014.467497815443</v>
      </c>
      <c r="DU93" s="2340">
        <v>58515.396432826201</v>
      </c>
    </row>
    <row r="94" spans="1:125" ht="12.75">
      <c r="A94" s="131">
        <v>92</v>
      </c>
      <c r="B94" s="132"/>
      <c r="C94" s="132"/>
      <c r="D94" s="132"/>
      <c r="E94" s="132"/>
      <c r="F94" s="132"/>
      <c r="G94" s="132"/>
      <c r="H94" s="132"/>
      <c r="I94" s="132"/>
      <c r="J94" s="132"/>
      <c r="K94" s="132"/>
      <c r="L94" s="132"/>
      <c r="M94" s="132"/>
      <c r="N94" s="132"/>
      <c r="O94" s="132"/>
      <c r="P94" s="132"/>
      <c r="Q94" s="132"/>
      <c r="R94" s="132"/>
      <c r="S94" s="132"/>
      <c r="T94" s="132"/>
      <c r="U94" s="132"/>
      <c r="V94" s="132"/>
      <c r="W94" s="132">
        <v>5352</v>
      </c>
      <c r="X94" s="132">
        <v>5683</v>
      </c>
      <c r="Y94" s="132">
        <v>5819.6166413117135</v>
      </c>
      <c r="Z94" s="132">
        <v>6398.6961453054746</v>
      </c>
      <c r="AA94" s="2340">
        <v>6570.9689050980742</v>
      </c>
      <c r="AB94" s="2340">
        <v>6878.1979822316989</v>
      </c>
      <c r="AC94" s="2340">
        <v>6975.4155421630367</v>
      </c>
      <c r="AD94" s="2340">
        <v>7090.8805253314076</v>
      </c>
      <c r="AE94" s="2340">
        <v>7153.6010001388213</v>
      </c>
      <c r="AF94" s="2340">
        <v>7514.208527879704</v>
      </c>
      <c r="AG94" s="2340">
        <v>7814.6047691109452</v>
      </c>
      <c r="AH94" s="2340">
        <v>8136.2240007073833</v>
      </c>
      <c r="AI94" s="2340">
        <v>8504.9747608137077</v>
      </c>
      <c r="AJ94" s="2340">
        <v>8999.8266659342808</v>
      </c>
      <c r="AK94" s="2340">
        <v>9363.7270224975109</v>
      </c>
      <c r="AL94" s="2340">
        <v>9849.1716171306671</v>
      </c>
      <c r="AM94" s="2340">
        <v>10268.659984123489</v>
      </c>
      <c r="AN94" s="2340">
        <v>10618.944083349726</v>
      </c>
      <c r="AO94" s="2340">
        <v>10869.352678315747</v>
      </c>
      <c r="AP94" s="2340">
        <v>11132.414484761824</v>
      </c>
      <c r="AQ94" s="2340">
        <v>11446.617120806906</v>
      </c>
      <c r="AR94" s="2340">
        <v>11793.196750814343</v>
      </c>
      <c r="AS94" s="2340">
        <v>11880.469253141358</v>
      </c>
      <c r="AT94" s="2340">
        <v>11971.921048150487</v>
      </c>
      <c r="AU94" s="2340">
        <v>12011.4017978212</v>
      </c>
      <c r="AV94" s="2340">
        <v>12312.38794074221</v>
      </c>
      <c r="AW94" s="2340">
        <v>12789.015593133905</v>
      </c>
      <c r="AX94" s="2340">
        <v>13431.955612451085</v>
      </c>
      <c r="AY94" s="2340">
        <v>14023.065328795101</v>
      </c>
      <c r="AZ94" s="2340">
        <v>14302.430016691857</v>
      </c>
      <c r="BA94" s="2340">
        <v>14591.783223791166</v>
      </c>
      <c r="BB94" s="2340">
        <v>15068.304118902412</v>
      </c>
      <c r="BC94" s="2340">
        <v>15458.542018799702</v>
      </c>
      <c r="BD94" s="2340">
        <v>15929.450033786276</v>
      </c>
      <c r="BE94" s="2340">
        <v>16358.4562858391</v>
      </c>
      <c r="BF94" s="2340">
        <v>16857.887340887039</v>
      </c>
      <c r="BG94" s="2340">
        <v>17277.454394638808</v>
      </c>
      <c r="BH94" s="2340">
        <v>17841.004986520104</v>
      </c>
      <c r="BI94" s="2340">
        <v>18333.324203344702</v>
      </c>
      <c r="BJ94" s="2340">
        <v>18856.628244500498</v>
      </c>
      <c r="BK94" s="2340">
        <v>19399.169688221729</v>
      </c>
      <c r="BL94" s="2340">
        <v>19996.544573197432</v>
      </c>
      <c r="BM94" s="2340">
        <v>20591.092114987689</v>
      </c>
      <c r="BN94" s="2340">
        <v>21173.376056199537</v>
      </c>
      <c r="BO94" s="2340">
        <v>21738.650691067953</v>
      </c>
      <c r="BP94" s="2340">
        <v>22288.893450409356</v>
      </c>
      <c r="BQ94" s="2340">
        <v>22842.625410553814</v>
      </c>
      <c r="BR94" s="2340">
        <v>23386.821610286766</v>
      </c>
      <c r="BS94" s="2340">
        <v>23890.850541808399</v>
      </c>
      <c r="BT94" s="2340">
        <v>24437.485022669305</v>
      </c>
      <c r="BU94" s="2340">
        <v>24957.560682067127</v>
      </c>
      <c r="BV94" s="2340">
        <v>25527.040650041596</v>
      </c>
      <c r="BW94" s="2340">
        <v>26074.100605855423</v>
      </c>
      <c r="BX94" s="2340">
        <v>26645.688456207896</v>
      </c>
      <c r="BY94" s="2340">
        <v>27228.631667166668</v>
      </c>
      <c r="BZ94" s="2340">
        <v>27851.206996800491</v>
      </c>
      <c r="CA94" s="2340">
        <v>28437.509141524475</v>
      </c>
      <c r="CB94" s="2340">
        <v>28992.386909635836</v>
      </c>
      <c r="CC94" s="2340">
        <v>29600.546567842539</v>
      </c>
      <c r="CD94" s="2340">
        <v>30192.764719589872</v>
      </c>
      <c r="CE94" s="2340">
        <v>30775.366342408648</v>
      </c>
      <c r="CF94" s="2340">
        <v>31387.643612533757</v>
      </c>
      <c r="CG94" s="2340">
        <v>31975.535229012938</v>
      </c>
      <c r="CH94" s="2340">
        <v>32570.656834945356</v>
      </c>
      <c r="CI94" s="2340">
        <v>33186.262504525104</v>
      </c>
      <c r="CJ94" s="2340">
        <v>33756.598863625601</v>
      </c>
      <c r="CK94" s="2340">
        <v>34341.657881597406</v>
      </c>
      <c r="CL94" s="2340">
        <v>34959.923688356816</v>
      </c>
      <c r="CM94" s="2340">
        <v>35539.605713505371</v>
      </c>
      <c r="CN94" s="2340">
        <v>36131.072898864746</v>
      </c>
      <c r="CO94" s="2340">
        <v>36738.957403589658</v>
      </c>
      <c r="CP94" s="2340">
        <v>37328.784548431395</v>
      </c>
      <c r="CQ94" s="2340">
        <v>37922.38519108438</v>
      </c>
      <c r="CR94" s="2340">
        <v>38487.686355721467</v>
      </c>
      <c r="CS94" s="2340">
        <v>39083.352444079523</v>
      </c>
      <c r="CT94" s="2340">
        <v>39657.092645552839</v>
      </c>
      <c r="CU94" s="2340">
        <v>40238.408979406224</v>
      </c>
      <c r="CV94" s="2340">
        <v>40810.107689108598</v>
      </c>
      <c r="CW94" s="2340">
        <v>41370.282007608672</v>
      </c>
      <c r="CX94" s="2340">
        <v>41953.953804972181</v>
      </c>
      <c r="CY94" s="2340">
        <v>42507.634854172524</v>
      </c>
      <c r="CZ94" s="2340">
        <v>43077.040448849846</v>
      </c>
      <c r="DA94" s="2340">
        <v>43629.939963383506</v>
      </c>
      <c r="DB94" s="2340">
        <v>44210.372274836307</v>
      </c>
      <c r="DC94" s="2340">
        <v>44763.794224488622</v>
      </c>
      <c r="DD94" s="2340">
        <v>45320.977946512794</v>
      </c>
      <c r="DE94" s="2340">
        <v>45872.379088983318</v>
      </c>
      <c r="DF94" s="2340">
        <v>46435.915487753162</v>
      </c>
      <c r="DG94" s="2340">
        <v>46987.414858682263</v>
      </c>
      <c r="DH94" s="2340">
        <v>47531.883075786653</v>
      </c>
      <c r="DI94" s="2340">
        <v>48073.672152834733</v>
      </c>
      <c r="DJ94" s="2340">
        <v>48631.435292785631</v>
      </c>
      <c r="DK94" s="2340">
        <v>49168.647838926001</v>
      </c>
      <c r="DL94" s="2340">
        <v>49695.72740920855</v>
      </c>
      <c r="DM94" s="2340">
        <v>50232.639474893884</v>
      </c>
      <c r="DN94" s="2340">
        <v>50752.493831466039</v>
      </c>
      <c r="DO94" s="2340">
        <v>51288.34535478906</v>
      </c>
      <c r="DP94" s="2340">
        <v>51815.407814426544</v>
      </c>
      <c r="DQ94" s="2340">
        <v>52333.378153429599</v>
      </c>
      <c r="DR94" s="2340">
        <v>52864.32834834871</v>
      </c>
      <c r="DS94" s="2340">
        <v>53372.021215666413</v>
      </c>
      <c r="DT94" s="2340">
        <v>53890.079335691305</v>
      </c>
      <c r="DU94" s="2340">
        <v>54404.503178776598</v>
      </c>
    </row>
    <row r="95" spans="1:125" ht="12.75">
      <c r="A95" s="131">
        <v>93</v>
      </c>
      <c r="B95" s="132"/>
      <c r="C95" s="132"/>
      <c r="D95" s="132"/>
      <c r="E95" s="132"/>
      <c r="F95" s="132"/>
      <c r="G95" s="132"/>
      <c r="H95" s="132"/>
      <c r="I95" s="132"/>
      <c r="J95" s="132"/>
      <c r="K95" s="132"/>
      <c r="L95" s="132"/>
      <c r="M95" s="132"/>
      <c r="N95" s="132"/>
      <c r="O95" s="132"/>
      <c r="P95" s="132"/>
      <c r="Q95" s="132"/>
      <c r="R95" s="132"/>
      <c r="S95" s="132"/>
      <c r="T95" s="132"/>
      <c r="U95" s="132"/>
      <c r="V95" s="132"/>
      <c r="W95" s="132">
        <v>4159</v>
      </c>
      <c r="X95" s="132">
        <v>4358</v>
      </c>
      <c r="Y95" s="132">
        <v>4545.2239232139391</v>
      </c>
      <c r="Z95" s="132">
        <v>4939.1540729253156</v>
      </c>
      <c r="AA95" s="2340">
        <v>5072.2224941995783</v>
      </c>
      <c r="AB95" s="2340">
        <v>5381.3851830322183</v>
      </c>
      <c r="AC95" s="2340">
        <v>5455.9643561271459</v>
      </c>
      <c r="AD95" s="2340">
        <v>5446.032886906627</v>
      </c>
      <c r="AE95" s="2340">
        <v>5457.3793220828638</v>
      </c>
      <c r="AF95" s="2340">
        <v>5788.1463690520486</v>
      </c>
      <c r="AG95" s="2340">
        <v>6037.6549329107238</v>
      </c>
      <c r="AH95" s="2340">
        <v>6304.812202267889</v>
      </c>
      <c r="AI95" s="2340">
        <v>6609.8792564550395</v>
      </c>
      <c r="AJ95" s="2340">
        <v>7014.70477476612</v>
      </c>
      <c r="AK95" s="2340">
        <v>7319.1817145386549</v>
      </c>
      <c r="AL95" s="2340">
        <v>7720.3333861704868</v>
      </c>
      <c r="AM95" s="2340">
        <v>8071.5505390579929</v>
      </c>
      <c r="AN95" s="2340">
        <v>8369.8158747689431</v>
      </c>
      <c r="AO95" s="2340">
        <v>8590.4198714139202</v>
      </c>
      <c r="AP95" s="2340">
        <v>8821.881520925841</v>
      </c>
      <c r="AQ95" s="2340">
        <v>9094.8467272507332</v>
      </c>
      <c r="AR95" s="2340">
        <v>9394.6716496397876</v>
      </c>
      <c r="AS95" s="2340">
        <v>9491.5889410194031</v>
      </c>
      <c r="AT95" s="2340">
        <v>9591.9443033730804</v>
      </c>
      <c r="AU95" s="2340">
        <v>9650.6483252820417</v>
      </c>
      <c r="AV95" s="2340">
        <v>9919.9135049609813</v>
      </c>
      <c r="AW95" s="2340">
        <v>10332.100180171603</v>
      </c>
      <c r="AX95" s="2340">
        <v>10880.779682771838</v>
      </c>
      <c r="AY95" s="2340">
        <v>11389.814734649144</v>
      </c>
      <c r="AZ95" s="2340">
        <v>11647.169498893723</v>
      </c>
      <c r="BA95" s="2340">
        <v>11913.516975207043</v>
      </c>
      <c r="BB95" s="2340">
        <v>12333.930666269749</v>
      </c>
      <c r="BC95" s="2340">
        <v>12685.157699615156</v>
      </c>
      <c r="BD95" s="2340">
        <v>13103.982120201466</v>
      </c>
      <c r="BE95" s="2340">
        <v>13489.790270742031</v>
      </c>
      <c r="BF95" s="2340">
        <v>13935.15604028015</v>
      </c>
      <c r="BG95" s="2340">
        <v>14315.941884404006</v>
      </c>
      <c r="BH95" s="2340">
        <v>14817.56603608208</v>
      </c>
      <c r="BI95" s="2340">
        <v>15261.678078698182</v>
      </c>
      <c r="BJ95" s="2340">
        <v>15733.124190937522</v>
      </c>
      <c r="BK95" s="2340">
        <v>16222.227956271381</v>
      </c>
      <c r="BL95" s="2340">
        <v>16758.900256640496</v>
      </c>
      <c r="BM95" s="2340">
        <v>17294.98258627583</v>
      </c>
      <c r="BN95" s="2340">
        <v>17822.484006131293</v>
      </c>
      <c r="BO95" s="2340">
        <v>18337.303355378248</v>
      </c>
      <c r="BP95" s="2340">
        <v>18840.990921685756</v>
      </c>
      <c r="BQ95" s="2340">
        <v>19349.126898601513</v>
      </c>
      <c r="BR95" s="2340">
        <v>19850.646032254346</v>
      </c>
      <c r="BS95" s="2340">
        <v>20319.419231316737</v>
      </c>
      <c r="BT95" s="2340">
        <v>20825.755062785702</v>
      </c>
      <c r="BU95" s="2340">
        <v>21310.785658157241</v>
      </c>
      <c r="BV95" s="2340">
        <v>21839.342386531051</v>
      </c>
      <c r="BW95" s="2340">
        <v>22350.077914502821</v>
      </c>
      <c r="BX95" s="2340">
        <v>22883.17553298271</v>
      </c>
      <c r="BY95" s="2340">
        <v>23427.394697394029</v>
      </c>
      <c r="BZ95" s="2340">
        <v>24007.137583165317</v>
      </c>
      <c r="CA95" s="2340">
        <v>24557.016835932278</v>
      </c>
      <c r="CB95" s="2340">
        <v>25081.031164444383</v>
      </c>
      <c r="CC95" s="2340">
        <v>25652.419251925956</v>
      </c>
      <c r="CD95" s="2340">
        <v>26211.304560500383</v>
      </c>
      <c r="CE95" s="2340">
        <v>26763.090381812024</v>
      </c>
      <c r="CF95" s="2340">
        <v>27341.937328659289</v>
      </c>
      <c r="CG95" s="2340">
        <v>27900.779933890517</v>
      </c>
      <c r="CH95" s="2340">
        <v>28467.120344388037</v>
      </c>
      <c r="CI95" s="2340">
        <v>29052.569690566306</v>
      </c>
      <c r="CJ95" s="2340">
        <v>29599.535813396655</v>
      </c>
      <c r="CK95" s="2340">
        <v>30160.493339246757</v>
      </c>
      <c r="CL95" s="2340">
        <v>30751.741341258406</v>
      </c>
      <c r="CM95" s="2340">
        <v>31310.14736520208</v>
      </c>
      <c r="CN95" s="2340">
        <v>31879.975279915907</v>
      </c>
      <c r="CO95" s="2340">
        <v>32465.3451071606</v>
      </c>
      <c r="CP95" s="2340">
        <v>33035.791207642949</v>
      </c>
      <c r="CQ95" s="2340">
        <v>33610.570542490314</v>
      </c>
      <c r="CR95" s="2340">
        <v>34161.210185437041</v>
      </c>
      <c r="CS95" s="2340">
        <v>34739.726753409661</v>
      </c>
      <c r="CT95" s="2340">
        <v>35299.671578031244</v>
      </c>
      <c r="CU95" s="2340">
        <v>35867.240658460309</v>
      </c>
      <c r="CV95" s="2340">
        <v>36427.096862709142</v>
      </c>
      <c r="CW95" s="2340">
        <v>36977.482755107696</v>
      </c>
      <c r="CX95" s="2340">
        <v>37549.684729914363</v>
      </c>
      <c r="CY95" s="2340">
        <v>38095.83337050899</v>
      </c>
      <c r="CZ95" s="2340">
        <v>38656.829947824524</v>
      </c>
      <c r="DA95" s="2340">
        <v>39203.752719915719</v>
      </c>
      <c r="DB95" s="2340">
        <v>39776.150487119245</v>
      </c>
      <c r="DC95" s="2340">
        <v>40324.96738716276</v>
      </c>
      <c r="DD95" s="2340">
        <v>40877.851653960213</v>
      </c>
      <c r="DE95" s="2340">
        <v>41426.181869170017</v>
      </c>
      <c r="DF95" s="2340">
        <v>41986.125206947087</v>
      </c>
      <c r="DG95" s="2340">
        <v>42535.824884726411</v>
      </c>
      <c r="DH95" s="2340">
        <v>43079.764764844214</v>
      </c>
      <c r="DI95" s="2340">
        <v>43621.857783946645</v>
      </c>
      <c r="DJ95" s="2340">
        <v>44179.027750896697</v>
      </c>
      <c r="DK95" s="2340">
        <v>44718.092962854542</v>
      </c>
      <c r="DL95" s="2340">
        <v>45248.462293761113</v>
      </c>
      <c r="DM95" s="2340">
        <v>45788.291658830552</v>
      </c>
      <c r="DN95" s="2340">
        <v>46313.060884764112</v>
      </c>
      <c r="DO95" s="2340">
        <v>46852.903659117823</v>
      </c>
      <c r="DP95" s="2340">
        <v>47385.188970862342</v>
      </c>
      <c r="DQ95" s="2340">
        <v>47909.602421418909</v>
      </c>
      <c r="DR95" s="2340">
        <v>48446.334327055847</v>
      </c>
      <c r="DS95" s="2340">
        <v>48962.168062129946</v>
      </c>
      <c r="DT95" s="2340">
        <v>49487.903620396639</v>
      </c>
      <c r="DU95" s="2340">
        <v>50010.69116253563</v>
      </c>
    </row>
    <row r="96" spans="1:125" ht="12.75">
      <c r="A96" s="131">
        <v>94</v>
      </c>
      <c r="B96" s="132"/>
      <c r="C96" s="132"/>
      <c r="D96" s="132"/>
      <c r="E96" s="132"/>
      <c r="F96" s="132"/>
      <c r="G96" s="132"/>
      <c r="H96" s="132"/>
      <c r="I96" s="132"/>
      <c r="J96" s="132"/>
      <c r="K96" s="132"/>
      <c r="L96" s="132"/>
      <c r="M96" s="132"/>
      <c r="N96" s="132"/>
      <c r="O96" s="132"/>
      <c r="P96" s="132"/>
      <c r="Q96" s="132"/>
      <c r="R96" s="132"/>
      <c r="S96" s="132"/>
      <c r="T96" s="132"/>
      <c r="U96" s="132"/>
      <c r="V96" s="132"/>
      <c r="W96" s="132">
        <v>3099</v>
      </c>
      <c r="X96" s="132">
        <v>3273</v>
      </c>
      <c r="Y96" s="132">
        <v>3440.3396421210696</v>
      </c>
      <c r="Z96" s="132">
        <v>3716.8744212206802</v>
      </c>
      <c r="AA96" s="2340">
        <v>3860.8125547979512</v>
      </c>
      <c r="AB96" s="2340">
        <v>4107.8691470673484</v>
      </c>
      <c r="AC96" s="2340">
        <v>4084.6441760689263</v>
      </c>
      <c r="AD96" s="2340">
        <v>4065.4874293258258</v>
      </c>
      <c r="AE96" s="2340">
        <v>4069.8670788843738</v>
      </c>
      <c r="AF96" s="2340">
        <v>4330.6345779339335</v>
      </c>
      <c r="AG96" s="2340">
        <v>4531.8776205392296</v>
      </c>
      <c r="AH96" s="2340">
        <v>4747.4683780949381</v>
      </c>
      <c r="AI96" s="2340">
        <v>4992.8206313453111</v>
      </c>
      <c r="AJ96" s="2340">
        <v>5315.0468415543728</v>
      </c>
      <c r="AK96" s="2340">
        <v>5562.7367495098506</v>
      </c>
      <c r="AL96" s="2340">
        <v>5885.3676434343652</v>
      </c>
      <c r="AM96" s="2340">
        <v>6171.4841951297176</v>
      </c>
      <c r="AN96" s="2340">
        <v>6418.4100899205296</v>
      </c>
      <c r="AO96" s="2340">
        <v>6606.7656804926137</v>
      </c>
      <c r="AP96" s="2340">
        <v>6804.2926076608337</v>
      </c>
      <c r="AQ96" s="2340">
        <v>7034.75415928862</v>
      </c>
      <c r="AR96" s="2340">
        <v>7289.7743007400604</v>
      </c>
      <c r="AS96" s="2340">
        <v>7388.0710925990034</v>
      </c>
      <c r="AT96" s="2340">
        <v>7489.2705558862854</v>
      </c>
      <c r="AU96" s="2340">
        <v>7558.0797528764706</v>
      </c>
      <c r="AV96" s="2340">
        <v>7792.3180282815338</v>
      </c>
      <c r="AW96" s="2340">
        <v>8140.1648046720729</v>
      </c>
      <c r="AX96" s="2340">
        <v>8597.5104824234186</v>
      </c>
      <c r="AY96" s="2340">
        <v>9025.6827096550769</v>
      </c>
      <c r="AZ96" s="2340">
        <v>9255.8730097324915</v>
      </c>
      <c r="BA96" s="2340">
        <v>9494.0985546516986</v>
      </c>
      <c r="BB96" s="2340">
        <v>9856.3348323979826</v>
      </c>
      <c r="BC96" s="2340">
        <v>10164.680376757071</v>
      </c>
      <c r="BD96" s="2340">
        <v>10528.561432487964</v>
      </c>
      <c r="BE96" s="2340">
        <v>10867.335237594305</v>
      </c>
      <c r="BF96" s="2340">
        <v>11255.539480413216</v>
      </c>
      <c r="BG96" s="2340">
        <v>11592.99789526076</v>
      </c>
      <c r="BH96" s="2340">
        <v>12029.81736728818</v>
      </c>
      <c r="BI96" s="2340">
        <v>12421.556061052202</v>
      </c>
      <c r="BJ96" s="2340">
        <v>12837.063590232758</v>
      </c>
      <c r="BK96" s="2340">
        <v>13268.563622896751</v>
      </c>
      <c r="BL96" s="2340">
        <v>13740.657830531896</v>
      </c>
      <c r="BM96" s="2340">
        <v>14214.018068311751</v>
      </c>
      <c r="BN96" s="2340">
        <v>14682.027624746706</v>
      </c>
      <c r="BO96" s="2340">
        <v>15141.220966144781</v>
      </c>
      <c r="BP96" s="2340">
        <v>15592.78015756624</v>
      </c>
      <c r="BQ96" s="2340">
        <v>16049.538270267942</v>
      </c>
      <c r="BR96" s="2340">
        <v>16502.294591392398</v>
      </c>
      <c r="BS96" s="2340">
        <v>16929.216691456524</v>
      </c>
      <c r="BT96" s="2340">
        <v>17388.806166220118</v>
      </c>
      <c r="BU96" s="2340">
        <v>17831.983395226001</v>
      </c>
      <c r="BV96" s="2340">
        <v>18312.972986243811</v>
      </c>
      <c r="BW96" s="2340">
        <v>18780.431062342028</v>
      </c>
      <c r="BX96" s="2340">
        <v>19268.074259736102</v>
      </c>
      <c r="BY96" s="2340">
        <v>19766.509289135247</v>
      </c>
      <c r="BZ96" s="2340">
        <v>20296.397920449755</v>
      </c>
      <c r="CA96" s="2340">
        <v>20802.503275239989</v>
      </c>
      <c r="CB96" s="2340">
        <v>21288.043576740209</v>
      </c>
      <c r="CC96" s="2340">
        <v>21815.149525965058</v>
      </c>
      <c r="CD96" s="2340">
        <v>22333.01171373302</v>
      </c>
      <c r="CE96" s="2340">
        <v>22846.156978375457</v>
      </c>
      <c r="CF96" s="2340">
        <v>23383.742429522714</v>
      </c>
      <c r="CG96" s="2340">
        <v>23905.546132599637</v>
      </c>
      <c r="CH96" s="2340">
        <v>24435.05689702784</v>
      </c>
      <c r="CI96" s="2340">
        <v>24982.270475980968</v>
      </c>
      <c r="CJ96" s="2340">
        <v>25497.639772965154</v>
      </c>
      <c r="CK96" s="2340">
        <v>26026.248867366288</v>
      </c>
      <c r="CL96" s="2340">
        <v>26582.227779558154</v>
      </c>
      <c r="CM96" s="2340">
        <v>27111.022840781021</v>
      </c>
      <c r="CN96" s="2340">
        <v>27650.859426759551</v>
      </c>
      <c r="CO96" s="2340">
        <v>28205.345150609159</v>
      </c>
      <c r="CP96" s="2340">
        <v>28748.013639398363</v>
      </c>
      <c r="CQ96" s="2340">
        <v>29295.564736586941</v>
      </c>
      <c r="CR96" s="2340">
        <v>29823.138627556691</v>
      </c>
      <c r="CS96" s="2340">
        <v>30376.097680063001</v>
      </c>
      <c r="CT96" s="2340">
        <v>30913.859111546735</v>
      </c>
      <c r="CU96" s="2340">
        <v>31459.304213826923</v>
      </c>
      <c r="CV96" s="2340">
        <v>31998.971757481559</v>
      </c>
      <c r="CW96" s="2340">
        <v>32531.26601697351</v>
      </c>
      <c r="CX96" s="2340">
        <v>33083.696795087817</v>
      </c>
      <c r="CY96" s="2340">
        <v>33614.093006950068</v>
      </c>
      <c r="CZ96" s="2340">
        <v>34158.478157401572</v>
      </c>
      <c r="DA96" s="2340">
        <v>34691.298749719077</v>
      </c>
      <c r="DB96" s="2340">
        <v>35247.53071758055</v>
      </c>
      <c r="DC96" s="2340">
        <v>35783.720666082176</v>
      </c>
      <c r="DD96" s="2340">
        <v>36324.333208743046</v>
      </c>
      <c r="DE96" s="2340">
        <v>36861.69556031745</v>
      </c>
      <c r="DF96" s="2340">
        <v>37410.180561479938</v>
      </c>
      <c r="DG96" s="2340">
        <v>37950.313358474115</v>
      </c>
      <c r="DH96" s="2340">
        <v>38486.04796510547</v>
      </c>
      <c r="DI96" s="2340">
        <v>39020.849487263404</v>
      </c>
      <c r="DJ96" s="2340">
        <v>39569.855088364508</v>
      </c>
      <c r="DK96" s="2340">
        <v>40103.344199278246</v>
      </c>
      <c r="DL96" s="2340">
        <v>40629.6897343698</v>
      </c>
      <c r="DM96" s="2340">
        <v>41165.171758801516</v>
      </c>
      <c r="DN96" s="2340">
        <v>41687.736823618892</v>
      </c>
      <c r="DO96" s="2340">
        <v>42224.479452656247</v>
      </c>
      <c r="DP96" s="2340">
        <v>42755.015880795137</v>
      </c>
      <c r="DQ96" s="2340">
        <v>43279.025094846154</v>
      </c>
      <c r="DR96" s="2340">
        <v>43814.729900056824</v>
      </c>
      <c r="DS96" s="2340">
        <v>44332.081151835242</v>
      </c>
      <c r="DT96" s="2340">
        <v>44858.921278249836</v>
      </c>
      <c r="DU96" s="2340">
        <v>45383.608179169612</v>
      </c>
    </row>
    <row r="97" spans="1:125" ht="12.75">
      <c r="A97" s="131">
        <v>95</v>
      </c>
      <c r="B97" s="132"/>
      <c r="C97" s="132"/>
      <c r="D97" s="132"/>
      <c r="E97" s="132"/>
      <c r="F97" s="132"/>
      <c r="G97" s="132"/>
      <c r="H97" s="132"/>
      <c r="I97" s="132"/>
      <c r="J97" s="132"/>
      <c r="K97" s="132"/>
      <c r="L97" s="132"/>
      <c r="M97" s="132"/>
      <c r="N97" s="132"/>
      <c r="O97" s="132"/>
      <c r="P97" s="132"/>
      <c r="Q97" s="132"/>
      <c r="R97" s="132"/>
      <c r="S97" s="132"/>
      <c r="T97" s="132"/>
      <c r="U97" s="132"/>
      <c r="V97" s="132"/>
      <c r="W97" s="132">
        <v>2251</v>
      </c>
      <c r="X97" s="132">
        <v>2385</v>
      </c>
      <c r="Y97" s="132">
        <v>2519.9550113474761</v>
      </c>
      <c r="Z97" s="132">
        <v>2734.1403276734213</v>
      </c>
      <c r="AA97" s="2340">
        <v>2861.2734679961682</v>
      </c>
      <c r="AB97" s="2340">
        <v>2970.6550659888826</v>
      </c>
      <c r="AC97" s="2340">
        <v>2936.8768450358784</v>
      </c>
      <c r="AD97" s="2340">
        <v>2928.9771544391265</v>
      </c>
      <c r="AE97" s="2340">
        <v>2942.4364994850166</v>
      </c>
      <c r="AF97" s="2340">
        <v>3141.8313806134729</v>
      </c>
      <c r="AG97" s="2340">
        <v>3299.0980191438557</v>
      </c>
      <c r="AH97" s="2340">
        <v>3467.7388603281761</v>
      </c>
      <c r="AI97" s="2340">
        <v>3659.1428637833842</v>
      </c>
      <c r="AJ97" s="2340">
        <v>3908.1544390112022</v>
      </c>
      <c r="AK97" s="2340">
        <v>4103.616325024831</v>
      </c>
      <c r="AL97" s="2340">
        <v>4355.6014233191509</v>
      </c>
      <c r="AM97" s="2340">
        <v>4581.8765922522962</v>
      </c>
      <c r="AN97" s="2340">
        <v>4780.1735334805289</v>
      </c>
      <c r="AO97" s="2340">
        <v>4935.7254885766433</v>
      </c>
      <c r="AP97" s="2340">
        <v>5098.8786474143781</v>
      </c>
      <c r="AQ97" s="2340">
        <v>5289.863486975144</v>
      </c>
      <c r="AR97" s="2340">
        <v>5500.3808548976458</v>
      </c>
      <c r="AS97" s="2340">
        <v>5593.3569311492429</v>
      </c>
      <c r="AT97" s="2340">
        <v>5688.8406927656197</v>
      </c>
      <c r="AU97" s="2340">
        <v>5759.9516781341572</v>
      </c>
      <c r="AV97" s="2340">
        <v>5957.6888996811786</v>
      </c>
      <c r="AW97" s="2340">
        <v>6243.5144483105696</v>
      </c>
      <c r="AX97" s="2340">
        <v>6615.0741102933625</v>
      </c>
      <c r="AY97" s="2340">
        <v>6966.1007966900488</v>
      </c>
      <c r="AZ97" s="2340">
        <v>7165.6681247049182</v>
      </c>
      <c r="BA97" s="2340">
        <v>7372.3316527322295</v>
      </c>
      <c r="BB97" s="2340">
        <v>7676.4585445281946</v>
      </c>
      <c r="BC97" s="2340">
        <v>7939.923337711597</v>
      </c>
      <c r="BD97" s="2340">
        <v>8248.0599342471141</v>
      </c>
      <c r="BE97" s="2340">
        <v>8537.8666700376052</v>
      </c>
      <c r="BF97" s="2340">
        <v>8867.8790078859311</v>
      </c>
      <c r="BG97" s="2340">
        <v>9159.2562424249645</v>
      </c>
      <c r="BH97" s="2340">
        <v>9530.564402757509</v>
      </c>
      <c r="BI97" s="2340">
        <v>9867.6809865022296</v>
      </c>
      <c r="BJ97" s="2340">
        <v>10225.131975343049</v>
      </c>
      <c r="BK97" s="2340">
        <v>10596.834129558147</v>
      </c>
      <c r="BL97" s="2340">
        <v>11002.56251474182</v>
      </c>
      <c r="BM97" s="2340">
        <v>11410.971168282893</v>
      </c>
      <c r="BN97" s="2340">
        <v>11816.715075137765</v>
      </c>
      <c r="BO97" s="2340">
        <v>12216.938458810992</v>
      </c>
      <c r="BP97" s="2340">
        <v>12612.518135120503</v>
      </c>
      <c r="BQ97" s="2340">
        <v>13013.788999672312</v>
      </c>
      <c r="BR97" s="2340">
        <v>13413.278602799495</v>
      </c>
      <c r="BS97" s="2340">
        <v>13793.151021645725</v>
      </c>
      <c r="BT97" s="2340">
        <v>14201.010215308861</v>
      </c>
      <c r="BU97" s="2340">
        <v>14596.845005939907</v>
      </c>
      <c r="BV97" s="2340">
        <v>15025.028087617451</v>
      </c>
      <c r="BW97" s="2340">
        <v>15443.527188282613</v>
      </c>
      <c r="BX97" s="2340">
        <v>15880.031247843906</v>
      </c>
      <c r="BY97" s="2340">
        <v>16326.868832168435</v>
      </c>
      <c r="BZ97" s="2340">
        <v>16801.178053129668</v>
      </c>
      <c r="CA97" s="2340">
        <v>17257.279979663119</v>
      </c>
      <c r="CB97" s="2340">
        <v>17697.698350707098</v>
      </c>
      <c r="CC97" s="2340">
        <v>18174.062013996128</v>
      </c>
      <c r="CD97" s="2340">
        <v>18644.147403190538</v>
      </c>
      <c r="CE97" s="2340">
        <v>19111.669502238386</v>
      </c>
      <c r="CF97" s="2340">
        <v>19601.021230579205</v>
      </c>
      <c r="CG97" s="2340">
        <v>20078.519819116169</v>
      </c>
      <c r="CH97" s="2340">
        <v>20563.830263419641</v>
      </c>
      <c r="CI97" s="2340">
        <v>21065.396375690496</v>
      </c>
      <c r="CJ97" s="2340">
        <v>21541.422349324232</v>
      </c>
      <c r="CK97" s="2340">
        <v>22029.892466848149</v>
      </c>
      <c r="CL97" s="2340">
        <v>22542.831390127954</v>
      </c>
      <c r="CM97" s="2340">
        <v>23033.996995027257</v>
      </c>
      <c r="CN97" s="2340">
        <v>23535.775851770442</v>
      </c>
      <c r="CO97" s="2340">
        <v>24051.274217947845</v>
      </c>
      <c r="CP97" s="2340">
        <v>24557.9290020642</v>
      </c>
      <c r="CQ97" s="2340">
        <v>25069.955904498929</v>
      </c>
      <c r="CR97" s="2340">
        <v>25566.04474057164</v>
      </c>
      <c r="CS97" s="2340">
        <v>26085.040263923744</v>
      </c>
      <c r="CT97" s="2340">
        <v>26592.125118622367</v>
      </c>
      <c r="CU97" s="2340">
        <v>27106.928425146227</v>
      </c>
      <c r="CV97" s="2340">
        <v>27617.845595388557</v>
      </c>
      <c r="CW97" s="2340">
        <v>28123.452976648507</v>
      </c>
      <c r="CX97" s="2340">
        <v>28647.521527696284</v>
      </c>
      <c r="CY97" s="2340">
        <v>29153.541840111851</v>
      </c>
      <c r="CZ97" s="2340">
        <v>29672.696760068753</v>
      </c>
      <c r="DA97" s="2340">
        <v>30182.793135348216</v>
      </c>
      <c r="DB97" s="2340">
        <v>30714.243691175452</v>
      </c>
      <c r="DC97" s="2340">
        <v>31229.202080972056</v>
      </c>
      <c r="DD97" s="2340">
        <v>31748.953958010341</v>
      </c>
      <c r="DE97" s="2340">
        <v>32266.783338782305</v>
      </c>
      <c r="DF97" s="2340">
        <v>32795.260533496461</v>
      </c>
      <c r="DG97" s="2340">
        <v>33317.31437082871</v>
      </c>
      <c r="DH97" s="2340">
        <v>33836.372731771</v>
      </c>
      <c r="DI97" s="2340">
        <v>34355.453767548919</v>
      </c>
      <c r="DJ97" s="2340">
        <v>34887.884399863302</v>
      </c>
      <c r="DK97" s="2340">
        <v>35407.461020479648</v>
      </c>
      <c r="DL97" s="2340">
        <v>35921.514004330507</v>
      </c>
      <c r="DM97" s="2340">
        <v>36444.415755717404</v>
      </c>
      <c r="DN97" s="2340">
        <v>36956.633807545368</v>
      </c>
      <c r="DO97" s="2340">
        <v>37482.159469039441</v>
      </c>
      <c r="DP97" s="2340">
        <v>38002.910246999141</v>
      </c>
      <c r="DQ97" s="2340">
        <v>38518.564802486653</v>
      </c>
      <c r="DR97" s="2340">
        <v>39045.326242901116</v>
      </c>
      <c r="DS97" s="2340">
        <v>39556.408779706057</v>
      </c>
      <c r="DT97" s="2340">
        <v>40076.61160201567</v>
      </c>
      <c r="DU97" s="2340">
        <v>40595.5396868432</v>
      </c>
    </row>
    <row r="98" spans="1:125" ht="12.75">
      <c r="A98" s="131">
        <v>96</v>
      </c>
      <c r="B98" s="132"/>
      <c r="C98" s="132"/>
      <c r="D98" s="132"/>
      <c r="E98" s="132"/>
      <c r="F98" s="132"/>
      <c r="G98" s="132"/>
      <c r="H98" s="132"/>
      <c r="I98" s="132"/>
      <c r="J98" s="132"/>
      <c r="K98" s="132"/>
      <c r="L98" s="132"/>
      <c r="M98" s="132"/>
      <c r="N98" s="132"/>
      <c r="O98" s="132"/>
      <c r="P98" s="132"/>
      <c r="Q98" s="132"/>
      <c r="R98" s="132"/>
      <c r="S98" s="132"/>
      <c r="T98" s="132"/>
      <c r="U98" s="132"/>
      <c r="V98" s="132"/>
      <c r="W98" s="132">
        <v>1586</v>
      </c>
      <c r="X98" s="132">
        <v>1686</v>
      </c>
      <c r="Y98" s="132">
        <v>1789.0988736665281</v>
      </c>
      <c r="Z98" s="132">
        <v>1949.7204494132632</v>
      </c>
      <c r="AA98" s="2340">
        <v>2056.1292891796043</v>
      </c>
      <c r="AB98" s="2340">
        <v>2081.4246786241119</v>
      </c>
      <c r="AC98" s="2340">
        <v>2045.5468586592506</v>
      </c>
      <c r="AD98" s="2340">
        <v>2044.2766772741547</v>
      </c>
      <c r="AE98" s="2340">
        <v>2061.1202314563402</v>
      </c>
      <c r="AF98" s="2340">
        <v>2208.6749169255622</v>
      </c>
      <c r="AG98" s="2340">
        <v>2327.4337353082492</v>
      </c>
      <c r="AH98" s="2340">
        <v>2454.9489483596367</v>
      </c>
      <c r="AI98" s="2340">
        <v>2599.3844707770659</v>
      </c>
      <c r="AJ98" s="2340">
        <v>2785.732080438559</v>
      </c>
      <c r="AK98" s="2340">
        <v>2934.8948365037095</v>
      </c>
      <c r="AL98" s="2340">
        <v>3125.4609275546036</v>
      </c>
      <c r="AM98" s="2340">
        <v>3298.6158392721568</v>
      </c>
      <c r="AN98" s="2340">
        <v>3452.5260304536541</v>
      </c>
      <c r="AO98" s="2340">
        <v>3576.2844086685282</v>
      </c>
      <c r="AP98" s="2340">
        <v>3706.1803760607513</v>
      </c>
      <c r="AQ98" s="2340">
        <v>3858.750109873522</v>
      </c>
      <c r="AR98" s="2340">
        <v>4026.4634286086621</v>
      </c>
      <c r="AS98" s="2340">
        <v>4108.7640577532457</v>
      </c>
      <c r="AT98" s="2340">
        <v>4193.236351057747</v>
      </c>
      <c r="AU98" s="2340">
        <v>4260.0127156427952</v>
      </c>
      <c r="AV98" s="2340">
        <v>4420.957040013709</v>
      </c>
      <c r="AW98" s="2340">
        <v>4648.3014478029518</v>
      </c>
      <c r="AX98" s="2340">
        <v>4940.9126144585698</v>
      </c>
      <c r="AY98" s="2340">
        <v>5219.758838119189</v>
      </c>
      <c r="AZ98" s="2340">
        <v>5386.2542200126591</v>
      </c>
      <c r="BA98" s="2340">
        <v>5558.8640620146762</v>
      </c>
      <c r="BB98" s="2340">
        <v>5805.9727675331305</v>
      </c>
      <c r="BC98" s="2340">
        <v>6023.451977703955</v>
      </c>
      <c r="BD98" s="2340">
        <v>6275.9353586165125</v>
      </c>
      <c r="BE98" s="2340">
        <v>6515.6278556576626</v>
      </c>
      <c r="BF98" s="2340">
        <v>6787.1887835969173</v>
      </c>
      <c r="BG98" s="2340">
        <v>7030.3498631393304</v>
      </c>
      <c r="BH98" s="2340">
        <v>7336.1038021872846</v>
      </c>
      <c r="BI98" s="2340">
        <v>7616.8585114987436</v>
      </c>
      <c r="BJ98" s="2340">
        <v>7914.5773735474431</v>
      </c>
      <c r="BK98" s="2340">
        <v>8224.647500546138</v>
      </c>
      <c r="BL98" s="2340">
        <v>8562.5265218775658</v>
      </c>
      <c r="BM98" s="2340">
        <v>8903.9444096195257</v>
      </c>
      <c r="BN98" s="2340">
        <v>9244.7122717006041</v>
      </c>
      <c r="BO98" s="2340">
        <v>9582.5504125634016</v>
      </c>
      <c r="BP98" s="2340">
        <v>9918.0921206542189</v>
      </c>
      <c r="BQ98" s="2340">
        <v>10259.434939479806</v>
      </c>
      <c r="BR98" s="2340">
        <v>10600.685024955375</v>
      </c>
      <c r="BS98" s="2340">
        <v>10927.679619926113</v>
      </c>
      <c r="BT98" s="2340">
        <v>11278.0901618427</v>
      </c>
      <c r="BU98" s="2340">
        <v>11620.204417976287</v>
      </c>
      <c r="BV98" s="2340">
        <v>11989.340784521642</v>
      </c>
      <c r="BW98" s="2340">
        <v>12352.041441362762</v>
      </c>
      <c r="BX98" s="2340">
        <v>12730.4281923869</v>
      </c>
      <c r="BY98" s="2340">
        <v>13118.414662525716</v>
      </c>
      <c r="BZ98" s="2340">
        <v>13529.836258745752</v>
      </c>
      <c r="CA98" s="2340">
        <v>13927.951786728934</v>
      </c>
      <c r="CB98" s="2340">
        <v>14314.682831338541</v>
      </c>
      <c r="CC98" s="2340">
        <v>14731.775247110401</v>
      </c>
      <c r="CD98" s="2340">
        <v>15145.095774627687</v>
      </c>
      <c r="CE98" s="2340">
        <v>15557.613960308065</v>
      </c>
      <c r="CF98" s="2340">
        <v>15989.193198641931</v>
      </c>
      <c r="CG98" s="2340">
        <v>16412.389491113681</v>
      </c>
      <c r="CH98" s="2340">
        <v>16843.228761329108</v>
      </c>
      <c r="CI98" s="2340">
        <v>17288.65833852076</v>
      </c>
      <c r="CJ98" s="2340">
        <v>17714.365945480378</v>
      </c>
      <c r="CK98" s="2340">
        <v>18151.503652981592</v>
      </c>
      <c r="CL98" s="2340">
        <v>18610.037617892416</v>
      </c>
      <c r="CM98" s="2340">
        <v>19051.815394475183</v>
      </c>
      <c r="CN98" s="2340">
        <v>19503.55173239786</v>
      </c>
      <c r="CO98" s="2340">
        <v>19967.854639942991</v>
      </c>
      <c r="CP98" s="2340">
        <v>20425.999953252638</v>
      </c>
      <c r="CQ98" s="2340">
        <v>20889.772342147648</v>
      </c>
      <c r="CR98" s="2340">
        <v>21341.387252536086</v>
      </c>
      <c r="CS98" s="2340">
        <v>21813.237426001193</v>
      </c>
      <c r="CT98" s="2340">
        <v>22276.238205474077</v>
      </c>
      <c r="CU98" s="2340">
        <v>22746.789983917341</v>
      </c>
      <c r="CV98" s="2340">
        <v>23215.152576098804</v>
      </c>
      <c r="CW98" s="2340">
        <v>23680.091870649947</v>
      </c>
      <c r="CX98" s="2340">
        <v>24161.61576800832</v>
      </c>
      <c r="CY98" s="2340">
        <v>24628.940215474067</v>
      </c>
      <c r="CZ98" s="2340">
        <v>25108.35848738272</v>
      </c>
      <c r="DA98" s="2340">
        <v>25581.097303146697</v>
      </c>
      <c r="DB98" s="2340">
        <v>26072.919316414049</v>
      </c>
      <c r="DC98" s="2340">
        <v>26551.715183275166</v>
      </c>
      <c r="DD98" s="2340">
        <v>27035.527516464059</v>
      </c>
      <c r="DE98" s="2340">
        <v>27518.63065228354</v>
      </c>
      <c r="DF98" s="2340">
        <v>28011.737246576373</v>
      </c>
      <c r="DG98" s="2340">
        <v>28500.268792396597</v>
      </c>
      <c r="DH98" s="2340">
        <v>28987.120958183656</v>
      </c>
      <c r="DI98" s="2340">
        <v>29474.855819866749</v>
      </c>
      <c r="DJ98" s="2340">
        <v>29974.907964365189</v>
      </c>
      <c r="DK98" s="2340">
        <v>30464.765347980978</v>
      </c>
      <c r="DL98" s="2340">
        <v>30950.681391335795</v>
      </c>
      <c r="DM98" s="2340">
        <v>31445.021971587317</v>
      </c>
      <c r="DN98" s="2340">
        <v>31930.927803641061</v>
      </c>
      <c r="DO98" s="2340">
        <v>32429.103443946773</v>
      </c>
      <c r="DP98" s="2340">
        <v>32923.915485783924</v>
      </c>
      <c r="DQ98" s="2340">
        <v>33415.054287689461</v>
      </c>
      <c r="DR98" s="2340">
        <v>33916.563192086905</v>
      </c>
      <c r="DS98" s="2340">
        <v>34405.168620622819</v>
      </c>
      <c r="DT98" s="2340">
        <v>34902.401664181103</v>
      </c>
      <c r="DU98" s="2340">
        <v>35399.215113891711</v>
      </c>
    </row>
    <row r="99" spans="1:125" ht="12.75">
      <c r="A99" s="131">
        <v>97</v>
      </c>
      <c r="B99" s="132"/>
      <c r="C99" s="132"/>
      <c r="D99" s="132"/>
      <c r="E99" s="132"/>
      <c r="F99" s="132"/>
      <c r="G99" s="132"/>
      <c r="H99" s="132"/>
      <c r="I99" s="132"/>
      <c r="J99" s="132"/>
      <c r="K99" s="132"/>
      <c r="L99" s="132"/>
      <c r="M99" s="132"/>
      <c r="N99" s="132"/>
      <c r="O99" s="132"/>
      <c r="P99" s="132"/>
      <c r="Q99" s="132"/>
      <c r="R99" s="132"/>
      <c r="S99" s="132"/>
      <c r="T99" s="132"/>
      <c r="U99" s="132"/>
      <c r="V99" s="132"/>
      <c r="W99" s="132">
        <v>1082</v>
      </c>
      <c r="X99" s="132">
        <v>1155</v>
      </c>
      <c r="Y99" s="132">
        <v>1229.9300120485432</v>
      </c>
      <c r="Z99" s="132">
        <v>1346.4517851181752</v>
      </c>
      <c r="AA99" s="2340">
        <v>1431.2543823069104</v>
      </c>
      <c r="AB99" s="2340">
        <v>1411.5121646646085</v>
      </c>
      <c r="AC99" s="2340">
        <v>1378.6769147840746</v>
      </c>
      <c r="AD99" s="2340">
        <v>1380.7745362159962</v>
      </c>
      <c r="AE99" s="2340">
        <v>1397.3695641333468</v>
      </c>
      <c r="AF99" s="2340">
        <v>1502.9478802620265</v>
      </c>
      <c r="AG99" s="2340">
        <v>1589.5465899783094</v>
      </c>
      <c r="AH99" s="2340">
        <v>1682.6825709341188</v>
      </c>
      <c r="AI99" s="2340">
        <v>1788.0281345280955</v>
      </c>
      <c r="AJ99" s="2340">
        <v>1922.9495473189866</v>
      </c>
      <c r="AK99" s="2340">
        <v>2032.9501696833531</v>
      </c>
      <c r="AL99" s="2340">
        <v>2172.3767254103082</v>
      </c>
      <c r="AM99" s="2340">
        <v>2300.4945789826875</v>
      </c>
      <c r="AN99" s="2340">
        <v>2415.8872554723953</v>
      </c>
      <c r="AO99" s="2340">
        <v>2510.7535300978725</v>
      </c>
      <c r="AP99" s="2340">
        <v>2610.4374992928638</v>
      </c>
      <c r="AQ99" s="2340">
        <v>2727.9297461636806</v>
      </c>
      <c r="AR99" s="2340">
        <v>2856.8516774469254</v>
      </c>
      <c r="AS99" s="2340">
        <v>2925.7052137859296</v>
      </c>
      <c r="AT99" s="2340">
        <v>2996.4189629502421</v>
      </c>
      <c r="AU99" s="2340">
        <v>3054.7572252020345</v>
      </c>
      <c r="AV99" s="2340">
        <v>3181.0746045624319</v>
      </c>
      <c r="AW99" s="2340">
        <v>3356.0088774235346</v>
      </c>
      <c r="AX99" s="2340">
        <v>3579.2093131091542</v>
      </c>
      <c r="AY99" s="2340">
        <v>3793.688454528316</v>
      </c>
      <c r="AZ99" s="2340">
        <v>3927.4430833278475</v>
      </c>
      <c r="BA99" s="2340">
        <v>4066.322209811472</v>
      </c>
      <c r="BB99" s="2340">
        <v>4260.5393937478921</v>
      </c>
      <c r="BC99" s="2340">
        <v>4433.9458566025996</v>
      </c>
      <c r="BD99" s="2340">
        <v>4634.0480247616015</v>
      </c>
      <c r="BE99" s="2340">
        <v>4825.669415384702</v>
      </c>
      <c r="BF99" s="2340">
        <v>5041.8838565780516</v>
      </c>
      <c r="BG99" s="2340">
        <v>5237.98355281968</v>
      </c>
      <c r="BH99" s="2340">
        <v>5481.7584808680676</v>
      </c>
      <c r="BI99" s="2340">
        <v>5707.9581810912869</v>
      </c>
      <c r="BJ99" s="2340">
        <v>5947.9400878418583</v>
      </c>
      <c r="BK99" s="2340">
        <v>6198.3182684192207</v>
      </c>
      <c r="BL99" s="2340">
        <v>6470.8338715431437</v>
      </c>
      <c r="BM99" s="2340">
        <v>6747.2495652018315</v>
      </c>
      <c r="BN99" s="2340">
        <v>7024.3843502902891</v>
      </c>
      <c r="BO99" s="2340">
        <v>7300.4776696860117</v>
      </c>
      <c r="BP99" s="2340">
        <v>7575.9761591777315</v>
      </c>
      <c r="BQ99" s="2340">
        <v>7857.0485153961381</v>
      </c>
      <c r="BR99" s="2340">
        <v>8139.184966629904</v>
      </c>
      <c r="BS99" s="2340">
        <v>8411.464623546457</v>
      </c>
      <c r="BT99" s="2340">
        <v>8702.8564376790328</v>
      </c>
      <c r="BU99" s="2340">
        <v>8988.9452658711925</v>
      </c>
      <c r="BV99" s="2340">
        <v>9297.053220986043</v>
      </c>
      <c r="BW99" s="2340">
        <v>9601.3065892984159</v>
      </c>
      <c r="BX99" s="2340">
        <v>9918.8869183161623</v>
      </c>
      <c r="BY99" s="2340">
        <v>10245.108344286786</v>
      </c>
      <c r="BZ99" s="2340">
        <v>10590.833847326787</v>
      </c>
      <c r="CA99" s="2340">
        <v>10927.343951260831</v>
      </c>
      <c r="CB99" s="2340">
        <v>11256.058787549831</v>
      </c>
      <c r="CC99" s="2340">
        <v>11609.798343814236</v>
      </c>
      <c r="CD99" s="2340">
        <v>11961.743107259164</v>
      </c>
      <c r="CE99" s="2340">
        <v>12314.204387794038</v>
      </c>
      <c r="CF99" s="2340">
        <v>12682.914819845937</v>
      </c>
      <c r="CG99" s="2340">
        <v>13046.136256665219</v>
      </c>
      <c r="CH99" s="2340">
        <v>13416.572797626184</v>
      </c>
      <c r="CI99" s="2340">
        <v>13799.788491610503</v>
      </c>
      <c r="CJ99" s="2340">
        <v>14168.39160212061</v>
      </c>
      <c r="CK99" s="2340">
        <v>14547.233696188901</v>
      </c>
      <c r="CL99" s="2340">
        <v>14944.354178789004</v>
      </c>
      <c r="CM99" s="2340">
        <v>15329.138062702203</v>
      </c>
      <c r="CN99" s="2340">
        <v>15723.023993617828</v>
      </c>
      <c r="CO99" s="2340">
        <v>16128.146303018304</v>
      </c>
      <c r="CP99" s="2340">
        <v>16529.39186751562</v>
      </c>
      <c r="CQ99" s="2340">
        <v>16936.268293456706</v>
      </c>
      <c r="CR99" s="2340">
        <v>17334.337234054223</v>
      </c>
      <c r="CS99" s="2340">
        <v>17749.8850798001</v>
      </c>
      <c r="CT99" s="2340">
        <v>18159.273926416805</v>
      </c>
      <c r="CU99" s="2340">
        <v>18575.840319889758</v>
      </c>
      <c r="CV99" s="2340">
        <v>18991.631156722331</v>
      </c>
      <c r="CW99" s="2340">
        <v>19405.608237031396</v>
      </c>
      <c r="CX99" s="2340">
        <v>19834.164346374517</v>
      </c>
      <c r="CY99" s="2340">
        <v>20252.038589355107</v>
      </c>
      <c r="CZ99" s="2340">
        <v>20680.811869765384</v>
      </c>
      <c r="DA99" s="2340">
        <v>21105.028790664808</v>
      </c>
      <c r="DB99" s="2340">
        <v>21545.935215472298</v>
      </c>
      <c r="DC99" s="2340">
        <v>21977.014262597069</v>
      </c>
      <c r="DD99" s="2340">
        <v>22413.15544205856</v>
      </c>
      <c r="DE99" s="2340">
        <v>22849.608286357899</v>
      </c>
      <c r="DF99" s="2340">
        <v>23295.263064425431</v>
      </c>
      <c r="DG99" s="2340">
        <v>23738.000034658424</v>
      </c>
      <c r="DH99" s="2340">
        <v>24180.201499721948</v>
      </c>
      <c r="DI99" s="2340">
        <v>24623.986175987182</v>
      </c>
      <c r="DJ99" s="2340">
        <v>25078.909149799863</v>
      </c>
      <c r="DK99" s="2340">
        <v>25526.138226979252</v>
      </c>
      <c r="DL99" s="2340">
        <v>25970.86838236899</v>
      </c>
      <c r="DM99" s="2340">
        <v>26423.461983396111</v>
      </c>
      <c r="DN99" s="2340">
        <v>26869.74787788669</v>
      </c>
      <c r="DO99" s="2340">
        <v>27327.129162063222</v>
      </c>
      <c r="DP99" s="2340">
        <v>27782.442880802861</v>
      </c>
      <c r="DQ99" s="2340">
        <v>28235.401747040793</v>
      </c>
      <c r="DR99" s="2340">
        <v>28697.862017163632</v>
      </c>
      <c r="DS99" s="2340">
        <v>29150.12668817048</v>
      </c>
      <c r="DT99" s="2340">
        <v>29610.405486592317</v>
      </c>
      <c r="DU99" s="2340">
        <v>30071.028714153526</v>
      </c>
    </row>
    <row r="100" spans="1:125" ht="12.75">
      <c r="A100" s="131">
        <v>98</v>
      </c>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v>714</v>
      </c>
      <c r="X100" s="132">
        <v>765</v>
      </c>
      <c r="Y100" s="132">
        <v>818.08415227169723</v>
      </c>
      <c r="Z100" s="132">
        <v>899.80167022698265</v>
      </c>
      <c r="AA100" s="2340">
        <v>964.35160960016037</v>
      </c>
      <c r="AB100" s="2340">
        <v>925.72080304880092</v>
      </c>
      <c r="AC100" s="2340">
        <v>898.4541054473782</v>
      </c>
      <c r="AD100" s="2340">
        <v>901.81611736763011</v>
      </c>
      <c r="AE100" s="2340">
        <v>916.19255777156366</v>
      </c>
      <c r="AF100" s="2340">
        <v>989.1862047428192</v>
      </c>
      <c r="AG100" s="2340">
        <v>1050.1341850278541</v>
      </c>
      <c r="AH100" s="2340">
        <v>1115.8099718349827</v>
      </c>
      <c r="AI100" s="2340">
        <v>1190.0311891066356</v>
      </c>
      <c r="AJ100" s="2340">
        <v>1284.4808116193226</v>
      </c>
      <c r="AK100" s="2340">
        <v>1362.8319604978128</v>
      </c>
      <c r="AL100" s="2340">
        <v>1461.4602012448472</v>
      </c>
      <c r="AM100" s="2340">
        <v>1553.0666225495268</v>
      </c>
      <c r="AN100" s="2340">
        <v>1636.6039938983936</v>
      </c>
      <c r="AO100" s="2340">
        <v>1706.6735197482117</v>
      </c>
      <c r="AP100" s="2340">
        <v>1780.4129264776716</v>
      </c>
      <c r="AQ100" s="2340">
        <v>1867.6377041322553</v>
      </c>
      <c r="AR100" s="2340">
        <v>1963.251150352027</v>
      </c>
      <c r="AS100" s="2340">
        <v>2018.0158208417947</v>
      </c>
      <c r="AT100" s="2340">
        <v>2074.339767618977</v>
      </c>
      <c r="AU100" s="2340">
        <v>2122.3418077201632</v>
      </c>
      <c r="AV100" s="2340">
        <v>2217.9515622381386</v>
      </c>
      <c r="AW100" s="2340">
        <v>2348.1160491508458</v>
      </c>
      <c r="AX100" s="2340">
        <v>2512.9326723439235</v>
      </c>
      <c r="AY100" s="2340">
        <v>2672.5886890610523</v>
      </c>
      <c r="AZ100" s="2340">
        <v>2776.1110113412142</v>
      </c>
      <c r="BA100" s="2340">
        <v>2883.8009817237726</v>
      </c>
      <c r="BB100" s="2340">
        <v>3031.4128594037415</v>
      </c>
      <c r="BC100" s="2340">
        <v>3164.9631868234646</v>
      </c>
      <c r="BD100" s="2340">
        <v>3318.3154605981058</v>
      </c>
      <c r="BE100" s="2340">
        <v>3466.3704499572068</v>
      </c>
      <c r="BF100" s="2340">
        <v>3632.8897795126163</v>
      </c>
      <c r="BG100" s="2340">
        <v>3785.7114216483001</v>
      </c>
      <c r="BH100" s="2340">
        <v>3973.8326141296143</v>
      </c>
      <c r="BI100" s="2340">
        <v>4150.1075226164357</v>
      </c>
      <c r="BJ100" s="2340">
        <v>4337.2746422150294</v>
      </c>
      <c r="BK100" s="2340">
        <v>4532.9312965861882</v>
      </c>
      <c r="BL100" s="2340">
        <v>4745.7391819948934</v>
      </c>
      <c r="BM100" s="2340">
        <v>4962.4075966151104</v>
      </c>
      <c r="BN100" s="2340">
        <v>5180.5983007366121</v>
      </c>
      <c r="BO100" s="2340">
        <v>5398.9975074238155</v>
      </c>
      <c r="BP100" s="2340">
        <v>5617.9141911721354</v>
      </c>
      <c r="BQ100" s="2340">
        <v>5841.9157214824518</v>
      </c>
      <c r="BR100" s="2340">
        <v>6067.6575057736536</v>
      </c>
      <c r="BS100" s="2340">
        <v>6286.9676190888476</v>
      </c>
      <c r="BT100" s="2340">
        <v>6521.4817403270745</v>
      </c>
      <c r="BU100" s="2340">
        <v>6752.9524083305942</v>
      </c>
      <c r="BV100" s="2340">
        <v>7001.91135809138</v>
      </c>
      <c r="BW100" s="2340">
        <v>7248.9321138425876</v>
      </c>
      <c r="BX100" s="2340">
        <v>7506.9809683119001</v>
      </c>
      <c r="BY100" s="2340">
        <v>7772.5602684940304</v>
      </c>
      <c r="BZ100" s="2340">
        <v>8053.9616013497152</v>
      </c>
      <c r="CA100" s="2340">
        <v>8329.3816392407498</v>
      </c>
      <c r="CB100" s="2340">
        <v>8599.8393042975149</v>
      </c>
      <c r="CC100" s="2340">
        <v>8890.4097117209021</v>
      </c>
      <c r="CD100" s="2340">
        <v>9180.6230582578683</v>
      </c>
      <c r="CE100" s="2340">
        <v>9472.2310741147649</v>
      </c>
      <c r="CF100" s="2340">
        <v>9777.3481886830432</v>
      </c>
      <c r="CG100" s="2340">
        <v>10079.245238247187</v>
      </c>
      <c r="CH100" s="2340">
        <v>10387.713967990157</v>
      </c>
      <c r="CI100" s="2340">
        <v>10707.090547311826</v>
      </c>
      <c r="CJ100" s="2340">
        <v>11016.123246987579</v>
      </c>
      <c r="CK100" s="2340">
        <v>11334.086941724247</v>
      </c>
      <c r="CL100" s="2340">
        <v>11667.290995529645</v>
      </c>
      <c r="CM100" s="2340">
        <v>11991.855660984274</v>
      </c>
      <c r="CN100" s="2340">
        <v>12324.510945433369</v>
      </c>
      <c r="CO100" s="2340">
        <v>12666.959148421982</v>
      </c>
      <c r="CP100" s="2340">
        <v>13007.342565160085</v>
      </c>
      <c r="CQ100" s="2340">
        <v>13353.123089819743</v>
      </c>
      <c r="CR100" s="2340">
        <v>13692.904495167735</v>
      </c>
      <c r="CS100" s="2340">
        <v>14047.434725984906</v>
      </c>
      <c r="CT100" s="2340">
        <v>14398.033092487878</v>
      </c>
      <c r="CU100" s="2340">
        <v>14755.25017372452</v>
      </c>
      <c r="CV100" s="2340">
        <v>15112.772436552405</v>
      </c>
      <c r="CW100" s="2340">
        <v>15469.753181547509</v>
      </c>
      <c r="CX100" s="2340">
        <v>15839.260288440651</v>
      </c>
      <c r="CY100" s="2340">
        <v>16201.131287551345</v>
      </c>
      <c r="CZ100" s="2340">
        <v>16572.600358943782</v>
      </c>
      <c r="DA100" s="2340">
        <v>16941.290852884667</v>
      </c>
      <c r="DB100" s="2340">
        <v>17324.252151247194</v>
      </c>
      <c r="DC100" s="2340">
        <v>17700.179710586308</v>
      </c>
      <c r="DD100" s="2340">
        <v>18081.030969474883</v>
      </c>
      <c r="DE100" s="2340">
        <v>18462.972673746299</v>
      </c>
      <c r="DF100" s="2340">
        <v>18853.1864469139</v>
      </c>
      <c r="DG100" s="2340">
        <v>19241.869016917564</v>
      </c>
      <c r="DH100" s="2340">
        <v>19630.928834699767</v>
      </c>
      <c r="DI100" s="2340">
        <v>20022.072407752734</v>
      </c>
      <c r="DJ100" s="2340">
        <v>20423.072828342723</v>
      </c>
      <c r="DK100" s="2340">
        <v>20818.598084189038</v>
      </c>
      <c r="DL100" s="2340">
        <v>21212.849285481258</v>
      </c>
      <c r="DM100" s="2340">
        <v>21614.280208061675</v>
      </c>
      <c r="DN100" s="2340">
        <v>22011.296817062204</v>
      </c>
      <c r="DO100" s="2340">
        <v>22418.140290085834</v>
      </c>
      <c r="DP100" s="2340">
        <v>22824.022714488303</v>
      </c>
      <c r="DQ100" s="2340">
        <v>23228.687421548966</v>
      </c>
      <c r="DR100" s="2340">
        <v>23641.880871317993</v>
      </c>
      <c r="DS100" s="2340">
        <v>24047.373583958128</v>
      </c>
      <c r="DT100" s="2340">
        <v>24460.161052123654</v>
      </c>
      <c r="DU100" s="2340">
        <v>24873.913461853499</v>
      </c>
    </row>
    <row r="101" spans="1:125" ht="12.75">
      <c r="A101" s="131">
        <v>99</v>
      </c>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v>456</v>
      </c>
      <c r="X101" s="132">
        <v>490</v>
      </c>
      <c r="Y101" s="132">
        <v>526.23336579346051</v>
      </c>
      <c r="Z101" s="132">
        <v>581.61396099213982</v>
      </c>
      <c r="AA101" s="2340">
        <v>628.64606449977578</v>
      </c>
      <c r="AB101" s="2340">
        <v>586.85163504394791</v>
      </c>
      <c r="AC101" s="2340">
        <v>565.83065934529543</v>
      </c>
      <c r="AD101" s="2340">
        <v>569.25100093952562</v>
      </c>
      <c r="AE101" s="2340">
        <v>580.64540630426268</v>
      </c>
      <c r="AF101" s="2340">
        <v>629.38752286366639</v>
      </c>
      <c r="AG101" s="2340">
        <v>670.77754659632933</v>
      </c>
      <c r="AH101" s="2340">
        <v>715.47715639935609</v>
      </c>
      <c r="AI101" s="2340">
        <v>765.97434864519983</v>
      </c>
      <c r="AJ101" s="2340">
        <v>829.87511437730518</v>
      </c>
      <c r="AK101" s="2340">
        <v>883.76318611982924</v>
      </c>
      <c r="AL101" s="2340">
        <v>951.19299595850862</v>
      </c>
      <c r="AM101" s="2340">
        <v>1014.4711498143931</v>
      </c>
      <c r="AN101" s="2340">
        <v>1072.8559654679375</v>
      </c>
      <c r="AO101" s="2340">
        <v>1122.7343663949141</v>
      </c>
      <c r="AP101" s="2340">
        <v>1175.3221537752652</v>
      </c>
      <c r="AQ101" s="2340">
        <v>1237.7573567635118</v>
      </c>
      <c r="AR101" s="2340">
        <v>1306.1743961346037</v>
      </c>
      <c r="AS101" s="2340">
        <v>1347.747251325593</v>
      </c>
      <c r="AT101" s="2340">
        <v>1390.5895145703221</v>
      </c>
      <c r="AU101" s="2340">
        <v>1428.060340928469</v>
      </c>
      <c r="AV101" s="2340">
        <v>1497.8656756117543</v>
      </c>
      <c r="AW101" s="2340">
        <v>1591.5040863952413</v>
      </c>
      <c r="AX101" s="2340">
        <v>1709.2856216152122</v>
      </c>
      <c r="AY101" s="2340">
        <v>1824.2740170953243</v>
      </c>
      <c r="AZ101" s="2340">
        <v>1901.5067901344098</v>
      </c>
      <c r="BA101" s="2340">
        <v>1982.0232739241028</v>
      </c>
      <c r="BB101" s="2340">
        <v>2090.5021912746301</v>
      </c>
      <c r="BC101" s="2340">
        <v>2189.8596565992466</v>
      </c>
      <c r="BD101" s="2340">
        <v>2303.4973514586877</v>
      </c>
      <c r="BE101" s="2340">
        <v>2414.0603549039511</v>
      </c>
      <c r="BF101" s="2340">
        <v>2538.1043603552944</v>
      </c>
      <c r="BG101" s="2340">
        <v>2653.2011615144929</v>
      </c>
      <c r="BH101" s="2340">
        <v>2793.6969221234067</v>
      </c>
      <c r="BI101" s="2340">
        <v>2926.5641188168529</v>
      </c>
      <c r="BJ101" s="2340">
        <v>3067.7984179542141</v>
      </c>
      <c r="BK101" s="2340">
        <v>3215.7534913198378</v>
      </c>
      <c r="BL101" s="2340">
        <v>3376.6340588505932</v>
      </c>
      <c r="BM101" s="2340">
        <v>3541.0508124338107</v>
      </c>
      <c r="BN101" s="2340">
        <v>3707.3414816007298</v>
      </c>
      <c r="BO101" s="2340">
        <v>3874.5597459128717</v>
      </c>
      <c r="BP101" s="2340">
        <v>4042.9165628351648</v>
      </c>
      <c r="BQ101" s="2340">
        <v>4215.6984755869253</v>
      </c>
      <c r="BR101" s="2340">
        <v>4390.5029528657624</v>
      </c>
      <c r="BS101" s="2340">
        <v>4561.3986599419259</v>
      </c>
      <c r="BT101" s="2340">
        <v>4744.0750775051156</v>
      </c>
      <c r="BU101" s="2340">
        <v>4925.2982098168432</v>
      </c>
      <c r="BV101" s="2340">
        <v>5120.0518551086134</v>
      </c>
      <c r="BW101" s="2340">
        <v>5314.1799700196234</v>
      </c>
      <c r="BX101" s="2340">
        <v>5517.1882443163131</v>
      </c>
      <c r="BY101" s="2340">
        <v>5726.5473034108054</v>
      </c>
      <c r="BZ101" s="2340">
        <v>5948.4086245862309</v>
      </c>
      <c r="CA101" s="2340">
        <v>6166.7013330668306</v>
      </c>
      <c r="CB101" s="2340">
        <v>6382.1357517444994</v>
      </c>
      <c r="CC101" s="2340">
        <v>6613.3249139182662</v>
      </c>
      <c r="CD101" s="2340">
        <v>6845.0977867462479</v>
      </c>
      <c r="CE101" s="2340">
        <v>7078.7476000623192</v>
      </c>
      <c r="CF101" s="2340">
        <v>7323.3414756680377</v>
      </c>
      <c r="CG101" s="2340">
        <v>7566.3753220517065</v>
      </c>
      <c r="CH101" s="2340">
        <v>7815.1857108950298</v>
      </c>
      <c r="CI101" s="2340">
        <v>8073.0606416988921</v>
      </c>
      <c r="CJ101" s="2340">
        <v>8323.9811649324201</v>
      </c>
      <c r="CK101" s="2340">
        <v>8582.4784833549129</v>
      </c>
      <c r="CL101" s="2340">
        <v>8853.3693337618461</v>
      </c>
      <c r="CM101" s="2340">
        <v>9118.5538688533106</v>
      </c>
      <c r="CN101" s="2340">
        <v>9390.7247858459214</v>
      </c>
      <c r="CO101" s="2340">
        <v>9671.2054785294004</v>
      </c>
      <c r="CP101" s="2340">
        <v>9950.9554053998399</v>
      </c>
      <c r="CQ101" s="2340">
        <v>10235.670797639743</v>
      </c>
      <c r="CR101" s="2340">
        <v>10516.60926466642</v>
      </c>
      <c r="CS101" s="2340">
        <v>10809.696016482741</v>
      </c>
      <c r="CT101" s="2340">
        <v>11100.579956260086</v>
      </c>
      <c r="CU101" s="2340">
        <v>11397.379573269454</v>
      </c>
      <c r="CV101" s="2340">
        <v>11695.223942504075</v>
      </c>
      <c r="CW101" s="2340">
        <v>11993.444230697543</v>
      </c>
      <c r="CX101" s="2340">
        <v>12302.174311956916</v>
      </c>
      <c r="CY101" s="2340">
        <v>12605.765145154071</v>
      </c>
      <c r="CZ101" s="2340">
        <v>12917.604831460398</v>
      </c>
      <c r="DA101" s="2340">
        <v>13228.055557230422</v>
      </c>
      <c r="DB101" s="2340">
        <v>13550.428179380773</v>
      </c>
      <c r="DC101" s="2340">
        <v>13868.07467897575</v>
      </c>
      <c r="DD101" s="2340">
        <v>14190.338191859397</v>
      </c>
      <c r="DE101" s="2340">
        <v>14514.211641711236</v>
      </c>
      <c r="DF101" s="2340">
        <v>14845.341232422077</v>
      </c>
      <c r="DG101" s="2340">
        <v>15176.014074698838</v>
      </c>
      <c r="DH101" s="2340">
        <v>15507.718994460087</v>
      </c>
      <c r="DI101" s="2340">
        <v>15841.794910214303</v>
      </c>
      <c r="DJ101" s="2340">
        <v>16184.396864421762</v>
      </c>
      <c r="DK101" s="2340">
        <v>16523.379932148458</v>
      </c>
      <c r="DL101" s="2340">
        <v>16862.050981384054</v>
      </c>
      <c r="DM101" s="2340">
        <v>17207.123219186244</v>
      </c>
      <c r="DN101" s="2340">
        <v>17549.366443010636</v>
      </c>
      <c r="DO101" s="2340">
        <v>17900.124050919101</v>
      </c>
      <c r="DP101" s="2340">
        <v>18250.792260107897</v>
      </c>
      <c r="DQ101" s="2340">
        <v>18601.150253816093</v>
      </c>
      <c r="DR101" s="2340">
        <v>18958.998039750106</v>
      </c>
      <c r="DS101" s="2340">
        <v>19311.319834620597</v>
      </c>
      <c r="DT101" s="2340">
        <v>19670.137096864524</v>
      </c>
      <c r="DU101" s="2340">
        <v>20030.365550845017</v>
      </c>
    </row>
    <row r="102" spans="1:125" ht="12.75">
      <c r="A102" s="131">
        <v>100</v>
      </c>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v>281</v>
      </c>
      <c r="X102" s="132">
        <v>303</v>
      </c>
      <c r="Y102" s="132">
        <v>327.2990171219069</v>
      </c>
      <c r="Z102" s="132">
        <v>363.56386966466147</v>
      </c>
      <c r="AA102" s="2340">
        <v>396.42379471663878</v>
      </c>
      <c r="AB102" s="2340">
        <v>359.53749546715187</v>
      </c>
      <c r="AC102" s="2340">
        <v>344.30632795746158</v>
      </c>
      <c r="AD102" s="2340">
        <v>347.21008860731217</v>
      </c>
      <c r="AE102" s="2340">
        <v>355.63008445651019</v>
      </c>
      <c r="AF102" s="2340">
        <v>387.06239528046359</v>
      </c>
      <c r="AG102" s="2340">
        <v>414.1841840238115</v>
      </c>
      <c r="AH102" s="2340">
        <v>443.54745951421739</v>
      </c>
      <c r="AI102" s="2340">
        <v>476.72228222945927</v>
      </c>
      <c r="AJ102" s="2340">
        <v>518.50006836115665</v>
      </c>
      <c r="AK102" s="2340">
        <v>554.2875857980921</v>
      </c>
      <c r="AL102" s="2340">
        <v>598.83853036527853</v>
      </c>
      <c r="AM102" s="2340">
        <v>641.06441509462616</v>
      </c>
      <c r="AN102" s="2340">
        <v>680.46163136248242</v>
      </c>
      <c r="AO102" s="2340">
        <v>714.69246268529298</v>
      </c>
      <c r="AP102" s="2340">
        <v>750.86024874481745</v>
      </c>
      <c r="AQ102" s="2340">
        <v>793.96462938727143</v>
      </c>
      <c r="AR102" s="2340">
        <v>841.2110019933732</v>
      </c>
      <c r="AS102" s="2340">
        <v>871.41598781653443</v>
      </c>
      <c r="AT102" s="2340">
        <v>902.61992020742332</v>
      </c>
      <c r="AU102" s="2340">
        <v>930.50231960127974</v>
      </c>
      <c r="AV102" s="2340">
        <v>979.68211969532183</v>
      </c>
      <c r="AW102" s="2340">
        <v>1044.8125358544171</v>
      </c>
      <c r="AX102" s="2340">
        <v>1126.2657091951235</v>
      </c>
      <c r="AY102" s="2340">
        <v>1206.3952041507625</v>
      </c>
      <c r="AZ102" s="2340">
        <v>1261.9693572895503</v>
      </c>
      <c r="BA102" s="2340">
        <v>1320.0474800603993</v>
      </c>
      <c r="BB102" s="132">
        <v>1895</v>
      </c>
      <c r="BC102" s="2340">
        <v>1468.5669034140151</v>
      </c>
      <c r="BD102" s="2340">
        <v>1550.0034654177857</v>
      </c>
      <c r="BE102" s="2340">
        <v>1629.8231760809012</v>
      </c>
      <c r="BF102" s="2340">
        <v>1719.2122993968142</v>
      </c>
      <c r="BG102" s="2340">
        <v>1803.0113904421337</v>
      </c>
      <c r="BH102" s="2340">
        <v>1904.5691796948934</v>
      </c>
      <c r="BI102" s="2340">
        <v>2001.4553683925351</v>
      </c>
      <c r="BJ102" s="2340">
        <v>2104.585785233583</v>
      </c>
      <c r="BK102" s="2340">
        <v>2212.8723345793837</v>
      </c>
      <c r="BL102" s="2340">
        <v>2330.6311610547154</v>
      </c>
      <c r="BM102" s="2340">
        <v>2451.4333614012057</v>
      </c>
      <c r="BN102" s="2340">
        <v>2574.1368374566255</v>
      </c>
      <c r="BO102" s="2340">
        <v>2698.0842773122904</v>
      </c>
      <c r="BP102" s="2340">
        <v>2823.4188869298741</v>
      </c>
      <c r="BQ102" s="2340">
        <v>2952.4395343381925</v>
      </c>
      <c r="BR102" s="2340">
        <v>3083.4754012488147</v>
      </c>
      <c r="BS102" s="2340">
        <v>3212.3514587201371</v>
      </c>
      <c r="BT102" s="2340">
        <v>3350.1149222805343</v>
      </c>
      <c r="BU102" s="2340">
        <v>3487.4530997797015</v>
      </c>
      <c r="BV102" s="2340">
        <v>3634.9856866180003</v>
      </c>
      <c r="BW102" s="2340">
        <v>3782.7021709060054</v>
      </c>
      <c r="BX102" s="2340">
        <v>3937.3725981757761</v>
      </c>
      <c r="BY102" s="2340">
        <v>4097.2257304219711</v>
      </c>
      <c r="BZ102" s="2340">
        <v>4266.6978418901208</v>
      </c>
      <c r="CA102" s="2340">
        <v>4434.2891631917437</v>
      </c>
      <c r="CB102" s="2340">
        <v>4600.4815832926879</v>
      </c>
      <c r="CC102" s="2340">
        <v>4778.6987676998178</v>
      </c>
      <c r="CD102" s="2340">
        <v>4958.0233348487427</v>
      </c>
      <c r="CE102" s="2340">
        <v>5139.3859585871905</v>
      </c>
      <c r="CF102" s="2340">
        <v>5329.3834402377906</v>
      </c>
      <c r="CG102" s="2340">
        <v>5518.9392730800446</v>
      </c>
      <c r="CH102" s="2340">
        <v>5713.3977110202723</v>
      </c>
      <c r="CI102" s="2340">
        <v>5915.1851340162975</v>
      </c>
      <c r="CJ102" s="2340">
        <v>6112.5711535615064</v>
      </c>
      <c r="CK102" s="2340">
        <v>6316.2046524597517</v>
      </c>
      <c r="CL102" s="2340">
        <v>6529.6631858974833</v>
      </c>
      <c r="CM102" s="2340">
        <v>6739.6161998530906</v>
      </c>
      <c r="CN102" s="2340">
        <v>6955.4262808757376</v>
      </c>
      <c r="CO102" s="2340">
        <v>7178.0966512601444</v>
      </c>
      <c r="CP102" s="2340">
        <v>7400.9300302453503</v>
      </c>
      <c r="CQ102" s="2340">
        <v>7628.1564628491415</v>
      </c>
      <c r="CR102" s="2340">
        <v>7853.2583011884908</v>
      </c>
      <c r="CS102" s="2340">
        <v>8088.1228343285366</v>
      </c>
      <c r="CT102" s="2340">
        <v>8322.0332376383394</v>
      </c>
      <c r="CU102" s="2340">
        <v>8561.0663947922749</v>
      </c>
      <c r="CV102" s="2340">
        <v>8801.5705993426309</v>
      </c>
      <c r="CW102" s="2340">
        <v>9043.0344843567127</v>
      </c>
      <c r="CX102" s="2340">
        <v>9293.1033975573373</v>
      </c>
      <c r="CY102" s="2340">
        <v>9539.9668328997013</v>
      </c>
      <c r="CZ102" s="2340">
        <v>9793.7424862949192</v>
      </c>
      <c r="DA102" s="2340">
        <v>10047.132673203649</v>
      </c>
      <c r="DB102" s="2340">
        <v>10310.24839310519</v>
      </c>
      <c r="DC102" s="2340">
        <v>10570.436876593656</v>
      </c>
      <c r="DD102" s="2340">
        <v>10834.801747020623</v>
      </c>
      <c r="DE102" s="2340">
        <v>11101.050064407646</v>
      </c>
      <c r="DF102" s="2340">
        <v>11373.502685707566</v>
      </c>
      <c r="DG102" s="2340">
        <v>11646.257462686615</v>
      </c>
      <c r="DH102" s="2340">
        <v>11920.445926366581</v>
      </c>
      <c r="DI102" s="2340">
        <v>12197.091848410915</v>
      </c>
      <c r="DJ102" s="2340">
        <v>12480.939775564944</v>
      </c>
      <c r="DK102" s="2340">
        <v>12762.62957781743</v>
      </c>
      <c r="DL102" s="2340">
        <v>13044.695338663998</v>
      </c>
      <c r="DM102" s="2340">
        <v>13332.326751070008</v>
      </c>
      <c r="DN102" s="2340">
        <v>13618.373477783583</v>
      </c>
      <c r="DO102" s="2340">
        <v>13911.630810585797</v>
      </c>
      <c r="DP102" s="2340">
        <v>14205.421454634436</v>
      </c>
      <c r="DQ102" s="2340">
        <v>14499.562484906775</v>
      </c>
      <c r="DR102" s="2340">
        <v>14800.131495581969</v>
      </c>
      <c r="DS102" s="2340">
        <v>15096.968360069703</v>
      </c>
      <c r="DT102" s="2340">
        <v>15399.455690529518</v>
      </c>
      <c r="DU102" s="2340">
        <v>15703.619062556176</v>
      </c>
    </row>
  </sheetData>
  <sheetProtection algorithmName="SHA-512" hashValue="JGLWLHCu97O/1QgznqAWNMDnyceSHDmQ+RLv5E29rhMAv0Hev9amPN6T9Zl59zijsj5UoU3/pXyaRyfAYRbiiA==" saltValue="ibDVQ8O4l6/w1viwKgxmLw==" spinCount="100000" sheet="1" formatColumns="0" autoFilter="0"/>
  <phoneticPr fontId="61" type="noConversion"/>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EE103"/>
  <sheetViews>
    <sheetView workbookViewId="0">
      <pane xSplit="1" topLeftCell="W1" activePane="topRight" state="frozen"/>
      <selection pane="topRight" activeCell="AZ42" sqref="AZ42"/>
    </sheetView>
  </sheetViews>
  <sheetFormatPr baseColWidth="10" defaultColWidth="10" defaultRowHeight="11.25"/>
  <cols>
    <col min="1" max="1" width="2.625" style="136" customWidth="1"/>
    <col min="2" max="22" width="5.125" style="136" hidden="1" customWidth="1"/>
    <col min="23" max="135" width="6.625" style="136" customWidth="1"/>
    <col min="136" max="16384" width="10" style="136"/>
  </cols>
  <sheetData>
    <row r="1" spans="1:135" s="4063" customFormat="1" ht="30" customHeight="1">
      <c r="B1" s="4063">
        <v>1900</v>
      </c>
      <c r="C1" s="4063">
        <v>1901</v>
      </c>
      <c r="D1" s="4063">
        <v>1902</v>
      </c>
      <c r="E1" s="4063">
        <v>1903</v>
      </c>
      <c r="F1" s="4063">
        <v>1904</v>
      </c>
      <c r="G1" s="4063">
        <v>1905</v>
      </c>
      <c r="H1" s="4063">
        <v>1906</v>
      </c>
      <c r="I1" s="4063">
        <v>1907</v>
      </c>
      <c r="J1" s="4063">
        <v>1908</v>
      </c>
      <c r="K1" s="4063">
        <v>1909</v>
      </c>
      <c r="L1" s="4063">
        <v>1910</v>
      </c>
      <c r="M1" s="4063">
        <v>1911</v>
      </c>
      <c r="N1" s="4063">
        <v>1912</v>
      </c>
      <c r="O1" s="4063">
        <v>1913</v>
      </c>
      <c r="P1" s="4063">
        <v>1914</v>
      </c>
      <c r="Q1" s="4063">
        <v>1915</v>
      </c>
      <c r="R1" s="4063">
        <v>1916</v>
      </c>
      <c r="S1" s="4063">
        <v>1917</v>
      </c>
      <c r="T1" s="4063">
        <v>1918</v>
      </c>
      <c r="U1" s="4063">
        <v>1919</v>
      </c>
      <c r="V1" s="4063">
        <v>1920</v>
      </c>
      <c r="W1" s="4063">
        <v>1921</v>
      </c>
      <c r="X1" s="4063">
        <v>1922</v>
      </c>
      <c r="Y1" s="4063">
        <v>1923</v>
      </c>
      <c r="Z1" s="4063">
        <v>1924</v>
      </c>
      <c r="AA1" s="4063">
        <v>1925</v>
      </c>
      <c r="AB1" s="4063">
        <v>1926</v>
      </c>
      <c r="AC1" s="4063">
        <v>1927</v>
      </c>
      <c r="AD1" s="4063">
        <v>1928</v>
      </c>
      <c r="AE1" s="4063">
        <v>1929</v>
      </c>
      <c r="AF1" s="4063">
        <v>1930</v>
      </c>
      <c r="AG1" s="4063">
        <v>1931</v>
      </c>
      <c r="AH1" s="4063">
        <v>1932</v>
      </c>
      <c r="AI1" s="4063">
        <v>1933</v>
      </c>
      <c r="AJ1" s="4063">
        <v>1934</v>
      </c>
      <c r="AK1" s="4063">
        <v>1935</v>
      </c>
      <c r="AL1" s="4063">
        <v>1936</v>
      </c>
      <c r="AM1" s="4063">
        <v>1937</v>
      </c>
      <c r="AN1" s="4063">
        <v>1938</v>
      </c>
      <c r="AO1" s="4063">
        <v>1939</v>
      </c>
      <c r="AP1" s="4063">
        <v>1940</v>
      </c>
      <c r="AQ1" s="4063">
        <v>1941</v>
      </c>
      <c r="AR1" s="4063">
        <v>1942</v>
      </c>
      <c r="AS1" s="4063">
        <v>1943</v>
      </c>
      <c r="AT1" s="4063">
        <v>1944</v>
      </c>
      <c r="AU1" s="4063">
        <v>1945</v>
      </c>
      <c r="AV1" s="4063">
        <v>1946</v>
      </c>
      <c r="AW1" s="4063">
        <v>1947</v>
      </c>
      <c r="AX1" s="4063">
        <v>1948</v>
      </c>
      <c r="AY1" s="4063">
        <v>1949</v>
      </c>
      <c r="AZ1" s="4063">
        <v>1950</v>
      </c>
      <c r="BA1" s="4063">
        <v>1951</v>
      </c>
      <c r="BB1" s="4063">
        <v>1952</v>
      </c>
      <c r="BC1" s="4063">
        <v>1953</v>
      </c>
      <c r="BD1" s="4063">
        <v>1954</v>
      </c>
      <c r="BE1" s="4063">
        <v>1955</v>
      </c>
      <c r="BF1" s="4063">
        <v>1956</v>
      </c>
      <c r="BG1" s="4063">
        <v>1957</v>
      </c>
      <c r="BH1" s="4063">
        <v>1958</v>
      </c>
      <c r="BI1" s="4063">
        <v>1959</v>
      </c>
      <c r="BJ1" s="4063">
        <v>1960</v>
      </c>
      <c r="BK1" s="4063">
        <v>1961</v>
      </c>
      <c r="BL1" s="4063">
        <v>1962</v>
      </c>
      <c r="BM1" s="4063">
        <v>1963</v>
      </c>
      <c r="BN1" s="4063">
        <v>1964</v>
      </c>
      <c r="BO1" s="4063">
        <v>1965</v>
      </c>
      <c r="BP1" s="4063">
        <v>1966</v>
      </c>
      <c r="BQ1" s="4063">
        <v>1967</v>
      </c>
      <c r="BR1" s="4063">
        <v>1968</v>
      </c>
      <c r="BS1" s="4063">
        <v>1969</v>
      </c>
      <c r="BT1" s="4063">
        <v>1970</v>
      </c>
      <c r="BU1" s="4063">
        <v>1971</v>
      </c>
      <c r="BV1" s="4063">
        <v>1972</v>
      </c>
      <c r="BW1" s="4063">
        <v>1973</v>
      </c>
      <c r="BX1" s="4063">
        <v>1974</v>
      </c>
      <c r="BY1" s="4063">
        <v>1975</v>
      </c>
      <c r="BZ1" s="4063">
        <v>1976</v>
      </c>
      <c r="CA1" s="4063">
        <v>1977</v>
      </c>
      <c r="CB1" s="4063">
        <v>1978</v>
      </c>
      <c r="CC1" s="4063">
        <v>1979</v>
      </c>
      <c r="CD1" s="4063">
        <v>1980</v>
      </c>
      <c r="CE1" s="4063">
        <v>1981</v>
      </c>
      <c r="CF1" s="4063">
        <v>1982</v>
      </c>
      <c r="CG1" s="4063">
        <v>1983</v>
      </c>
      <c r="CH1" s="4063">
        <v>1984</v>
      </c>
      <c r="CI1" s="4063">
        <v>1985</v>
      </c>
      <c r="CJ1" s="4063">
        <v>1986</v>
      </c>
      <c r="CK1" s="4063">
        <v>1987</v>
      </c>
      <c r="CL1" s="4063">
        <v>1988</v>
      </c>
      <c r="CM1" s="4063">
        <v>1989</v>
      </c>
      <c r="CN1" s="4063">
        <v>1990</v>
      </c>
      <c r="CO1" s="4063">
        <v>1991</v>
      </c>
      <c r="CP1" s="4063">
        <v>1992</v>
      </c>
      <c r="CQ1" s="4063">
        <v>1993</v>
      </c>
      <c r="CR1" s="4063">
        <v>1994</v>
      </c>
      <c r="CS1" s="4063">
        <v>1995</v>
      </c>
      <c r="CT1" s="4063">
        <v>1996</v>
      </c>
      <c r="CU1" s="4063">
        <v>1997</v>
      </c>
      <c r="CV1" s="4063">
        <v>1998</v>
      </c>
      <c r="CW1" s="4063">
        <v>1999</v>
      </c>
      <c r="CX1" s="4063">
        <v>2000</v>
      </c>
      <c r="CY1" s="4063">
        <v>2001</v>
      </c>
      <c r="CZ1" s="4063">
        <v>2002</v>
      </c>
      <c r="DA1" s="4063">
        <v>2003</v>
      </c>
      <c r="DB1" s="4063">
        <v>2004</v>
      </c>
      <c r="DC1" s="4063">
        <v>2005</v>
      </c>
      <c r="DD1" s="4063">
        <v>2006</v>
      </c>
      <c r="DE1" s="4063">
        <v>2007</v>
      </c>
      <c r="DF1" s="4063">
        <v>2008</v>
      </c>
      <c r="DG1" s="4063">
        <v>2009</v>
      </c>
      <c r="DH1" s="4063">
        <v>2010</v>
      </c>
      <c r="DI1" s="4063">
        <v>2011</v>
      </c>
      <c r="DJ1" s="4063">
        <v>2012</v>
      </c>
      <c r="DK1" s="4063">
        <v>2013</v>
      </c>
      <c r="DL1" s="4063">
        <v>2014</v>
      </c>
      <c r="DM1" s="4063">
        <v>2015</v>
      </c>
      <c r="DN1" s="4063">
        <v>2016</v>
      </c>
      <c r="DO1" s="4063">
        <v>2017</v>
      </c>
      <c r="DP1" s="4063">
        <v>2018</v>
      </c>
      <c r="DQ1" s="4063">
        <v>2019</v>
      </c>
      <c r="DR1" s="4063">
        <v>2020</v>
      </c>
      <c r="DS1" s="4063">
        <v>2021</v>
      </c>
      <c r="DT1" s="4063">
        <v>2022</v>
      </c>
      <c r="DU1" s="4063">
        <v>2023</v>
      </c>
      <c r="DV1" s="4063">
        <v>2024</v>
      </c>
      <c r="DW1" s="4063">
        <v>2025</v>
      </c>
      <c r="DX1" s="4063">
        <v>2026</v>
      </c>
      <c r="DY1" s="4063">
        <v>2027</v>
      </c>
      <c r="DZ1" s="4063">
        <v>2028</v>
      </c>
      <c r="EA1" s="4063">
        <v>2029</v>
      </c>
      <c r="EB1" s="4063">
        <v>2030</v>
      </c>
      <c r="EC1" s="4063">
        <v>2031</v>
      </c>
      <c r="ED1" s="4063">
        <v>2032</v>
      </c>
      <c r="EE1" s="4063">
        <v>2033</v>
      </c>
    </row>
    <row r="2" spans="1:135" ht="12.75">
      <c r="A2" s="135">
        <v>0</v>
      </c>
      <c r="W2" s="136">
        <v>100000</v>
      </c>
      <c r="X2" s="136">
        <v>100000</v>
      </c>
      <c r="Y2" s="2340">
        <v>100000</v>
      </c>
      <c r="Z2" s="2340">
        <v>100000</v>
      </c>
      <c r="AA2" s="2340">
        <v>100000</v>
      </c>
      <c r="AB2" s="2340">
        <v>100000</v>
      </c>
      <c r="AC2" s="2340">
        <v>100000</v>
      </c>
      <c r="AD2" s="2340">
        <v>100000</v>
      </c>
      <c r="AE2" s="2340">
        <v>100000</v>
      </c>
      <c r="AF2" s="2340">
        <v>100000</v>
      </c>
      <c r="AG2" s="2340">
        <v>100000</v>
      </c>
      <c r="AH2" s="2340">
        <v>100000</v>
      </c>
      <c r="AI2" s="2340">
        <v>100000</v>
      </c>
      <c r="AJ2" s="2340">
        <v>100000</v>
      </c>
      <c r="AK2" s="2340">
        <v>100000</v>
      </c>
      <c r="AL2" s="2340">
        <v>100000</v>
      </c>
      <c r="AM2" s="2340">
        <v>100000</v>
      </c>
      <c r="AN2" s="2340">
        <v>100000</v>
      </c>
      <c r="AO2" s="2340">
        <v>100000</v>
      </c>
      <c r="AP2" s="2340">
        <v>100000</v>
      </c>
      <c r="AQ2" s="2340">
        <v>100000</v>
      </c>
      <c r="AR2" s="2340">
        <v>100000</v>
      </c>
      <c r="AS2" s="2340">
        <v>100000</v>
      </c>
      <c r="AT2" s="2340">
        <v>100000</v>
      </c>
      <c r="AU2" s="2340">
        <v>100000</v>
      </c>
      <c r="AV2" s="2340">
        <v>100000</v>
      </c>
      <c r="AW2" s="2340">
        <v>100000</v>
      </c>
      <c r="AX2" s="2340">
        <v>100000</v>
      </c>
      <c r="AY2" s="2340">
        <v>100000</v>
      </c>
      <c r="AZ2" s="2340">
        <v>100000</v>
      </c>
      <c r="BA2" s="2340">
        <v>100000</v>
      </c>
      <c r="BB2" s="2340">
        <v>100000</v>
      </c>
      <c r="BC2" s="2340">
        <v>100000</v>
      </c>
      <c r="BD2" s="2340">
        <v>100000</v>
      </c>
      <c r="BE2" s="2340">
        <v>100000</v>
      </c>
      <c r="BF2" s="2340">
        <v>100000</v>
      </c>
      <c r="BG2" s="2340">
        <v>100000</v>
      </c>
      <c r="BH2" s="2340">
        <v>100000</v>
      </c>
      <c r="BI2" s="2340">
        <v>100000</v>
      </c>
      <c r="BJ2" s="2340">
        <v>100000</v>
      </c>
      <c r="BK2" s="2340">
        <v>100000</v>
      </c>
      <c r="BL2" s="2340">
        <v>100000</v>
      </c>
      <c r="BM2" s="2340">
        <v>100000</v>
      </c>
      <c r="BN2" s="2340">
        <v>100000</v>
      </c>
      <c r="BO2" s="2340">
        <v>100000</v>
      </c>
      <c r="BP2" s="2340">
        <v>100000</v>
      </c>
      <c r="BQ2" s="2340">
        <v>100000</v>
      </c>
      <c r="BR2" s="2340">
        <v>100000</v>
      </c>
      <c r="BS2" s="2340">
        <v>100000</v>
      </c>
      <c r="BT2" s="2340">
        <v>100000</v>
      </c>
      <c r="BU2" s="2340">
        <v>100000</v>
      </c>
      <c r="BV2" s="2340">
        <v>100000</v>
      </c>
      <c r="BW2" s="2340">
        <v>100000</v>
      </c>
      <c r="BX2" s="2340">
        <v>100000</v>
      </c>
      <c r="BY2" s="2340">
        <v>100000</v>
      </c>
      <c r="BZ2" s="2340">
        <v>100000</v>
      </c>
      <c r="CA2" s="2340">
        <v>100000</v>
      </c>
      <c r="CB2" s="2340">
        <v>100000</v>
      </c>
      <c r="CC2" s="2340">
        <v>100000</v>
      </c>
      <c r="CD2" s="2340">
        <v>100000</v>
      </c>
      <c r="CE2" s="2340">
        <v>100000</v>
      </c>
      <c r="CF2" s="2340">
        <v>100000</v>
      </c>
      <c r="CG2" s="2340">
        <v>100000</v>
      </c>
      <c r="CH2" s="2340">
        <v>100000</v>
      </c>
      <c r="CI2" s="2340">
        <v>100000</v>
      </c>
      <c r="CJ2" s="2340">
        <v>100000</v>
      </c>
      <c r="CK2" s="2340">
        <v>100000</v>
      </c>
      <c r="CL2" s="2340">
        <v>100000</v>
      </c>
      <c r="CM2" s="2340">
        <v>100000</v>
      </c>
      <c r="CN2" s="2340">
        <v>100000</v>
      </c>
      <c r="CO2" s="2340">
        <v>100000</v>
      </c>
      <c r="CP2" s="2340">
        <v>100000</v>
      </c>
      <c r="CQ2" s="2340">
        <v>100000</v>
      </c>
      <c r="CR2" s="2340">
        <v>100000</v>
      </c>
      <c r="CS2" s="2340">
        <v>100000</v>
      </c>
      <c r="CT2" s="2340">
        <v>100000</v>
      </c>
      <c r="CU2" s="2340">
        <v>100000</v>
      </c>
      <c r="CV2" s="2340">
        <v>100000</v>
      </c>
      <c r="CW2" s="2340">
        <v>100000</v>
      </c>
      <c r="CX2" s="2340">
        <v>100000</v>
      </c>
      <c r="CY2" s="2340">
        <v>100000</v>
      </c>
      <c r="CZ2" s="2340">
        <v>100000</v>
      </c>
      <c r="DA2" s="2340">
        <v>100000</v>
      </c>
      <c r="DB2" s="2340">
        <v>100000</v>
      </c>
      <c r="DC2" s="2340">
        <v>100000</v>
      </c>
      <c r="DD2" s="2340">
        <v>100000</v>
      </c>
      <c r="DE2" s="2340">
        <v>100000</v>
      </c>
      <c r="DF2" s="2340">
        <v>100000</v>
      </c>
      <c r="DG2" s="2340">
        <v>100000</v>
      </c>
      <c r="DH2" s="2340">
        <v>100000</v>
      </c>
      <c r="DI2" s="2340">
        <v>100000</v>
      </c>
      <c r="DJ2" s="2340">
        <v>100000</v>
      </c>
      <c r="DK2" s="2340">
        <v>100000</v>
      </c>
      <c r="DL2" s="2340">
        <v>100000</v>
      </c>
      <c r="DM2" s="2340">
        <v>100000</v>
      </c>
      <c r="DN2" s="2340">
        <v>100000</v>
      </c>
      <c r="DO2" s="2340">
        <v>100000</v>
      </c>
      <c r="DP2" s="2340">
        <v>100000</v>
      </c>
      <c r="DQ2" s="2340">
        <v>100000</v>
      </c>
      <c r="DR2" s="2340">
        <v>100000</v>
      </c>
      <c r="DS2" s="2340">
        <v>100000</v>
      </c>
      <c r="DT2" s="2340">
        <v>100000</v>
      </c>
      <c r="DU2" s="2340">
        <v>100000</v>
      </c>
    </row>
    <row r="3" spans="1:135" ht="12.75">
      <c r="A3" s="135">
        <v>1</v>
      </c>
      <c r="W3" s="136">
        <v>87983</v>
      </c>
      <c r="X3" s="136">
        <v>88400</v>
      </c>
      <c r="Y3" s="2340">
        <v>88100</v>
      </c>
      <c r="Z3" s="2340">
        <v>90200</v>
      </c>
      <c r="AA3" s="2340">
        <v>90600</v>
      </c>
      <c r="AB3" s="2340">
        <v>90900</v>
      </c>
      <c r="AC3" s="2340">
        <v>91400</v>
      </c>
      <c r="AD3" s="2340">
        <v>92100</v>
      </c>
      <c r="AE3" s="2340">
        <v>91553</v>
      </c>
      <c r="AF3" s="2340">
        <v>92504</v>
      </c>
      <c r="AG3" s="2340">
        <v>92843</v>
      </c>
      <c r="AH3" s="2340">
        <v>92900</v>
      </c>
      <c r="AI3" s="2340">
        <v>93200</v>
      </c>
      <c r="AJ3" s="2340">
        <v>94200</v>
      </c>
      <c r="AK3" s="2340">
        <v>94009</v>
      </c>
      <c r="AL3" s="2340">
        <v>94200</v>
      </c>
      <c r="AM3" s="2340">
        <v>94353</v>
      </c>
      <c r="AN3" s="2340">
        <v>94756</v>
      </c>
      <c r="AO3" s="2340">
        <v>94651</v>
      </c>
      <c r="AP3" s="2340">
        <v>94651</v>
      </c>
      <c r="AQ3" s="2340">
        <v>94651</v>
      </c>
      <c r="AR3" s="2340">
        <v>94651</v>
      </c>
      <c r="AS3" s="2340">
        <v>94116.1</v>
      </c>
      <c r="AT3" s="2340">
        <v>93313.75</v>
      </c>
      <c r="AU3" s="2340">
        <v>91976.5</v>
      </c>
      <c r="AV3" s="2340">
        <v>91938</v>
      </c>
      <c r="AW3" s="2340">
        <v>91938</v>
      </c>
      <c r="AX3" s="2340">
        <v>93514.5</v>
      </c>
      <c r="AY3" s="2340">
        <v>95091</v>
      </c>
      <c r="AZ3" s="2340">
        <v>95091</v>
      </c>
      <c r="BA3" s="2340">
        <v>95091</v>
      </c>
      <c r="BB3" s="2340">
        <v>95646.636650359971</v>
      </c>
      <c r="BC3" s="2340">
        <v>95851.72608941709</v>
      </c>
      <c r="BD3" s="2340">
        <v>96136.891642342292</v>
      </c>
      <c r="BE3" s="2340">
        <v>96195.635011303501</v>
      </c>
      <c r="BF3" s="2340">
        <v>96477.219522286861</v>
      </c>
      <c r="BG3" s="2340">
        <v>96583.758344956819</v>
      </c>
      <c r="BH3" s="2340">
        <v>96756.362357698556</v>
      </c>
      <c r="BI3" s="2340">
        <v>96817.333145242257</v>
      </c>
      <c r="BJ3" s="2340">
        <v>96990.628152104007</v>
      </c>
      <c r="BK3" s="2340">
        <v>97198.818971677887</v>
      </c>
      <c r="BL3" s="2340">
        <v>97414.786992902635</v>
      </c>
      <c r="BM3" s="2340">
        <v>97581.417806316036</v>
      </c>
      <c r="BN3" s="2340">
        <v>97787.664313516099</v>
      </c>
      <c r="BO3" s="2340">
        <v>97905.893474049502</v>
      </c>
      <c r="BP3" s="2340">
        <v>97998.284600389859</v>
      </c>
      <c r="BQ3" s="2340">
        <v>98030.800466193687</v>
      </c>
      <c r="BR3" s="2340">
        <v>98115.121191340935</v>
      </c>
      <c r="BS3" s="2340">
        <v>98050.90075560032</v>
      </c>
      <c r="BT3" s="2340">
        <v>98082.049370850204</v>
      </c>
      <c r="BU3" s="2340">
        <v>98112.329407460857</v>
      </c>
      <c r="BV3" s="2340">
        <v>98163.332838869421</v>
      </c>
      <c r="BW3" s="2340">
        <v>98230.53869594782</v>
      </c>
      <c r="BX3" s="2340">
        <v>98300.211740095416</v>
      </c>
      <c r="BY3" s="2340">
        <v>98368.201939291743</v>
      </c>
      <c r="BZ3" s="2340">
        <v>98581.520130730729</v>
      </c>
      <c r="CA3" s="2340">
        <v>98723.541436930565</v>
      </c>
      <c r="CB3" s="2340">
        <v>98782.186259557537</v>
      </c>
      <c r="CC3" s="2340">
        <v>98858.729412238099</v>
      </c>
      <c r="CD3" s="2340">
        <v>98917.562571002345</v>
      </c>
      <c r="CE3" s="2340">
        <v>98982.267137000672</v>
      </c>
      <c r="CF3" s="2340">
        <v>99042.091580728098</v>
      </c>
      <c r="CG3" s="2340">
        <v>99118.496176340515</v>
      </c>
      <c r="CH3" s="2340">
        <v>99142.882456429012</v>
      </c>
      <c r="CI3" s="2340">
        <v>99202.88484573389</v>
      </c>
      <c r="CJ3" s="2340">
        <v>99250.96351350371</v>
      </c>
      <c r="CK3" s="2340">
        <v>99284.5919040679</v>
      </c>
      <c r="CL3" s="2340">
        <v>99348.530448769656</v>
      </c>
      <c r="CM3" s="2340">
        <v>99366.945459378418</v>
      </c>
      <c r="CN3" s="2340">
        <v>99394.498246634088</v>
      </c>
      <c r="CO3" s="2340">
        <v>99422.411808249628</v>
      </c>
      <c r="CP3" s="2340">
        <v>99464.630351477404</v>
      </c>
      <c r="CQ3" s="2340">
        <v>99508.466022617256</v>
      </c>
      <c r="CR3" s="2340">
        <v>99517.303750796025</v>
      </c>
      <c r="CS3" s="2340">
        <v>99537.976654532176</v>
      </c>
      <c r="CT3" s="2340">
        <v>99558.686659772487</v>
      </c>
      <c r="CU3" s="2340">
        <v>99580.93666728244</v>
      </c>
      <c r="CV3" s="2340">
        <v>99589.710311406729</v>
      </c>
      <c r="CW3" s="2340">
        <v>99602.347989573987</v>
      </c>
      <c r="CX3" s="2340">
        <v>99617.583146897319</v>
      </c>
      <c r="CY3" s="2340">
        <v>99625.373715637077</v>
      </c>
      <c r="CZ3" s="2340">
        <v>99614.541693216335</v>
      </c>
      <c r="DA3" s="2340">
        <v>99617.164517516838</v>
      </c>
      <c r="DB3" s="2340">
        <v>99630.68057798926</v>
      </c>
      <c r="DC3" s="2340">
        <v>99661.415767068422</v>
      </c>
      <c r="DD3" s="2340">
        <v>99652.807517711408</v>
      </c>
      <c r="DE3" s="2340">
        <v>99661.885215135291</v>
      </c>
      <c r="DF3" s="2340">
        <v>99692.471411565246</v>
      </c>
      <c r="DG3" s="2340">
        <v>99686.918181902394</v>
      </c>
      <c r="DH3" s="2340">
        <v>99689.758398596954</v>
      </c>
      <c r="DI3" s="2340">
        <v>99674.397278692384</v>
      </c>
      <c r="DJ3" s="2340">
        <v>99697.787536404256</v>
      </c>
      <c r="DK3" s="2340">
        <v>99708.953224840399</v>
      </c>
      <c r="DL3" s="2340">
        <v>99702.952093124812</v>
      </c>
      <c r="DM3" s="2340">
        <v>99688.663508745551</v>
      </c>
      <c r="DN3" s="2340">
        <v>99689.04089034682</v>
      </c>
      <c r="DO3" s="2340">
        <v>99699.247333762236</v>
      </c>
      <c r="DP3" s="2340">
        <v>99714.711151560346</v>
      </c>
      <c r="DQ3" s="2340">
        <v>99712.511681687858</v>
      </c>
      <c r="DR3" s="2340">
        <v>99714.178502710507</v>
      </c>
      <c r="DS3" s="2340">
        <v>99721.201597858497</v>
      </c>
      <c r="DT3" s="2340">
        <v>99732.260499373268</v>
      </c>
      <c r="DU3" s="2340">
        <v>99742.882208766663</v>
      </c>
    </row>
    <row r="4" spans="1:135" ht="12.75">
      <c r="A4" s="135">
        <v>2</v>
      </c>
      <c r="W4" s="136">
        <v>86361</v>
      </c>
      <c r="X4" s="136">
        <v>86728</v>
      </c>
      <c r="Y4" s="2340">
        <v>86784.667000000001</v>
      </c>
      <c r="Z4" s="2340">
        <v>88853.313999999998</v>
      </c>
      <c r="AA4" s="2340">
        <v>89247.342000000004</v>
      </c>
      <c r="AB4" s="2340">
        <v>89657.306409710392</v>
      </c>
      <c r="AC4" s="2340">
        <v>90391.62765847861</v>
      </c>
      <c r="AD4" s="2340">
        <v>91013.54995478304</v>
      </c>
      <c r="AE4" s="2340">
        <v>90727.134376335729</v>
      </c>
      <c r="AF4" s="2340">
        <v>91707.292764521131</v>
      </c>
      <c r="AG4" s="2340">
        <v>92078.902109999995</v>
      </c>
      <c r="AH4" s="2340">
        <v>92135.433000000005</v>
      </c>
      <c r="AI4" s="2340">
        <v>92432.964000000007</v>
      </c>
      <c r="AJ4" s="2340">
        <v>93520.862903055997</v>
      </c>
      <c r="AK4" s="2340">
        <v>93352.847696154407</v>
      </c>
      <c r="AL4" s="2340">
        <v>93559.858590144751</v>
      </c>
      <c r="AM4" s="2340">
        <v>93757.576970849535</v>
      </c>
      <c r="AN4" s="2340">
        <v>94146.060796005258</v>
      </c>
      <c r="AO4" s="2340">
        <v>94041.736675278546</v>
      </c>
      <c r="AP4" s="2340">
        <v>94041.736675278546</v>
      </c>
      <c r="AQ4" s="2340">
        <v>94041.736675278546</v>
      </c>
      <c r="AR4" s="2340">
        <v>93980.810342806406</v>
      </c>
      <c r="AS4" s="2340">
        <v>93358.824746756291</v>
      </c>
      <c r="AT4" s="2340">
        <v>92412.766720892119</v>
      </c>
      <c r="AU4" s="2340">
        <v>91097.204660000003</v>
      </c>
      <c r="AV4" s="2340">
        <v>91059.072719999996</v>
      </c>
      <c r="AW4" s="2340">
        <v>91230.94432219796</v>
      </c>
      <c r="AX4" s="2340">
        <v>93177.847800000003</v>
      </c>
      <c r="AY4" s="2340">
        <v>94748.672399999996</v>
      </c>
      <c r="AZ4" s="2340">
        <v>94748.672399999996</v>
      </c>
      <c r="BA4" s="2340">
        <v>94778.264493493043</v>
      </c>
      <c r="BB4" s="2340">
        <v>95350.71496581813</v>
      </c>
      <c r="BC4" s="2340">
        <v>95585.561688209564</v>
      </c>
      <c r="BD4" s="2340">
        <v>95855.582627423093</v>
      </c>
      <c r="BE4" s="2340">
        <v>95950.981597909835</v>
      </c>
      <c r="BF4" s="2340">
        <v>96220.543492803597</v>
      </c>
      <c r="BG4" s="2340">
        <v>96364.881841261478</v>
      </c>
      <c r="BH4" s="2340">
        <v>96522.926602554784</v>
      </c>
      <c r="BI4" s="2340">
        <v>96607.870782540427</v>
      </c>
      <c r="BJ4" s="2340">
        <v>96786.688508334322</v>
      </c>
      <c r="BK4" s="2340">
        <v>97001.51970350527</v>
      </c>
      <c r="BL4" s="2340">
        <v>97243.177680030916</v>
      </c>
      <c r="BM4" s="2340">
        <v>97413.649542801722</v>
      </c>
      <c r="BN4" s="2340">
        <v>97625.378772479555</v>
      </c>
      <c r="BO4" s="2340">
        <v>97748.281301998184</v>
      </c>
      <c r="BP4" s="2340">
        <v>97849.736803693042</v>
      </c>
      <c r="BQ4" s="2340">
        <v>97889.412779281251</v>
      </c>
      <c r="BR4" s="2340">
        <v>97965.450553485774</v>
      </c>
      <c r="BS4" s="2340">
        <v>97917.397844843857</v>
      </c>
      <c r="BT4" s="2340">
        <v>97955.139381298111</v>
      </c>
      <c r="BU4" s="2340">
        <v>97996.434130025082</v>
      </c>
      <c r="BV4" s="2340">
        <v>98053.439695435663</v>
      </c>
      <c r="BW4" s="2340">
        <v>98121.989045963535</v>
      </c>
      <c r="BX4" s="2340">
        <v>98193.316376680756</v>
      </c>
      <c r="BY4" s="2340">
        <v>98272.890570733129</v>
      </c>
      <c r="BZ4" s="2340">
        <v>98491.329024765699</v>
      </c>
      <c r="CA4" s="2340">
        <v>98629.123390317196</v>
      </c>
      <c r="CB4" s="2340">
        <v>98696.36946564776</v>
      </c>
      <c r="CC4" s="2340">
        <v>98768.082442964194</v>
      </c>
      <c r="CD4" s="2340">
        <v>98836.84785781223</v>
      </c>
      <c r="CE4" s="2340">
        <v>98904.008827415106</v>
      </c>
      <c r="CF4" s="2340">
        <v>98967.231076358847</v>
      </c>
      <c r="CG4" s="2340">
        <v>99045.161752757034</v>
      </c>
      <c r="CH4" s="2340">
        <v>99069.975371413733</v>
      </c>
      <c r="CI4" s="2340">
        <v>99136.066452431798</v>
      </c>
      <c r="CJ4" s="2340">
        <v>99185.654638644715</v>
      </c>
      <c r="CK4" s="2340">
        <v>99223.05323870822</v>
      </c>
      <c r="CL4" s="2340">
        <v>99286.767406385712</v>
      </c>
      <c r="CM4" s="2340">
        <v>99307.201397283949</v>
      </c>
      <c r="CN4" s="2340">
        <v>99342.190478161327</v>
      </c>
      <c r="CO4" s="2340">
        <v>99368.918361506367</v>
      </c>
      <c r="CP4" s="2340">
        <v>99414.301076914169</v>
      </c>
      <c r="CQ4" s="2340">
        <v>99454.486559892146</v>
      </c>
      <c r="CR4" s="2340">
        <v>99475.843200327872</v>
      </c>
      <c r="CS4" s="2340">
        <v>99502.155400971111</v>
      </c>
      <c r="CT4" s="2340">
        <v>99514.544987525354</v>
      </c>
      <c r="CU4" s="2340">
        <v>99541.392824141076</v>
      </c>
      <c r="CV4" s="2340">
        <v>99553.663234406384</v>
      </c>
      <c r="CW4" s="2340">
        <v>99567.369463048468</v>
      </c>
      <c r="CX4" s="2340">
        <v>99581.560931301035</v>
      </c>
      <c r="CY4" s="2340">
        <v>99584.883938604602</v>
      </c>
      <c r="CZ4" s="2340">
        <v>99579.741359123436</v>
      </c>
      <c r="DA4" s="2340">
        <v>99584.60638118432</v>
      </c>
      <c r="DB4" s="2340">
        <v>99602.947672237089</v>
      </c>
      <c r="DC4" s="2340">
        <v>99632.304165072943</v>
      </c>
      <c r="DD4" s="2340">
        <v>99624.008296739514</v>
      </c>
      <c r="DE4" s="2340">
        <v>99635.401494703736</v>
      </c>
      <c r="DF4" s="2340">
        <v>99669.581859486119</v>
      </c>
      <c r="DG4" s="2340">
        <v>99654.34459888436</v>
      </c>
      <c r="DH4" s="2340">
        <v>99670.209455840435</v>
      </c>
      <c r="DI4" s="2340">
        <v>99648.284761317249</v>
      </c>
      <c r="DJ4" s="2340">
        <v>99671.164107156364</v>
      </c>
      <c r="DK4" s="2340">
        <v>99684.249223215535</v>
      </c>
      <c r="DL4" s="2340">
        <v>99681.025356718179</v>
      </c>
      <c r="DM4" s="2340">
        <v>99664.988724858864</v>
      </c>
      <c r="DN4" s="2340">
        <v>99662.609558237396</v>
      </c>
      <c r="DO4" s="2340">
        <v>99677.668605578918</v>
      </c>
      <c r="DP4" s="2340">
        <v>99694.094828684087</v>
      </c>
      <c r="DQ4" s="2340">
        <v>99693.437486367664</v>
      </c>
      <c r="DR4" s="2340">
        <v>99692.698511702212</v>
      </c>
      <c r="DS4" s="2340">
        <v>99702.227940820187</v>
      </c>
      <c r="DT4" s="2340">
        <v>99714.027401101077</v>
      </c>
      <c r="DU4" s="2340">
        <v>99725.360841606001</v>
      </c>
    </row>
    <row r="5" spans="1:135" ht="12.75">
      <c r="A5" s="135">
        <v>3</v>
      </c>
      <c r="W5" s="136">
        <v>85441</v>
      </c>
      <c r="X5" s="136">
        <v>86230</v>
      </c>
      <c r="Y5" s="2340">
        <v>86286.523011419995</v>
      </c>
      <c r="Z5" s="2340">
        <v>88343.295977639995</v>
      </c>
      <c r="AA5" s="2340">
        <v>88704.588611634521</v>
      </c>
      <c r="AB5" s="2340">
        <v>89165.54357225998</v>
      </c>
      <c r="AC5" s="2340">
        <v>89841.915352295749</v>
      </c>
      <c r="AD5" s="2340">
        <v>90559.617037302829</v>
      </c>
      <c r="AE5" s="2340">
        <v>90337.844671383136</v>
      </c>
      <c r="AF5" s="2340">
        <v>91342.297739318339</v>
      </c>
      <c r="AG5" s="2340">
        <v>91712.428079602192</v>
      </c>
      <c r="AH5" s="2340">
        <v>91768.733976660005</v>
      </c>
      <c r="AI5" s="2340">
        <v>92008.748062256811</v>
      </c>
      <c r="AJ5" s="2340">
        <v>93054.424684088139</v>
      </c>
      <c r="AK5" s="2340">
        <v>92952.291646567552</v>
      </c>
      <c r="AL5" s="2340">
        <v>93186.366140683094</v>
      </c>
      <c r="AM5" s="2340">
        <v>93364.620356462183</v>
      </c>
      <c r="AN5" s="2340">
        <v>93751.475968799175</v>
      </c>
      <c r="AO5" s="2340">
        <v>93647.589091169008</v>
      </c>
      <c r="AP5" s="2340">
        <v>93647.589091169008</v>
      </c>
      <c r="AQ5" s="2340">
        <v>93608.174332758048</v>
      </c>
      <c r="AR5" s="2340">
        <v>93488.445055609787</v>
      </c>
      <c r="AS5" s="2340">
        <v>92771.896699750432</v>
      </c>
      <c r="AT5" s="2340">
        <v>91974.730206635097</v>
      </c>
      <c r="AU5" s="2340">
        <v>90665.403909911605</v>
      </c>
      <c r="AV5" s="2340">
        <v>90768.149164984017</v>
      </c>
      <c r="AW5" s="2340">
        <v>91034.797791905235</v>
      </c>
      <c r="AX5" s="2340">
        <v>92977.515427229999</v>
      </c>
      <c r="AY5" s="2340">
        <v>94544.962754339998</v>
      </c>
      <c r="AZ5" s="2340">
        <v>94609.334464569067</v>
      </c>
      <c r="BA5" s="2340">
        <v>94635.334180584556</v>
      </c>
      <c r="BB5" s="2340">
        <v>95206.524066238271</v>
      </c>
      <c r="BC5" s="2340">
        <v>95442.887271922824</v>
      </c>
      <c r="BD5" s="2340">
        <v>95726.325893570945</v>
      </c>
      <c r="BE5" s="2340">
        <v>95821.852262048356</v>
      </c>
      <c r="BF5" s="2340">
        <v>96100.554796943034</v>
      </c>
      <c r="BG5" s="2340">
        <v>96245.069729062961</v>
      </c>
      <c r="BH5" s="2340">
        <v>96415.676427736777</v>
      </c>
      <c r="BI5" s="2340">
        <v>96499.960721061885</v>
      </c>
      <c r="BJ5" s="2340">
        <v>96677.863889356027</v>
      </c>
      <c r="BK5" s="2340">
        <v>96904.230814007184</v>
      </c>
      <c r="BL5" s="2340">
        <v>97156.669712480769</v>
      </c>
      <c r="BM5" s="2340">
        <v>97326.638853447395</v>
      </c>
      <c r="BN5" s="2340">
        <v>97533.585504012357</v>
      </c>
      <c r="BO5" s="2340">
        <v>97668.287733552337</v>
      </c>
      <c r="BP5" s="2340">
        <v>97768.24412227064</v>
      </c>
      <c r="BQ5" s="2340">
        <v>97801.04776603113</v>
      </c>
      <c r="BR5" s="2340">
        <v>97889.250191858533</v>
      </c>
      <c r="BS5" s="2340">
        <v>97845.236708905126</v>
      </c>
      <c r="BT5" s="2340">
        <v>97885.847609922959</v>
      </c>
      <c r="BU5" s="2340">
        <v>97928.851411509953</v>
      </c>
      <c r="BV5" s="2340">
        <v>97983.629345866255</v>
      </c>
      <c r="BW5" s="2340">
        <v>98057.161533833292</v>
      </c>
      <c r="BX5" s="2340">
        <v>98136.372400551176</v>
      </c>
      <c r="BY5" s="2340">
        <v>98215.754242202354</v>
      </c>
      <c r="BZ5" s="2340">
        <v>98437.049106886276</v>
      </c>
      <c r="CA5" s="2340">
        <v>98575.445617502992</v>
      </c>
      <c r="CB5" s="2340">
        <v>98649.468993844566</v>
      </c>
      <c r="CC5" s="2340">
        <v>98714.758369423376</v>
      </c>
      <c r="CD5" s="2340">
        <v>98786.952397218163</v>
      </c>
      <c r="CE5" s="2340">
        <v>98861.180006979499</v>
      </c>
      <c r="CF5" s="2340">
        <v>98920.693355522337</v>
      </c>
      <c r="CG5" s="2340">
        <v>99005.405709739134</v>
      </c>
      <c r="CH5" s="2340">
        <v>99030.302837546769</v>
      </c>
      <c r="CI5" s="2340">
        <v>99098.276532928867</v>
      </c>
      <c r="CJ5" s="2340">
        <v>99144.926359898323</v>
      </c>
      <c r="CK5" s="2340">
        <v>99187.644907766313</v>
      </c>
      <c r="CL5" s="2340">
        <v>99254.954929744155</v>
      </c>
      <c r="CM5" s="2340">
        <v>99275.442580587318</v>
      </c>
      <c r="CN5" s="2340">
        <v>99321.083108950246</v>
      </c>
      <c r="CO5" s="2340">
        <v>99341.090297609713</v>
      </c>
      <c r="CP5" s="2340">
        <v>99387.045248841299</v>
      </c>
      <c r="CQ5" s="2340">
        <v>99427.673676403399</v>
      </c>
      <c r="CR5" s="2340">
        <v>99452.729455910492</v>
      </c>
      <c r="CS5" s="2340">
        <v>99476.995614467087</v>
      </c>
      <c r="CT5" s="2340">
        <v>99492.48392280619</v>
      </c>
      <c r="CU5" s="2340">
        <v>99516.532022837331</v>
      </c>
      <c r="CV5" s="2340">
        <v>99531.409045051012</v>
      </c>
      <c r="CW5" s="2340">
        <v>99547.038343064502</v>
      </c>
      <c r="CX5" s="2340">
        <v>99564.116599823727</v>
      </c>
      <c r="CY5" s="2340">
        <v>99564.748310967174</v>
      </c>
      <c r="CZ5" s="2340">
        <v>99559.975055885909</v>
      </c>
      <c r="DA5" s="2340">
        <v>99565.03787995028</v>
      </c>
      <c r="DB5" s="2340">
        <v>99585.340199489292</v>
      </c>
      <c r="DC5" s="2340">
        <v>99613.016540053824</v>
      </c>
      <c r="DD5" s="2340">
        <v>99609.173733320466</v>
      </c>
      <c r="DE5" s="2340">
        <v>99622.336192399496</v>
      </c>
      <c r="DF5" s="2340">
        <v>99654.397958565911</v>
      </c>
      <c r="DG5" s="2340">
        <v>99639.366303374816</v>
      </c>
      <c r="DH5" s="2340">
        <v>99657.667937363556</v>
      </c>
      <c r="DI5" s="2340">
        <v>99638.24595750423</v>
      </c>
      <c r="DJ5" s="2340">
        <v>99659.371372185764</v>
      </c>
      <c r="DK5" s="2340">
        <v>99671.322057281199</v>
      </c>
      <c r="DL5" s="2340">
        <v>99670.950136896092</v>
      </c>
      <c r="DM5" s="2340">
        <v>99650.888046879292</v>
      </c>
      <c r="DN5" s="2340">
        <v>99649.123749214632</v>
      </c>
      <c r="DO5" s="2340">
        <v>99665.17086177782</v>
      </c>
      <c r="DP5" s="2340">
        <v>99683.586130765732</v>
      </c>
      <c r="DQ5" s="2340">
        <v>99681.543771945377</v>
      </c>
      <c r="DR5" s="2340">
        <v>99679.625903446431</v>
      </c>
      <c r="DS5" s="2340">
        <v>99689.658815756178</v>
      </c>
      <c r="DT5" s="2340">
        <v>99701.942092877303</v>
      </c>
      <c r="DU5" s="2340">
        <v>99713.740781374305</v>
      </c>
    </row>
    <row r="6" spans="1:135" ht="12.75">
      <c r="A6" s="135">
        <v>4</v>
      </c>
      <c r="W6" s="136">
        <v>85132</v>
      </c>
      <c r="X6" s="136">
        <v>85918</v>
      </c>
      <c r="Y6" s="2340">
        <v>85974.165798118658</v>
      </c>
      <c r="Z6" s="2340">
        <v>88004.469353238455</v>
      </c>
      <c r="AA6" s="2340">
        <v>88375.134744376381</v>
      </c>
      <c r="AB6" s="2340">
        <v>88798.360358114151</v>
      </c>
      <c r="AC6" s="2340">
        <v>89517.669790052343</v>
      </c>
      <c r="AD6" s="2340">
        <v>90278.440085991882</v>
      </c>
      <c r="AE6" s="2340">
        <v>90077.671678729559</v>
      </c>
      <c r="AF6" s="2340">
        <v>91079.231921829109</v>
      </c>
      <c r="AG6" s="2340">
        <v>91448.296286732933</v>
      </c>
      <c r="AH6" s="2340">
        <v>91463.969561016289</v>
      </c>
      <c r="AI6" s="2340">
        <v>91676.682253889157</v>
      </c>
      <c r="AJ6" s="2340">
        <v>92765.501648692691</v>
      </c>
      <c r="AK6" s="2340">
        <v>92683.780829064752</v>
      </c>
      <c r="AL6" s="2340">
        <v>92903.748009402581</v>
      </c>
      <c r="AM6" s="2340">
        <v>93081.461610975501</v>
      </c>
      <c r="AN6" s="2340">
        <v>93467.143957149616</v>
      </c>
      <c r="AO6" s="2340">
        <v>93363.572150451349</v>
      </c>
      <c r="AP6" s="2340">
        <v>93335.170456379594</v>
      </c>
      <c r="AQ6" s="2340">
        <v>93253.302579542491</v>
      </c>
      <c r="AR6" s="2340">
        <v>93063.14362903549</v>
      </c>
      <c r="AS6" s="2340">
        <v>92447.195061301303</v>
      </c>
      <c r="AT6" s="2340">
        <v>91652.818650911868</v>
      </c>
      <c r="AU6" s="2340">
        <v>90451.515640890764</v>
      </c>
      <c r="AV6" s="2340">
        <v>90619.289400353446</v>
      </c>
      <c r="AW6" s="2340">
        <v>90885.500723526507</v>
      </c>
      <c r="AX6" s="2340">
        <v>92825.032301929343</v>
      </c>
      <c r="AY6" s="2340">
        <v>94439.407180921917</v>
      </c>
      <c r="AZ6" s="2340">
        <v>94507.895664836295</v>
      </c>
      <c r="BA6" s="2340">
        <v>94539.873943418876</v>
      </c>
      <c r="BB6" s="2340">
        <v>95115.644069177884</v>
      </c>
      <c r="BC6" s="2340">
        <v>95350.467120177476</v>
      </c>
      <c r="BD6" s="2340">
        <v>95634.192871403357</v>
      </c>
      <c r="BE6" s="2340">
        <v>95743.200523775653</v>
      </c>
      <c r="BF6" s="2340">
        <v>96010.536540327143</v>
      </c>
      <c r="BG6" s="2340">
        <v>96161.279078895808</v>
      </c>
      <c r="BH6" s="2340">
        <v>96335.409488982041</v>
      </c>
      <c r="BI6" s="2340">
        <v>96426.136948642088</v>
      </c>
      <c r="BJ6" s="2340">
        <v>96610.932162317258</v>
      </c>
      <c r="BK6" s="2340">
        <v>96838.845752492896</v>
      </c>
      <c r="BL6" s="2340">
        <v>97091.165147893145</v>
      </c>
      <c r="BM6" s="2340">
        <v>97262.388290840594</v>
      </c>
      <c r="BN6" s="2340">
        <v>97469.958637695483</v>
      </c>
      <c r="BO6" s="2340">
        <v>97604.916397990877</v>
      </c>
      <c r="BP6" s="2340">
        <v>97704.468664780987</v>
      </c>
      <c r="BQ6" s="2340">
        <v>97739.731386946165</v>
      </c>
      <c r="BR6" s="2340">
        <v>97828.512879859758</v>
      </c>
      <c r="BS6" s="2340">
        <v>97788.869800145258</v>
      </c>
      <c r="BT6" s="2340">
        <v>97832.602926802108</v>
      </c>
      <c r="BU6" s="2340">
        <v>97876.313205159488</v>
      </c>
      <c r="BV6" s="2340">
        <v>97932.740487115938</v>
      </c>
      <c r="BW6" s="2340">
        <v>98008.706105700505</v>
      </c>
      <c r="BX6" s="2340">
        <v>98084.38711949563</v>
      </c>
      <c r="BY6" s="2340">
        <v>98168.606648781992</v>
      </c>
      <c r="BZ6" s="2340">
        <v>98392.222413572148</v>
      </c>
      <c r="CA6" s="2340">
        <v>98536.186885935982</v>
      </c>
      <c r="CB6" s="2340">
        <v>98608.709714889788</v>
      </c>
      <c r="CC6" s="2340">
        <v>98679.574737993855</v>
      </c>
      <c r="CD6" s="2340">
        <v>98752.80412409408</v>
      </c>
      <c r="CE6" s="2340">
        <v>98828.77195587226</v>
      </c>
      <c r="CF6" s="2340">
        <v>98889.266456318801</v>
      </c>
      <c r="CG6" s="2340">
        <v>98978.688827596328</v>
      </c>
      <c r="CH6" s="2340">
        <v>99002.397948602957</v>
      </c>
      <c r="CI6" s="2340">
        <v>99067.136285547444</v>
      </c>
      <c r="CJ6" s="2340">
        <v>99120.063281458599</v>
      </c>
      <c r="CK6" s="2340">
        <v>99155.431428341908</v>
      </c>
      <c r="CL6" s="2340">
        <v>99229.701052997349</v>
      </c>
      <c r="CM6" s="2340">
        <v>99251.203328547781</v>
      </c>
      <c r="CN6" s="2340">
        <v>99297.970680332131</v>
      </c>
      <c r="CO6" s="2340">
        <v>99321.057073755495</v>
      </c>
      <c r="CP6" s="2340">
        <v>99367.598402809192</v>
      </c>
      <c r="CQ6" s="2340">
        <v>99409.796271529471</v>
      </c>
      <c r="CR6" s="2340">
        <v>99435.684707731023</v>
      </c>
      <c r="CS6" s="2340">
        <v>99458.194186994064</v>
      </c>
      <c r="CT6" s="2340">
        <v>99478.666459595697</v>
      </c>
      <c r="CU6" s="2340">
        <v>99499.728078553366</v>
      </c>
      <c r="CV6" s="2340">
        <v>99513.863264223532</v>
      </c>
      <c r="CW6" s="2340">
        <v>99529.128337323549</v>
      </c>
      <c r="CX6" s="2340">
        <v>99548.873288860777</v>
      </c>
      <c r="CY6" s="2340">
        <v>99550.693015802477</v>
      </c>
      <c r="CZ6" s="2340">
        <v>99547.84137263296</v>
      </c>
      <c r="DA6" s="2340">
        <v>99551.513354584386</v>
      </c>
      <c r="DB6" s="2340">
        <v>99570.329984999131</v>
      </c>
      <c r="DC6" s="2340">
        <v>99597.885989712973</v>
      </c>
      <c r="DD6" s="2340">
        <v>99599.801334563585</v>
      </c>
      <c r="DE6" s="2340">
        <v>99610.127435923147</v>
      </c>
      <c r="DF6" s="2340">
        <v>99643.430900302963</v>
      </c>
      <c r="DG6" s="2340">
        <v>99626.31022414827</v>
      </c>
      <c r="DH6" s="2340">
        <v>99647.897606788392</v>
      </c>
      <c r="DI6" s="2340">
        <v>99625.938148138608</v>
      </c>
      <c r="DJ6" s="2340">
        <v>99648.428969596425</v>
      </c>
      <c r="DK6" s="2340">
        <v>99660.313922459129</v>
      </c>
      <c r="DL6" s="2340">
        <v>99661.521306850205</v>
      </c>
      <c r="DM6" s="2340">
        <v>99640.073079706082</v>
      </c>
      <c r="DN6" s="2340">
        <v>99639.770080152768</v>
      </c>
      <c r="DO6" s="2340">
        <v>99654.002175188929</v>
      </c>
      <c r="DP6" s="2340">
        <v>99674.193675617091</v>
      </c>
      <c r="DQ6" s="2340">
        <v>99671.843648203139</v>
      </c>
      <c r="DR6" s="2340">
        <v>99670.295325146712</v>
      </c>
      <c r="DS6" s="2340">
        <v>99680.682628272145</v>
      </c>
      <c r="DT6" s="2340">
        <v>99693.306641036237</v>
      </c>
      <c r="DU6" s="2340">
        <v>99705.433171367084</v>
      </c>
    </row>
    <row r="7" spans="1:135" ht="12.75">
      <c r="A7" s="135">
        <v>5</v>
      </c>
      <c r="W7" s="136">
        <v>84889</v>
      </c>
      <c r="X7" s="136">
        <v>85672</v>
      </c>
      <c r="Y7" s="2340">
        <v>85713.652819755982</v>
      </c>
      <c r="Z7" s="2340">
        <v>87735.191985596073</v>
      </c>
      <c r="AA7" s="2340">
        <v>88075.31346884837</v>
      </c>
      <c r="AB7" s="2340">
        <v>88523.504846034368</v>
      </c>
      <c r="AC7" s="2340">
        <v>89279.296069721866</v>
      </c>
      <c r="AD7" s="2340">
        <v>90055.452338979478</v>
      </c>
      <c r="AE7" s="2340">
        <v>89855.179829683097</v>
      </c>
      <c r="AF7" s="2340">
        <v>90854.266218982186</v>
      </c>
      <c r="AG7" s="2340">
        <v>91187.831149911974</v>
      </c>
      <c r="AH7" s="2340">
        <v>91180.863250391209</v>
      </c>
      <c r="AI7" s="2340">
        <v>91432.559368790971</v>
      </c>
      <c r="AJ7" s="2340">
        <v>92535.679093729981</v>
      </c>
      <c r="AK7" s="2340">
        <v>92442.703788758765</v>
      </c>
      <c r="AL7" s="2340">
        <v>92662.098818971441</v>
      </c>
      <c r="AM7" s="2340">
        <v>92839.350174952895</v>
      </c>
      <c r="AN7" s="2340">
        <v>93224.02933418662</v>
      </c>
      <c r="AO7" s="2340">
        <v>93096.442402510555</v>
      </c>
      <c r="AP7" s="2340">
        <v>93031.706268136433</v>
      </c>
      <c r="AQ7" s="2340">
        <v>92889.464969819324</v>
      </c>
      <c r="AR7" s="2340">
        <v>92833.27766427178</v>
      </c>
      <c r="AS7" s="2340">
        <v>92218.850489499891</v>
      </c>
      <c r="AT7" s="2340">
        <v>91500.2307496516</v>
      </c>
      <c r="AU7" s="2340">
        <v>90336.642216026827</v>
      </c>
      <c r="AV7" s="2340">
        <v>90504.202902814999</v>
      </c>
      <c r="AW7" s="2340">
        <v>90770.076137607626</v>
      </c>
      <c r="AX7" s="2340">
        <v>92743.812459317109</v>
      </c>
      <c r="AY7" s="2340">
        <v>94360.25437412459</v>
      </c>
      <c r="AZ7" s="2340">
        <v>94425.838739373954</v>
      </c>
      <c r="BA7" s="2340">
        <v>94473.25823808102</v>
      </c>
      <c r="BB7" s="2340">
        <v>95045.357853127047</v>
      </c>
      <c r="BC7" s="2340">
        <v>95275.065253257679</v>
      </c>
      <c r="BD7" s="2340">
        <v>95570.211096113475</v>
      </c>
      <c r="BE7" s="2340">
        <v>95676.517064893153</v>
      </c>
      <c r="BF7" s="2340">
        <v>95947.458978853698</v>
      </c>
      <c r="BG7" s="2340">
        <v>96101.424975064976</v>
      </c>
      <c r="BH7" s="2340">
        <v>96280.527209071792</v>
      </c>
      <c r="BI7" s="2340">
        <v>96366.135315501859</v>
      </c>
      <c r="BJ7" s="2340">
        <v>96555.969979422254</v>
      </c>
      <c r="BK7" s="2340">
        <v>96781.840164731475</v>
      </c>
      <c r="BL7" s="2340">
        <v>97035.996744139818</v>
      </c>
      <c r="BM7" s="2340">
        <v>97203.443804791474</v>
      </c>
      <c r="BN7" s="2340">
        <v>97413.552203786952</v>
      </c>
      <c r="BO7" s="2340">
        <v>97549.043584442406</v>
      </c>
      <c r="BP7" s="2340">
        <v>97656.405554854529</v>
      </c>
      <c r="BQ7" s="2340">
        <v>97691.844437294843</v>
      </c>
      <c r="BR7" s="2340">
        <v>97777.487850993173</v>
      </c>
      <c r="BS7" s="2340">
        <v>97749.011028486522</v>
      </c>
      <c r="BT7" s="2340">
        <v>97785.871408984356</v>
      </c>
      <c r="BU7" s="2340">
        <v>97830.489879097033</v>
      </c>
      <c r="BV7" s="2340">
        <v>97890.984148658623</v>
      </c>
      <c r="BW7" s="2340">
        <v>97967.385217487434</v>
      </c>
      <c r="BX7" s="2340">
        <v>98048.467183957953</v>
      </c>
      <c r="BY7" s="2340">
        <v>98129.855518797223</v>
      </c>
      <c r="BZ7" s="2340">
        <v>98356.011148731719</v>
      </c>
      <c r="CA7" s="2340">
        <v>98505.354958384836</v>
      </c>
      <c r="CB7" s="2340">
        <v>98576.723154551742</v>
      </c>
      <c r="CC7" s="2340">
        <v>98652.552279726428</v>
      </c>
      <c r="CD7" s="2340">
        <v>98726.150484898681</v>
      </c>
      <c r="CE7" s="2340">
        <v>98805.494313117742</v>
      </c>
      <c r="CF7" s="2340">
        <v>98866.562958618641</v>
      </c>
      <c r="CG7" s="2340">
        <v>98956.908915047738</v>
      </c>
      <c r="CH7" s="2340">
        <v>98981.057942672618</v>
      </c>
      <c r="CI7" s="2340">
        <v>99047.671789790053</v>
      </c>
      <c r="CJ7" s="2340">
        <v>99097.140944500396</v>
      </c>
      <c r="CK7" s="2340">
        <v>99134.241781365665</v>
      </c>
      <c r="CL7" s="2340">
        <v>99207.150911777178</v>
      </c>
      <c r="CM7" s="2340">
        <v>99233.792963251617</v>
      </c>
      <c r="CN7" s="2340">
        <v>99279.328318611326</v>
      </c>
      <c r="CO7" s="2340">
        <v>99301.864415811666</v>
      </c>
      <c r="CP7" s="2340">
        <v>99354.615250355942</v>
      </c>
      <c r="CQ7" s="2340">
        <v>99391.954911541601</v>
      </c>
      <c r="CR7" s="2340">
        <v>99422.578724478284</v>
      </c>
      <c r="CS7" s="2340">
        <v>99443.933925443125</v>
      </c>
      <c r="CT7" s="2340">
        <v>99464.864683353386</v>
      </c>
      <c r="CU7" s="2340">
        <v>99486.469986687589</v>
      </c>
      <c r="CV7" s="2340">
        <v>99499.970060961889</v>
      </c>
      <c r="CW7" s="2340">
        <v>99517.82001711971</v>
      </c>
      <c r="CX7" s="2340">
        <v>99535.477194400009</v>
      </c>
      <c r="CY7" s="2340">
        <v>99541.598620756879</v>
      </c>
      <c r="CZ7" s="2340">
        <v>99537.113656552072</v>
      </c>
      <c r="DA7" s="2340">
        <v>99539.710374793227</v>
      </c>
      <c r="DB7" s="2340">
        <v>99558.489696330362</v>
      </c>
      <c r="DC7" s="2340">
        <v>99586.027060270222</v>
      </c>
      <c r="DD7" s="2340">
        <v>99587.363418108449</v>
      </c>
      <c r="DE7" s="2340">
        <v>99599.148603846639</v>
      </c>
      <c r="DF7" s="2340">
        <v>99634.592339440875</v>
      </c>
      <c r="DG7" s="2340">
        <v>99617.277135577635</v>
      </c>
      <c r="DH7" s="2340">
        <v>99638.832772330614</v>
      </c>
      <c r="DI7" s="2340">
        <v>99617.719191333323</v>
      </c>
      <c r="DJ7" s="2340">
        <v>99637.390046564717</v>
      </c>
      <c r="DK7" s="2340">
        <v>99651.655301009261</v>
      </c>
      <c r="DL7" s="2340">
        <v>99651.097663694134</v>
      </c>
      <c r="DM7" s="2340">
        <v>99631.165129540168</v>
      </c>
      <c r="DN7" s="2340">
        <v>99630.714223220188</v>
      </c>
      <c r="DO7" s="2340">
        <v>99645.954457964166</v>
      </c>
      <c r="DP7" s="2340">
        <v>99666.487666320274</v>
      </c>
      <c r="DQ7" s="2340">
        <v>99664.427207489061</v>
      </c>
      <c r="DR7" s="2340">
        <v>99663.157514492123</v>
      </c>
      <c r="DS7" s="2340">
        <v>99673.812157097767</v>
      </c>
      <c r="DT7" s="2340">
        <v>99686.693348108791</v>
      </c>
      <c r="DU7" s="2340">
        <v>99699.067461750645</v>
      </c>
    </row>
    <row r="8" spans="1:135" ht="12.75">
      <c r="A8" s="135">
        <v>6</v>
      </c>
      <c r="W8" s="136">
        <v>84703</v>
      </c>
      <c r="X8" s="136">
        <v>85473</v>
      </c>
      <c r="Y8" s="2340">
        <v>85499.094129862628</v>
      </c>
      <c r="Z8" s="2340">
        <v>87491.687385632991</v>
      </c>
      <c r="AA8" s="2340">
        <v>87838.014851123808</v>
      </c>
      <c r="AB8" s="2340">
        <v>88318.317906922908</v>
      </c>
      <c r="AC8" s="2340">
        <v>89087.345583171962</v>
      </c>
      <c r="AD8" s="2340">
        <v>89861.833116450667</v>
      </c>
      <c r="AE8" s="2340">
        <v>89661.991193049282</v>
      </c>
      <c r="AF8" s="2340">
        <v>90629.018285985425</v>
      </c>
      <c r="AG8" s="2340">
        <v>90942.146571192556</v>
      </c>
      <c r="AH8" s="2340">
        <v>90969.51687104904</v>
      </c>
      <c r="AI8" s="2340">
        <v>91235.385873928535</v>
      </c>
      <c r="AJ8" s="2340">
        <v>92326.170022022678</v>
      </c>
      <c r="AK8" s="2340">
        <v>92233.405221475565</v>
      </c>
      <c r="AL8" s="2340">
        <v>92452.303521674825</v>
      </c>
      <c r="AM8" s="2340">
        <v>92629.15356469879</v>
      </c>
      <c r="AN8" s="2340">
        <v>92991.855020001065</v>
      </c>
      <c r="AO8" s="2340">
        <v>92832.969039884047</v>
      </c>
      <c r="AP8" s="2340">
        <v>92715.758085600683</v>
      </c>
      <c r="AQ8" s="2340">
        <v>92722.263932873655</v>
      </c>
      <c r="AR8" s="2340">
        <v>92666.177764476088</v>
      </c>
      <c r="AS8" s="2340">
        <v>92106.966091283975</v>
      </c>
      <c r="AT8" s="2340">
        <v>91409.645521209444</v>
      </c>
      <c r="AU8" s="2340">
        <v>90247.208940232958</v>
      </c>
      <c r="AV8" s="2340">
        <v>90414.603741941217</v>
      </c>
      <c r="AW8" s="2340">
        <v>90703.8476488655</v>
      </c>
      <c r="AX8" s="2340">
        <v>92684.438192449554</v>
      </c>
      <c r="AY8" s="2340">
        <v>94292.893175235105</v>
      </c>
      <c r="AZ8" s="2340">
        <v>94367.55608530248</v>
      </c>
      <c r="BA8" s="2340">
        <v>94413.112025428825</v>
      </c>
      <c r="BB8" s="2340">
        <v>94979.841693835042</v>
      </c>
      <c r="BC8" s="2340">
        <v>95220.801069762587</v>
      </c>
      <c r="BD8" s="2340">
        <v>95520.368591185499</v>
      </c>
      <c r="BE8" s="2340">
        <v>95622.627499545328</v>
      </c>
      <c r="BF8" s="2340">
        <v>95897.236845710882</v>
      </c>
      <c r="BG8" s="2340">
        <v>96048.935354092362</v>
      </c>
      <c r="BH8" s="2340">
        <v>96234.311873284882</v>
      </c>
      <c r="BI8" s="2340">
        <v>96318.780462768482</v>
      </c>
      <c r="BJ8" s="2340">
        <v>96507.909319236016</v>
      </c>
      <c r="BK8" s="2340">
        <v>96732.07067848304</v>
      </c>
      <c r="BL8" s="2340">
        <v>96987.525478980737</v>
      </c>
      <c r="BM8" s="2340">
        <v>97160.2902058896</v>
      </c>
      <c r="BN8" s="2340">
        <v>97364.248324918095</v>
      </c>
      <c r="BO8" s="2340">
        <v>97500.388989232306</v>
      </c>
      <c r="BP8" s="2340">
        <v>97612.478817769676</v>
      </c>
      <c r="BQ8" s="2340">
        <v>97651.079902778787</v>
      </c>
      <c r="BR8" s="2340">
        <v>97735.041182758418</v>
      </c>
      <c r="BS8" s="2340">
        <v>97705.43023816857</v>
      </c>
      <c r="BT8" s="2340">
        <v>97748.136757914079</v>
      </c>
      <c r="BU8" s="2340">
        <v>97794.107039833747</v>
      </c>
      <c r="BV8" s="2340">
        <v>97860.139904568263</v>
      </c>
      <c r="BW8" s="2340">
        <v>97928.684944463763</v>
      </c>
      <c r="BX8" s="2340">
        <v>98020.346239216495</v>
      </c>
      <c r="BY8" s="2340">
        <v>98102.281602736941</v>
      </c>
      <c r="BZ8" s="2340">
        <v>98321.341151032073</v>
      </c>
      <c r="CA8" s="2340">
        <v>98480.541625546073</v>
      </c>
      <c r="CB8" s="2340">
        <v>98553.217994637293</v>
      </c>
      <c r="CC8" s="2340">
        <v>98623.652183340921</v>
      </c>
      <c r="CD8" s="2340">
        <v>98705.91184265638</v>
      </c>
      <c r="CE8" s="2340">
        <v>98785.653924412545</v>
      </c>
      <c r="CF8" s="2340">
        <v>98846.170346384679</v>
      </c>
      <c r="CG8" s="2340">
        <v>98936.345060642256</v>
      </c>
      <c r="CH8" s="2340">
        <v>98959.316836456768</v>
      </c>
      <c r="CI8" s="2340">
        <v>99026.77791116327</v>
      </c>
      <c r="CJ8" s="2340">
        <v>99076.113761790693</v>
      </c>
      <c r="CK8" s="2340">
        <v>99116.880808768212</v>
      </c>
      <c r="CL8" s="2340">
        <v>99193.396095331525</v>
      </c>
      <c r="CM8" s="2340">
        <v>99215.613131000777</v>
      </c>
      <c r="CN8" s="2340">
        <v>99266.188485516206</v>
      </c>
      <c r="CO8" s="2340">
        <v>99291.959254641857</v>
      </c>
      <c r="CP8" s="2340">
        <v>99345.076294487211</v>
      </c>
      <c r="CQ8" s="2340">
        <v>99382.663772966087</v>
      </c>
      <c r="CR8" s="2340">
        <v>99411.078114327029</v>
      </c>
      <c r="CS8" s="2340">
        <v>99434.438236332207</v>
      </c>
      <c r="CT8" s="2340">
        <v>99454.4147054817</v>
      </c>
      <c r="CU8" s="2340">
        <v>99471.997049670783</v>
      </c>
      <c r="CV8" s="2340">
        <v>99486.095190783395</v>
      </c>
      <c r="CW8" s="2340">
        <v>99508.354512282473</v>
      </c>
      <c r="CX8" s="2340">
        <v>99524.969358327755</v>
      </c>
      <c r="CY8" s="2340">
        <v>99534.977407314349</v>
      </c>
      <c r="CZ8" s="2340">
        <v>99526.656051121507</v>
      </c>
      <c r="DA8" s="2340">
        <v>99532.216623817629</v>
      </c>
      <c r="DB8" s="2340">
        <v>99548.669966149959</v>
      </c>
      <c r="DC8" s="2340">
        <v>99575.296554134256</v>
      </c>
      <c r="DD8" s="2340">
        <v>99574.65994521651</v>
      </c>
      <c r="DE8" s="2340">
        <v>99589.70069199671</v>
      </c>
      <c r="DF8" s="2340">
        <v>99627.868075223945</v>
      </c>
      <c r="DG8" s="2340">
        <v>99610.134490738143</v>
      </c>
      <c r="DH8" s="2340">
        <v>99630.53016850476</v>
      </c>
      <c r="DI8" s="2340">
        <v>99608.183782229433</v>
      </c>
      <c r="DJ8" s="2340">
        <v>99629.262730643022</v>
      </c>
      <c r="DK8" s="2340">
        <v>99643.618329625708</v>
      </c>
      <c r="DL8" s="2340">
        <v>99644.458316037752</v>
      </c>
      <c r="DM8" s="2340">
        <v>99624.645657064248</v>
      </c>
      <c r="DN8" s="2340">
        <v>99624.484500205886</v>
      </c>
      <c r="DO8" s="2340">
        <v>99639.439656350238</v>
      </c>
      <c r="DP8" s="2340">
        <v>99660.212840328371</v>
      </c>
      <c r="DQ8" s="2340">
        <v>99658.384887544918</v>
      </c>
      <c r="DR8" s="2340">
        <v>99657.339039203318</v>
      </c>
      <c r="DS8" s="2340">
        <v>99668.208563505847</v>
      </c>
      <c r="DT8" s="2340">
        <v>99681.296579955451</v>
      </c>
      <c r="DU8" s="2340">
        <v>99693.869911749032</v>
      </c>
    </row>
    <row r="9" spans="1:135" ht="12.75">
      <c r="A9" s="135">
        <v>7</v>
      </c>
      <c r="W9" s="136">
        <v>84541</v>
      </c>
      <c r="X9" s="136">
        <v>85288</v>
      </c>
      <c r="Y9" s="2340">
        <v>85293.962154319946</v>
      </c>
      <c r="Z9" s="2340">
        <v>87277.889229763896</v>
      </c>
      <c r="AA9" s="2340">
        <v>87653.356150113221</v>
      </c>
      <c r="AB9" s="2340">
        <v>88146.097187004401</v>
      </c>
      <c r="AC9" s="2340">
        <v>88913.625259284774</v>
      </c>
      <c r="AD9" s="2340">
        <v>89686.602541873595</v>
      </c>
      <c r="AE9" s="2340">
        <v>89460.377502276344</v>
      </c>
      <c r="AF9" s="2340">
        <v>90407.553623949978</v>
      </c>
      <c r="AG9" s="2340">
        <v>90750.96216565455</v>
      </c>
      <c r="AH9" s="2340">
        <v>90791.590755542828</v>
      </c>
      <c r="AI9" s="2340">
        <v>91048.036139950927</v>
      </c>
      <c r="AJ9" s="2340">
        <v>92136.580388273564</v>
      </c>
      <c r="AK9" s="2340">
        <v>92044.006078077728</v>
      </c>
      <c r="AL9" s="2340">
        <v>92262.454875730167</v>
      </c>
      <c r="AM9" s="2340">
        <v>92419.920580983598</v>
      </c>
      <c r="AN9" s="2340">
        <v>92753.159267070339</v>
      </c>
      <c r="AO9" s="2340">
        <v>92547.023539340968</v>
      </c>
      <c r="AP9" s="2340">
        <v>92586.883181861704</v>
      </c>
      <c r="AQ9" s="2340">
        <v>92593.379986006956</v>
      </c>
      <c r="AR9" s="2340">
        <v>92579.359046008671</v>
      </c>
      <c r="AS9" s="2340">
        <v>92031.43837908913</v>
      </c>
      <c r="AT9" s="2340">
        <v>91334.689611882059</v>
      </c>
      <c r="AU9" s="2340">
        <v>90173.206228901967</v>
      </c>
      <c r="AV9" s="2340">
        <v>90360.619226975716</v>
      </c>
      <c r="AW9" s="2340">
        <v>90652.225961363874</v>
      </c>
      <c r="AX9" s="2340">
        <v>92632.490540959421</v>
      </c>
      <c r="AY9" s="2340">
        <v>94246.014553739355</v>
      </c>
      <c r="AZ9" s="2340">
        <v>94320.351208466527</v>
      </c>
      <c r="BA9" s="2340">
        <v>94367.993911259953</v>
      </c>
      <c r="BB9" s="2340">
        <v>94938.431220445767</v>
      </c>
      <c r="BC9" s="2340">
        <v>95177.451674237367</v>
      </c>
      <c r="BD9" s="2340">
        <v>95476.462895733901</v>
      </c>
      <c r="BE9" s="2340">
        <v>95580.257213469769</v>
      </c>
      <c r="BF9" s="2340">
        <v>95858.132764778464</v>
      </c>
      <c r="BG9" s="2340">
        <v>96003.427140883141</v>
      </c>
      <c r="BH9" s="2340">
        <v>96191.33199243572</v>
      </c>
      <c r="BI9" s="2340">
        <v>96277.932576522624</v>
      </c>
      <c r="BJ9" s="2340">
        <v>96466.542054679259</v>
      </c>
      <c r="BK9" s="2340">
        <v>96689.462594972938</v>
      </c>
      <c r="BL9" s="2340">
        <v>96942.540577348642</v>
      </c>
      <c r="BM9" s="2340">
        <v>97114.837775000313</v>
      </c>
      <c r="BN9" s="2340">
        <v>97321.725725951459</v>
      </c>
      <c r="BO9" s="2340">
        <v>97455.961770193404</v>
      </c>
      <c r="BP9" s="2340">
        <v>97567.136385690435</v>
      </c>
      <c r="BQ9" s="2340">
        <v>97610.89348765224</v>
      </c>
      <c r="BR9" s="2340">
        <v>97700.68472940677</v>
      </c>
      <c r="BS9" s="2340">
        <v>97668.011225896931</v>
      </c>
      <c r="BT9" s="2340">
        <v>97714.599869181839</v>
      </c>
      <c r="BU9" s="2340">
        <v>97758.830671051415</v>
      </c>
      <c r="BV9" s="2340">
        <v>97832.207310558981</v>
      </c>
      <c r="BW9" s="2340">
        <v>97897.295322011516</v>
      </c>
      <c r="BX9" s="2340">
        <v>97997.110780566712</v>
      </c>
      <c r="BY9" s="2340">
        <v>98076.006548933525</v>
      </c>
      <c r="BZ9" s="2340">
        <v>98294.191075502953</v>
      </c>
      <c r="CA9" s="2340">
        <v>98459.397877386509</v>
      </c>
      <c r="CB9" s="2340">
        <v>98529.295959453404</v>
      </c>
      <c r="CC9" s="2340">
        <v>98602.236297053227</v>
      </c>
      <c r="CD9" s="2340">
        <v>98687.366702921645</v>
      </c>
      <c r="CE9" s="2340">
        <v>98769.313960639731</v>
      </c>
      <c r="CF9" s="2340">
        <v>98824.528842820073</v>
      </c>
      <c r="CG9" s="2340">
        <v>98917.739589415782</v>
      </c>
      <c r="CH9" s="2340">
        <v>98941.222565525415</v>
      </c>
      <c r="CI9" s="2340">
        <v>99008.758255988694</v>
      </c>
      <c r="CJ9" s="2340">
        <v>99057.361969021062</v>
      </c>
      <c r="CK9" s="2340">
        <v>99106.513222630965</v>
      </c>
      <c r="CL9" s="2340">
        <v>99177.155542619526</v>
      </c>
      <c r="CM9" s="2340">
        <v>99200.803136128321</v>
      </c>
      <c r="CN9" s="2340">
        <v>99251.813306651922</v>
      </c>
      <c r="CO9" s="2340">
        <v>99281.351189707551</v>
      </c>
      <c r="CP9" s="2340">
        <v>99334.307037917344</v>
      </c>
      <c r="CQ9" s="2340">
        <v>99373.389070795602</v>
      </c>
      <c r="CR9" s="2340">
        <v>99397.240650973734</v>
      </c>
      <c r="CS9" s="2340">
        <v>99423.913699966652</v>
      </c>
      <c r="CT9" s="2340">
        <v>99443.47200200193</v>
      </c>
      <c r="CU9" s="2340">
        <v>99465.261954194735</v>
      </c>
      <c r="CV9" s="2340">
        <v>99475.040530352577</v>
      </c>
      <c r="CW9" s="2340">
        <v>99496.766662627255</v>
      </c>
      <c r="CX9" s="2340">
        <v>99518.390352099537</v>
      </c>
      <c r="CY9" s="2340">
        <v>99529.172381460434</v>
      </c>
      <c r="CZ9" s="2340">
        <v>99516.458909034875</v>
      </c>
      <c r="DA9" s="2340">
        <v>99523.848237462516</v>
      </c>
      <c r="DB9" s="2340">
        <v>99539.384176565523</v>
      </c>
      <c r="DC9" s="2340">
        <v>99569.050731175594</v>
      </c>
      <c r="DD9" s="2340">
        <v>99568.031817767493</v>
      </c>
      <c r="DE9" s="2340">
        <v>99582.950474500365</v>
      </c>
      <c r="DF9" s="2340">
        <v>99622.948912841355</v>
      </c>
      <c r="DG9" s="2340">
        <v>99603.135833803201</v>
      </c>
      <c r="DH9" s="2340">
        <v>99621.212874544886</v>
      </c>
      <c r="DI9" s="2340">
        <v>99599.878500123654</v>
      </c>
      <c r="DJ9" s="2340">
        <v>99620.07737275002</v>
      </c>
      <c r="DK9" s="2340">
        <v>99637.831636471106</v>
      </c>
      <c r="DL9" s="2340">
        <v>99638.641352201215</v>
      </c>
      <c r="DM9" s="2340">
        <v>99617.409184598611</v>
      </c>
      <c r="DN9" s="2340">
        <v>99618.655402366014</v>
      </c>
      <c r="DO9" s="2340">
        <v>99633.822578743668</v>
      </c>
      <c r="DP9" s="2340">
        <v>99654.799755312662</v>
      </c>
      <c r="DQ9" s="2340">
        <v>99653.169569811653</v>
      </c>
      <c r="DR9" s="2340">
        <v>99652.314223884008</v>
      </c>
      <c r="DS9" s="2340">
        <v>99663.366713182855</v>
      </c>
      <c r="DT9" s="2340">
        <v>99676.630928673039</v>
      </c>
      <c r="DU9" s="2340">
        <v>99689.374070762613</v>
      </c>
    </row>
    <row r="10" spans="1:135" ht="12.75">
      <c r="A10" s="135">
        <v>8</v>
      </c>
      <c r="W10" s="136">
        <v>84389</v>
      </c>
      <c r="X10" s="136">
        <v>85126</v>
      </c>
      <c r="Y10" s="2340">
        <v>85132.057435709416</v>
      </c>
      <c r="Z10" s="2340">
        <v>87138.356233393366</v>
      </c>
      <c r="AA10" s="2340">
        <v>87503.468911096526</v>
      </c>
      <c r="AB10" s="2340">
        <v>87995.36736081462</v>
      </c>
      <c r="AC10" s="2340">
        <v>88761.5829600914</v>
      </c>
      <c r="AD10" s="2340">
        <v>89498.458228065167</v>
      </c>
      <c r="AE10" s="2340">
        <v>89281.635489284788</v>
      </c>
      <c r="AF10" s="2340">
        <v>90244.966355968048</v>
      </c>
      <c r="AG10" s="2340">
        <v>90596.816553743061</v>
      </c>
      <c r="AH10" s="2340">
        <v>90628.31284230476</v>
      </c>
      <c r="AI10" s="2340">
        <v>90884.297040088888</v>
      </c>
      <c r="AJ10" s="2340">
        <v>91970.883670620562</v>
      </c>
      <c r="AK10" s="2340">
        <v>91878.475844347544</v>
      </c>
      <c r="AL10" s="2340">
        <v>92079.939478933346</v>
      </c>
      <c r="AM10" s="2340">
        <v>92212.162741731707</v>
      </c>
      <c r="AN10" s="2340">
        <v>92502.950924557517</v>
      </c>
      <c r="AO10" s="2340">
        <v>92441.519932506126</v>
      </c>
      <c r="AP10" s="2340">
        <v>92481.334135034384</v>
      </c>
      <c r="AQ10" s="2340">
        <v>92510.08342747089</v>
      </c>
      <c r="AR10" s="2340">
        <v>92521.034049809692</v>
      </c>
      <c r="AS10" s="2340">
        <v>91973.458572910298</v>
      </c>
      <c r="AT10" s="2340">
        <v>91277.148757426578</v>
      </c>
      <c r="AU10" s="2340">
        <v>90127.46291865113</v>
      </c>
      <c r="AV10" s="2340">
        <v>90321.229345163694</v>
      </c>
      <c r="AW10" s="2340">
        <v>90610.470079627776</v>
      </c>
      <c r="AX10" s="2340">
        <v>92589.511427994614</v>
      </c>
      <c r="AY10" s="2340">
        <v>94205.28635409243</v>
      </c>
      <c r="AZ10" s="2340">
        <v>94279.915865896692</v>
      </c>
      <c r="BA10" s="2340">
        <v>94327.241751300433</v>
      </c>
      <c r="BB10" s="2340">
        <v>94893.746687889929</v>
      </c>
      <c r="BC10" s="2340">
        <v>95141.969509645918</v>
      </c>
      <c r="BD10" s="2340">
        <v>95431.879757266448</v>
      </c>
      <c r="BE10" s="2340">
        <v>95535.524565960601</v>
      </c>
      <c r="BF10" s="2340">
        <v>95822.694525200481</v>
      </c>
      <c r="BG10" s="2340">
        <v>95970.523188950741</v>
      </c>
      <c r="BH10" s="2340">
        <v>96154.178280065127</v>
      </c>
      <c r="BI10" s="2340">
        <v>96239.611176656123</v>
      </c>
      <c r="BJ10" s="2340">
        <v>96428.587446684091</v>
      </c>
      <c r="BK10" s="2340">
        <v>96653.753304870028</v>
      </c>
      <c r="BL10" s="2340">
        <v>96904.779541895157</v>
      </c>
      <c r="BM10" s="2340">
        <v>97074.140166798636</v>
      </c>
      <c r="BN10" s="2340">
        <v>97287.056859567369</v>
      </c>
      <c r="BO10" s="2340">
        <v>97419.231382647617</v>
      </c>
      <c r="BP10" s="2340">
        <v>97532.637948316289</v>
      </c>
      <c r="BQ10" s="2340">
        <v>97577.504261829527</v>
      </c>
      <c r="BR10" s="2340">
        <v>97664.116813282977</v>
      </c>
      <c r="BS10" s="2340">
        <v>97637.448791674309</v>
      </c>
      <c r="BT10" s="2340">
        <v>97683.149794757162</v>
      </c>
      <c r="BU10" s="2340">
        <v>97731.004213847045</v>
      </c>
      <c r="BV10" s="2340">
        <v>97805.897263929655</v>
      </c>
      <c r="BW10" s="2340">
        <v>97869.976959248481</v>
      </c>
      <c r="BX10" s="2340">
        <v>97972.821707223731</v>
      </c>
      <c r="BY10" s="2340">
        <v>98051.177372440885</v>
      </c>
      <c r="BZ10" s="2340">
        <v>98274.593852504113</v>
      </c>
      <c r="CA10" s="2340">
        <v>98438.615100892654</v>
      </c>
      <c r="CB10" s="2340">
        <v>98511.951256372762</v>
      </c>
      <c r="CC10" s="2340">
        <v>98583.110980571204</v>
      </c>
      <c r="CD10" s="2340">
        <v>98672.35689589812</v>
      </c>
      <c r="CE10" s="2340">
        <v>98750.024416232875</v>
      </c>
      <c r="CF10" s="2340">
        <v>98806.207124694614</v>
      </c>
      <c r="CG10" s="2340">
        <v>98900.557774029177</v>
      </c>
      <c r="CH10" s="2340">
        <v>98926.920881871498</v>
      </c>
      <c r="CI10" s="2340">
        <v>98996.11059140171</v>
      </c>
      <c r="CJ10" s="2340">
        <v>99042.798297282992</v>
      </c>
      <c r="CK10" s="2340">
        <v>99093.142033610187</v>
      </c>
      <c r="CL10" s="2340">
        <v>99163.986675340246</v>
      </c>
      <c r="CM10" s="2340">
        <v>99189.308266857814</v>
      </c>
      <c r="CN10" s="2340">
        <v>99240.663995252558</v>
      </c>
      <c r="CO10" s="2340">
        <v>99270.735846774129</v>
      </c>
      <c r="CP10" s="2340">
        <v>99321.359543497922</v>
      </c>
      <c r="CQ10" s="2340">
        <v>99364.120835829846</v>
      </c>
      <c r="CR10" s="2340">
        <v>99390.988682861804</v>
      </c>
      <c r="CS10" s="2340">
        <v>99413.669180647747</v>
      </c>
      <c r="CT10" s="2340">
        <v>99434.064204383729</v>
      </c>
      <c r="CU10" s="2340">
        <v>99457.777210198095</v>
      </c>
      <c r="CV10" s="2340">
        <v>99466.289979417168</v>
      </c>
      <c r="CW10" s="2340">
        <v>99489.380440350535</v>
      </c>
      <c r="CX10" s="2340">
        <v>99511.012451712289</v>
      </c>
      <c r="CY10" s="2340">
        <v>99520.869254110992</v>
      </c>
      <c r="CZ10" s="2340">
        <v>99507.107955638829</v>
      </c>
      <c r="DA10" s="2340">
        <v>99516.891938044326</v>
      </c>
      <c r="DB10" s="2340">
        <v>99532.437958015624</v>
      </c>
      <c r="DC10" s="2340">
        <v>99558.981135480062</v>
      </c>
      <c r="DD10" s="2340">
        <v>99563.541748614254</v>
      </c>
      <c r="DE10" s="2340">
        <v>99577.42915118979</v>
      </c>
      <c r="DF10" s="2340">
        <v>99617.84222964682</v>
      </c>
      <c r="DG10" s="2340">
        <v>99597.678111990477</v>
      </c>
      <c r="DH10" s="2340">
        <v>99616.458963462806</v>
      </c>
      <c r="DI10" s="2340">
        <v>99595.045910832167</v>
      </c>
      <c r="DJ10" s="2340">
        <v>99614.825051957712</v>
      </c>
      <c r="DK10" s="2340">
        <v>99632.347576359985</v>
      </c>
      <c r="DL10" s="2340">
        <v>99631.840718038744</v>
      </c>
      <c r="DM10" s="2340">
        <v>99611.920695620487</v>
      </c>
      <c r="DN10" s="2340">
        <v>99613.364459381788</v>
      </c>
      <c r="DO10" s="2340">
        <v>99628.721358775379</v>
      </c>
      <c r="DP10" s="2340">
        <v>99649.881168612861</v>
      </c>
      <c r="DQ10" s="2340">
        <v>99648.42815361578</v>
      </c>
      <c r="DR10" s="2340">
        <v>99647.743560864401</v>
      </c>
      <c r="DS10" s="2340">
        <v>99658.960127484374</v>
      </c>
      <c r="DT10" s="2340">
        <v>99672.382436042608</v>
      </c>
      <c r="DU10" s="2340">
        <v>99685.278020849699</v>
      </c>
    </row>
    <row r="11" spans="1:135" ht="12.75">
      <c r="A11" s="135">
        <v>9</v>
      </c>
      <c r="W11" s="136">
        <v>84249</v>
      </c>
      <c r="X11" s="136">
        <v>84988</v>
      </c>
      <c r="Y11" s="2340">
        <v>85015.057118367506</v>
      </c>
      <c r="Z11" s="2340">
        <v>87010.262849730279</v>
      </c>
      <c r="AA11" s="2340">
        <v>87374.838811797221</v>
      </c>
      <c r="AB11" s="2340">
        <v>87866.014170794224</v>
      </c>
      <c r="AC11" s="2340">
        <v>88601.513017976351</v>
      </c>
      <c r="AD11" s="2340">
        <v>89344.737406669883</v>
      </c>
      <c r="AE11" s="2340">
        <v>89143.608130571578</v>
      </c>
      <c r="AF11" s="2340">
        <v>90113.194051944854</v>
      </c>
      <c r="AG11" s="2340">
        <v>90456.755955298504</v>
      </c>
      <c r="AH11" s="2340">
        <v>90488.203551321189</v>
      </c>
      <c r="AI11" s="2340">
        <v>90743.792003412498</v>
      </c>
      <c r="AJ11" s="2340">
        <v>91828.698795959528</v>
      </c>
      <c r="AK11" s="2340">
        <v>91722.229628636094</v>
      </c>
      <c r="AL11" s="2340">
        <v>91901.997638387169</v>
      </c>
      <c r="AM11" s="2340">
        <v>91998.325911883294</v>
      </c>
      <c r="AN11" s="2340">
        <v>92407.672885105218</v>
      </c>
      <c r="AO11" s="2340">
        <v>92346.305166975639</v>
      </c>
      <c r="AP11" s="2340">
        <v>92406.166033712274</v>
      </c>
      <c r="AQ11" s="2340">
        <v>92456.427579082956</v>
      </c>
      <c r="AR11" s="2340">
        <v>92467.371850060808</v>
      </c>
      <c r="AS11" s="2340">
        <v>91920.113966938006</v>
      </c>
      <c r="AT11" s="2340">
        <v>91239.904084283102</v>
      </c>
      <c r="AU11" s="2340">
        <v>90093.054529271947</v>
      </c>
      <c r="AV11" s="2340">
        <v>90287.566109045976</v>
      </c>
      <c r="AW11" s="2340">
        <v>90576.352541155386</v>
      </c>
      <c r="AX11" s="2340">
        <v>92556.104487740158</v>
      </c>
      <c r="AY11" s="2340">
        <v>94172.186170509449</v>
      </c>
      <c r="AZ11" s="2340">
        <v>94249.7968036026</v>
      </c>
      <c r="BA11" s="2340">
        <v>94294.500388559391</v>
      </c>
      <c r="BB11" s="2340">
        <v>94859.643573271562</v>
      </c>
      <c r="BC11" s="2340">
        <v>95108.209151746763</v>
      </c>
      <c r="BD11" s="2340">
        <v>95397.923071214827</v>
      </c>
      <c r="BE11" s="2340">
        <v>95502.529163017141</v>
      </c>
      <c r="BF11" s="2340">
        <v>95792.932794477048</v>
      </c>
      <c r="BG11" s="2340">
        <v>95941.741079376501</v>
      </c>
      <c r="BH11" s="2340">
        <v>96122.131742181431</v>
      </c>
      <c r="BI11" s="2340">
        <v>96206.409361596685</v>
      </c>
      <c r="BJ11" s="2340">
        <v>96392.643190299379</v>
      </c>
      <c r="BK11" s="2340">
        <v>96619.683574665731</v>
      </c>
      <c r="BL11" s="2340">
        <v>96868.440317800472</v>
      </c>
      <c r="BM11" s="2340">
        <v>97041.885396885409</v>
      </c>
      <c r="BN11" s="2340">
        <v>97256.259761323323</v>
      </c>
      <c r="BO11" s="2340">
        <v>97391.082737297984</v>
      </c>
      <c r="BP11" s="2340">
        <v>97503.660364890486</v>
      </c>
      <c r="BQ11" s="2340">
        <v>97551.821726012509</v>
      </c>
      <c r="BR11" s="2340">
        <v>97639.566246556467</v>
      </c>
      <c r="BS11" s="2340">
        <v>97609.579131593142</v>
      </c>
      <c r="BT11" s="2340">
        <v>97658.219537787067</v>
      </c>
      <c r="BU11" s="2340">
        <v>97705.503258914687</v>
      </c>
      <c r="BV11" s="2340">
        <v>97784.455142046645</v>
      </c>
      <c r="BW11" s="2340">
        <v>97851.239013519182</v>
      </c>
      <c r="BX11" s="2340">
        <v>97953.352539691594</v>
      </c>
      <c r="BY11" s="2340">
        <v>98033.140691494089</v>
      </c>
      <c r="BZ11" s="2340">
        <v>98255.412847127925</v>
      </c>
      <c r="CA11" s="2340">
        <v>98419.110038928091</v>
      </c>
      <c r="CB11" s="2340">
        <v>98495.164768145769</v>
      </c>
      <c r="CC11" s="2340">
        <v>98566.952644821838</v>
      </c>
      <c r="CD11" s="2340">
        <v>98657.015824226037</v>
      </c>
      <c r="CE11" s="2340">
        <v>98727.469488796836</v>
      </c>
      <c r="CF11" s="2340">
        <v>98792.281400126216</v>
      </c>
      <c r="CG11" s="2340">
        <v>98883.10781035955</v>
      </c>
      <c r="CH11" s="2340">
        <v>98914.444027193735</v>
      </c>
      <c r="CI11" s="2340">
        <v>98984.278192838436</v>
      </c>
      <c r="CJ11" s="2340">
        <v>99030.565179326019</v>
      </c>
      <c r="CK11" s="2340">
        <v>99080.956677034934</v>
      </c>
      <c r="CL11" s="2340">
        <v>99156.167171681009</v>
      </c>
      <c r="CM11" s="2340">
        <v>99179.567696693688</v>
      </c>
      <c r="CN11" s="2340">
        <v>99232.089891945288</v>
      </c>
      <c r="CO11" s="2340">
        <v>99261.088096159452</v>
      </c>
      <c r="CP11" s="2340">
        <v>99312.580175183903</v>
      </c>
      <c r="CQ11" s="2340">
        <v>99354.627231676306</v>
      </c>
      <c r="CR11" s="2340">
        <v>99383.455603942202</v>
      </c>
      <c r="CS11" s="2340">
        <v>99400.822776367466</v>
      </c>
      <c r="CT11" s="2340">
        <v>99426.439691804189</v>
      </c>
      <c r="CU11" s="2340">
        <v>99449.541936298978</v>
      </c>
      <c r="CV11" s="2340">
        <v>99459.849155361153</v>
      </c>
      <c r="CW11" s="2340">
        <v>99482.779604612762</v>
      </c>
      <c r="CX11" s="2340">
        <v>99504.948501038831</v>
      </c>
      <c r="CY11" s="2340">
        <v>99513.952861719372</v>
      </c>
      <c r="CZ11" s="2340">
        <v>99498.001459703199</v>
      </c>
      <c r="DA11" s="2340">
        <v>99508.509127901547</v>
      </c>
      <c r="DB11" s="2340">
        <v>99523.791027613057</v>
      </c>
      <c r="DC11" s="2340">
        <v>99555.449879475636</v>
      </c>
      <c r="DD11" s="2340">
        <v>99557.319624467767</v>
      </c>
      <c r="DE11" s="2340">
        <v>99569.157747776146</v>
      </c>
      <c r="DF11" s="2340">
        <v>99612.534377324278</v>
      </c>
      <c r="DG11" s="2340">
        <v>99589.431393729945</v>
      </c>
      <c r="DH11" s="2340">
        <v>99609.800804666665</v>
      </c>
      <c r="DI11" s="2340">
        <v>99588.553468985323</v>
      </c>
      <c r="DJ11" s="2340">
        <v>99609.326445031547</v>
      </c>
      <c r="DK11" s="2340">
        <v>99626.925946259231</v>
      </c>
      <c r="DL11" s="2340">
        <v>99626.430679416488</v>
      </c>
      <c r="DM11" s="2340">
        <v>99606.703736235329</v>
      </c>
      <c r="DN11" s="2340">
        <v>99608.33260945075</v>
      </c>
      <c r="DO11" s="2340">
        <v>99623.867372341207</v>
      </c>
      <c r="DP11" s="2340">
        <v>99645.198486063833</v>
      </c>
      <c r="DQ11" s="2340">
        <v>99643.911754493529</v>
      </c>
      <c r="DR11" s="2340">
        <v>99643.387506805535</v>
      </c>
      <c r="DS11" s="2340">
        <v>99654.758223995013</v>
      </c>
      <c r="DT11" s="2340">
        <v>99668.329138446657</v>
      </c>
      <c r="DU11" s="2340">
        <v>99681.368094232967</v>
      </c>
    </row>
    <row r="12" spans="1:135" ht="12.75">
      <c r="A12" s="135">
        <v>10</v>
      </c>
      <c r="W12" s="136">
        <v>84129</v>
      </c>
      <c r="X12" s="136">
        <v>84886</v>
      </c>
      <c r="Y12" s="2340">
        <v>84906.237845255993</v>
      </c>
      <c r="Z12" s="2340">
        <v>86898.889713282624</v>
      </c>
      <c r="AA12" s="2340">
        <v>87262.99901811812</v>
      </c>
      <c r="AB12" s="2340">
        <v>87728.03983560577</v>
      </c>
      <c r="AC12" s="2340">
        <v>88469.002327890979</v>
      </c>
      <c r="AD12" s="2340">
        <v>89224.465373730549</v>
      </c>
      <c r="AE12" s="2340">
        <v>89030.267925130931</v>
      </c>
      <c r="AF12" s="2340">
        <v>89991.887555805602</v>
      </c>
      <c r="AG12" s="2340">
        <v>90334.986970939397</v>
      </c>
      <c r="AH12" s="2340">
        <v>90366.392233564344</v>
      </c>
      <c r="AI12" s="2340">
        <v>90621.636623502447</v>
      </c>
      <c r="AJ12" s="2340">
        <v>91692.721377841401</v>
      </c>
      <c r="AK12" s="2340">
        <v>91567.888990572654</v>
      </c>
      <c r="AL12" s="2340">
        <v>91716.425878796377</v>
      </c>
      <c r="AM12" s="2340">
        <v>91909.087535748768</v>
      </c>
      <c r="AN12" s="2340">
        <v>92318.037442406669</v>
      </c>
      <c r="AO12" s="2340">
        <v>92275.619147254009</v>
      </c>
      <c r="AP12" s="2340">
        <v>92358.114827374739</v>
      </c>
      <c r="AQ12" s="2340">
        <v>92408.350236741826</v>
      </c>
      <c r="AR12" s="2340">
        <v>92419.288816698783</v>
      </c>
      <c r="AS12" s="2340">
        <v>91880.815697717931</v>
      </c>
      <c r="AT12" s="2340">
        <v>91200.407748902726</v>
      </c>
      <c r="AU12" s="2340">
        <v>90064.198994460981</v>
      </c>
      <c r="AV12" s="2340">
        <v>90257.590167051938</v>
      </c>
      <c r="AW12" s="2340">
        <v>90542.789375408291</v>
      </c>
      <c r="AX12" s="2340">
        <v>92522.007626812105</v>
      </c>
      <c r="AY12" s="2340">
        <v>94139.906687944283</v>
      </c>
      <c r="AZ12" s="2340">
        <v>94221.015603247273</v>
      </c>
      <c r="BA12" s="2340">
        <v>94260.856815819978</v>
      </c>
      <c r="BB12" s="2340">
        <v>94829.569154506273</v>
      </c>
      <c r="BC12" s="2340">
        <v>95078.443468976489</v>
      </c>
      <c r="BD12" s="2340">
        <v>95369.014967660143</v>
      </c>
      <c r="BE12" s="2340">
        <v>95472.714808819277</v>
      </c>
      <c r="BF12" s="2340">
        <v>95764.126991455356</v>
      </c>
      <c r="BG12" s="2340">
        <v>95912.124411536002</v>
      </c>
      <c r="BH12" s="2340">
        <v>96091.678549295102</v>
      </c>
      <c r="BI12" s="2340">
        <v>96175.072964720675</v>
      </c>
      <c r="BJ12" s="2340">
        <v>96359.379863007794</v>
      </c>
      <c r="BK12" s="2340">
        <v>96591.031770649861</v>
      </c>
      <c r="BL12" s="2340">
        <v>96838.615106909492</v>
      </c>
      <c r="BM12" s="2340">
        <v>97014.546539176648</v>
      </c>
      <c r="BN12" s="2340">
        <v>97230.509432493302</v>
      </c>
      <c r="BO12" s="2340">
        <v>97368.697454461755</v>
      </c>
      <c r="BP12" s="2340">
        <v>97477.804132087636</v>
      </c>
      <c r="BQ12" s="2340">
        <v>97529.357200319791</v>
      </c>
      <c r="BR12" s="2340">
        <v>97612.374398518863</v>
      </c>
      <c r="BS12" s="2340">
        <v>97586.93523239065</v>
      </c>
      <c r="BT12" s="2340">
        <v>97638.845881205518</v>
      </c>
      <c r="BU12" s="2340">
        <v>97686.925276812472</v>
      </c>
      <c r="BV12" s="2340">
        <v>97766.478277010639</v>
      </c>
      <c r="BW12" s="2340">
        <v>97834.740527573143</v>
      </c>
      <c r="BX12" s="2340">
        <v>97936.395035563328</v>
      </c>
      <c r="BY12" s="2340">
        <v>98010.479216551903</v>
      </c>
      <c r="BZ12" s="2340">
        <v>98237.527702287261</v>
      </c>
      <c r="CA12" s="2340">
        <v>98404.013180006514</v>
      </c>
      <c r="CB12" s="2340">
        <v>98479.316931929599</v>
      </c>
      <c r="CC12" s="2340">
        <v>98552.45660883229</v>
      </c>
      <c r="CD12" s="2340">
        <v>98645.36184933089</v>
      </c>
      <c r="CE12" s="2340">
        <v>98709.836875043853</v>
      </c>
      <c r="CF12" s="2340">
        <v>98778.753880076911</v>
      </c>
      <c r="CG12" s="2340">
        <v>98871.689743709692</v>
      </c>
      <c r="CH12" s="2340">
        <v>98904.887892410581</v>
      </c>
      <c r="CI12" s="2340">
        <v>98969.083145711003</v>
      </c>
      <c r="CJ12" s="2340">
        <v>99021.293625967446</v>
      </c>
      <c r="CK12" s="2340">
        <v>99071.220638798506</v>
      </c>
      <c r="CL12" s="2340">
        <v>99146.678750061867</v>
      </c>
      <c r="CM12" s="2340">
        <v>99171.133308293647</v>
      </c>
      <c r="CN12" s="2340">
        <v>99220.970671843941</v>
      </c>
      <c r="CO12" s="2340">
        <v>99253.572858104148</v>
      </c>
      <c r="CP12" s="2340">
        <v>99303.099539092596</v>
      </c>
      <c r="CQ12" s="2340">
        <v>99348.399745186427</v>
      </c>
      <c r="CR12" s="2340">
        <v>99375.934545890603</v>
      </c>
      <c r="CS12" s="2340">
        <v>99395.061297962733</v>
      </c>
      <c r="CT12" s="2340">
        <v>99420.085578054146</v>
      </c>
      <c r="CU12" s="2340">
        <v>99442.798832540153</v>
      </c>
      <c r="CV12" s="2340">
        <v>99453.401713555446</v>
      </c>
      <c r="CW12" s="2340">
        <v>99476.174824739079</v>
      </c>
      <c r="CX12" s="2340">
        <v>99498.885454007788</v>
      </c>
      <c r="CY12" s="2340">
        <v>99505.609083116127</v>
      </c>
      <c r="CZ12" s="2340">
        <v>99492.607817858385</v>
      </c>
      <c r="DA12" s="2340">
        <v>99503.328619051026</v>
      </c>
      <c r="DB12" s="2340">
        <v>99516.629419692734</v>
      </c>
      <c r="DC12" s="2340">
        <v>99550.205879288842</v>
      </c>
      <c r="DD12" s="2340">
        <v>99550.333830178643</v>
      </c>
      <c r="DE12" s="2340">
        <v>99563.531779634141</v>
      </c>
      <c r="DF12" s="2340">
        <v>99607.279822358367</v>
      </c>
      <c r="DG12" s="2340">
        <v>99584.634935265145</v>
      </c>
      <c r="DH12" s="2340">
        <v>99603.741512792752</v>
      </c>
      <c r="DI12" s="2340">
        <v>99583.220526896112</v>
      </c>
      <c r="DJ12" s="2340">
        <v>99603.34758766125</v>
      </c>
      <c r="DK12" s="2340">
        <v>99621.369031591777</v>
      </c>
      <c r="DL12" s="2340">
        <v>99621.0682348517</v>
      </c>
      <c r="DM12" s="2340">
        <v>99601.529955020145</v>
      </c>
      <c r="DN12" s="2340">
        <v>99603.33978371149</v>
      </c>
      <c r="DO12" s="2340">
        <v>99619.048500437697</v>
      </c>
      <c r="DP12" s="2340">
        <v>99640.547236862913</v>
      </c>
      <c r="DQ12" s="2340">
        <v>99639.423316322209</v>
      </c>
      <c r="DR12" s="2340">
        <v>99639.056147528565</v>
      </c>
      <c r="DS12" s="2340">
        <v>99650.577947461526</v>
      </c>
      <c r="DT12" s="2340">
        <v>99664.294585707554</v>
      </c>
      <c r="DU12" s="2340">
        <v>99677.474206231549</v>
      </c>
    </row>
    <row r="13" spans="1:135" ht="12.75">
      <c r="A13" s="135">
        <v>11</v>
      </c>
      <c r="W13" s="136">
        <v>84039</v>
      </c>
      <c r="X13" s="136">
        <v>84789</v>
      </c>
      <c r="Y13" s="2340">
        <v>84809.444734112403</v>
      </c>
      <c r="Z13" s="2340">
        <v>86799.824979009485</v>
      </c>
      <c r="AA13" s="2340">
        <v>87140.958961552155</v>
      </c>
      <c r="AB13" s="2340">
        <v>87611.18596969088</v>
      </c>
      <c r="AC13" s="2340">
        <v>88362.934985705477</v>
      </c>
      <c r="AD13" s="2340">
        <v>89123.430192877378</v>
      </c>
      <c r="AE13" s="2340">
        <v>88923.527669850533</v>
      </c>
      <c r="AF13" s="2340">
        <v>89883.994394583729</v>
      </c>
      <c r="AG13" s="2340">
        <v>90226.682460633543</v>
      </c>
      <c r="AH13" s="2340">
        <v>90258.050070830534</v>
      </c>
      <c r="AI13" s="2340">
        <v>90502.123624858199</v>
      </c>
      <c r="AJ13" s="2340">
        <v>91555.305969642024</v>
      </c>
      <c r="AK13" s="2340">
        <v>91403.21499698385</v>
      </c>
      <c r="AL13" s="2340">
        <v>91632.046766987885</v>
      </c>
      <c r="AM13" s="2340">
        <v>91824.531175215874</v>
      </c>
      <c r="AN13" s="2340">
        <v>92251.015554008802</v>
      </c>
      <c r="AO13" s="2340">
        <v>92232.249606254802</v>
      </c>
      <c r="AP13" s="2340">
        <v>92314.706513405879</v>
      </c>
      <c r="AQ13" s="2340">
        <v>92364.918312130554</v>
      </c>
      <c r="AR13" s="2340">
        <v>92386.930955457108</v>
      </c>
      <c r="AS13" s="2340">
        <v>91847.398944564484</v>
      </c>
      <c r="AT13" s="2340">
        <v>91170.683892641071</v>
      </c>
      <c r="AU13" s="2340">
        <v>90038.210300039296</v>
      </c>
      <c r="AV13" s="2340">
        <v>90227.360460643264</v>
      </c>
      <c r="AW13" s="2340">
        <v>90511.383280779133</v>
      </c>
      <c r="AX13" s="2340">
        <v>92492.171950984542</v>
      </c>
      <c r="AY13" s="2340">
        <v>94112.600294144431</v>
      </c>
      <c r="AZ13" s="2340">
        <v>94194.100053128699</v>
      </c>
      <c r="BA13" s="2340">
        <v>94232.309189530904</v>
      </c>
      <c r="BB13" s="2340">
        <v>94805.315978301689</v>
      </c>
      <c r="BC13" s="2340">
        <v>95057.937494476282</v>
      </c>
      <c r="BD13" s="2340">
        <v>95339.790682659514</v>
      </c>
      <c r="BE13" s="2340">
        <v>95446.657391229688</v>
      </c>
      <c r="BF13" s="2340">
        <v>95738.428728672108</v>
      </c>
      <c r="BG13" s="2340">
        <v>95884.476747349021</v>
      </c>
      <c r="BH13" s="2340">
        <v>96062.851204193881</v>
      </c>
      <c r="BI13" s="2340">
        <v>96144.484873297086</v>
      </c>
      <c r="BJ13" s="2340">
        <v>96331.917559894413</v>
      </c>
      <c r="BK13" s="2340">
        <v>96560.788495050103</v>
      </c>
      <c r="BL13" s="2340">
        <v>96813.693633549934</v>
      </c>
      <c r="BM13" s="2340">
        <v>96991.940561145515</v>
      </c>
      <c r="BN13" s="2340">
        <v>97211.10488246537</v>
      </c>
      <c r="BO13" s="2340">
        <v>97344.341599077175</v>
      </c>
      <c r="BP13" s="2340">
        <v>97457.231799111963</v>
      </c>
      <c r="BQ13" s="2340">
        <v>97509.966933331016</v>
      </c>
      <c r="BR13" s="2340">
        <v>97594.740832105163</v>
      </c>
      <c r="BS13" s="2340">
        <v>97567.04056408687</v>
      </c>
      <c r="BT13" s="2340">
        <v>97617.460603153813</v>
      </c>
      <c r="BU13" s="2340">
        <v>97669.416524448287</v>
      </c>
      <c r="BV13" s="2340">
        <v>97749.845600655186</v>
      </c>
      <c r="BW13" s="2340">
        <v>97819.700997989406</v>
      </c>
      <c r="BX13" s="2340">
        <v>97920.910071854392</v>
      </c>
      <c r="BY13" s="2340">
        <v>97995.283380094115</v>
      </c>
      <c r="BZ13" s="2340">
        <v>98224.089888174261</v>
      </c>
      <c r="CA13" s="2340">
        <v>98392.448901298398</v>
      </c>
      <c r="CB13" s="2340">
        <v>98465.395469628071</v>
      </c>
      <c r="CC13" s="2340">
        <v>98540.367964554156</v>
      </c>
      <c r="CD13" s="2340">
        <v>98632.005854643328</v>
      </c>
      <c r="CE13" s="2340">
        <v>98697.458043177074</v>
      </c>
      <c r="CF13" s="2340">
        <v>98762.437250007322</v>
      </c>
      <c r="CG13" s="2340">
        <v>98857.147370698643</v>
      </c>
      <c r="CH13" s="2340">
        <v>98896.331586144835</v>
      </c>
      <c r="CI13" s="2340">
        <v>98955.835319730279</v>
      </c>
      <c r="CJ13" s="2340">
        <v>99011.634974203422</v>
      </c>
      <c r="CK13" s="2340">
        <v>99061.510177845092</v>
      </c>
      <c r="CL13" s="2340">
        <v>99138.251526625914</v>
      </c>
      <c r="CM13" s="2340">
        <v>99160.347741091711</v>
      </c>
      <c r="CN13" s="2340">
        <v>99212.860224589036</v>
      </c>
      <c r="CO13" s="2340">
        <v>99245.846649137049</v>
      </c>
      <c r="CP13" s="2340">
        <v>99292.921024857336</v>
      </c>
      <c r="CQ13" s="2340">
        <v>99341.932596536441</v>
      </c>
      <c r="CR13" s="2340">
        <v>99366.089303401415</v>
      </c>
      <c r="CS13" s="2340">
        <v>99388.254152281035</v>
      </c>
      <c r="CT13" s="2340">
        <v>99412.964191679726</v>
      </c>
      <c r="CU13" s="2340">
        <v>99435.301712575092</v>
      </c>
      <c r="CV13" s="2340">
        <v>99444.884784910071</v>
      </c>
      <c r="CW13" s="2340">
        <v>99469.56882114477</v>
      </c>
      <c r="CX13" s="2340">
        <v>99490.392351504503</v>
      </c>
      <c r="CY13" s="2340">
        <v>99501.724892589162</v>
      </c>
      <c r="CZ13" s="2340">
        <v>99486.104501717011</v>
      </c>
      <c r="DA13" s="2340">
        <v>99498.750810020356</v>
      </c>
      <c r="DB13" s="2340">
        <v>99510.100728338555</v>
      </c>
      <c r="DC13" s="2340">
        <v>99543.333208565935</v>
      </c>
      <c r="DD13" s="2340">
        <v>99545.16295134589</v>
      </c>
      <c r="DE13" s="2340">
        <v>99557.400496877541</v>
      </c>
      <c r="DF13" s="2340">
        <v>99602.340393880761</v>
      </c>
      <c r="DG13" s="2340">
        <v>99579.313369279116</v>
      </c>
      <c r="DH13" s="2340">
        <v>99599.907141876727</v>
      </c>
      <c r="DI13" s="2340">
        <v>99577.671281483723</v>
      </c>
      <c r="DJ13" s="2340">
        <v>99597.424088629283</v>
      </c>
      <c r="DK13" s="2340">
        <v>99615.648796512862</v>
      </c>
      <c r="DL13" s="2340">
        <v>99615.545304709143</v>
      </c>
      <c r="DM13" s="2340">
        <v>99596.19855401339</v>
      </c>
      <c r="DN13" s="2340">
        <v>99598.192166723849</v>
      </c>
      <c r="DO13" s="2340">
        <v>99614.077638532806</v>
      </c>
      <c r="DP13" s="2340">
        <v>99635.74678192423</v>
      </c>
      <c r="DQ13" s="2340">
        <v>99634.788479132956</v>
      </c>
      <c r="DR13" s="2340">
        <v>99634.581180219015</v>
      </c>
      <c r="DS13" s="2340">
        <v>99646.25682008591</v>
      </c>
      <c r="DT13" s="2340">
        <v>99660.121917737517</v>
      </c>
      <c r="DU13" s="2340">
        <v>99673.444918885478</v>
      </c>
    </row>
    <row r="14" spans="1:135" ht="12.75">
      <c r="A14" s="135">
        <v>12</v>
      </c>
      <c r="W14" s="136">
        <v>83952</v>
      </c>
      <c r="X14" s="136">
        <v>84701</v>
      </c>
      <c r="Y14" s="2340">
        <v>84721.242911588924</v>
      </c>
      <c r="Z14" s="2340">
        <v>86689.081132706488</v>
      </c>
      <c r="AA14" s="2340">
        <v>87035.068831424956</v>
      </c>
      <c r="AB14" s="2340">
        <v>87515.36101908487</v>
      </c>
      <c r="AC14" s="2340">
        <v>88271.652535405345</v>
      </c>
      <c r="AD14" s="2340">
        <v>89025.951221424752</v>
      </c>
      <c r="AE14" s="2340">
        <v>88826.267342275198</v>
      </c>
      <c r="AF14" s="2340">
        <v>89785.683554160772</v>
      </c>
      <c r="AG14" s="2340">
        <v>90127.996804293667</v>
      </c>
      <c r="AH14" s="2340">
        <v>90149.458109615589</v>
      </c>
      <c r="AI14" s="2340">
        <v>90378.389973867976</v>
      </c>
      <c r="AJ14" s="2340">
        <v>91405.097707275374</v>
      </c>
      <c r="AK14" s="2340">
        <v>91320.952103486561</v>
      </c>
      <c r="AL14" s="2340">
        <v>91549.577924897603</v>
      </c>
      <c r="AM14" s="2340">
        <v>91759.316775860556</v>
      </c>
      <c r="AN14" s="2340">
        <v>92208.580086853952</v>
      </c>
      <c r="AO14" s="2340">
        <v>92189.822771435924</v>
      </c>
      <c r="AP14" s="2340">
        <v>92272.24174840971</v>
      </c>
      <c r="AQ14" s="2340">
        <v>92333.645428134696</v>
      </c>
      <c r="AR14" s="2340">
        <v>92351.53066569363</v>
      </c>
      <c r="AS14" s="2340">
        <v>91815.689786415285</v>
      </c>
      <c r="AT14" s="2340">
        <v>91143.232890475352</v>
      </c>
      <c r="AU14" s="2340">
        <v>90007.185813221993</v>
      </c>
      <c r="AV14" s="2340">
        <v>90200.384618824988</v>
      </c>
      <c r="AW14" s="2340">
        <v>90481.886392138811</v>
      </c>
      <c r="AX14" s="2340">
        <v>92465.567335210508</v>
      </c>
      <c r="AY14" s="2340">
        <v>94086.058594786169</v>
      </c>
      <c r="AZ14" s="2340">
        <v>94163.308029070424</v>
      </c>
      <c r="BA14" s="2340">
        <v>94207.334485023021</v>
      </c>
      <c r="BB14" s="2340">
        <v>94780.908851321932</v>
      </c>
      <c r="BC14" s="2340">
        <v>95031.043723560273</v>
      </c>
      <c r="BD14" s="2340">
        <v>95310.437149625999</v>
      </c>
      <c r="BE14" s="2340">
        <v>95420.837694814923</v>
      </c>
      <c r="BF14" s="2340">
        <v>95706.476277712442</v>
      </c>
      <c r="BG14" s="2340">
        <v>95861.458929325396</v>
      </c>
      <c r="BH14" s="2340">
        <v>96037.92416691604</v>
      </c>
      <c r="BI14" s="2340">
        <v>96117.490646755599</v>
      </c>
      <c r="BJ14" s="2340">
        <v>96305.542459388365</v>
      </c>
      <c r="BK14" s="2340">
        <v>96536.678585034853</v>
      </c>
      <c r="BL14" s="2340">
        <v>96792.876348727077</v>
      </c>
      <c r="BM14" s="2340">
        <v>96971.789613503657</v>
      </c>
      <c r="BN14" s="2340">
        <v>97188.293931271022</v>
      </c>
      <c r="BO14" s="2340">
        <v>97320.780264666304</v>
      </c>
      <c r="BP14" s="2340">
        <v>97435.155670331849</v>
      </c>
      <c r="BQ14" s="2340">
        <v>97490.472338302949</v>
      </c>
      <c r="BR14" s="2340">
        <v>97576.03071961792</v>
      </c>
      <c r="BS14" s="2340">
        <v>97547.437186095733</v>
      </c>
      <c r="BT14" s="2340">
        <v>97596.983103559687</v>
      </c>
      <c r="BU14" s="2340">
        <v>97652.710035414304</v>
      </c>
      <c r="BV14" s="2340">
        <v>97734.978845304853</v>
      </c>
      <c r="BW14" s="2340">
        <v>97804.594796995196</v>
      </c>
      <c r="BX14" s="2340">
        <v>97905.688456421718</v>
      </c>
      <c r="BY14" s="2340">
        <v>97984.920787675961</v>
      </c>
      <c r="BZ14" s="2340">
        <v>98205.394664236141</v>
      </c>
      <c r="CA14" s="2340">
        <v>98382.015911120281</v>
      </c>
      <c r="CB14" s="2340">
        <v>98451.648171820969</v>
      </c>
      <c r="CC14" s="2340">
        <v>98526.243643123467</v>
      </c>
      <c r="CD14" s="2340">
        <v>98615.852752797</v>
      </c>
      <c r="CE14" s="2340">
        <v>98684.084154317141</v>
      </c>
      <c r="CF14" s="2340">
        <v>98748.73893498689</v>
      </c>
      <c r="CG14" s="2340">
        <v>98845.693590500814</v>
      </c>
      <c r="CH14" s="2340">
        <v>98884.172799321925</v>
      </c>
      <c r="CI14" s="2340">
        <v>98948.796155318792</v>
      </c>
      <c r="CJ14" s="2340">
        <v>99000.471217144819</v>
      </c>
      <c r="CK14" s="2340">
        <v>99051.163925826404</v>
      </c>
      <c r="CL14" s="2340">
        <v>99128.795837491547</v>
      </c>
      <c r="CM14" s="2340">
        <v>99151.09447675549</v>
      </c>
      <c r="CN14" s="2340">
        <v>99202.860140027915</v>
      </c>
      <c r="CO14" s="2340">
        <v>99236.746454595705</v>
      </c>
      <c r="CP14" s="2340">
        <v>99282.760904496565</v>
      </c>
      <c r="CQ14" s="2340">
        <v>99333.732853848793</v>
      </c>
      <c r="CR14" s="2340">
        <v>99354.18180244774</v>
      </c>
      <c r="CS14" s="2340">
        <v>99381.18517468244</v>
      </c>
      <c r="CT14" s="2340">
        <v>99404.059628150644</v>
      </c>
      <c r="CU14" s="2340">
        <v>99429.302312802101</v>
      </c>
      <c r="CV14" s="2340">
        <v>99435.339724944322</v>
      </c>
      <c r="CW14" s="2340">
        <v>99461.887251777618</v>
      </c>
      <c r="CX14" s="2340">
        <v>99484.568208561774</v>
      </c>
      <c r="CY14" s="2340">
        <v>99496.474007035344</v>
      </c>
      <c r="CZ14" s="2340">
        <v>99480.480080148627</v>
      </c>
      <c r="DA14" s="2340">
        <v>99493.646324901274</v>
      </c>
      <c r="DB14" s="2340">
        <v>99499.478341486174</v>
      </c>
      <c r="DC14" s="2340">
        <v>99537.11192698135</v>
      </c>
      <c r="DD14" s="2340">
        <v>99536.621845685746</v>
      </c>
      <c r="DE14" s="2340">
        <v>99549.101614802639</v>
      </c>
      <c r="DF14" s="2340">
        <v>99594.982734337886</v>
      </c>
      <c r="DG14" s="2340">
        <v>99574.29971539283</v>
      </c>
      <c r="DH14" s="2340">
        <v>99593.40606347179</v>
      </c>
      <c r="DI14" s="2340">
        <v>99571.144053546232</v>
      </c>
      <c r="DJ14" s="2340">
        <v>99591.117473842154</v>
      </c>
      <c r="DK14" s="2340">
        <v>99609.555432105</v>
      </c>
      <c r="DL14" s="2340">
        <v>99609.65906308555</v>
      </c>
      <c r="DM14" s="2340">
        <v>99590.513493179998</v>
      </c>
      <c r="DN14" s="2340">
        <v>99592.700234176096</v>
      </c>
      <c r="DO14" s="2340">
        <v>99608.771533502644</v>
      </c>
      <c r="DP14" s="2340">
        <v>99630.619919193021</v>
      </c>
      <c r="DQ14" s="2340">
        <v>99629.835928803543</v>
      </c>
      <c r="DR14" s="2340">
        <v>99629.796979640538</v>
      </c>
      <c r="DS14" s="2340">
        <v>99641.634695429166</v>
      </c>
      <c r="DT14" s="2340">
        <v>99655.656280258307</v>
      </c>
      <c r="DU14" s="2340">
        <v>99669.130494084631</v>
      </c>
    </row>
    <row r="15" spans="1:135" ht="12.75">
      <c r="A15" s="135">
        <v>13</v>
      </c>
      <c r="W15" s="136">
        <v>83869</v>
      </c>
      <c r="X15" s="136">
        <v>84617</v>
      </c>
      <c r="Y15" s="2340">
        <v>84611.176838751198</v>
      </c>
      <c r="Z15" s="2340">
        <v>86576.45853192448</v>
      </c>
      <c r="AA15" s="2340">
        <v>86930.689376500202</v>
      </c>
      <c r="AB15" s="2340">
        <v>87419.147039652569</v>
      </c>
      <c r="AC15" s="2340">
        <v>88165.790069842202</v>
      </c>
      <c r="AD15" s="2340">
        <v>88919.18414020777</v>
      </c>
      <c r="AE15" s="2340">
        <v>88719.739738027012</v>
      </c>
      <c r="AF15" s="2340">
        <v>89678.005340823787</v>
      </c>
      <c r="AG15" s="2340">
        <v>90009.09918708232</v>
      </c>
      <c r="AH15" s="2340">
        <v>90014.315008311954</v>
      </c>
      <c r="AI15" s="2340">
        <v>90215.806422046109</v>
      </c>
      <c r="AJ15" s="2340">
        <v>91322.833119338829</v>
      </c>
      <c r="AK15" s="2340">
        <v>91238.763246593429</v>
      </c>
      <c r="AL15" s="2340">
        <v>91485.515642149141</v>
      </c>
      <c r="AM15" s="2340">
        <v>91715.272303808146</v>
      </c>
      <c r="AN15" s="2340">
        <v>92164.319968412266</v>
      </c>
      <c r="AO15" s="2340">
        <v>92145.571656505635</v>
      </c>
      <c r="AP15" s="2340">
        <v>92238.846834970216</v>
      </c>
      <c r="AQ15" s="2340">
        <v>92302.073907096128</v>
      </c>
      <c r="AR15" s="2340">
        <v>92323.307926676003</v>
      </c>
      <c r="AS15" s="2340">
        <v>91786.140297113758</v>
      </c>
      <c r="AT15" s="2340">
        <v>91114.457572746047</v>
      </c>
      <c r="AU15" s="2340">
        <v>89978.683888733751</v>
      </c>
      <c r="AV15" s="2340">
        <v>90172.979515796789</v>
      </c>
      <c r="AW15" s="2340">
        <v>90452.212235759827</v>
      </c>
      <c r="AX15" s="2340">
        <v>92441.167211888533</v>
      </c>
      <c r="AY15" s="2340">
        <v>94055.432992588176</v>
      </c>
      <c r="AZ15" s="2340">
        <v>94139.779412164789</v>
      </c>
      <c r="BA15" s="2340">
        <v>94178.107481752842</v>
      </c>
      <c r="BB15" s="2340">
        <v>94751.053511121994</v>
      </c>
      <c r="BC15" s="2340">
        <v>95002.510523273886</v>
      </c>
      <c r="BD15" s="2340">
        <v>95283.536543363763</v>
      </c>
      <c r="BE15" s="2340">
        <v>95395.971855965443</v>
      </c>
      <c r="BF15" s="2340">
        <v>95680.505689384998</v>
      </c>
      <c r="BG15" s="2340">
        <v>95836.763438465001</v>
      </c>
      <c r="BH15" s="2340">
        <v>96011.424788949167</v>
      </c>
      <c r="BI15" s="2340">
        <v>96093.402158978497</v>
      </c>
      <c r="BJ15" s="2340">
        <v>96278.798006123587</v>
      </c>
      <c r="BK15" s="2340">
        <v>96516.038615844402</v>
      </c>
      <c r="BL15" s="2340">
        <v>96771.192331808954</v>
      </c>
      <c r="BM15" s="2340">
        <v>96948.225101271004</v>
      </c>
      <c r="BN15" s="2340">
        <v>97164.914084005592</v>
      </c>
      <c r="BO15" s="2340">
        <v>97298.940675274076</v>
      </c>
      <c r="BP15" s="2340">
        <v>97414.218228720507</v>
      </c>
      <c r="BQ15" s="2340">
        <v>97472.639500500838</v>
      </c>
      <c r="BR15" s="2340">
        <v>97555.264667875119</v>
      </c>
      <c r="BS15" s="2340">
        <v>97528.078742478829</v>
      </c>
      <c r="BT15" s="2340">
        <v>97580.149098922469</v>
      </c>
      <c r="BU15" s="2340">
        <v>97634.381108938964</v>
      </c>
      <c r="BV15" s="2340">
        <v>97722.544804658013</v>
      </c>
      <c r="BW15" s="2340">
        <v>97791.0035850641</v>
      </c>
      <c r="BX15" s="2340">
        <v>97890.768288998079</v>
      </c>
      <c r="BY15" s="2340">
        <v>97969.94959470295</v>
      </c>
      <c r="BZ15" s="2340">
        <v>98192.789556869087</v>
      </c>
      <c r="CA15" s="2340">
        <v>98370.199010351789</v>
      </c>
      <c r="CB15" s="2340">
        <v>98438.561364773486</v>
      </c>
      <c r="CC15" s="2340">
        <v>98512.531744850261</v>
      </c>
      <c r="CD15" s="2340">
        <v>98600.77669322773</v>
      </c>
      <c r="CE15" s="2340">
        <v>98670.825442805231</v>
      </c>
      <c r="CF15" s="2340">
        <v>98738.483474836219</v>
      </c>
      <c r="CG15" s="2340">
        <v>98834.327251154464</v>
      </c>
      <c r="CH15" s="2340">
        <v>98872.317882104544</v>
      </c>
      <c r="CI15" s="2340">
        <v>98937.701454574824</v>
      </c>
      <c r="CJ15" s="2340">
        <v>98990.199851977057</v>
      </c>
      <c r="CK15" s="2340">
        <v>99042.355288709048</v>
      </c>
      <c r="CL15" s="2340">
        <v>99117.475942073579</v>
      </c>
      <c r="CM15" s="2340">
        <v>99141.444516061165</v>
      </c>
      <c r="CN15" s="2340">
        <v>99194.373588022063</v>
      </c>
      <c r="CO15" s="2340">
        <v>99229.761902678743</v>
      </c>
      <c r="CP15" s="2340">
        <v>99273.820973968905</v>
      </c>
      <c r="CQ15" s="2340">
        <v>99325.787138502754</v>
      </c>
      <c r="CR15" s="2340">
        <v>99345.641105895396</v>
      </c>
      <c r="CS15" s="2340">
        <v>99374.116448482877</v>
      </c>
      <c r="CT15" s="2340">
        <v>99397.189377963077</v>
      </c>
      <c r="CU15" s="2340">
        <v>99423.055619632752</v>
      </c>
      <c r="CV15" s="2340">
        <v>99427.844056564165</v>
      </c>
      <c r="CW15" s="2340">
        <v>99452.637312582738</v>
      </c>
      <c r="CX15" s="2340">
        <v>99476.921021163245</v>
      </c>
      <c r="CY15" s="2340">
        <v>99489.876571572124</v>
      </c>
      <c r="CZ15" s="2340">
        <v>99471.274542443251</v>
      </c>
      <c r="DA15" s="2340">
        <v>99484.982990361808</v>
      </c>
      <c r="DB15" s="2340">
        <v>99492.567316479137</v>
      </c>
      <c r="DC15" s="2340">
        <v>99528.698046979378</v>
      </c>
      <c r="DD15" s="2340">
        <v>99529.275255311892</v>
      </c>
      <c r="DE15" s="2340">
        <v>99544.704390628351</v>
      </c>
      <c r="DF15" s="2340">
        <v>99588.20677722081</v>
      </c>
      <c r="DG15" s="2340">
        <v>99568.239692643241</v>
      </c>
      <c r="DH15" s="2340">
        <v>99585.998127147192</v>
      </c>
      <c r="DI15" s="2340">
        <v>99563.985836237</v>
      </c>
      <c r="DJ15" s="2340">
        <v>99584.197623323111</v>
      </c>
      <c r="DK15" s="2340">
        <v>99602.866114207107</v>
      </c>
      <c r="DL15" s="2340">
        <v>99603.193787919154</v>
      </c>
      <c r="DM15" s="2340">
        <v>99584.265964512815</v>
      </c>
      <c r="DN15" s="2340">
        <v>99586.661825262621</v>
      </c>
      <c r="DO15" s="2340">
        <v>99602.934430967391</v>
      </c>
      <c r="DP15" s="2340">
        <v>99624.977084900762</v>
      </c>
      <c r="DQ15" s="2340">
        <v>99624.382136363085</v>
      </c>
      <c r="DR15" s="2340">
        <v>99624.525856500957</v>
      </c>
      <c r="DS15" s="2340">
        <v>99636.539515951881</v>
      </c>
      <c r="DT15" s="2340">
        <v>99650.731063796004</v>
      </c>
      <c r="DU15" s="2340">
        <v>99664.379142049904</v>
      </c>
    </row>
    <row r="16" spans="1:135" ht="12.75">
      <c r="A16" s="135">
        <v>14</v>
      </c>
      <c r="W16" s="136">
        <v>83782</v>
      </c>
      <c r="X16" s="136">
        <v>84500</v>
      </c>
      <c r="Y16" s="2340">
        <v>84494.49500657829</v>
      </c>
      <c r="Z16" s="2340">
        <v>86465.712648997549</v>
      </c>
      <c r="AA16" s="2340">
        <v>86826.436837041139</v>
      </c>
      <c r="AB16" s="2340">
        <v>87307.323216089077</v>
      </c>
      <c r="AC16" s="2340">
        <v>88053.011163996402</v>
      </c>
      <c r="AD16" s="2340">
        <v>88805.441516361374</v>
      </c>
      <c r="AE16" s="2340">
        <v>88606.252237187364</v>
      </c>
      <c r="AF16" s="2340">
        <v>89551.820728356339</v>
      </c>
      <c r="AG16" s="2340">
        <v>89865.178175961613</v>
      </c>
      <c r="AH16" s="2340">
        <v>89841.599787095387</v>
      </c>
      <c r="AI16" s="2340">
        <v>90130.10140594517</v>
      </c>
      <c r="AJ16" s="2340">
        <v>91236.07642787545</v>
      </c>
      <c r="AK16" s="2340">
        <v>91171.371525297014</v>
      </c>
      <c r="AL16" s="2340">
        <v>91437.943174015221</v>
      </c>
      <c r="AM16" s="2340">
        <v>91667.580362210167</v>
      </c>
      <c r="AN16" s="2340">
        <v>92116.394522028699</v>
      </c>
      <c r="AO16" s="2340">
        <v>92107.003762173714</v>
      </c>
      <c r="AP16" s="2340">
        <v>92202.216327083326</v>
      </c>
      <c r="AQ16" s="2340">
        <v>92269.48421690239</v>
      </c>
      <c r="AR16" s="2340">
        <v>92293.473274475327</v>
      </c>
      <c r="AS16" s="2340">
        <v>91756.92778059165</v>
      </c>
      <c r="AT16" s="2340">
        <v>91081.985827467171</v>
      </c>
      <c r="AU16" s="2340">
        <v>89948.476817578834</v>
      </c>
      <c r="AV16" s="2340">
        <v>90144.453499807307</v>
      </c>
      <c r="AW16" s="2340">
        <v>90423.164951790241</v>
      </c>
      <c r="AX16" s="2340">
        <v>92410.51419244679</v>
      </c>
      <c r="AY16" s="2340">
        <v>94028.068958992371</v>
      </c>
      <c r="AZ16" s="2340">
        <v>94114.249453680997</v>
      </c>
      <c r="BA16" s="2340">
        <v>94152.302372371225</v>
      </c>
      <c r="BB16" s="2340">
        <v>94720.69972897222</v>
      </c>
      <c r="BC16" s="2340">
        <v>94976.846965417426</v>
      </c>
      <c r="BD16" s="2340">
        <v>95257.037911524516</v>
      </c>
      <c r="BE16" s="2340">
        <v>95367.862071967902</v>
      </c>
      <c r="BF16" s="2340">
        <v>95653.020227871166</v>
      </c>
      <c r="BG16" s="2340">
        <v>95808.695566097274</v>
      </c>
      <c r="BH16" s="2340">
        <v>95984.699396553478</v>
      </c>
      <c r="BI16" s="2340">
        <v>96066.307462378172</v>
      </c>
      <c r="BJ16" s="2340">
        <v>96258.03103310302</v>
      </c>
      <c r="BK16" s="2340">
        <v>96493.142454967019</v>
      </c>
      <c r="BL16" s="2340">
        <v>96746.604510202189</v>
      </c>
      <c r="BM16" s="2340">
        <v>96925.130501330335</v>
      </c>
      <c r="BN16" s="2340">
        <v>97142.613694850894</v>
      </c>
      <c r="BO16" s="2340">
        <v>97275.943197283879</v>
      </c>
      <c r="BP16" s="2340">
        <v>97393.360311548488</v>
      </c>
      <c r="BQ16" s="2340">
        <v>97453.446489255701</v>
      </c>
      <c r="BR16" s="2340">
        <v>97538.175171876268</v>
      </c>
      <c r="BS16" s="2340">
        <v>97509.072706489183</v>
      </c>
      <c r="BT16" s="2340">
        <v>97562.520809774986</v>
      </c>
      <c r="BU16" s="2340">
        <v>97616.394298409097</v>
      </c>
      <c r="BV16" s="2340">
        <v>97707.624089638703</v>
      </c>
      <c r="BW16" s="2340">
        <v>97776.446707191513</v>
      </c>
      <c r="BX16" s="2340">
        <v>97871.786709483029</v>
      </c>
      <c r="BY16" s="2340">
        <v>97956.439982937954</v>
      </c>
      <c r="BZ16" s="2340">
        <v>98175.751623355653</v>
      </c>
      <c r="CA16" s="2340">
        <v>98355.032409679639</v>
      </c>
      <c r="CB16" s="2340">
        <v>98425.875739514362</v>
      </c>
      <c r="CC16" s="2340">
        <v>98499.214436174196</v>
      </c>
      <c r="CD16" s="2340">
        <v>98584.937591797177</v>
      </c>
      <c r="CE16" s="2340">
        <v>98658.554159226493</v>
      </c>
      <c r="CF16" s="2340">
        <v>98723.437602258608</v>
      </c>
      <c r="CG16" s="2340">
        <v>98823.482762319458</v>
      </c>
      <c r="CH16" s="2340">
        <v>98857.094696577318</v>
      </c>
      <c r="CI16" s="2340">
        <v>98928.432645204579</v>
      </c>
      <c r="CJ16" s="2340">
        <v>98978.222157571916</v>
      </c>
      <c r="CK16" s="2340">
        <v>99031.429910570194</v>
      </c>
      <c r="CL16" s="2340">
        <v>99102.435322219317</v>
      </c>
      <c r="CM16" s="2340">
        <v>99132.679738568331</v>
      </c>
      <c r="CN16" s="2340">
        <v>99186.116666028058</v>
      </c>
      <c r="CO16" s="2340">
        <v>99220.927494168194</v>
      </c>
      <c r="CP16" s="2340">
        <v>99262.473566427201</v>
      </c>
      <c r="CQ16" s="2340">
        <v>99314.116657570048</v>
      </c>
      <c r="CR16" s="2340">
        <v>99336.069051024999</v>
      </c>
      <c r="CS16" s="2340">
        <v>99363.119783039161</v>
      </c>
      <c r="CT16" s="2340">
        <v>99389.305631911833</v>
      </c>
      <c r="CU16" s="2340">
        <v>99416.543346902967</v>
      </c>
      <c r="CV16" s="2340">
        <v>99416.495619984707</v>
      </c>
      <c r="CW16" s="2340">
        <v>99446.054876973227</v>
      </c>
      <c r="CX16" s="2340">
        <v>99469.049833609111</v>
      </c>
      <c r="CY16" s="2340">
        <v>99481.422722174728</v>
      </c>
      <c r="CZ16" s="2340">
        <v>99461.642353177333</v>
      </c>
      <c r="DA16" s="2340">
        <v>99474.476157586614</v>
      </c>
      <c r="DB16" s="2340">
        <v>99484.06268170166</v>
      </c>
      <c r="DC16" s="2340">
        <v>99522.012795691786</v>
      </c>
      <c r="DD16" s="2340">
        <v>99521.132773516627</v>
      </c>
      <c r="DE16" s="2340">
        <v>99535.132396560817</v>
      </c>
      <c r="DF16" s="2340">
        <v>99580.965690571058</v>
      </c>
      <c r="DG16" s="2340">
        <v>99559.624287098297</v>
      </c>
      <c r="DH16" s="2340">
        <v>99577.665528585727</v>
      </c>
      <c r="DI16" s="2340">
        <v>99555.929979472567</v>
      </c>
      <c r="DJ16" s="2340">
        <v>99576.406013931337</v>
      </c>
      <c r="DK16" s="2340">
        <v>99595.330201448858</v>
      </c>
      <c r="DL16" s="2340">
        <v>99595.906522742749</v>
      </c>
      <c r="DM16" s="2340">
        <v>99577.220505088524</v>
      </c>
      <c r="DN16" s="2340">
        <v>99579.848689405844</v>
      </c>
      <c r="DO16" s="2340">
        <v>99596.345039789157</v>
      </c>
      <c r="DP16" s="2340">
        <v>99618.603721622887</v>
      </c>
      <c r="DQ16" s="2340">
        <v>99618.219119405549</v>
      </c>
      <c r="DR16" s="2340">
        <v>99618.566199411289</v>
      </c>
      <c r="DS16" s="2340">
        <v>99630.775821861564</v>
      </c>
      <c r="DT16" s="2340">
        <v>99645.167532473512</v>
      </c>
      <c r="DU16" s="2340">
        <v>99659.008851594073</v>
      </c>
    </row>
    <row r="17" spans="1:125" ht="12.75">
      <c r="A17" s="135">
        <v>15</v>
      </c>
      <c r="W17" s="136">
        <v>83660</v>
      </c>
      <c r="X17" s="136">
        <v>84377</v>
      </c>
      <c r="Y17" s="2340">
        <v>84379.662199703511</v>
      </c>
      <c r="Z17" s="2340">
        <v>86353.382827410984</v>
      </c>
      <c r="AA17" s="2340">
        <v>86708.434789071543</v>
      </c>
      <c r="AB17" s="2340">
        <v>87188.66761627933</v>
      </c>
      <c r="AC17" s="2340">
        <v>87933.342132008562</v>
      </c>
      <c r="AD17" s="2340">
        <v>88684.749888885708</v>
      </c>
      <c r="AE17" s="2340">
        <v>88473.78922743407</v>
      </c>
      <c r="AF17" s="2340">
        <v>89399.688229455322</v>
      </c>
      <c r="AG17" s="2340">
        <v>89681.980371487283</v>
      </c>
      <c r="AH17" s="2340">
        <v>89741.875611331707</v>
      </c>
      <c r="AI17" s="2340">
        <v>90030.056993384569</v>
      </c>
      <c r="AJ17" s="2340">
        <v>91157.336840748219</v>
      </c>
      <c r="AK17" s="2340">
        <v>91117.580416097087</v>
      </c>
      <c r="AL17" s="2340">
        <v>91383.994787542557</v>
      </c>
      <c r="AM17" s="2340">
        <v>91613.496489796467</v>
      </c>
      <c r="AN17" s="2340">
        <v>92076.34624598459</v>
      </c>
      <c r="AO17" s="2340">
        <v>92070.707120027044</v>
      </c>
      <c r="AP17" s="2340">
        <v>92168.591445288854</v>
      </c>
      <c r="AQ17" s="2340">
        <v>92233.154422673106</v>
      </c>
      <c r="AR17" s="2340">
        <v>92261.001067517238</v>
      </c>
      <c r="AS17" s="2340">
        <v>91717.515565675058</v>
      </c>
      <c r="AT17" s="2340">
        <v>91041.581574346492</v>
      </c>
      <c r="AU17" s="2340">
        <v>89913.78168721532</v>
      </c>
      <c r="AV17" s="2340">
        <v>90119.393416454797</v>
      </c>
      <c r="AW17" s="2340">
        <v>90388.782072005575</v>
      </c>
      <c r="AX17" s="2340">
        <v>92382.110223046446</v>
      </c>
      <c r="AY17" s="2340">
        <v>93998.288502455223</v>
      </c>
      <c r="AZ17" s="2340">
        <v>94083.50836833645</v>
      </c>
      <c r="BA17" s="2340">
        <v>94118.547204127084</v>
      </c>
      <c r="BB17" s="2340">
        <v>94689.677176489873</v>
      </c>
      <c r="BC17" s="2340">
        <v>94945.61447858141</v>
      </c>
      <c r="BD17" s="2340">
        <v>95226.762362492795</v>
      </c>
      <c r="BE17" s="2340">
        <v>95329.999981126894</v>
      </c>
      <c r="BF17" s="2340">
        <v>95620.817806891122</v>
      </c>
      <c r="BG17" s="2340">
        <v>95777.986469453012</v>
      </c>
      <c r="BH17" s="2340">
        <v>95955.70574046651</v>
      </c>
      <c r="BI17" s="2340">
        <v>96037.224210324974</v>
      </c>
      <c r="BJ17" s="2340">
        <v>96226.271851336685</v>
      </c>
      <c r="BK17" s="2340">
        <v>96463.96727017111</v>
      </c>
      <c r="BL17" s="2340">
        <v>96720.204770423894</v>
      </c>
      <c r="BM17" s="2340">
        <v>96898.510526781407</v>
      </c>
      <c r="BN17" s="2340">
        <v>97113.556854501483</v>
      </c>
      <c r="BO17" s="2340">
        <v>97249.402318085224</v>
      </c>
      <c r="BP17" s="2340">
        <v>97369.548159878599</v>
      </c>
      <c r="BQ17" s="2340">
        <v>97430.995125131609</v>
      </c>
      <c r="BR17" s="2340">
        <v>97514.688105041016</v>
      </c>
      <c r="BS17" s="2340">
        <v>97489.865603122787</v>
      </c>
      <c r="BT17" s="2340">
        <v>97541.95740513147</v>
      </c>
      <c r="BU17" s="2340">
        <v>97596.818153971602</v>
      </c>
      <c r="BV17" s="2340">
        <v>97689.814820573025</v>
      </c>
      <c r="BW17" s="2340">
        <v>97760.221296726842</v>
      </c>
      <c r="BX17" s="2340">
        <v>97855.298131536227</v>
      </c>
      <c r="BY17" s="2340">
        <v>97941.003538293808</v>
      </c>
      <c r="BZ17" s="2340">
        <v>98149.390872702017</v>
      </c>
      <c r="CA17" s="2340">
        <v>98342.516513843322</v>
      </c>
      <c r="CB17" s="2340">
        <v>98409.235779535156</v>
      </c>
      <c r="CC17" s="2340">
        <v>98483.896656550176</v>
      </c>
      <c r="CD17" s="2340">
        <v>98568.109500436491</v>
      </c>
      <c r="CE17" s="2340">
        <v>98643.279525607504</v>
      </c>
      <c r="CF17" s="2340">
        <v>98710.020397171931</v>
      </c>
      <c r="CG17" s="2340">
        <v>98809.748244998889</v>
      </c>
      <c r="CH17" s="2340">
        <v>98843.260988585651</v>
      </c>
      <c r="CI17" s="2340">
        <v>98913.572766447585</v>
      </c>
      <c r="CJ17" s="2340">
        <v>98961.937720118862</v>
      </c>
      <c r="CK17" s="2340">
        <v>99018.200056844347</v>
      </c>
      <c r="CL17" s="2340">
        <v>99090.361990369565</v>
      </c>
      <c r="CM17" s="2340">
        <v>99121.160198763595</v>
      </c>
      <c r="CN17" s="2340">
        <v>99174.912282664343</v>
      </c>
      <c r="CO17" s="2340">
        <v>99205.59963820492</v>
      </c>
      <c r="CP17" s="2340">
        <v>99252.093448410262</v>
      </c>
      <c r="CQ17" s="2340">
        <v>99301.702602475038</v>
      </c>
      <c r="CR17" s="2340">
        <v>99323.39406438102</v>
      </c>
      <c r="CS17" s="2340">
        <v>99353.437449146251</v>
      </c>
      <c r="CT17" s="2340">
        <v>99378.841054120683</v>
      </c>
      <c r="CU17" s="2340">
        <v>99408.2967649864</v>
      </c>
      <c r="CV17" s="2340">
        <v>99406.984742484507</v>
      </c>
      <c r="CW17" s="2340">
        <v>99435.570696589464</v>
      </c>
      <c r="CX17" s="2340">
        <v>99457.853700551728</v>
      </c>
      <c r="CY17" s="2340">
        <v>99471.191712682848</v>
      </c>
      <c r="CZ17" s="2340">
        <v>99453.194683003399</v>
      </c>
      <c r="DA17" s="2340">
        <v>99465.144438737509</v>
      </c>
      <c r="DB17" s="2340">
        <v>99475.340456723672</v>
      </c>
      <c r="DC17" s="2340">
        <v>99512.044867236211</v>
      </c>
      <c r="DD17" s="2340">
        <v>99509.95740432787</v>
      </c>
      <c r="DE17" s="2340">
        <v>99523.488120964757</v>
      </c>
      <c r="DF17" s="2340">
        <v>99570.778181404312</v>
      </c>
      <c r="DG17" s="2340">
        <v>99549.770022028621</v>
      </c>
      <c r="DH17" s="2340">
        <v>99568.129835951971</v>
      </c>
      <c r="DI17" s="2340">
        <v>99546.706245916881</v>
      </c>
      <c r="DJ17" s="2340">
        <v>99567.480250440174</v>
      </c>
      <c r="DK17" s="2340">
        <v>99586.69291713211</v>
      </c>
      <c r="DL17" s="2340">
        <v>99587.549933780465</v>
      </c>
      <c r="DM17" s="2340">
        <v>99569.137053087281</v>
      </c>
      <c r="DN17" s="2340">
        <v>99572.02777309969</v>
      </c>
      <c r="DO17" s="2340">
        <v>99588.777078714425</v>
      </c>
      <c r="DP17" s="2340">
        <v>99611.280110915133</v>
      </c>
      <c r="DQ17" s="2340">
        <v>99611.133580509268</v>
      </c>
      <c r="DR17" s="2340">
        <v>99611.710942871505</v>
      </c>
      <c r="DS17" s="2340">
        <v>99624.154897601664</v>
      </c>
      <c r="DT17" s="2340">
        <v>99638.772790406045</v>
      </c>
      <c r="DU17" s="2340">
        <v>99652.832599183923</v>
      </c>
    </row>
    <row r="18" spans="1:125" ht="12.75">
      <c r="A18" s="135">
        <v>16</v>
      </c>
      <c r="W18" s="136">
        <v>83531</v>
      </c>
      <c r="X18" s="136">
        <v>84256</v>
      </c>
      <c r="Y18" s="2340">
        <v>84261.615833056567</v>
      </c>
      <c r="Z18" s="2340">
        <v>86229.125077385746</v>
      </c>
      <c r="AA18" s="2340">
        <v>86583.666138877103</v>
      </c>
      <c r="AB18" s="2340">
        <v>87063.20793756182</v>
      </c>
      <c r="AC18" s="2340">
        <v>87806.810907778927</v>
      </c>
      <c r="AD18" s="2340">
        <v>88544.376184531298</v>
      </c>
      <c r="AE18" s="2340">
        <v>88314.653105234029</v>
      </c>
      <c r="AF18" s="2340">
        <v>89193.86228497226</v>
      </c>
      <c r="AG18" s="2340">
        <v>89561.80651778949</v>
      </c>
      <c r="AH18" s="2340">
        <v>89621.621498012522</v>
      </c>
      <c r="AI18" s="2340">
        <v>89936.258496791939</v>
      </c>
      <c r="AJ18" s="2340">
        <v>91095.349851696505</v>
      </c>
      <c r="AK18" s="2340">
        <v>91055.620461414146</v>
      </c>
      <c r="AL18" s="2340">
        <v>91321.853671087025</v>
      </c>
      <c r="AM18" s="2340">
        <v>91566.599423983003</v>
      </c>
      <c r="AN18" s="2340">
        <v>92031.36766723491</v>
      </c>
      <c r="AO18" s="2340">
        <v>92024.815856664762</v>
      </c>
      <c r="AP18" s="2340">
        <v>92124.973579612852</v>
      </c>
      <c r="AQ18" s="2340">
        <v>92190.021067565496</v>
      </c>
      <c r="AR18" s="2340">
        <v>92215.306899659816</v>
      </c>
      <c r="AS18" s="2340">
        <v>91679.117869282665</v>
      </c>
      <c r="AT18" s="2340">
        <v>91004.205577989356</v>
      </c>
      <c r="AU18" s="2340">
        <v>89875.609535360782</v>
      </c>
      <c r="AV18" s="2340">
        <v>90083.021214471402</v>
      </c>
      <c r="AW18" s="2340">
        <v>90352.824847857715</v>
      </c>
      <c r="AX18" s="2340">
        <v>92349.387985210342</v>
      </c>
      <c r="AY18" s="2340">
        <v>93964.288289991571</v>
      </c>
      <c r="AZ18" s="2340">
        <v>94046.778122962307</v>
      </c>
      <c r="BA18" s="2340">
        <v>94082.290866546435</v>
      </c>
      <c r="BB18" s="2340">
        <v>94652.038070429538</v>
      </c>
      <c r="BC18" s="2340">
        <v>94905.930569956836</v>
      </c>
      <c r="BD18" s="2340">
        <v>95186.615201336768</v>
      </c>
      <c r="BE18" s="2340">
        <v>95284.480083462418</v>
      </c>
      <c r="BF18" s="2340">
        <v>95578.719100068687</v>
      </c>
      <c r="BG18" s="2340">
        <v>95740.010985083223</v>
      </c>
      <c r="BH18" s="2340">
        <v>95918.70716236619</v>
      </c>
      <c r="BI18" s="2340">
        <v>96000.306565905325</v>
      </c>
      <c r="BJ18" s="2340">
        <v>96184.917362743261</v>
      </c>
      <c r="BK18" s="2340">
        <v>96420.731147664817</v>
      </c>
      <c r="BL18" s="2340">
        <v>96679.31339375423</v>
      </c>
      <c r="BM18" s="2340">
        <v>96861.149156863728</v>
      </c>
      <c r="BN18" s="2340">
        <v>97078.584275927671</v>
      </c>
      <c r="BO18" s="2340">
        <v>97216.065344137663</v>
      </c>
      <c r="BP18" s="2340">
        <v>97336.597041720903</v>
      </c>
      <c r="BQ18" s="2340">
        <v>97403.34112299858</v>
      </c>
      <c r="BR18" s="2340">
        <v>97484.768532677059</v>
      </c>
      <c r="BS18" s="2340">
        <v>97462.908425898393</v>
      </c>
      <c r="BT18" s="2340">
        <v>97517.191798515269</v>
      </c>
      <c r="BU18" s="2340">
        <v>97573.913093811294</v>
      </c>
      <c r="BV18" s="2340">
        <v>97668.799460874216</v>
      </c>
      <c r="BW18" s="2340">
        <v>97740.388460935705</v>
      </c>
      <c r="BX18" s="2340">
        <v>97833.679410210418</v>
      </c>
      <c r="BY18" s="2340">
        <v>97918.817186840562</v>
      </c>
      <c r="BZ18" s="2340">
        <v>98129.091185299258</v>
      </c>
      <c r="CA18" s="2340">
        <v>98320.465372614795</v>
      </c>
      <c r="CB18" s="2340">
        <v>98391.093468594903</v>
      </c>
      <c r="CC18" s="2340">
        <v>98459.595273323444</v>
      </c>
      <c r="CD18" s="2340">
        <v>98542.204566362794</v>
      </c>
      <c r="CE18" s="2340">
        <v>98624.595936271871</v>
      </c>
      <c r="CF18" s="2340">
        <v>98688.3349679229</v>
      </c>
      <c r="CG18" s="2340">
        <v>98791.105341262024</v>
      </c>
      <c r="CH18" s="2340">
        <v>98824.064274260774</v>
      </c>
      <c r="CI18" s="2340">
        <v>98895.854398731419</v>
      </c>
      <c r="CJ18" s="2340">
        <v>98943.77986388345</v>
      </c>
      <c r="CK18" s="2340">
        <v>99002.25565339248</v>
      </c>
      <c r="CL18" s="2340">
        <v>99073.337118163414</v>
      </c>
      <c r="CM18" s="2340">
        <v>99104.555286638744</v>
      </c>
      <c r="CN18" s="2340">
        <v>99159.920652499626</v>
      </c>
      <c r="CO18" s="2340">
        <v>99193.067510461391</v>
      </c>
      <c r="CP18" s="2340">
        <v>99237.857876912516</v>
      </c>
      <c r="CQ18" s="2340">
        <v>99288.796317316592</v>
      </c>
      <c r="CR18" s="2340">
        <v>99308.406086085408</v>
      </c>
      <c r="CS18" s="2340">
        <v>99340.02377542117</v>
      </c>
      <c r="CT18" s="2340">
        <v>99370.441325732361</v>
      </c>
      <c r="CU18" s="2340">
        <v>99394.850651905785</v>
      </c>
      <c r="CV18" s="2340">
        <v>99393.938996620229</v>
      </c>
      <c r="CW18" s="2340">
        <v>99423.600422485601</v>
      </c>
      <c r="CX18" s="2340">
        <v>99444.49616230285</v>
      </c>
      <c r="CY18" s="2340">
        <v>99458.133133952564</v>
      </c>
      <c r="CZ18" s="2340">
        <v>99442.107656722699</v>
      </c>
      <c r="DA18" s="2340">
        <v>99451.785856009577</v>
      </c>
      <c r="DB18" s="2340">
        <v>99465.860927057613</v>
      </c>
      <c r="DC18" s="2340">
        <v>99502.126730094227</v>
      </c>
      <c r="DD18" s="2340">
        <v>99496.133572147082</v>
      </c>
      <c r="DE18" s="2340">
        <v>99511.414952587511</v>
      </c>
      <c r="DF18" s="2340">
        <v>99559.085917493911</v>
      </c>
      <c r="DG18" s="2340">
        <v>99538.454411043</v>
      </c>
      <c r="DH18" s="2340">
        <v>99557.17441330025</v>
      </c>
      <c r="DI18" s="2340">
        <v>99536.103783996514</v>
      </c>
      <c r="DJ18" s="2340">
        <v>99557.21502757835</v>
      </c>
      <c r="DK18" s="2340">
        <v>99576.75436280873</v>
      </c>
      <c r="DL18" s="2340">
        <v>99577.929426053626</v>
      </c>
      <c r="DM18" s="2340">
        <v>99559.826216007801</v>
      </c>
      <c r="DN18" s="2340">
        <v>99563.014710752366</v>
      </c>
      <c r="DO18" s="2340">
        <v>99580.051053520583</v>
      </c>
      <c r="DP18" s="2340">
        <v>99602.831493892925</v>
      </c>
      <c r="DQ18" s="2340">
        <v>99602.955412571857</v>
      </c>
      <c r="DR18" s="2340">
        <v>99603.808641457901</v>
      </c>
      <c r="DS18" s="2340">
        <v>99616.518247534623</v>
      </c>
      <c r="DT18" s="2340">
        <v>99631.392700389901</v>
      </c>
      <c r="DU18" s="2340">
        <v>99645.700489950948</v>
      </c>
    </row>
    <row r="19" spans="1:125" ht="12.75">
      <c r="A19" s="135">
        <v>17</v>
      </c>
      <c r="W19" s="136">
        <v>83405</v>
      </c>
      <c r="X19" s="136">
        <v>84129</v>
      </c>
      <c r="Y19" s="2340">
        <v>84133.636518309839</v>
      </c>
      <c r="Z19" s="2340">
        <v>86098.15744485805</v>
      </c>
      <c r="AA19" s="2340">
        <v>86452.16001771907</v>
      </c>
      <c r="AB19" s="2340">
        <v>86930.973472540674</v>
      </c>
      <c r="AC19" s="2340">
        <v>87660.110646730391</v>
      </c>
      <c r="AD19" s="2340">
        <v>88376.271044415902</v>
      </c>
      <c r="AE19" s="2340">
        <v>88086.623263329224</v>
      </c>
      <c r="AF19" s="2340">
        <v>89055.611798430546</v>
      </c>
      <c r="AG19" s="2340">
        <v>89422.985717686912</v>
      </c>
      <c r="AH19" s="2340">
        <v>89513.61545643225</v>
      </c>
      <c r="AI19" s="2340">
        <v>89866.108215164437</v>
      </c>
      <c r="AJ19" s="2340">
        <v>91024.295478812186</v>
      </c>
      <c r="AK19" s="2340">
        <v>90984.597077454237</v>
      </c>
      <c r="AL19" s="2340">
        <v>91263.339060794562</v>
      </c>
      <c r="AM19" s="2340">
        <v>91514.01616740592</v>
      </c>
      <c r="AN19" s="2340">
        <v>91984.529414466975</v>
      </c>
      <c r="AO19" s="2340">
        <v>91980.366454986899</v>
      </c>
      <c r="AP19" s="2340">
        <v>92082.303252257552</v>
      </c>
      <c r="AQ19" s="2340">
        <v>92140.316223811693</v>
      </c>
      <c r="AR19" s="2340">
        <v>92168.80939954464</v>
      </c>
      <c r="AS19" s="2340">
        <v>91634.963588834566</v>
      </c>
      <c r="AT19" s="2340">
        <v>90961.310718970242</v>
      </c>
      <c r="AU19" s="2340">
        <v>89834.095258869318</v>
      </c>
      <c r="AV19" s="2340">
        <v>90037.867660908189</v>
      </c>
      <c r="AW19" s="2340">
        <v>90311.053219844907</v>
      </c>
      <c r="AX19" s="2340">
        <v>92308.182625138201</v>
      </c>
      <c r="AY19" s="2340">
        <v>93921.351301912873</v>
      </c>
      <c r="AZ19" s="2340">
        <v>93998.048150502102</v>
      </c>
      <c r="BA19" s="2340">
        <v>94037.38941667616</v>
      </c>
      <c r="BB19" s="2340">
        <v>94610.888259701576</v>
      </c>
      <c r="BC19" s="2340">
        <v>94856.33702079294</v>
      </c>
      <c r="BD19" s="2340">
        <v>95135.166575136129</v>
      </c>
      <c r="BE19" s="2340">
        <v>95225.365162791728</v>
      </c>
      <c r="BF19" s="2340">
        <v>95529.000947259367</v>
      </c>
      <c r="BG19" s="2340">
        <v>95692.797849569586</v>
      </c>
      <c r="BH19" s="2340">
        <v>95873.342815104683</v>
      </c>
      <c r="BI19" s="2340">
        <v>95950.145777096695</v>
      </c>
      <c r="BJ19" s="2340">
        <v>96131.820190288694</v>
      </c>
      <c r="BK19" s="2340">
        <v>96367.339846668066</v>
      </c>
      <c r="BL19" s="2340">
        <v>96631.995218172713</v>
      </c>
      <c r="BM19" s="2340">
        <v>96815.256083713917</v>
      </c>
      <c r="BN19" s="2340">
        <v>97034.290704145955</v>
      </c>
      <c r="BO19" s="2340">
        <v>97176.539508710586</v>
      </c>
      <c r="BP19" s="2340">
        <v>97296.364218755814</v>
      </c>
      <c r="BQ19" s="2340">
        <v>97369.009145237316</v>
      </c>
      <c r="BR19" s="2340">
        <v>97452.308219063154</v>
      </c>
      <c r="BS19" s="2340">
        <v>97432.647279817334</v>
      </c>
      <c r="BT19" s="2340">
        <v>97486.559744506812</v>
      </c>
      <c r="BU19" s="2340">
        <v>97547.535858884075</v>
      </c>
      <c r="BV19" s="2340">
        <v>97642.35258213256</v>
      </c>
      <c r="BW19" s="2340">
        <v>97714.851072187448</v>
      </c>
      <c r="BX19" s="2340">
        <v>97810.609192144591</v>
      </c>
      <c r="BY19" s="2340">
        <v>97890.344682530224</v>
      </c>
      <c r="BZ19" s="2340">
        <v>98103.691388866791</v>
      </c>
      <c r="CA19" s="2340">
        <v>98289.313375557918</v>
      </c>
      <c r="CB19" s="2340">
        <v>98362.239628112278</v>
      </c>
      <c r="CC19" s="2340">
        <v>98432.747787645902</v>
      </c>
      <c r="CD19" s="2340">
        <v>98515.84111280556</v>
      </c>
      <c r="CE19" s="2340">
        <v>98597.92156056677</v>
      </c>
      <c r="CF19" s="2340">
        <v>98666.721413612162</v>
      </c>
      <c r="CG19" s="2340">
        <v>98769.65296940539</v>
      </c>
      <c r="CH19" s="2340">
        <v>98802.932000995381</v>
      </c>
      <c r="CI19" s="2340">
        <v>98876.451597589679</v>
      </c>
      <c r="CJ19" s="2340">
        <v>98924.419867301636</v>
      </c>
      <c r="CK19" s="2340">
        <v>98979.581872701325</v>
      </c>
      <c r="CL19" s="2340">
        <v>99056.146765228055</v>
      </c>
      <c r="CM19" s="2340">
        <v>99092.443465036195</v>
      </c>
      <c r="CN19" s="2340">
        <v>99142.204663934317</v>
      </c>
      <c r="CO19" s="2340">
        <v>99178.46475109765</v>
      </c>
      <c r="CP19" s="2340">
        <v>99220.745740583356</v>
      </c>
      <c r="CQ19" s="2340">
        <v>99274.675851820619</v>
      </c>
      <c r="CR19" s="2340">
        <v>99291.807201020943</v>
      </c>
      <c r="CS19" s="2340">
        <v>99329.803844264577</v>
      </c>
      <c r="CT19" s="2340">
        <v>99358.784062319086</v>
      </c>
      <c r="CU19" s="2340">
        <v>99379.000830263583</v>
      </c>
      <c r="CV19" s="2340">
        <v>99379.471719288151</v>
      </c>
      <c r="CW19" s="2340">
        <v>99407.432418545053</v>
      </c>
      <c r="CX19" s="2340">
        <v>99432.306823799794</v>
      </c>
      <c r="CY19" s="2340">
        <v>99442.007888772845</v>
      </c>
      <c r="CZ19" s="2340">
        <v>99428.150719000972</v>
      </c>
      <c r="DA19" s="2340">
        <v>99439.86958382123</v>
      </c>
      <c r="DB19" s="2340">
        <v>99454.80892512259</v>
      </c>
      <c r="DC19" s="2340">
        <v>99484.94554147248</v>
      </c>
      <c r="DD19" s="2340">
        <v>99481.972682412423</v>
      </c>
      <c r="DE19" s="2340">
        <v>99497.698244459636</v>
      </c>
      <c r="DF19" s="2340">
        <v>99545.795134842527</v>
      </c>
      <c r="DG19" s="2340">
        <v>99525.585161934359</v>
      </c>
      <c r="DH19" s="2340">
        <v>99544.708401430704</v>
      </c>
      <c r="DI19" s="2340">
        <v>99524.033200348218</v>
      </c>
      <c r="DJ19" s="2340">
        <v>99545.522375375469</v>
      </c>
      <c r="DK19" s="2340">
        <v>99565.427988277937</v>
      </c>
      <c r="DL19" s="2340">
        <v>99566.959878817986</v>
      </c>
      <c r="DM19" s="2340">
        <v>99549.204311317342</v>
      </c>
      <c r="DN19" s="2340">
        <v>99552.727231603989</v>
      </c>
      <c r="DO19" s="2340">
        <v>99570.086084944574</v>
      </c>
      <c r="DP19" s="2340">
        <v>99593.178368828958</v>
      </c>
      <c r="DQ19" s="2340">
        <v>99593.622516369142</v>
      </c>
      <c r="DR19" s="2340">
        <v>99594.78528490389</v>
      </c>
      <c r="DS19" s="2340">
        <v>99607.793125812663</v>
      </c>
      <c r="DT19" s="2340">
        <v>99622.955773227557</v>
      </c>
      <c r="DU19" s="2340">
        <v>99637.54228473251</v>
      </c>
    </row>
    <row r="20" spans="1:125" ht="12.75">
      <c r="A20" s="135">
        <v>18</v>
      </c>
      <c r="W20" s="136">
        <v>83271</v>
      </c>
      <c r="X20" s="136">
        <v>83995</v>
      </c>
      <c r="Y20" s="2340">
        <v>83999.130304851307</v>
      </c>
      <c r="Z20" s="2340">
        <v>85960.510510493768</v>
      </c>
      <c r="AA20" s="2340">
        <v>86313.947131999303</v>
      </c>
      <c r="AB20" s="2340">
        <v>86778.097260198876</v>
      </c>
      <c r="AC20" s="2340">
        <v>87484.930569498712</v>
      </c>
      <c r="AD20" s="2340">
        <v>88121.950839971541</v>
      </c>
      <c r="AE20" s="2340">
        <v>87931.590806385764</v>
      </c>
      <c r="AF20" s="2340">
        <v>88898.873921665305</v>
      </c>
      <c r="AG20" s="2340">
        <v>89306.811349593176</v>
      </c>
      <c r="AH20" s="2340">
        <v>89436.633747139713</v>
      </c>
      <c r="AI20" s="2340">
        <v>89788.8233620994</v>
      </c>
      <c r="AJ20" s="2340">
        <v>90946.014584700402</v>
      </c>
      <c r="AK20" s="2340">
        <v>90921.673979677013</v>
      </c>
      <c r="AL20" s="2340">
        <v>91207.902683810491</v>
      </c>
      <c r="AM20" s="2340">
        <v>91457.478240419863</v>
      </c>
      <c r="AN20" s="2340">
        <v>91928.414662773197</v>
      </c>
      <c r="AO20" s="2340">
        <v>91933.372757581485</v>
      </c>
      <c r="AP20" s="2340">
        <v>92031.69722174319</v>
      </c>
      <c r="AQ20" s="2340">
        <v>92095.113543311425</v>
      </c>
      <c r="AR20" s="2340">
        <v>92116.443553808509</v>
      </c>
      <c r="AS20" s="2340">
        <v>91592.70798888494</v>
      </c>
      <c r="AT20" s="2340">
        <v>90912.33714894524</v>
      </c>
      <c r="AU20" s="2340">
        <v>89791.745980781678</v>
      </c>
      <c r="AV20" s="2340">
        <v>89993.602804445007</v>
      </c>
      <c r="AW20" s="2340">
        <v>90269.517079367564</v>
      </c>
      <c r="AX20" s="2340">
        <v>92264.641264016667</v>
      </c>
      <c r="AY20" s="2340">
        <v>93876.925909075115</v>
      </c>
      <c r="AZ20" s="2340">
        <v>93947.089434879046</v>
      </c>
      <c r="BA20" s="2340">
        <v>93990.026836463236</v>
      </c>
      <c r="BB20" s="2340">
        <v>94557.354154393412</v>
      </c>
      <c r="BC20" s="2340">
        <v>94806.088821654092</v>
      </c>
      <c r="BD20" s="2340">
        <v>95083.149840557293</v>
      </c>
      <c r="BE20" s="2340">
        <v>95170.589056313343</v>
      </c>
      <c r="BF20" s="2340">
        <v>95482.863533367869</v>
      </c>
      <c r="BG20" s="2340">
        <v>95644.389258676092</v>
      </c>
      <c r="BH20" s="2340">
        <v>95816.647967320838</v>
      </c>
      <c r="BI20" s="2340">
        <v>95895.570840463086</v>
      </c>
      <c r="BJ20" s="2340">
        <v>96079.85189917963</v>
      </c>
      <c r="BK20" s="2340">
        <v>96318.558857341442</v>
      </c>
      <c r="BL20" s="2340">
        <v>96583.874313262306</v>
      </c>
      <c r="BM20" s="2340">
        <v>96770.685856902361</v>
      </c>
      <c r="BN20" s="2340">
        <v>96985.520903116209</v>
      </c>
      <c r="BO20" s="2340">
        <v>97132.695588442337</v>
      </c>
      <c r="BP20" s="2340">
        <v>97252.755315163202</v>
      </c>
      <c r="BQ20" s="2340">
        <v>97334.006882590271</v>
      </c>
      <c r="BR20" s="2340">
        <v>97415.438732277689</v>
      </c>
      <c r="BS20" s="2340">
        <v>97401.608243299677</v>
      </c>
      <c r="BT20" s="2340">
        <v>97457.927785159351</v>
      </c>
      <c r="BU20" s="2340">
        <v>97516.605759479382</v>
      </c>
      <c r="BV20" s="2340">
        <v>97611.785182570762</v>
      </c>
      <c r="BW20" s="2340">
        <v>97687.938025229625</v>
      </c>
      <c r="BX20" s="2340">
        <v>97779.740409315069</v>
      </c>
      <c r="BY20" s="2340">
        <v>97860.546281704432</v>
      </c>
      <c r="BZ20" s="2340">
        <v>98074.246005266192</v>
      </c>
      <c r="CA20" s="2340">
        <v>98260.378927121681</v>
      </c>
      <c r="CB20" s="2340">
        <v>98335.086862427357</v>
      </c>
      <c r="CC20" s="2340">
        <v>98407.036842178553</v>
      </c>
      <c r="CD20" s="2340">
        <v>98492.663641657971</v>
      </c>
      <c r="CE20" s="2340">
        <v>98568.756059427862</v>
      </c>
      <c r="CF20" s="2340">
        <v>98635.022142834598</v>
      </c>
      <c r="CG20" s="2340">
        <v>98746.096595623181</v>
      </c>
      <c r="CH20" s="2340">
        <v>98780.817592718668</v>
      </c>
      <c r="CI20" s="2340">
        <v>98853.393020928212</v>
      </c>
      <c r="CJ20" s="2340">
        <v>98902.571655324951</v>
      </c>
      <c r="CK20" s="2340">
        <v>98960.784909329101</v>
      </c>
      <c r="CL20" s="2340">
        <v>99036.929854985123</v>
      </c>
      <c r="CM20" s="2340">
        <v>99074.623830235418</v>
      </c>
      <c r="CN20" s="2340">
        <v>99124.723352353962</v>
      </c>
      <c r="CO20" s="2340">
        <v>99161.328283385912</v>
      </c>
      <c r="CP20" s="2340">
        <v>99204.624854453155</v>
      </c>
      <c r="CQ20" s="2340">
        <v>99255.386008842543</v>
      </c>
      <c r="CR20" s="2340">
        <v>99277.851695410034</v>
      </c>
      <c r="CS20" s="2340">
        <v>99316.501950670223</v>
      </c>
      <c r="CT20" s="2340">
        <v>99343.410672715021</v>
      </c>
      <c r="CU20" s="2340">
        <v>99367.449497821741</v>
      </c>
      <c r="CV20" s="2340">
        <v>99362.948571841742</v>
      </c>
      <c r="CW20" s="2340">
        <v>99394.234936454741</v>
      </c>
      <c r="CX20" s="2340">
        <v>99416.93721368954</v>
      </c>
      <c r="CY20" s="2340">
        <v>99428.357494325901</v>
      </c>
      <c r="CZ20" s="2340">
        <v>99418.550743069529</v>
      </c>
      <c r="DA20" s="2340">
        <v>99426.124893548273</v>
      </c>
      <c r="DB20" s="2340">
        <v>99439.063410422925</v>
      </c>
      <c r="DC20" s="2340">
        <v>99468.729941455502</v>
      </c>
      <c r="DD20" s="2340">
        <v>99466.260576247048</v>
      </c>
      <c r="DE20" s="2340">
        <v>99482.471137089262</v>
      </c>
      <c r="DF20" s="2340">
        <v>99531.033255349845</v>
      </c>
      <c r="DG20" s="2340">
        <v>99511.284114895388</v>
      </c>
      <c r="DH20" s="2340">
        <v>99530.84832472328</v>
      </c>
      <c r="DI20" s="2340">
        <v>99510.605866649683</v>
      </c>
      <c r="DJ20" s="2340">
        <v>99532.508761869161</v>
      </c>
      <c r="DK20" s="2340">
        <v>99552.815548689308</v>
      </c>
      <c r="DL20" s="2340">
        <v>99554.738501835105</v>
      </c>
      <c r="DM20" s="2340">
        <v>99537.364165619845</v>
      </c>
      <c r="DN20" s="2340">
        <v>99541.253973196945</v>
      </c>
      <c r="DO20" s="2340">
        <v>99558.966800108421</v>
      </c>
      <c r="DP20" s="2340">
        <v>99582.419215239803</v>
      </c>
      <c r="DQ20" s="2340">
        <v>99583.214197569527</v>
      </c>
      <c r="DR20" s="2340">
        <v>99584.716288210795</v>
      </c>
      <c r="DS20" s="2340">
        <v>99598.051230492769</v>
      </c>
      <c r="DT20" s="2340">
        <v>99613.530149355487</v>
      </c>
      <c r="DU20" s="2340">
        <v>99628.422717472684</v>
      </c>
    </row>
    <row r="21" spans="1:125" ht="12.75">
      <c r="A21" s="135">
        <v>19</v>
      </c>
      <c r="W21" s="136">
        <v>83122</v>
      </c>
      <c r="X21" s="136">
        <v>83845</v>
      </c>
      <c r="Y21" s="2340">
        <v>83848.815750403446</v>
      </c>
      <c r="Z21" s="2340">
        <v>85806.686110281502</v>
      </c>
      <c r="AA21" s="2340">
        <v>86144.044578192304</v>
      </c>
      <c r="AB21" s="2340">
        <v>86583.987943558328</v>
      </c>
      <c r="AC21" s="2340">
        <v>87203.136401379175</v>
      </c>
      <c r="AD21" s="2340">
        <v>87946.588157799997</v>
      </c>
      <c r="AE21" s="2340">
        <v>87756.606940681057</v>
      </c>
      <c r="AF21" s="2340">
        <v>88768.287560280121</v>
      </c>
      <c r="AG21" s="2340">
        <v>89221.076810697559</v>
      </c>
      <c r="AH21" s="2340">
        <v>89350.774578742465</v>
      </c>
      <c r="AI21" s="2340">
        <v>89702.626091671787</v>
      </c>
      <c r="AJ21" s="2340">
        <v>90877.611582703568</v>
      </c>
      <c r="AK21" s="2340">
        <v>90859.694725092151</v>
      </c>
      <c r="AL21" s="2340">
        <v>91143.849344821836</v>
      </c>
      <c r="AM21" s="2340">
        <v>91402.610529872341</v>
      </c>
      <c r="AN21" s="2340">
        <v>91876.073380548725</v>
      </c>
      <c r="AO21" s="2340">
        <v>91880.269322496533</v>
      </c>
      <c r="AP21" s="2340">
        <v>91981.316650225504</v>
      </c>
      <c r="AQ21" s="2340">
        <v>92043.139479619786</v>
      </c>
      <c r="AR21" s="2340">
        <v>92065.657260155393</v>
      </c>
      <c r="AS21" s="2340">
        <v>91538.841941387174</v>
      </c>
      <c r="AT21" s="2340">
        <v>90857.535416798957</v>
      </c>
      <c r="AU21" s="2340">
        <v>89744.512272281601</v>
      </c>
      <c r="AV21" s="2340">
        <v>89941.353811757115</v>
      </c>
      <c r="AW21" s="2340">
        <v>90218.317755904456</v>
      </c>
      <c r="AX21" s="2340">
        <v>92211.235670596434</v>
      </c>
      <c r="AY21" s="2340">
        <v>93821.630437686079</v>
      </c>
      <c r="AZ21" s="2340">
        <v>93891.902263583994</v>
      </c>
      <c r="BA21" s="2340">
        <v>93928.43686878281</v>
      </c>
      <c r="BB21" s="2340">
        <v>94496.821934087726</v>
      </c>
      <c r="BC21" s="2340">
        <v>94744.434728215158</v>
      </c>
      <c r="BD21" s="2340">
        <v>95023.101921838374</v>
      </c>
      <c r="BE21" s="2340">
        <v>95119.955255081528</v>
      </c>
      <c r="BF21" s="2340">
        <v>95423.984605240883</v>
      </c>
      <c r="BG21" s="2340">
        <v>95585.096840858692</v>
      </c>
      <c r="BH21" s="2340">
        <v>95757.248344115535</v>
      </c>
      <c r="BI21" s="2340">
        <v>95833.854739323186</v>
      </c>
      <c r="BJ21" s="2340">
        <v>96028.970827239027</v>
      </c>
      <c r="BK21" s="2340">
        <v>96265.997249799533</v>
      </c>
      <c r="BL21" s="2340">
        <v>96532.354809098382</v>
      </c>
      <c r="BM21" s="2340">
        <v>96717.55900642302</v>
      </c>
      <c r="BN21" s="2340">
        <v>96934.074202071788</v>
      </c>
      <c r="BO21" s="2340">
        <v>97088.274619364049</v>
      </c>
      <c r="BP21" s="2340">
        <v>97212.204706938253</v>
      </c>
      <c r="BQ21" s="2340">
        <v>97293.901386179408</v>
      </c>
      <c r="BR21" s="2340">
        <v>97376.453678518199</v>
      </c>
      <c r="BS21" s="2340">
        <v>97362.471155528241</v>
      </c>
      <c r="BT21" s="2340">
        <v>97423.655037948076</v>
      </c>
      <c r="BU21" s="2340">
        <v>97476.234167296105</v>
      </c>
      <c r="BV21" s="2340">
        <v>97570.172009789574</v>
      </c>
      <c r="BW21" s="2340">
        <v>97648.625319776649</v>
      </c>
      <c r="BX21" s="2340">
        <v>97744.172812114557</v>
      </c>
      <c r="BY21" s="2340">
        <v>97823.118884965763</v>
      </c>
      <c r="BZ21" s="2340">
        <v>98031.403506007875</v>
      </c>
      <c r="CA21" s="2340">
        <v>98221.093623143097</v>
      </c>
      <c r="CB21" s="2340">
        <v>98292.548348235141</v>
      </c>
      <c r="CC21" s="2340">
        <v>98366.793098718306</v>
      </c>
      <c r="CD21" s="2340">
        <v>98458.292618670006</v>
      </c>
      <c r="CE21" s="2340">
        <v>98536.410224680367</v>
      </c>
      <c r="CF21" s="2340">
        <v>98602.324356999117</v>
      </c>
      <c r="CG21" s="2340">
        <v>98710.687451296282</v>
      </c>
      <c r="CH21" s="2340">
        <v>98751.167155868345</v>
      </c>
      <c r="CI21" s="2340">
        <v>98827.646439817225</v>
      </c>
      <c r="CJ21" s="2340">
        <v>98876.598293071002</v>
      </c>
      <c r="CK21" s="2340">
        <v>98935.772293663191</v>
      </c>
      <c r="CL21" s="2340">
        <v>99012.847764091028</v>
      </c>
      <c r="CM21" s="2340">
        <v>99053.910430031334</v>
      </c>
      <c r="CN21" s="2340">
        <v>99106.874884067001</v>
      </c>
      <c r="CO21" s="2340">
        <v>99135.040498796181</v>
      </c>
      <c r="CP21" s="2340">
        <v>99181.575623681623</v>
      </c>
      <c r="CQ21" s="2340">
        <v>99231.767004272828</v>
      </c>
      <c r="CR21" s="2340">
        <v>99255.575768835042</v>
      </c>
      <c r="CS21" s="2340">
        <v>99298.189805074901</v>
      </c>
      <c r="CT21" s="2340">
        <v>99325.764092676705</v>
      </c>
      <c r="CU21" s="2340">
        <v>99345.786185018354</v>
      </c>
      <c r="CV21" s="2340">
        <v>99341.287222347368</v>
      </c>
      <c r="CW21" s="2340">
        <v>99374.967553623996</v>
      </c>
      <c r="CX21" s="2340">
        <v>99400.525767212355</v>
      </c>
      <c r="CY21" s="2340">
        <v>99415.655185725307</v>
      </c>
      <c r="CZ21" s="2340">
        <v>99403.232990779419</v>
      </c>
      <c r="DA21" s="2340">
        <v>99405.468578938147</v>
      </c>
      <c r="DB21" s="2340">
        <v>99421.188445330365</v>
      </c>
      <c r="DC21" s="2340">
        <v>99451.395449538963</v>
      </c>
      <c r="DD21" s="2340">
        <v>99449.45564647521</v>
      </c>
      <c r="DE21" s="2340">
        <v>99466.176531894977</v>
      </c>
      <c r="DF21" s="2340">
        <v>99515.228340616552</v>
      </c>
      <c r="DG21" s="2340">
        <v>99495.964694228751</v>
      </c>
      <c r="DH21" s="2340">
        <v>99515.993617931497</v>
      </c>
      <c r="DI21" s="2340">
        <v>99496.207536899528</v>
      </c>
      <c r="DJ21" s="2340">
        <v>99518.546876669148</v>
      </c>
      <c r="DK21" s="2340">
        <v>99539.277096174774</v>
      </c>
      <c r="DL21" s="2340">
        <v>99541.613064538542</v>
      </c>
      <c r="DM21" s="2340">
        <v>99524.641610281848</v>
      </c>
      <c r="DN21" s="2340">
        <v>99528.919298883426</v>
      </c>
      <c r="DO21" s="2340">
        <v>99547.025326296236</v>
      </c>
      <c r="DP21" s="2340">
        <v>99570.857741621105</v>
      </c>
      <c r="DQ21" s="2340">
        <v>99572.023178652933</v>
      </c>
      <c r="DR21" s="2340">
        <v>99573.883776907474</v>
      </c>
      <c r="DS21" s="2340">
        <v>99587.564496019724</v>
      </c>
      <c r="DT21" s="2340">
        <v>99603.377936094766</v>
      </c>
      <c r="DU21" s="2340">
        <v>99618.594412457387</v>
      </c>
    </row>
    <row r="22" spans="1:125" ht="12.75">
      <c r="A22" s="135">
        <v>20</v>
      </c>
      <c r="W22" s="136">
        <v>82962</v>
      </c>
      <c r="X22" s="136">
        <v>83683</v>
      </c>
      <c r="Y22" s="2340">
        <v>83687.345390881193</v>
      </c>
      <c r="Z22" s="2340">
        <v>85624.921347537893</v>
      </c>
      <c r="AA22" s="2340">
        <v>85936.681633882108</v>
      </c>
      <c r="AB22" s="2340">
        <v>86283.860320209176</v>
      </c>
      <c r="AC22" s="2340">
        <v>87010.41746993213</v>
      </c>
      <c r="AD22" s="2340">
        <v>87752.226197971264</v>
      </c>
      <c r="AE22" s="2340">
        <v>87613.447305954658</v>
      </c>
      <c r="AF22" s="2340">
        <v>88674.193175466222</v>
      </c>
      <c r="AG22" s="2340">
        <v>89126.502469278217</v>
      </c>
      <c r="AH22" s="2340">
        <v>89256.062757688996</v>
      </c>
      <c r="AI22" s="2340">
        <v>89632.357628526239</v>
      </c>
      <c r="AJ22" s="2340">
        <v>90810.586486102242</v>
      </c>
      <c r="AK22" s="2340">
        <v>90793.16889311852</v>
      </c>
      <c r="AL22" s="2340">
        <v>91086.902537921778</v>
      </c>
      <c r="AM22" s="2340">
        <v>91343.609692419122</v>
      </c>
      <c r="AN22" s="2340">
        <v>91813.164286376385</v>
      </c>
      <c r="AO22" s="2340">
        <v>91826.841378997167</v>
      </c>
      <c r="AP22" s="2340">
        <v>91925.782582752174</v>
      </c>
      <c r="AQ22" s="2340">
        <v>91991.533823261765</v>
      </c>
      <c r="AR22" s="2340">
        <v>92006.633703954372</v>
      </c>
      <c r="AS22" s="2340">
        <v>91480.621305059656</v>
      </c>
      <c r="AT22" s="2340">
        <v>90806.963639002337</v>
      </c>
      <c r="AU22" s="2340">
        <v>89696.600587618785</v>
      </c>
      <c r="AV22" s="2340">
        <v>89888.720842196533</v>
      </c>
      <c r="AW22" s="2340">
        <v>90169.26402646699</v>
      </c>
      <c r="AX22" s="2340">
        <v>92151.23153314527</v>
      </c>
      <c r="AY22" s="2340">
        <v>93769.518166388327</v>
      </c>
      <c r="AZ22" s="2340">
        <v>93836.66324494475</v>
      </c>
      <c r="BA22" s="2340">
        <v>93867.058889369742</v>
      </c>
      <c r="BB22" s="2340">
        <v>94430.319330000028</v>
      </c>
      <c r="BC22" s="2340">
        <v>94684.95732297955</v>
      </c>
      <c r="BD22" s="2340">
        <v>94972.957188812667</v>
      </c>
      <c r="BE22" s="2340">
        <v>95061.834724341257</v>
      </c>
      <c r="BF22" s="2340">
        <v>95366.15266122426</v>
      </c>
      <c r="BG22" s="2340">
        <v>95533.014826253406</v>
      </c>
      <c r="BH22" s="2340">
        <v>95692.944664238501</v>
      </c>
      <c r="BI22" s="2340">
        <v>95781.140737995593</v>
      </c>
      <c r="BJ22" s="2340">
        <v>95976.927547219282</v>
      </c>
      <c r="BK22" s="2340">
        <v>96217.152927552495</v>
      </c>
      <c r="BL22" s="2340">
        <v>96480.208002724379</v>
      </c>
      <c r="BM22" s="2340">
        <v>96670.548336120555</v>
      </c>
      <c r="BN22" s="2340">
        <v>96886.036889663359</v>
      </c>
      <c r="BO22" s="2340">
        <v>97041.384645721191</v>
      </c>
      <c r="BP22" s="2340">
        <v>97177.257926325867</v>
      </c>
      <c r="BQ22" s="2340">
        <v>97256.713411645585</v>
      </c>
      <c r="BR22" s="2340">
        <v>97334.669610913508</v>
      </c>
      <c r="BS22" s="2340">
        <v>97326.964293152123</v>
      </c>
      <c r="BT22" s="2340">
        <v>97386.746234809805</v>
      </c>
      <c r="BU22" s="2340">
        <v>97432.895320271855</v>
      </c>
      <c r="BV22" s="2340">
        <v>97523.062212653691</v>
      </c>
      <c r="BW22" s="2340">
        <v>97608.195182841548</v>
      </c>
      <c r="BX22" s="2340">
        <v>97704.144726860119</v>
      </c>
      <c r="BY22" s="2340">
        <v>97786.394164334139</v>
      </c>
      <c r="BZ22" s="2340">
        <v>97994.501797333636</v>
      </c>
      <c r="CA22" s="2340">
        <v>98184.547554422257</v>
      </c>
      <c r="CB22" s="2340">
        <v>98257.913484028584</v>
      </c>
      <c r="CC22" s="2340">
        <v>98332.029155159689</v>
      </c>
      <c r="CD22" s="2340">
        <v>98422.073633616703</v>
      </c>
      <c r="CE22" s="2340">
        <v>98497.950813869378</v>
      </c>
      <c r="CF22" s="2340">
        <v>98571.658593964647</v>
      </c>
      <c r="CG22" s="2340">
        <v>98682.353697872924</v>
      </c>
      <c r="CH22" s="2340">
        <v>98722.803549827237</v>
      </c>
      <c r="CI22" s="2340">
        <v>98805.048584421689</v>
      </c>
      <c r="CJ22" s="2340">
        <v>98853.00028587319</v>
      </c>
      <c r="CK22" s="2340">
        <v>98909.722360043161</v>
      </c>
      <c r="CL22" s="2340">
        <v>98993.042050125892</v>
      </c>
      <c r="CM22" s="2340">
        <v>99034.596846756496</v>
      </c>
      <c r="CN22" s="2340">
        <v>99084.784248557466</v>
      </c>
      <c r="CO22" s="2340">
        <v>99112.802453533252</v>
      </c>
      <c r="CP22" s="2340">
        <v>99164.151050931468</v>
      </c>
      <c r="CQ22" s="2340">
        <v>99213.911139511285</v>
      </c>
      <c r="CR22" s="2340">
        <v>99235.225506980802</v>
      </c>
      <c r="CS22" s="2340">
        <v>99279.29115107088</v>
      </c>
      <c r="CT22" s="2340">
        <v>99305.769832342194</v>
      </c>
      <c r="CU22" s="2340">
        <v>99327.494789612858</v>
      </c>
      <c r="CV22" s="2340">
        <v>99324.206564370601</v>
      </c>
      <c r="CW22" s="2340">
        <v>99359.072469173814</v>
      </c>
      <c r="CX22" s="2340">
        <v>99384.69503054583</v>
      </c>
      <c r="CY22" s="2340">
        <v>99400.111237126199</v>
      </c>
      <c r="CZ22" s="2340">
        <v>99385.726007863472</v>
      </c>
      <c r="DA22" s="2340">
        <v>99386.714155494643</v>
      </c>
      <c r="DB22" s="2340">
        <v>99402.994313142248</v>
      </c>
      <c r="DC22" s="2340">
        <v>99433.742298717072</v>
      </c>
      <c r="DD22" s="2340">
        <v>99432.332928027055</v>
      </c>
      <c r="DE22" s="2340">
        <v>99449.5651912537</v>
      </c>
      <c r="DF22" s="2340">
        <v>99499.107868419393</v>
      </c>
      <c r="DG22" s="2340">
        <v>99480.331323128048</v>
      </c>
      <c r="DH22" s="2340">
        <v>99500.826641621097</v>
      </c>
      <c r="DI22" s="2340">
        <v>99481.498927773588</v>
      </c>
      <c r="DJ22" s="2340">
        <v>99504.276742359958</v>
      </c>
      <c r="DK22" s="2340">
        <v>99525.432589918302</v>
      </c>
      <c r="DL22" s="2340">
        <v>99528.18397348134</v>
      </c>
      <c r="DM22" s="2340">
        <v>99511.617996108616</v>
      </c>
      <c r="DN22" s="2340">
        <v>99516.305214931723</v>
      </c>
      <c r="DO22" s="2340">
        <v>99534.80619743545</v>
      </c>
      <c r="DP22" s="2340">
        <v>99559.020521177983</v>
      </c>
      <c r="DQ22" s="2340">
        <v>99560.558540607642</v>
      </c>
      <c r="DR22" s="2340">
        <v>99562.779916525295</v>
      </c>
      <c r="DS22" s="2340">
        <v>99576.808783484128</v>
      </c>
      <c r="DT22" s="2340">
        <v>99592.959232769383</v>
      </c>
      <c r="DU22" s="2340">
        <v>99608.5022195497</v>
      </c>
    </row>
    <row r="23" spans="1:125" ht="12.75">
      <c r="A23" s="135">
        <v>21</v>
      </c>
      <c r="W23" s="136">
        <v>82791</v>
      </c>
      <c r="X23" s="136">
        <v>83511</v>
      </c>
      <c r="Y23" s="2340">
        <v>83497.52697157934</v>
      </c>
      <c r="Z23" s="2340">
        <v>85404.224528335399</v>
      </c>
      <c r="AA23" s="2340">
        <v>85617.721092173611</v>
      </c>
      <c r="AB23" s="2340">
        <v>86080.230409853481</v>
      </c>
      <c r="AC23" s="2340">
        <v>86805.072884703084</v>
      </c>
      <c r="AD23" s="2340">
        <v>87599.35747742634</v>
      </c>
      <c r="AE23" s="2340">
        <v>87512.691841552805</v>
      </c>
      <c r="AF23" s="2340">
        <v>88572.217853314432</v>
      </c>
      <c r="AG23" s="2340">
        <v>89024.006991438553</v>
      </c>
      <c r="AH23" s="2340">
        <v>89176.863959665003</v>
      </c>
      <c r="AI23" s="2340">
        <v>89559.190315301559</v>
      </c>
      <c r="AJ23" s="2340">
        <v>90743.734041713557</v>
      </c>
      <c r="AK23" s="2340">
        <v>90723.542515469191</v>
      </c>
      <c r="AL23" s="2340">
        <v>91019.070390917346</v>
      </c>
      <c r="AM23" s="2340">
        <v>91277.264772848255</v>
      </c>
      <c r="AN23" s="2340">
        <v>91756.085770839709</v>
      </c>
      <c r="AO23" s="2340">
        <v>91769.69127418971</v>
      </c>
      <c r="AP23" s="2340">
        <v>91873.142943303843</v>
      </c>
      <c r="AQ23" s="2340">
        <v>91934.259584644504</v>
      </c>
      <c r="AR23" s="2340">
        <v>91957.552936683263</v>
      </c>
      <c r="AS23" s="2340">
        <v>91428.745121103042</v>
      </c>
      <c r="AT23" s="2340">
        <v>90756.901840611143</v>
      </c>
      <c r="AU23" s="2340">
        <v>89641.021517511035</v>
      </c>
      <c r="AV23" s="2340">
        <v>89835.797178197929</v>
      </c>
      <c r="AW23" s="2340">
        <v>90117.968635316152</v>
      </c>
      <c r="AX23" s="2340">
        <v>92099.596794776415</v>
      </c>
      <c r="AY23" s="2340">
        <v>93714.698167190174</v>
      </c>
      <c r="AZ23" s="2340">
        <v>93772.519207540667</v>
      </c>
      <c r="BA23" s="2340">
        <v>93810.098259515566</v>
      </c>
      <c r="BB23" s="2340">
        <v>94374.280109918414</v>
      </c>
      <c r="BC23" s="2340">
        <v>94630.202029372638</v>
      </c>
      <c r="BD23" s="2340">
        <v>94918.897832601288</v>
      </c>
      <c r="BE23" s="2340">
        <v>95004.383709084621</v>
      </c>
      <c r="BF23" s="2340">
        <v>95314.399968797414</v>
      </c>
      <c r="BG23" s="2340">
        <v>95472.900543804863</v>
      </c>
      <c r="BH23" s="2340">
        <v>95637.895035880952</v>
      </c>
      <c r="BI23" s="2340">
        <v>95734.335775027212</v>
      </c>
      <c r="BJ23" s="2340">
        <v>95930.699335859972</v>
      </c>
      <c r="BK23" s="2340">
        <v>96174.248636042874</v>
      </c>
      <c r="BL23" s="2340">
        <v>96435.054476762307</v>
      </c>
      <c r="BM23" s="2340">
        <v>96626.512769852197</v>
      </c>
      <c r="BN23" s="2340">
        <v>96841.722750342116</v>
      </c>
      <c r="BO23" s="2340">
        <v>97006.785104790557</v>
      </c>
      <c r="BP23" s="2340">
        <v>97138.631257926347</v>
      </c>
      <c r="BQ23" s="2340">
        <v>97218.659051170267</v>
      </c>
      <c r="BR23" s="2340">
        <v>97298.258005330863</v>
      </c>
      <c r="BS23" s="2340">
        <v>97285.112135094532</v>
      </c>
      <c r="BT23" s="2340">
        <v>97346.986823911764</v>
      </c>
      <c r="BU23" s="2340">
        <v>97394.048264940022</v>
      </c>
      <c r="BV23" s="2340">
        <v>97490.839076332311</v>
      </c>
      <c r="BW23" s="2340">
        <v>97568.170921559897</v>
      </c>
      <c r="BX23" s="2340">
        <v>97674.180578588028</v>
      </c>
      <c r="BY23" s="2340">
        <v>97745.23003521662</v>
      </c>
      <c r="BZ23" s="2340">
        <v>97959.647506265042</v>
      </c>
      <c r="CA23" s="2340">
        <v>98147.659201107264</v>
      </c>
      <c r="CB23" s="2340">
        <v>98226.938299904767</v>
      </c>
      <c r="CC23" s="2340">
        <v>98301.824507657118</v>
      </c>
      <c r="CD23" s="2340">
        <v>98384.808237970254</v>
      </c>
      <c r="CE23" s="2340">
        <v>98465.232919355491</v>
      </c>
      <c r="CF23" s="2340">
        <v>98541.95543140627</v>
      </c>
      <c r="CG23" s="2340">
        <v>98650.004113573814</v>
      </c>
      <c r="CH23" s="2340">
        <v>98694.870806111023</v>
      </c>
      <c r="CI23" s="2340">
        <v>98785.323080611663</v>
      </c>
      <c r="CJ23" s="2340">
        <v>98830.718391359071</v>
      </c>
      <c r="CK23" s="2340">
        <v>98888.490174868639</v>
      </c>
      <c r="CL23" s="2340">
        <v>98972.210106525104</v>
      </c>
      <c r="CM23" s="2340">
        <v>99012.777406081368</v>
      </c>
      <c r="CN23" s="2340">
        <v>99062.229576047743</v>
      </c>
      <c r="CO23" s="2340">
        <v>99093.449276699263</v>
      </c>
      <c r="CP23" s="2340">
        <v>99149.436376194877</v>
      </c>
      <c r="CQ23" s="2340">
        <v>99194.299357763884</v>
      </c>
      <c r="CR23" s="2340">
        <v>99216.159554829399</v>
      </c>
      <c r="CS23" s="2340">
        <v>99259.369319996418</v>
      </c>
      <c r="CT23" s="2340">
        <v>99287.519310340474</v>
      </c>
      <c r="CU23" s="2340">
        <v>99309.431742662142</v>
      </c>
      <c r="CV23" s="2340">
        <v>99306.845555858352</v>
      </c>
      <c r="CW23" s="2340">
        <v>99343.279718728518</v>
      </c>
      <c r="CX23" s="2340">
        <v>99368.648089262788</v>
      </c>
      <c r="CY23" s="2340">
        <v>99381.763693463217</v>
      </c>
      <c r="CZ23" s="2340">
        <v>99366.88956550711</v>
      </c>
      <c r="DA23" s="2340">
        <v>99368.433760158674</v>
      </c>
      <c r="DB23" s="2340">
        <v>99385.250820828136</v>
      </c>
      <c r="DC23" s="2340">
        <v>99416.517434560068</v>
      </c>
      <c r="DD23" s="2340">
        <v>99415.616940646214</v>
      </c>
      <c r="DE23" s="2340">
        <v>99433.34000544787</v>
      </c>
      <c r="DF23" s="2340">
        <v>99483.353958356442</v>
      </c>
      <c r="DG23" s="2340">
        <v>99465.045501661938</v>
      </c>
      <c r="DH23" s="2340">
        <v>99485.989144987558</v>
      </c>
      <c r="DI23" s="2340">
        <v>99467.102370487133</v>
      </c>
      <c r="DJ23" s="2340">
        <v>99490.302107745403</v>
      </c>
      <c r="DK23" s="2340">
        <v>99511.867734384214</v>
      </c>
      <c r="DL23" s="2340">
        <v>99515.01931601559</v>
      </c>
      <c r="DM23" s="2340">
        <v>99498.862543447671</v>
      </c>
      <c r="DN23" s="2340">
        <v>99503.943607857873</v>
      </c>
      <c r="DO23" s="2340">
        <v>99522.824612501499</v>
      </c>
      <c r="DP23" s="2340">
        <v>99547.406609613448</v>
      </c>
      <c r="DQ23" s="2340">
        <v>99549.303583928559</v>
      </c>
      <c r="DR23" s="2340">
        <v>99551.872745538465</v>
      </c>
      <c r="DS23" s="2340">
        <v>99566.23739786401</v>
      </c>
      <c r="DT23" s="2340">
        <v>99582.713077048145</v>
      </c>
      <c r="DU23" s="2340">
        <v>99598.571348816535</v>
      </c>
    </row>
    <row r="24" spans="1:125" ht="12.75">
      <c r="A24" s="135">
        <v>22</v>
      </c>
      <c r="W24" s="136">
        <v>82611</v>
      </c>
      <c r="X24" s="136">
        <v>83310</v>
      </c>
      <c r="Y24" s="2340">
        <v>83269.988474272875</v>
      </c>
      <c r="Z24" s="2340">
        <v>85069.086956608779</v>
      </c>
      <c r="AA24" s="2340">
        <v>85408.813852708714</v>
      </c>
      <c r="AB24" s="2340">
        <v>85870.194647653436</v>
      </c>
      <c r="AC24" s="2340">
        <v>86648.728093368423</v>
      </c>
      <c r="AD24" s="2340">
        <v>87491.610267729106</v>
      </c>
      <c r="AE24" s="2340">
        <v>87405.051230587691</v>
      </c>
      <c r="AF24" s="2340">
        <v>88463.274025354855</v>
      </c>
      <c r="AG24" s="2340">
        <v>88940.990094710578</v>
      </c>
      <c r="AH24" s="2340">
        <v>89100.340766363282</v>
      </c>
      <c r="AI24" s="2340">
        <v>89487.82134236522</v>
      </c>
      <c r="AJ24" s="2340">
        <v>90675.909203411997</v>
      </c>
      <c r="AK24" s="2340">
        <v>90659.061907197145</v>
      </c>
      <c r="AL24" s="2340">
        <v>90961.793083818848</v>
      </c>
      <c r="AM24" s="2340">
        <v>91218.053479327573</v>
      </c>
      <c r="AN24" s="2340">
        <v>91699.521767201702</v>
      </c>
      <c r="AO24" s="2340">
        <v>91716.683207324531</v>
      </c>
      <c r="AP24" s="2340">
        <v>91807.444144713474</v>
      </c>
      <c r="AQ24" s="2340">
        <v>91882.297060182667</v>
      </c>
      <c r="AR24" s="2340">
        <v>91901.388393633082</v>
      </c>
      <c r="AS24" s="2340">
        <v>91377.476330826714</v>
      </c>
      <c r="AT24" s="2340">
        <v>90709.269466022655</v>
      </c>
      <c r="AU24" s="2340">
        <v>89589.11799497476</v>
      </c>
      <c r="AV24" s="2340">
        <v>89782.277342570742</v>
      </c>
      <c r="AW24" s="2340">
        <v>90068.449717860669</v>
      </c>
      <c r="AX24" s="2340">
        <v>92044.824904519279</v>
      </c>
      <c r="AY24" s="2340">
        <v>93658.437939373718</v>
      </c>
      <c r="AZ24" s="2340">
        <v>93717.466322075357</v>
      </c>
      <c r="BA24" s="2340">
        <v>93752.372157343329</v>
      </c>
      <c r="BB24" s="2340">
        <v>94320.835528798605</v>
      </c>
      <c r="BC24" s="2340">
        <v>94577.673191128415</v>
      </c>
      <c r="BD24" s="2340">
        <v>94868.795733904728</v>
      </c>
      <c r="BE24" s="2340">
        <v>94944.768645369099</v>
      </c>
      <c r="BF24" s="2340">
        <v>95266.111071415435</v>
      </c>
      <c r="BG24" s="2340">
        <v>95425.212099055134</v>
      </c>
      <c r="BH24" s="2340">
        <v>95591.296724878863</v>
      </c>
      <c r="BI24" s="2340">
        <v>95685.779778051103</v>
      </c>
      <c r="BJ24" s="2340">
        <v>95882.497644885021</v>
      </c>
      <c r="BK24" s="2340">
        <v>96132.273994248229</v>
      </c>
      <c r="BL24" s="2340">
        <v>96392.301898714897</v>
      </c>
      <c r="BM24" s="2340">
        <v>96586.875017744562</v>
      </c>
      <c r="BN24" s="2340">
        <v>96800.158528318643</v>
      </c>
      <c r="BO24" s="2340">
        <v>96971.03937040313</v>
      </c>
      <c r="BP24" s="2340">
        <v>97101.055123108017</v>
      </c>
      <c r="BQ24" s="2340">
        <v>97183.841066096444</v>
      </c>
      <c r="BR24" s="2340">
        <v>97265.109917717215</v>
      </c>
      <c r="BS24" s="2340">
        <v>97245.916855877818</v>
      </c>
      <c r="BT24" s="2340">
        <v>97311.70421200362</v>
      </c>
      <c r="BU24" s="2340">
        <v>97360.592422206857</v>
      </c>
      <c r="BV24" s="2340">
        <v>97463.074297903382</v>
      </c>
      <c r="BW24" s="2340">
        <v>97533.545090920292</v>
      </c>
      <c r="BX24" s="2340">
        <v>97637.47642092513</v>
      </c>
      <c r="BY24" s="2340">
        <v>97713.607790603768</v>
      </c>
      <c r="BZ24" s="2340">
        <v>97930.47438217813</v>
      </c>
      <c r="CA24" s="2340">
        <v>98115.513793379403</v>
      </c>
      <c r="CB24" s="2340">
        <v>98193.781275657355</v>
      </c>
      <c r="CC24" s="2340">
        <v>98273.406130361953</v>
      </c>
      <c r="CD24" s="2340">
        <v>98357.620952146361</v>
      </c>
      <c r="CE24" s="2340">
        <v>98441.870618487897</v>
      </c>
      <c r="CF24" s="2340">
        <v>98518.616567428457</v>
      </c>
      <c r="CG24" s="2340">
        <v>98625.431580569566</v>
      </c>
      <c r="CH24" s="2340">
        <v>98674.717425407318</v>
      </c>
      <c r="CI24" s="2340">
        <v>98763.484115978179</v>
      </c>
      <c r="CJ24" s="2340">
        <v>98811.338424447007</v>
      </c>
      <c r="CK24" s="2340">
        <v>98865.998033158816</v>
      </c>
      <c r="CL24" s="2340">
        <v>98952.166350241256</v>
      </c>
      <c r="CM24" s="2340">
        <v>98990.616261039162</v>
      </c>
      <c r="CN24" s="2340">
        <v>99043.527885852207</v>
      </c>
      <c r="CO24" s="2340">
        <v>99073.996236146864</v>
      </c>
      <c r="CP24" s="2340">
        <v>99132.46498300026</v>
      </c>
      <c r="CQ24" s="2340">
        <v>99176.544341118919</v>
      </c>
      <c r="CR24" s="2340">
        <v>99200.530534364603</v>
      </c>
      <c r="CS24" s="2340">
        <v>99242.314140288305</v>
      </c>
      <c r="CT24" s="2340">
        <v>99269.677507076281</v>
      </c>
      <c r="CU24" s="2340">
        <v>99293.0735373895</v>
      </c>
      <c r="CV24" s="2340">
        <v>99289.548217359159</v>
      </c>
      <c r="CW24" s="2340">
        <v>99327.184167663479</v>
      </c>
      <c r="CX24" s="2340">
        <v>99350.413915746904</v>
      </c>
      <c r="CY24" s="2340">
        <v>99363.362671416617</v>
      </c>
      <c r="CZ24" s="2340">
        <v>99349.025357814826</v>
      </c>
      <c r="DA24" s="2340">
        <v>99351.087840675333</v>
      </c>
      <c r="DB24" s="2340">
        <v>99368.405563970169</v>
      </c>
      <c r="DC24" s="2340">
        <v>99400.156011930521</v>
      </c>
      <c r="DD24" s="2340">
        <v>99399.7305972092</v>
      </c>
      <c r="DE24" s="2340">
        <v>99417.912056938789</v>
      </c>
      <c r="DF24" s="2340">
        <v>99468.366313647421</v>
      </c>
      <c r="DG24" s="2340">
        <v>99450.495592756968</v>
      </c>
      <c r="DH24" s="2340">
        <v>99471.858612471202</v>
      </c>
      <c r="DI24" s="2340">
        <v>99453.384620266006</v>
      </c>
      <c r="DJ24" s="2340">
        <v>99476.979446299927</v>
      </c>
      <c r="DK24" s="2340">
        <v>99498.928995825627</v>
      </c>
      <c r="DL24" s="2340">
        <v>99502.472937148574</v>
      </c>
      <c r="DM24" s="2340">
        <v>99486.698986617426</v>
      </c>
      <c r="DN24" s="2340">
        <v>99492.148675021352</v>
      </c>
      <c r="DO24" s="2340">
        <v>99511.385546160964</v>
      </c>
      <c r="DP24" s="2340">
        <v>99536.31203789619</v>
      </c>
      <c r="DQ24" s="2340">
        <v>99538.545584323598</v>
      </c>
      <c r="DR24" s="2340">
        <v>99541.441037143784</v>
      </c>
      <c r="DS24" s="2340">
        <v>99556.12088575025</v>
      </c>
      <c r="DT24" s="2340">
        <v>99572.902029715333</v>
      </c>
      <c r="DU24" s="2340">
        <v>99589.056602097291</v>
      </c>
    </row>
    <row r="25" spans="1:125" ht="12.75">
      <c r="A25" s="135">
        <v>23</v>
      </c>
      <c r="W25" s="136">
        <v>82411</v>
      </c>
      <c r="X25" s="136">
        <v>83081</v>
      </c>
      <c r="Y25" s="2340">
        <v>82940.60164542649</v>
      </c>
      <c r="Z25" s="2340">
        <v>84857.264930086822</v>
      </c>
      <c r="AA25" s="2340">
        <v>85196.145906215475</v>
      </c>
      <c r="AB25" s="2340">
        <v>85698.625827178606</v>
      </c>
      <c r="AC25" s="2340">
        <v>86538.68420868984</v>
      </c>
      <c r="AD25" s="2340">
        <v>87380.495922689093</v>
      </c>
      <c r="AE25" s="2340">
        <v>87294.046815524838</v>
      </c>
      <c r="AF25" s="2340">
        <v>88380.457358033804</v>
      </c>
      <c r="AG25" s="2340">
        <v>88860.473810821393</v>
      </c>
      <c r="AH25" s="2340">
        <v>89031.641089167417</v>
      </c>
      <c r="AI25" s="2340">
        <v>89420.151840183738</v>
      </c>
      <c r="AJ25" s="2340">
        <v>90610.253071402258</v>
      </c>
      <c r="AK25" s="2340">
        <v>90587.365412418018</v>
      </c>
      <c r="AL25" s="2340">
        <v>90901.924515854917</v>
      </c>
      <c r="AM25" s="2340">
        <v>91156.198244566898</v>
      </c>
      <c r="AN25" s="2340">
        <v>91639.322560597633</v>
      </c>
      <c r="AO25" s="2340">
        <v>91663.75666183095</v>
      </c>
      <c r="AP25" s="2340">
        <v>91747.364691626033</v>
      </c>
      <c r="AQ25" s="2340">
        <v>91831.92307674684</v>
      </c>
      <c r="AR25" s="2340">
        <v>91844.256466565275</v>
      </c>
      <c r="AS25" s="2340">
        <v>91324.646775536588</v>
      </c>
      <c r="AT25" s="2340">
        <v>90651.479702993311</v>
      </c>
      <c r="AU25" s="2340">
        <v>89539.852634884941</v>
      </c>
      <c r="AV25" s="2340">
        <v>89722.779929527373</v>
      </c>
      <c r="AW25" s="2340">
        <v>90018.334224608305</v>
      </c>
      <c r="AX25" s="2340">
        <v>91992.472119920509</v>
      </c>
      <c r="AY25" s="2340">
        <v>93599.793931629014</v>
      </c>
      <c r="AZ25" s="2340">
        <v>93665.645271382731</v>
      </c>
      <c r="BA25" s="2340">
        <v>93704.341308801857</v>
      </c>
      <c r="BB25" s="2340">
        <v>94265.421599659414</v>
      </c>
      <c r="BC25" s="2340">
        <v>94526.829250899667</v>
      </c>
      <c r="BD25" s="2340">
        <v>94816.832554131644</v>
      </c>
      <c r="BE25" s="2340">
        <v>94893.712004246801</v>
      </c>
      <c r="BF25" s="2340">
        <v>95210.990993170941</v>
      </c>
      <c r="BG25" s="2340">
        <v>95380.090053999098</v>
      </c>
      <c r="BH25" s="2340">
        <v>95542.141391587022</v>
      </c>
      <c r="BI25" s="2340">
        <v>95643.324065952664</v>
      </c>
      <c r="BJ25" s="2340">
        <v>95839.673857743721</v>
      </c>
      <c r="BK25" s="2340">
        <v>96087.747689166528</v>
      </c>
      <c r="BL25" s="2340">
        <v>96351.358008954485</v>
      </c>
      <c r="BM25" s="2340">
        <v>96549.371744390563</v>
      </c>
      <c r="BN25" s="2340">
        <v>96766.156859236813</v>
      </c>
      <c r="BO25" s="2340">
        <v>96934.959705987101</v>
      </c>
      <c r="BP25" s="2340">
        <v>97065.099914219143</v>
      </c>
      <c r="BQ25" s="2340">
        <v>97146.499871691965</v>
      </c>
      <c r="BR25" s="2340">
        <v>97227.982843159232</v>
      </c>
      <c r="BS25" s="2340">
        <v>97213.502232316896</v>
      </c>
      <c r="BT25" s="2340">
        <v>97274.985900587912</v>
      </c>
      <c r="BU25" s="2340">
        <v>97323.280613110983</v>
      </c>
      <c r="BV25" s="2340">
        <v>97433.473138983041</v>
      </c>
      <c r="BW25" s="2340">
        <v>97501.02352960936</v>
      </c>
      <c r="BX25" s="2340">
        <v>97604.913322037537</v>
      </c>
      <c r="BY25" s="2340">
        <v>97683.537474241748</v>
      </c>
      <c r="BZ25" s="2340">
        <v>97903.662861863602</v>
      </c>
      <c r="CA25" s="2340">
        <v>98085.38839350795</v>
      </c>
      <c r="CB25" s="2340">
        <v>98169.209454490876</v>
      </c>
      <c r="CC25" s="2340">
        <v>98246.576010360077</v>
      </c>
      <c r="CD25" s="2340">
        <v>98333.073599340583</v>
      </c>
      <c r="CE25" s="2340">
        <v>98412.960459663955</v>
      </c>
      <c r="CF25" s="2340">
        <v>98495.964587847615</v>
      </c>
      <c r="CG25" s="2340">
        <v>98600.325927445185</v>
      </c>
      <c r="CH25" s="2340">
        <v>98649.729586782312</v>
      </c>
      <c r="CI25" s="2340">
        <v>98741.216632506257</v>
      </c>
      <c r="CJ25" s="2340">
        <v>98791.060282889186</v>
      </c>
      <c r="CK25" s="2340">
        <v>98841.843854102655</v>
      </c>
      <c r="CL25" s="2340">
        <v>98931.553696584553</v>
      </c>
      <c r="CM25" s="2340">
        <v>98965.423875485751</v>
      </c>
      <c r="CN25" s="2340">
        <v>99026.573056041103</v>
      </c>
      <c r="CO25" s="2340">
        <v>99056.68814741919</v>
      </c>
      <c r="CP25" s="2340">
        <v>99118.3604167788</v>
      </c>
      <c r="CQ25" s="2340">
        <v>99156.340146794886</v>
      </c>
      <c r="CR25" s="2340">
        <v>99185.232183977263</v>
      </c>
      <c r="CS25" s="2340">
        <v>99226.758582022478</v>
      </c>
      <c r="CT25" s="2340">
        <v>99254.19138688696</v>
      </c>
      <c r="CU25" s="2340">
        <v>99274.074116271222</v>
      </c>
      <c r="CV25" s="2340">
        <v>99273.768469264702</v>
      </c>
      <c r="CW25" s="2340">
        <v>99308.902182189529</v>
      </c>
      <c r="CX25" s="2340">
        <v>99332.655634389303</v>
      </c>
      <c r="CY25" s="2340">
        <v>99346.108681240061</v>
      </c>
      <c r="CZ25" s="2340">
        <v>99332.265941434234</v>
      </c>
      <c r="DA25" s="2340">
        <v>99334.806134204104</v>
      </c>
      <c r="DB25" s="2340">
        <v>99352.58552206085</v>
      </c>
      <c r="DC25" s="2340">
        <v>99384.782312409152</v>
      </c>
      <c r="DD25" s="2340">
        <v>99384.7954831385</v>
      </c>
      <c r="DE25" s="2340">
        <v>99403.400300229652</v>
      </c>
      <c r="DF25" s="2340">
        <v>99454.261337696109</v>
      </c>
      <c r="DG25" s="2340">
        <v>99436.795410939158</v>
      </c>
      <c r="DH25" s="2340">
        <v>99458.546357534622</v>
      </c>
      <c r="DI25" s="2340">
        <v>99440.454487770374</v>
      </c>
      <c r="DJ25" s="2340">
        <v>99464.415154582035</v>
      </c>
      <c r="DK25" s="2340">
        <v>99486.736229724891</v>
      </c>
      <c r="DL25" s="2340">
        <v>99490.642899520404</v>
      </c>
      <c r="DM25" s="2340">
        <v>99475.223114826877</v>
      </c>
      <c r="DN25" s="2340">
        <v>99481.013991138345</v>
      </c>
      <c r="DO25" s="2340">
        <v>99500.580409358314</v>
      </c>
      <c r="DP25" s="2340">
        <v>99525.826095753437</v>
      </c>
      <c r="DQ25" s="2340">
        <v>99528.37172759707</v>
      </c>
      <c r="DR25" s="2340">
        <v>99531.569911830185</v>
      </c>
      <c r="DS25" s="2340">
        <v>99546.542350032047</v>
      </c>
      <c r="DT25" s="2340">
        <v>99563.607215009892</v>
      </c>
      <c r="DU25" s="2340">
        <v>99580.037161449131</v>
      </c>
    </row>
    <row r="26" spans="1:125" ht="12.75">
      <c r="A26" s="135">
        <v>24</v>
      </c>
      <c r="W26" s="136">
        <v>82179</v>
      </c>
      <c r="X26" s="136">
        <v>82745</v>
      </c>
      <c r="Y26" s="2340">
        <v>82726.614893181293</v>
      </c>
      <c r="Z26" s="2340">
        <v>84638.333186567193</v>
      </c>
      <c r="AA26" s="2340">
        <v>85019.771231542327</v>
      </c>
      <c r="AB26" s="2340">
        <v>85587.217613603279</v>
      </c>
      <c r="AC26" s="2340">
        <v>86426.183919218543</v>
      </c>
      <c r="AD26" s="2340">
        <v>87266.9012779896</v>
      </c>
      <c r="AE26" s="2340">
        <v>87202.046336665313</v>
      </c>
      <c r="AF26" s="2340">
        <v>88298.881725622647</v>
      </c>
      <c r="AG26" s="2340">
        <v>88781.21776348546</v>
      </c>
      <c r="AH26" s="2340">
        <v>88953.396770674663</v>
      </c>
      <c r="AI26" s="2340">
        <v>89350.62912098247</v>
      </c>
      <c r="AJ26" s="2340">
        <v>90543.009350129447</v>
      </c>
      <c r="AK26" s="2340">
        <v>90521.764604936106</v>
      </c>
      <c r="AL26" s="2340">
        <v>90839.879238776484</v>
      </c>
      <c r="AM26" s="2340">
        <v>91091.572190072096</v>
      </c>
      <c r="AN26" s="2340">
        <v>91574.110474157904</v>
      </c>
      <c r="AO26" s="2340">
        <v>91607.797647226602</v>
      </c>
      <c r="AP26" s="2340">
        <v>91692.485632549986</v>
      </c>
      <c r="AQ26" s="2340">
        <v>91776.653197869193</v>
      </c>
      <c r="AR26" s="2340">
        <v>91789.933035583424</v>
      </c>
      <c r="AS26" s="2340">
        <v>91272.585257035564</v>
      </c>
      <c r="AT26" s="2340">
        <v>90597.749222279686</v>
      </c>
      <c r="AU26" s="2340">
        <v>89488.641512432485</v>
      </c>
      <c r="AV26" s="2340">
        <v>89669.68873549586</v>
      </c>
      <c r="AW26" s="2340">
        <v>89962.546957488448</v>
      </c>
      <c r="AX26" s="2340">
        <v>91937.18198767901</v>
      </c>
      <c r="AY26" s="2340">
        <v>93538.391765476452</v>
      </c>
      <c r="AZ26" s="2340">
        <v>93612.62574316957</v>
      </c>
      <c r="BA26" s="2340">
        <v>93653.359422343463</v>
      </c>
      <c r="BB26" s="2340">
        <v>94209.892652886789</v>
      </c>
      <c r="BC26" s="2340">
        <v>94478.215284978578</v>
      </c>
      <c r="BD26" s="2340">
        <v>94763.762672881625</v>
      </c>
      <c r="BE26" s="2340">
        <v>94841.776862012426</v>
      </c>
      <c r="BF26" s="2340">
        <v>95162.955746163731</v>
      </c>
      <c r="BG26" s="2340">
        <v>95332.350185719217</v>
      </c>
      <c r="BH26" s="2340">
        <v>95496.921031809907</v>
      </c>
      <c r="BI26" s="2340">
        <v>95598.518828125045</v>
      </c>
      <c r="BJ26" s="2340">
        <v>95799.116347256844</v>
      </c>
      <c r="BK26" s="2340">
        <v>96046.075400041023</v>
      </c>
      <c r="BL26" s="2340">
        <v>96314.849838354945</v>
      </c>
      <c r="BM26" s="2340">
        <v>96515.209957528597</v>
      </c>
      <c r="BN26" s="2340">
        <v>96729.317013679509</v>
      </c>
      <c r="BO26" s="2340">
        <v>96896.371269393363</v>
      </c>
      <c r="BP26" s="2340">
        <v>97026.131193273701</v>
      </c>
      <c r="BQ26" s="2340">
        <v>97107.589663338091</v>
      </c>
      <c r="BR26" s="2340">
        <v>97193.068858238446</v>
      </c>
      <c r="BS26" s="2340">
        <v>97180.638125982136</v>
      </c>
      <c r="BT26" s="2340">
        <v>97242.5359239565</v>
      </c>
      <c r="BU26" s="2340">
        <v>97294.968281766385</v>
      </c>
      <c r="BV26" s="2340">
        <v>97400.700526610264</v>
      </c>
      <c r="BW26" s="2340">
        <v>97473.510583230527</v>
      </c>
      <c r="BX26" s="2340">
        <v>97577.794795077309</v>
      </c>
      <c r="BY26" s="2340">
        <v>97659.689009801805</v>
      </c>
      <c r="BZ26" s="2340">
        <v>97873.670899052086</v>
      </c>
      <c r="CA26" s="2340">
        <v>98054.408889478975</v>
      </c>
      <c r="CB26" s="2340">
        <v>98144.655075109127</v>
      </c>
      <c r="CC26" s="2340">
        <v>98219.750963755738</v>
      </c>
      <c r="CD26" s="2340">
        <v>98306.653941227327</v>
      </c>
      <c r="CE26" s="2340">
        <v>98389.377626745423</v>
      </c>
      <c r="CF26" s="2340">
        <v>98470.163771987718</v>
      </c>
      <c r="CG26" s="2340">
        <v>98575.859944773067</v>
      </c>
      <c r="CH26" s="2340">
        <v>98625.780170169339</v>
      </c>
      <c r="CI26" s="2340">
        <v>98721.572066511566</v>
      </c>
      <c r="CJ26" s="2340">
        <v>98766.631942060849</v>
      </c>
      <c r="CK26" s="2340">
        <v>98818.140934680836</v>
      </c>
      <c r="CL26" s="2340">
        <v>98911.438062745845</v>
      </c>
      <c r="CM26" s="2340">
        <v>98945.386477580483</v>
      </c>
      <c r="CN26" s="2340">
        <v>99003.324735269402</v>
      </c>
      <c r="CO26" s="2340">
        <v>99033.692095194929</v>
      </c>
      <c r="CP26" s="2340">
        <v>99097.168107857244</v>
      </c>
      <c r="CQ26" s="2340">
        <v>99139.4703966917</v>
      </c>
      <c r="CR26" s="2340">
        <v>99166.407045439119</v>
      </c>
      <c r="CS26" s="2340">
        <v>99213.115383071752</v>
      </c>
      <c r="CT26" s="2340">
        <v>99237.202077797207</v>
      </c>
      <c r="CU26" s="2340">
        <v>99255.721183142348</v>
      </c>
      <c r="CV26" s="2340">
        <v>99256.339719352676</v>
      </c>
      <c r="CW26" s="2340">
        <v>99291.695122854842</v>
      </c>
      <c r="CX26" s="2340">
        <v>99315.926746507583</v>
      </c>
      <c r="CY26" s="2340">
        <v>99329.846363820252</v>
      </c>
      <c r="CZ26" s="2340">
        <v>99316.461525005507</v>
      </c>
      <c r="DA26" s="2340">
        <v>99319.444192274459</v>
      </c>
      <c r="DB26" s="2340">
        <v>99337.65137605663</v>
      </c>
      <c r="DC26" s="2340">
        <v>99370.261943210833</v>
      </c>
      <c r="DD26" s="2340">
        <v>99370.68199816026</v>
      </c>
      <c r="DE26" s="2340">
        <v>99389.679731728364</v>
      </c>
      <c r="DF26" s="2340">
        <v>99440.918419888287</v>
      </c>
      <c r="DG26" s="2340">
        <v>99423.82866256882</v>
      </c>
      <c r="DH26" s="2340">
        <v>99445.940203202088</v>
      </c>
      <c r="DI26" s="2340">
        <v>99428.203808734761</v>
      </c>
      <c r="DJ26" s="2340">
        <v>99452.519431794339</v>
      </c>
      <c r="DK26" s="2340">
        <v>99475.185369570114</v>
      </c>
      <c r="DL26" s="2340">
        <v>99479.42898038069</v>
      </c>
      <c r="DM26" s="2340">
        <v>99464.33842280152</v>
      </c>
      <c r="DN26" s="2340">
        <v>99470.446607665799</v>
      </c>
      <c r="DO26" s="2340">
        <v>99490.319663784496</v>
      </c>
      <c r="DP26" s="2340">
        <v>99515.86252207779</v>
      </c>
      <c r="DQ26" s="2340">
        <v>99518.698925880279</v>
      </c>
      <c r="DR26" s="2340">
        <v>99522.179334767905</v>
      </c>
      <c r="DS26" s="2340">
        <v>99537.424684699188</v>
      </c>
      <c r="DT26" s="2340">
        <v>99554.75434411352</v>
      </c>
      <c r="DU26" s="2340">
        <v>99571.441449910897</v>
      </c>
    </row>
    <row r="27" spans="1:125" ht="12.75">
      <c r="A27" s="135">
        <v>25</v>
      </c>
      <c r="W27" s="136">
        <v>81840</v>
      </c>
      <c r="X27" s="136">
        <v>82527</v>
      </c>
      <c r="Y27" s="2340">
        <v>82509.043896012226</v>
      </c>
      <c r="Z27" s="2340">
        <v>84459.717572237205</v>
      </c>
      <c r="AA27" s="2340">
        <v>84907.545133516687</v>
      </c>
      <c r="AB27" s="2340">
        <v>85474.242486353323</v>
      </c>
      <c r="AC27" s="2340">
        <v>86312.101356445171</v>
      </c>
      <c r="AD27" s="2340">
        <v>87169.359841878526</v>
      </c>
      <c r="AE27" s="2340">
        <v>87118.253315890775</v>
      </c>
      <c r="AF27" s="2340">
        <v>88221.479761877723</v>
      </c>
      <c r="AG27" s="2340">
        <v>88701.487564527924</v>
      </c>
      <c r="AH27" s="2340">
        <v>88878.808057129863</v>
      </c>
      <c r="AI27" s="2340">
        <v>89281.444250404777</v>
      </c>
      <c r="AJ27" s="2340">
        <v>90475.019773970722</v>
      </c>
      <c r="AK27" s="2340">
        <v>90449.258194870694</v>
      </c>
      <c r="AL27" s="2340">
        <v>90777.13592593708</v>
      </c>
      <c r="AM27" s="2340">
        <v>91030.945319046281</v>
      </c>
      <c r="AN27" s="2340">
        <v>91515.112925576905</v>
      </c>
      <c r="AO27" s="2340">
        <v>91549.339099668417</v>
      </c>
      <c r="AP27" s="2340">
        <v>91636.160724698973</v>
      </c>
      <c r="AQ27" s="2340">
        <v>91716.561283484058</v>
      </c>
      <c r="AR27" s="2340">
        <v>91727.773881033077</v>
      </c>
      <c r="AS27" s="2340">
        <v>91211.00651398646</v>
      </c>
      <c r="AT27" s="2340">
        <v>90545.735229042504</v>
      </c>
      <c r="AU27" s="2340">
        <v>89437.582241301032</v>
      </c>
      <c r="AV27" s="2340">
        <v>89611.853823121201</v>
      </c>
      <c r="AW27" s="2340">
        <v>89909.873897893689</v>
      </c>
      <c r="AX27" s="2340">
        <v>91880.583405687576</v>
      </c>
      <c r="AY27" s="2340">
        <v>93488.717432956822</v>
      </c>
      <c r="AZ27" s="2340">
        <v>93560.801203842319</v>
      </c>
      <c r="BA27" s="2340">
        <v>93603.081235836667</v>
      </c>
      <c r="BB27" s="2340">
        <v>94157.871776680346</v>
      </c>
      <c r="BC27" s="2340">
        <v>94420.081686412799</v>
      </c>
      <c r="BD27" s="2340">
        <v>94706.378336690468</v>
      </c>
      <c r="BE27" s="2340">
        <v>94792.648716465395</v>
      </c>
      <c r="BF27" s="2340">
        <v>95118.37227372374</v>
      </c>
      <c r="BG27" s="2340">
        <v>95283.875932285169</v>
      </c>
      <c r="BH27" s="2340">
        <v>95452.037980765323</v>
      </c>
      <c r="BI27" s="2340">
        <v>95553.680602532389</v>
      </c>
      <c r="BJ27" s="2340">
        <v>95761.616912836995</v>
      </c>
      <c r="BK27" s="2340">
        <v>96005.102281010113</v>
      </c>
      <c r="BL27" s="2340">
        <v>96272.715970898556</v>
      </c>
      <c r="BM27" s="2340">
        <v>96472.845050811899</v>
      </c>
      <c r="BN27" s="2340">
        <v>96692.309889734854</v>
      </c>
      <c r="BO27" s="2340">
        <v>96856.994667479157</v>
      </c>
      <c r="BP27" s="2340">
        <v>96989.252318846979</v>
      </c>
      <c r="BQ27" s="2340">
        <v>97070.205212128451</v>
      </c>
      <c r="BR27" s="2340">
        <v>97156.531550822925</v>
      </c>
      <c r="BS27" s="2340">
        <v>97144.811991741182</v>
      </c>
      <c r="BT27" s="2340">
        <v>97210.541326941937</v>
      </c>
      <c r="BU27" s="2340">
        <v>97258.786019352061</v>
      </c>
      <c r="BV27" s="2340">
        <v>97370.629141473735</v>
      </c>
      <c r="BW27" s="2340">
        <v>97443.395272713329</v>
      </c>
      <c r="BX27" s="2340">
        <v>97550.028481568268</v>
      </c>
      <c r="BY27" s="2340">
        <v>97630.276889774759</v>
      </c>
      <c r="BZ27" s="2340">
        <v>97846.246220713292</v>
      </c>
      <c r="CA27" s="2340">
        <v>98024.549788334043</v>
      </c>
      <c r="CB27" s="2340">
        <v>98120.227466789394</v>
      </c>
      <c r="CC27" s="2340">
        <v>98193.445273590289</v>
      </c>
      <c r="CD27" s="2340">
        <v>98282.048329239522</v>
      </c>
      <c r="CE27" s="2340">
        <v>98367.188797979077</v>
      </c>
      <c r="CF27" s="2340">
        <v>98450.699477492934</v>
      </c>
      <c r="CG27" s="2340">
        <v>98555.833338623168</v>
      </c>
      <c r="CH27" s="2340">
        <v>98602.11450431624</v>
      </c>
      <c r="CI27" s="2340">
        <v>98698.89298536921</v>
      </c>
      <c r="CJ27" s="2340">
        <v>98746.58362640941</v>
      </c>
      <c r="CK27" s="2340">
        <v>98800.64544425116</v>
      </c>
      <c r="CL27" s="2340">
        <v>98886.696471647097</v>
      </c>
      <c r="CM27" s="2340">
        <v>98926.11031683514</v>
      </c>
      <c r="CN27" s="2340">
        <v>98986.427371445025</v>
      </c>
      <c r="CO27" s="2340">
        <v>99017.238635204485</v>
      </c>
      <c r="CP27" s="2340">
        <v>99082.256268594007</v>
      </c>
      <c r="CQ27" s="2340">
        <v>99117.265525583978</v>
      </c>
      <c r="CR27" s="2340">
        <v>99149.724843004893</v>
      </c>
      <c r="CS27" s="2340">
        <v>99198.580415747667</v>
      </c>
      <c r="CT27" s="2340">
        <v>99221.059030449396</v>
      </c>
      <c r="CU27" s="2340">
        <v>99237.976799629876</v>
      </c>
      <c r="CV27" s="2340">
        <v>99239.329568726462</v>
      </c>
      <c r="CW27" s="2340">
        <v>99275.147368156628</v>
      </c>
      <c r="CX27" s="2340">
        <v>99299.830623055197</v>
      </c>
      <c r="CY27" s="2340">
        <v>99314.191171611033</v>
      </c>
      <c r="CZ27" s="2340">
        <v>99301.239370563417</v>
      </c>
      <c r="DA27" s="2340">
        <v>99304.640658052609</v>
      </c>
      <c r="DB27" s="2340">
        <v>99323.252742971599</v>
      </c>
      <c r="DC27" s="2340">
        <v>99356.255106773984</v>
      </c>
      <c r="DD27" s="2340">
        <v>99357.060711315295</v>
      </c>
      <c r="DE27" s="2340">
        <v>99376.430905470115</v>
      </c>
      <c r="DF27" s="2340">
        <v>99428.027690661271</v>
      </c>
      <c r="DG27" s="2340">
        <v>99411.294968554867</v>
      </c>
      <c r="DH27" s="2340">
        <v>99433.74885014235</v>
      </c>
      <c r="DI27" s="2340">
        <v>99416.363610945962</v>
      </c>
      <c r="DJ27" s="2340">
        <v>99441.015410790453</v>
      </c>
      <c r="DK27" s="2340">
        <v>99464.008166368731</v>
      </c>
      <c r="DL27" s="2340">
        <v>99468.571321677184</v>
      </c>
      <c r="DM27" s="2340">
        <v>99453.793222980297</v>
      </c>
      <c r="DN27" s="2340">
        <v>99460.202691959828</v>
      </c>
      <c r="DO27" s="2340">
        <v>99480.367047339474</v>
      </c>
      <c r="DP27" s="2340">
        <v>99506.192370854871</v>
      </c>
      <c r="DQ27" s="2340">
        <v>99509.305367112247</v>
      </c>
      <c r="DR27" s="2340">
        <v>99513.054398123379</v>
      </c>
      <c r="DS27" s="2340">
        <v>99528.559640744614</v>
      </c>
      <c r="DT27" s="2340">
        <v>99546.141610575432</v>
      </c>
      <c r="DU27" s="2340">
        <v>99563.073899965166</v>
      </c>
    </row>
    <row r="28" spans="1:125" ht="12.75">
      <c r="A28" s="135">
        <v>26</v>
      </c>
      <c r="W28" s="136">
        <v>81626</v>
      </c>
      <c r="X28" s="136">
        <v>82312</v>
      </c>
      <c r="Y28" s="2340">
        <v>82336.245927259224</v>
      </c>
      <c r="Z28" s="2340">
        <v>84345.696953514678</v>
      </c>
      <c r="AA28" s="2340">
        <v>84792.919947586444</v>
      </c>
      <c r="AB28" s="2340">
        <v>85358.852258996747</v>
      </c>
      <c r="AC28" s="2340">
        <v>86224.638205381867</v>
      </c>
      <c r="AD28" s="2340">
        <v>87082.927369903031</v>
      </c>
      <c r="AE28" s="2340">
        <v>87034.703224682176</v>
      </c>
      <c r="AF28" s="2340">
        <v>88145.719501391432</v>
      </c>
      <c r="AG28" s="2340">
        <v>88620.66528894793</v>
      </c>
      <c r="AH28" s="2340">
        <v>88799.429853056237</v>
      </c>
      <c r="AI28" s="2340">
        <v>89213.050330083352</v>
      </c>
      <c r="AJ28" s="2340">
        <v>90402.154591805433</v>
      </c>
      <c r="AK28" s="2340">
        <v>90386.690446868597</v>
      </c>
      <c r="AL28" s="2340">
        <v>90713.868094473844</v>
      </c>
      <c r="AM28" s="2340">
        <v>90969.315120143307</v>
      </c>
      <c r="AN28" s="2340">
        <v>91454.842099417641</v>
      </c>
      <c r="AO28" s="2340">
        <v>91487.557244293392</v>
      </c>
      <c r="AP28" s="2340">
        <v>91575.061605351453</v>
      </c>
      <c r="AQ28" s="2340">
        <v>91663.369624236322</v>
      </c>
      <c r="AR28" s="2340">
        <v>91661.391242277226</v>
      </c>
      <c r="AS28" s="2340">
        <v>91159.244938548247</v>
      </c>
      <c r="AT28" s="2340">
        <v>90488.437499318054</v>
      </c>
      <c r="AU28" s="2340">
        <v>89381.328708075656</v>
      </c>
      <c r="AV28" s="2340">
        <v>89556.31831220811</v>
      </c>
      <c r="AW28" s="2340">
        <v>89855.896369044247</v>
      </c>
      <c r="AX28" s="2340">
        <v>91825.859171999153</v>
      </c>
      <c r="AY28" s="2340">
        <v>93434.948437387837</v>
      </c>
      <c r="AZ28" s="2340">
        <v>93507.424074234019</v>
      </c>
      <c r="BA28" s="2340">
        <v>93549.906081365814</v>
      </c>
      <c r="BB28" s="2340">
        <v>94099.490718703863</v>
      </c>
      <c r="BC28" s="2340">
        <v>94368.111411749516</v>
      </c>
      <c r="BD28" s="2340">
        <v>94652.387317953559</v>
      </c>
      <c r="BE28" s="2340">
        <v>94743.066176548295</v>
      </c>
      <c r="BF28" s="2340">
        <v>95073.193487203884</v>
      </c>
      <c r="BG28" s="2340">
        <v>95236.076148485765</v>
      </c>
      <c r="BH28" s="2340">
        <v>95410.420017237571</v>
      </c>
      <c r="BI28" s="2340">
        <v>95514.506959036225</v>
      </c>
      <c r="BJ28" s="2340">
        <v>95720.6857532719</v>
      </c>
      <c r="BK28" s="2340">
        <v>95967.557086727233</v>
      </c>
      <c r="BL28" s="2340">
        <v>96233.85916803249</v>
      </c>
      <c r="BM28" s="2340">
        <v>96435.209899483016</v>
      </c>
      <c r="BN28" s="2340">
        <v>96655.751843329941</v>
      </c>
      <c r="BO28" s="2340">
        <v>96815.387857686495</v>
      </c>
      <c r="BP28" s="2340">
        <v>96954.481709451517</v>
      </c>
      <c r="BQ28" s="2340">
        <v>97028.463970869561</v>
      </c>
      <c r="BR28" s="2340">
        <v>97120.174556053826</v>
      </c>
      <c r="BS28" s="2340">
        <v>97114.545616620235</v>
      </c>
      <c r="BT28" s="2340">
        <v>97176.614672351338</v>
      </c>
      <c r="BU28" s="2340">
        <v>97229.735150971916</v>
      </c>
      <c r="BV28" s="2340">
        <v>97340.517003426939</v>
      </c>
      <c r="BW28" s="2340">
        <v>97409.156175041542</v>
      </c>
      <c r="BX28" s="2340">
        <v>97520.764477609002</v>
      </c>
      <c r="BY28" s="2340">
        <v>97604.953600421184</v>
      </c>
      <c r="BZ28" s="2340">
        <v>97821.752134664464</v>
      </c>
      <c r="CA28" s="2340">
        <v>97995.015203171963</v>
      </c>
      <c r="CB28" s="2340">
        <v>98097.90146372201</v>
      </c>
      <c r="CC28" s="2340">
        <v>98170.818550970813</v>
      </c>
      <c r="CD28" s="2340">
        <v>98258.384392828521</v>
      </c>
      <c r="CE28" s="2340">
        <v>98347.069460470739</v>
      </c>
      <c r="CF28" s="2340">
        <v>98426.363207253831</v>
      </c>
      <c r="CG28" s="2340">
        <v>98534.184823908159</v>
      </c>
      <c r="CH28" s="2340">
        <v>98578.915712579328</v>
      </c>
      <c r="CI28" s="2340">
        <v>98678.320122475183</v>
      </c>
      <c r="CJ28" s="2340">
        <v>98723.497567127299</v>
      </c>
      <c r="CK28" s="2340">
        <v>98779.194096955951</v>
      </c>
      <c r="CL28" s="2340">
        <v>98866.821462269916</v>
      </c>
      <c r="CM28" s="2340">
        <v>98906.39186146167</v>
      </c>
      <c r="CN28" s="2340">
        <v>98969.361977508306</v>
      </c>
      <c r="CO28" s="2340">
        <v>99000.052528064145</v>
      </c>
      <c r="CP28" s="2340">
        <v>99062.925849916704</v>
      </c>
      <c r="CQ28" s="2340">
        <v>99096.717386710268</v>
      </c>
      <c r="CR28" s="2340">
        <v>99132.629240955604</v>
      </c>
      <c r="CS28" s="2340">
        <v>99180.00583844824</v>
      </c>
      <c r="CT28" s="2340">
        <v>99202.239418213983</v>
      </c>
      <c r="CU28" s="2340">
        <v>99220.592210878895</v>
      </c>
      <c r="CV28" s="2340">
        <v>99222.415273107239</v>
      </c>
      <c r="CW28" s="2340">
        <v>99258.684927948867</v>
      </c>
      <c r="CX28" s="2340">
        <v>99283.809765721846</v>
      </c>
      <c r="CY28" s="2340">
        <v>99298.601673617974</v>
      </c>
      <c r="CZ28" s="2340">
        <v>99286.073789161455</v>
      </c>
      <c r="DA28" s="2340">
        <v>99289.885036267064</v>
      </c>
      <c r="DB28" s="2340">
        <v>99308.893799701735</v>
      </c>
      <c r="DC28" s="2340">
        <v>99342.280154453198</v>
      </c>
      <c r="DD28" s="2340">
        <v>99343.463888713508</v>
      </c>
      <c r="DE28" s="2340">
        <v>99363.199509509592</v>
      </c>
      <c r="DF28" s="2340">
        <v>99415.147726015406</v>
      </c>
      <c r="DG28" s="2340">
        <v>99398.765716314752</v>
      </c>
      <c r="DH28" s="2340">
        <v>99421.568417794682</v>
      </c>
      <c r="DI28" s="2340">
        <v>99404.527031068166</v>
      </c>
      <c r="DJ28" s="2340">
        <v>99429.508112291645</v>
      </c>
      <c r="DK28" s="2340">
        <v>99452.821176267156</v>
      </c>
      <c r="DL28" s="2340">
        <v>99457.697739357667</v>
      </c>
      <c r="DM28" s="2340">
        <v>99443.226323222334</v>
      </c>
      <c r="DN28" s="2340">
        <v>99449.931637203641</v>
      </c>
      <c r="DO28" s="2340">
        <v>99470.382174173836</v>
      </c>
      <c r="DP28" s="2340">
        <v>99496.485153573929</v>
      </c>
      <c r="DQ28" s="2340">
        <v>99499.870238897609</v>
      </c>
      <c r="DR28" s="2340">
        <v>99503.883673831762</v>
      </c>
      <c r="DS28" s="2340">
        <v>99519.644857899315</v>
      </c>
      <c r="DT28" s="2340">
        <v>99537.475445643751</v>
      </c>
      <c r="DU28" s="2340">
        <v>99554.649474657257</v>
      </c>
    </row>
    <row r="29" spans="1:125" ht="12.75">
      <c r="A29" s="135">
        <v>27</v>
      </c>
      <c r="W29" s="136">
        <v>81415</v>
      </c>
      <c r="X29" s="136">
        <v>82141</v>
      </c>
      <c r="Y29" s="2340">
        <v>82221.79854542033</v>
      </c>
      <c r="Z29" s="2340">
        <v>84228.4564347493</v>
      </c>
      <c r="AA29" s="2340">
        <v>84675.057788859296</v>
      </c>
      <c r="AB29" s="2340">
        <v>85265.228260472213</v>
      </c>
      <c r="AC29" s="2340">
        <v>86135.093664347572</v>
      </c>
      <c r="AD29" s="2340">
        <v>86989.216530432386</v>
      </c>
      <c r="AE29" s="2340">
        <v>86948.675910002028</v>
      </c>
      <c r="AF29" s="2340">
        <v>88062.979395896444</v>
      </c>
      <c r="AG29" s="2340">
        <v>88538.753745959286</v>
      </c>
      <c r="AH29" s="2340">
        <v>88723.85334699419</v>
      </c>
      <c r="AI29" s="2340">
        <v>89139.612066348272</v>
      </c>
      <c r="AJ29" s="2340">
        <v>90325.498375526542</v>
      </c>
      <c r="AK29" s="2340">
        <v>90315.71624823146</v>
      </c>
      <c r="AL29" s="2340">
        <v>90648.986161102584</v>
      </c>
      <c r="AM29" s="2340">
        <v>90907.934642781314</v>
      </c>
      <c r="AN29" s="2340">
        <v>91393.197228691279</v>
      </c>
      <c r="AO29" s="2340">
        <v>91426.320426816746</v>
      </c>
      <c r="AP29" s="2340">
        <v>91512.540567623379</v>
      </c>
      <c r="AQ29" s="2340">
        <v>91603.447845687289</v>
      </c>
      <c r="AR29" s="2340">
        <v>91600.036244005765</v>
      </c>
      <c r="AS29" s="2340">
        <v>91101.84663588379</v>
      </c>
      <c r="AT29" s="2340">
        <v>90429.477145062221</v>
      </c>
      <c r="AU29" s="2340">
        <v>89322.06736842281</v>
      </c>
      <c r="AV29" s="2340">
        <v>89497.757694099622</v>
      </c>
      <c r="AW29" s="2340">
        <v>89803.919289305559</v>
      </c>
      <c r="AX29" s="2340">
        <v>91773.238932787048</v>
      </c>
      <c r="AY29" s="2340">
        <v>93377.963413959384</v>
      </c>
      <c r="AZ29" s="2340">
        <v>93451.509299581812</v>
      </c>
      <c r="BA29" s="2340">
        <v>93496.488089389517</v>
      </c>
      <c r="BB29" s="2340">
        <v>94047.141517850949</v>
      </c>
      <c r="BC29" s="2340">
        <v>94315.218619650492</v>
      </c>
      <c r="BD29" s="2340">
        <v>94598.936366411494</v>
      </c>
      <c r="BE29" s="2340">
        <v>94689.975966640399</v>
      </c>
      <c r="BF29" s="2340">
        <v>95024.622309568353</v>
      </c>
      <c r="BG29" s="2340">
        <v>95186.724085962167</v>
      </c>
      <c r="BH29" s="2340">
        <v>95368.134012677168</v>
      </c>
      <c r="BI29" s="2340">
        <v>95470.706242709071</v>
      </c>
      <c r="BJ29" s="2340">
        <v>95677.929147376752</v>
      </c>
      <c r="BK29" s="2340">
        <v>95930.244264370587</v>
      </c>
      <c r="BL29" s="2340">
        <v>96195.550248405707</v>
      </c>
      <c r="BM29" s="2340">
        <v>96399.726575605921</v>
      </c>
      <c r="BN29" s="2340">
        <v>96618.533663920869</v>
      </c>
      <c r="BO29" s="2340">
        <v>96772.791957282869</v>
      </c>
      <c r="BP29" s="2340">
        <v>96917.115699322356</v>
      </c>
      <c r="BQ29" s="2340">
        <v>96993.864441057085</v>
      </c>
      <c r="BR29" s="2340">
        <v>97084.763114553367</v>
      </c>
      <c r="BS29" s="2340">
        <v>97082.454721493385</v>
      </c>
      <c r="BT29" s="2340">
        <v>97146.919678821971</v>
      </c>
      <c r="BU29" s="2340">
        <v>97200.779560737676</v>
      </c>
      <c r="BV29" s="2340">
        <v>97307.191221282701</v>
      </c>
      <c r="BW29" s="2340">
        <v>97380.929423549562</v>
      </c>
      <c r="BX29" s="2340">
        <v>97494.767273963036</v>
      </c>
      <c r="BY29" s="2340">
        <v>97577.49481222617</v>
      </c>
      <c r="BZ29" s="2340">
        <v>97795.54919488258</v>
      </c>
      <c r="CA29" s="2340">
        <v>97965.689551907504</v>
      </c>
      <c r="CB29" s="2340">
        <v>98074.225732179591</v>
      </c>
      <c r="CC29" s="2340">
        <v>98148.504512140265</v>
      </c>
      <c r="CD29" s="2340">
        <v>98233.618881645743</v>
      </c>
      <c r="CE29" s="2340">
        <v>98321.676160562609</v>
      </c>
      <c r="CF29" s="2340">
        <v>98400.027334748462</v>
      </c>
      <c r="CG29" s="2340">
        <v>98508.054486556823</v>
      </c>
      <c r="CH29" s="2340">
        <v>98557.198707410498</v>
      </c>
      <c r="CI29" s="2340">
        <v>98656.69418340773</v>
      </c>
      <c r="CJ29" s="2340">
        <v>98701.722571008126</v>
      </c>
      <c r="CK29" s="2340">
        <v>98759.42475567646</v>
      </c>
      <c r="CL29" s="2340">
        <v>98850.326172406916</v>
      </c>
      <c r="CM29" s="2340">
        <v>98885.962669333763</v>
      </c>
      <c r="CN29" s="2340">
        <v>98948.972350416021</v>
      </c>
      <c r="CO29" s="2340">
        <v>98981.90123611661</v>
      </c>
      <c r="CP29" s="2340">
        <v>99046.606633602583</v>
      </c>
      <c r="CQ29" s="2340">
        <v>99080.449137861637</v>
      </c>
      <c r="CR29" s="2340">
        <v>99114.404586314326</v>
      </c>
      <c r="CS29" s="2340">
        <v>99159.393782526648</v>
      </c>
      <c r="CT29" s="2340">
        <v>99183.926240839734</v>
      </c>
      <c r="CU29" s="2340">
        <v>99202.764436909143</v>
      </c>
      <c r="CV29" s="2340">
        <v>99205.062927957639</v>
      </c>
      <c r="CW29" s="2340">
        <v>99241.78946957372</v>
      </c>
      <c r="CX29" s="2340">
        <v>99267.361012908528</v>
      </c>
      <c r="CY29" s="2340">
        <v>99282.589482986048</v>
      </c>
      <c r="CZ29" s="2340">
        <v>99270.490862205814</v>
      </c>
      <c r="DA29" s="2340">
        <v>99274.717369301274</v>
      </c>
      <c r="DB29" s="2340">
        <v>99294.128067094251</v>
      </c>
      <c r="DC29" s="2340">
        <v>99327.903625020073</v>
      </c>
      <c r="DD29" s="2340">
        <v>99329.470841115617</v>
      </c>
      <c r="DE29" s="2340">
        <v>99349.577171296245</v>
      </c>
      <c r="DF29" s="2340">
        <v>99401.881978348421</v>
      </c>
      <c r="DG29" s="2340">
        <v>99385.867994479704</v>
      </c>
      <c r="DH29" s="2340">
        <v>99409.023567890225</v>
      </c>
      <c r="DI29" s="2340">
        <v>99392.330288218975</v>
      </c>
      <c r="DJ29" s="2340">
        <v>99417.644803364296</v>
      </c>
      <c r="DK29" s="2340">
        <v>99441.282380118864</v>
      </c>
      <c r="DL29" s="2340">
        <v>99446.476659832508</v>
      </c>
      <c r="DM29" s="2340">
        <v>99432.316334813833</v>
      </c>
      <c r="DN29" s="2340">
        <v>99439.321856272334</v>
      </c>
      <c r="DO29" s="2340">
        <v>99460.062914073613</v>
      </c>
      <c r="DP29" s="2340">
        <v>99486.447889361574</v>
      </c>
      <c r="DQ29" s="2340">
        <v>99490.10949368494</v>
      </c>
      <c r="DR29" s="2340">
        <v>99494.39176980179</v>
      </c>
      <c r="DS29" s="2340">
        <v>99510.41330061265</v>
      </c>
      <c r="DT29" s="2340">
        <v>99528.496907792767</v>
      </c>
      <c r="DU29" s="2340">
        <v>99545.917079330204</v>
      </c>
    </row>
    <row r="30" spans="1:125" ht="12.75">
      <c r="A30" s="135">
        <v>28</v>
      </c>
      <c r="W30" s="136">
        <v>81245</v>
      </c>
      <c r="X30" s="136">
        <v>82023</v>
      </c>
      <c r="Y30" s="2340">
        <v>82103.399155514926</v>
      </c>
      <c r="Z30" s="2340">
        <v>84107.167457483258</v>
      </c>
      <c r="AA30" s="2340">
        <v>84570.054340124902</v>
      </c>
      <c r="AB30" s="2340">
        <v>85170.152893578808</v>
      </c>
      <c r="AC30" s="2340">
        <v>86045.082542630727</v>
      </c>
      <c r="AD30" s="2340">
        <v>86902.07206116966</v>
      </c>
      <c r="AE30" s="2340">
        <v>86860.704833185824</v>
      </c>
      <c r="AF30" s="2340">
        <v>87977.568590692899</v>
      </c>
      <c r="AG30" s="2340">
        <v>88456.467141123241</v>
      </c>
      <c r="AH30" s="2340">
        <v>88641.354937070282</v>
      </c>
      <c r="AI30" s="2340">
        <v>89064.665488247003</v>
      </c>
      <c r="AJ30" s="2340">
        <v>90251.723379558665</v>
      </c>
      <c r="AK30" s="2340">
        <v>90245.225040172649</v>
      </c>
      <c r="AL30" s="2340">
        <v>90585.624034962413</v>
      </c>
      <c r="AM30" s="2340">
        <v>90846.522285646424</v>
      </c>
      <c r="AN30" s="2340">
        <v>91327.752735367161</v>
      </c>
      <c r="AO30" s="2340">
        <v>91358.40533755142</v>
      </c>
      <c r="AP30" s="2340">
        <v>91451.236125066265</v>
      </c>
      <c r="AQ30" s="2340">
        <v>91540.091667505811</v>
      </c>
      <c r="AR30" s="2340">
        <v>91535.074333597368</v>
      </c>
      <c r="AS30" s="2340">
        <v>91036.766541759949</v>
      </c>
      <c r="AT30" s="2340">
        <v>90366.050010897481</v>
      </c>
      <c r="AU30" s="2340">
        <v>89267.874154226622</v>
      </c>
      <c r="AV30" s="2340">
        <v>89439.028401990712</v>
      </c>
      <c r="AW30" s="2340">
        <v>89749.888939914803</v>
      </c>
      <c r="AX30" s="2340">
        <v>91722.383673591117</v>
      </c>
      <c r="AY30" s="2340">
        <v>93322.534897600519</v>
      </c>
      <c r="AZ30" s="2340">
        <v>93387.171483853715</v>
      </c>
      <c r="BA30" s="2340">
        <v>93443.414112391969</v>
      </c>
      <c r="BB30" s="2340">
        <v>93994.189253488337</v>
      </c>
      <c r="BC30" s="2340">
        <v>94260.223037358242</v>
      </c>
      <c r="BD30" s="2340">
        <v>94548.247879105314</v>
      </c>
      <c r="BE30" s="2340">
        <v>94637.887890913262</v>
      </c>
      <c r="BF30" s="2340">
        <v>94979.545833326294</v>
      </c>
      <c r="BG30" s="2340">
        <v>95138.334386864139</v>
      </c>
      <c r="BH30" s="2340">
        <v>95323.27858927488</v>
      </c>
      <c r="BI30" s="2340">
        <v>95425.96646047887</v>
      </c>
      <c r="BJ30" s="2340">
        <v>95634.147271518043</v>
      </c>
      <c r="BK30" s="2340">
        <v>95890.0401629603</v>
      </c>
      <c r="BL30" s="2340">
        <v>96157.266990149379</v>
      </c>
      <c r="BM30" s="2340">
        <v>96361.433808585614</v>
      </c>
      <c r="BN30" s="2340">
        <v>96580.835610783543</v>
      </c>
      <c r="BO30" s="2340">
        <v>96733.162351562263</v>
      </c>
      <c r="BP30" s="2340">
        <v>96883.821885436671</v>
      </c>
      <c r="BQ30" s="2340">
        <v>96957.559341231201</v>
      </c>
      <c r="BR30" s="2340">
        <v>97050.730727781949</v>
      </c>
      <c r="BS30" s="2340">
        <v>97048.806483415654</v>
      </c>
      <c r="BT30" s="2340">
        <v>97112.957021209106</v>
      </c>
      <c r="BU30" s="2340">
        <v>97172.420496687264</v>
      </c>
      <c r="BV30" s="2340">
        <v>97273.069018789349</v>
      </c>
      <c r="BW30" s="2340">
        <v>97348.224873757033</v>
      </c>
      <c r="BX30" s="2340">
        <v>97462.377484673823</v>
      </c>
      <c r="BY30" s="2340">
        <v>97550.687942873788</v>
      </c>
      <c r="BZ30" s="2340">
        <v>97768.462708022576</v>
      </c>
      <c r="CA30" s="2340">
        <v>97937.323836924261</v>
      </c>
      <c r="CB30" s="2340">
        <v>98050.233125738814</v>
      </c>
      <c r="CC30" s="2340">
        <v>98122.567016540139</v>
      </c>
      <c r="CD30" s="2340">
        <v>98209.862145079838</v>
      </c>
      <c r="CE30" s="2340">
        <v>98296.636362270234</v>
      </c>
      <c r="CF30" s="2340">
        <v>98373.281373112331</v>
      </c>
      <c r="CG30" s="2340">
        <v>98478.115877750271</v>
      </c>
      <c r="CH30" s="2340">
        <v>98533.586224251034</v>
      </c>
      <c r="CI30" s="2340">
        <v>98634.920001161358</v>
      </c>
      <c r="CJ30" s="2340">
        <v>98679.627131302535</v>
      </c>
      <c r="CK30" s="2340">
        <v>98735.66269124113</v>
      </c>
      <c r="CL30" s="2340">
        <v>98829.661535019957</v>
      </c>
      <c r="CM30" s="2340">
        <v>98864.88929330917</v>
      </c>
      <c r="CN30" s="2340">
        <v>98928.277004030373</v>
      </c>
      <c r="CO30" s="2340">
        <v>98962.179115690175</v>
      </c>
      <c r="CP30" s="2340">
        <v>99025.308089094367</v>
      </c>
      <c r="CQ30" s="2340">
        <v>99061.394460382609</v>
      </c>
      <c r="CR30" s="2340">
        <v>99093.91443067223</v>
      </c>
      <c r="CS30" s="2340">
        <v>99139.644822328904</v>
      </c>
      <c r="CT30" s="2340">
        <v>99164.692382600901</v>
      </c>
      <c r="CU30" s="2340">
        <v>99184.033321806535</v>
      </c>
      <c r="CV30" s="2340">
        <v>99186.824456487011</v>
      </c>
      <c r="CW30" s="2340">
        <v>99224.024521962012</v>
      </c>
      <c r="CX30" s="2340">
        <v>99250.059241723167</v>
      </c>
      <c r="CY30" s="2340">
        <v>99265.740568470486</v>
      </c>
      <c r="CZ30" s="2340">
        <v>99254.087467184421</v>
      </c>
      <c r="DA30" s="2340">
        <v>99258.745087026298</v>
      </c>
      <c r="DB30" s="2340">
        <v>99278.573188449533</v>
      </c>
      <c r="DC30" s="2340">
        <v>99312.75305149112</v>
      </c>
      <c r="DD30" s="2340">
        <v>99314.718849086144</v>
      </c>
      <c r="DE30" s="2340">
        <v>99335.210594009026</v>
      </c>
      <c r="DF30" s="2340">
        <v>99387.897704613119</v>
      </c>
      <c r="DG30" s="2340">
        <v>99372.265205416683</v>
      </c>
      <c r="DH30" s="2340">
        <v>99395.786641444574</v>
      </c>
      <c r="DI30" s="2340">
        <v>99379.454546999099</v>
      </c>
      <c r="DJ30" s="2340">
        <v>99405.115098072129</v>
      </c>
      <c r="DK30" s="2340">
        <v>99429.089617433026</v>
      </c>
      <c r="DL30" s="2340">
        <v>99434.613979577451</v>
      </c>
      <c r="DM30" s="2340">
        <v>99420.777047165029</v>
      </c>
      <c r="DN30" s="2340">
        <v>99428.094755630911</v>
      </c>
      <c r="DO30" s="2340">
        <v>99449.138045766624</v>
      </c>
      <c r="DP30" s="2340">
        <v>99475.816514666207</v>
      </c>
      <c r="DQ30" s="2340">
        <v>99479.766091118421</v>
      </c>
      <c r="DR30" s="2340">
        <v>99484.328476297014</v>
      </c>
      <c r="DS30" s="2340">
        <v>99500.621375416624</v>
      </c>
      <c r="DT30" s="2340">
        <v>99518.968835986336</v>
      </c>
      <c r="DU30" s="2340">
        <v>99536.645813210795</v>
      </c>
    </row>
    <row r="31" spans="1:125" ht="12.75">
      <c r="A31" s="135">
        <v>29</v>
      </c>
      <c r="W31" s="136">
        <v>81122</v>
      </c>
      <c r="X31" s="136">
        <v>81899</v>
      </c>
      <c r="Y31" s="2340">
        <v>81979.423022790099</v>
      </c>
      <c r="Z31" s="2340">
        <v>84005.575416335123</v>
      </c>
      <c r="AA31" s="2340">
        <v>84475.471586291576</v>
      </c>
      <c r="AB31" s="2340">
        <v>85074.606243108559</v>
      </c>
      <c r="AC31" s="2340">
        <v>85950.918831381467</v>
      </c>
      <c r="AD31" s="2340">
        <v>86816.134254270801</v>
      </c>
      <c r="AE31" s="2340">
        <v>86765.338450397205</v>
      </c>
      <c r="AF31" s="2340">
        <v>87893.275374965975</v>
      </c>
      <c r="AG31" s="2340">
        <v>88362.023559431065</v>
      </c>
      <c r="AH31" s="2340">
        <v>88555.38173248111</v>
      </c>
      <c r="AI31" s="2340">
        <v>88986.186902647285</v>
      </c>
      <c r="AJ31" s="2340">
        <v>90173.565801287928</v>
      </c>
      <c r="AK31" s="2340">
        <v>90169.743778085045</v>
      </c>
      <c r="AL31" s="2340">
        <v>90514.502048370094</v>
      </c>
      <c r="AM31" s="2340">
        <v>90781.889880726507</v>
      </c>
      <c r="AN31" s="2340">
        <v>91264.991386333219</v>
      </c>
      <c r="AO31" s="2340">
        <v>91293.865465424402</v>
      </c>
      <c r="AP31" s="2340">
        <v>91388.961271478693</v>
      </c>
      <c r="AQ31" s="2340">
        <v>91474.025376246587</v>
      </c>
      <c r="AR31" s="2340">
        <v>91476.618457609351</v>
      </c>
      <c r="AS31" s="2340">
        <v>90978.15202816992</v>
      </c>
      <c r="AT31" s="2340">
        <v>90303.218714566319</v>
      </c>
      <c r="AU31" s="2340">
        <v>89205.775106042696</v>
      </c>
      <c r="AV31" s="2340">
        <v>89384.082034639418</v>
      </c>
      <c r="AW31" s="2340">
        <v>89693.673311414925</v>
      </c>
      <c r="AX31" s="2340">
        <v>91665.195179468967</v>
      </c>
      <c r="AY31" s="2340">
        <v>93260.152446079708</v>
      </c>
      <c r="AZ31" s="2340">
        <v>93332.880649118626</v>
      </c>
      <c r="BA31" s="2340">
        <v>93385.022699547</v>
      </c>
      <c r="BB31" s="2340">
        <v>93939.139572272805</v>
      </c>
      <c r="BC31" s="2340">
        <v>94205.270027978331</v>
      </c>
      <c r="BD31" s="2340">
        <v>94499.730845458515</v>
      </c>
      <c r="BE31" s="2340">
        <v>94579.350344579259</v>
      </c>
      <c r="BF31" s="2340">
        <v>94932.379575553161</v>
      </c>
      <c r="BG31" s="2340">
        <v>95089.518545415034</v>
      </c>
      <c r="BH31" s="2340">
        <v>95276.438308681245</v>
      </c>
      <c r="BI31" s="2340">
        <v>95383.029314137719</v>
      </c>
      <c r="BJ31" s="2340">
        <v>95593.949593987621</v>
      </c>
      <c r="BK31" s="2340">
        <v>95845.472914315615</v>
      </c>
      <c r="BL31" s="2340">
        <v>96118.140852160577</v>
      </c>
      <c r="BM31" s="2340">
        <v>96315.041028117645</v>
      </c>
      <c r="BN31" s="2340">
        <v>96535.529026283912</v>
      </c>
      <c r="BO31" s="2340">
        <v>96696.462859772553</v>
      </c>
      <c r="BP31" s="2340">
        <v>96845.924850645009</v>
      </c>
      <c r="BQ31" s="2340">
        <v>96918.995956756247</v>
      </c>
      <c r="BR31" s="2340">
        <v>97011.079461395333</v>
      </c>
      <c r="BS31" s="2340">
        <v>97011.491535148205</v>
      </c>
      <c r="BT31" s="2340">
        <v>97082.222509108557</v>
      </c>
      <c r="BU31" s="2340">
        <v>97137.014568382961</v>
      </c>
      <c r="BV31" s="2340">
        <v>97240.284076295473</v>
      </c>
      <c r="BW31" s="2340">
        <v>97319.149633098219</v>
      </c>
      <c r="BX31" s="2340">
        <v>97432.334744607302</v>
      </c>
      <c r="BY31" s="2340">
        <v>97521.879294008686</v>
      </c>
      <c r="BZ31" s="2340">
        <v>97746.539342040109</v>
      </c>
      <c r="CA31" s="2340">
        <v>97913.417531838379</v>
      </c>
      <c r="CB31" s="2340">
        <v>98025.870741939711</v>
      </c>
      <c r="CC31" s="2340">
        <v>98097.677814722323</v>
      </c>
      <c r="CD31" s="2340">
        <v>98183.528945700746</v>
      </c>
      <c r="CE31" s="2340">
        <v>98271.579689596139</v>
      </c>
      <c r="CF31" s="2340">
        <v>98350.495999102088</v>
      </c>
      <c r="CG31" s="2340">
        <v>98451.715703429451</v>
      </c>
      <c r="CH31" s="2340">
        <v>98508.99139920107</v>
      </c>
      <c r="CI31" s="2340">
        <v>98611.158239264652</v>
      </c>
      <c r="CJ31" s="2340">
        <v>98654.494691915737</v>
      </c>
      <c r="CK31" s="2340">
        <v>98709.876449550255</v>
      </c>
      <c r="CL31" s="2340">
        <v>98808.514556623835</v>
      </c>
      <c r="CM31" s="2340">
        <v>98840.131679350001</v>
      </c>
      <c r="CN31" s="2340">
        <v>98906.514765666288</v>
      </c>
      <c r="CO31" s="2340">
        <v>98936.861383941141</v>
      </c>
      <c r="CP31" s="2340">
        <v>99002.533143838184</v>
      </c>
      <c r="CQ31" s="2340">
        <v>99040.128719733009</v>
      </c>
      <c r="CR31" s="2340">
        <v>99072.267228342593</v>
      </c>
      <c r="CS31" s="2340">
        <v>99118.550208992514</v>
      </c>
      <c r="CT31" s="2340">
        <v>99144.140543178175</v>
      </c>
      <c r="CU31" s="2340">
        <v>99164.011443729803</v>
      </c>
      <c r="CV31" s="2340">
        <v>99167.32212867355</v>
      </c>
      <c r="CW31" s="2340">
        <v>99205.021672738352</v>
      </c>
      <c r="CX31" s="2340">
        <v>99231.545164211595</v>
      </c>
      <c r="CY31" s="2340">
        <v>99247.704573379655</v>
      </c>
      <c r="CZ31" s="2340">
        <v>99236.522047091523</v>
      </c>
      <c r="DA31" s="2340">
        <v>99241.635152856223</v>
      </c>
      <c r="DB31" s="2340">
        <v>99261.90438199717</v>
      </c>
      <c r="DC31" s="2340">
        <v>99296.511653208174</v>
      </c>
      <c r="DD31" s="2340">
        <v>99298.899032959715</v>
      </c>
      <c r="DE31" s="2340">
        <v>99319.809682106308</v>
      </c>
      <c r="DF31" s="2340">
        <v>99372.899746721974</v>
      </c>
      <c r="DG31" s="2340">
        <v>99357.669697218575</v>
      </c>
      <c r="DH31" s="2340">
        <v>99381.577186722949</v>
      </c>
      <c r="DI31" s="2340">
        <v>99365.626480737978</v>
      </c>
      <c r="DJ31" s="2340">
        <v>99391.652496854658</v>
      </c>
      <c r="DK31" s="2340">
        <v>99415.983045425368</v>
      </c>
      <c r="DL31" s="2340">
        <v>99421.85638922466</v>
      </c>
      <c r="DM31" s="2340">
        <v>99408.361564161009</v>
      </c>
      <c r="DN31" s="2340">
        <v>99416.009634995164</v>
      </c>
      <c r="DO31" s="2340">
        <v>99437.372873199856</v>
      </c>
      <c r="DP31" s="2340">
        <v>99464.362171327724</v>
      </c>
      <c r="DQ31" s="2340">
        <v>99468.616913214049</v>
      </c>
      <c r="DR31" s="2340">
        <v>99473.476266809841</v>
      </c>
      <c r="DS31" s="2340">
        <v>99490.056978869354</v>
      </c>
      <c r="DT31" s="2340">
        <v>99508.684407206922</v>
      </c>
      <c r="DU31" s="2340">
        <v>99526.634000535327</v>
      </c>
    </row>
    <row r="32" spans="1:125" ht="12.75">
      <c r="A32" s="135">
        <v>30</v>
      </c>
      <c r="W32" s="136">
        <v>80994</v>
      </c>
      <c r="X32" s="136">
        <v>81770</v>
      </c>
      <c r="Y32" s="2340">
        <v>81866.985137884287</v>
      </c>
      <c r="Z32" s="2340">
        <v>83902.149637737122</v>
      </c>
      <c r="AA32" s="2340">
        <v>84374.483298006118</v>
      </c>
      <c r="AB32" s="2340">
        <v>84977.722165726329</v>
      </c>
      <c r="AC32" s="2340">
        <v>85856.496118806739</v>
      </c>
      <c r="AD32" s="2340">
        <v>86724.035311634012</v>
      </c>
      <c r="AE32" s="2340">
        <v>86672.322910603834</v>
      </c>
      <c r="AF32" s="2340">
        <v>87797.929727211696</v>
      </c>
      <c r="AG32" s="2340">
        <v>88273.178330584327</v>
      </c>
      <c r="AH32" s="2340">
        <v>88468.099648218704</v>
      </c>
      <c r="AI32" s="2340">
        <v>88904.648555753578</v>
      </c>
      <c r="AJ32" s="2340">
        <v>90092.842808271365</v>
      </c>
      <c r="AK32" s="2340">
        <v>90091.981513703126</v>
      </c>
      <c r="AL32" s="2340">
        <v>90444.157098959113</v>
      </c>
      <c r="AM32" s="2340">
        <v>90709.121956127667</v>
      </c>
      <c r="AN32" s="2340">
        <v>91189.851501080106</v>
      </c>
      <c r="AO32" s="2340">
        <v>91228.492444817326</v>
      </c>
      <c r="AP32" s="2340">
        <v>91322.246566326765</v>
      </c>
      <c r="AQ32" s="2340">
        <v>91406.977990306012</v>
      </c>
      <c r="AR32" s="2340">
        <v>91410.966792242936</v>
      </c>
      <c r="AS32" s="2340">
        <v>90912.519354947741</v>
      </c>
      <c r="AT32" s="2340">
        <v>90240.691526075854</v>
      </c>
      <c r="AU32" s="2340">
        <v>89141.332167533808</v>
      </c>
      <c r="AV32" s="2340">
        <v>89320.970994077783</v>
      </c>
      <c r="AW32" s="2340">
        <v>89634.345648630144</v>
      </c>
      <c r="AX32" s="2340">
        <v>91606.414974524581</v>
      </c>
      <c r="AY32" s="2340">
        <v>93191.199361104707</v>
      </c>
      <c r="AZ32" s="2340">
        <v>93270.293666376005</v>
      </c>
      <c r="BA32" s="2340">
        <v>93330.183267214146</v>
      </c>
      <c r="BB32" s="2340">
        <v>93880.712498083478</v>
      </c>
      <c r="BC32" s="2340">
        <v>94148.537474408644</v>
      </c>
      <c r="BD32" s="2340">
        <v>94447.734368651581</v>
      </c>
      <c r="BE32" s="2340">
        <v>94523.292679181832</v>
      </c>
      <c r="BF32" s="2340">
        <v>94884.428784138639</v>
      </c>
      <c r="BG32" s="2340">
        <v>95049.368232601468</v>
      </c>
      <c r="BH32" s="2340">
        <v>95231.193225378476</v>
      </c>
      <c r="BI32" s="2340">
        <v>95331.841288962518</v>
      </c>
      <c r="BJ32" s="2340">
        <v>95543.431301136487</v>
      </c>
      <c r="BK32" s="2340">
        <v>95798.503494494376</v>
      </c>
      <c r="BL32" s="2340">
        <v>96069.253158487816</v>
      </c>
      <c r="BM32" s="2340">
        <v>96267.020491687537</v>
      </c>
      <c r="BN32" s="2340">
        <v>96494.067118073785</v>
      </c>
      <c r="BO32" s="2340">
        <v>96656.720370982948</v>
      </c>
      <c r="BP32" s="2340">
        <v>96802.761522501882</v>
      </c>
      <c r="BQ32" s="2340">
        <v>96880.282806776187</v>
      </c>
      <c r="BR32" s="2340">
        <v>96976.615958212526</v>
      </c>
      <c r="BS32" s="2340">
        <v>96975.129695945536</v>
      </c>
      <c r="BT32" s="2340">
        <v>97047.745365789247</v>
      </c>
      <c r="BU32" s="2340">
        <v>97102.613424933064</v>
      </c>
      <c r="BV32" s="2340">
        <v>97212.30911809385</v>
      </c>
      <c r="BW32" s="2340">
        <v>97291.28515552578</v>
      </c>
      <c r="BX32" s="2340">
        <v>97403.286131541507</v>
      </c>
      <c r="BY32" s="2340">
        <v>97494.034031723379</v>
      </c>
      <c r="BZ32" s="2340">
        <v>97719.215364060336</v>
      </c>
      <c r="CA32" s="2340">
        <v>97881.650802247823</v>
      </c>
      <c r="CB32" s="2340">
        <v>97995.746868148912</v>
      </c>
      <c r="CC32" s="2340">
        <v>98074.99518401266</v>
      </c>
      <c r="CD32" s="2340">
        <v>98156.582538910094</v>
      </c>
      <c r="CE32" s="2340">
        <v>98241.688871975464</v>
      </c>
      <c r="CF32" s="2340">
        <v>98326.066118043324</v>
      </c>
      <c r="CG32" s="2340">
        <v>98420.872562080767</v>
      </c>
      <c r="CH32" s="2340">
        <v>98484.058454545724</v>
      </c>
      <c r="CI32" s="2340">
        <v>98587.111653522603</v>
      </c>
      <c r="CJ32" s="2340">
        <v>98627.69464410792</v>
      </c>
      <c r="CK32" s="2340">
        <v>98683.651458327673</v>
      </c>
      <c r="CL32" s="2340">
        <v>98781.176101899386</v>
      </c>
      <c r="CM32" s="2340">
        <v>98815.255378993548</v>
      </c>
      <c r="CN32" s="2340">
        <v>98884.752190560364</v>
      </c>
      <c r="CO32" s="2340">
        <v>98911.720233337604</v>
      </c>
      <c r="CP32" s="2340">
        <v>98979.238358664341</v>
      </c>
      <c r="CQ32" s="2340">
        <v>99016.170692118772</v>
      </c>
      <c r="CR32" s="2340">
        <v>99048.915964327432</v>
      </c>
      <c r="CS32" s="2340">
        <v>99095.787095656109</v>
      </c>
      <c r="CT32" s="2340">
        <v>99121.955401869272</v>
      </c>
      <c r="CU32" s="2340">
        <v>99142.39084775855</v>
      </c>
      <c r="CV32" s="2340">
        <v>99146.255230917057</v>
      </c>
      <c r="CW32" s="2340">
        <v>99184.48717497522</v>
      </c>
      <c r="CX32" s="2340">
        <v>99211.531868604128</v>
      </c>
      <c r="CY32" s="2340">
        <v>99228.201288939774</v>
      </c>
      <c r="CZ32" s="2340">
        <v>99217.521012613972</v>
      </c>
      <c r="DA32" s="2340">
        <v>99223.120394447105</v>
      </c>
      <c r="DB32" s="2340">
        <v>99243.860699828743</v>
      </c>
      <c r="DC32" s="2340">
        <v>99278.924522772126</v>
      </c>
      <c r="DD32" s="2340">
        <v>99281.773217330468</v>
      </c>
      <c r="DE32" s="2340">
        <v>99303.129970104099</v>
      </c>
      <c r="DF32" s="2340">
        <v>99356.649256376404</v>
      </c>
      <c r="DG32" s="2340">
        <v>99341.848266919042</v>
      </c>
      <c r="DH32" s="2340">
        <v>99366.16741986986</v>
      </c>
      <c r="DI32" s="2340">
        <v>99350.623685002021</v>
      </c>
      <c r="DJ32" s="2340">
        <v>99377.03975303183</v>
      </c>
      <c r="DK32" s="2340">
        <v>99401.750456408452</v>
      </c>
      <c r="DL32" s="2340">
        <v>99407.996639003555</v>
      </c>
      <c r="DM32" s="2340">
        <v>99394.867514953134</v>
      </c>
      <c r="DN32" s="2340">
        <v>99402.868843053337</v>
      </c>
      <c r="DO32" s="2340">
        <v>99424.574325493959</v>
      </c>
      <c r="DP32" s="2340">
        <v>99451.896249765181</v>
      </c>
      <c r="DQ32" s="2340">
        <v>99456.477748474819</v>
      </c>
      <c r="DR32" s="2340">
        <v>99461.655222113681</v>
      </c>
      <c r="DS32" s="2340">
        <v>99478.544361209468</v>
      </c>
      <c r="DT32" s="2340">
        <v>99497.471938995921</v>
      </c>
      <c r="DU32" s="2340">
        <v>99515.713931227569</v>
      </c>
    </row>
    <row r="33" spans="1:125" ht="12.75">
      <c r="A33" s="135">
        <v>31</v>
      </c>
      <c r="W33" s="136">
        <v>80860</v>
      </c>
      <c r="X33" s="136">
        <v>81664</v>
      </c>
      <c r="Y33" s="2340">
        <v>81762.574822469775</v>
      </c>
      <c r="Z33" s="2340">
        <v>83794.305242970819</v>
      </c>
      <c r="AA33" s="2340">
        <v>84273.859952194951</v>
      </c>
      <c r="AB33" s="2340">
        <v>84879.952331982131</v>
      </c>
      <c r="AC33" s="2340">
        <v>85752.172003659769</v>
      </c>
      <c r="AD33" s="2340">
        <v>86637.340102479415</v>
      </c>
      <c r="AE33" s="2340">
        <v>86579.267632495204</v>
      </c>
      <c r="AF33" s="2340">
        <v>87714.919479739052</v>
      </c>
      <c r="AG33" s="2340">
        <v>88191.372994409685</v>
      </c>
      <c r="AH33" s="2340">
        <v>88389.00723674045</v>
      </c>
      <c r="AI33" s="2340">
        <v>88818.204839074562</v>
      </c>
      <c r="AJ33" s="2340">
        <v>90013.684007841715</v>
      </c>
      <c r="AK33" s="2340">
        <v>90010.229243642912</v>
      </c>
      <c r="AL33" s="2340">
        <v>90364.606787648037</v>
      </c>
      <c r="AM33" s="2340">
        <v>90632.501818919205</v>
      </c>
      <c r="AN33" s="2340">
        <v>91112.956025640073</v>
      </c>
      <c r="AO33" s="2340">
        <v>91152.259012289825</v>
      </c>
      <c r="AP33" s="2340">
        <v>91251.955714287484</v>
      </c>
      <c r="AQ33" s="2340">
        <v>91334.349829129715</v>
      </c>
      <c r="AR33" s="2340">
        <v>91337.746330921116</v>
      </c>
      <c r="AS33" s="2340">
        <v>90845.239544444616</v>
      </c>
      <c r="AT33" s="2340">
        <v>90171.075250894777</v>
      </c>
      <c r="AU33" s="2340">
        <v>89071.147512496085</v>
      </c>
      <c r="AV33" s="2340">
        <v>89257.54127013289</v>
      </c>
      <c r="AW33" s="2340">
        <v>89570.483792357496</v>
      </c>
      <c r="AX33" s="2340">
        <v>91542.938663734196</v>
      </c>
      <c r="AY33" s="2340">
        <v>93130.457423176791</v>
      </c>
      <c r="AZ33" s="2340">
        <v>93208.339557707441</v>
      </c>
      <c r="BA33" s="2340">
        <v>93266.589190398125</v>
      </c>
      <c r="BB33" s="2340">
        <v>93821.707850665494</v>
      </c>
      <c r="BC33" s="2340">
        <v>94094.473386203506</v>
      </c>
      <c r="BD33" s="2340">
        <v>94390.17036508648</v>
      </c>
      <c r="BE33" s="2340">
        <v>94471.595241942952</v>
      </c>
      <c r="BF33" s="2340">
        <v>94829.693712759181</v>
      </c>
      <c r="BG33" s="2340">
        <v>94997.492309990834</v>
      </c>
      <c r="BH33" s="2340">
        <v>95180.849312501872</v>
      </c>
      <c r="BI33" s="2340">
        <v>95281.841572101359</v>
      </c>
      <c r="BJ33" s="2340">
        <v>95492.441680952848</v>
      </c>
      <c r="BK33" s="2340">
        <v>95743.077931007647</v>
      </c>
      <c r="BL33" s="2340">
        <v>96020.953563792136</v>
      </c>
      <c r="BM33" s="2340">
        <v>96217.678442951597</v>
      </c>
      <c r="BN33" s="2340">
        <v>96446.794188730841</v>
      </c>
      <c r="BO33" s="2340">
        <v>96613.537989151853</v>
      </c>
      <c r="BP33" s="2340">
        <v>96762.084221498139</v>
      </c>
      <c r="BQ33" s="2340">
        <v>96841.871617943063</v>
      </c>
      <c r="BR33" s="2340">
        <v>96939.937100731331</v>
      </c>
      <c r="BS33" s="2340">
        <v>96941.151747805678</v>
      </c>
      <c r="BT33" s="2340">
        <v>97019.355482277198</v>
      </c>
      <c r="BU33" s="2340">
        <v>97070.285216896562</v>
      </c>
      <c r="BV33" s="2340">
        <v>97181.792200322539</v>
      </c>
      <c r="BW33" s="2340">
        <v>97255.810097691734</v>
      </c>
      <c r="BX33" s="2340">
        <v>97370.93096055834</v>
      </c>
      <c r="BY33" s="2340">
        <v>97464.969782067375</v>
      </c>
      <c r="BZ33" s="2340">
        <v>97690.450736023136</v>
      </c>
      <c r="CA33" s="2340">
        <v>97854.247656055901</v>
      </c>
      <c r="CB33" s="2340">
        <v>97967.207610050289</v>
      </c>
      <c r="CC33" s="2340">
        <v>98050.846165893439</v>
      </c>
      <c r="CD33" s="2340">
        <v>98127.10539987337</v>
      </c>
      <c r="CE33" s="2340">
        <v>98215.168348796709</v>
      </c>
      <c r="CF33" s="2340">
        <v>98298.472491682289</v>
      </c>
      <c r="CG33" s="2340">
        <v>98392.964254130449</v>
      </c>
      <c r="CH33" s="2340">
        <v>98456.615072189772</v>
      </c>
      <c r="CI33" s="2340">
        <v>98557.965675991873</v>
      </c>
      <c r="CJ33" s="2340">
        <v>98593.983197206457</v>
      </c>
      <c r="CK33" s="2340">
        <v>98654.705015844957</v>
      </c>
      <c r="CL33" s="2340">
        <v>98750.097178918906</v>
      </c>
      <c r="CM33" s="2340">
        <v>98788.91041678164</v>
      </c>
      <c r="CN33" s="2340">
        <v>98860.575100649861</v>
      </c>
      <c r="CO33" s="2340">
        <v>98885.504564047034</v>
      </c>
      <c r="CP33" s="2340">
        <v>98952.656955361294</v>
      </c>
      <c r="CQ33" s="2340">
        <v>98990.252559917135</v>
      </c>
      <c r="CR33" s="2340">
        <v>99023.645624749435</v>
      </c>
      <c r="CS33" s="2340">
        <v>99071.144847903677</v>
      </c>
      <c r="CT33" s="2340">
        <v>99097.93065801698</v>
      </c>
      <c r="CU33" s="2340">
        <v>99118.969489892232</v>
      </c>
      <c r="CV33" s="2340">
        <v>99123.425921488626</v>
      </c>
      <c r="CW33" s="2340">
        <v>99162.227235033555</v>
      </c>
      <c r="CX33" s="2340">
        <v>99189.829548325026</v>
      </c>
      <c r="CY33" s="2340">
        <v>99207.044833431515</v>
      </c>
      <c r="CZ33" s="2340">
        <v>99196.902376273894</v>
      </c>
      <c r="DA33" s="2340">
        <v>99203.022608115527</v>
      </c>
      <c r="DB33" s="2340">
        <v>99224.267617133373</v>
      </c>
      <c r="DC33" s="2340">
        <v>99259.830963571585</v>
      </c>
      <c r="DD33" s="2340">
        <v>99263.172484248367</v>
      </c>
      <c r="DE33" s="2340">
        <v>99285.00596482071</v>
      </c>
      <c r="DF33" s="2340">
        <v>99338.984043036151</v>
      </c>
      <c r="DG33" s="2340">
        <v>99324.642069838141</v>
      </c>
      <c r="DH33" s="2340">
        <v>99349.401711648927</v>
      </c>
      <c r="DI33" s="2340">
        <v>99334.293741978152</v>
      </c>
      <c r="DJ33" s="2340">
        <v>99361.127530830418</v>
      </c>
      <c r="DK33" s="2340">
        <v>99386.245536810733</v>
      </c>
      <c r="DL33" s="2340">
        <v>99392.891403003057</v>
      </c>
      <c r="DM33" s="2340">
        <v>99380.154527663268</v>
      </c>
      <c r="DN33" s="2340">
        <v>99388.534871887343</v>
      </c>
      <c r="DO33" s="2340">
        <v>99410.607681752532</v>
      </c>
      <c r="DP33" s="2340">
        <v>99438.286752252025</v>
      </c>
      <c r="DQ33" s="2340">
        <v>99443.219296977346</v>
      </c>
      <c r="DR33" s="2340">
        <v>99448.738684314361</v>
      </c>
      <c r="DS33" s="2340">
        <v>99465.959438119287</v>
      </c>
      <c r="DT33" s="2340">
        <v>99485.209865990095</v>
      </c>
      <c r="DU33" s="2340">
        <v>99503.766508741406</v>
      </c>
    </row>
    <row r="34" spans="1:125" ht="12.75">
      <c r="A34" s="135">
        <v>32</v>
      </c>
      <c r="W34" s="136">
        <v>80745</v>
      </c>
      <c r="X34" s="136">
        <v>81559</v>
      </c>
      <c r="Y34" s="2340">
        <v>81656.890739297523</v>
      </c>
      <c r="Z34" s="2340">
        <v>83690.603937057473</v>
      </c>
      <c r="AA34" s="2340">
        <v>84171.482689933677</v>
      </c>
      <c r="AB34" s="2340">
        <v>84785.297729659462</v>
      </c>
      <c r="AC34" s="2340">
        <v>85658.095322644571</v>
      </c>
      <c r="AD34" s="2340">
        <v>86530.336068118355</v>
      </c>
      <c r="AE34" s="2340">
        <v>86480.683141273039</v>
      </c>
      <c r="AF34" s="2340">
        <v>87623.924943603604</v>
      </c>
      <c r="AG34" s="2340">
        <v>88101.702220587482</v>
      </c>
      <c r="AH34" s="2340">
        <v>88304.509442200506</v>
      </c>
      <c r="AI34" s="2340">
        <v>88733.719735414081</v>
      </c>
      <c r="AJ34" s="2340">
        <v>89919.680622711196</v>
      </c>
      <c r="AK34" s="2340">
        <v>89936.126656013192</v>
      </c>
      <c r="AL34" s="2340">
        <v>90291.21772169655</v>
      </c>
      <c r="AM34" s="2340">
        <v>90555.441859255181</v>
      </c>
      <c r="AN34" s="2340">
        <v>91033.862452015397</v>
      </c>
      <c r="AO34" s="2340">
        <v>91077.912787523834</v>
      </c>
      <c r="AP34" s="2340">
        <v>91175.945844926464</v>
      </c>
      <c r="AQ34" s="2340">
        <v>91262.588552463145</v>
      </c>
      <c r="AR34" s="2340">
        <v>91270.224655687154</v>
      </c>
      <c r="AS34" s="2340">
        <v>90765.724062274079</v>
      </c>
      <c r="AT34" s="2340">
        <v>90097.64736929434</v>
      </c>
      <c r="AU34" s="2340">
        <v>88998.52873472331</v>
      </c>
      <c r="AV34" s="2340">
        <v>89186.687829926203</v>
      </c>
      <c r="AW34" s="2340">
        <v>89504.468551192549</v>
      </c>
      <c r="AX34" s="2340">
        <v>91479.707742154409</v>
      </c>
      <c r="AY34" s="2340">
        <v>93064.17628954316</v>
      </c>
      <c r="AZ34" s="2340">
        <v>93139.775569642661</v>
      </c>
      <c r="BA34" s="2340">
        <v>93203.268182716522</v>
      </c>
      <c r="BB34" s="2340">
        <v>93766.001435927828</v>
      </c>
      <c r="BC34" s="2340">
        <v>94040.773326937429</v>
      </c>
      <c r="BD34" s="2340">
        <v>94333.656784036779</v>
      </c>
      <c r="BE34" s="2340">
        <v>94415.558953875516</v>
      </c>
      <c r="BF34" s="2340">
        <v>94769.154976352453</v>
      </c>
      <c r="BG34" s="2340">
        <v>94944.463567664512</v>
      </c>
      <c r="BH34" s="2340">
        <v>95123.955777473457</v>
      </c>
      <c r="BI34" s="2340">
        <v>95226.931974292311</v>
      </c>
      <c r="BJ34" s="2340">
        <v>95444.13000052757</v>
      </c>
      <c r="BK34" s="2340">
        <v>95691.113539561935</v>
      </c>
      <c r="BL34" s="2340">
        <v>95975.779537137656</v>
      </c>
      <c r="BM34" s="2340">
        <v>96170.442841287615</v>
      </c>
      <c r="BN34" s="2340">
        <v>96396.728703132758</v>
      </c>
      <c r="BO34" s="2340">
        <v>96569.099459597332</v>
      </c>
      <c r="BP34" s="2340">
        <v>96721.008102304259</v>
      </c>
      <c r="BQ34" s="2340">
        <v>96805.733513266518</v>
      </c>
      <c r="BR34" s="2340">
        <v>96900.246823607231</v>
      </c>
      <c r="BS34" s="2340">
        <v>96903.542932914774</v>
      </c>
      <c r="BT34" s="2340">
        <v>96986.127028855713</v>
      </c>
      <c r="BU34" s="2340">
        <v>97033.404671356708</v>
      </c>
      <c r="BV34" s="2340">
        <v>97147.37132031878</v>
      </c>
      <c r="BW34" s="2340">
        <v>97225.188794693488</v>
      </c>
      <c r="BX34" s="2340">
        <v>97338.643930119506</v>
      </c>
      <c r="BY34" s="2340">
        <v>97437.427852993234</v>
      </c>
      <c r="BZ34" s="2340">
        <v>97653.72115611803</v>
      </c>
      <c r="CA34" s="2340">
        <v>97824.504154650218</v>
      </c>
      <c r="CB34" s="2340">
        <v>97938.212705273661</v>
      </c>
      <c r="CC34" s="2340">
        <v>98019.62022926964</v>
      </c>
      <c r="CD34" s="2340">
        <v>98100.766500231883</v>
      </c>
      <c r="CE34" s="2340">
        <v>98184.110323787274</v>
      </c>
      <c r="CF34" s="2340">
        <v>98271.140090848043</v>
      </c>
      <c r="CG34" s="2340">
        <v>98360.181907801976</v>
      </c>
      <c r="CH34" s="2340">
        <v>98425.485320018779</v>
      </c>
      <c r="CI34" s="2340">
        <v>98527.218286679054</v>
      </c>
      <c r="CJ34" s="2340">
        <v>98558.325490623931</v>
      </c>
      <c r="CK34" s="2340">
        <v>98626.407806882286</v>
      </c>
      <c r="CL34" s="2340">
        <v>98716.361595168128</v>
      </c>
      <c r="CM34" s="2340">
        <v>98761.061200702126</v>
      </c>
      <c r="CN34" s="2340">
        <v>98832.510702587155</v>
      </c>
      <c r="CO34" s="2340">
        <v>98856.093853136888</v>
      </c>
      <c r="CP34" s="2340">
        <v>98923.961817611707</v>
      </c>
      <c r="CQ34" s="2340">
        <v>98962.263954985872</v>
      </c>
      <c r="CR34" s="2340">
        <v>98996.347318828703</v>
      </c>
      <c r="CS34" s="2340">
        <v>99044.51602725964</v>
      </c>
      <c r="CT34" s="2340">
        <v>99071.960337940181</v>
      </c>
      <c r="CU34" s="2340">
        <v>99093.642856713748</v>
      </c>
      <c r="CV34" s="2340">
        <v>99098.731153429559</v>
      </c>
      <c r="CW34" s="2340">
        <v>99138.140225418931</v>
      </c>
      <c r="CX34" s="2340">
        <v>99166.33799562676</v>
      </c>
      <c r="CY34" s="2340">
        <v>99184.136417607937</v>
      </c>
      <c r="CZ34" s="2340">
        <v>99174.568782073969</v>
      </c>
      <c r="DA34" s="2340">
        <v>99181.24584231172</v>
      </c>
      <c r="DB34" s="2340">
        <v>99203.040153711365</v>
      </c>
      <c r="DC34" s="2340">
        <v>99239.13596246831</v>
      </c>
      <c r="DD34" s="2340">
        <v>99243.003139126551</v>
      </c>
      <c r="DE34" s="2340">
        <v>99265.34526213455</v>
      </c>
      <c r="DF34" s="2340">
        <v>99319.81295299191</v>
      </c>
      <c r="DG34" s="2340">
        <v>99305.961254600566</v>
      </c>
      <c r="DH34" s="2340">
        <v>99331.191466350472</v>
      </c>
      <c r="DI34" s="2340">
        <v>99316.549335739895</v>
      </c>
      <c r="DJ34" s="2340">
        <v>99343.829745708863</v>
      </c>
      <c r="DK34" s="2340">
        <v>99369.383423826788</v>
      </c>
      <c r="DL34" s="2340">
        <v>99376.457044433992</v>
      </c>
      <c r="DM34" s="2340">
        <v>99364.140195776374</v>
      </c>
      <c r="DN34" s="2340">
        <v>99372.926515635787</v>
      </c>
      <c r="DO34" s="2340">
        <v>99395.392913821401</v>
      </c>
      <c r="DP34" s="2340">
        <v>99423.454812233103</v>
      </c>
      <c r="DQ34" s="2340">
        <v>99428.763859947707</v>
      </c>
      <c r="DR34" s="2340">
        <v>99434.650109791663</v>
      </c>
      <c r="DS34" s="2340">
        <v>99452.226800059856</v>
      </c>
      <c r="DT34" s="2340">
        <v>99471.823899250347</v>
      </c>
      <c r="DU34" s="2340">
        <v>99490.718553299099</v>
      </c>
    </row>
    <row r="35" spans="1:125" ht="12.75">
      <c r="A35" s="135">
        <v>33</v>
      </c>
      <c r="W35" s="136">
        <v>80627</v>
      </c>
      <c r="X35" s="136">
        <v>81440</v>
      </c>
      <c r="Y35" s="2340">
        <v>81543.86282514417</v>
      </c>
      <c r="Z35" s="2340">
        <v>83581.287135816368</v>
      </c>
      <c r="AA35" s="2340">
        <v>84061.101834342116</v>
      </c>
      <c r="AB35" s="2340">
        <v>84680.672806036251</v>
      </c>
      <c r="AC35" s="2340">
        <v>85561.683183307279</v>
      </c>
      <c r="AD35" s="2340">
        <v>86437.107315350309</v>
      </c>
      <c r="AE35" s="2340">
        <v>86382.500562204412</v>
      </c>
      <c r="AF35" s="2340">
        <v>87528.204759173575</v>
      </c>
      <c r="AG35" s="2340">
        <v>88012.172485832794</v>
      </c>
      <c r="AH35" s="2340">
        <v>88212.030760990892</v>
      </c>
      <c r="AI35" s="2340">
        <v>88641.728737292928</v>
      </c>
      <c r="AJ35" s="2340">
        <v>89833.243996911027</v>
      </c>
      <c r="AK35" s="2340">
        <v>89846.492883279847</v>
      </c>
      <c r="AL35" s="2340">
        <v>90210.111612715395</v>
      </c>
      <c r="AM35" s="2340">
        <v>90470.043133574727</v>
      </c>
      <c r="AN35" s="2340">
        <v>90955.972133947711</v>
      </c>
      <c r="AO35" s="2340">
        <v>90997.35896314586</v>
      </c>
      <c r="AP35" s="2340">
        <v>91097.878810220776</v>
      </c>
      <c r="AQ35" s="2340">
        <v>91183.069580864278</v>
      </c>
      <c r="AR35" s="2340">
        <v>91188.65012143417</v>
      </c>
      <c r="AS35" s="2340">
        <v>90689.401929799715</v>
      </c>
      <c r="AT35" s="2340">
        <v>90023.467110643338</v>
      </c>
      <c r="AU35" s="2340">
        <v>88923.623734422858</v>
      </c>
      <c r="AV35" s="2340">
        <v>89113.632072327688</v>
      </c>
      <c r="AW35" s="2340">
        <v>89433.72625425701</v>
      </c>
      <c r="AX35" s="2340">
        <v>91405.992277641708</v>
      </c>
      <c r="AY35" s="2340">
        <v>92995.301792297818</v>
      </c>
      <c r="AZ35" s="2340">
        <v>93075.019979731471</v>
      </c>
      <c r="BA35" s="2340">
        <v>93141.379330320618</v>
      </c>
      <c r="BB35" s="2340">
        <v>93703.054222499268</v>
      </c>
      <c r="BC35" s="2340">
        <v>93976.148179256576</v>
      </c>
      <c r="BD35" s="2340">
        <v>94276.258460331621</v>
      </c>
      <c r="BE35" s="2340">
        <v>94352.839933783951</v>
      </c>
      <c r="BF35" s="2340">
        <v>94707.986400910129</v>
      </c>
      <c r="BG35" s="2340">
        <v>94881.240312981565</v>
      </c>
      <c r="BH35" s="2340">
        <v>95063.702719575755</v>
      </c>
      <c r="BI35" s="2340">
        <v>95165.703809416053</v>
      </c>
      <c r="BJ35" s="2340">
        <v>95388.401862846906</v>
      </c>
      <c r="BK35" s="2340">
        <v>95634.967514158794</v>
      </c>
      <c r="BL35" s="2340">
        <v>95918.929967538701</v>
      </c>
      <c r="BM35" s="2340">
        <v>96124.354937455224</v>
      </c>
      <c r="BN35" s="2340">
        <v>96348.421521118915</v>
      </c>
      <c r="BO35" s="2340">
        <v>96527.030345597901</v>
      </c>
      <c r="BP35" s="2340">
        <v>96678.382617698764</v>
      </c>
      <c r="BQ35" s="2340">
        <v>96759.062633886249</v>
      </c>
      <c r="BR35" s="2340">
        <v>96860.924473968014</v>
      </c>
      <c r="BS35" s="2340">
        <v>96868.665674618998</v>
      </c>
      <c r="BT35" s="2340">
        <v>96950.355593981672</v>
      </c>
      <c r="BU35" s="2340">
        <v>97000.563501938377</v>
      </c>
      <c r="BV35" s="2340">
        <v>97112.051684168662</v>
      </c>
      <c r="BW35" s="2340">
        <v>97192.530800520894</v>
      </c>
      <c r="BX35" s="2340">
        <v>97305.950245375323</v>
      </c>
      <c r="BY35" s="2340">
        <v>97404.737748081199</v>
      </c>
      <c r="BZ35" s="2340">
        <v>97621.76511452705</v>
      </c>
      <c r="CA35" s="2340">
        <v>97789.316158161848</v>
      </c>
      <c r="CB35" s="2340">
        <v>97904.569607140773</v>
      </c>
      <c r="CC35" s="2340">
        <v>97987.524453148246</v>
      </c>
      <c r="CD35" s="2340">
        <v>98071.684395843884</v>
      </c>
      <c r="CE35" s="2340">
        <v>98150.958522643326</v>
      </c>
      <c r="CF35" s="2340">
        <v>98234.371652971939</v>
      </c>
      <c r="CG35" s="2340">
        <v>98326.931295102375</v>
      </c>
      <c r="CH35" s="2340">
        <v>98393.121323159881</v>
      </c>
      <c r="CI35" s="2340">
        <v>98495.013731251092</v>
      </c>
      <c r="CJ35" s="2340">
        <v>98524.837170122759</v>
      </c>
      <c r="CK35" s="2340">
        <v>98592.423215256349</v>
      </c>
      <c r="CL35" s="2340">
        <v>98687.289381471273</v>
      </c>
      <c r="CM35" s="2340">
        <v>98725.139164755208</v>
      </c>
      <c r="CN35" s="2340">
        <v>98800.042284160809</v>
      </c>
      <c r="CO35" s="2340">
        <v>98824.418740221096</v>
      </c>
      <c r="CP35" s="2340">
        <v>98893.046789436208</v>
      </c>
      <c r="CQ35" s="2340">
        <v>98932.099798350784</v>
      </c>
      <c r="CR35" s="2340">
        <v>98966.917054980499</v>
      </c>
      <c r="CS35" s="2340">
        <v>99015.797719922863</v>
      </c>
      <c r="CT35" s="2340">
        <v>99043.94263147765</v>
      </c>
      <c r="CU35" s="2340">
        <v>99066.310250883427</v>
      </c>
      <c r="CV35" s="2340">
        <v>99072.071361361654</v>
      </c>
      <c r="CW35" s="2340">
        <v>99112.127680017322</v>
      </c>
      <c r="CX35" s="2340">
        <v>99140.95985618062</v>
      </c>
      <c r="CY35" s="2340">
        <v>99159.37980963735</v>
      </c>
      <c r="CZ35" s="2340">
        <v>99150.425146693015</v>
      </c>
      <c r="DA35" s="2340">
        <v>99157.704976426874</v>
      </c>
      <c r="DB35" s="2340">
        <v>99180.08351040259</v>
      </c>
      <c r="DC35" s="2340">
        <v>99216.745817266754</v>
      </c>
      <c r="DD35" s="2340">
        <v>99221.172604869702</v>
      </c>
      <c r="DE35" s="2340">
        <v>99244.056389931007</v>
      </c>
      <c r="DF35" s="2340">
        <v>99299.045586779423</v>
      </c>
      <c r="DG35" s="2340">
        <v>99285.716553043894</v>
      </c>
      <c r="DH35" s="2340">
        <v>99311.4485077438</v>
      </c>
      <c r="DI35" s="2340">
        <v>99297.303412778929</v>
      </c>
      <c r="DJ35" s="2340">
        <v>99325.060425212985</v>
      </c>
      <c r="DK35" s="2340">
        <v>99351.079222751578</v>
      </c>
      <c r="DL35" s="2340">
        <v>99358.609756796315</v>
      </c>
      <c r="DM35" s="2340">
        <v>99346.741811309286</v>
      </c>
      <c r="DN35" s="2340">
        <v>99355.962140969699</v>
      </c>
      <c r="DO35" s="2340">
        <v>99378.849445608168</v>
      </c>
      <c r="DP35" s="2340">
        <v>99407.320900095583</v>
      </c>
      <c r="DQ35" s="2340">
        <v>99413.032965811333</v>
      </c>
      <c r="DR35" s="2340">
        <v>99419.312077453666</v>
      </c>
      <c r="DS35" s="2340">
        <v>99437.27006014144</v>
      </c>
      <c r="DT35" s="2340">
        <v>99457.23867730677</v>
      </c>
      <c r="DU35" s="2340">
        <v>99476.495721979823</v>
      </c>
    </row>
    <row r="36" spans="1:125" ht="12.75">
      <c r="A36" s="135">
        <v>34</v>
      </c>
      <c r="W36" s="136">
        <v>80513</v>
      </c>
      <c r="X36" s="136">
        <v>81319</v>
      </c>
      <c r="Y36" s="2340">
        <v>81435.645175520636</v>
      </c>
      <c r="Z36" s="2340">
        <v>83474.70089943739</v>
      </c>
      <c r="AA36" s="2340">
        <v>83960.138376196919</v>
      </c>
      <c r="AB36" s="2340">
        <v>84574.688758197415</v>
      </c>
      <c r="AC36" s="2340">
        <v>85457.123486467244</v>
      </c>
      <c r="AD36" s="2340">
        <v>86337.586637474087</v>
      </c>
      <c r="AE36" s="2340">
        <v>86279.96359277294</v>
      </c>
      <c r="AF36" s="2340">
        <v>87432.784962896287</v>
      </c>
      <c r="AG36" s="2340">
        <v>87919.464772360283</v>
      </c>
      <c r="AH36" s="2340">
        <v>88117.01856451208</v>
      </c>
      <c r="AI36" s="2340">
        <v>88538.626399248329</v>
      </c>
      <c r="AJ36" s="2340">
        <v>89742.941199466193</v>
      </c>
      <c r="AK36" s="2340">
        <v>89759.951585385628</v>
      </c>
      <c r="AL36" s="2340">
        <v>90124.474204779151</v>
      </c>
      <c r="AM36" s="2340">
        <v>90380.394756217967</v>
      </c>
      <c r="AN36" s="2340">
        <v>90869.559653692108</v>
      </c>
      <c r="AO36" s="2340">
        <v>90909.718779655988</v>
      </c>
      <c r="AP36" s="2340">
        <v>91016.17726172664</v>
      </c>
      <c r="AQ36" s="2340">
        <v>91102.485821548864</v>
      </c>
      <c r="AR36" s="2340">
        <v>91107.484581315948</v>
      </c>
      <c r="AS36" s="2340">
        <v>90609.010215051443</v>
      </c>
      <c r="AT36" s="2340">
        <v>89935.65804507662</v>
      </c>
      <c r="AU36" s="2340">
        <v>88841.410854462199</v>
      </c>
      <c r="AV36" s="2340">
        <v>89032.756710797563</v>
      </c>
      <c r="AW36" s="2340">
        <v>89359.837910095666</v>
      </c>
      <c r="AX36" s="2340">
        <v>91338.985006384915</v>
      </c>
      <c r="AY36" s="2340">
        <v>92918.575578593183</v>
      </c>
      <c r="AZ36" s="2340">
        <v>93005.316460169008</v>
      </c>
      <c r="BA36" s="2340">
        <v>93071.438218201423</v>
      </c>
      <c r="BB36" s="2340">
        <v>93640.265814874481</v>
      </c>
      <c r="BC36" s="2340">
        <v>93911.464442692857</v>
      </c>
      <c r="BD36" s="2340">
        <v>94215.61474618486</v>
      </c>
      <c r="BE36" s="2340">
        <v>94286.554232104128</v>
      </c>
      <c r="BF36" s="2340">
        <v>94647.087421862554</v>
      </c>
      <c r="BG36" s="2340">
        <v>94812.558717637119</v>
      </c>
      <c r="BH36" s="2340">
        <v>95000.173375311788</v>
      </c>
      <c r="BI36" s="2340">
        <v>95102.759796294951</v>
      </c>
      <c r="BJ36" s="2340">
        <v>95319.02658762096</v>
      </c>
      <c r="BK36" s="2340">
        <v>95573.443999492025</v>
      </c>
      <c r="BL36" s="2340">
        <v>95863.445841707318</v>
      </c>
      <c r="BM36" s="2340">
        <v>96073.672779625602</v>
      </c>
      <c r="BN36" s="2340">
        <v>96300.135683077038</v>
      </c>
      <c r="BO36" s="2340">
        <v>96479.00549701725</v>
      </c>
      <c r="BP36" s="2340">
        <v>96630.789497119404</v>
      </c>
      <c r="BQ36" s="2340">
        <v>96716.733076007673</v>
      </c>
      <c r="BR36" s="2340">
        <v>96822.443399590382</v>
      </c>
      <c r="BS36" s="2340">
        <v>96830.035570285181</v>
      </c>
      <c r="BT36" s="2340">
        <v>96910.700253442017</v>
      </c>
      <c r="BU36" s="2340">
        <v>96962.940931702993</v>
      </c>
      <c r="BV36" s="2340">
        <v>97078.102008442438</v>
      </c>
      <c r="BW36" s="2340">
        <v>97150.317796376621</v>
      </c>
      <c r="BX36" s="2340">
        <v>97271.383150599009</v>
      </c>
      <c r="BY36" s="2340">
        <v>97369.844608452433</v>
      </c>
      <c r="BZ36" s="2340">
        <v>97588.507344086858</v>
      </c>
      <c r="CA36" s="2340">
        <v>97751.052071873244</v>
      </c>
      <c r="CB36" s="2340">
        <v>97865.032891744151</v>
      </c>
      <c r="CC36" s="2340">
        <v>97948.265004428904</v>
      </c>
      <c r="CD36" s="2340">
        <v>98036.405759858375</v>
      </c>
      <c r="CE36" s="2340">
        <v>98115.59598469465</v>
      </c>
      <c r="CF36" s="2340">
        <v>98199.474112397394</v>
      </c>
      <c r="CG36" s="2340">
        <v>98292.466656897246</v>
      </c>
      <c r="CH36" s="2340">
        <v>98355.979607158966</v>
      </c>
      <c r="CI36" s="2340">
        <v>98460.763731604369</v>
      </c>
      <c r="CJ36" s="2340">
        <v>98489.33595609339</v>
      </c>
      <c r="CK36" s="2340">
        <v>98560.057887278454</v>
      </c>
      <c r="CL36" s="2340">
        <v>98648.196456900274</v>
      </c>
      <c r="CM36" s="2340">
        <v>98689.392806836608</v>
      </c>
      <c r="CN36" s="2340">
        <v>98765.139263984907</v>
      </c>
      <c r="CO36" s="2340">
        <v>98790.356596317884</v>
      </c>
      <c r="CP36" s="2340">
        <v>98859.790384395499</v>
      </c>
      <c r="CQ36" s="2340">
        <v>98899.639791769616</v>
      </c>
      <c r="CR36" s="2340">
        <v>98935.23573621668</v>
      </c>
      <c r="CS36" s="2340">
        <v>98984.872020310315</v>
      </c>
      <c r="CT36" s="2340">
        <v>99013.76085521713</v>
      </c>
      <c r="CU36" s="2340">
        <v>99036.856222824485</v>
      </c>
      <c r="CV36" s="2340">
        <v>99043.332352625948</v>
      </c>
      <c r="CW36" s="2340">
        <v>99084.076626705209</v>
      </c>
      <c r="CX36" s="2340">
        <v>99113.583393860812</v>
      </c>
      <c r="CY36" s="2340">
        <v>99132.664522778694</v>
      </c>
      <c r="CZ36" s="2340">
        <v>99124.370285429599</v>
      </c>
      <c r="DA36" s="2340">
        <v>99132.290053627308</v>
      </c>
      <c r="DB36" s="2340">
        <v>99155.289033955516</v>
      </c>
      <c r="DC36" s="2340">
        <v>99192.553158741619</v>
      </c>
      <c r="DD36" s="2340">
        <v>99197.57482658574</v>
      </c>
      <c r="DE36" s="2340">
        <v>99221.034582752531</v>
      </c>
      <c r="DF36" s="2340">
        <v>99276.578429591144</v>
      </c>
      <c r="DG36" s="2340">
        <v>99263.805766487101</v>
      </c>
      <c r="DH36" s="2340">
        <v>99290.071906587327</v>
      </c>
      <c r="DI36" s="2340">
        <v>99276.45634699722</v>
      </c>
      <c r="DJ36" s="2340">
        <v>99304.721197233492</v>
      </c>
      <c r="DK36" s="2340">
        <v>99331.235810289305</v>
      </c>
      <c r="DL36" s="2340">
        <v>99339.253676238252</v>
      </c>
      <c r="DM36" s="2340">
        <v>99327.864780375778</v>
      </c>
      <c r="DN36" s="2340">
        <v>99337.548395463818</v>
      </c>
      <c r="DO36" s="2340">
        <v>99360.885145080596</v>
      </c>
      <c r="DP36" s="2340">
        <v>99389.794090808689</v>
      </c>
      <c r="DQ36" s="2340">
        <v>99395.936908713789</v>
      </c>
      <c r="DR36" s="2340">
        <v>99402.636090994463</v>
      </c>
      <c r="DS36" s="2340">
        <v>99421.00191205772</v>
      </c>
      <c r="DT36" s="2340">
        <v>99441.368072924</v>
      </c>
      <c r="DU36" s="2340">
        <v>99461.013057922144</v>
      </c>
    </row>
    <row r="37" spans="1:125" ht="12.75">
      <c r="A37" s="135">
        <v>35</v>
      </c>
      <c r="W37" s="136">
        <v>80387</v>
      </c>
      <c r="X37" s="136">
        <v>81205</v>
      </c>
      <c r="Y37" s="2340">
        <v>81317.170694730885</v>
      </c>
      <c r="Z37" s="2340">
        <v>83358.46291109272</v>
      </c>
      <c r="AA37" s="2340">
        <v>83846.561255717927</v>
      </c>
      <c r="AB37" s="2340">
        <v>84461.220963679152</v>
      </c>
      <c r="AC37" s="2340">
        <v>85354.793672596643</v>
      </c>
      <c r="AD37" s="2340">
        <v>86237.540664728629</v>
      </c>
      <c r="AE37" s="2340">
        <v>86173.388787814925</v>
      </c>
      <c r="AF37" s="2340">
        <v>87329.926181463044</v>
      </c>
      <c r="AG37" s="2340">
        <v>87816.907730579682</v>
      </c>
      <c r="AH37" s="2340">
        <v>88013.333966411927</v>
      </c>
      <c r="AI37" s="2340">
        <v>88442.451892367375</v>
      </c>
      <c r="AJ37" s="2340">
        <v>89645.335098120864</v>
      </c>
      <c r="AK37" s="2340">
        <v>89660.420657179609</v>
      </c>
      <c r="AL37" s="2340">
        <v>90029.677033041604</v>
      </c>
      <c r="AM37" s="2340">
        <v>90293.493024520125</v>
      </c>
      <c r="AN37" s="2340">
        <v>90779.751086980221</v>
      </c>
      <c r="AO37" s="2340">
        <v>90817.040455300725</v>
      </c>
      <c r="AP37" s="2340">
        <v>90925.795763809612</v>
      </c>
      <c r="AQ37" s="2340">
        <v>91015.344458103456</v>
      </c>
      <c r="AR37" s="2340">
        <v>91024.843860139677</v>
      </c>
      <c r="AS37" s="2340">
        <v>90517.852060384437</v>
      </c>
      <c r="AT37" s="2340">
        <v>89847.129488879946</v>
      </c>
      <c r="AU37" s="2340">
        <v>88768.482243703096</v>
      </c>
      <c r="AV37" s="2340">
        <v>88953.936332391982</v>
      </c>
      <c r="AW37" s="2340">
        <v>89287.142300476873</v>
      </c>
      <c r="AX37" s="2340">
        <v>91263.6852620196</v>
      </c>
      <c r="AY37" s="2340">
        <v>92843.937780641369</v>
      </c>
      <c r="AZ37" s="2340">
        <v>92938.377080638762</v>
      </c>
      <c r="BA37" s="2340">
        <v>92995.753107148048</v>
      </c>
      <c r="BB37" s="2340">
        <v>93571.059023815775</v>
      </c>
      <c r="BC37" s="2340">
        <v>93840.173637635016</v>
      </c>
      <c r="BD37" s="2340">
        <v>94148.979378178657</v>
      </c>
      <c r="BE37" s="2340">
        <v>94211.290501424839</v>
      </c>
      <c r="BF37" s="2340">
        <v>94576.010315466061</v>
      </c>
      <c r="BG37" s="2340">
        <v>94738.182081443665</v>
      </c>
      <c r="BH37" s="2340">
        <v>94928.38404971514</v>
      </c>
      <c r="BI37" s="2340">
        <v>95035.630393360436</v>
      </c>
      <c r="BJ37" s="2340">
        <v>95250.409835034967</v>
      </c>
      <c r="BK37" s="2340">
        <v>95509.944220454185</v>
      </c>
      <c r="BL37" s="2340">
        <v>95803.147468180323</v>
      </c>
      <c r="BM37" s="2340">
        <v>96017.758485217491</v>
      </c>
      <c r="BN37" s="2340">
        <v>96246.961060456029</v>
      </c>
      <c r="BO37" s="2340">
        <v>96429.914126260133</v>
      </c>
      <c r="BP37" s="2340">
        <v>96584.369776377061</v>
      </c>
      <c r="BQ37" s="2340">
        <v>96670.24764925013</v>
      </c>
      <c r="BR37" s="2340">
        <v>96775.854353613962</v>
      </c>
      <c r="BS37" s="2340">
        <v>96784.114542644937</v>
      </c>
      <c r="BT37" s="2340">
        <v>96873.211193317402</v>
      </c>
      <c r="BU37" s="2340">
        <v>96920.703123572806</v>
      </c>
      <c r="BV37" s="2340">
        <v>97040.169243118522</v>
      </c>
      <c r="BW37" s="2340">
        <v>97114.134911604546</v>
      </c>
      <c r="BX37" s="2340">
        <v>97231.067802774822</v>
      </c>
      <c r="BY37" s="2340">
        <v>97325.211093975566</v>
      </c>
      <c r="BZ37" s="2340">
        <v>97549.152374518613</v>
      </c>
      <c r="CA37" s="2340">
        <v>97710.245428528215</v>
      </c>
      <c r="CB37" s="2340">
        <v>97827.013378079224</v>
      </c>
      <c r="CC37" s="2340">
        <v>97913.40038835819</v>
      </c>
      <c r="CD37" s="2340">
        <v>97995.674227897529</v>
      </c>
      <c r="CE37" s="2340">
        <v>98074.368748855515</v>
      </c>
      <c r="CF37" s="2340">
        <v>98162.992465100135</v>
      </c>
      <c r="CG37" s="2340">
        <v>98251.337779035341</v>
      </c>
      <c r="CH37" s="2340">
        <v>98317.967205572029</v>
      </c>
      <c r="CI37" s="2340">
        <v>98423.091467949533</v>
      </c>
      <c r="CJ37" s="2340">
        <v>98451.776155848347</v>
      </c>
      <c r="CK37" s="2340">
        <v>98518.036836391053</v>
      </c>
      <c r="CL37" s="2340">
        <v>98608.896273873281</v>
      </c>
      <c r="CM37" s="2340">
        <v>98651.019418728698</v>
      </c>
      <c r="CN37" s="2340">
        <v>98727.657709392544</v>
      </c>
      <c r="CO37" s="2340">
        <v>98753.76488559437</v>
      </c>
      <c r="CP37" s="2340">
        <v>98824.051409453052</v>
      </c>
      <c r="CQ37" s="2340">
        <v>98864.744136137888</v>
      </c>
      <c r="CR37" s="2340">
        <v>98901.164970718804</v>
      </c>
      <c r="CS37" s="2340">
        <v>98951.601930731209</v>
      </c>
      <c r="CT37" s="2340">
        <v>98981.279439728678</v>
      </c>
      <c r="CU37" s="2340">
        <v>99005.146643399959</v>
      </c>
      <c r="CV37" s="2340">
        <v>99012.381463765443</v>
      </c>
      <c r="CW37" s="2340">
        <v>99053.8558240969</v>
      </c>
      <c r="CX37" s="2340">
        <v>99084.078806058969</v>
      </c>
      <c r="CY37" s="2340">
        <v>99103.869453897452</v>
      </c>
      <c r="CZ37" s="2340">
        <v>99096.275433186151</v>
      </c>
      <c r="DA37" s="2340">
        <v>99104.873906711509</v>
      </c>
      <c r="DB37" s="2340">
        <v>99128.531127364171</v>
      </c>
      <c r="DC37" s="2340">
        <v>99166.433933767388</v>
      </c>
      <c r="DD37" s="2340">
        <v>99172.087326474837</v>
      </c>
      <c r="DE37" s="2340">
        <v>99196.158905935459</v>
      </c>
      <c r="DF37" s="2340">
        <v>99252.292041859619</v>
      </c>
      <c r="DG37" s="2340">
        <v>99240.111022853307</v>
      </c>
      <c r="DH37" s="2340">
        <v>99266.945301406216</v>
      </c>
      <c r="DI37" s="2340">
        <v>99253.893323462922</v>
      </c>
      <c r="DJ37" s="2340">
        <v>99282.698733936617</v>
      </c>
      <c r="DK37" s="2340">
        <v>99309.741337078289</v>
      </c>
      <c r="DL37" s="2340">
        <v>99318.278441550807</v>
      </c>
      <c r="DM37" s="2340">
        <v>99307.40023956314</v>
      </c>
      <c r="DN37" s="2340">
        <v>99317.577878332057</v>
      </c>
      <c r="DO37" s="2340">
        <v>99341.39404758696</v>
      </c>
      <c r="DP37" s="2340">
        <v>99370.76983830001</v>
      </c>
      <c r="DQ37" s="2340">
        <v>99377.372573093962</v>
      </c>
      <c r="DR37" s="2340">
        <v>99384.520452312237</v>
      </c>
      <c r="DS37" s="2340">
        <v>99403.322050804447</v>
      </c>
      <c r="DT37" s="2340">
        <v>99424.113159828456</v>
      </c>
      <c r="DU37" s="2340">
        <v>99444.1730018612</v>
      </c>
    </row>
    <row r="38" spans="1:125" ht="12.75">
      <c r="A38" s="135">
        <v>36</v>
      </c>
      <c r="W38" s="136">
        <v>80265</v>
      </c>
      <c r="X38" s="136">
        <v>81083</v>
      </c>
      <c r="Y38" s="2340">
        <v>81201.665316214101</v>
      </c>
      <c r="Z38" s="2340">
        <v>83235.695986843915</v>
      </c>
      <c r="AA38" s="2340">
        <v>83723.937688166436</v>
      </c>
      <c r="AB38" s="2340">
        <v>84340.817950518758</v>
      </c>
      <c r="AC38" s="2340">
        <v>85239.270721818204</v>
      </c>
      <c r="AD38" s="2340">
        <v>86121.649890933812</v>
      </c>
      <c r="AE38" s="2340">
        <v>86061.613854718482</v>
      </c>
      <c r="AF38" s="2340">
        <v>87220.688340607972</v>
      </c>
      <c r="AG38" s="2340">
        <v>87706.064456784574</v>
      </c>
      <c r="AH38" s="2340">
        <v>87907.914062526077</v>
      </c>
      <c r="AI38" s="2340">
        <v>88334.464939511017</v>
      </c>
      <c r="AJ38" s="2340">
        <v>89532.581745478747</v>
      </c>
      <c r="AK38" s="2340">
        <v>89555.448073338164</v>
      </c>
      <c r="AL38" s="2340">
        <v>89921.423079865708</v>
      </c>
      <c r="AM38" s="2340">
        <v>90202.841492931417</v>
      </c>
      <c r="AN38" s="2340">
        <v>90680.909264329355</v>
      </c>
      <c r="AO38" s="2340">
        <v>90723.49887760944</v>
      </c>
      <c r="AP38" s="2340">
        <v>90833.668666501151</v>
      </c>
      <c r="AQ38" s="2340">
        <v>90920.643597728253</v>
      </c>
      <c r="AR38" s="2340">
        <v>90924.738605283244</v>
      </c>
      <c r="AS38" s="2340">
        <v>90427.243446061402</v>
      </c>
      <c r="AT38" s="2340">
        <v>89756.070435276328</v>
      </c>
      <c r="AU38" s="2340">
        <v>88679.11565450624</v>
      </c>
      <c r="AV38" s="2340">
        <v>88870.033897599991</v>
      </c>
      <c r="AW38" s="2340">
        <v>89200.001641850598</v>
      </c>
      <c r="AX38" s="2340">
        <v>91179.589118138159</v>
      </c>
      <c r="AY38" s="2340">
        <v>92755.443247011222</v>
      </c>
      <c r="AZ38" s="2340">
        <v>92867.973203173286</v>
      </c>
      <c r="BA38" s="2340">
        <v>92921.90803181089</v>
      </c>
      <c r="BB38" s="2340">
        <v>93497.256793307373</v>
      </c>
      <c r="BC38" s="2340">
        <v>93765.607066978278</v>
      </c>
      <c r="BD38" s="2340">
        <v>94075.308595339113</v>
      </c>
      <c r="BE38" s="2340">
        <v>94133.129376220721</v>
      </c>
      <c r="BF38" s="2340">
        <v>94500.279264628261</v>
      </c>
      <c r="BG38" s="2340">
        <v>94662.807748393127</v>
      </c>
      <c r="BH38" s="2340">
        <v>94863.004856835047</v>
      </c>
      <c r="BI38" s="2340">
        <v>94963.062096206908</v>
      </c>
      <c r="BJ38" s="2340">
        <v>95176.944715253281</v>
      </c>
      <c r="BK38" s="2340">
        <v>95447.33046571193</v>
      </c>
      <c r="BL38" s="2340">
        <v>95736.254895791062</v>
      </c>
      <c r="BM38" s="2340">
        <v>95959.670097037597</v>
      </c>
      <c r="BN38" s="2340">
        <v>96192.503521075589</v>
      </c>
      <c r="BO38" s="2340">
        <v>96373.166928427207</v>
      </c>
      <c r="BP38" s="2340">
        <v>96530.732260519013</v>
      </c>
      <c r="BQ38" s="2340">
        <v>96616.597644406662</v>
      </c>
      <c r="BR38" s="2340">
        <v>96726.698919765098</v>
      </c>
      <c r="BS38" s="2340">
        <v>96739.739971592397</v>
      </c>
      <c r="BT38" s="2340">
        <v>96827.029401385706</v>
      </c>
      <c r="BU38" s="2340">
        <v>96876.218519125308</v>
      </c>
      <c r="BV38" s="2340">
        <v>96997.689506766779</v>
      </c>
      <c r="BW38" s="2340">
        <v>97073.738190119286</v>
      </c>
      <c r="BX38" s="2340">
        <v>97186.902311887112</v>
      </c>
      <c r="BY38" s="2340">
        <v>97290.324654992321</v>
      </c>
      <c r="BZ38" s="2340">
        <v>97504.658886202102</v>
      </c>
      <c r="CA38" s="2340">
        <v>97666.777832251086</v>
      </c>
      <c r="CB38" s="2340">
        <v>97787.018034199325</v>
      </c>
      <c r="CC38" s="2340">
        <v>97875.647082594151</v>
      </c>
      <c r="CD38" s="2340">
        <v>97952.084492200491</v>
      </c>
      <c r="CE38" s="2340">
        <v>98035.400204656384</v>
      </c>
      <c r="CF38" s="2340">
        <v>98121.497976726212</v>
      </c>
      <c r="CG38" s="2340">
        <v>98208.394545824442</v>
      </c>
      <c r="CH38" s="2340">
        <v>98267.146480135634</v>
      </c>
      <c r="CI38" s="2340">
        <v>98379.698399762157</v>
      </c>
      <c r="CJ38" s="2340">
        <v>98407.979699770498</v>
      </c>
      <c r="CK38" s="2340">
        <v>98474.906339405396</v>
      </c>
      <c r="CL38" s="2340">
        <v>98566.746476280154</v>
      </c>
      <c r="CM38" s="2340">
        <v>98609.848396006302</v>
      </c>
      <c r="CN38" s="2340">
        <v>98687.42867635451</v>
      </c>
      <c r="CO38" s="2340">
        <v>98714.476416716381</v>
      </c>
      <c r="CP38" s="2340">
        <v>98785.664355853834</v>
      </c>
      <c r="CQ38" s="2340">
        <v>98827.249058795802</v>
      </c>
      <c r="CR38" s="2340">
        <v>98864.542731381473</v>
      </c>
      <c r="CS38" s="2340">
        <v>98915.82714831944</v>
      </c>
      <c r="CT38" s="2340">
        <v>98946.339840665052</v>
      </c>
      <c r="CU38" s="2340">
        <v>98971.024735414452</v>
      </c>
      <c r="CV38" s="2340">
        <v>98979.063709190523</v>
      </c>
      <c r="CW38" s="2340">
        <v>99021.312022283717</v>
      </c>
      <c r="CX38" s="2340">
        <v>99052.301175998015</v>
      </c>
      <c r="CY38" s="2340">
        <v>99072.843226685887</v>
      </c>
      <c r="CZ38" s="2340">
        <v>99065.991211485336</v>
      </c>
      <c r="DA38" s="2340">
        <v>99075.309114799034</v>
      </c>
      <c r="DB38" s="2340">
        <v>99099.664289535343</v>
      </c>
      <c r="DC38" s="2340">
        <v>99138.244525097878</v>
      </c>
      <c r="DD38" s="2340">
        <v>99144.568402275909</v>
      </c>
      <c r="DE38" s="2340">
        <v>99169.289529880771</v>
      </c>
      <c r="DF38" s="2340">
        <v>99226.04840625629</v>
      </c>
      <c r="DG38" s="2340">
        <v>99214.496196047112</v>
      </c>
      <c r="DH38" s="2340">
        <v>99241.934387101603</v>
      </c>
      <c r="DI38" s="2340">
        <v>99229.481895192366</v>
      </c>
      <c r="DJ38" s="2340">
        <v>99258.862373682961</v>
      </c>
      <c r="DK38" s="2340">
        <v>99286.466912869961</v>
      </c>
      <c r="DL38" s="2340">
        <v>99295.556941163843</v>
      </c>
      <c r="DM38" s="2340">
        <v>99285.222863344301</v>
      </c>
      <c r="DN38" s="2340">
        <v>99295.927006005688</v>
      </c>
      <c r="DO38" s="2340">
        <v>99320.254277595959</v>
      </c>
      <c r="DP38" s="2340">
        <v>99350.1279515918</v>
      </c>
      <c r="DQ38" s="2340">
        <v>99357.221463071619</v>
      </c>
      <c r="DR38" s="2340">
        <v>99364.848342565005</v>
      </c>
      <c r="DS38" s="2340">
        <v>99384.115303659681</v>
      </c>
      <c r="DT38" s="2340">
        <v>99405.360392109535</v>
      </c>
      <c r="DU38" s="2340">
        <v>99425.863618543095</v>
      </c>
    </row>
    <row r="39" spans="1:125" ht="12.75">
      <c r="A39" s="135">
        <v>37</v>
      </c>
      <c r="W39" s="136">
        <v>80133</v>
      </c>
      <c r="X39" s="136">
        <v>80955</v>
      </c>
      <c r="Y39" s="2340">
        <v>81069.72642890735</v>
      </c>
      <c r="Z39" s="2340">
        <v>83108.754712258407</v>
      </c>
      <c r="AA39" s="2340">
        <v>83601.394190858307</v>
      </c>
      <c r="AB39" s="2340">
        <v>84229.221195505263</v>
      </c>
      <c r="AC39" s="2340">
        <v>85119.403549811017</v>
      </c>
      <c r="AD39" s="2340">
        <v>86004.10707824018</v>
      </c>
      <c r="AE39" s="2340">
        <v>85952.142441743636</v>
      </c>
      <c r="AF39" s="2340">
        <v>87102.992400965217</v>
      </c>
      <c r="AG39" s="2340">
        <v>87593.772608062354</v>
      </c>
      <c r="AH39" s="2340">
        <v>87798.65630920502</v>
      </c>
      <c r="AI39" s="2340">
        <v>88215.745978622901</v>
      </c>
      <c r="AJ39" s="2340">
        <v>89413.67513314134</v>
      </c>
      <c r="AK39" s="2340">
        <v>89444.273607002295</v>
      </c>
      <c r="AL39" s="2340">
        <v>89813.788984941915</v>
      </c>
      <c r="AM39" s="2340">
        <v>90103.540188846484</v>
      </c>
      <c r="AN39" s="2340">
        <v>90577.754891456381</v>
      </c>
      <c r="AO39" s="2340">
        <v>90619.590150685486</v>
      </c>
      <c r="AP39" s="2340">
        <v>90734.755315227914</v>
      </c>
      <c r="AQ39" s="2340">
        <v>90825.467259815559</v>
      </c>
      <c r="AR39" s="2340">
        <v>90829.036614141412</v>
      </c>
      <c r="AS39" s="2340">
        <v>90333.255943753422</v>
      </c>
      <c r="AT39" s="2340">
        <v>89661.993096811231</v>
      </c>
      <c r="AU39" s="2340">
        <v>88586.507595162315</v>
      </c>
      <c r="AV39" s="2340">
        <v>88772.59303937314</v>
      </c>
      <c r="AW39" s="2340">
        <v>89113.377533595994</v>
      </c>
      <c r="AX39" s="2340">
        <v>91091.842137468164</v>
      </c>
      <c r="AY39" s="2340">
        <v>92672.921105136222</v>
      </c>
      <c r="AZ39" s="2340">
        <v>92789.237423322833</v>
      </c>
      <c r="BA39" s="2340">
        <v>92840.859421210422</v>
      </c>
      <c r="BB39" s="2340">
        <v>93413.514243127443</v>
      </c>
      <c r="BC39" s="2340">
        <v>93678.950271360867</v>
      </c>
      <c r="BD39" s="2340">
        <v>93978.545447136828</v>
      </c>
      <c r="BE39" s="2340">
        <v>94047.773251878432</v>
      </c>
      <c r="BF39" s="2340">
        <v>94417.368563922588</v>
      </c>
      <c r="BG39" s="2340">
        <v>94584.119946912164</v>
      </c>
      <c r="BH39" s="2340">
        <v>94785.521430980589</v>
      </c>
      <c r="BI39" s="2340">
        <v>94892.292299654087</v>
      </c>
      <c r="BJ39" s="2340">
        <v>95104.703716550939</v>
      </c>
      <c r="BK39" s="2340">
        <v>95371.266062265844</v>
      </c>
      <c r="BL39" s="2340">
        <v>95672.682614290359</v>
      </c>
      <c r="BM39" s="2340">
        <v>95900.422111691834</v>
      </c>
      <c r="BN39" s="2340">
        <v>96130.848153470841</v>
      </c>
      <c r="BO39" s="2340">
        <v>96313.646963571853</v>
      </c>
      <c r="BP39" s="2340">
        <v>96470.806437257474</v>
      </c>
      <c r="BQ39" s="2340">
        <v>96564.970587455377</v>
      </c>
      <c r="BR39" s="2340">
        <v>96675.772812450668</v>
      </c>
      <c r="BS39" s="2340">
        <v>96688.78564216732</v>
      </c>
      <c r="BT39" s="2340">
        <v>96778.532290818155</v>
      </c>
      <c r="BU39" s="2340">
        <v>96832.238517465623</v>
      </c>
      <c r="BV39" s="2340">
        <v>96951.550740598293</v>
      </c>
      <c r="BW39" s="2340">
        <v>97026.421497626347</v>
      </c>
      <c r="BX39" s="2340">
        <v>97142.46559861899</v>
      </c>
      <c r="BY39" s="2340">
        <v>97242.70805491152</v>
      </c>
      <c r="BZ39" s="2340">
        <v>97462.344872031405</v>
      </c>
      <c r="CA39" s="2340">
        <v>97618.841511399893</v>
      </c>
      <c r="CB39" s="2340">
        <v>97743.494769842349</v>
      </c>
      <c r="CC39" s="2340">
        <v>97830.618547782797</v>
      </c>
      <c r="CD39" s="2340">
        <v>97907.928377629374</v>
      </c>
      <c r="CE39" s="2340">
        <v>97991.610554644009</v>
      </c>
      <c r="CF39" s="2340">
        <v>98072.22173787393</v>
      </c>
      <c r="CG39" s="2340">
        <v>98162.070955425821</v>
      </c>
      <c r="CH39" s="2340">
        <v>98222.842559409008</v>
      </c>
      <c r="CI39" s="2340">
        <v>98333.492220302549</v>
      </c>
      <c r="CJ39" s="2340">
        <v>98360.672833087869</v>
      </c>
      <c r="CK39" s="2340">
        <v>98428.669334621882</v>
      </c>
      <c r="CL39" s="2340">
        <v>98521.543733617684</v>
      </c>
      <c r="CM39" s="2340">
        <v>98565.678649753172</v>
      </c>
      <c r="CN39" s="2340">
        <v>98644.253244017658</v>
      </c>
      <c r="CO39" s="2340">
        <v>98672.294534341025</v>
      </c>
      <c r="CP39" s="2340">
        <v>98744.434740487559</v>
      </c>
      <c r="CQ39" s="2340">
        <v>98786.962301397856</v>
      </c>
      <c r="CR39" s="2340">
        <v>98825.178985718099</v>
      </c>
      <c r="CS39" s="2340">
        <v>98877.359831847512</v>
      </c>
      <c r="CT39" s="2340">
        <v>98908.756438991913</v>
      </c>
      <c r="CU39" s="2340">
        <v>98934.307103220126</v>
      </c>
      <c r="CV39" s="2340">
        <v>98943.197936650075</v>
      </c>
      <c r="CW39" s="2340">
        <v>98986.272350222818</v>
      </c>
      <c r="CX39" s="2340">
        <v>99018.072473717169</v>
      </c>
      <c r="CY39" s="2340">
        <v>99039.410253568261</v>
      </c>
      <c r="CZ39" s="2340">
        <v>99033.344497862039</v>
      </c>
      <c r="DA39" s="2340">
        <v>99043.424966215971</v>
      </c>
      <c r="DB39" s="2340">
        <v>99068.520168427407</v>
      </c>
      <c r="DC39" s="2340">
        <v>99107.818891662289</v>
      </c>
      <c r="DD39" s="2340">
        <v>99114.854353037561</v>
      </c>
      <c r="DE39" s="2340">
        <v>99140.265038235011</v>
      </c>
      <c r="DF39" s="2340">
        <v>99197.688314977175</v>
      </c>
      <c r="DG39" s="2340">
        <v>99186.804371749269</v>
      </c>
      <c r="DH39" s="2340">
        <v>99214.884455909341</v>
      </c>
      <c r="DI39" s="2340">
        <v>99203.069597979935</v>
      </c>
      <c r="DJ39" s="2340">
        <v>99233.061806508893</v>
      </c>
      <c r="DK39" s="2340">
        <v>99261.264360581525</v>
      </c>
      <c r="DL39" s="2340">
        <v>99270.943134114656</v>
      </c>
      <c r="DM39" s="2340">
        <v>99261.188750349495</v>
      </c>
      <c r="DN39" s="2340">
        <v>99272.453961281644</v>
      </c>
      <c r="DO39" s="2340">
        <v>99297.326058541046</v>
      </c>
      <c r="DP39" s="2340">
        <v>99327.730663397975</v>
      </c>
      <c r="DQ39" s="2340">
        <v>99335.34782845118</v>
      </c>
      <c r="DR39" s="2340">
        <v>99343.486003821759</v>
      </c>
      <c r="DS39" s="2340">
        <v>99363.249865578138</v>
      </c>
      <c r="DT39" s="2340">
        <v>99384.979891687821</v>
      </c>
      <c r="DU39" s="2340">
        <v>99405.956934693968</v>
      </c>
    </row>
    <row r="40" spans="1:125" ht="12.75">
      <c r="A40" s="135">
        <v>38</v>
      </c>
      <c r="W40" s="136">
        <v>79996</v>
      </c>
      <c r="X40" s="136">
        <v>80820</v>
      </c>
      <c r="Y40" s="2340">
        <v>80930.090760163977</v>
      </c>
      <c r="Z40" s="2340">
        <v>82973.421399212952</v>
      </c>
      <c r="AA40" s="2340">
        <v>83469.573460326967</v>
      </c>
      <c r="AB40" s="2340">
        <v>84107.326578269785</v>
      </c>
      <c r="AC40" s="2340">
        <v>84991.241794840753</v>
      </c>
      <c r="AD40" s="2340">
        <v>85868.115248802002</v>
      </c>
      <c r="AE40" s="2340">
        <v>85820.954839226106</v>
      </c>
      <c r="AF40" s="2340">
        <v>86984.848693700478</v>
      </c>
      <c r="AG40" s="2340">
        <v>87470.052756996301</v>
      </c>
      <c r="AH40" s="2340">
        <v>87668.83010048866</v>
      </c>
      <c r="AI40" s="2340">
        <v>88091.499933277097</v>
      </c>
      <c r="AJ40" s="2340">
        <v>89290.740829964678</v>
      </c>
      <c r="AK40" s="2340">
        <v>89321.277020691894</v>
      </c>
      <c r="AL40" s="2340">
        <v>89701.081899023033</v>
      </c>
      <c r="AM40" s="2340">
        <v>89994.573474244986</v>
      </c>
      <c r="AN40" s="2340">
        <v>90471.116218886062</v>
      </c>
      <c r="AO40" s="2340">
        <v>90513.73128950737</v>
      </c>
      <c r="AP40" s="2340">
        <v>90631.386479987006</v>
      </c>
      <c r="AQ40" s="2340">
        <v>90725.002715969298</v>
      </c>
      <c r="AR40" s="2340">
        <v>90723.751822073667</v>
      </c>
      <c r="AS40" s="2340">
        <v>90225.981404289647</v>
      </c>
      <c r="AT40" s="2340">
        <v>89557.387762693121</v>
      </c>
      <c r="AU40" s="2340">
        <v>88490.981705291648</v>
      </c>
      <c r="AV40" s="2340">
        <v>88683.435110898296</v>
      </c>
      <c r="AW40" s="2340">
        <v>89012.441601621817</v>
      </c>
      <c r="AX40" s="2340">
        <v>91002.504600221117</v>
      </c>
      <c r="AY40" s="2340">
        <v>92580.00429962427</v>
      </c>
      <c r="AZ40" s="2340">
        <v>92700.605806741311</v>
      </c>
      <c r="BA40" s="2340">
        <v>92755.455096138903</v>
      </c>
      <c r="BB40" s="2340">
        <v>93324.638693297777</v>
      </c>
      <c r="BC40" s="2340">
        <v>93581.947112169015</v>
      </c>
      <c r="BD40" s="2340">
        <v>93886.979051888164</v>
      </c>
      <c r="BE40" s="2340">
        <v>93952.040558507375</v>
      </c>
      <c r="BF40" s="2340">
        <v>94325.955846241661</v>
      </c>
      <c r="BG40" s="2340">
        <v>94502.183932512446</v>
      </c>
      <c r="BH40" s="2340">
        <v>94702.205798064082</v>
      </c>
      <c r="BI40" s="2340">
        <v>94808.107337258058</v>
      </c>
      <c r="BJ40" s="2340">
        <v>95029.129055862708</v>
      </c>
      <c r="BK40" s="2340">
        <v>95295.068009373572</v>
      </c>
      <c r="BL40" s="2340">
        <v>95604.767710654851</v>
      </c>
      <c r="BM40" s="2340">
        <v>95828.71597394874</v>
      </c>
      <c r="BN40" s="2340">
        <v>96064.599601556009</v>
      </c>
      <c r="BO40" s="2340">
        <v>96251.321117456595</v>
      </c>
      <c r="BP40" s="2340">
        <v>96415.073247304739</v>
      </c>
      <c r="BQ40" s="2340">
        <v>96506.39569163954</v>
      </c>
      <c r="BR40" s="2340">
        <v>96621.347970770235</v>
      </c>
      <c r="BS40" s="2340">
        <v>96635.508101171727</v>
      </c>
      <c r="BT40" s="2340">
        <v>96729.868055301456</v>
      </c>
      <c r="BU40" s="2340">
        <v>96781.826992179776</v>
      </c>
      <c r="BV40" s="2340">
        <v>96898.723098154165</v>
      </c>
      <c r="BW40" s="2340">
        <v>96973.915502340882</v>
      </c>
      <c r="BX40" s="2340">
        <v>97092.018331348096</v>
      </c>
      <c r="BY40" s="2340">
        <v>97195.600755536114</v>
      </c>
      <c r="BZ40" s="2340">
        <v>97416.958550660362</v>
      </c>
      <c r="CA40" s="2340">
        <v>97575.634998125679</v>
      </c>
      <c r="CB40" s="2340">
        <v>97696.060483190988</v>
      </c>
      <c r="CC40" s="2340">
        <v>97785.341949654656</v>
      </c>
      <c r="CD40" s="2340">
        <v>97861.651183759648</v>
      </c>
      <c r="CE40" s="2340">
        <v>97939.840701157736</v>
      </c>
      <c r="CF40" s="2340">
        <v>98021.150755918294</v>
      </c>
      <c r="CG40" s="2340">
        <v>98109.472467259315</v>
      </c>
      <c r="CH40" s="2340">
        <v>98173.069132627861</v>
      </c>
      <c r="CI40" s="2340">
        <v>98281.612699516321</v>
      </c>
      <c r="CJ40" s="2340">
        <v>98309.968199009934</v>
      </c>
      <c r="CK40" s="2340">
        <v>98379.092425734605</v>
      </c>
      <c r="CL40" s="2340">
        <v>98473.057247810415</v>
      </c>
      <c r="CM40" s="2340">
        <v>98518.282082776132</v>
      </c>
      <c r="CN40" s="2340">
        <v>98597.905923829952</v>
      </c>
      <c r="CO40" s="2340">
        <v>98626.996460503156</v>
      </c>
      <c r="CP40" s="2340">
        <v>98700.142382116799</v>
      </c>
      <c r="CQ40" s="2340">
        <v>98743.666331062079</v>
      </c>
      <c r="CR40" s="2340">
        <v>98782.85884286181</v>
      </c>
      <c r="CS40" s="2340">
        <v>98835.987686073175</v>
      </c>
      <c r="CT40" s="2340">
        <v>98868.319563071578</v>
      </c>
      <c r="CU40" s="2340">
        <v>98894.786693401271</v>
      </c>
      <c r="CV40" s="2340">
        <v>98904.585645206957</v>
      </c>
      <c r="CW40" s="2340">
        <v>98948.534277956656</v>
      </c>
      <c r="CX40" s="2340">
        <v>98981.193033582123</v>
      </c>
      <c r="CY40" s="2340">
        <v>99003.373720164411</v>
      </c>
      <c r="CZ40" s="2340">
        <v>98998.141348640624</v>
      </c>
      <c r="DA40" s="2340">
        <v>99009.030321314567</v>
      </c>
      <c r="DB40" s="2340">
        <v>99034.910365551725</v>
      </c>
      <c r="DC40" s="2340">
        <v>99074.971316311727</v>
      </c>
      <c r="DD40" s="2340">
        <v>99082.762170361399</v>
      </c>
      <c r="DE40" s="2340">
        <v>99108.905064258288</v>
      </c>
      <c r="DF40" s="2340">
        <v>99167.033953163293</v>
      </c>
      <c r="DG40" s="2340">
        <v>99156.860377183053</v>
      </c>
      <c r="DH40" s="2340">
        <v>99185.622875571382</v>
      </c>
      <c r="DI40" s="2340">
        <v>99174.486377020396</v>
      </c>
      <c r="DJ40" s="2340">
        <v>99205.129451241548</v>
      </c>
      <c r="DK40" s="2340">
        <v>99233.968544838048</v>
      </c>
      <c r="DL40" s="2340">
        <v>99244.274330549059</v>
      </c>
      <c r="DM40" s="2340">
        <v>99235.137656344014</v>
      </c>
      <c r="DN40" s="2340">
        <v>99247.00088019282</v>
      </c>
      <c r="DO40" s="2340">
        <v>99272.453854790234</v>
      </c>
      <c r="DP40" s="2340">
        <v>99303.424728192273</v>
      </c>
      <c r="DQ40" s="2340">
        <v>99311.600719275622</v>
      </c>
      <c r="DR40" s="2340">
        <v>99320.284750973529</v>
      </c>
      <c r="DS40" s="2340">
        <v>99340.579269532318</v>
      </c>
      <c r="DT40" s="2340">
        <v>99362.827377939815</v>
      </c>
      <c r="DU40" s="2340">
        <v>99384.310828711255</v>
      </c>
    </row>
    <row r="41" spans="1:125" ht="12.75">
      <c r="A41" s="135">
        <v>39</v>
      </c>
      <c r="W41" s="136">
        <v>79853</v>
      </c>
      <c r="X41" s="136">
        <v>80668</v>
      </c>
      <c r="Y41" s="2340">
        <v>80797.58090395137</v>
      </c>
      <c r="Z41" s="2340">
        <v>82829.556688850775</v>
      </c>
      <c r="AA41" s="2340">
        <v>83332.357000280987</v>
      </c>
      <c r="AB41" s="2340">
        <v>83976.383876466949</v>
      </c>
      <c r="AC41" s="2340">
        <v>84859.184060099898</v>
      </c>
      <c r="AD41" s="2340">
        <v>85727.118334478873</v>
      </c>
      <c r="AE41" s="2340">
        <v>85682.254935034507</v>
      </c>
      <c r="AF41" s="2340">
        <v>86846.360517437613</v>
      </c>
      <c r="AG41" s="2340">
        <v>87325.343846379386</v>
      </c>
      <c r="AH41" s="2340">
        <v>87533.316291306313</v>
      </c>
      <c r="AI41" s="2340">
        <v>87951.411053190488</v>
      </c>
      <c r="AJ41" s="2340">
        <v>89159.644109197558</v>
      </c>
      <c r="AK41" s="2340">
        <v>89199.46395208317</v>
      </c>
      <c r="AL41" s="2340">
        <v>89582.579797740778</v>
      </c>
      <c r="AM41" s="2340">
        <v>89862.978951788144</v>
      </c>
      <c r="AN41" s="2340">
        <v>90353.386228234682</v>
      </c>
      <c r="AO41" s="2340">
        <v>90400.89906576318</v>
      </c>
      <c r="AP41" s="2340">
        <v>90523.381704671585</v>
      </c>
      <c r="AQ41" s="2340">
        <v>90612.991036650623</v>
      </c>
      <c r="AR41" s="2340">
        <v>90617.242078187381</v>
      </c>
      <c r="AS41" s="2340">
        <v>90118.813834047061</v>
      </c>
      <c r="AT41" s="2340">
        <v>89452.35970169495</v>
      </c>
      <c r="AU41" s="2340">
        <v>88381.105038121561</v>
      </c>
      <c r="AV41" s="2340">
        <v>88582.449721609213</v>
      </c>
      <c r="AW41" s="2340">
        <v>88911.249292264896</v>
      </c>
      <c r="AX41" s="2340">
        <v>90907.265159106173</v>
      </c>
      <c r="AY41" s="2340">
        <v>92480.9072411815</v>
      </c>
      <c r="AZ41" s="2340">
        <v>92597.198464725239</v>
      </c>
      <c r="BA41" s="2340">
        <v>92657.311922158813</v>
      </c>
      <c r="BB41" s="2340">
        <v>93224.20695286573</v>
      </c>
      <c r="BC41" s="2340">
        <v>93481.863242679872</v>
      </c>
      <c r="BD41" s="2340">
        <v>93787.310644030207</v>
      </c>
      <c r="BE41" s="2340">
        <v>93863.776917218478</v>
      </c>
      <c r="BF41" s="2340">
        <v>94234.636298628116</v>
      </c>
      <c r="BG41" s="2340">
        <v>94409.038829677971</v>
      </c>
      <c r="BH41" s="2340">
        <v>94614.219411336657</v>
      </c>
      <c r="BI41" s="2340">
        <v>94725.47529566646</v>
      </c>
      <c r="BJ41" s="2340">
        <v>94949.726615701846</v>
      </c>
      <c r="BK41" s="2340">
        <v>95213.953760749733</v>
      </c>
      <c r="BL41" s="2340">
        <v>95526.448406942072</v>
      </c>
      <c r="BM41" s="2340">
        <v>95759.97249239395</v>
      </c>
      <c r="BN41" s="2340">
        <v>95994.552158709077</v>
      </c>
      <c r="BO41" s="2340">
        <v>96183.82641503062</v>
      </c>
      <c r="BP41" s="2340">
        <v>96356.184569958525</v>
      </c>
      <c r="BQ41" s="2340">
        <v>96447.816642029109</v>
      </c>
      <c r="BR41" s="2340">
        <v>96567.477283436325</v>
      </c>
      <c r="BS41" s="2340">
        <v>96576.091173069872</v>
      </c>
      <c r="BT41" s="2340">
        <v>96670.781504549595</v>
      </c>
      <c r="BU41" s="2340">
        <v>96729.631607944029</v>
      </c>
      <c r="BV41" s="2340">
        <v>96840.216360344522</v>
      </c>
      <c r="BW41" s="2340">
        <v>96926.034700772565</v>
      </c>
      <c r="BX41" s="2340">
        <v>97034.422087266576</v>
      </c>
      <c r="BY41" s="2340">
        <v>97140.188332088583</v>
      </c>
      <c r="BZ41" s="2340">
        <v>97360.480571957843</v>
      </c>
      <c r="CA41" s="2340">
        <v>97519.5257934119</v>
      </c>
      <c r="CB41" s="2340">
        <v>97636.384427980243</v>
      </c>
      <c r="CC41" s="2340">
        <v>97724.446733322708</v>
      </c>
      <c r="CD41" s="2340">
        <v>97808.392736925831</v>
      </c>
      <c r="CE41" s="2340">
        <v>97886.265967077954</v>
      </c>
      <c r="CF41" s="2340">
        <v>97966.353471175564</v>
      </c>
      <c r="CG41" s="2340">
        <v>98052.813228196115</v>
      </c>
      <c r="CH41" s="2340">
        <v>98116.253446297909</v>
      </c>
      <c r="CI41" s="2340">
        <v>98226.016926208758</v>
      </c>
      <c r="CJ41" s="2340">
        <v>98255.610549494522</v>
      </c>
      <c r="CK41" s="2340">
        <v>98325.923297764282</v>
      </c>
      <c r="CL41" s="2340">
        <v>98421.037557849995</v>
      </c>
      <c r="CM41" s="2340">
        <v>98467.412194894307</v>
      </c>
      <c r="CN41" s="2340">
        <v>98548.14307284524</v>
      </c>
      <c r="CO41" s="2340">
        <v>98578.341515916691</v>
      </c>
      <c r="CP41" s="2340">
        <v>98652.549438556278</v>
      </c>
      <c r="CQ41" s="2340">
        <v>98697.126195100514</v>
      </c>
      <c r="CR41" s="2340">
        <v>98737.350229558331</v>
      </c>
      <c r="CS41" s="2340">
        <v>98791.481464024313</v>
      </c>
      <c r="CT41" s="2340">
        <v>98824.802819529956</v>
      </c>
      <c r="CU41" s="2340">
        <v>98852.246058505509</v>
      </c>
      <c r="CV41" s="2340">
        <v>98863.006234478002</v>
      </c>
      <c r="CW41" s="2340">
        <v>98907.880341797194</v>
      </c>
      <c r="CX41" s="2340">
        <v>98941.448513912605</v>
      </c>
      <c r="CY41" s="2340">
        <v>98964.522389686841</v>
      </c>
      <c r="CZ41" s="2340">
        <v>98960.173649819422</v>
      </c>
      <c r="DA41" s="2340">
        <v>98971.920114459353</v>
      </c>
      <c r="DB41" s="2340">
        <v>98998.632793443758</v>
      </c>
      <c r="DC41" s="2340">
        <v>99039.502622959641</v>
      </c>
      <c r="DD41" s="2340">
        <v>99048.095616407096</v>
      </c>
      <c r="DE41" s="2340">
        <v>99075.01623398214</v>
      </c>
      <c r="DF41" s="2340">
        <v>99133.894712147347</v>
      </c>
      <c r="DG41" s="2340">
        <v>99124.47646343922</v>
      </c>
      <c r="DH41" s="2340">
        <v>99153.964645930348</v>
      </c>
      <c r="DI41" s="2340">
        <v>99143.550018427515</v>
      </c>
      <c r="DJ41" s="2340">
        <v>99174.885767048079</v>
      </c>
      <c r="DK41" s="2340">
        <v>99204.402566158038</v>
      </c>
      <c r="DL41" s="2340">
        <v>99215.376270235225</v>
      </c>
      <c r="DM41" s="2340">
        <v>99206.897958717789</v>
      </c>
      <c r="DN41" s="2340">
        <v>99219.398706101521</v>
      </c>
      <c r="DO41" s="2340">
        <v>99245.471118486064</v>
      </c>
      <c r="DP41" s="2340">
        <v>99277.046064457332</v>
      </c>
      <c r="DQ41" s="2340">
        <v>99285.818524779374</v>
      </c>
      <c r="DR41" s="2340">
        <v>99295.085409740757</v>
      </c>
      <c r="DS41" s="2340">
        <v>99315.946726353723</v>
      </c>
      <c r="DT41" s="2340">
        <v>99338.748411652254</v>
      </c>
      <c r="DU41" s="2340">
        <v>99360.773180839664</v>
      </c>
    </row>
    <row r="42" spans="1:125" ht="12.75">
      <c r="A42" s="135">
        <v>40</v>
      </c>
      <c r="W42" s="136">
        <v>79702</v>
      </c>
      <c r="X42" s="136">
        <v>80517</v>
      </c>
      <c r="Y42" s="2340">
        <v>80651.690701152373</v>
      </c>
      <c r="Z42" s="2340">
        <v>82692.571787052075</v>
      </c>
      <c r="AA42" s="2340">
        <v>83180.833940694734</v>
      </c>
      <c r="AB42" s="2340">
        <v>83825.682731964742</v>
      </c>
      <c r="AC42" s="2340">
        <v>84710.833657204217</v>
      </c>
      <c r="AD42" s="2340">
        <v>85586.220926751965</v>
      </c>
      <c r="AE42" s="2340">
        <v>85535.384222952634</v>
      </c>
      <c r="AF42" s="2340">
        <v>86691.617472522179</v>
      </c>
      <c r="AG42" s="2340">
        <v>87184.121290783209</v>
      </c>
      <c r="AH42" s="2340">
        <v>87391.127814319319</v>
      </c>
      <c r="AI42" s="2340">
        <v>87816.299855917445</v>
      </c>
      <c r="AJ42" s="2340">
        <v>89022.154378437132</v>
      </c>
      <c r="AK42" s="2340">
        <v>89063.791964535267</v>
      </c>
      <c r="AL42" s="2340">
        <v>89456.05171941052</v>
      </c>
      <c r="AM42" s="2340">
        <v>89740.879391862196</v>
      </c>
      <c r="AN42" s="2340">
        <v>90223.35820907999</v>
      </c>
      <c r="AO42" s="2340">
        <v>90280.320442184966</v>
      </c>
      <c r="AP42" s="2340">
        <v>90400.09319661677</v>
      </c>
      <c r="AQ42" s="2340">
        <v>90493.345454186725</v>
      </c>
      <c r="AR42" s="2340">
        <v>90501.641693263489</v>
      </c>
      <c r="AS42" s="2340">
        <v>89996.196836944117</v>
      </c>
      <c r="AT42" s="2340">
        <v>89343.776735479463</v>
      </c>
      <c r="AU42" s="2340">
        <v>88275.81900310253</v>
      </c>
      <c r="AV42" s="2340">
        <v>88472.143773228963</v>
      </c>
      <c r="AW42" s="2340">
        <v>88811.718927976821</v>
      </c>
      <c r="AX42" s="2340">
        <v>90797.560137748384</v>
      </c>
      <c r="AY42" s="2340">
        <v>92377.762894133906</v>
      </c>
      <c r="AZ42" s="2340">
        <v>92479.302854150912</v>
      </c>
      <c r="BA42" s="2340">
        <v>92555.035027278238</v>
      </c>
      <c r="BB42" s="2340">
        <v>93114.568528352727</v>
      </c>
      <c r="BC42" s="2340">
        <v>93378.725299476122</v>
      </c>
      <c r="BD42" s="2340">
        <v>93688.233661774022</v>
      </c>
      <c r="BE42" s="2340">
        <v>93763.866372399178</v>
      </c>
      <c r="BF42" s="2340">
        <v>94134.141862297853</v>
      </c>
      <c r="BG42" s="2340">
        <v>94315.692946603129</v>
      </c>
      <c r="BH42" s="2340">
        <v>94521.580105726738</v>
      </c>
      <c r="BI42" s="2340">
        <v>94636.56519290361</v>
      </c>
      <c r="BJ42" s="2340">
        <v>94860.202207022085</v>
      </c>
      <c r="BK42" s="2340">
        <v>95133.653702095471</v>
      </c>
      <c r="BL42" s="2340">
        <v>95441.536712892383</v>
      </c>
      <c r="BM42" s="2340">
        <v>95680.174726324083</v>
      </c>
      <c r="BN42" s="2340">
        <v>95919.599101790998</v>
      </c>
      <c r="BO42" s="2340">
        <v>96114.699476029695</v>
      </c>
      <c r="BP42" s="2340">
        <v>96283.513162352145</v>
      </c>
      <c r="BQ42" s="2340">
        <v>96378.983786461875</v>
      </c>
      <c r="BR42" s="2340">
        <v>96500.589252324557</v>
      </c>
      <c r="BS42" s="2340">
        <v>96508.634057389514</v>
      </c>
      <c r="BT42" s="2340">
        <v>96608.019340951912</v>
      </c>
      <c r="BU42" s="2340">
        <v>96665.820970237241</v>
      </c>
      <c r="BV42" s="2340">
        <v>96778.221697330897</v>
      </c>
      <c r="BW42" s="2340">
        <v>96862.051996787748</v>
      </c>
      <c r="BX42" s="2340">
        <v>96974.653978544884</v>
      </c>
      <c r="BY42" s="2340">
        <v>97079.905092178597</v>
      </c>
      <c r="BZ42" s="2340">
        <v>97304.615690472288</v>
      </c>
      <c r="CA42" s="2340">
        <v>97460.798299804708</v>
      </c>
      <c r="CB42" s="2340">
        <v>97575.303709526721</v>
      </c>
      <c r="CC42" s="2340">
        <v>97662.561808513346</v>
      </c>
      <c r="CD42" s="2340">
        <v>97745.016797720353</v>
      </c>
      <c r="CE42" s="2340">
        <v>97826.005001808197</v>
      </c>
      <c r="CF42" s="2340">
        <v>97902.400780261145</v>
      </c>
      <c r="CG42" s="2340">
        <v>97990.597983825661</v>
      </c>
      <c r="CH42" s="2340">
        <v>98055.379317106577</v>
      </c>
      <c r="CI42" s="2340">
        <v>98166.426925379143</v>
      </c>
      <c r="CJ42" s="2340">
        <v>98197.325218263344</v>
      </c>
      <c r="CK42" s="2340">
        <v>98268.8904580651</v>
      </c>
      <c r="CL42" s="2340">
        <v>98365.216256838714</v>
      </c>
      <c r="CM42" s="2340">
        <v>98412.803777289693</v>
      </c>
      <c r="CN42" s="2340">
        <v>98494.702566366221</v>
      </c>
      <c r="CO42" s="2340">
        <v>98526.070772132691</v>
      </c>
      <c r="CP42" s="2340">
        <v>98601.400039207758</v>
      </c>
      <c r="CQ42" s="2340">
        <v>98647.089135017377</v>
      </c>
      <c r="CR42" s="2340">
        <v>98688.403486590483</v>
      </c>
      <c r="CS42" s="2340">
        <v>98743.594546701439</v>
      </c>
      <c r="CT42" s="2340">
        <v>98777.969428139113</v>
      </c>
      <c r="CU42" s="2340">
        <v>98806.445743835342</v>
      </c>
      <c r="CV42" s="2340">
        <v>98818.223768815427</v>
      </c>
      <c r="CW42" s="2340">
        <v>98864.077997670785</v>
      </c>
      <c r="CX42" s="2340">
        <v>98898.609744069108</v>
      </c>
      <c r="CY42" s="2340">
        <v>98922.630444278286</v>
      </c>
      <c r="CZ42" s="2340">
        <v>98919.218953173578</v>
      </c>
      <c r="DA42" s="2340">
        <v>98931.875185316458</v>
      </c>
      <c r="DB42" s="2340">
        <v>98959.471502536748</v>
      </c>
      <c r="DC42" s="2340">
        <v>99001.199999416087</v>
      </c>
      <c r="DD42" s="2340">
        <v>99010.645043126249</v>
      </c>
      <c r="DE42" s="2340">
        <v>99038.391982171524</v>
      </c>
      <c r="DF42" s="2340">
        <v>99098.067002426178</v>
      </c>
      <c r="DG42" s="2340">
        <v>99089.452115912325</v>
      </c>
      <c r="DH42" s="2340">
        <v>99119.712207063683</v>
      </c>
      <c r="DI42" s="2340">
        <v>99110.065955434649</v>
      </c>
      <c r="DJ42" s="2340">
        <v>99142.139057896711</v>
      </c>
      <c r="DK42" s="2340">
        <v>99172.377563938338</v>
      </c>
      <c r="DL42" s="2340">
        <v>99184.062924354716</v>
      </c>
      <c r="DM42" s="2340">
        <v>99176.286457353563</v>
      </c>
      <c r="DN42" s="2340">
        <v>99189.466989821405</v>
      </c>
      <c r="DO42" s="2340">
        <v>99216.200089099701</v>
      </c>
      <c r="DP42" s="2340">
        <v>99248.419553853368</v>
      </c>
      <c r="DQ42" s="2340">
        <v>99257.828772399778</v>
      </c>
      <c r="DR42" s="2340">
        <v>99267.718115697702</v>
      </c>
      <c r="DS42" s="2340">
        <v>99289.184923907131</v>
      </c>
      <c r="DT42" s="2340">
        <v>99312.578194492788</v>
      </c>
      <c r="DU42" s="2340">
        <v>99335.181673080719</v>
      </c>
    </row>
    <row r="43" spans="1:125" ht="12.75">
      <c r="A43" s="135">
        <v>41</v>
      </c>
      <c r="W43" s="136">
        <v>79544</v>
      </c>
      <c r="X43" s="136">
        <v>80357</v>
      </c>
      <c r="Y43" s="2340">
        <v>80489.894097409138</v>
      </c>
      <c r="Z43" s="2340">
        <v>82534.550813913243</v>
      </c>
      <c r="AA43" s="2340">
        <v>83028.150570188707</v>
      </c>
      <c r="AB43" s="2340">
        <v>83671.180414444345</v>
      </c>
      <c r="AC43" s="2340">
        <v>84561.915747924941</v>
      </c>
      <c r="AD43" s="2340">
        <v>85433.425023395816</v>
      </c>
      <c r="AE43" s="2340">
        <v>85370.160915394707</v>
      </c>
      <c r="AF43" s="2340">
        <v>86541.844830900853</v>
      </c>
      <c r="AG43" s="2340">
        <v>87041.314863671651</v>
      </c>
      <c r="AH43" s="2340">
        <v>87248.935738897722</v>
      </c>
      <c r="AI43" s="2340">
        <v>87665.176398823169</v>
      </c>
      <c r="AJ43" s="2340">
        <v>88882.617612784787</v>
      </c>
      <c r="AK43" s="2340">
        <v>88913.25719204967</v>
      </c>
      <c r="AL43" s="2340">
        <v>89312.078045531831</v>
      </c>
      <c r="AM43" s="2340">
        <v>89601.023041062697</v>
      </c>
      <c r="AN43" s="2340">
        <v>90087.228843616351</v>
      </c>
      <c r="AO43" s="2340">
        <v>90150.874330595136</v>
      </c>
      <c r="AP43" s="2340">
        <v>90270.277850065351</v>
      </c>
      <c r="AQ43" s="2340">
        <v>90365.001295793249</v>
      </c>
      <c r="AR43" s="2340">
        <v>90373.391676573534</v>
      </c>
      <c r="AS43" s="2340">
        <v>89867.805343543674</v>
      </c>
      <c r="AT43" s="2340">
        <v>89227.733345948771</v>
      </c>
      <c r="AU43" s="2340">
        <v>88156.02762639524</v>
      </c>
      <c r="AV43" s="2340">
        <v>88358.517231613048</v>
      </c>
      <c r="AW43" s="2340">
        <v>88697.845502657961</v>
      </c>
      <c r="AX43" s="2340">
        <v>90680.941013844887</v>
      </c>
      <c r="AY43" s="2340">
        <v>92256.175831174682</v>
      </c>
      <c r="AZ43" s="2340">
        <v>92357.235160623284</v>
      </c>
      <c r="BA43" s="2340">
        <v>92439.020502022497</v>
      </c>
      <c r="BB43" s="2340">
        <v>93000.788622054737</v>
      </c>
      <c r="BC43" s="2340">
        <v>93263.109055183944</v>
      </c>
      <c r="BD43" s="2340">
        <v>93573.245433089382</v>
      </c>
      <c r="BE43" s="2340">
        <v>93648.815821446566</v>
      </c>
      <c r="BF43" s="2340">
        <v>94025.683471492681</v>
      </c>
      <c r="BG43" s="2340">
        <v>94214.357053779822</v>
      </c>
      <c r="BH43" s="2340">
        <v>94421.907465086959</v>
      </c>
      <c r="BI43" s="2340">
        <v>94544.718844456671</v>
      </c>
      <c r="BJ43" s="2340">
        <v>94769.704268289584</v>
      </c>
      <c r="BK43" s="2340">
        <v>95039.672701797477</v>
      </c>
      <c r="BL43" s="2340">
        <v>95357.032334297226</v>
      </c>
      <c r="BM43" s="2340">
        <v>95600.187120094852</v>
      </c>
      <c r="BN43" s="2340">
        <v>95839.556692252605</v>
      </c>
      <c r="BO43" s="2340">
        <v>96036.800237922216</v>
      </c>
      <c r="BP43" s="2340">
        <v>96210.67065709579</v>
      </c>
      <c r="BQ43" s="2340">
        <v>96312.97814861589</v>
      </c>
      <c r="BR43" s="2340">
        <v>96429.974652322853</v>
      </c>
      <c r="BS43" s="2340">
        <v>96437.899106607802</v>
      </c>
      <c r="BT43" s="2340">
        <v>96542.009355570161</v>
      </c>
      <c r="BU43" s="2340">
        <v>96595.90092475868</v>
      </c>
      <c r="BV43" s="2340">
        <v>96712.083723719028</v>
      </c>
      <c r="BW43" s="2340">
        <v>96795.323924972341</v>
      </c>
      <c r="BX43" s="2340">
        <v>96913.039025115169</v>
      </c>
      <c r="BY43" s="2340">
        <v>97010.366678860344</v>
      </c>
      <c r="BZ43" s="2340">
        <v>97235.652855782959</v>
      </c>
      <c r="CA43" s="2340">
        <v>97394.813978316975</v>
      </c>
      <c r="CB43" s="2340">
        <v>97517.950533947587</v>
      </c>
      <c r="CC43" s="2340">
        <v>97599.023276153806</v>
      </c>
      <c r="CD43" s="2340">
        <v>97686.301933199225</v>
      </c>
      <c r="CE43" s="2340">
        <v>97753.802794012503</v>
      </c>
      <c r="CF43" s="2340">
        <v>97834.328626053946</v>
      </c>
      <c r="CG43" s="2340">
        <v>97923.951704435938</v>
      </c>
      <c r="CH43" s="2340">
        <v>97990.144676472453</v>
      </c>
      <c r="CI43" s="2340">
        <v>98102.543943032724</v>
      </c>
      <c r="CJ43" s="2340">
        <v>98134.816987608079</v>
      </c>
      <c r="CK43" s="2340">
        <v>98207.70207892367</v>
      </c>
      <c r="CL43" s="2340">
        <v>98305.304811569935</v>
      </c>
      <c r="CM43" s="2340">
        <v>98354.171711084244</v>
      </c>
      <c r="CN43" s="2340">
        <v>98437.302576479415</v>
      </c>
      <c r="CO43" s="2340">
        <v>98469.905811989724</v>
      </c>
      <c r="CP43" s="2340">
        <v>98546.419028154574</v>
      </c>
      <c r="CQ43" s="2340">
        <v>98593.283313856125</v>
      </c>
      <c r="CR43" s="2340">
        <v>98635.750081622507</v>
      </c>
      <c r="CS43" s="2340">
        <v>98692.069688638687</v>
      </c>
      <c r="CT43" s="2340">
        <v>98727.559567245742</v>
      </c>
      <c r="CU43" s="2340">
        <v>98757.129701640151</v>
      </c>
      <c r="CV43" s="2340">
        <v>98769.9859663112</v>
      </c>
      <c r="CW43" s="2340">
        <v>98816.878592468245</v>
      </c>
      <c r="CX43" s="2340">
        <v>98852.431679640038</v>
      </c>
      <c r="CY43" s="2340">
        <v>98877.456425467957</v>
      </c>
      <c r="CZ43" s="2340">
        <v>98875.039403545641</v>
      </c>
      <c r="DA43" s="2340">
        <v>98888.66119402372</v>
      </c>
      <c r="DB43" s="2340">
        <v>98917.195585212088</v>
      </c>
      <c r="DC43" s="2340">
        <v>98959.835891273906</v>
      </c>
      <c r="DD43" s="2340">
        <v>98970.186277411267</v>
      </c>
      <c r="DE43" s="2340">
        <v>98998.811429552166</v>
      </c>
      <c r="DF43" s="2340">
        <v>99059.333123578544</v>
      </c>
      <c r="DG43" s="2340">
        <v>99051.572918621503</v>
      </c>
      <c r="DH43" s="2340">
        <v>99082.654298456022</v>
      </c>
      <c r="DI43" s="2340">
        <v>99073.826123732186</v>
      </c>
      <c r="DJ43" s="2340">
        <v>99106.684324392932</v>
      </c>
      <c r="DK43" s="2340">
        <v>99137.691565587476</v>
      </c>
      <c r="DL43" s="2340">
        <v>99150.135342890484</v>
      </c>
      <c r="DM43" s="2340">
        <v>99143.107221203638</v>
      </c>
      <c r="DN43" s="2340">
        <v>99157.0127358139</v>
      </c>
      <c r="DO43" s="2340">
        <v>99184.450639731775</v>
      </c>
      <c r="DP43" s="2340">
        <v>99217.357888171435</v>
      </c>
      <c r="DQ43" s="2340">
        <v>99227.446976229636</v>
      </c>
      <c r="DR43" s="2340">
        <v>99238.001164771631</v>
      </c>
      <c r="DS43" s="2340">
        <v>99260.114880028006</v>
      </c>
      <c r="DT43" s="2340">
        <v>99284.14042486278</v>
      </c>
      <c r="DU43" s="2340">
        <v>99307.362648444061</v>
      </c>
    </row>
    <row r="44" spans="1:125" ht="12.75">
      <c r="A44" s="135">
        <v>42</v>
      </c>
      <c r="W44" s="136">
        <v>79377</v>
      </c>
      <c r="X44" s="136">
        <v>80177</v>
      </c>
      <c r="Y44" s="2340">
        <v>80325.353073765786</v>
      </c>
      <c r="Z44" s="2340">
        <v>82368.453130027701</v>
      </c>
      <c r="AA44" s="2340">
        <v>82860.57571839435</v>
      </c>
      <c r="AB44" s="2340">
        <v>83505.592674876418</v>
      </c>
      <c r="AC44" s="2340">
        <v>84394.300070718542</v>
      </c>
      <c r="AD44" s="2340">
        <v>85254.861407687014</v>
      </c>
      <c r="AE44" s="2340">
        <v>85203.474683973531</v>
      </c>
      <c r="AF44" s="2340">
        <v>86374.103228563836</v>
      </c>
      <c r="AG44" s="2340">
        <v>86873.515803117567</v>
      </c>
      <c r="AH44" s="2340">
        <v>87096.91158624267</v>
      </c>
      <c r="AI44" s="2340">
        <v>87500.870876923975</v>
      </c>
      <c r="AJ44" s="2340">
        <v>88717.733646547567</v>
      </c>
      <c r="AK44" s="2340">
        <v>88753.942649669145</v>
      </c>
      <c r="AL44" s="2340">
        <v>89158.738879076118</v>
      </c>
      <c r="AM44" s="2340">
        <v>89459.554591329696</v>
      </c>
      <c r="AN44" s="2340">
        <v>89946.269035533129</v>
      </c>
      <c r="AO44" s="2340">
        <v>90014.154046363939</v>
      </c>
      <c r="AP44" s="2340">
        <v>90133.227320549457</v>
      </c>
      <c r="AQ44" s="2340">
        <v>90226.322898515049</v>
      </c>
      <c r="AR44" s="2340">
        <v>90236.675419078674</v>
      </c>
      <c r="AS44" s="2340">
        <v>89734.987405827254</v>
      </c>
      <c r="AT44" s="2340">
        <v>89100.442358243134</v>
      </c>
      <c r="AU44" s="2340">
        <v>88031.840971669211</v>
      </c>
      <c r="AV44" s="2340">
        <v>88242.430421199126</v>
      </c>
      <c r="AW44" s="2340">
        <v>88579.303406149891</v>
      </c>
      <c r="AX44" s="2340">
        <v>90549.146391689545</v>
      </c>
      <c r="AY44" s="2340">
        <v>92130.029064017363</v>
      </c>
      <c r="AZ44" s="2340">
        <v>92229.878192379692</v>
      </c>
      <c r="BA44" s="2340">
        <v>92307.887201207501</v>
      </c>
      <c r="BB44" s="2340">
        <v>92877.954603945167</v>
      </c>
      <c r="BC44" s="2340">
        <v>93132.28818577317</v>
      </c>
      <c r="BD44" s="2340">
        <v>93449.102580388702</v>
      </c>
      <c r="BE44" s="2340">
        <v>93531.215429169068</v>
      </c>
      <c r="BF44" s="2340">
        <v>93909.749449646231</v>
      </c>
      <c r="BG44" s="2340">
        <v>94101.673364730974</v>
      </c>
      <c r="BH44" s="2340">
        <v>94315.628460626394</v>
      </c>
      <c r="BI44" s="2340">
        <v>94438.859842474107</v>
      </c>
      <c r="BJ44" s="2340">
        <v>94665.524587507563</v>
      </c>
      <c r="BK44" s="2340">
        <v>94940.592789676375</v>
      </c>
      <c r="BL44" s="2340">
        <v>95263.554414355065</v>
      </c>
      <c r="BM44" s="2340">
        <v>95514.874632996245</v>
      </c>
      <c r="BN44" s="2340">
        <v>95758.717639561932</v>
      </c>
      <c r="BO44" s="2340">
        <v>95949.823461409629</v>
      </c>
      <c r="BP44" s="2340">
        <v>96129.52519954335</v>
      </c>
      <c r="BQ44" s="2340">
        <v>96235.834312661842</v>
      </c>
      <c r="BR44" s="2340">
        <v>96348.485254098181</v>
      </c>
      <c r="BS44" s="2340">
        <v>96362.636743696159</v>
      </c>
      <c r="BT44" s="2340">
        <v>96464.902889577235</v>
      </c>
      <c r="BU44" s="2340">
        <v>96522.582458529272</v>
      </c>
      <c r="BV44" s="2340">
        <v>96638.619586729779</v>
      </c>
      <c r="BW44" s="2340">
        <v>96720.584336437852</v>
      </c>
      <c r="BX44" s="2340">
        <v>96842.120786510262</v>
      </c>
      <c r="BY44" s="2340">
        <v>96938.991225949881</v>
      </c>
      <c r="BZ44" s="2340">
        <v>97164.898902938701</v>
      </c>
      <c r="CA44" s="2340">
        <v>97326.017437629402</v>
      </c>
      <c r="CB44" s="2340">
        <v>97447.861297377705</v>
      </c>
      <c r="CC44" s="2340">
        <v>97526.017585126116</v>
      </c>
      <c r="CD44" s="2340">
        <v>97605.819336339715</v>
      </c>
      <c r="CE44" s="2340">
        <v>97679.35925574573</v>
      </c>
      <c r="CF44" s="2340">
        <v>97761.423397490085</v>
      </c>
      <c r="CG44" s="2340">
        <v>97852.54641250665</v>
      </c>
      <c r="CH44" s="2340">
        <v>97920.225238593543</v>
      </c>
      <c r="CI44" s="2340">
        <v>98034.047209737895</v>
      </c>
      <c r="CJ44" s="2340">
        <v>98067.768842344798</v>
      </c>
      <c r="CK44" s="2340">
        <v>98142.044742223356</v>
      </c>
      <c r="CL44" s="2340">
        <v>98240.993298377725</v>
      </c>
      <c r="CM44" s="2340">
        <v>98291.209695764861</v>
      </c>
      <c r="CN44" s="2340">
        <v>98375.640293348115</v>
      </c>
      <c r="CO44" s="2340">
        <v>98409.547445139251</v>
      </c>
      <c r="CP44" s="2340">
        <v>98487.310674028049</v>
      </c>
      <c r="CQ44" s="2340">
        <v>98535.416521448919</v>
      </c>
      <c r="CR44" s="2340">
        <v>98579.111350843843</v>
      </c>
      <c r="CS44" s="2340">
        <v>98636.625185147554</v>
      </c>
      <c r="CT44" s="2340">
        <v>98673.295577162033</v>
      </c>
      <c r="CU44" s="2340">
        <v>98704.02427983754</v>
      </c>
      <c r="CV44" s="2340">
        <v>98718.023174481466</v>
      </c>
      <c r="CW44" s="2340">
        <v>98766.01632741651</v>
      </c>
      <c r="CX44" s="2340">
        <v>98802.652354651771</v>
      </c>
      <c r="CY44" s="2340">
        <v>98828.74217632506</v>
      </c>
      <c r="CZ44" s="2340">
        <v>98827.380672193511</v>
      </c>
      <c r="DA44" s="2340">
        <v>98842.027546479731</v>
      </c>
      <c r="DB44" s="2340">
        <v>98871.558093746789</v>
      </c>
      <c r="DC44" s="2340">
        <v>98915.166913201785</v>
      </c>
      <c r="DD44" s="2340">
        <v>98926.479526897427</v>
      </c>
      <c r="DE44" s="2340">
        <v>98956.038283694681</v>
      </c>
      <c r="DF44" s="2340">
        <v>99017.460160617658</v>
      </c>
      <c r="DG44" s="2340">
        <v>99010.609447502706</v>
      </c>
      <c r="DH44" s="2340">
        <v>99042.564849478484</v>
      </c>
      <c r="DI44" s="2340">
        <v>99034.607850232351</v>
      </c>
      <c r="DJ44" s="2340">
        <v>99068.302150985342</v>
      </c>
      <c r="DK44" s="2340">
        <v>99100.128372788487</v>
      </c>
      <c r="DL44" s="2340">
        <v>99113.380540723985</v>
      </c>
      <c r="DM44" s="2340">
        <v>99107.150474983369</v>
      </c>
      <c r="DN44" s="2340">
        <v>99121.829289761212</v>
      </c>
      <c r="DO44" s="2340">
        <v>99150.019165907725</v>
      </c>
      <c r="DP44" s="2340">
        <v>99183.660459761828</v>
      </c>
      <c r="DQ44" s="2340">
        <v>99194.475529783434</v>
      </c>
      <c r="DR44" s="2340">
        <v>99205.739908769174</v>
      </c>
      <c r="DS44" s="2340">
        <v>99228.544841087452</v>
      </c>
      <c r="DT44" s="2340">
        <v>99253.246199867266</v>
      </c>
      <c r="DU44" s="2340">
        <v>99277.130016699753</v>
      </c>
    </row>
    <row r="45" spans="1:125" ht="12.75">
      <c r="A45" s="135">
        <v>43</v>
      </c>
      <c r="W45" s="136">
        <v>79195</v>
      </c>
      <c r="X45" s="136">
        <v>80001</v>
      </c>
      <c r="Y45" s="2340">
        <v>80142.234955972192</v>
      </c>
      <c r="Z45" s="2340">
        <v>82178.146219137052</v>
      </c>
      <c r="AA45" s="2340">
        <v>82670.734994273967</v>
      </c>
      <c r="AB45" s="2340">
        <v>83330.209282891345</v>
      </c>
      <c r="AC45" s="2340">
        <v>84198.690501329242</v>
      </c>
      <c r="AD45" s="2340">
        <v>85070.069761260413</v>
      </c>
      <c r="AE45" s="2340">
        <v>85016.758648165414</v>
      </c>
      <c r="AF45" s="2340">
        <v>86193.97586464604</v>
      </c>
      <c r="AG45" s="2340">
        <v>86697.401606005238</v>
      </c>
      <c r="AH45" s="2340">
        <v>86919.199838474669</v>
      </c>
      <c r="AI45" s="2340">
        <v>87332.638399448915</v>
      </c>
      <c r="AJ45" s="2340">
        <v>88533.374131718054</v>
      </c>
      <c r="AK45" s="2340">
        <v>88594.957022783623</v>
      </c>
      <c r="AL45" s="2340">
        <v>89003.796282765281</v>
      </c>
      <c r="AM45" s="2340">
        <v>89296.382236041332</v>
      </c>
      <c r="AN45" s="2340">
        <v>89797.148396061093</v>
      </c>
      <c r="AO45" s="2340">
        <v>89855.245495820782</v>
      </c>
      <c r="AP45" s="2340">
        <v>89982.563291717321</v>
      </c>
      <c r="AQ45" s="2340">
        <v>90074.540140558776</v>
      </c>
      <c r="AR45" s="2340">
        <v>90099.011206366224</v>
      </c>
      <c r="AS45" s="2340">
        <v>89597.556923485492</v>
      </c>
      <c r="AT45" s="2340">
        <v>88952.097629000506</v>
      </c>
      <c r="AU45" s="2340">
        <v>87897.85858938063</v>
      </c>
      <c r="AV45" s="2340">
        <v>88100.641670856843</v>
      </c>
      <c r="AW45" s="2340">
        <v>88446.401614401169</v>
      </c>
      <c r="AX45" s="2340">
        <v>90412.556720837834</v>
      </c>
      <c r="AY45" s="2340">
        <v>91990.51867655477</v>
      </c>
      <c r="AZ45" s="2340">
        <v>92086.699803987125</v>
      </c>
      <c r="BA45" s="2340">
        <v>92172.699876532235</v>
      </c>
      <c r="BB45" s="2340">
        <v>92743.182682107479</v>
      </c>
      <c r="BC45" s="2340">
        <v>92988.325341432355</v>
      </c>
      <c r="BD45" s="2340">
        <v>93321.399475866245</v>
      </c>
      <c r="BE45" s="2340">
        <v>93410.875663862345</v>
      </c>
      <c r="BF45" s="2340">
        <v>93788.165527037447</v>
      </c>
      <c r="BG45" s="2340">
        <v>93974.055163709127</v>
      </c>
      <c r="BH45" s="2340">
        <v>94200.496947230858</v>
      </c>
      <c r="BI45" s="2340">
        <v>94329.43726542384</v>
      </c>
      <c r="BJ45" s="2340">
        <v>94553.041240994862</v>
      </c>
      <c r="BK45" s="2340">
        <v>94840.790534612039</v>
      </c>
      <c r="BL45" s="2340">
        <v>95161.606174294415</v>
      </c>
      <c r="BM45" s="2340">
        <v>95414.967989722674</v>
      </c>
      <c r="BN45" s="2340">
        <v>95662.029827142353</v>
      </c>
      <c r="BO45" s="2340">
        <v>95852.672214584411</v>
      </c>
      <c r="BP45" s="2340">
        <v>96040.695334153075</v>
      </c>
      <c r="BQ45" s="2340">
        <v>96152.509427567129</v>
      </c>
      <c r="BR45" s="2340">
        <v>96259.701172588684</v>
      </c>
      <c r="BS45" s="2340">
        <v>96281.149911382716</v>
      </c>
      <c r="BT45" s="2340">
        <v>96378.523456417301</v>
      </c>
      <c r="BU45" s="2340">
        <v>96440.194421573367</v>
      </c>
      <c r="BV45" s="2340">
        <v>96556.663294032711</v>
      </c>
      <c r="BW45" s="2340">
        <v>96648.031101454995</v>
      </c>
      <c r="BX45" s="2340">
        <v>96759.30770622984</v>
      </c>
      <c r="BY45" s="2340">
        <v>96864.508993051713</v>
      </c>
      <c r="BZ45" s="2340">
        <v>97082.406698364139</v>
      </c>
      <c r="CA45" s="2340">
        <v>97251.167840827256</v>
      </c>
      <c r="CB45" s="2340">
        <v>97372.104165180339</v>
      </c>
      <c r="CC45" s="2340">
        <v>97442.947289283358</v>
      </c>
      <c r="CD45" s="2340">
        <v>97524.447490474631</v>
      </c>
      <c r="CE45" s="2340">
        <v>97599.645799412756</v>
      </c>
      <c r="CF45" s="2340">
        <v>97683.327766853618</v>
      </c>
      <c r="CG45" s="2340">
        <v>97776.028743113915</v>
      </c>
      <c r="CH45" s="2340">
        <v>97845.271657448146</v>
      </c>
      <c r="CI45" s="2340">
        <v>97960.591205947363</v>
      </c>
      <c r="CJ45" s="2340">
        <v>97995.839342237581</v>
      </c>
      <c r="CK45" s="2340">
        <v>98071.580914482751</v>
      </c>
      <c r="CL45" s="2340">
        <v>98171.94797691748</v>
      </c>
      <c r="CM45" s="2340">
        <v>98223.587919737271</v>
      </c>
      <c r="CN45" s="2340">
        <v>98309.389688629381</v>
      </c>
      <c r="CO45" s="2340">
        <v>98344.673562447148</v>
      </c>
      <c r="CP45" s="2340">
        <v>98423.756611488221</v>
      </c>
      <c r="CQ45" s="2340">
        <v>98473.187041807047</v>
      </c>
      <c r="CR45" s="2340">
        <v>98518.181588254301</v>
      </c>
      <c r="CS45" s="2340">
        <v>98576.959646454547</v>
      </c>
      <c r="CT45" s="2340">
        <v>98614.88039045324</v>
      </c>
      <c r="CU45" s="2340">
        <v>98646.836693138539</v>
      </c>
      <c r="CV45" s="2340">
        <v>98662.046881441129</v>
      </c>
      <c r="CW45" s="2340">
        <v>98711.206807774768</v>
      </c>
      <c r="CX45" s="2340">
        <v>98748.991468971057</v>
      </c>
      <c r="CY45" s="2340">
        <v>98776.211465751767</v>
      </c>
      <c r="CZ45" s="2340">
        <v>98775.970617398969</v>
      </c>
      <c r="DA45" s="2340">
        <v>98791.706090112784</v>
      </c>
      <c r="DB45" s="2340">
        <v>98822.294770142296</v>
      </c>
      <c r="DC45" s="2340">
        <v>98866.932611779877</v>
      </c>
      <c r="DD45" s="2340">
        <v>98879.268175352001</v>
      </c>
      <c r="DE45" s="2340">
        <v>98909.819665894232</v>
      </c>
      <c r="DF45" s="2340">
        <v>98972.198841179255</v>
      </c>
      <c r="DG45" s="2340">
        <v>98966.316157897163</v>
      </c>
      <c r="DH45" s="2340">
        <v>98999.201895956052</v>
      </c>
      <c r="DI45" s="2340">
        <v>98992.172798385771</v>
      </c>
      <c r="DJ45" s="2340">
        <v>99026.757678840891</v>
      </c>
      <c r="DK45" s="2340">
        <v>99059.456561234765</v>
      </c>
      <c r="DL45" s="2340">
        <v>99073.570523713977</v>
      </c>
      <c r="DM45" s="2340">
        <v>99068.191651086425</v>
      </c>
      <c r="DN45" s="2340">
        <v>99083.695415438022</v>
      </c>
      <c r="DO45" s="2340">
        <v>99112.687686625606</v>
      </c>
      <c r="DP45" s="2340">
        <v>99147.112486074897</v>
      </c>
      <c r="DQ45" s="2340">
        <v>99158.702853610666</v>
      </c>
      <c r="DR45" s="2340">
        <v>99170.725925446663</v>
      </c>
      <c r="DS45" s="2340">
        <v>99194.269473829336</v>
      </c>
      <c r="DT45" s="2340">
        <v>99219.693228327582</v>
      </c>
      <c r="DU45" s="2340">
        <v>99244.284488011661</v>
      </c>
    </row>
    <row r="46" spans="1:125" ht="12.75">
      <c r="A46" s="135">
        <v>44</v>
      </c>
      <c r="W46" s="136">
        <v>78994</v>
      </c>
      <c r="X46" s="136">
        <v>79805</v>
      </c>
      <c r="Y46" s="2340">
        <v>79941.680288581541</v>
      </c>
      <c r="Z46" s="2340">
        <v>81976.541928346676</v>
      </c>
      <c r="AA46" s="2340">
        <v>82472.186292442246</v>
      </c>
      <c r="AB46" s="2340">
        <v>83118.132510331066</v>
      </c>
      <c r="AC46" s="2340">
        <v>83994.814537505779</v>
      </c>
      <c r="AD46" s="2340">
        <v>84879.842689457597</v>
      </c>
      <c r="AE46" s="2340">
        <v>84817.477434584289</v>
      </c>
      <c r="AF46" s="2340">
        <v>85993.32975084745</v>
      </c>
      <c r="AG46" s="2340">
        <v>86495.304204441112</v>
      </c>
      <c r="AH46" s="2340">
        <v>86725.75146192807</v>
      </c>
      <c r="AI46" s="2340">
        <v>87142.056870934641</v>
      </c>
      <c r="AJ46" s="2340">
        <v>88348.826376596771</v>
      </c>
      <c r="AK46" s="2340">
        <v>88410.563939248503</v>
      </c>
      <c r="AL46" s="2340">
        <v>88829.912747289796</v>
      </c>
      <c r="AM46" s="2340">
        <v>89125.094825332897</v>
      </c>
      <c r="AN46" s="2340">
        <v>89626.622326922748</v>
      </c>
      <c r="AO46" s="2340">
        <v>89695.771523840129</v>
      </c>
      <c r="AP46" s="2340">
        <v>89827.646445878578</v>
      </c>
      <c r="AQ46" s="2340">
        <v>89922.613129789184</v>
      </c>
      <c r="AR46" s="2340">
        <v>89951.911850740828</v>
      </c>
      <c r="AS46" s="2340">
        <v>89448.109085653166</v>
      </c>
      <c r="AT46" s="2340">
        <v>88793.117041902879</v>
      </c>
      <c r="AU46" s="2340">
        <v>87755.236899998534</v>
      </c>
      <c r="AV46" s="2340">
        <v>87955.218084706372</v>
      </c>
      <c r="AW46" s="2340">
        <v>88300.424138641538</v>
      </c>
      <c r="AX46" s="2340">
        <v>90267.003881745928</v>
      </c>
      <c r="AY46" s="2340">
        <v>91837.204307500506</v>
      </c>
      <c r="AZ46" s="2340">
        <v>91929.007947998893</v>
      </c>
      <c r="BA46" s="2340">
        <v>92029.84026707508</v>
      </c>
      <c r="BB46" s="2340">
        <v>92601.330700477862</v>
      </c>
      <c r="BC46" s="2340">
        <v>92844.217034681555</v>
      </c>
      <c r="BD46" s="2340">
        <v>93176.483950313515</v>
      </c>
      <c r="BE46" s="2340">
        <v>93265.23791155708</v>
      </c>
      <c r="BF46" s="2340">
        <v>93655.019655661745</v>
      </c>
      <c r="BG46" s="2340">
        <v>93846.500576861334</v>
      </c>
      <c r="BH46" s="2340">
        <v>94073.071226046057</v>
      </c>
      <c r="BI46" s="2340">
        <v>94198.364048538017</v>
      </c>
      <c r="BJ46" s="2340">
        <v>94433.765558852931</v>
      </c>
      <c r="BK46" s="2340">
        <v>94731.528104799305</v>
      </c>
      <c r="BL46" s="2340">
        <v>95043.073768545917</v>
      </c>
      <c r="BM46" s="2340">
        <v>95313.035118777552</v>
      </c>
      <c r="BN46" s="2340">
        <v>95561.304223301064</v>
      </c>
      <c r="BO46" s="2340">
        <v>95753.363161516609</v>
      </c>
      <c r="BP46" s="2340">
        <v>95940.45343154842</v>
      </c>
      <c r="BQ46" s="2340">
        <v>96055.862705229069</v>
      </c>
      <c r="BR46" s="2340">
        <v>96164.124871741704</v>
      </c>
      <c r="BS46" s="2340">
        <v>96189.627609346542</v>
      </c>
      <c r="BT46" s="2340">
        <v>96288.826519587674</v>
      </c>
      <c r="BU46" s="2340">
        <v>96354.446139013133</v>
      </c>
      <c r="BV46" s="2340">
        <v>96465.354566756039</v>
      </c>
      <c r="BW46" s="2340">
        <v>96563.705726781191</v>
      </c>
      <c r="BX46" s="2340">
        <v>96674.534491539351</v>
      </c>
      <c r="BY46" s="2340">
        <v>96776.350356818759</v>
      </c>
      <c r="BZ46" s="2340">
        <v>96997.272335900401</v>
      </c>
      <c r="CA46" s="2340">
        <v>97162.700158162261</v>
      </c>
      <c r="CB46" s="2340">
        <v>97277.360135629104</v>
      </c>
      <c r="CC46" s="2340">
        <v>97354.028820853884</v>
      </c>
      <c r="CD46" s="2340">
        <v>97437.30338774847</v>
      </c>
      <c r="CE46" s="2340">
        <v>97514.246228761942</v>
      </c>
      <c r="CF46" s="2340">
        <v>97599.630585304752</v>
      </c>
      <c r="CG46" s="2340">
        <v>97693.992507616145</v>
      </c>
      <c r="CH46" s="2340">
        <v>97764.882752250385</v>
      </c>
      <c r="CI46" s="2340">
        <v>97881.779521475095</v>
      </c>
      <c r="CJ46" s="2340">
        <v>97918.637121839274</v>
      </c>
      <c r="CK46" s="2340">
        <v>97995.924061574231</v>
      </c>
      <c r="CL46" s="2340">
        <v>98097.786999318836</v>
      </c>
      <c r="CM46" s="2340">
        <v>98150.929361945979</v>
      </c>
      <c r="CN46" s="2340">
        <v>98238.1783875197</v>
      </c>
      <c r="CO46" s="2340">
        <v>98274.916576769479</v>
      </c>
      <c r="CP46" s="2340">
        <v>98355.410314020002</v>
      </c>
      <c r="CQ46" s="2340">
        <v>98406.243105992136</v>
      </c>
      <c r="CR46" s="2340">
        <v>98452.61420853468</v>
      </c>
      <c r="CS46" s="2340">
        <v>98512.731549664357</v>
      </c>
      <c r="CT46" s="2340">
        <v>98551.977546815702</v>
      </c>
      <c r="CU46" s="2340">
        <v>98585.235491662912</v>
      </c>
      <c r="CV46" s="2340">
        <v>98601.730631311511</v>
      </c>
      <c r="CW46" s="2340">
        <v>98652.128388510406</v>
      </c>
      <c r="CX46" s="2340">
        <v>98691.13215676276</v>
      </c>
      <c r="CY46" s="2340">
        <v>98719.552172155178</v>
      </c>
      <c r="CZ46" s="2340">
        <v>98720.501878841082</v>
      </c>
      <c r="DA46" s="2340">
        <v>98737.394106838387</v>
      </c>
      <c r="DB46" s="2340">
        <v>98769.107426138653</v>
      </c>
      <c r="DC46" s="2340">
        <v>98814.839221550021</v>
      </c>
      <c r="DD46" s="2340">
        <v>98828.262911532976</v>
      </c>
      <c r="DE46" s="2340">
        <v>98859.87060151514</v>
      </c>
      <c r="DF46" s="2340">
        <v>98923.268374331761</v>
      </c>
      <c r="DG46" s="2340">
        <v>98918.416574304036</v>
      </c>
      <c r="DH46" s="2340">
        <v>98952.293107153804</v>
      </c>
      <c r="DI46" s="2340">
        <v>98946.252830504454</v>
      </c>
      <c r="DJ46" s="2340">
        <v>98981.786790006634</v>
      </c>
      <c r="DK46" s="2340">
        <v>99015.415979638157</v>
      </c>
      <c r="DL46" s="2340">
        <v>99030.449097924793</v>
      </c>
      <c r="DM46" s="2340">
        <v>99025.978504511746</v>
      </c>
      <c r="DN46" s="2340">
        <v>99042.362705668012</v>
      </c>
      <c r="DO46" s="2340">
        <v>99072.211542933888</v>
      </c>
      <c r="DP46" s="2340">
        <v>99107.47298869591</v>
      </c>
      <c r="DQ46" s="2340">
        <v>99119.891651162237</v>
      </c>
      <c r="DR46" s="2340">
        <v>99132.72554484375</v>
      </c>
      <c r="DS46" s="2340">
        <v>99157.058654699329</v>
      </c>
      <c r="DT46" s="2340">
        <v>99183.254876927531</v>
      </c>
      <c r="DU46" s="2340">
        <v>99208.602870163246</v>
      </c>
    </row>
    <row r="47" spans="1:125" ht="12.75">
      <c r="A47" s="135">
        <v>45</v>
      </c>
      <c r="W47" s="136">
        <v>78782</v>
      </c>
      <c r="X47" s="136">
        <v>79595</v>
      </c>
      <c r="Y47" s="2340">
        <v>79734.465128522352</v>
      </c>
      <c r="Z47" s="2340">
        <v>81764.694507994267</v>
      </c>
      <c r="AA47" s="2340">
        <v>82246.980745958572</v>
      </c>
      <c r="AB47" s="2340">
        <v>82899.798107153722</v>
      </c>
      <c r="AC47" s="2340">
        <v>83782.300685757407</v>
      </c>
      <c r="AD47" s="2340">
        <v>84669.903905245112</v>
      </c>
      <c r="AE47" s="2340">
        <v>84603.187633452078</v>
      </c>
      <c r="AF47" s="2340">
        <v>85787.491711340685</v>
      </c>
      <c r="AG47" s="2340">
        <v>86284.503401800524</v>
      </c>
      <c r="AH47" s="2340">
        <v>86516.896861654808</v>
      </c>
      <c r="AI47" s="2340">
        <v>86939.898095430151</v>
      </c>
      <c r="AJ47" s="2340">
        <v>88142.412337519141</v>
      </c>
      <c r="AK47" s="2340">
        <v>88216.944734482488</v>
      </c>
      <c r="AL47" s="2340">
        <v>88648.053105546933</v>
      </c>
      <c r="AM47" s="2340">
        <v>88943.143578386764</v>
      </c>
      <c r="AN47" s="2340">
        <v>89447.73234221524</v>
      </c>
      <c r="AO47" s="2340">
        <v>89520.370391250544</v>
      </c>
      <c r="AP47" s="2340">
        <v>89666.763000352556</v>
      </c>
      <c r="AQ47" s="2340">
        <v>89754.711998027284</v>
      </c>
      <c r="AR47" s="2340">
        <v>89787.574845354815</v>
      </c>
      <c r="AS47" s="2340">
        <v>89279.2215538944</v>
      </c>
      <c r="AT47" s="2340">
        <v>88636.022031778833</v>
      </c>
      <c r="AU47" s="2340">
        <v>87591.749358396366</v>
      </c>
      <c r="AV47" s="2340">
        <v>87794.432118477547</v>
      </c>
      <c r="AW47" s="2340">
        <v>88145.309474609719</v>
      </c>
      <c r="AX47" s="2340">
        <v>90103.288299666863</v>
      </c>
      <c r="AY47" s="2340">
        <v>91668.653003244792</v>
      </c>
      <c r="AZ47" s="2340">
        <v>91768.507859221078</v>
      </c>
      <c r="BA47" s="2340">
        <v>91863.592845770079</v>
      </c>
      <c r="BB47" s="2340">
        <v>92448.514912963554</v>
      </c>
      <c r="BC47" s="2340">
        <v>92688.195500365095</v>
      </c>
      <c r="BD47" s="2340">
        <v>93031.991254313602</v>
      </c>
      <c r="BE47" s="2340">
        <v>93122.372647618613</v>
      </c>
      <c r="BF47" s="2340">
        <v>93509.921242171316</v>
      </c>
      <c r="BG47" s="2340">
        <v>93710.824923460852</v>
      </c>
      <c r="BH47" s="2340">
        <v>93933.341507444464</v>
      </c>
      <c r="BI47" s="2340">
        <v>94071.804366536497</v>
      </c>
      <c r="BJ47" s="2340">
        <v>94308.775829579768</v>
      </c>
      <c r="BK47" s="2340">
        <v>94613.332463615734</v>
      </c>
      <c r="BL47" s="2340">
        <v>94929.876635949666</v>
      </c>
      <c r="BM47" s="2340">
        <v>95210.282441020274</v>
      </c>
      <c r="BN47" s="2340">
        <v>95450.962109712433</v>
      </c>
      <c r="BO47" s="2340">
        <v>95640.378341948031</v>
      </c>
      <c r="BP47" s="2340">
        <v>95834.818411608052</v>
      </c>
      <c r="BQ47" s="2340">
        <v>95951.344783233799</v>
      </c>
      <c r="BR47" s="2340">
        <v>96063.643265998675</v>
      </c>
      <c r="BS47" s="2340">
        <v>96087.27442519732</v>
      </c>
      <c r="BT47" s="2340">
        <v>96192.095631246324</v>
      </c>
      <c r="BU47" s="2340">
        <v>96255.393142477158</v>
      </c>
      <c r="BV47" s="2340">
        <v>96369.975815087964</v>
      </c>
      <c r="BW47" s="2340">
        <v>96472.955694967473</v>
      </c>
      <c r="BX47" s="2340">
        <v>96582.043688867983</v>
      </c>
      <c r="BY47" s="2340">
        <v>96685.672021250604</v>
      </c>
      <c r="BZ47" s="2340">
        <v>96898.774221108673</v>
      </c>
      <c r="CA47" s="2340">
        <v>97063.948980393572</v>
      </c>
      <c r="CB47" s="2340">
        <v>97180.157074971648</v>
      </c>
      <c r="CC47" s="2340">
        <v>97258.737699574282</v>
      </c>
      <c r="CD47" s="2340">
        <v>97343.88032308605</v>
      </c>
      <c r="CE47" s="2340">
        <v>97422.660613605985</v>
      </c>
      <c r="CF47" s="2340">
        <v>97509.838570280088</v>
      </c>
      <c r="CG47" s="2340">
        <v>97605.950943922042</v>
      </c>
      <c r="CH47" s="2340">
        <v>97678.578316453189</v>
      </c>
      <c r="CI47" s="2340">
        <v>97797.138199958048</v>
      </c>
      <c r="CJ47" s="2340">
        <v>97835.69478172042</v>
      </c>
      <c r="CK47" s="2340">
        <v>97914.613065412923</v>
      </c>
      <c r="CL47" s="2340">
        <v>98018.055335938989</v>
      </c>
      <c r="CM47" s="2340">
        <v>98072.785229214016</v>
      </c>
      <c r="CN47" s="2340">
        <v>98161.5635993131</v>
      </c>
      <c r="CO47" s="2340">
        <v>98199.860839413785</v>
      </c>
      <c r="CP47" s="2340">
        <v>98281.849187058076</v>
      </c>
      <c r="CQ47" s="2340">
        <v>98334.168599238765</v>
      </c>
      <c r="CR47" s="2340">
        <v>98381.999497380049</v>
      </c>
      <c r="CS47" s="2340">
        <v>98443.537427598232</v>
      </c>
      <c r="CT47" s="2340">
        <v>98484.189816524202</v>
      </c>
      <c r="CU47" s="2340">
        <v>98518.829611816123</v>
      </c>
      <c r="CV47" s="2340">
        <v>98536.689497670945</v>
      </c>
      <c r="CW47" s="2340">
        <v>98588.402055078666</v>
      </c>
      <c r="CX47" s="2340">
        <v>98628.701268984136</v>
      </c>
      <c r="CY47" s="2340">
        <v>98658.396961891413</v>
      </c>
      <c r="CZ47" s="2340">
        <v>98660.612949483795</v>
      </c>
      <c r="DA47" s="2340">
        <v>98678.735767555103</v>
      </c>
      <c r="DB47" s="2340">
        <v>98711.645770024057</v>
      </c>
      <c r="DC47" s="2340">
        <v>98758.541854300391</v>
      </c>
      <c r="DD47" s="2340">
        <v>98773.12427958347</v>
      </c>
      <c r="DE47" s="2340">
        <v>98805.85692118021</v>
      </c>
      <c r="DF47" s="2340">
        <v>98870.339690270965</v>
      </c>
      <c r="DG47" s="2340">
        <v>98866.586873355351</v>
      </c>
      <c r="DH47" s="2340">
        <v>98901.519698843316</v>
      </c>
      <c r="DI47" s="2340">
        <v>98896.534250775192</v>
      </c>
      <c r="DJ47" s="2340">
        <v>98933.080667247777</v>
      </c>
      <c r="DK47" s="2340">
        <v>98967.702620440308</v>
      </c>
      <c r="DL47" s="2340">
        <v>98983.717047859245</v>
      </c>
      <c r="DM47" s="2340">
        <v>98980.216595345366</v>
      </c>
      <c r="DN47" s="2340">
        <v>98997.541359929499</v>
      </c>
      <c r="DO47" s="2340">
        <v>99028.305462879347</v>
      </c>
      <c r="DP47" s="2340">
        <v>99064.461139193489</v>
      </c>
      <c r="DQ47" s="2340">
        <v>99077.765533066136</v>
      </c>
      <c r="DR47" s="2340">
        <v>99091.46674635564</v>
      </c>
      <c r="DS47" s="2340">
        <v>99116.644632759941</v>
      </c>
      <c r="DT47" s="2340">
        <v>99143.667593437582</v>
      </c>
      <c r="DU47" s="2340">
        <v>99169.825747011026</v>
      </c>
    </row>
    <row r="48" spans="1:125" ht="12.75">
      <c r="A48" s="135">
        <v>46</v>
      </c>
      <c r="W48" s="136">
        <v>78551</v>
      </c>
      <c r="X48" s="136">
        <v>79362</v>
      </c>
      <c r="Y48" s="2340">
        <v>79505.72336389737</v>
      </c>
      <c r="Z48" s="2340">
        <v>81523.428627716057</v>
      </c>
      <c r="AA48" s="2340">
        <v>82023.606162871234</v>
      </c>
      <c r="AB48" s="2340">
        <v>82679.988051765613</v>
      </c>
      <c r="AC48" s="2340">
        <v>83557.777597294451</v>
      </c>
      <c r="AD48" s="2340">
        <v>84430.963310273888</v>
      </c>
      <c r="AE48" s="2340">
        <v>84378.08321600662</v>
      </c>
      <c r="AF48" s="2340">
        <v>85568.505696663837</v>
      </c>
      <c r="AG48" s="2340">
        <v>86066.995796978532</v>
      </c>
      <c r="AH48" s="2340">
        <v>86291.886440599963</v>
      </c>
      <c r="AI48" s="2340">
        <v>86712.79301299293</v>
      </c>
      <c r="AJ48" s="2340">
        <v>87932.221683342694</v>
      </c>
      <c r="AK48" s="2340">
        <v>88009.773684627537</v>
      </c>
      <c r="AL48" s="2340">
        <v>88449.648901744076</v>
      </c>
      <c r="AM48" s="2340">
        <v>88747.124393167047</v>
      </c>
      <c r="AN48" s="2340">
        <v>89263.247145386922</v>
      </c>
      <c r="AO48" s="2340">
        <v>89334.267612925498</v>
      </c>
      <c r="AP48" s="2340">
        <v>89487.535344032003</v>
      </c>
      <c r="AQ48" s="2340">
        <v>89575.998985143859</v>
      </c>
      <c r="AR48" s="2340">
        <v>89602.457346235751</v>
      </c>
      <c r="AS48" s="2340">
        <v>89101.775377270809</v>
      </c>
      <c r="AT48" s="2340">
        <v>88458.178069706555</v>
      </c>
      <c r="AU48" s="2340">
        <v>87403.676108580461</v>
      </c>
      <c r="AV48" s="2340">
        <v>87622.242376229173</v>
      </c>
      <c r="AW48" s="2340">
        <v>87970.963409703007</v>
      </c>
      <c r="AX48" s="2340">
        <v>89922.452814427626</v>
      </c>
      <c r="AY48" s="2340">
        <v>91498.045640967175</v>
      </c>
      <c r="AZ48" s="2340">
        <v>91596.849213102949</v>
      </c>
      <c r="BA48" s="2340">
        <v>91690.949790704413</v>
      </c>
      <c r="BB48" s="2340">
        <v>92284.431634358436</v>
      </c>
      <c r="BC48" s="2340">
        <v>92527.941593872965</v>
      </c>
      <c r="BD48" s="2340">
        <v>92869.265327131609</v>
      </c>
      <c r="BE48" s="2340">
        <v>92964.9394629202</v>
      </c>
      <c r="BF48" s="2340">
        <v>93353.924748823367</v>
      </c>
      <c r="BG48" s="2340">
        <v>93555.69697921988</v>
      </c>
      <c r="BH48" s="2340">
        <v>93792.864299548426</v>
      </c>
      <c r="BI48" s="2340">
        <v>93929.486412795886</v>
      </c>
      <c r="BJ48" s="2340">
        <v>94167.759851639319</v>
      </c>
      <c r="BK48" s="2340">
        <v>94473.71873254393</v>
      </c>
      <c r="BL48" s="2340">
        <v>94799.222648011229</v>
      </c>
      <c r="BM48" s="2340">
        <v>95084.22384905591</v>
      </c>
      <c r="BN48" s="2340">
        <v>95329.799015992976</v>
      </c>
      <c r="BO48" s="2340">
        <v>95519.573730525502</v>
      </c>
      <c r="BP48" s="2340">
        <v>95726.848462292095</v>
      </c>
      <c r="BQ48" s="2340">
        <v>95836.479263649569</v>
      </c>
      <c r="BR48" s="2340">
        <v>95954.179985943803</v>
      </c>
      <c r="BS48" s="2340">
        <v>95984.747765176449</v>
      </c>
      <c r="BT48" s="2340">
        <v>96084.104747195015</v>
      </c>
      <c r="BU48" s="2340">
        <v>96146.504098909762</v>
      </c>
      <c r="BV48" s="2340">
        <v>96252.546411498435</v>
      </c>
      <c r="BW48" s="2340">
        <v>96374.989203831254</v>
      </c>
      <c r="BX48" s="2340">
        <v>96484.034320338033</v>
      </c>
      <c r="BY48" s="2340">
        <v>96576.349569371538</v>
      </c>
      <c r="BZ48" s="2340">
        <v>96802.26005782235</v>
      </c>
      <c r="CA48" s="2340">
        <v>96957.636709539162</v>
      </c>
      <c r="CB48" s="2340">
        <v>97075.859501419895</v>
      </c>
      <c r="CC48" s="2340">
        <v>97156.456360227094</v>
      </c>
      <c r="CD48" s="2340">
        <v>97243.569544480997</v>
      </c>
      <c r="CE48" s="2340">
        <v>97324.288930329159</v>
      </c>
      <c r="CF48" s="2340">
        <v>97413.360252170081</v>
      </c>
      <c r="CG48" s="2340">
        <v>97511.320962898171</v>
      </c>
      <c r="CH48" s="2340">
        <v>97585.783662719099</v>
      </c>
      <c r="CI48" s="2340">
        <v>97706.100570294206</v>
      </c>
      <c r="CJ48" s="2340">
        <v>97746.45401390914</v>
      </c>
      <c r="CK48" s="2340">
        <v>97827.09763232687</v>
      </c>
      <c r="CL48" s="2340">
        <v>97932.210458330068</v>
      </c>
      <c r="CM48" s="2340">
        <v>97988.620916233122</v>
      </c>
      <c r="CN48" s="2340">
        <v>98079.04471162078</v>
      </c>
      <c r="CO48" s="2340">
        <v>98118.996844234498</v>
      </c>
      <c r="CP48" s="2340">
        <v>98202.571665300784</v>
      </c>
      <c r="CQ48" s="2340">
        <v>98256.469922805787</v>
      </c>
      <c r="CR48" s="2340">
        <v>98305.851718572245</v>
      </c>
      <c r="CS48" s="2340">
        <v>98368.899215060766</v>
      </c>
      <c r="CT48" s="2340">
        <v>98411.046784393227</v>
      </c>
      <c r="CU48" s="2340">
        <v>98447.15619451621</v>
      </c>
      <c r="CV48" s="2340">
        <v>98466.468133945571</v>
      </c>
      <c r="CW48" s="2340">
        <v>98519.579697800262</v>
      </c>
      <c r="CX48" s="2340">
        <v>98561.257869150664</v>
      </c>
      <c r="CY48" s="2340">
        <v>98592.312003711908</v>
      </c>
      <c r="CZ48" s="2340">
        <v>98595.877107879249</v>
      </c>
      <c r="DA48" s="2340">
        <v>98615.311276591674</v>
      </c>
      <c r="DB48" s="2340">
        <v>98649.496757799338</v>
      </c>
      <c r="DC48" s="2340">
        <v>98697.634051760644</v>
      </c>
      <c r="DD48" s="2340">
        <v>98713.452433019003</v>
      </c>
      <c r="DE48" s="2340">
        <v>98747.385210540422</v>
      </c>
      <c r="DF48" s="2340">
        <v>98813.025579173729</v>
      </c>
      <c r="DG48" s="2340">
        <v>98810.446215075834</v>
      </c>
      <c r="DH48" s="2340">
        <v>98846.506949700954</v>
      </c>
      <c r="DI48" s="2340">
        <v>98842.648507195787</v>
      </c>
      <c r="DJ48" s="2340">
        <v>98880.276674248118</v>
      </c>
      <c r="DK48" s="2340">
        <v>98915.959675213933</v>
      </c>
      <c r="DL48" s="2340">
        <v>98933.023365518777</v>
      </c>
      <c r="DM48" s="2340">
        <v>98930.560689972175</v>
      </c>
      <c r="DN48" s="2340">
        <v>98948.891752729964</v>
      </c>
      <c r="DO48" s="2340">
        <v>98980.63529283159</v>
      </c>
      <c r="DP48" s="2340">
        <v>99017.748149958759</v>
      </c>
      <c r="DQ48" s="2340">
        <v>99032.001066388417</v>
      </c>
      <c r="DR48" s="2340">
        <v>99046.631363435241</v>
      </c>
      <c r="DS48" s="2340">
        <v>99072.714386050924</v>
      </c>
      <c r="DT48" s="2340">
        <v>99100.623411780849</v>
      </c>
      <c r="DU48" s="2340">
        <v>99127.650129560629</v>
      </c>
    </row>
    <row r="49" spans="1:125" ht="12.75">
      <c r="A49" s="135">
        <v>47</v>
      </c>
      <c r="W49" s="136">
        <v>78305</v>
      </c>
      <c r="X49" s="136">
        <v>79106</v>
      </c>
      <c r="Y49" s="2340">
        <v>79238.600942046673</v>
      </c>
      <c r="Z49" s="2340">
        <v>81270.218059700084</v>
      </c>
      <c r="AA49" s="2340">
        <v>81764.370239919415</v>
      </c>
      <c r="AB49" s="2340">
        <v>82429.574153331574</v>
      </c>
      <c r="AC49" s="2340">
        <v>83312.427945871939</v>
      </c>
      <c r="AD49" s="2340">
        <v>84178.060438469474</v>
      </c>
      <c r="AE49" s="2340">
        <v>84135.595807919875</v>
      </c>
      <c r="AF49" s="2340">
        <v>85331.802800823702</v>
      </c>
      <c r="AG49" s="2340">
        <v>85835.480715727943</v>
      </c>
      <c r="AH49" s="2340">
        <v>86053.600341725716</v>
      </c>
      <c r="AI49" s="2340">
        <v>86483.201417408214</v>
      </c>
      <c r="AJ49" s="2340">
        <v>87710.190418460974</v>
      </c>
      <c r="AK49" s="2340">
        <v>87788.002597251005</v>
      </c>
      <c r="AL49" s="2340">
        <v>88234.832349881559</v>
      </c>
      <c r="AM49" s="2340">
        <v>88552.698926673576</v>
      </c>
      <c r="AN49" s="2340">
        <v>89056.787254629977</v>
      </c>
      <c r="AO49" s="2340">
        <v>89138.574012430443</v>
      </c>
      <c r="AP49" s="2340">
        <v>89289.003052842192</v>
      </c>
      <c r="AQ49" s="2340">
        <v>89374.946725380592</v>
      </c>
      <c r="AR49" s="2340">
        <v>89403.366878525558</v>
      </c>
      <c r="AS49" s="2340">
        <v>88926.757772604775</v>
      </c>
      <c r="AT49" s="2340">
        <v>88251.126147876756</v>
      </c>
      <c r="AU49" s="2340">
        <v>87204.844287470027</v>
      </c>
      <c r="AV49" s="2340">
        <v>87427.069171368523</v>
      </c>
      <c r="AW49" s="2340">
        <v>87791.057573072336</v>
      </c>
      <c r="AX49" s="2340">
        <v>89734.67623884877</v>
      </c>
      <c r="AY49" s="2340">
        <v>91312.186473694848</v>
      </c>
      <c r="AZ49" s="2340">
        <v>91413.472178428769</v>
      </c>
      <c r="BA49" s="2340">
        <v>91515.858465377241</v>
      </c>
      <c r="BB49" s="2340">
        <v>92107.868127780996</v>
      </c>
      <c r="BC49" s="2340">
        <v>92352.705257026842</v>
      </c>
      <c r="BD49" s="2340">
        <v>92695.167961506857</v>
      </c>
      <c r="BE49" s="2340">
        <v>92799.968095837641</v>
      </c>
      <c r="BF49" s="2340">
        <v>93179.608912897558</v>
      </c>
      <c r="BG49" s="2340">
        <v>93392.845371238946</v>
      </c>
      <c r="BH49" s="2340">
        <v>93634.360510810497</v>
      </c>
      <c r="BI49" s="2340">
        <v>93774.323370183061</v>
      </c>
      <c r="BJ49" s="2340">
        <v>94016.164417090898</v>
      </c>
      <c r="BK49" s="2340">
        <v>94330.107602681193</v>
      </c>
      <c r="BL49" s="2340">
        <v>94646.900564679498</v>
      </c>
      <c r="BM49" s="2340">
        <v>94945.336082496651</v>
      </c>
      <c r="BN49" s="2340">
        <v>95203.096439420697</v>
      </c>
      <c r="BO49" s="2340">
        <v>95388.96181702317</v>
      </c>
      <c r="BP49" s="2340">
        <v>95593.610927252026</v>
      </c>
      <c r="BQ49" s="2340">
        <v>95715.499534258081</v>
      </c>
      <c r="BR49" s="2340">
        <v>95827.030252362281</v>
      </c>
      <c r="BS49" s="2340">
        <v>95868.807721562349</v>
      </c>
      <c r="BT49" s="2340">
        <v>95963.042509062463</v>
      </c>
      <c r="BU49" s="2340">
        <v>96031.07323449025</v>
      </c>
      <c r="BV49" s="2340">
        <v>96139.357865769125</v>
      </c>
      <c r="BW49" s="2340">
        <v>96259.479054378025</v>
      </c>
      <c r="BX49" s="2340">
        <v>96364.064593513103</v>
      </c>
      <c r="BY49" s="2340">
        <v>96464.803833171944</v>
      </c>
      <c r="BZ49" s="2340">
        <v>96685.861926550191</v>
      </c>
      <c r="CA49" s="2340">
        <v>96843.362923374734</v>
      </c>
      <c r="CB49" s="2340">
        <v>96963.714499002308</v>
      </c>
      <c r="CC49" s="2340">
        <v>97046.443253041041</v>
      </c>
      <c r="CD49" s="2340">
        <v>97135.64064675699</v>
      </c>
      <c r="CE49" s="2340">
        <v>97218.411797164459</v>
      </c>
      <c r="CF49" s="2340">
        <v>97309.48704449393</v>
      </c>
      <c r="CG49" s="2340">
        <v>97409.404546853082</v>
      </c>
      <c r="CH49" s="2340">
        <v>97485.811349325886</v>
      </c>
      <c r="CI49" s="2340">
        <v>97607.989287633041</v>
      </c>
      <c r="CJ49" s="2340">
        <v>97650.24796734206</v>
      </c>
      <c r="CK49" s="2340">
        <v>97732.720970788621</v>
      </c>
      <c r="CL49" s="2340">
        <v>97839.605320271468</v>
      </c>
      <c r="CM49" s="2340">
        <v>97897.831880808066</v>
      </c>
      <c r="CN49" s="2340">
        <v>97990.005313850896</v>
      </c>
      <c r="CO49" s="2340">
        <v>98031.718335662503</v>
      </c>
      <c r="CP49" s="2340">
        <v>98116.981215613268</v>
      </c>
      <c r="CQ49" s="2340">
        <v>98172.560287312124</v>
      </c>
      <c r="CR49" s="2340">
        <v>98223.593693590388</v>
      </c>
      <c r="CS49" s="2340">
        <v>98288.249107797907</v>
      </c>
      <c r="CT49" s="2340">
        <v>98331.989986563305</v>
      </c>
      <c r="CU49" s="2340">
        <v>98369.665995975723</v>
      </c>
      <c r="CV49" s="2340">
        <v>98390.526455937041</v>
      </c>
      <c r="CW49" s="2340">
        <v>98445.13005659786</v>
      </c>
      <c r="CX49" s="2340">
        <v>98488.279437419988</v>
      </c>
      <c r="CY49" s="2340">
        <v>98520.783429197298</v>
      </c>
      <c r="CZ49" s="2340">
        <v>98525.78913421015</v>
      </c>
      <c r="DA49" s="2340">
        <v>98546.623836742321</v>
      </c>
      <c r="DB49" s="2340">
        <v>98582.171800925658</v>
      </c>
      <c r="DC49" s="2340">
        <v>98631.635230059474</v>
      </c>
      <c r="DD49" s="2340">
        <v>98648.77481583289</v>
      </c>
      <c r="DE49" s="2340">
        <v>98683.990721624185</v>
      </c>
      <c r="DF49" s="2340">
        <v>98750.868824947378</v>
      </c>
      <c r="DG49" s="2340">
        <v>98749.545103240685</v>
      </c>
      <c r="DH49" s="2340">
        <v>98786.812779732514</v>
      </c>
      <c r="DI49" s="2340">
        <v>98784.160988750853</v>
      </c>
      <c r="DJ49" s="2340">
        <v>98822.947362971914</v>
      </c>
      <c r="DK49" s="2340">
        <v>98859.766748711176</v>
      </c>
      <c r="DL49" s="2340">
        <v>98877.954669468367</v>
      </c>
      <c r="DM49" s="2340">
        <v>98876.604383526355</v>
      </c>
      <c r="DN49" s="2340">
        <v>98896.014253604182</v>
      </c>
      <c r="DO49" s="2340">
        <v>98928.808010120614</v>
      </c>
      <c r="DP49" s="2340">
        <v>98966.94747550576</v>
      </c>
      <c r="DQ49" s="2340">
        <v>98982.218163446465</v>
      </c>
      <c r="DR49" s="2340">
        <v>98997.845656483449</v>
      </c>
      <c r="DS49" s="2340">
        <v>99024.900374145393</v>
      </c>
      <c r="DT49" s="2340">
        <v>99053.760880842296</v>
      </c>
      <c r="DU49" s="2340">
        <v>99081.720557922687</v>
      </c>
    </row>
    <row r="50" spans="1:125" ht="12.75">
      <c r="A50" s="135">
        <v>48</v>
      </c>
      <c r="W50" s="136">
        <v>78030</v>
      </c>
      <c r="X50" s="136">
        <v>78819</v>
      </c>
      <c r="Y50" s="2340">
        <v>78970.300927020362</v>
      </c>
      <c r="Z50" s="2340">
        <v>81002.881558949201</v>
      </c>
      <c r="AA50" s="2340">
        <v>81501.285215474374</v>
      </c>
      <c r="AB50" s="2340">
        <v>82156.806360287359</v>
      </c>
      <c r="AC50" s="2340">
        <v>83044.709571805826</v>
      </c>
      <c r="AD50" s="2340">
        <v>83914.835852896023</v>
      </c>
      <c r="AE50" s="2340">
        <v>83877.067218090771</v>
      </c>
      <c r="AF50" s="2340">
        <v>85067.217604766774</v>
      </c>
      <c r="AG50" s="2340">
        <v>85576.97753416808</v>
      </c>
      <c r="AH50" s="2340">
        <v>85795.387027273086</v>
      </c>
      <c r="AI50" s="2340">
        <v>86233.098562419123</v>
      </c>
      <c r="AJ50" s="2340">
        <v>87466.091254762287</v>
      </c>
      <c r="AK50" s="2340">
        <v>87556.829037194606</v>
      </c>
      <c r="AL50" s="2340">
        <v>88011.210034474265</v>
      </c>
      <c r="AM50" s="2340">
        <v>88346.965352633677</v>
      </c>
      <c r="AN50" s="2340">
        <v>88842.227809011732</v>
      </c>
      <c r="AO50" s="2340">
        <v>88930.095461478209</v>
      </c>
      <c r="AP50" s="2340">
        <v>89080.63222103579</v>
      </c>
      <c r="AQ50" s="2340">
        <v>89165.75279863723</v>
      </c>
      <c r="AR50" s="2340">
        <v>89199.157663902311</v>
      </c>
      <c r="AS50" s="2340">
        <v>88715.406305506578</v>
      </c>
      <c r="AT50" s="2340">
        <v>88040.30376047545</v>
      </c>
      <c r="AU50" s="2340">
        <v>87003.436616632869</v>
      </c>
      <c r="AV50" s="2340">
        <v>87223.880775986938</v>
      </c>
      <c r="AW50" s="2340">
        <v>87591.897685069911</v>
      </c>
      <c r="AX50" s="2340">
        <v>89537.117461855392</v>
      </c>
      <c r="AY50" s="2340">
        <v>91114.871676830662</v>
      </c>
      <c r="AZ50" s="2340">
        <v>91217.879076020545</v>
      </c>
      <c r="BA50" s="2340">
        <v>91329.186648007788</v>
      </c>
      <c r="BB50" s="2340">
        <v>91915.833427639795</v>
      </c>
      <c r="BC50" s="2340">
        <v>92169.80495713024</v>
      </c>
      <c r="BD50" s="2340">
        <v>92510.59706229459</v>
      </c>
      <c r="BE50" s="2340">
        <v>92617.143564332131</v>
      </c>
      <c r="BF50" s="2340">
        <v>93000.6240144404</v>
      </c>
      <c r="BG50" s="2340">
        <v>93218.34517442387</v>
      </c>
      <c r="BH50" s="2340">
        <v>93465.888868563648</v>
      </c>
      <c r="BI50" s="2340">
        <v>93605.28127761629</v>
      </c>
      <c r="BJ50" s="2340">
        <v>93848.783895053144</v>
      </c>
      <c r="BK50" s="2340">
        <v>94168.326591052988</v>
      </c>
      <c r="BL50" s="2340">
        <v>94496.541396586457</v>
      </c>
      <c r="BM50" s="2340">
        <v>94787.74026775347</v>
      </c>
      <c r="BN50" s="2340">
        <v>95049.764120200285</v>
      </c>
      <c r="BO50" s="2340">
        <v>95236.441601551764</v>
      </c>
      <c r="BP50" s="2340">
        <v>95455.680444526151</v>
      </c>
      <c r="BQ50" s="2340">
        <v>95576.925003985423</v>
      </c>
      <c r="BR50" s="2340">
        <v>95688.376935294626</v>
      </c>
      <c r="BS50" s="2340">
        <v>95739.434302292153</v>
      </c>
      <c r="BT50" s="2340">
        <v>95836.48955111613</v>
      </c>
      <c r="BU50" s="2340">
        <v>95900.452928932762</v>
      </c>
      <c r="BV50" s="2340">
        <v>96020.951572448495</v>
      </c>
      <c r="BW50" s="2340">
        <v>96137.257262329396</v>
      </c>
      <c r="BX50" s="2340">
        <v>96234.238713456827</v>
      </c>
      <c r="BY50" s="2340">
        <v>96337.192505242114</v>
      </c>
      <c r="BZ50" s="2340">
        <v>96560.458011232156</v>
      </c>
      <c r="CA50" s="2340">
        <v>96720.20970511256</v>
      </c>
      <c r="CB50" s="2340">
        <v>96842.818221754074</v>
      </c>
      <c r="CC50" s="2340">
        <v>96927.808730355551</v>
      </c>
      <c r="CD50" s="2340">
        <v>97019.21789677997</v>
      </c>
      <c r="CE50" s="2340">
        <v>97104.167232557011</v>
      </c>
      <c r="CF50" s="2340">
        <v>97197.370426555266</v>
      </c>
      <c r="CG50" s="2340">
        <v>97299.366347696778</v>
      </c>
      <c r="CH50" s="2340">
        <v>97377.839192535743</v>
      </c>
      <c r="CI50" s="2340">
        <v>97501.994743106377</v>
      </c>
      <c r="CJ50" s="2340">
        <v>97546.280066043721</v>
      </c>
      <c r="CK50" s="2340">
        <v>97630.699002641253</v>
      </c>
      <c r="CL50" s="2340">
        <v>97739.507617225099</v>
      </c>
      <c r="CM50" s="2340">
        <v>97799.671054467224</v>
      </c>
      <c r="CN50" s="2340">
        <v>97893.710560388718</v>
      </c>
      <c r="CO50" s="2340">
        <v>97937.302862940822</v>
      </c>
      <c r="CP50" s="2340">
        <v>98024.367257193779</v>
      </c>
      <c r="CQ50" s="2340">
        <v>98081.740998071458</v>
      </c>
      <c r="CR50" s="2340">
        <v>98134.538446419043</v>
      </c>
      <c r="CS50" s="2340">
        <v>98200.911557809828</v>
      </c>
      <c r="CT50" s="2340">
        <v>98246.355253803631</v>
      </c>
      <c r="CU50" s="2340">
        <v>98285.706073742564</v>
      </c>
      <c r="CV50" s="2340">
        <v>98308.222667244685</v>
      </c>
      <c r="CW50" s="2340">
        <v>98364.422073823749</v>
      </c>
      <c r="CX50" s="2340">
        <v>98409.145546785003</v>
      </c>
      <c r="CY50" s="2340">
        <v>98443.201328128678</v>
      </c>
      <c r="CZ50" s="2340">
        <v>98449.749623329975</v>
      </c>
      <c r="DA50" s="2340">
        <v>98472.084271542888</v>
      </c>
      <c r="DB50" s="2340">
        <v>98509.091689824025</v>
      </c>
      <c r="DC50" s="2340">
        <v>98559.975896787553</v>
      </c>
      <c r="DD50" s="2340">
        <v>98578.531672473749</v>
      </c>
      <c r="DE50" s="2340">
        <v>98615.123167631231</v>
      </c>
      <c r="DF50" s="2340">
        <v>98683.328275076216</v>
      </c>
      <c r="DG50" s="2340">
        <v>98683.351734674594</v>
      </c>
      <c r="DH50" s="2340">
        <v>98721.914368474827</v>
      </c>
      <c r="DI50" s="2340">
        <v>98720.557912796183</v>
      </c>
      <c r="DJ50" s="2340">
        <v>98760.587619695507</v>
      </c>
      <c r="DK50" s="2340">
        <v>98798.627258955486</v>
      </c>
      <c r="DL50" s="2340">
        <v>98818.022856551237</v>
      </c>
      <c r="DM50" s="2340">
        <v>98817.868000844042</v>
      </c>
      <c r="DN50" s="2340">
        <v>98838.437370027779</v>
      </c>
      <c r="DO50" s="2340">
        <v>98872.360101736762</v>
      </c>
      <c r="DP50" s="2340">
        <v>98911.603421885622</v>
      </c>
      <c r="DQ50" s="2340">
        <v>98927.968920162064</v>
      </c>
      <c r="DR50" s="2340">
        <v>98944.669375719415</v>
      </c>
      <c r="DS50" s="2340">
        <v>98972.769819997877</v>
      </c>
      <c r="DT50" s="2340">
        <v>99002.654560927709</v>
      </c>
      <c r="DU50" s="2340">
        <v>99031.618808382816</v>
      </c>
    </row>
    <row r="51" spans="1:125" ht="12.75">
      <c r="A51" s="135">
        <v>49</v>
      </c>
      <c r="W51" s="136">
        <v>77715</v>
      </c>
      <c r="X51" s="136">
        <v>78524</v>
      </c>
      <c r="Y51" s="2340">
        <v>78666.353955916493</v>
      </c>
      <c r="Z51" s="2340">
        <v>80711.549005118824</v>
      </c>
      <c r="AA51" s="2340">
        <v>81208.916958041707</v>
      </c>
      <c r="AB51" s="2340">
        <v>81853.836882689066</v>
      </c>
      <c r="AC51" s="2340">
        <v>82758.158773178176</v>
      </c>
      <c r="AD51" s="2340">
        <v>83633.129437688214</v>
      </c>
      <c r="AE51" s="2340">
        <v>83598.490669741368</v>
      </c>
      <c r="AF51" s="2340">
        <v>84785.595112954892</v>
      </c>
      <c r="AG51" s="2340">
        <v>85309.414432811522</v>
      </c>
      <c r="AH51" s="2340">
        <v>85515.399261860468</v>
      </c>
      <c r="AI51" s="2340">
        <v>85979.002524159368</v>
      </c>
      <c r="AJ51" s="2340">
        <v>87215.733613623699</v>
      </c>
      <c r="AK51" s="2340">
        <v>87311.907972575471</v>
      </c>
      <c r="AL51" s="2340">
        <v>87771.743622537921</v>
      </c>
      <c r="AM51" s="2340">
        <v>88108.328194754096</v>
      </c>
      <c r="AN51" s="2340">
        <v>88604.367592355542</v>
      </c>
      <c r="AO51" s="2340">
        <v>88698.875731723369</v>
      </c>
      <c r="AP51" s="2340">
        <v>88853.246129559964</v>
      </c>
      <c r="AQ51" s="2340">
        <v>88933.903805002032</v>
      </c>
      <c r="AR51" s="2340">
        <v>88964.432997538082</v>
      </c>
      <c r="AS51" s="2340">
        <v>88482.937569810005</v>
      </c>
      <c r="AT51" s="2340">
        <v>87814.43731943029</v>
      </c>
      <c r="AU51" s="2340">
        <v>86777.116192116635</v>
      </c>
      <c r="AV51" s="2340">
        <v>87001.91899583301</v>
      </c>
      <c r="AW51" s="2340">
        <v>87373.942606786703</v>
      </c>
      <c r="AX51" s="2340">
        <v>89326.405234286023</v>
      </c>
      <c r="AY51" s="2340">
        <v>90901.546602303526</v>
      </c>
      <c r="AZ51" s="2340">
        <v>91009.536700994577</v>
      </c>
      <c r="BA51" s="2340">
        <v>91125.448368328827</v>
      </c>
      <c r="BB51" s="2340">
        <v>91712.338221174519</v>
      </c>
      <c r="BC51" s="2340">
        <v>91963.87493292056</v>
      </c>
      <c r="BD51" s="2340">
        <v>92313.768146618502</v>
      </c>
      <c r="BE51" s="2340">
        <v>92421.243199100398</v>
      </c>
      <c r="BF51" s="2340">
        <v>92814.538210531027</v>
      </c>
      <c r="BG51" s="2340">
        <v>93027.108964975123</v>
      </c>
      <c r="BH51" s="2340">
        <v>93293.775447158463</v>
      </c>
      <c r="BI51" s="2340">
        <v>93427.418520053558</v>
      </c>
      <c r="BJ51" s="2340">
        <v>93679.038396533288</v>
      </c>
      <c r="BK51" s="2340">
        <v>93997.355086504627</v>
      </c>
      <c r="BL51" s="2340">
        <v>94332.352746065837</v>
      </c>
      <c r="BM51" s="2340">
        <v>94624.671931583827</v>
      </c>
      <c r="BN51" s="2340">
        <v>94889.839094524054</v>
      </c>
      <c r="BO51" s="2340">
        <v>95086.331260437713</v>
      </c>
      <c r="BP51" s="2340">
        <v>95309.81533525353</v>
      </c>
      <c r="BQ51" s="2340">
        <v>95417.047598202742</v>
      </c>
      <c r="BR51" s="2340">
        <v>95536.087372947601</v>
      </c>
      <c r="BS51" s="2340">
        <v>95593.617609922876</v>
      </c>
      <c r="BT51" s="2340">
        <v>95696.279591745653</v>
      </c>
      <c r="BU51" s="2340">
        <v>95753.899472104007</v>
      </c>
      <c r="BV51" s="2340">
        <v>95869.966192527252</v>
      </c>
      <c r="BW51" s="2340">
        <v>95983.896735148635</v>
      </c>
      <c r="BX51" s="2340">
        <v>96093.819521447571</v>
      </c>
      <c r="BY51" s="2340">
        <v>96199.33453874629</v>
      </c>
      <c r="BZ51" s="2340">
        <v>96424.9458639808</v>
      </c>
      <c r="CA51" s="2340">
        <v>96587.091587747636</v>
      </c>
      <c r="CB51" s="2340">
        <v>96712.102331691218</v>
      </c>
      <c r="CC51" s="2340">
        <v>96799.5017195275</v>
      </c>
      <c r="CD51" s="2340">
        <v>96893.267137600196</v>
      </c>
      <c r="CE51" s="2340">
        <v>96980.537788592526</v>
      </c>
      <c r="CF51" s="2340">
        <v>97076.009302242979</v>
      </c>
      <c r="CG51" s="2340">
        <v>97180.22126718887</v>
      </c>
      <c r="CH51" s="2340">
        <v>97260.898068475872</v>
      </c>
      <c r="CI51" s="2340">
        <v>97387.163078854341</v>
      </c>
      <c r="CJ51" s="2340">
        <v>97433.612244274438</v>
      </c>
      <c r="CK51" s="2340">
        <v>97520.156382607689</v>
      </c>
      <c r="CL51" s="2340">
        <v>97631.023122350176</v>
      </c>
      <c r="CM51" s="2340">
        <v>97693.259426458535</v>
      </c>
      <c r="CN51" s="2340">
        <v>97789.296098883584</v>
      </c>
      <c r="CO51" s="2340">
        <v>97834.900925966343</v>
      </c>
      <c r="CP51" s="2340">
        <v>97923.894516571498</v>
      </c>
      <c r="CQ51" s="2340">
        <v>97983.191018963131</v>
      </c>
      <c r="CR51" s="2340">
        <v>98037.878973238912</v>
      </c>
      <c r="CS51" s="2340">
        <v>98106.093243968673</v>
      </c>
      <c r="CT51" s="2340">
        <v>98153.362881744994</v>
      </c>
      <c r="CU51" s="2340">
        <v>98194.510153696639</v>
      </c>
      <c r="CV51" s="2340">
        <v>98218.803821213733</v>
      </c>
      <c r="CW51" s="2340">
        <v>98276.715644543045</v>
      </c>
      <c r="CX51" s="2340">
        <v>98323.128799477563</v>
      </c>
      <c r="CY51" s="2340">
        <v>98358.85086870224</v>
      </c>
      <c r="CZ51" s="2340">
        <v>98367.056287951782</v>
      </c>
      <c r="DA51" s="2340">
        <v>98391.002506746081</v>
      </c>
      <c r="DB51" s="2340">
        <v>98429.578249177124</v>
      </c>
      <c r="DC51" s="2340">
        <v>98481.989475855997</v>
      </c>
      <c r="DD51" s="2340">
        <v>98502.068041859791</v>
      </c>
      <c r="DE51" s="2340">
        <v>98540.138881575476</v>
      </c>
      <c r="DF51" s="2340">
        <v>98609.771158444986</v>
      </c>
      <c r="DG51" s="2340">
        <v>98611.244478612367</v>
      </c>
      <c r="DH51" s="2340">
        <v>98651.200790000279</v>
      </c>
      <c r="DI51" s="2340">
        <v>98651.239115772521</v>
      </c>
      <c r="DJ51" s="2340">
        <v>98692.607605541547</v>
      </c>
      <c r="DK51" s="2340">
        <v>98731.961524976607</v>
      </c>
      <c r="DL51" s="2340">
        <v>98752.658335378379</v>
      </c>
      <c r="DM51" s="2340">
        <v>98753.791974282038</v>
      </c>
      <c r="DN51" s="2340">
        <v>98775.611265457395</v>
      </c>
      <c r="DO51" s="2340">
        <v>98810.751219089536</v>
      </c>
      <c r="DP51" s="2340">
        <v>98851.18493526263</v>
      </c>
      <c r="DQ51" s="2340">
        <v>98868.731537348285</v>
      </c>
      <c r="DR51" s="2340">
        <v>98886.589812625185</v>
      </c>
      <c r="DS51" s="2340">
        <v>98915.818888385125</v>
      </c>
      <c r="DT51" s="2340">
        <v>98946.80932667687</v>
      </c>
      <c r="DU51" s="2340">
        <v>98976.858318461687</v>
      </c>
    </row>
    <row r="52" spans="1:125" ht="12.75">
      <c r="A52" s="135">
        <v>50</v>
      </c>
      <c r="W52" s="136">
        <v>77391</v>
      </c>
      <c r="X52" s="136">
        <v>78203</v>
      </c>
      <c r="Y52" s="2340">
        <v>78354.563229421998</v>
      </c>
      <c r="Z52" s="2340">
        <v>80406.753297573974</v>
      </c>
      <c r="AA52" s="2340">
        <v>80896.256293414277</v>
      </c>
      <c r="AB52" s="2340">
        <v>81548.623955946881</v>
      </c>
      <c r="AC52" s="2340">
        <v>82449.948341869007</v>
      </c>
      <c r="AD52" s="2340">
        <v>83329.042660831401</v>
      </c>
      <c r="AE52" s="2340">
        <v>83291.770519724683</v>
      </c>
      <c r="AF52" s="2340">
        <v>84497.241613252496</v>
      </c>
      <c r="AG52" s="2340">
        <v>85014.336732245778</v>
      </c>
      <c r="AH52" s="2340">
        <v>85230.264871928579</v>
      </c>
      <c r="AI52" s="2340">
        <v>85700.489123200401</v>
      </c>
      <c r="AJ52" s="2340">
        <v>86944.192377661588</v>
      </c>
      <c r="AK52" s="2340">
        <v>87057.324027548355</v>
      </c>
      <c r="AL52" s="2340">
        <v>87510.06867713567</v>
      </c>
      <c r="AM52" s="2340">
        <v>87855.445326084257</v>
      </c>
      <c r="AN52" s="2340">
        <v>88357.532391217363</v>
      </c>
      <c r="AO52" s="2340">
        <v>88454.667559810914</v>
      </c>
      <c r="AP52" s="2340">
        <v>88609.196932119099</v>
      </c>
      <c r="AQ52" s="2340">
        <v>88691.637202537604</v>
      </c>
      <c r="AR52" s="2340">
        <v>88724.369483813818</v>
      </c>
      <c r="AS52" s="2340">
        <v>88239.467666612894</v>
      </c>
      <c r="AT52" s="2340">
        <v>87583.304665991105</v>
      </c>
      <c r="AU52" s="2340">
        <v>86541.188486153347</v>
      </c>
      <c r="AV52" s="2340">
        <v>86763.326881120447</v>
      </c>
      <c r="AW52" s="2340">
        <v>87149.855841719647</v>
      </c>
      <c r="AX52" s="2340">
        <v>89102.00902318531</v>
      </c>
      <c r="AY52" s="2340">
        <v>90682.291921603217</v>
      </c>
      <c r="AZ52" s="2340">
        <v>90788.370769491536</v>
      </c>
      <c r="BA52" s="2340">
        <v>90908.221080652045</v>
      </c>
      <c r="BB52" s="2340">
        <v>91490.781736530014</v>
      </c>
      <c r="BC52" s="2340">
        <v>91737.23773076896</v>
      </c>
      <c r="BD52" s="2340">
        <v>92094.839702827521</v>
      </c>
      <c r="BE52" s="2340">
        <v>92208.38635082847</v>
      </c>
      <c r="BF52" s="2340">
        <v>92600.32103542886</v>
      </c>
      <c r="BG52" s="2340">
        <v>92832.96172635362</v>
      </c>
      <c r="BH52" s="2340">
        <v>93100.362316421684</v>
      </c>
      <c r="BI52" s="2340">
        <v>93226.845707213099</v>
      </c>
      <c r="BJ52" s="2340">
        <v>93489.105771705159</v>
      </c>
      <c r="BK52" s="2340">
        <v>93799.904501270983</v>
      </c>
      <c r="BL52" s="2340">
        <v>94144.535092642123</v>
      </c>
      <c r="BM52" s="2340">
        <v>94454.178855742663</v>
      </c>
      <c r="BN52" s="2340">
        <v>94719.750234383842</v>
      </c>
      <c r="BO52" s="2340">
        <v>94909.335927987151</v>
      </c>
      <c r="BP52" s="2340">
        <v>95138.34392150183</v>
      </c>
      <c r="BQ52" s="2340">
        <v>95253.732033729859</v>
      </c>
      <c r="BR52" s="2340">
        <v>95362.483454755929</v>
      </c>
      <c r="BS52" s="2340">
        <v>95438.707847321522</v>
      </c>
      <c r="BT52" s="2340">
        <v>95534.820765115612</v>
      </c>
      <c r="BU52" s="2340">
        <v>95590.374323035809</v>
      </c>
      <c r="BV52" s="2340">
        <v>95709.027380411964</v>
      </c>
      <c r="BW52" s="2340">
        <v>95829.062499066727</v>
      </c>
      <c r="BX52" s="2340">
        <v>95941.762348339369</v>
      </c>
      <c r="BY52" s="2340">
        <v>96050.011657243725</v>
      </c>
      <c r="BZ52" s="2340">
        <v>96278.125419074597</v>
      </c>
      <c r="CA52" s="2340">
        <v>96442.827225956484</v>
      </c>
      <c r="CB52" s="2340">
        <v>96570.404360561428</v>
      </c>
      <c r="CC52" s="2340">
        <v>96660.378772889075</v>
      </c>
      <c r="CD52" s="2340">
        <v>96756.663556788801</v>
      </c>
      <c r="CE52" s="2340">
        <v>96846.417058270832</v>
      </c>
      <c r="CF52" s="2340">
        <v>96944.315276425783</v>
      </c>
      <c r="CG52" s="2340">
        <v>97050.898532162202</v>
      </c>
      <c r="CH52" s="2340">
        <v>97133.93479520359</v>
      </c>
      <c r="CI52" s="2340">
        <v>97262.457929178592</v>
      </c>
      <c r="CJ52" s="2340">
        <v>97311.28184168454</v>
      </c>
      <c r="CK52" s="2340">
        <v>97400.10617421403</v>
      </c>
      <c r="CL52" s="2340">
        <v>97513.181341284639</v>
      </c>
      <c r="CM52" s="2340">
        <v>97577.643148237039</v>
      </c>
      <c r="CN52" s="2340">
        <v>97675.824118764896</v>
      </c>
      <c r="CO52" s="2340">
        <v>97723.590959710928</v>
      </c>
      <c r="CP52" s="2340">
        <v>97814.656992759774</v>
      </c>
      <c r="CQ52" s="2340">
        <v>97876.019921826373</v>
      </c>
      <c r="CR52" s="2340">
        <v>97932.740193406746</v>
      </c>
      <c r="CS52" s="2340">
        <v>98002.934051091259</v>
      </c>
      <c r="CT52" s="2340">
        <v>98052.167646181391</v>
      </c>
      <c r="CU52" s="2340">
        <v>98095.247697362458</v>
      </c>
      <c r="CV52" s="2340">
        <v>98121.453950575247</v>
      </c>
      <c r="CW52" s="2340">
        <v>98181.208843170636</v>
      </c>
      <c r="CX52" s="2340">
        <v>98229.441162692121</v>
      </c>
      <c r="CY52" s="2340">
        <v>98266.957754762392</v>
      </c>
      <c r="CZ52" s="2340">
        <v>98276.948542120444</v>
      </c>
      <c r="DA52" s="2340">
        <v>98302.631304361028</v>
      </c>
      <c r="DB52" s="2340">
        <v>98342.897245617118</v>
      </c>
      <c r="DC52" s="2340">
        <v>98396.954410863051</v>
      </c>
      <c r="DD52" s="2340">
        <v>98418.675058428315</v>
      </c>
      <c r="DE52" s="2340">
        <v>98458.34133818491</v>
      </c>
      <c r="DF52" s="2340">
        <v>98529.512855979992</v>
      </c>
      <c r="DG52" s="2340">
        <v>98532.55088348547</v>
      </c>
      <c r="DH52" s="2340">
        <v>98574.011285894128</v>
      </c>
      <c r="DI52" s="2340">
        <v>98575.555591415468</v>
      </c>
      <c r="DJ52" s="2340">
        <v>98618.369589873531</v>
      </c>
      <c r="DK52" s="2340">
        <v>98659.142908289708</v>
      </c>
      <c r="DL52" s="2340">
        <v>98681.245482585029</v>
      </c>
      <c r="DM52" s="2340">
        <v>98683.771621240929</v>
      </c>
      <c r="DN52" s="2340">
        <v>98706.941878637168</v>
      </c>
      <c r="DO52" s="2340">
        <v>98743.397656435278</v>
      </c>
      <c r="DP52" s="2340">
        <v>98785.11845361536</v>
      </c>
      <c r="DQ52" s="2340">
        <v>98803.942550300257</v>
      </c>
      <c r="DR52" s="2340">
        <v>98823.053419646239</v>
      </c>
      <c r="DS52" s="2340">
        <v>98853.503711154932</v>
      </c>
      <c r="DT52" s="2340">
        <v>98885.690809898762</v>
      </c>
      <c r="DU52" s="2340">
        <v>98916.914058297742</v>
      </c>
    </row>
    <row r="53" spans="1:125" ht="12.75">
      <c r="A53" s="135">
        <v>51</v>
      </c>
      <c r="W53" s="136">
        <v>77039</v>
      </c>
      <c r="X53" s="136">
        <v>77874</v>
      </c>
      <c r="Y53" s="2340">
        <v>78027.165296275867</v>
      </c>
      <c r="Z53" s="2340">
        <v>80080.327924982907</v>
      </c>
      <c r="AA53" s="2340">
        <v>80555.942345339223</v>
      </c>
      <c r="AB53" s="2340">
        <v>81215.52208566734</v>
      </c>
      <c r="AC53" s="2340">
        <v>82127.147275905474</v>
      </c>
      <c r="AD53" s="2340">
        <v>83004.397611283261</v>
      </c>
      <c r="AE53" s="2340">
        <v>82980.862913180608</v>
      </c>
      <c r="AF53" s="2340">
        <v>84195.54711298598</v>
      </c>
      <c r="AG53" s="2340">
        <v>84706.94396986402</v>
      </c>
      <c r="AH53" s="2340">
        <v>84924.802136376937</v>
      </c>
      <c r="AI53" s="2340">
        <v>85391.610304401431</v>
      </c>
      <c r="AJ53" s="2340">
        <v>86656.601301205068</v>
      </c>
      <c r="AK53" s="2340">
        <v>86780.441962631638</v>
      </c>
      <c r="AL53" s="2340">
        <v>87220.008705261964</v>
      </c>
      <c r="AM53" s="2340">
        <v>87587.196417499581</v>
      </c>
      <c r="AN53" s="2340">
        <v>88089.460325131862</v>
      </c>
      <c r="AO53" s="2340">
        <v>88193.614842075011</v>
      </c>
      <c r="AP53" s="2340">
        <v>88345.869670529166</v>
      </c>
      <c r="AQ53" s="2340">
        <v>88439.079421118629</v>
      </c>
      <c r="AR53" s="2340">
        <v>88470.45190741535</v>
      </c>
      <c r="AS53" s="2340">
        <v>87970.536765596102</v>
      </c>
      <c r="AT53" s="2340">
        <v>87320.983440788201</v>
      </c>
      <c r="AU53" s="2340">
        <v>86290.187394328008</v>
      </c>
      <c r="AV53" s="2340">
        <v>86513.593850963793</v>
      </c>
      <c r="AW53" s="2340">
        <v>86912.949286333984</v>
      </c>
      <c r="AX53" s="2340">
        <v>88858.884176360429</v>
      </c>
      <c r="AY53" s="2340">
        <v>90443.761991495325</v>
      </c>
      <c r="AZ53" s="2340">
        <v>90555.678092959235</v>
      </c>
      <c r="BA53" s="2340">
        <v>90671.647134294297</v>
      </c>
      <c r="BB53" s="2340">
        <v>91259.119376228555</v>
      </c>
      <c r="BC53" s="2340">
        <v>91503.476132119496</v>
      </c>
      <c r="BD53" s="2340">
        <v>91874.174826525312</v>
      </c>
      <c r="BE53" s="2340">
        <v>91985.122267321829</v>
      </c>
      <c r="BF53" s="2340">
        <v>92369.505711173595</v>
      </c>
      <c r="BG53" s="2340">
        <v>92618.285919840229</v>
      </c>
      <c r="BH53" s="2340">
        <v>92879.878760645224</v>
      </c>
      <c r="BI53" s="2340">
        <v>93022.272555012023</v>
      </c>
      <c r="BJ53" s="2340">
        <v>93285.665129029643</v>
      </c>
      <c r="BK53" s="2340">
        <v>93590.179467090478</v>
      </c>
      <c r="BL53" s="2340">
        <v>93945.548301469622</v>
      </c>
      <c r="BM53" s="2340">
        <v>94262.17590189958</v>
      </c>
      <c r="BN53" s="2340">
        <v>94533.507519518316</v>
      </c>
      <c r="BO53" s="2340">
        <v>94719.632232230637</v>
      </c>
      <c r="BP53" s="2340">
        <v>94968.4285313781</v>
      </c>
      <c r="BQ53" s="2340">
        <v>95079.584395254424</v>
      </c>
      <c r="BR53" s="2340">
        <v>95185.221862078441</v>
      </c>
      <c r="BS53" s="2340">
        <v>95256.627674747448</v>
      </c>
      <c r="BT53" s="2340">
        <v>95363.482397842425</v>
      </c>
      <c r="BU53" s="2340">
        <v>95414.771930988529</v>
      </c>
      <c r="BV53" s="2340">
        <v>95538.043119586786</v>
      </c>
      <c r="BW53" s="2340">
        <v>95661.092076240966</v>
      </c>
      <c r="BX53" s="2340">
        <v>95776.765514185725</v>
      </c>
      <c r="BY53" s="2340">
        <v>95887.943503349859</v>
      </c>
      <c r="BZ53" s="2340">
        <v>96118.73572663829</v>
      </c>
      <c r="CA53" s="2340">
        <v>96286.175608395381</v>
      </c>
      <c r="CB53" s="2340">
        <v>96416.503395219625</v>
      </c>
      <c r="CC53" s="2340">
        <v>96509.239220984862</v>
      </c>
      <c r="CD53" s="2340">
        <v>96608.226318525703</v>
      </c>
      <c r="CE53" s="2340">
        <v>96700.643792635034</v>
      </c>
      <c r="CF53" s="2340">
        <v>96801.146268347744</v>
      </c>
      <c r="CG53" s="2340">
        <v>96910.274815300276</v>
      </c>
      <c r="CH53" s="2340">
        <v>96995.844760859749</v>
      </c>
      <c r="CI53" s="2340">
        <v>97126.858465418307</v>
      </c>
      <c r="CJ53" s="2340">
        <v>97178.237226753889</v>
      </c>
      <c r="CK53" s="2340">
        <v>97269.514673191268</v>
      </c>
      <c r="CL53" s="2340">
        <v>97384.965943315416</v>
      </c>
      <c r="CM53" s="2340">
        <v>97451.823473155062</v>
      </c>
      <c r="CN53" s="2340">
        <v>97552.312818073886</v>
      </c>
      <c r="CO53" s="2340">
        <v>97602.408321186624</v>
      </c>
      <c r="CP53" s="2340">
        <v>97695.706485280156</v>
      </c>
      <c r="CQ53" s="2340">
        <v>97759.295954739806</v>
      </c>
      <c r="CR53" s="2340">
        <v>97818.206564535896</v>
      </c>
      <c r="CS53" s="2340">
        <v>97890.534243305534</v>
      </c>
      <c r="CT53" s="2340">
        <v>97941.88553648493</v>
      </c>
      <c r="CU53" s="2340">
        <v>97987.050201249891</v>
      </c>
      <c r="CV53" s="2340">
        <v>98015.319935703956</v>
      </c>
      <c r="CW53" s="2340">
        <v>98077.063376790276</v>
      </c>
      <c r="CX53" s="2340">
        <v>98127.259011044545</v>
      </c>
      <c r="CY53" s="2340">
        <v>98166.712861696389</v>
      </c>
      <c r="CZ53" s="2340">
        <v>98178.631730697976</v>
      </c>
      <c r="DA53" s="2340">
        <v>98206.19009656967</v>
      </c>
      <c r="DB53" s="2340">
        <v>98248.28183632686</v>
      </c>
      <c r="DC53" s="2340">
        <v>98304.117238148552</v>
      </c>
      <c r="DD53" s="2340">
        <v>98327.612648492155</v>
      </c>
      <c r="DE53" s="2340">
        <v>98369.003484066649</v>
      </c>
      <c r="DF53" s="2340">
        <v>98441.838877832182</v>
      </c>
      <c r="DG53" s="2340">
        <v>98446.569292013126</v>
      </c>
      <c r="DH53" s="2340">
        <v>98489.656532766894</v>
      </c>
      <c r="DI53" s="2340">
        <v>98492.830408053764</v>
      </c>
      <c r="DJ53" s="2340">
        <v>98537.208532000033</v>
      </c>
      <c r="DK53" s="2340">
        <v>98579.518064198593</v>
      </c>
      <c r="DL53" s="2340">
        <v>98603.142565487244</v>
      </c>
      <c r="DM53" s="2340">
        <v>98607.176739835544</v>
      </c>
      <c r="DN53" s="2340">
        <v>98631.81020188918</v>
      </c>
      <c r="DO53" s="2340">
        <v>98669.691319679259</v>
      </c>
      <c r="DP53" s="2340">
        <v>98712.80657220399</v>
      </c>
      <c r="DQ53" s="2340">
        <v>98733.015191705752</v>
      </c>
      <c r="DR53" s="2340">
        <v>98753.483875680511</v>
      </c>
      <c r="DS53" s="2340">
        <v>98785.258162321858</v>
      </c>
      <c r="DT53" s="2340">
        <v>98818.742889413988</v>
      </c>
      <c r="DU53" s="2340">
        <v>98851.239739804936</v>
      </c>
    </row>
    <row r="54" spans="1:125" ht="12.75">
      <c r="A54" s="135">
        <v>52</v>
      </c>
      <c r="W54" s="136">
        <v>76669</v>
      </c>
      <c r="X54" s="136">
        <v>77508</v>
      </c>
      <c r="Y54" s="2340">
        <v>77666.26587314604</v>
      </c>
      <c r="Z54" s="2340">
        <v>79725.378703350318</v>
      </c>
      <c r="AA54" s="2340">
        <v>80200.943249843418</v>
      </c>
      <c r="AB54" s="2340">
        <v>80881.008603999129</v>
      </c>
      <c r="AC54" s="2340">
        <v>81796.294763459809</v>
      </c>
      <c r="AD54" s="2340">
        <v>82660.141078543427</v>
      </c>
      <c r="AE54" s="2340">
        <v>82656.397874613467</v>
      </c>
      <c r="AF54" s="2340">
        <v>83843.013510668301</v>
      </c>
      <c r="AG54" s="2340">
        <v>84384.690165887194</v>
      </c>
      <c r="AH54" s="2340">
        <v>84615.906395529571</v>
      </c>
      <c r="AI54" s="2340">
        <v>85081.954247952744</v>
      </c>
      <c r="AJ54" s="2340">
        <v>86343.133905276016</v>
      </c>
      <c r="AK54" s="2340">
        <v>86482.739777567273</v>
      </c>
      <c r="AL54" s="2340">
        <v>86928.419121635947</v>
      </c>
      <c r="AM54" s="2340">
        <v>87304.2502547693</v>
      </c>
      <c r="AN54" s="2340">
        <v>87804.463507035238</v>
      </c>
      <c r="AO54" s="2340">
        <v>87903.772870721587</v>
      </c>
      <c r="AP54" s="2340">
        <v>88061.765153255939</v>
      </c>
      <c r="AQ54" s="2340">
        <v>88160.940436067394</v>
      </c>
      <c r="AR54" s="2340">
        <v>88190.346909270287</v>
      </c>
      <c r="AS54" s="2340">
        <v>87684.223040893528</v>
      </c>
      <c r="AT54" s="2340">
        <v>87036.189991390202</v>
      </c>
      <c r="AU54" s="2340">
        <v>86037.042091058698</v>
      </c>
      <c r="AV54" s="2340">
        <v>86247.485210529834</v>
      </c>
      <c r="AW54" s="2340">
        <v>86664.832833068445</v>
      </c>
      <c r="AX54" s="2340">
        <v>88600.921286910481</v>
      </c>
      <c r="AY54" s="2340">
        <v>90191.735786788297</v>
      </c>
      <c r="AZ54" s="2340">
        <v>90298.187636281029</v>
      </c>
      <c r="BA54" s="2340">
        <v>90414.389324481061</v>
      </c>
      <c r="BB54" s="2340">
        <v>91013.913641958294</v>
      </c>
      <c r="BC54" s="2340">
        <v>91268.404712751377</v>
      </c>
      <c r="BD54" s="2340">
        <v>91636.760056872386</v>
      </c>
      <c r="BE54" s="2340">
        <v>91743.679434579317</v>
      </c>
      <c r="BF54" s="2340">
        <v>92131.846570693451</v>
      </c>
      <c r="BG54" s="2340">
        <v>92394.546553428299</v>
      </c>
      <c r="BH54" s="2340">
        <v>92655.948956058841</v>
      </c>
      <c r="BI54" s="2340">
        <v>92791.613920227639</v>
      </c>
      <c r="BJ54" s="2340">
        <v>93057.747581161297</v>
      </c>
      <c r="BK54" s="2340">
        <v>93369.393396623957</v>
      </c>
      <c r="BL54" s="2340">
        <v>93724.391732159638</v>
      </c>
      <c r="BM54" s="2340">
        <v>94048.503248845926</v>
      </c>
      <c r="BN54" s="2340">
        <v>94330.199054988479</v>
      </c>
      <c r="BO54" s="2340">
        <v>94520.659125415143</v>
      </c>
      <c r="BP54" s="2340">
        <v>94763.969729776538</v>
      </c>
      <c r="BQ54" s="2340">
        <v>94879.314568205242</v>
      </c>
      <c r="BR54" s="2340">
        <v>94994.80036331476</v>
      </c>
      <c r="BS54" s="2340">
        <v>95064.734139232634</v>
      </c>
      <c r="BT54" s="2340">
        <v>95167.447800380833</v>
      </c>
      <c r="BU54" s="2340">
        <v>95225.762349946963</v>
      </c>
      <c r="BV54" s="2340">
        <v>95352.325433255246</v>
      </c>
      <c r="BW54" s="2340">
        <v>95478.609678904366</v>
      </c>
      <c r="BX54" s="2340">
        <v>95597.476148872156</v>
      </c>
      <c r="BY54" s="2340">
        <v>95711.799814137674</v>
      </c>
      <c r="BZ54" s="2340">
        <v>95945.467131714395</v>
      </c>
      <c r="CA54" s="2340">
        <v>96115.848230270218</v>
      </c>
      <c r="CB54" s="2340">
        <v>96249.132236932244</v>
      </c>
      <c r="CC54" s="2340">
        <v>96344.837311866475</v>
      </c>
      <c r="CD54" s="2340">
        <v>96446.730681725152</v>
      </c>
      <c r="CE54" s="2340">
        <v>96542.013995005691</v>
      </c>
      <c r="CF54" s="2340">
        <v>96645.318581130574</v>
      </c>
      <c r="CG54" s="2340">
        <v>96757.186279171525</v>
      </c>
      <c r="CH54" s="2340">
        <v>96845.560011059453</v>
      </c>
      <c r="CI54" s="2340">
        <v>96979.257206230002</v>
      </c>
      <c r="CJ54" s="2340">
        <v>97033.39050340798</v>
      </c>
      <c r="CK54" s="2340">
        <v>97127.312790896278</v>
      </c>
      <c r="CL54" s="2340">
        <v>97245.326068566894</v>
      </c>
      <c r="CM54" s="2340">
        <v>97314.767981632598</v>
      </c>
      <c r="CN54" s="2340">
        <v>97417.74755037218</v>
      </c>
      <c r="CO54" s="2340">
        <v>97470.35635224382</v>
      </c>
      <c r="CP54" s="2340">
        <v>97566.063577675712</v>
      </c>
      <c r="CQ54" s="2340">
        <v>97632.056942838419</v>
      </c>
      <c r="CR54" s="2340">
        <v>97693.332900067777</v>
      </c>
      <c r="CS54" s="2340">
        <v>97767.965199837272</v>
      </c>
      <c r="CT54" s="2340">
        <v>97821.604407303646</v>
      </c>
      <c r="CU54" s="2340">
        <v>97869.021763824087</v>
      </c>
      <c r="CV54" s="2340">
        <v>97899.521985105428</v>
      </c>
      <c r="CW54" s="2340">
        <v>97963.414982802846</v>
      </c>
      <c r="CX54" s="2340">
        <v>98015.73344021404</v>
      </c>
      <c r="CY54" s="2340">
        <v>98057.282465030279</v>
      </c>
      <c r="CZ54" s="2340">
        <v>98071.28727018075</v>
      </c>
      <c r="DA54" s="2340">
        <v>98100.87504053989</v>
      </c>
      <c r="DB54" s="2340">
        <v>98144.942539480602</v>
      </c>
      <c r="DC54" s="2340">
        <v>98202.702474386839</v>
      </c>
      <c r="DD54" s="2340">
        <v>98228.119331890557</v>
      </c>
      <c r="DE54" s="2340">
        <v>98271.377455382637</v>
      </c>
      <c r="DF54" s="2340">
        <v>98346.01450033435</v>
      </c>
      <c r="DG54" s="2340">
        <v>98352.578390968003</v>
      </c>
      <c r="DH54" s="2340">
        <v>98397.428108781402</v>
      </c>
      <c r="DI54" s="2340">
        <v>98402.368088305229</v>
      </c>
      <c r="DJ54" s="2340">
        <v>98448.441378216914</v>
      </c>
      <c r="DK54" s="2340">
        <v>98492.416156218518</v>
      </c>
      <c r="DL54" s="2340">
        <v>98517.690872396925</v>
      </c>
      <c r="DM54" s="2340">
        <v>98523.360653589509</v>
      </c>
      <c r="DN54" s="2340">
        <v>98549.581242387401</v>
      </c>
      <c r="DO54" s="2340">
        <v>98589.008605723167</v>
      </c>
      <c r="DP54" s="2340">
        <v>98633.636841746309</v>
      </c>
      <c r="DQ54" s="2340">
        <v>98655.348106916455</v>
      </c>
      <c r="DR54" s="2340">
        <v>98677.290718804914</v>
      </c>
      <c r="DS54" s="2340">
        <v>98710.502409572975</v>
      </c>
      <c r="DT54" s="2340">
        <v>98745.396161820958</v>
      </c>
      <c r="DU54" s="2340">
        <v>98779.27620695559</v>
      </c>
    </row>
    <row r="55" spans="1:125" ht="12.75">
      <c r="A55" s="135">
        <v>53</v>
      </c>
      <c r="W55" s="136">
        <v>76293</v>
      </c>
      <c r="X55" s="136">
        <v>77118</v>
      </c>
      <c r="Y55" s="2340">
        <v>77285.331485708521</v>
      </c>
      <c r="Z55" s="2340">
        <v>79339.803495509928</v>
      </c>
      <c r="AA55" s="2340">
        <v>79829.859115074258</v>
      </c>
      <c r="AB55" s="2340">
        <v>80524.323529062312</v>
      </c>
      <c r="AC55" s="2340">
        <v>81432.879547757329</v>
      </c>
      <c r="AD55" s="2340">
        <v>82300.561777142124</v>
      </c>
      <c r="AE55" s="2340">
        <v>82298.110271916332</v>
      </c>
      <c r="AF55" s="2340">
        <v>83500.545306423563</v>
      </c>
      <c r="AG55" s="2340">
        <v>84041.483932507268</v>
      </c>
      <c r="AH55" s="2340">
        <v>84274.682470485466</v>
      </c>
      <c r="AI55" s="2340">
        <v>84745.030770221027</v>
      </c>
      <c r="AJ55" s="2340">
        <v>86026.196584702353</v>
      </c>
      <c r="AK55" s="2340">
        <v>86161.423367287411</v>
      </c>
      <c r="AL55" s="2340">
        <v>86615.88426078287</v>
      </c>
      <c r="AM55" s="2340">
        <v>87000.527801569187</v>
      </c>
      <c r="AN55" s="2340">
        <v>87492.951105289045</v>
      </c>
      <c r="AO55" s="2340">
        <v>87611.27999246931</v>
      </c>
      <c r="AP55" s="2340">
        <v>87765.801146870916</v>
      </c>
      <c r="AQ55" s="2340">
        <v>87849.063670995864</v>
      </c>
      <c r="AR55" s="2340">
        <v>87898.071955721098</v>
      </c>
      <c r="AS55" s="2340">
        <v>87390.552920427683</v>
      </c>
      <c r="AT55" s="2340">
        <v>86746.940413523131</v>
      </c>
      <c r="AU55" s="2340">
        <v>85756.468441789199</v>
      </c>
      <c r="AV55" s="2340">
        <v>85978.438682566441</v>
      </c>
      <c r="AW55" s="2340">
        <v>86392.782156494679</v>
      </c>
      <c r="AX55" s="2340">
        <v>88324.441735832035</v>
      </c>
      <c r="AY55" s="2340">
        <v>89915.097177824675</v>
      </c>
      <c r="AZ55" s="2340">
        <v>90021.381156286647</v>
      </c>
      <c r="BA55" s="2340">
        <v>90141.047917070886</v>
      </c>
      <c r="BB55" s="2340">
        <v>90749.065754270923</v>
      </c>
      <c r="BC55" s="2340">
        <v>91010.811408506343</v>
      </c>
      <c r="BD55" s="2340">
        <v>91388.453292741324</v>
      </c>
      <c r="BE55" s="2340">
        <v>91479.587190080696</v>
      </c>
      <c r="BF55" s="2340">
        <v>91879.450669318961</v>
      </c>
      <c r="BG55" s="2340">
        <v>92136.844788454211</v>
      </c>
      <c r="BH55" s="2340">
        <v>92399.908977986226</v>
      </c>
      <c r="BI55" s="2340">
        <v>92543.109760565218</v>
      </c>
      <c r="BJ55" s="2340">
        <v>92811.776002109676</v>
      </c>
      <c r="BK55" s="2340">
        <v>93131.240156474887</v>
      </c>
      <c r="BL55" s="2340">
        <v>93492.943425622434</v>
      </c>
      <c r="BM55" s="2340">
        <v>93820.617220946995</v>
      </c>
      <c r="BN55" s="2340">
        <v>94112.547696888534</v>
      </c>
      <c r="BO55" s="2340">
        <v>94301.86193725164</v>
      </c>
      <c r="BP55" s="2340">
        <v>94545.093308115684</v>
      </c>
      <c r="BQ55" s="2340">
        <v>94671.615374038505</v>
      </c>
      <c r="BR55" s="2340">
        <v>94797.906716610887</v>
      </c>
      <c r="BS55" s="2340">
        <v>94850.079250042298</v>
      </c>
      <c r="BT55" s="2340">
        <v>94958.268142369823</v>
      </c>
      <c r="BU55" s="2340">
        <v>95020.335787924414</v>
      </c>
      <c r="BV55" s="2340">
        <v>95150.440205347622</v>
      </c>
      <c r="BW55" s="2340">
        <v>95280.205665269707</v>
      </c>
      <c r="BX55" s="2340">
        <v>95402.508790450214</v>
      </c>
      <c r="BY55" s="2340">
        <v>95520.218972185961</v>
      </c>
      <c r="BZ55" s="2340">
        <v>95756.979798515167</v>
      </c>
      <c r="CA55" s="2340">
        <v>95930.527575951928</v>
      </c>
      <c r="CB55" s="2340">
        <v>96066.995832740533</v>
      </c>
      <c r="CC55" s="2340">
        <v>96165.900581649475</v>
      </c>
      <c r="CD55" s="2340">
        <v>96270.926308699418</v>
      </c>
      <c r="CE55" s="2340">
        <v>96369.299164295633</v>
      </c>
      <c r="CF55" s="2340">
        <v>96475.625079118123</v>
      </c>
      <c r="CG55" s="2340">
        <v>96590.533443213077</v>
      </c>
      <c r="CH55" s="2340">
        <v>96681.933270076406</v>
      </c>
      <c r="CI55" s="2340">
        <v>96818.526628155712</v>
      </c>
      <c r="CJ55" s="2340">
        <v>96875.634481048968</v>
      </c>
      <c r="CK55" s="2340">
        <v>96972.412867907071</v>
      </c>
      <c r="CL55" s="2340">
        <v>97093.192990258991</v>
      </c>
      <c r="CM55" s="2340">
        <v>97165.427084719879</v>
      </c>
      <c r="CN55" s="2340">
        <v>97271.097176280266</v>
      </c>
      <c r="CO55" s="2340">
        <v>97326.422571637406</v>
      </c>
      <c r="CP55" s="2340">
        <v>97424.733678277276</v>
      </c>
      <c r="CQ55" s="2340">
        <v>97493.326173878857</v>
      </c>
      <c r="CR55" s="2340">
        <v>97557.160099905988</v>
      </c>
      <c r="CS55" s="2340">
        <v>97634.284993881432</v>
      </c>
      <c r="CT55" s="2340">
        <v>97690.39940335069</v>
      </c>
      <c r="CU55" s="2340">
        <v>97740.254356297723</v>
      </c>
      <c r="CV55" s="2340">
        <v>97773.168750671568</v>
      </c>
      <c r="CW55" s="2340">
        <v>97839.388394869151</v>
      </c>
      <c r="CX55" s="2340">
        <v>97894.00508283409</v>
      </c>
      <c r="CY55" s="2340">
        <v>97937.822905701672</v>
      </c>
      <c r="CZ55" s="2340">
        <v>97954.087160353651</v>
      </c>
      <c r="DA55" s="2340">
        <v>97985.87337990076</v>
      </c>
      <c r="DB55" s="2340">
        <v>98032.081448743178</v>
      </c>
      <c r="DC55" s="2340">
        <v>98091.926687129089</v>
      </c>
      <c r="DD55" s="2340">
        <v>98119.426145002522</v>
      </c>
      <c r="DE55" s="2340">
        <v>98164.70835694467</v>
      </c>
      <c r="DF55" s="2340">
        <v>98241.298406581845</v>
      </c>
      <c r="DG55" s="2340">
        <v>98249.850704858356</v>
      </c>
      <c r="DH55" s="2340">
        <v>98296.611846788786</v>
      </c>
      <c r="DI55" s="2340">
        <v>98303.467817349781</v>
      </c>
      <c r="DJ55" s="2340">
        <v>98351.380131833561</v>
      </c>
      <c r="DK55" s="2340">
        <v>98397.161788612066</v>
      </c>
      <c r="DL55" s="2340">
        <v>98424.227506275056</v>
      </c>
      <c r="DM55" s="2340">
        <v>98431.672864775872</v>
      </c>
      <c r="DN55" s="2340">
        <v>98459.616538936694</v>
      </c>
      <c r="DO55" s="2340">
        <v>98500.722785420963</v>
      </c>
      <c r="DP55" s="2340">
        <v>98546.994019236867</v>
      </c>
      <c r="DQ55" s="2340">
        <v>98570.337470839688</v>
      </c>
      <c r="DR55" s="2340">
        <v>98593.881330352538</v>
      </c>
      <c r="DS55" s="2340">
        <v>98628.654767965432</v>
      </c>
      <c r="DT55" s="2340">
        <v>98665.079666062084</v>
      </c>
      <c r="DU55" s="2340">
        <v>98700.463032137763</v>
      </c>
    </row>
    <row r="56" spans="1:125" ht="12.75">
      <c r="A56" s="135">
        <v>54</v>
      </c>
      <c r="W56" s="136">
        <v>75887</v>
      </c>
      <c r="X56" s="136">
        <v>76711</v>
      </c>
      <c r="Y56" s="2340">
        <v>76887.495759385172</v>
      </c>
      <c r="Z56" s="2340">
        <v>78954.193779687615</v>
      </c>
      <c r="AA56" s="2340">
        <v>79431.293079835465</v>
      </c>
      <c r="AB56" s="2340">
        <v>80125.40181338659</v>
      </c>
      <c r="AC56" s="2340">
        <v>81056.099151396993</v>
      </c>
      <c r="AD56" s="2340">
        <v>81906.423633529077</v>
      </c>
      <c r="AE56" s="2340">
        <v>81913.890250043507</v>
      </c>
      <c r="AF56" s="2340">
        <v>83124.596856858247</v>
      </c>
      <c r="AG56" s="2340">
        <v>83672.452141171641</v>
      </c>
      <c r="AH56" s="2340">
        <v>83915.584107966861</v>
      </c>
      <c r="AI56" s="2340">
        <v>84414.275791971842</v>
      </c>
      <c r="AJ56" s="2340">
        <v>85671.990124887699</v>
      </c>
      <c r="AK56" s="2340">
        <v>85816.442406217582</v>
      </c>
      <c r="AL56" s="2340">
        <v>86287.834538677169</v>
      </c>
      <c r="AM56" s="2340">
        <v>86665.015185785975</v>
      </c>
      <c r="AN56" s="2340">
        <v>87162.291245299377</v>
      </c>
      <c r="AO56" s="2340">
        <v>87288.537673388972</v>
      </c>
      <c r="AP56" s="2340">
        <v>87469.01104474871</v>
      </c>
      <c r="AQ56" s="2340">
        <v>87536.520389745623</v>
      </c>
      <c r="AR56" s="2340">
        <v>87582.155871920142</v>
      </c>
      <c r="AS56" s="2340">
        <v>87087.625842666675</v>
      </c>
      <c r="AT56" s="2340">
        <v>86441.730615221255</v>
      </c>
      <c r="AU56" s="2340">
        <v>85462.698067452497</v>
      </c>
      <c r="AV56" s="2340">
        <v>85674.461349580044</v>
      </c>
      <c r="AW56" s="2340">
        <v>86104.811122827698</v>
      </c>
      <c r="AX56" s="2340">
        <v>88029.197579148051</v>
      </c>
      <c r="AY56" s="2340">
        <v>89630.929143813832</v>
      </c>
      <c r="AZ56" s="2340">
        <v>89743.06553758317</v>
      </c>
      <c r="BA56" s="2340">
        <v>89860.010194729708</v>
      </c>
      <c r="BB56" s="2340">
        <v>90472.310784717542</v>
      </c>
      <c r="BC56" s="2340">
        <v>90741.931013542548</v>
      </c>
      <c r="BD56" s="2340">
        <v>91105.042394972334</v>
      </c>
      <c r="BE56" s="2340">
        <v>91206.283940344714</v>
      </c>
      <c r="BF56" s="2340">
        <v>91601.347569670223</v>
      </c>
      <c r="BG56" s="2340">
        <v>91859.267305242902</v>
      </c>
      <c r="BH56" s="2340">
        <v>92130.516108789074</v>
      </c>
      <c r="BI56" s="2340">
        <v>92268.693443701661</v>
      </c>
      <c r="BJ56" s="2340">
        <v>92544.134525113666</v>
      </c>
      <c r="BK56" s="2340">
        <v>92866.267106022293</v>
      </c>
      <c r="BL56" s="2340">
        <v>93240.064016415534</v>
      </c>
      <c r="BM56" s="2340">
        <v>93578.64184518269</v>
      </c>
      <c r="BN56" s="2340">
        <v>93870.927046653698</v>
      </c>
      <c r="BO56" s="2340">
        <v>94071.689444040152</v>
      </c>
      <c r="BP56" s="2340">
        <v>94306.6030868331</v>
      </c>
      <c r="BQ56" s="2340">
        <v>94438.131224081342</v>
      </c>
      <c r="BR56" s="2340">
        <v>94577.937817734535</v>
      </c>
      <c r="BS56" s="2340">
        <v>94618.714492779924</v>
      </c>
      <c r="BT56" s="2340">
        <v>94730.909671366942</v>
      </c>
      <c r="BU56" s="2340">
        <v>94797.022913046458</v>
      </c>
      <c r="BV56" s="2340">
        <v>94930.944083776645</v>
      </c>
      <c r="BW56" s="2340">
        <v>95064.462233816274</v>
      </c>
      <c r="BX56" s="2340">
        <v>95190.470868800941</v>
      </c>
      <c r="BY56" s="2340">
        <v>95311.833278605933</v>
      </c>
      <c r="BZ56" s="2340">
        <v>95551.928805214178</v>
      </c>
      <c r="CA56" s="2340">
        <v>95728.892019711886</v>
      </c>
      <c r="CB56" s="2340">
        <v>95868.795973494431</v>
      </c>
      <c r="CC56" s="2340">
        <v>95971.154341336354</v>
      </c>
      <c r="CD56" s="2340">
        <v>96079.561543538061</v>
      </c>
      <c r="CE56" s="2340">
        <v>96181.270364461961</v>
      </c>
      <c r="CF56" s="2340">
        <v>96290.956606478023</v>
      </c>
      <c r="CG56" s="2340">
        <v>96409.149347809958</v>
      </c>
      <c r="CH56" s="2340">
        <v>96503.818699695083</v>
      </c>
      <c r="CI56" s="2340">
        <v>96643.541123758929</v>
      </c>
      <c r="CJ56" s="2340">
        <v>96703.86434997461</v>
      </c>
      <c r="CK56" s="2340">
        <v>96803.730079397181</v>
      </c>
      <c r="CL56" s="2340">
        <v>96927.501258868637</v>
      </c>
      <c r="CM56" s="2340">
        <v>97002.75490001218</v>
      </c>
      <c r="CN56" s="2340">
        <v>97111.334681845838</v>
      </c>
      <c r="CO56" s="2340">
        <v>97169.599028675599</v>
      </c>
      <c r="CP56" s="2340">
        <v>97270.727121578529</v>
      </c>
      <c r="CQ56" s="2340">
        <v>97342.132244564884</v>
      </c>
      <c r="CR56" s="2340">
        <v>97408.734744113797</v>
      </c>
      <c r="CS56" s="2340">
        <v>97488.557739648371</v>
      </c>
      <c r="CT56" s="2340">
        <v>97547.35205890522</v>
      </c>
      <c r="CU56" s="2340">
        <v>97599.846676647096</v>
      </c>
      <c r="CV56" s="2340">
        <v>97635.37593623162</v>
      </c>
      <c r="CW56" s="2340">
        <v>97704.115715524647</v>
      </c>
      <c r="CX56" s="2340">
        <v>97761.222246073201</v>
      </c>
      <c r="CY56" s="2340">
        <v>97807.49849369131</v>
      </c>
      <c r="CZ56" s="2340">
        <v>97826.211652063692</v>
      </c>
      <c r="DA56" s="2340">
        <v>97860.380882564132</v>
      </c>
      <c r="DB56" s="2340">
        <v>97908.909446690144</v>
      </c>
      <c r="DC56" s="2340">
        <v>97971.015489086742</v>
      </c>
      <c r="DD56" s="2340">
        <v>98000.773413157702</v>
      </c>
      <c r="DE56" s="2340">
        <v>98048.250818648885</v>
      </c>
      <c r="DF56" s="2340">
        <v>98126.959034872329</v>
      </c>
      <c r="DG56" s="2340">
        <v>98137.66872779181</v>
      </c>
      <c r="DH56" s="2340">
        <v>98186.503758655352</v>
      </c>
      <c r="DI56" s="2340">
        <v>98195.439155981177</v>
      </c>
      <c r="DJ56" s="2340">
        <v>98245.347364195259</v>
      </c>
      <c r="DK56" s="2340">
        <v>98293.090317606984</v>
      </c>
      <c r="DL56" s="2340">
        <v>98322.100495799081</v>
      </c>
      <c r="DM56" s="2340">
        <v>98331.473964929493</v>
      </c>
      <c r="DN56" s="2340">
        <v>98361.288877603321</v>
      </c>
      <c r="DO56" s="2340">
        <v>98404.218528758021</v>
      </c>
      <c r="DP56" s="2340">
        <v>98452.274405827979</v>
      </c>
      <c r="DQ56" s="2340">
        <v>98477.391137577899</v>
      </c>
      <c r="DR56" s="2340">
        <v>98502.674898742203</v>
      </c>
      <c r="DS56" s="2340">
        <v>98539.145481883839</v>
      </c>
      <c r="DT56" s="2340">
        <v>98577.234486030095</v>
      </c>
      <c r="DU56" s="2340">
        <v>98614.251941524868</v>
      </c>
    </row>
    <row r="57" spans="1:125" ht="12.75">
      <c r="A57" s="135">
        <v>55</v>
      </c>
      <c r="W57" s="136">
        <v>75455</v>
      </c>
      <c r="X57" s="136">
        <v>76300</v>
      </c>
      <c r="Y57" s="2340">
        <v>76480.134985736673</v>
      </c>
      <c r="Z57" s="2340">
        <v>78539.428717949311</v>
      </c>
      <c r="AA57" s="2340">
        <v>79023.457831081338</v>
      </c>
      <c r="AB57" s="2340">
        <v>79706.807473664187</v>
      </c>
      <c r="AC57" s="2340">
        <v>80637.749274099071</v>
      </c>
      <c r="AD57" s="2340">
        <v>81499.805583406443</v>
      </c>
      <c r="AE57" s="2340">
        <v>81534.201693337804</v>
      </c>
      <c r="AF57" s="2340">
        <v>82743.319382599875</v>
      </c>
      <c r="AG57" s="2340">
        <v>83281.975502690126</v>
      </c>
      <c r="AH57" s="2340">
        <v>83538.682066706649</v>
      </c>
      <c r="AI57" s="2340">
        <v>84028.98325094358</v>
      </c>
      <c r="AJ57" s="2340">
        <v>85285.063031999933</v>
      </c>
      <c r="AK57" s="2340">
        <v>85450.614434548275</v>
      </c>
      <c r="AL57" s="2340">
        <v>85918.550742650128</v>
      </c>
      <c r="AM57" s="2340">
        <v>86297.93579976185</v>
      </c>
      <c r="AN57" s="2340">
        <v>86828.35094844141</v>
      </c>
      <c r="AO57" s="2340">
        <v>86943.19517910009</v>
      </c>
      <c r="AP57" s="2340">
        <v>87131.294552525389</v>
      </c>
      <c r="AQ57" s="2340">
        <v>87205.420487426061</v>
      </c>
      <c r="AR57" s="2340">
        <v>87250.5660403043</v>
      </c>
      <c r="AS57" s="2340">
        <v>86776.612346215596</v>
      </c>
      <c r="AT57" s="2340">
        <v>86120.528026525571</v>
      </c>
      <c r="AU57" s="2340">
        <v>85144.617478931701</v>
      </c>
      <c r="AV57" s="2340">
        <v>85364.043819038328</v>
      </c>
      <c r="AW57" s="2340">
        <v>85793.823091684302</v>
      </c>
      <c r="AX57" s="2340">
        <v>87710.874269715307</v>
      </c>
      <c r="AY57" s="2340">
        <v>89331.013216921128</v>
      </c>
      <c r="AZ57" s="2340">
        <v>89440.258276884721</v>
      </c>
      <c r="BA57" s="2340">
        <v>89560.580511831198</v>
      </c>
      <c r="BB57" s="2340">
        <v>90180.090257671196</v>
      </c>
      <c r="BC57" s="2340">
        <v>90462.582530507731</v>
      </c>
      <c r="BD57" s="2340">
        <v>90814.299265210633</v>
      </c>
      <c r="BE57" s="2340">
        <v>90911.410910959181</v>
      </c>
      <c r="BF57" s="2340">
        <v>91297.705950259115</v>
      </c>
      <c r="BG57" s="2340">
        <v>91573.268752518416</v>
      </c>
      <c r="BH57" s="2340">
        <v>91843.364035580293</v>
      </c>
      <c r="BI57" s="2340">
        <v>91987.858185841251</v>
      </c>
      <c r="BJ57" s="2340">
        <v>92259.202043185142</v>
      </c>
      <c r="BK57" s="2340">
        <v>92585.325593823291</v>
      </c>
      <c r="BL57" s="2340">
        <v>92971.502658731537</v>
      </c>
      <c r="BM57" s="2340">
        <v>93309.544770370543</v>
      </c>
      <c r="BN57" s="2340">
        <v>93615.247829857894</v>
      </c>
      <c r="BO57" s="2340">
        <v>93813.104771126265</v>
      </c>
      <c r="BP57" s="2340">
        <v>94049.568119854172</v>
      </c>
      <c r="BQ57" s="2340">
        <v>94173.884499384993</v>
      </c>
      <c r="BR57" s="2340">
        <v>94321.9724260043</v>
      </c>
      <c r="BS57" s="2340">
        <v>94367.340729679185</v>
      </c>
      <c r="BT57" s="2340">
        <v>94483.858962131315</v>
      </c>
      <c r="BU57" s="2340">
        <v>94554.339222982453</v>
      </c>
      <c r="BV57" s="2340">
        <v>94692.379931493298</v>
      </c>
      <c r="BW57" s="2340">
        <v>94829.949151384499</v>
      </c>
      <c r="BX57" s="2340">
        <v>94959.95870450708</v>
      </c>
      <c r="BY57" s="2340">
        <v>95085.265216348998</v>
      </c>
      <c r="BZ57" s="2340">
        <v>95328.960660908735</v>
      </c>
      <c r="CA57" s="2340">
        <v>95509.612592752557</v>
      </c>
      <c r="CB57" s="2340">
        <v>95653.228306131452</v>
      </c>
      <c r="CC57" s="2340">
        <v>95759.318929341694</v>
      </c>
      <c r="CD57" s="2340">
        <v>95871.380898553689</v>
      </c>
      <c r="CE57" s="2340">
        <v>95976.804024519515</v>
      </c>
      <c r="CF57" s="2340">
        <v>96090.121887911824</v>
      </c>
      <c r="CG57" s="2340">
        <v>96211.864596591957</v>
      </c>
      <c r="CH57" s="2340">
        <v>96310.068685381208</v>
      </c>
      <c r="CI57" s="2340">
        <v>96453.173952885336</v>
      </c>
      <c r="CJ57" s="2340">
        <v>96516.974796222275</v>
      </c>
      <c r="CK57" s="2340">
        <v>96620.179708364711</v>
      </c>
      <c r="CL57" s="2340">
        <v>96747.186129219888</v>
      </c>
      <c r="CM57" s="2340">
        <v>96825.706830059644</v>
      </c>
      <c r="CN57" s="2340">
        <v>96937.434903649148</v>
      </c>
      <c r="CO57" s="2340">
        <v>96998.88017244506</v>
      </c>
      <c r="CP57" s="2340">
        <v>97103.057176937466</v>
      </c>
      <c r="CQ57" s="2340">
        <v>97177.507205713177</v>
      </c>
      <c r="CR57" s="2340">
        <v>97247.1073710294</v>
      </c>
      <c r="CS57" s="2340">
        <v>97329.851999663559</v>
      </c>
      <c r="CT57" s="2340">
        <v>97391.548831162159</v>
      </c>
      <c r="CU57" s="2340">
        <v>97446.902805656631</v>
      </c>
      <c r="CV57" s="2340">
        <v>97485.265073110582</v>
      </c>
      <c r="CW57" s="2340">
        <v>97556.735307504801</v>
      </c>
      <c r="CX57" s="2340">
        <v>97616.539915617803</v>
      </c>
      <c r="CY57" s="2340">
        <v>97665.480621568597</v>
      </c>
      <c r="CZ57" s="2340">
        <v>97686.848467393123</v>
      </c>
      <c r="DA57" s="2340">
        <v>97723.601164267515</v>
      </c>
      <c r="DB57" s="2340">
        <v>97774.645628581013</v>
      </c>
      <c r="DC57" s="2340">
        <v>97839.203059104417</v>
      </c>
      <c r="DD57" s="2340">
        <v>97871.410366057637</v>
      </c>
      <c r="DE57" s="2340">
        <v>97921.26870241201</v>
      </c>
      <c r="DF57" s="2340">
        <v>98002.274374303699</v>
      </c>
      <c r="DG57" s="2340">
        <v>98015.324805141528</v>
      </c>
      <c r="DH57" s="2340">
        <v>98066.410000247153</v>
      </c>
      <c r="DI57" s="2340">
        <v>98077.602086277257</v>
      </c>
      <c r="DJ57" s="2340">
        <v>98129.676338468998</v>
      </c>
      <c r="DK57" s="2340">
        <v>98179.548050792248</v>
      </c>
      <c r="DL57" s="2340">
        <v>98210.66906786742</v>
      </c>
      <c r="DM57" s="2340">
        <v>98222.13597796789</v>
      </c>
      <c r="DN57" s="2340">
        <v>98253.98270314098</v>
      </c>
      <c r="DO57" s="2340">
        <v>98298.892382331294</v>
      </c>
      <c r="DP57" s="2340">
        <v>98348.886388147002</v>
      </c>
      <c r="DQ57" s="2340">
        <v>98375.929243254315</v>
      </c>
      <c r="DR57" s="2340">
        <v>98403.103081647263</v>
      </c>
      <c r="DS57" s="2340">
        <v>98441.41744451804</v>
      </c>
      <c r="DT57" s="2340">
        <v>98481.314525313603</v>
      </c>
      <c r="DU57" s="2340">
        <v>98520.107643075622</v>
      </c>
    </row>
    <row r="58" spans="1:125" ht="12.75">
      <c r="A58" s="135">
        <v>56</v>
      </c>
      <c r="W58" s="136">
        <v>75008</v>
      </c>
      <c r="X58" s="136">
        <v>75860</v>
      </c>
      <c r="Y58" s="2340">
        <v>76043.383209271982</v>
      </c>
      <c r="Z58" s="2340">
        <v>78089.580987287132</v>
      </c>
      <c r="AA58" s="2340">
        <v>78591.81669178787</v>
      </c>
      <c r="AB58" s="2340">
        <v>79265.144896054873</v>
      </c>
      <c r="AC58" s="2340">
        <v>80214.922939380485</v>
      </c>
      <c r="AD58" s="2340">
        <v>81077.923120948748</v>
      </c>
      <c r="AE58" s="2340">
        <v>81126.980631607745</v>
      </c>
      <c r="AF58" s="2340">
        <v>82320.764379246291</v>
      </c>
      <c r="AG58" s="2340">
        <v>82884.068955841081</v>
      </c>
      <c r="AH58" s="2340">
        <v>83136.61727265449</v>
      </c>
      <c r="AI58" s="2340">
        <v>83629.463680972127</v>
      </c>
      <c r="AJ58" s="2340">
        <v>84888.635749740133</v>
      </c>
      <c r="AK58" s="2340">
        <v>85049.415656699057</v>
      </c>
      <c r="AL58" s="2340">
        <v>85528.615512645774</v>
      </c>
      <c r="AM58" s="2340">
        <v>85911.268424080321</v>
      </c>
      <c r="AN58" s="2340">
        <v>86469.288803045056</v>
      </c>
      <c r="AO58" s="2340">
        <v>86589.634665877573</v>
      </c>
      <c r="AP58" s="2340">
        <v>86776.15039190113</v>
      </c>
      <c r="AQ58" s="2340">
        <v>86859.313818411611</v>
      </c>
      <c r="AR58" s="2340">
        <v>86916.834843243254</v>
      </c>
      <c r="AS58" s="2340">
        <v>86438.624934793901</v>
      </c>
      <c r="AT58" s="2340">
        <v>85784.524473742174</v>
      </c>
      <c r="AU58" s="2340">
        <v>84823.441875107921</v>
      </c>
      <c r="AV58" s="2340">
        <v>85026.569632128332</v>
      </c>
      <c r="AW58" s="2340">
        <v>85469.867510940443</v>
      </c>
      <c r="AX58" s="2340">
        <v>87386.896664576096</v>
      </c>
      <c r="AY58" s="2340">
        <v>88993.067822904777</v>
      </c>
      <c r="AZ58" s="2340">
        <v>89126.529179258781</v>
      </c>
      <c r="BA58" s="2340">
        <v>89238.847443267106</v>
      </c>
      <c r="BB58" s="2340">
        <v>89850.396185632417</v>
      </c>
      <c r="BC58" s="2340">
        <v>90149.638939538447</v>
      </c>
      <c r="BD58" s="2340">
        <v>90488.65826488618</v>
      </c>
      <c r="BE58" s="2340">
        <v>90588.829637405768</v>
      </c>
      <c r="BF58" s="2340">
        <v>90974.193916387332</v>
      </c>
      <c r="BG58" s="2340">
        <v>91252.940998114951</v>
      </c>
      <c r="BH58" s="2340">
        <v>91541.006622718793</v>
      </c>
      <c r="BI58" s="2340">
        <v>91689.029529420761</v>
      </c>
      <c r="BJ58" s="2340">
        <v>91942.143888104154</v>
      </c>
      <c r="BK58" s="2340">
        <v>92285.162638846552</v>
      </c>
      <c r="BL58" s="2340">
        <v>92672.777192905676</v>
      </c>
      <c r="BM58" s="2340">
        <v>93023.243556011614</v>
      </c>
      <c r="BN58" s="2340">
        <v>93328.445801343201</v>
      </c>
      <c r="BO58" s="2340">
        <v>93529.805193494234</v>
      </c>
      <c r="BP58" s="2340">
        <v>93760.922243644192</v>
      </c>
      <c r="BQ58" s="2340">
        <v>93891.141561197568</v>
      </c>
      <c r="BR58" s="2340">
        <v>94043.973512528624</v>
      </c>
      <c r="BS58" s="2340">
        <v>94094.30411927207</v>
      </c>
      <c r="BT58" s="2340">
        <v>94215.494050307854</v>
      </c>
      <c r="BU58" s="2340">
        <v>94290.694844357728</v>
      </c>
      <c r="BV58" s="2340">
        <v>94433.188269665683</v>
      </c>
      <c r="BW58" s="2340">
        <v>94575.136812388737</v>
      </c>
      <c r="BX58" s="2340">
        <v>94709.472163134677</v>
      </c>
      <c r="BY58" s="2340">
        <v>94839.043676092537</v>
      </c>
      <c r="BZ58" s="2340">
        <v>95086.630973512511</v>
      </c>
      <c r="CA58" s="2340">
        <v>95271.272123591334</v>
      </c>
      <c r="CB58" s="2340">
        <v>95418.902952592325</v>
      </c>
      <c r="CC58" s="2340">
        <v>95529.031813916343</v>
      </c>
      <c r="CD58" s="2340">
        <v>95645.166523926309</v>
      </c>
      <c r="CE58" s="2340">
        <v>95754.606035603574</v>
      </c>
      <c r="CF58" s="2340">
        <v>95871.851304955388</v>
      </c>
      <c r="CG58" s="2340">
        <v>95997.433523107626</v>
      </c>
      <c r="CH58" s="2340">
        <v>96099.461392788784</v>
      </c>
      <c r="CI58" s="2340">
        <v>96246.226130783616</v>
      </c>
      <c r="CJ58" s="2340">
        <v>96313.790255229731</v>
      </c>
      <c r="CK58" s="2340">
        <v>96420.6087116407</v>
      </c>
      <c r="CL58" s="2340">
        <v>96551.116398579179</v>
      </c>
      <c r="CM58" s="2340">
        <v>96633.173682856228</v>
      </c>
      <c r="CN58" s="2340">
        <v>96748.309885919007</v>
      </c>
      <c r="CO58" s="2340">
        <v>96813.19945608305</v>
      </c>
      <c r="CP58" s="2340">
        <v>96920.677849363899</v>
      </c>
      <c r="CQ58" s="2340">
        <v>96998.42555644791</v>
      </c>
      <c r="CR58" s="2340">
        <v>97071.27264570634</v>
      </c>
      <c r="CS58" s="2340">
        <v>97157.182097649798</v>
      </c>
      <c r="CT58" s="2340">
        <v>97222.023548815807</v>
      </c>
      <c r="CU58" s="2340">
        <v>97280.475773570623</v>
      </c>
      <c r="CV58" s="2340">
        <v>97321.908193416355</v>
      </c>
      <c r="CW58" s="2340">
        <v>97396.337534167367</v>
      </c>
      <c r="CX58" s="2340">
        <v>97459.066549620416</v>
      </c>
      <c r="CY58" s="2340">
        <v>97510.895597899682</v>
      </c>
      <c r="CZ58" s="2340">
        <v>97535.141667214106</v>
      </c>
      <c r="DA58" s="2340">
        <v>97574.695562415814</v>
      </c>
      <c r="DB58" s="2340">
        <v>97628.468156020783</v>
      </c>
      <c r="DC58" s="2340">
        <v>97695.683950342413</v>
      </c>
      <c r="DD58" s="2340">
        <v>97730.547898056466</v>
      </c>
      <c r="DE58" s="2340">
        <v>97782.988787861599</v>
      </c>
      <c r="DF58" s="2340">
        <v>97866.486543771724</v>
      </c>
      <c r="DG58" s="2340">
        <v>97882.076619949541</v>
      </c>
      <c r="DH58" s="2340">
        <v>97935.603230607725</v>
      </c>
      <c r="DI58" s="2340">
        <v>97949.244244255577</v>
      </c>
      <c r="DJ58" s="2340">
        <v>98003.669081222019</v>
      </c>
      <c r="DK58" s="2340">
        <v>98055.851142480053</v>
      </c>
      <c r="DL58" s="2340">
        <v>98089.263358633179</v>
      </c>
      <c r="DM58" s="2340">
        <v>98103.002878974192</v>
      </c>
      <c r="DN58" s="2340">
        <v>98137.055421650366</v>
      </c>
      <c r="DO58" s="2340">
        <v>98184.114835622328</v>
      </c>
      <c r="DP58" s="2340">
        <v>98236.213251526468</v>
      </c>
      <c r="DQ58" s="2340">
        <v>98265.347760320874</v>
      </c>
      <c r="DR58" s="2340">
        <v>98294.574286874937</v>
      </c>
      <c r="DS58" s="2340">
        <v>98334.891187167203</v>
      </c>
      <c r="DT58" s="2340">
        <v>98376.752190617932</v>
      </c>
      <c r="DU58" s="2340">
        <v>98417.474190972542</v>
      </c>
    </row>
    <row r="59" spans="1:125" ht="12.75">
      <c r="A59" s="135">
        <v>57</v>
      </c>
      <c r="W59" s="136">
        <v>74531</v>
      </c>
      <c r="X59" s="136">
        <v>75388</v>
      </c>
      <c r="Y59" s="2340">
        <v>75574.637792098452</v>
      </c>
      <c r="Z59" s="2340">
        <v>77607.055036686594</v>
      </c>
      <c r="AA59" s="2340">
        <v>78114.919617336636</v>
      </c>
      <c r="AB59" s="2340">
        <v>78811.14979930094</v>
      </c>
      <c r="AC59" s="2340">
        <v>79741.60685885213</v>
      </c>
      <c r="AD59" s="2340">
        <v>80610.297171995539</v>
      </c>
      <c r="AE59" s="2340">
        <v>80691.326689740235</v>
      </c>
      <c r="AF59" s="2340">
        <v>81862.229485246557</v>
      </c>
      <c r="AG59" s="2340">
        <v>82444.641108116281</v>
      </c>
      <c r="AH59" s="2340">
        <v>82688.254043555193</v>
      </c>
      <c r="AI59" s="2340">
        <v>83194.314911774345</v>
      </c>
      <c r="AJ59" s="2340">
        <v>84460.622542403857</v>
      </c>
      <c r="AK59" s="2340">
        <v>84634.812849904833</v>
      </c>
      <c r="AL59" s="2340">
        <v>85125.195135444053</v>
      </c>
      <c r="AM59" s="2340">
        <v>85519.027699852741</v>
      </c>
      <c r="AN59" s="2340">
        <v>86092.687040551711</v>
      </c>
      <c r="AO59" s="2340">
        <v>86212.758021045491</v>
      </c>
      <c r="AP59" s="2340">
        <v>86408.502360373663</v>
      </c>
      <c r="AQ59" s="2340">
        <v>86487.495668846983</v>
      </c>
      <c r="AR59" s="2340">
        <v>86556.56950279999</v>
      </c>
      <c r="AS59" s="2340">
        <v>86077.601859325587</v>
      </c>
      <c r="AT59" s="2340">
        <v>85432.144903733104</v>
      </c>
      <c r="AU59" s="2340">
        <v>84467.819074899395</v>
      </c>
      <c r="AV59" s="2340">
        <v>84677.404091164746</v>
      </c>
      <c r="AW59" s="2340">
        <v>85127.63590016689</v>
      </c>
      <c r="AX59" s="2340">
        <v>87040.382502817389</v>
      </c>
      <c r="AY59" s="2340">
        <v>88643.48702597314</v>
      </c>
      <c r="AZ59" s="2340">
        <v>88778.275161576894</v>
      </c>
      <c r="BA59" s="2340">
        <v>88907.783482005485</v>
      </c>
      <c r="BB59" s="2340">
        <v>89505.267599728031</v>
      </c>
      <c r="BC59" s="2340">
        <v>89817.960843738823</v>
      </c>
      <c r="BD59" s="2340">
        <v>90141.057966286317</v>
      </c>
      <c r="BE59" s="2340">
        <v>90251.809099689475</v>
      </c>
      <c r="BF59" s="2340">
        <v>90626.764230060842</v>
      </c>
      <c r="BG59" s="2340">
        <v>90916.723474836617</v>
      </c>
      <c r="BH59" s="2340">
        <v>91211.872483207626</v>
      </c>
      <c r="BI59" s="2340">
        <v>91353.444765297274</v>
      </c>
      <c r="BJ59" s="2340">
        <v>91613.472079569852</v>
      </c>
      <c r="BK59" s="2340">
        <v>91947.499329082682</v>
      </c>
      <c r="BL59" s="2340">
        <v>92353.249140915766</v>
      </c>
      <c r="BM59" s="2340">
        <v>92712.099127573572</v>
      </c>
      <c r="BN59" s="2340">
        <v>93030.777760384954</v>
      </c>
      <c r="BO59" s="2340">
        <v>93206.253511640316</v>
      </c>
      <c r="BP59" s="2340">
        <v>93448.630754518788</v>
      </c>
      <c r="BQ59" s="2340">
        <v>93584.14439990744</v>
      </c>
      <c r="BR59" s="2340">
        <v>93742.108921421517</v>
      </c>
      <c r="BS59" s="2340">
        <v>93797.810057634022</v>
      </c>
      <c r="BT59" s="2340">
        <v>93924.055863164627</v>
      </c>
      <c r="BU59" s="2340">
        <v>94004.366445124702</v>
      </c>
      <c r="BV59" s="2340">
        <v>94151.679645647862</v>
      </c>
      <c r="BW59" s="2340">
        <v>94298.369056888318</v>
      </c>
      <c r="BX59" s="2340">
        <v>94437.387919881803</v>
      </c>
      <c r="BY59" s="2340">
        <v>94571.577663025833</v>
      </c>
      <c r="BZ59" s="2340">
        <v>94823.378560733938</v>
      </c>
      <c r="CA59" s="2340">
        <v>95012.339765405646</v>
      </c>
      <c r="CB59" s="2340">
        <v>95164.319457966558</v>
      </c>
      <c r="CC59" s="2340">
        <v>95278.949530868165</v>
      </c>
      <c r="CD59" s="2340">
        <v>95399.490767699681</v>
      </c>
      <c r="CE59" s="2340">
        <v>95513.276391527048</v>
      </c>
      <c r="CF59" s="2340">
        <v>95634.771895368234</v>
      </c>
      <c r="CG59" s="2340">
        <v>95764.509613916453</v>
      </c>
      <c r="CH59" s="2340">
        <v>95870.67661452161</v>
      </c>
      <c r="CI59" s="2340">
        <v>96021.40268135698</v>
      </c>
      <c r="CJ59" s="2340">
        <v>96093.041585059545</v>
      </c>
      <c r="CK59" s="2340">
        <v>96203.772797378042</v>
      </c>
      <c r="CL59" s="2340">
        <v>96338.071876898379</v>
      </c>
      <c r="CM59" s="2340">
        <v>96423.959540197888</v>
      </c>
      <c r="CN59" s="2340">
        <v>96542.787133462945</v>
      </c>
      <c r="CO59" s="2340">
        <v>96611.407979584721</v>
      </c>
      <c r="CP59" s="2340">
        <v>96722.462896837795</v>
      </c>
      <c r="CQ59" s="2340">
        <v>96803.783636603082</v>
      </c>
      <c r="CR59" s="2340">
        <v>96880.149122492905</v>
      </c>
      <c r="CS59" s="2340">
        <v>96969.488242702966</v>
      </c>
      <c r="CT59" s="2340">
        <v>97037.737896313207</v>
      </c>
      <c r="CU59" s="2340">
        <v>97099.548399834603</v>
      </c>
      <c r="CV59" s="2340">
        <v>97144.309022726899</v>
      </c>
      <c r="CW59" s="2340">
        <v>97221.946292979541</v>
      </c>
      <c r="CX59" s="2340">
        <v>97287.845949579947</v>
      </c>
      <c r="CY59" s="2340">
        <v>97342.806851908754</v>
      </c>
      <c r="CZ59" s="2340">
        <v>97370.174188959281</v>
      </c>
      <c r="DA59" s="2340">
        <v>97412.76599854455</v>
      </c>
      <c r="DB59" s="2340">
        <v>97469.497436114601</v>
      </c>
      <c r="DC59" s="2340">
        <v>97539.596578464829</v>
      </c>
      <c r="DD59" s="2340">
        <v>97577.342365516481</v>
      </c>
      <c r="DE59" s="2340">
        <v>97632.584870633873</v>
      </c>
      <c r="DF59" s="2340">
        <v>97718.786181071642</v>
      </c>
      <c r="DG59" s="2340">
        <v>97737.131878532236</v>
      </c>
      <c r="DH59" s="2340">
        <v>97793.307582978727</v>
      </c>
      <c r="DI59" s="2340">
        <v>97809.606177344802</v>
      </c>
      <c r="DJ59" s="2340">
        <v>97866.58191519494</v>
      </c>
      <c r="DK59" s="2340">
        <v>97921.271397283956</v>
      </c>
      <c r="DL59" s="2340">
        <v>97957.170485787719</v>
      </c>
      <c r="DM59" s="2340">
        <v>97973.376933127045</v>
      </c>
      <c r="DN59" s="2340">
        <v>98009.823998548804</v>
      </c>
      <c r="DO59" s="2340">
        <v>98059.217171613156</v>
      </c>
      <c r="DP59" s="2340">
        <v>98113.600278091209</v>
      </c>
      <c r="DQ59" s="2340">
        <v>98145.005841654725</v>
      </c>
      <c r="DR59" s="2340">
        <v>98176.461257993578</v>
      </c>
      <c r="DS59" s="2340">
        <v>98218.952700627735</v>
      </c>
      <c r="DT59" s="2340">
        <v>98262.946444452027</v>
      </c>
      <c r="DU59" s="2340">
        <v>98305.763265543806</v>
      </c>
    </row>
    <row r="60" spans="1:125" ht="12.75">
      <c r="A60" s="135">
        <v>58</v>
      </c>
      <c r="W60" s="136">
        <v>74020</v>
      </c>
      <c r="X60" s="136">
        <v>74878</v>
      </c>
      <c r="Y60" s="2340">
        <v>75077.604213450075</v>
      </c>
      <c r="Z60" s="2340">
        <v>77100.064829837822</v>
      </c>
      <c r="AA60" s="2340">
        <v>77613.549858345388</v>
      </c>
      <c r="AB60" s="2340">
        <v>78332.462037973441</v>
      </c>
      <c r="AC60" s="2340">
        <v>79256.939322165665</v>
      </c>
      <c r="AD60" s="2340">
        <v>80132.044852436607</v>
      </c>
      <c r="AE60" s="2340">
        <v>80215.274566434295</v>
      </c>
      <c r="AF60" s="2340">
        <v>81408.303064015025</v>
      </c>
      <c r="AG60" s="2340">
        <v>81985.374475145247</v>
      </c>
      <c r="AH60" s="2340">
        <v>82217.793045248502</v>
      </c>
      <c r="AI60" s="2340">
        <v>82719.671293229505</v>
      </c>
      <c r="AJ60" s="2340">
        <v>84012.448444870213</v>
      </c>
      <c r="AK60" s="2340">
        <v>84197.709502298705</v>
      </c>
      <c r="AL60" s="2340">
        <v>84683.203861301256</v>
      </c>
      <c r="AM60" s="2340">
        <v>85108.344017921176</v>
      </c>
      <c r="AN60" s="2340">
        <v>85680.566820993932</v>
      </c>
      <c r="AO60" s="2340">
        <v>85810.194680211454</v>
      </c>
      <c r="AP60" s="2340">
        <v>86014.788834792198</v>
      </c>
      <c r="AQ60" s="2340">
        <v>86089.215671564874</v>
      </c>
      <c r="AR60" s="2340">
        <v>86168.907754679225</v>
      </c>
      <c r="AS60" s="2340">
        <v>85695.797202703514</v>
      </c>
      <c r="AT60" s="2340">
        <v>85038.567759892539</v>
      </c>
      <c r="AU60" s="2340">
        <v>84084.766663381728</v>
      </c>
      <c r="AV60" s="2340">
        <v>84302.305115607043</v>
      </c>
      <c r="AW60" s="2340">
        <v>84759.352732001265</v>
      </c>
      <c r="AX60" s="2340">
        <v>86667.667026209412</v>
      </c>
      <c r="AY60" s="2340">
        <v>88273.730297751987</v>
      </c>
      <c r="AZ60" s="2340">
        <v>88401.61763911962</v>
      </c>
      <c r="BA60" s="2340">
        <v>88540.253249571382</v>
      </c>
      <c r="BB60" s="2340">
        <v>89145.6056325221</v>
      </c>
      <c r="BC60" s="2340">
        <v>89461.875886238733</v>
      </c>
      <c r="BD60" s="2340">
        <v>89779.922598918754</v>
      </c>
      <c r="BE60" s="2340">
        <v>89886.52957590374</v>
      </c>
      <c r="BF60" s="2340">
        <v>90273.053858255691</v>
      </c>
      <c r="BG60" s="2340">
        <v>90547.58075697915</v>
      </c>
      <c r="BH60" s="2340">
        <v>90849.7132235264</v>
      </c>
      <c r="BI60" s="2340">
        <v>90984.362505885656</v>
      </c>
      <c r="BJ60" s="2340">
        <v>91263.577911008004</v>
      </c>
      <c r="BK60" s="2340">
        <v>91598.50979784182</v>
      </c>
      <c r="BL60" s="2340">
        <v>92014.143866912898</v>
      </c>
      <c r="BM60" s="2340">
        <v>92372.558886195853</v>
      </c>
      <c r="BN60" s="2340">
        <v>92684.20821693544</v>
      </c>
      <c r="BO60" s="2340">
        <v>92861.795145032331</v>
      </c>
      <c r="BP60" s="2340">
        <v>93109.61152010753</v>
      </c>
      <c r="BQ60" s="2340">
        <v>93250.861231887684</v>
      </c>
      <c r="BR60" s="2340">
        <v>93414.386966760823</v>
      </c>
      <c r="BS60" s="2340">
        <v>93475.908390541023</v>
      </c>
      <c r="BT60" s="2340">
        <v>93607.633568704434</v>
      </c>
      <c r="BU60" s="2340">
        <v>93693.482729291369</v>
      </c>
      <c r="BV60" s="2340">
        <v>93846.020264326333</v>
      </c>
      <c r="BW60" s="2340">
        <v>93997.848939916788</v>
      </c>
      <c r="BX60" s="2340">
        <v>94141.945369131106</v>
      </c>
      <c r="BY60" s="2340">
        <v>94281.142348244481</v>
      </c>
      <c r="BZ60" s="2340">
        <v>94537.511626902327</v>
      </c>
      <c r="CA60" s="2340">
        <v>94731.157308335882</v>
      </c>
      <c r="CB60" s="2340">
        <v>94887.986796937359</v>
      </c>
      <c r="CC60" s="2340">
        <v>95007.490122757488</v>
      </c>
      <c r="CD60" s="2340">
        <v>95132.80253186237</v>
      </c>
      <c r="CE60" s="2340">
        <v>95251.294417975849</v>
      </c>
      <c r="CF60" s="2340">
        <v>95377.392748293511</v>
      </c>
      <c r="CG60" s="2340">
        <v>95511.631068580711</v>
      </c>
      <c r="CH60" s="2340">
        <v>95622.281498491298</v>
      </c>
      <c r="CI60" s="2340">
        <v>95777.298527164123</v>
      </c>
      <c r="CJ60" s="2340">
        <v>95853.352129404797</v>
      </c>
      <c r="CK60" s="2340">
        <v>95968.322654958087</v>
      </c>
      <c r="CL60" s="2340">
        <v>96106.729779841829</v>
      </c>
      <c r="CM60" s="2340">
        <v>96196.768320127114</v>
      </c>
      <c r="CN60" s="2340">
        <v>96319.59633828752</v>
      </c>
      <c r="CO60" s="2340">
        <v>96392.261386742408</v>
      </c>
      <c r="CP60" s="2340">
        <v>96507.192890966893</v>
      </c>
      <c r="CQ60" s="2340">
        <v>96592.386854188124</v>
      </c>
      <c r="CR60" s="2340">
        <v>96672.566638945646</v>
      </c>
      <c r="CS60" s="2340">
        <v>96765.624086908516</v>
      </c>
      <c r="CT60" s="2340">
        <v>96837.569136754915</v>
      </c>
      <c r="CU60" s="2340">
        <v>96903.021180871787</v>
      </c>
      <c r="CV60" s="2340">
        <v>96951.391033558946</v>
      </c>
      <c r="CW60" s="2340">
        <v>97032.507229312076</v>
      </c>
      <c r="CX60" s="2340">
        <v>97101.845634559199</v>
      </c>
      <c r="CY60" s="2340">
        <v>97160.203468026462</v>
      </c>
      <c r="CZ60" s="2340">
        <v>97190.956543254259</v>
      </c>
      <c r="DA60" s="2340">
        <v>97236.843833722785</v>
      </c>
      <c r="DB60" s="2340">
        <v>97296.785132501333</v>
      </c>
      <c r="DC60" s="2340">
        <v>97370.012385296752</v>
      </c>
      <c r="DD60" s="2340">
        <v>97410.88490513117</v>
      </c>
      <c r="DE60" s="2340">
        <v>97469.167231852218</v>
      </c>
      <c r="DF60" s="2340">
        <v>97558.302058659421</v>
      </c>
      <c r="DG60" s="2340">
        <v>97579.638078128657</v>
      </c>
      <c r="DH60" s="2340">
        <v>97638.688578708883</v>
      </c>
      <c r="DI60" s="2340">
        <v>97657.871406988954</v>
      </c>
      <c r="DJ60" s="2340">
        <v>97717.615664783487</v>
      </c>
      <c r="DK60" s="2340">
        <v>97775.026617074298</v>
      </c>
      <c r="DL60" s="2340">
        <v>97813.625037172678</v>
      </c>
      <c r="DM60" s="2340">
        <v>97832.509326152271</v>
      </c>
      <c r="DN60" s="2340">
        <v>97871.555727196595</v>
      </c>
      <c r="DO60" s="2340">
        <v>97923.482370687008</v>
      </c>
      <c r="DP60" s="2340">
        <v>97980.345783815705</v>
      </c>
      <c r="DQ60" s="2340">
        <v>98014.216991193185</v>
      </c>
      <c r="DR60" s="2340">
        <v>98048.092376834291</v>
      </c>
      <c r="DS60" s="2340">
        <v>98092.944866897335</v>
      </c>
      <c r="DT60" s="2340">
        <v>98139.254364239881</v>
      </c>
      <c r="DU60" s="2340">
        <v>98184.345858225803</v>
      </c>
    </row>
    <row r="61" spans="1:125" ht="12.75">
      <c r="A61" s="135">
        <v>59</v>
      </c>
      <c r="W61" s="136">
        <v>73474</v>
      </c>
      <c r="X61" s="136">
        <v>74337</v>
      </c>
      <c r="Y61" s="2340">
        <v>74534.214503659823</v>
      </c>
      <c r="Z61" s="2340">
        <v>76576.003419589979</v>
      </c>
      <c r="AA61" s="2340">
        <v>77098.575147675292</v>
      </c>
      <c r="AB61" s="2340">
        <v>77784.557244432493</v>
      </c>
      <c r="AC61" s="2340">
        <v>78743.667885909934</v>
      </c>
      <c r="AD61" s="2340">
        <v>79617.239882051785</v>
      </c>
      <c r="AE61" s="2340">
        <v>79702.354896586141</v>
      </c>
      <c r="AF61" s="2340">
        <v>80888.054874312715</v>
      </c>
      <c r="AG61" s="2340">
        <v>81471.611689359052</v>
      </c>
      <c r="AH61" s="2340">
        <v>81715.016216999924</v>
      </c>
      <c r="AI61" s="2340">
        <v>82220.861518645455</v>
      </c>
      <c r="AJ61" s="2340">
        <v>83519.222120223611</v>
      </c>
      <c r="AK61" s="2340">
        <v>83716.306675572705</v>
      </c>
      <c r="AL61" s="2340">
        <v>84239.74981348509</v>
      </c>
      <c r="AM61" s="2340">
        <v>84652.14900370274</v>
      </c>
      <c r="AN61" s="2340">
        <v>85261.704822193846</v>
      </c>
      <c r="AO61" s="2340">
        <v>85386.237235236622</v>
      </c>
      <c r="AP61" s="2340">
        <v>85615.367948914427</v>
      </c>
      <c r="AQ61" s="2340">
        <v>85676.598973173721</v>
      </c>
      <c r="AR61" s="2340">
        <v>85755.650231307445</v>
      </c>
      <c r="AS61" s="2340">
        <v>85293.830523862387</v>
      </c>
      <c r="AT61" s="2340">
        <v>84619.189269474562</v>
      </c>
      <c r="AU61" s="2340">
        <v>83671.977366954961</v>
      </c>
      <c r="AV61" s="2340">
        <v>83885.194356814478</v>
      </c>
      <c r="AW61" s="2340">
        <v>84381.186184350197</v>
      </c>
      <c r="AX61" s="2340">
        <v>86263.611775162281</v>
      </c>
      <c r="AY61" s="2340">
        <v>87875.419578884495</v>
      </c>
      <c r="AZ61" s="2340">
        <v>88007.823784890585</v>
      </c>
      <c r="BA61" s="2340">
        <v>88145.841217751557</v>
      </c>
      <c r="BB61" s="2340">
        <v>88751.679179268947</v>
      </c>
      <c r="BC61" s="2340">
        <v>89070.024158271612</v>
      </c>
      <c r="BD61" s="2340">
        <v>89387.143134340804</v>
      </c>
      <c r="BE61" s="2340">
        <v>89499.35733301095</v>
      </c>
      <c r="BF61" s="2340">
        <v>89877.389219424906</v>
      </c>
      <c r="BG61" s="2340">
        <v>90137.124462915832</v>
      </c>
      <c r="BH61" s="2340">
        <v>90461.846536220139</v>
      </c>
      <c r="BI61" s="2340">
        <v>90587.389568473984</v>
      </c>
      <c r="BJ61" s="2340">
        <v>90887.732645282958</v>
      </c>
      <c r="BK61" s="2340">
        <v>91214.323013354224</v>
      </c>
      <c r="BL61" s="2340">
        <v>91643.086170207476</v>
      </c>
      <c r="BM61" s="2340">
        <v>91984.228329348247</v>
      </c>
      <c r="BN61" s="2340">
        <v>92304.021823699062</v>
      </c>
      <c r="BO61" s="2340">
        <v>92487.889030530423</v>
      </c>
      <c r="BP61" s="2340">
        <v>92741.60571121001</v>
      </c>
      <c r="BQ61" s="2340">
        <v>92889.078630007571</v>
      </c>
      <c r="BR61" s="2340">
        <v>93058.638316181386</v>
      </c>
      <c r="BS61" s="2340">
        <v>93126.475440586291</v>
      </c>
      <c r="BT61" s="2340">
        <v>93264.146735839677</v>
      </c>
      <c r="BU61" s="2340">
        <v>93356.006741699879</v>
      </c>
      <c r="BV61" s="2340">
        <v>93514.21442748938</v>
      </c>
      <c r="BW61" s="2340">
        <v>93671.621308028785</v>
      </c>
      <c r="BX61" s="2340">
        <v>93821.229341817059</v>
      </c>
      <c r="BY61" s="2340">
        <v>93965.861929806328</v>
      </c>
      <c r="BZ61" s="2340">
        <v>94227.190748376655</v>
      </c>
      <c r="CA61" s="2340">
        <v>94426.060571693844</v>
      </c>
      <c r="CB61" s="2340">
        <v>94588.143846987688</v>
      </c>
      <c r="CC61" s="2340">
        <v>94712.92702068355</v>
      </c>
      <c r="CD61" s="2340">
        <v>94843.409092983435</v>
      </c>
      <c r="CE61" s="2340">
        <v>94967.000763611635</v>
      </c>
      <c r="CF61" s="2340">
        <v>95098.087165688237</v>
      </c>
      <c r="CG61" s="2340">
        <v>95237.203131057846</v>
      </c>
      <c r="CH61" s="2340">
        <v>95352.713054595399</v>
      </c>
      <c r="CI61" s="2340">
        <v>95512.381164112463</v>
      </c>
      <c r="CJ61" s="2340">
        <v>95593.220575207</v>
      </c>
      <c r="CK61" s="2340">
        <v>95712.786988975684</v>
      </c>
      <c r="CL61" s="2340">
        <v>95855.647935391549</v>
      </c>
      <c r="CM61" s="2340">
        <v>95950.187164828225</v>
      </c>
      <c r="CN61" s="2340">
        <v>96077.352943187405</v>
      </c>
      <c r="CO61" s="2340">
        <v>96154.40361290572</v>
      </c>
      <c r="CP61" s="2340">
        <v>96273.539141585381</v>
      </c>
      <c r="CQ61" s="2340">
        <v>96362.933791496747</v>
      </c>
      <c r="CR61" s="2340">
        <v>96447.250603826047</v>
      </c>
      <c r="CS61" s="2340">
        <v>96544.341192611813</v>
      </c>
      <c r="CT61" s="2340">
        <v>96620.294761206038</v>
      </c>
      <c r="CU61" s="2340">
        <v>96689.697121707926</v>
      </c>
      <c r="CV61" s="2340">
        <v>96741.982461104199</v>
      </c>
      <c r="CW61" s="2340">
        <v>96826.872930311278</v>
      </c>
      <c r="CX61" s="2340">
        <v>96899.942214051829</v>
      </c>
      <c r="CY61" s="2340">
        <v>96961.985738363204</v>
      </c>
      <c r="CZ61" s="2340">
        <v>96996.412548928696</v>
      </c>
      <c r="DA61" s="2340">
        <v>97045.875782632036</v>
      </c>
      <c r="DB61" s="2340">
        <v>97109.300255223759</v>
      </c>
      <c r="DC61" s="2340">
        <v>97185.922101352611</v>
      </c>
      <c r="DD61" s="2340">
        <v>97230.187872365554</v>
      </c>
      <c r="DE61" s="2340">
        <v>97291.769248678931</v>
      </c>
      <c r="DF61" s="2340">
        <v>97384.087860753745</v>
      </c>
      <c r="DG61" s="2340">
        <v>97408.669458319258</v>
      </c>
      <c r="DH61" s="2340">
        <v>97470.840246439504</v>
      </c>
      <c r="DI61" s="2340">
        <v>97493.153719323047</v>
      </c>
      <c r="DJ61" s="2340">
        <v>97555.903111367181</v>
      </c>
      <c r="DK61" s="2340">
        <v>97616.268219747086</v>
      </c>
      <c r="DL61" s="2340">
        <v>97657.796853802865</v>
      </c>
      <c r="DM61" s="2340">
        <v>97679.58811241058</v>
      </c>
      <c r="DN61" s="2340">
        <v>97721.456337901007</v>
      </c>
      <c r="DO61" s="2340">
        <v>97776.133377362494</v>
      </c>
      <c r="DP61" s="2340">
        <v>97835.689540794468</v>
      </c>
      <c r="DQ61" s="2340">
        <v>97872.237642815438</v>
      </c>
      <c r="DR61" s="2340">
        <v>97908.740397296715</v>
      </c>
      <c r="DS61" s="2340">
        <v>97956.156344969029</v>
      </c>
      <c r="DT61" s="2340">
        <v>98004.980178278711</v>
      </c>
      <c r="DU61" s="2340">
        <v>98052.541456159786</v>
      </c>
    </row>
    <row r="62" spans="1:125" ht="12.75">
      <c r="A62" s="135">
        <v>60</v>
      </c>
      <c r="W62" s="136">
        <v>72904</v>
      </c>
      <c r="X62" s="136">
        <v>73765</v>
      </c>
      <c r="Y62" s="2340">
        <v>73962.253353195178</v>
      </c>
      <c r="Z62" s="2340">
        <v>76012.128270844638</v>
      </c>
      <c r="AA62" s="2340">
        <v>76528.097263151401</v>
      </c>
      <c r="AB62" s="2340">
        <v>77230.441821522516</v>
      </c>
      <c r="AC62" s="2340">
        <v>78210.911974137955</v>
      </c>
      <c r="AD62" s="2340">
        <v>79063.232873015251</v>
      </c>
      <c r="AE62" s="2340">
        <v>79165.309566749333</v>
      </c>
      <c r="AF62" s="2340">
        <v>80337.285541938996</v>
      </c>
      <c r="AG62" s="2340">
        <v>80934.788391933384</v>
      </c>
      <c r="AH62" s="2340">
        <v>81182.102832440214</v>
      </c>
      <c r="AI62" s="2340">
        <v>81683.343632402437</v>
      </c>
      <c r="AJ62" s="2340">
        <v>83012.192707444774</v>
      </c>
      <c r="AK62" s="2340">
        <v>83194.98254665373</v>
      </c>
      <c r="AL62" s="2340">
        <v>83751.663643041553</v>
      </c>
      <c r="AM62" s="2340">
        <v>84175.017220939233</v>
      </c>
      <c r="AN62" s="2340">
        <v>84809.510886918957</v>
      </c>
      <c r="AO62" s="2340">
        <v>84939.625879543601</v>
      </c>
      <c r="AP62" s="2340">
        <v>85178.956345012179</v>
      </c>
      <c r="AQ62" s="2340">
        <v>85246.108684446328</v>
      </c>
      <c r="AR62" s="2340">
        <v>85332.744834459285</v>
      </c>
      <c r="AS62" s="2340">
        <v>84862.440098847699</v>
      </c>
      <c r="AT62" s="2340">
        <v>84196.089621658466</v>
      </c>
      <c r="AU62" s="2340">
        <v>83237.046499305245</v>
      </c>
      <c r="AV62" s="2340">
        <v>83458.455673401695</v>
      </c>
      <c r="AW62" s="2340">
        <v>83980.307566724528</v>
      </c>
      <c r="AX62" s="2340">
        <v>85852.803790980863</v>
      </c>
      <c r="AY62" s="2340">
        <v>87448.333759640955</v>
      </c>
      <c r="AZ62" s="2340">
        <v>87601.537738531595</v>
      </c>
      <c r="BA62" s="2340">
        <v>87730.194753507822</v>
      </c>
      <c r="BB62" s="2340">
        <v>88319.743803518519</v>
      </c>
      <c r="BC62" s="2340">
        <v>88634.735942884567</v>
      </c>
      <c r="BD62" s="2340">
        <v>88959.238489874333</v>
      </c>
      <c r="BE62" s="2340">
        <v>89053.024045835045</v>
      </c>
      <c r="BF62" s="2340">
        <v>89459.708319873374</v>
      </c>
      <c r="BG62" s="2340">
        <v>89711.367038541823</v>
      </c>
      <c r="BH62" s="2340">
        <v>90036.007520883169</v>
      </c>
      <c r="BI62" s="2340">
        <v>90173.338936267392</v>
      </c>
      <c r="BJ62" s="2340">
        <v>90478.253744819289</v>
      </c>
      <c r="BK62" s="2340">
        <v>90783.609777980746</v>
      </c>
      <c r="BL62" s="2340">
        <v>91227.831252832955</v>
      </c>
      <c r="BM62" s="2340">
        <v>91565.227571486816</v>
      </c>
      <c r="BN62" s="2340">
        <v>91891.335859326326</v>
      </c>
      <c r="BO62" s="2340">
        <v>92082.024053679226</v>
      </c>
      <c r="BP62" s="2340">
        <v>92342.149705089643</v>
      </c>
      <c r="BQ62" s="2340">
        <v>92496.382487818293</v>
      </c>
      <c r="BR62" s="2340">
        <v>92672.496968264168</v>
      </c>
      <c r="BS62" s="2340">
        <v>92747.195026469606</v>
      </c>
      <c r="BT62" s="2340">
        <v>92891.326388795904</v>
      </c>
      <c r="BU62" s="2340">
        <v>92989.71697389058</v>
      </c>
      <c r="BV62" s="2340">
        <v>93154.085684381032</v>
      </c>
      <c r="BW62" s="2340">
        <v>93317.554001036769</v>
      </c>
      <c r="BX62" s="2340">
        <v>93473.151365875106</v>
      </c>
      <c r="BY62" s="2340">
        <v>93623.690958494786</v>
      </c>
      <c r="BZ62" s="2340">
        <v>93890.550362066395</v>
      </c>
      <c r="CA62" s="2340">
        <v>94095.082854088294</v>
      </c>
      <c r="CB62" s="2340">
        <v>94262.861495544406</v>
      </c>
      <c r="CC62" s="2340">
        <v>94393.368819208408</v>
      </c>
      <c r="CD62" s="2340">
        <v>94529.455991135663</v>
      </c>
      <c r="CE62" s="2340">
        <v>94658.577408779005</v>
      </c>
      <c r="CF62" s="2340">
        <v>94795.072793279061</v>
      </c>
      <c r="CG62" s="2340">
        <v>94939.478345024225</v>
      </c>
      <c r="CH62" s="2340">
        <v>95060.25854281694</v>
      </c>
      <c r="CI62" s="2340">
        <v>95224.97117655263</v>
      </c>
      <c r="CJ62" s="2340">
        <v>95311.001613833578</v>
      </c>
      <c r="CK62" s="2340">
        <v>95435.553321377171</v>
      </c>
      <c r="CL62" s="2340">
        <v>95583.245724876077</v>
      </c>
      <c r="CM62" s="2340">
        <v>95682.667532507403</v>
      </c>
      <c r="CN62" s="2340">
        <v>95814.539380175018</v>
      </c>
      <c r="CO62" s="2340">
        <v>95896.348281654515</v>
      </c>
      <c r="CP62" s="2340">
        <v>96020.045245241054</v>
      </c>
      <c r="CQ62" s="2340">
        <v>96113.997912671926</v>
      </c>
      <c r="CR62" s="2340">
        <v>96202.803866043279</v>
      </c>
      <c r="CS62" s="2340">
        <v>96304.271061531123</v>
      </c>
      <c r="CT62" s="2340">
        <v>96384.57468294361</v>
      </c>
      <c r="CU62" s="2340">
        <v>96458.264097396925</v>
      </c>
      <c r="CV62" s="2340">
        <v>96514.798835613241</v>
      </c>
      <c r="CW62" s="2340">
        <v>96603.785622912226</v>
      </c>
      <c r="CX62" s="2340">
        <v>96680.904254212655</v>
      </c>
      <c r="CY62" s="2340">
        <v>96746.948199423132</v>
      </c>
      <c r="CZ62" s="2340">
        <v>96785.36254518076</v>
      </c>
      <c r="DA62" s="2340">
        <v>96838.707298586552</v>
      </c>
      <c r="DB62" s="2340">
        <v>96905.91271617818</v>
      </c>
      <c r="DC62" s="2340">
        <v>96986.219469401534</v>
      </c>
      <c r="DD62" s="2340">
        <v>97034.168738353779</v>
      </c>
      <c r="DE62" s="2340">
        <v>97099.331461363501</v>
      </c>
      <c r="DF62" s="2340">
        <v>97195.106415197792</v>
      </c>
      <c r="DG62" s="2340">
        <v>97223.211408222924</v>
      </c>
      <c r="DH62" s="2340">
        <v>97288.769698047865</v>
      </c>
      <c r="DI62" s="2340">
        <v>97314.481915528741</v>
      </c>
      <c r="DJ62" s="2340">
        <v>97380.493911050173</v>
      </c>
      <c r="DK62" s="2340">
        <v>97444.066324027561</v>
      </c>
      <c r="DL62" s="2340">
        <v>97488.776283826242</v>
      </c>
      <c r="DM62" s="2340">
        <v>97513.723640089564</v>
      </c>
      <c r="DN62" s="2340">
        <v>97558.655590393013</v>
      </c>
      <c r="DO62" s="2340">
        <v>97616.318857228718</v>
      </c>
      <c r="DP62" s="2340">
        <v>97678.798696976213</v>
      </c>
      <c r="DQ62" s="2340">
        <v>97718.253245167347</v>
      </c>
      <c r="DR62" s="2340">
        <v>97757.608694174865</v>
      </c>
      <c r="DS62" s="2340">
        <v>97807.807981014354</v>
      </c>
      <c r="DT62" s="2340">
        <v>97859.361835963311</v>
      </c>
      <c r="DU62" s="2340">
        <v>97909.604771480648</v>
      </c>
    </row>
    <row r="63" spans="1:125" ht="12.75">
      <c r="A63" s="135">
        <v>61</v>
      </c>
      <c r="W63" s="136">
        <v>72271</v>
      </c>
      <c r="X63" s="136">
        <v>73139</v>
      </c>
      <c r="Y63" s="2340">
        <v>73354.343854254825</v>
      </c>
      <c r="Z63" s="2340">
        <v>75386.842899924741</v>
      </c>
      <c r="AA63" s="2340">
        <v>75914.636973875939</v>
      </c>
      <c r="AB63" s="2340">
        <v>76631.898371282005</v>
      </c>
      <c r="AC63" s="2340">
        <v>77621.921473065668</v>
      </c>
      <c r="AD63" s="2340">
        <v>78467.652649305499</v>
      </c>
      <c r="AE63" s="2340">
        <v>78584.840078327499</v>
      </c>
      <c r="AF63" s="2340">
        <v>79739.066129936939</v>
      </c>
      <c r="AG63" s="2340">
        <v>80356.117415804794</v>
      </c>
      <c r="AH63" s="2340">
        <v>80608.358620330255</v>
      </c>
      <c r="AI63" s="2340">
        <v>81128.90884648377</v>
      </c>
      <c r="AJ63" s="2340">
        <v>82456.770408164841</v>
      </c>
      <c r="AK63" s="2340">
        <v>82652.283728550465</v>
      </c>
      <c r="AL63" s="2340">
        <v>83235.950121285205</v>
      </c>
      <c r="AM63" s="2340">
        <v>83668.043415237058</v>
      </c>
      <c r="AN63" s="2340">
        <v>84319.377595082959</v>
      </c>
      <c r="AO63" s="2340">
        <v>84456.041117700763</v>
      </c>
      <c r="AP63" s="2340">
        <v>84712.204987114063</v>
      </c>
      <c r="AQ63" s="2340">
        <v>84791.811478374439</v>
      </c>
      <c r="AR63" s="2340">
        <v>84865.027942755318</v>
      </c>
      <c r="AS63" s="2340">
        <v>84415.072832291422</v>
      </c>
      <c r="AT63" s="2340">
        <v>83713.29913749898</v>
      </c>
      <c r="AU63" s="2340">
        <v>82788.926083678147</v>
      </c>
      <c r="AV63" s="2340">
        <v>82994.492074582478</v>
      </c>
      <c r="AW63" s="2340">
        <v>83537.457641266737</v>
      </c>
      <c r="AX63" s="2340">
        <v>85377.244385330472</v>
      </c>
      <c r="AY63" s="2340">
        <v>86992.865827129572</v>
      </c>
      <c r="AZ63" s="2340">
        <v>87127.50362117264</v>
      </c>
      <c r="BA63" s="2340">
        <v>87251.054256942662</v>
      </c>
      <c r="BB63" s="2340">
        <v>87860.362737204588</v>
      </c>
      <c r="BC63" s="2340">
        <v>88178.261154717882</v>
      </c>
      <c r="BD63" s="2340">
        <v>88466.95618492963</v>
      </c>
      <c r="BE63" s="2340">
        <v>88573.35535135289</v>
      </c>
      <c r="BF63" s="2340">
        <v>88983.753006098355</v>
      </c>
      <c r="BG63" s="2340">
        <v>89243.298163324856</v>
      </c>
      <c r="BH63" s="2340">
        <v>89579.763771682308</v>
      </c>
      <c r="BI63" s="2340">
        <v>89718.629372671319</v>
      </c>
      <c r="BJ63" s="2340">
        <v>90009.763162236297</v>
      </c>
      <c r="BK63" s="2340">
        <v>90303.518811238799</v>
      </c>
      <c r="BL63" s="2340">
        <v>90766.268304054232</v>
      </c>
      <c r="BM63" s="2340">
        <v>91110.569956956941</v>
      </c>
      <c r="BN63" s="2340">
        <v>91443.541358285453</v>
      </c>
      <c r="BO63" s="2340">
        <v>91641.642266976894</v>
      </c>
      <c r="BP63" s="2340">
        <v>91908.733870503478</v>
      </c>
      <c r="BQ63" s="2340">
        <v>92070.313580484319</v>
      </c>
      <c r="BR63" s="2340">
        <v>92253.552692828118</v>
      </c>
      <c r="BS63" s="2340">
        <v>92335.707683817353</v>
      </c>
      <c r="BT63" s="2340">
        <v>92486.861187749659</v>
      </c>
      <c r="BU63" s="2340">
        <v>92592.350497733554</v>
      </c>
      <c r="BV63" s="2340">
        <v>92763.417082867949</v>
      </c>
      <c r="BW63" s="2340">
        <v>92933.475278730926</v>
      </c>
      <c r="BX63" s="2340">
        <v>93095.584315243337</v>
      </c>
      <c r="BY63" s="2340">
        <v>93252.684634123638</v>
      </c>
      <c r="BZ63" s="2340">
        <v>93525.53949788172</v>
      </c>
      <c r="CA63" s="2340">
        <v>93736.211174737429</v>
      </c>
      <c r="CB63" s="2340">
        <v>93910.164931292718</v>
      </c>
      <c r="CC63" s="2340">
        <v>94046.879024658658</v>
      </c>
      <c r="CD63" s="2340">
        <v>94189.044296269029</v>
      </c>
      <c r="CE63" s="2340">
        <v>94324.162494124626</v>
      </c>
      <c r="CF63" s="2340">
        <v>94466.524071981286</v>
      </c>
      <c r="CG63" s="2340">
        <v>94616.666687516292</v>
      </c>
      <c r="CH63" s="2340">
        <v>94743.163310996169</v>
      </c>
      <c r="CI63" s="2340">
        <v>94913.347876721295</v>
      </c>
      <c r="CJ63" s="2340">
        <v>95005.009342380159</v>
      </c>
      <c r="CK63" s="2340">
        <v>95134.969243804371</v>
      </c>
      <c r="CL63" s="2340">
        <v>95287.903255771103</v>
      </c>
      <c r="CM63" s="2340">
        <v>95392.622285000733</v>
      </c>
      <c r="CN63" s="2340">
        <v>95529.600149629347</v>
      </c>
      <c r="CO63" s="2340">
        <v>95616.571769012706</v>
      </c>
      <c r="CP63" s="2340">
        <v>95745.218217545116</v>
      </c>
      <c r="CQ63" s="2340">
        <v>95844.116777166055</v>
      </c>
      <c r="CR63" s="2340">
        <v>95937.794045451883</v>
      </c>
      <c r="CS63" s="2340">
        <v>96044.010634321065</v>
      </c>
      <c r="CT63" s="2340">
        <v>96129.034926200547</v>
      </c>
      <c r="CU63" s="2340">
        <v>96207.376764064204</v>
      </c>
      <c r="CV63" s="2340">
        <v>96268.523139604134</v>
      </c>
      <c r="CW63" s="2340">
        <v>96361.955641455497</v>
      </c>
      <c r="CX63" s="2340">
        <v>96443.469082322816</v>
      </c>
      <c r="CY63" s="2340">
        <v>96513.854800299479</v>
      </c>
      <c r="CZ63" s="2340">
        <v>96556.59693758034</v>
      </c>
      <c r="DA63" s="2340">
        <v>96614.154543651835</v>
      </c>
      <c r="DB63" s="2340">
        <v>96685.463767350768</v>
      </c>
      <c r="DC63" s="2340">
        <v>96769.770192860262</v>
      </c>
      <c r="DD63" s="2340">
        <v>96821.717557538854</v>
      </c>
      <c r="DE63" s="2340">
        <v>96890.767603714892</v>
      </c>
      <c r="DF63" s="2340">
        <v>96990.294337778018</v>
      </c>
      <c r="DG63" s="2340">
        <v>97022.223709724742</v>
      </c>
      <c r="DH63" s="2340">
        <v>97091.459024994329</v>
      </c>
      <c r="DI63" s="2340">
        <v>97120.860365161061</v>
      </c>
      <c r="DJ63" s="2340">
        <v>97190.413858605883</v>
      </c>
      <c r="DK63" s="2340">
        <v>97257.467749964795</v>
      </c>
      <c r="DL63" s="2340">
        <v>97305.630935435576</v>
      </c>
      <c r="DM63" s="2340">
        <v>97334.004072022042</v>
      </c>
      <c r="DN63" s="2340">
        <v>97382.261600326528</v>
      </c>
      <c r="DO63" s="2340">
        <v>97443.166361623706</v>
      </c>
      <c r="DP63" s="2340">
        <v>97508.819806284155</v>
      </c>
      <c r="DQ63" s="2340">
        <v>97551.429169273659</v>
      </c>
      <c r="DR63" s="2340">
        <v>97593.881072260192</v>
      </c>
      <c r="DS63" s="2340">
        <v>97647.101547904735</v>
      </c>
      <c r="DT63" s="2340">
        <v>97701.618701156083</v>
      </c>
      <c r="DU63" s="2340">
        <v>97754.772410156002</v>
      </c>
    </row>
    <row r="64" spans="1:125" ht="12.75">
      <c r="A64" s="135">
        <v>62</v>
      </c>
      <c r="W64" s="136">
        <v>71602</v>
      </c>
      <c r="X64" s="136">
        <v>72487</v>
      </c>
      <c r="Y64" s="2340">
        <v>72708.880686978067</v>
      </c>
      <c r="Z64" s="2340">
        <v>74725.554974922285</v>
      </c>
      <c r="AA64" s="2340">
        <v>75261.852471667109</v>
      </c>
      <c r="AB64" s="2340">
        <v>75989.040667790061</v>
      </c>
      <c r="AC64" s="2340">
        <v>76994.096531165007</v>
      </c>
      <c r="AD64" s="2340">
        <v>77805.030863847176</v>
      </c>
      <c r="AE64" s="2340">
        <v>77937.816546803297</v>
      </c>
      <c r="AF64" s="2340">
        <v>79102.869804105998</v>
      </c>
      <c r="AG64" s="2340">
        <v>79741.618663102359</v>
      </c>
      <c r="AH64" s="2340">
        <v>79984.918309927758</v>
      </c>
      <c r="AI64" s="2340">
        <v>80515.38776298429</v>
      </c>
      <c r="AJ64" s="2340">
        <v>81850.351947364194</v>
      </c>
      <c r="AK64" s="2340">
        <v>82085.005449944045</v>
      </c>
      <c r="AL64" s="2340">
        <v>82692.476565689984</v>
      </c>
      <c r="AM64" s="2340">
        <v>83147.477593962132</v>
      </c>
      <c r="AN64" s="2340">
        <v>83794.871155676316</v>
      </c>
      <c r="AO64" s="2340">
        <v>83949.314021363476</v>
      </c>
      <c r="AP64" s="2340">
        <v>84216.117421551287</v>
      </c>
      <c r="AQ64" s="2340">
        <v>84303.706873260729</v>
      </c>
      <c r="AR64" s="2340">
        <v>84387.632158190027</v>
      </c>
      <c r="AS64" s="2340">
        <v>83930.993034785177</v>
      </c>
      <c r="AT64" s="2340">
        <v>83211.286309537507</v>
      </c>
      <c r="AU64" s="2340">
        <v>82284.783097225547</v>
      </c>
      <c r="AV64" s="2340">
        <v>82502.754250411454</v>
      </c>
      <c r="AW64" s="2340">
        <v>83052.814407295358</v>
      </c>
      <c r="AX64" s="2340">
        <v>84893.17640367792</v>
      </c>
      <c r="AY64" s="2340">
        <v>86484.957468604611</v>
      </c>
      <c r="AZ64" s="2340">
        <v>86632.331934875649</v>
      </c>
      <c r="BA64" s="2340">
        <v>86757.951340521962</v>
      </c>
      <c r="BB64" s="2340">
        <v>87385.877525108677</v>
      </c>
      <c r="BC64" s="2340">
        <v>87669.20586774293</v>
      </c>
      <c r="BD64" s="2340">
        <v>87957.759889125446</v>
      </c>
      <c r="BE64" s="2340">
        <v>88074.299840746622</v>
      </c>
      <c r="BF64" s="2340">
        <v>88466.714698899668</v>
      </c>
      <c r="BG64" s="2340">
        <v>88741.998156576548</v>
      </c>
      <c r="BH64" s="2340">
        <v>89092.17855707767</v>
      </c>
      <c r="BI64" s="2340">
        <v>89233.308039024894</v>
      </c>
      <c r="BJ64" s="2340">
        <v>89488.28579075016</v>
      </c>
      <c r="BK64" s="2340">
        <v>89796.400582551883</v>
      </c>
      <c r="BL64" s="2340">
        <v>90266.091418531112</v>
      </c>
      <c r="BM64" s="2340">
        <v>90617.892728046194</v>
      </c>
      <c r="BN64" s="2340">
        <v>90958.318387442283</v>
      </c>
      <c r="BO64" s="2340">
        <v>91164.469369782702</v>
      </c>
      <c r="BP64" s="2340">
        <v>91439.127178085429</v>
      </c>
      <c r="BQ64" s="2340">
        <v>91608.686045426948</v>
      </c>
      <c r="BR64" s="2340">
        <v>91799.663573035781</v>
      </c>
      <c r="BS64" s="2340">
        <v>91889.91704573785</v>
      </c>
      <c r="BT64" s="2340">
        <v>92048.69799601179</v>
      </c>
      <c r="BU64" s="2340">
        <v>92161.897685971489</v>
      </c>
      <c r="BV64" s="2340">
        <v>92340.24036355126</v>
      </c>
      <c r="BW64" s="2340">
        <v>92517.457590422418</v>
      </c>
      <c r="BX64" s="2340">
        <v>92686.773301033769</v>
      </c>
      <c r="BY64" s="2340">
        <v>92850.978247071413</v>
      </c>
      <c r="BZ64" s="2340">
        <v>93130.326241748509</v>
      </c>
      <c r="CA64" s="2340">
        <v>93347.647172333222</v>
      </c>
      <c r="CB64" s="2340">
        <v>93528.289551544309</v>
      </c>
      <c r="CC64" s="2340">
        <v>93671.726968016155</v>
      </c>
      <c r="CD64" s="2340">
        <v>93820.476639467932</v>
      </c>
      <c r="CE64" s="2340">
        <v>93962.091548188138</v>
      </c>
      <c r="CF64" s="2340">
        <v>94110.808774747944</v>
      </c>
      <c r="CG64" s="2340">
        <v>94267.167526204954</v>
      </c>
      <c r="CH64" s="2340">
        <v>94399.858205195706</v>
      </c>
      <c r="CI64" s="2340">
        <v>94575.972360858505</v>
      </c>
      <c r="CJ64" s="2340">
        <v>94673.735868716496</v>
      </c>
      <c r="CK64" s="2340">
        <v>94809.556747593684</v>
      </c>
      <c r="CL64" s="2340">
        <v>94968.171551596504</v>
      </c>
      <c r="CM64" s="2340">
        <v>95078.631713872281</v>
      </c>
      <c r="CN64" s="2340">
        <v>95221.143833987298</v>
      </c>
      <c r="CO64" s="2340">
        <v>95313.71117980736</v>
      </c>
      <c r="CP64" s="2340">
        <v>95447.722598036853</v>
      </c>
      <c r="CQ64" s="2340">
        <v>95551.982290197047</v>
      </c>
      <c r="CR64" s="2340">
        <v>95650.939995811059</v>
      </c>
      <c r="CS64" s="2340">
        <v>95762.305065795867</v>
      </c>
      <c r="CT64" s="2340">
        <v>95852.44674750368</v>
      </c>
      <c r="CU64" s="2340">
        <v>95935.832087655508</v>
      </c>
      <c r="CV64" s="2340">
        <v>96001.977785782336</v>
      </c>
      <c r="CW64" s="2340">
        <v>96100.229983511992</v>
      </c>
      <c r="CX64" s="2340">
        <v>96186.507968501784</v>
      </c>
      <c r="CY64" s="2340">
        <v>96261.600759458786</v>
      </c>
      <c r="CZ64" s="2340">
        <v>96309.034751759449</v>
      </c>
      <c r="DA64" s="2340">
        <v>96371.159730789557</v>
      </c>
      <c r="DB64" s="2340">
        <v>96446.918218380815</v>
      </c>
      <c r="DC64" s="2340">
        <v>96535.561111863804</v>
      </c>
      <c r="DD64" s="2340">
        <v>96591.843114324773</v>
      </c>
      <c r="DE64" s="2340">
        <v>96665.107807320062</v>
      </c>
      <c r="DF64" s="2340">
        <v>96768.702397486049</v>
      </c>
      <c r="DG64" s="2340">
        <v>96804.778024302752</v>
      </c>
      <c r="DH64" s="2340">
        <v>96878.000017641039</v>
      </c>
      <c r="DI64" s="2340">
        <v>96911.400959606617</v>
      </c>
      <c r="DJ64" s="2340">
        <v>96984.794185369159</v>
      </c>
      <c r="DK64" s="2340">
        <v>97055.622711464166</v>
      </c>
      <c r="DL64" s="2340">
        <v>97107.529792448506</v>
      </c>
      <c r="DM64" s="2340">
        <v>97139.616952027369</v>
      </c>
      <c r="DN64" s="2340">
        <v>97191.479933074719</v>
      </c>
      <c r="DO64" s="2340">
        <v>97255.899014300507</v>
      </c>
      <c r="DP64" s="2340">
        <v>97324.993162321785</v>
      </c>
      <c r="DQ64" s="2340">
        <v>97371.022710199759</v>
      </c>
      <c r="DR64" s="2340">
        <v>97416.831483290967</v>
      </c>
      <c r="DS64" s="2340">
        <v>97473.327235837307</v>
      </c>
      <c r="DT64" s="2340">
        <v>97531.056862967816</v>
      </c>
      <c r="DU64" s="2340">
        <v>97587.366045580886</v>
      </c>
    </row>
    <row r="65" spans="1:125" ht="12.75">
      <c r="A65" s="135">
        <v>63</v>
      </c>
      <c r="W65" s="136">
        <v>70880</v>
      </c>
      <c r="X65" s="136">
        <v>71772</v>
      </c>
      <c r="Y65" s="2340">
        <v>72016.597264777723</v>
      </c>
      <c r="Z65" s="2340">
        <v>74026.402324887662</v>
      </c>
      <c r="AA65" s="2340">
        <v>74556.447039240753</v>
      </c>
      <c r="AB65" s="2340">
        <v>75302.123385836225</v>
      </c>
      <c r="AC65" s="2340">
        <v>76294.285141928136</v>
      </c>
      <c r="AD65" s="2340">
        <v>77104.762928388824</v>
      </c>
      <c r="AE65" s="2340">
        <v>77257.416419250105</v>
      </c>
      <c r="AF65" s="2340">
        <v>78417.337335514007</v>
      </c>
      <c r="AG65" s="2340">
        <v>79084.288893241319</v>
      </c>
      <c r="AH65" s="2340">
        <v>79333.496050877991</v>
      </c>
      <c r="AI65" s="2340">
        <v>79866.216066608598</v>
      </c>
      <c r="AJ65" s="2340">
        <v>81232.21430033732</v>
      </c>
      <c r="AK65" s="2340">
        <v>81494.231181202034</v>
      </c>
      <c r="AL65" s="2340">
        <v>82116.551236146362</v>
      </c>
      <c r="AM65" s="2340">
        <v>82591.426871502568</v>
      </c>
      <c r="AN65" s="2340">
        <v>83246.406428701172</v>
      </c>
      <c r="AO65" s="2340">
        <v>83424.442398920975</v>
      </c>
      <c r="AP65" s="2340">
        <v>83669.577199957319</v>
      </c>
      <c r="AQ65" s="2340">
        <v>83784.528295709111</v>
      </c>
      <c r="AR65" s="2340">
        <v>83860.82797624651</v>
      </c>
      <c r="AS65" s="2340">
        <v>83406.951900958258</v>
      </c>
      <c r="AT65" s="2340">
        <v>82703.131912167635</v>
      </c>
      <c r="AU65" s="2340">
        <v>81763.881517757138</v>
      </c>
      <c r="AV65" s="2340">
        <v>81959.309262041657</v>
      </c>
      <c r="AW65" s="2340">
        <v>82538.052584198216</v>
      </c>
      <c r="AX65" s="2340">
        <v>84354.650282612609</v>
      </c>
      <c r="AY65" s="2340">
        <v>85963.963239910096</v>
      </c>
      <c r="AZ65" s="2340">
        <v>86077.555923342225</v>
      </c>
      <c r="BA65" s="2340">
        <v>86249.496426521277</v>
      </c>
      <c r="BB65" s="2340">
        <v>86855.066341258163</v>
      </c>
      <c r="BC65" s="2340">
        <v>87123.900111314593</v>
      </c>
      <c r="BD65" s="2340">
        <v>87435.800707799193</v>
      </c>
      <c r="BE65" s="2340">
        <v>87522.892303992659</v>
      </c>
      <c r="BF65" s="2340">
        <v>87926.14853995273</v>
      </c>
      <c r="BG65" s="2340">
        <v>88199.731560934786</v>
      </c>
      <c r="BH65" s="2340">
        <v>88551.84568177085</v>
      </c>
      <c r="BI65" s="2340">
        <v>88678.342200932486</v>
      </c>
      <c r="BJ65" s="2340">
        <v>88931.411989244414</v>
      </c>
      <c r="BK65" s="2340">
        <v>89248.1461964029</v>
      </c>
      <c r="BL65" s="2340">
        <v>89725.361484489054</v>
      </c>
      <c r="BM65" s="2340">
        <v>90085.291306082974</v>
      </c>
      <c r="BN65" s="2340">
        <v>90433.796791480316</v>
      </c>
      <c r="BO65" s="2340">
        <v>90648.671970313677</v>
      </c>
      <c r="BP65" s="2340">
        <v>90931.531167626919</v>
      </c>
      <c r="BQ65" s="2340">
        <v>91109.737948414273</v>
      </c>
      <c r="BR65" s="2340">
        <v>91309.103277831979</v>
      </c>
      <c r="BS65" s="2340">
        <v>91408.133733809402</v>
      </c>
      <c r="BT65" s="2340">
        <v>91575.182570265315</v>
      </c>
      <c r="BU65" s="2340">
        <v>91696.739702907857</v>
      </c>
      <c r="BV65" s="2340">
        <v>91882.970416692129</v>
      </c>
      <c r="BW65" s="2340">
        <v>92068.070353762771</v>
      </c>
      <c r="BX65" s="2340">
        <v>92245.172154191809</v>
      </c>
      <c r="BY65" s="2340">
        <v>92417.053620606166</v>
      </c>
      <c r="BZ65" s="2340">
        <v>92703.418211284545</v>
      </c>
      <c r="CA65" s="2340">
        <v>92927.92495224232</v>
      </c>
      <c r="CB65" s="2340">
        <v>93115.79619085486</v>
      </c>
      <c r="CC65" s="2340">
        <v>93266.500426342565</v>
      </c>
      <c r="CD65" s="2340">
        <v>93422.367290504495</v>
      </c>
      <c r="CE65" s="2340">
        <v>93571.005068460319</v>
      </c>
      <c r="CF65" s="2340">
        <v>93726.593153802751</v>
      </c>
      <c r="CG65" s="2340">
        <v>93889.672394292589</v>
      </c>
      <c r="CH65" s="2340">
        <v>94029.059998683864</v>
      </c>
      <c r="CI65" s="2340">
        <v>94211.585689063635</v>
      </c>
      <c r="CJ65" s="2340">
        <v>94315.94721124068</v>
      </c>
      <c r="CK65" s="2340">
        <v>94458.10593225417</v>
      </c>
      <c r="CL65" s="2340">
        <v>94622.864139341415</v>
      </c>
      <c r="CM65" s="2340">
        <v>94739.533007593083</v>
      </c>
      <c r="CN65" s="2340">
        <v>94888.030521433277</v>
      </c>
      <c r="CO65" s="2340">
        <v>94986.649727978525</v>
      </c>
      <c r="CP65" s="2340">
        <v>95126.46386938759</v>
      </c>
      <c r="CQ65" s="2340">
        <v>95236.522178735322</v>
      </c>
      <c r="CR65" s="2340">
        <v>95341.191376694245</v>
      </c>
      <c r="CS65" s="2340">
        <v>95458.125445629878</v>
      </c>
      <c r="CT65" s="2340">
        <v>95553.80252971442</v>
      </c>
      <c r="CU65" s="2340">
        <v>95642.643447359747</v>
      </c>
      <c r="CV65" s="2340">
        <v>95714.196957448439</v>
      </c>
      <c r="CW65" s="2340">
        <v>95817.662951195118</v>
      </c>
      <c r="CX65" s="2340">
        <v>95909.095097586935</v>
      </c>
      <c r="CY65" s="2340">
        <v>95989.279897183587</v>
      </c>
      <c r="CZ65" s="2340">
        <v>96041.789344903853</v>
      </c>
      <c r="DA65" s="2340">
        <v>96108.855261619348</v>
      </c>
      <c r="DB65" s="2340">
        <v>96189.427045551187</v>
      </c>
      <c r="DC65" s="2340">
        <v>96282.761326497159</v>
      </c>
      <c r="DD65" s="2340">
        <v>96343.732574233247</v>
      </c>
      <c r="DE65" s="2340">
        <v>96421.556824757878</v>
      </c>
      <c r="DF65" s="2340">
        <v>96529.552362235176</v>
      </c>
      <c r="DG65" s="2340">
        <v>96570.113353577748</v>
      </c>
      <c r="DH65" s="2340">
        <v>96647.648293632141</v>
      </c>
      <c r="DI65" s="2340">
        <v>96685.375917071346</v>
      </c>
      <c r="DJ65" s="2340">
        <v>96762.923092948302</v>
      </c>
      <c r="DK65" s="2340">
        <v>96837.835106497383</v>
      </c>
      <c r="DL65" s="2340">
        <v>96893.792279970279</v>
      </c>
      <c r="DM65" s="2340">
        <v>96929.89706461149</v>
      </c>
      <c r="DN65" s="2340">
        <v>96985.660295160313</v>
      </c>
      <c r="DO65" s="2340">
        <v>97053.881067541268</v>
      </c>
      <c r="DP65" s="2340">
        <v>97126.69724746891</v>
      </c>
      <c r="DQ65" s="2340">
        <v>97176.426444325727</v>
      </c>
      <c r="DR65" s="2340">
        <v>97225.86631671642</v>
      </c>
      <c r="DS65" s="2340">
        <v>97285.904905946678</v>
      </c>
      <c r="DT65" s="2340">
        <v>97347.109376767708</v>
      </c>
      <c r="DU65" s="2340">
        <v>97406.831669886727</v>
      </c>
    </row>
    <row r="66" spans="1:125" ht="12.75">
      <c r="A66" s="135">
        <v>64</v>
      </c>
      <c r="W66" s="136">
        <v>70113</v>
      </c>
      <c r="X66" s="136">
        <v>71008</v>
      </c>
      <c r="Y66" s="2340">
        <v>71256.86054263993</v>
      </c>
      <c r="Z66" s="2340">
        <v>73276.481303465916</v>
      </c>
      <c r="AA66" s="2340">
        <v>73831.16825971748</v>
      </c>
      <c r="AB66" s="2340">
        <v>74550.911950463094</v>
      </c>
      <c r="AC66" s="2340">
        <v>75556.068909793699</v>
      </c>
      <c r="AD66" s="2340">
        <v>76352.814474855099</v>
      </c>
      <c r="AE66" s="2340">
        <v>76538.589239500376</v>
      </c>
      <c r="AF66" s="2340">
        <v>77687.598999245674</v>
      </c>
      <c r="AG66" s="2340">
        <v>78383.530880875696</v>
      </c>
      <c r="AH66" s="2340">
        <v>78629.304495597447</v>
      </c>
      <c r="AI66" s="2340">
        <v>79198.405119458665</v>
      </c>
      <c r="AJ66" s="2340">
        <v>80563.941283399021</v>
      </c>
      <c r="AK66" s="2340">
        <v>80865.474442084946</v>
      </c>
      <c r="AL66" s="2340">
        <v>81503.811381734689</v>
      </c>
      <c r="AM66" s="2340">
        <v>82015.792391575204</v>
      </c>
      <c r="AN66" s="2340">
        <v>82657.264347853677</v>
      </c>
      <c r="AO66" s="2340">
        <v>82847.320577405029</v>
      </c>
      <c r="AP66" s="2340">
        <v>83112.556911798718</v>
      </c>
      <c r="AQ66" s="2340">
        <v>83224.960236390441</v>
      </c>
      <c r="AR66" s="2340">
        <v>83319.120864817363</v>
      </c>
      <c r="AS66" s="2340">
        <v>82861.821100998495</v>
      </c>
      <c r="AT66" s="2340">
        <v>82144.49663329027</v>
      </c>
      <c r="AU66" s="2340">
        <v>81196.391321008065</v>
      </c>
      <c r="AV66" s="2340">
        <v>81400.423281434705</v>
      </c>
      <c r="AW66" s="2340">
        <v>81974.233795124572</v>
      </c>
      <c r="AX66" s="2340">
        <v>83771.829991627965</v>
      </c>
      <c r="AY66" s="2340">
        <v>85380.415699448204</v>
      </c>
      <c r="AZ66" s="2340">
        <v>85521.822599254563</v>
      </c>
      <c r="BA66" s="2340">
        <v>85674.687969937921</v>
      </c>
      <c r="BB66" s="2340">
        <v>86273.725723474607</v>
      </c>
      <c r="BC66" s="2340">
        <v>86547.971184659851</v>
      </c>
      <c r="BD66" s="2340">
        <v>86833.709227845946</v>
      </c>
      <c r="BE66" s="2340">
        <v>86936.065034872212</v>
      </c>
      <c r="BF66" s="2340">
        <v>87341.419454368472</v>
      </c>
      <c r="BG66" s="2340">
        <v>87599.5154597535</v>
      </c>
      <c r="BH66" s="2340">
        <v>87942.716525019059</v>
      </c>
      <c r="BI66" s="2340">
        <v>88068.43105243583</v>
      </c>
      <c r="BJ66" s="2340">
        <v>88331.385213453919</v>
      </c>
      <c r="BK66" s="2340">
        <v>88657.427000288924</v>
      </c>
      <c r="BL66" s="2340">
        <v>89142.770803364692</v>
      </c>
      <c r="BM66" s="2340">
        <v>89511.480607939986</v>
      </c>
      <c r="BN66" s="2340">
        <v>89868.714164660196</v>
      </c>
      <c r="BO66" s="2340">
        <v>90093.012048585239</v>
      </c>
      <c r="BP66" s="2340">
        <v>90384.731088879969</v>
      </c>
      <c r="BQ66" s="2340">
        <v>90572.278999178176</v>
      </c>
      <c r="BR66" s="2340">
        <v>90780.705459527278</v>
      </c>
      <c r="BS66" s="2340">
        <v>90889.216353358672</v>
      </c>
      <c r="BT66" s="2340">
        <v>91065.197332529875</v>
      </c>
      <c r="BU66" s="2340">
        <v>91195.783056213942</v>
      </c>
      <c r="BV66" s="2340">
        <v>91390.640694057554</v>
      </c>
      <c r="BW66" s="2340">
        <v>91584.226922014132</v>
      </c>
      <c r="BX66" s="2340">
        <v>91769.711881930925</v>
      </c>
      <c r="BY66" s="2340">
        <v>91949.859372138104</v>
      </c>
      <c r="BZ66" s="2340">
        <v>92243.780242032502</v>
      </c>
      <c r="CA66" s="2340">
        <v>92476.026172156257</v>
      </c>
      <c r="CB66" s="2340">
        <v>92671.683615694288</v>
      </c>
      <c r="CC66" s="2340">
        <v>92830.215537650656</v>
      </c>
      <c r="CD66" s="2340">
        <v>92993.749554869602</v>
      </c>
      <c r="CE66" s="2340">
        <v>93149.953447036271</v>
      </c>
      <c r="CF66" s="2340">
        <v>93312.944456354177</v>
      </c>
      <c r="CG66" s="2340">
        <v>93483.265156619556</v>
      </c>
      <c r="CH66" s="2340">
        <v>93629.869234638958</v>
      </c>
      <c r="CI66" s="2340">
        <v>93819.304499399324</v>
      </c>
      <c r="CJ66" s="2340">
        <v>93930.776654798232</v>
      </c>
      <c r="CK66" s="2340">
        <v>94079.766190321941</v>
      </c>
      <c r="CL66" s="2340">
        <v>94251.146132262467</v>
      </c>
      <c r="CM66" s="2340">
        <v>94374.507233801851</v>
      </c>
      <c r="CN66" s="2340">
        <v>94529.456763031296</v>
      </c>
      <c r="CO66" s="2340">
        <v>94634.599669520903</v>
      </c>
      <c r="CP66" s="2340">
        <v>94780.669446939966</v>
      </c>
      <c r="CQ66" s="2340">
        <v>94896.979055910444</v>
      </c>
      <c r="CR66" s="2340">
        <v>95007.805831692138</v>
      </c>
      <c r="CS66" s="2340">
        <v>95130.744142608659</v>
      </c>
      <c r="CT66" s="2340">
        <v>95232.389317130102</v>
      </c>
      <c r="CU66" s="2340">
        <v>95327.112397521254</v>
      </c>
      <c r="CV66" s="2340">
        <v>95404.496625021857</v>
      </c>
      <c r="CW66" s="2340">
        <v>95513.584485245417</v>
      </c>
      <c r="CX66" s="2340">
        <v>95610.574250565769</v>
      </c>
      <c r="CY66" s="2340">
        <v>95696.249694469472</v>
      </c>
      <c r="CZ66" s="2340">
        <v>95754.231861122433</v>
      </c>
      <c r="DA66" s="2340">
        <v>95826.625625023313</v>
      </c>
      <c r="DB66" s="2340">
        <v>95912.387778178498</v>
      </c>
      <c r="DC66" s="2340">
        <v>96010.781113616671</v>
      </c>
      <c r="DD66" s="2340">
        <v>96076.808945520839</v>
      </c>
      <c r="DE66" s="2340">
        <v>96159.550079711044</v>
      </c>
      <c r="DF66" s="2340">
        <v>96272.291687202873</v>
      </c>
      <c r="DG66" s="2340">
        <v>96317.68935969843</v>
      </c>
      <c r="DH66" s="2340">
        <v>96399.875302477609</v>
      </c>
      <c r="DI66" s="2340">
        <v>96442.268481001389</v>
      </c>
      <c r="DJ66" s="2340">
        <v>96524.295196726147</v>
      </c>
      <c r="DK66" s="2340">
        <v>96603.610733522481</v>
      </c>
      <c r="DL66" s="2340">
        <v>96663.935273102354</v>
      </c>
      <c r="DM66" s="2340">
        <v>96704.372254977381</v>
      </c>
      <c r="DN66" s="2340">
        <v>96764.341202858704</v>
      </c>
      <c r="DO66" s="2340">
        <v>96836.661452067201</v>
      </c>
      <c r="DP66" s="2340">
        <v>96913.491192328685</v>
      </c>
      <c r="DQ66" s="2340">
        <v>96967.209614024949</v>
      </c>
      <c r="DR66" s="2340">
        <v>97020.564734947577</v>
      </c>
      <c r="DS66" s="2340">
        <v>97084.423405297886</v>
      </c>
      <c r="DT66" s="2340">
        <v>97149.374583474899</v>
      </c>
      <c r="DU66" s="2340">
        <v>97212.776940489697</v>
      </c>
    </row>
    <row r="67" spans="1:125" ht="12.75">
      <c r="A67" s="135">
        <v>65</v>
      </c>
      <c r="W67" s="136">
        <v>69287</v>
      </c>
      <c r="X67" s="136">
        <v>70202</v>
      </c>
      <c r="Y67" s="2340">
        <v>70448.713122179441</v>
      </c>
      <c r="Z67" s="2340">
        <v>72499.97611421498</v>
      </c>
      <c r="AA67" s="2340">
        <v>73020.990924565427</v>
      </c>
      <c r="AB67" s="2340">
        <v>73739.262017187517</v>
      </c>
      <c r="AC67" s="2340">
        <v>74760.129641690248</v>
      </c>
      <c r="AD67" s="2340">
        <v>75563.512709327129</v>
      </c>
      <c r="AE67" s="2340">
        <v>75767.891994991194</v>
      </c>
      <c r="AF67" s="2340">
        <v>76927.093207955404</v>
      </c>
      <c r="AG67" s="2340">
        <v>77614.747637290304</v>
      </c>
      <c r="AH67" s="2340">
        <v>77900.865104235709</v>
      </c>
      <c r="AI67" s="2340">
        <v>78479.884367401057</v>
      </c>
      <c r="AJ67" s="2340">
        <v>79878.840369060752</v>
      </c>
      <c r="AK67" s="2340">
        <v>80178.728934573199</v>
      </c>
      <c r="AL67" s="2340">
        <v>80857.352548289346</v>
      </c>
      <c r="AM67" s="2340">
        <v>81389.825587387008</v>
      </c>
      <c r="AN67" s="2340">
        <v>82035.766621702496</v>
      </c>
      <c r="AO67" s="2340">
        <v>82255.17485526581</v>
      </c>
      <c r="AP67" s="2340">
        <v>82530.76254903432</v>
      </c>
      <c r="AQ67" s="2340">
        <v>82651.684694429292</v>
      </c>
      <c r="AR67" s="2340">
        <v>82740.678534688166</v>
      </c>
      <c r="AS67" s="2340">
        <v>82285.095811582665</v>
      </c>
      <c r="AT67" s="2340">
        <v>81540.361194985933</v>
      </c>
      <c r="AU67" s="2340">
        <v>80586.941387644139</v>
      </c>
      <c r="AV67" s="2340">
        <v>80783.887391305558</v>
      </c>
      <c r="AW67" s="2340">
        <v>81381.030086606508</v>
      </c>
      <c r="AX67" s="2340">
        <v>83124.834389446201</v>
      </c>
      <c r="AY67" s="2340">
        <v>84767.86913308251</v>
      </c>
      <c r="AZ67" s="2340">
        <v>84893.613937420974</v>
      </c>
      <c r="BA67" s="2340">
        <v>85048.71387161754</v>
      </c>
      <c r="BB67" s="2340">
        <v>85643.933664608543</v>
      </c>
      <c r="BC67" s="2340">
        <v>85897.764651944643</v>
      </c>
      <c r="BD67" s="2340">
        <v>86190.45702970351</v>
      </c>
      <c r="BE67" s="2340">
        <v>86314.293871040907</v>
      </c>
      <c r="BF67" s="2340">
        <v>86683.695444903278</v>
      </c>
      <c r="BG67" s="2340">
        <v>86914.736073223132</v>
      </c>
      <c r="BH67" s="2340">
        <v>87276.572437790557</v>
      </c>
      <c r="BI67" s="2340">
        <v>87414.115972285173</v>
      </c>
      <c r="BJ67" s="2340">
        <v>87687.69029452969</v>
      </c>
      <c r="BK67" s="2340">
        <v>88023.734550598587</v>
      </c>
      <c r="BL67" s="2340">
        <v>88517.81701051812</v>
      </c>
      <c r="BM67" s="2340">
        <v>88895.96525577741</v>
      </c>
      <c r="BN67" s="2340">
        <v>89262.582396985075</v>
      </c>
      <c r="BO67" s="2340">
        <v>89497.009667612874</v>
      </c>
      <c r="BP67" s="2340">
        <v>89798.254976329539</v>
      </c>
      <c r="BQ67" s="2340">
        <v>89995.845883415022</v>
      </c>
      <c r="BR67" s="2340">
        <v>90214.015458114431</v>
      </c>
      <c r="BS67" s="2340">
        <v>90332.719484241155</v>
      </c>
      <c r="BT67" s="2340">
        <v>90518.305838156608</v>
      </c>
      <c r="BU67" s="2340">
        <v>90658.680040897598</v>
      </c>
      <c r="BV67" s="2340">
        <v>90862.780815511316</v>
      </c>
      <c r="BW67" s="2340">
        <v>91065.460672935253</v>
      </c>
      <c r="BX67" s="2340">
        <v>91259.929883679157</v>
      </c>
      <c r="BY67" s="2340">
        <v>91448.937154866042</v>
      </c>
      <c r="BZ67" s="2340">
        <v>91750.957869501697</v>
      </c>
      <c r="CA67" s="2340">
        <v>91991.500737642113</v>
      </c>
      <c r="CB67" s="2340">
        <v>92195.506443714214</v>
      </c>
      <c r="CC67" s="2340">
        <v>92362.431955924752</v>
      </c>
      <c r="CD67" s="2340">
        <v>92534.188229920532</v>
      </c>
      <c r="CE67" s="2340">
        <v>92698.506777121889</v>
      </c>
      <c r="CF67" s="2340">
        <v>92869.438146448825</v>
      </c>
      <c r="CG67" s="2340">
        <v>93047.526710750928</v>
      </c>
      <c r="CH67" s="2340">
        <v>93201.872434755234</v>
      </c>
      <c r="CI67" s="2340">
        <v>93398.720824021191</v>
      </c>
      <c r="CJ67" s="2340">
        <v>93517.822144532591</v>
      </c>
      <c r="CK67" s="2340">
        <v>93674.14127101026</v>
      </c>
      <c r="CL67" s="2340">
        <v>93852.627036500737</v>
      </c>
      <c r="CM67" s="2340">
        <v>93983.16989178145</v>
      </c>
      <c r="CN67" s="2340">
        <v>94145.043950952677</v>
      </c>
      <c r="CO67" s="2340">
        <v>94257.188508898806</v>
      </c>
      <c r="CP67" s="2340">
        <v>94409.972798809642</v>
      </c>
      <c r="CQ67" s="2340">
        <v>94532.992475341569</v>
      </c>
      <c r="CR67" s="2340">
        <v>94650.429019011659</v>
      </c>
      <c r="CS67" s="2340">
        <v>94779.812867356755</v>
      </c>
      <c r="CT67" s="2340">
        <v>94887.864937761769</v>
      </c>
      <c r="CU67" s="2340">
        <v>94988.902888473589</v>
      </c>
      <c r="CV67" s="2340">
        <v>95072.546896013955</v>
      </c>
      <c r="CW67" s="2340">
        <v>95187.67071104054</v>
      </c>
      <c r="CX67" s="2340">
        <v>95290.627579236781</v>
      </c>
      <c r="CY67" s="2340">
        <v>95382.19832930289</v>
      </c>
      <c r="CZ67" s="2340">
        <v>95446.056550878828</v>
      </c>
      <c r="DA67" s="2340">
        <v>95524.171049846918</v>
      </c>
      <c r="DB67" s="2340">
        <v>95615.506532372659</v>
      </c>
      <c r="DC67" s="2340">
        <v>95719.332387450151</v>
      </c>
      <c r="DD67" s="2340">
        <v>95790.7899833587</v>
      </c>
      <c r="DE67" s="2340">
        <v>95878.811061539949</v>
      </c>
      <c r="DF67" s="2340">
        <v>95996.649452723723</v>
      </c>
      <c r="DG67" s="2340">
        <v>96047.240842250976</v>
      </c>
      <c r="DH67" s="2340">
        <v>96134.421396818128</v>
      </c>
      <c r="DI67" s="2340">
        <v>96181.824597594794</v>
      </c>
      <c r="DJ67" s="2340">
        <v>96268.661863908506</v>
      </c>
      <c r="DK67" s="2340">
        <v>96352.706320444413</v>
      </c>
      <c r="DL67" s="2340">
        <v>96417.720838557201</v>
      </c>
      <c r="DM67" s="2340">
        <v>96462.809904670343</v>
      </c>
      <c r="DN67" s="2340">
        <v>96527.295231760829</v>
      </c>
      <c r="DO67" s="2340">
        <v>96604.017835696824</v>
      </c>
      <c r="DP67" s="2340">
        <v>96685.157674062997</v>
      </c>
      <c r="DQ67" s="2340">
        <v>96743.15988355923</v>
      </c>
      <c r="DR67" s="2340">
        <v>96800.719314412156</v>
      </c>
      <c r="DS67" s="2340">
        <v>96868.680124509323</v>
      </c>
      <c r="DT67" s="2340">
        <v>96937.654610457656</v>
      </c>
      <c r="DU67" s="2340">
        <v>97005.008649324358</v>
      </c>
    </row>
    <row r="68" spans="1:125" ht="12.75">
      <c r="A68" s="135">
        <v>66</v>
      </c>
      <c r="W68" s="136">
        <v>68389</v>
      </c>
      <c r="X68" s="136">
        <v>69330</v>
      </c>
      <c r="Y68" s="2340">
        <v>69601.56618449252</v>
      </c>
      <c r="Z68" s="2340">
        <v>71616.321158282241</v>
      </c>
      <c r="AA68" s="2340">
        <v>72140.564197556741</v>
      </c>
      <c r="AB68" s="2340">
        <v>72891.668515783662</v>
      </c>
      <c r="AC68" s="2340">
        <v>73924.500188396953</v>
      </c>
      <c r="AD68" s="2340">
        <v>74723.042118171463</v>
      </c>
      <c r="AE68" s="2340">
        <v>74950.165304083799</v>
      </c>
      <c r="AF68" s="2340">
        <v>76087.76010959642</v>
      </c>
      <c r="AG68" s="2340">
        <v>76805.95717906575</v>
      </c>
      <c r="AH68" s="2340">
        <v>77140.872907905607</v>
      </c>
      <c r="AI68" s="2340">
        <v>77713.169248995953</v>
      </c>
      <c r="AJ68" s="2340">
        <v>79138.522829729322</v>
      </c>
      <c r="AK68" s="2340">
        <v>79477.416951194798</v>
      </c>
      <c r="AL68" s="2340">
        <v>80160.246740673625</v>
      </c>
      <c r="AM68" s="2340">
        <v>80698.908664289818</v>
      </c>
      <c r="AN68" s="2340">
        <v>81381.179295286915</v>
      </c>
      <c r="AO68" s="2340">
        <v>81625.280303282154</v>
      </c>
      <c r="AP68" s="2340">
        <v>81921.50790927872</v>
      </c>
      <c r="AQ68" s="2340">
        <v>82020.64480045138</v>
      </c>
      <c r="AR68" s="2340">
        <v>82123.816033528041</v>
      </c>
      <c r="AS68" s="2340">
        <v>81626.05756559658</v>
      </c>
      <c r="AT68" s="2340">
        <v>80911.068155078989</v>
      </c>
      <c r="AU68" s="2340">
        <v>79953.842983086826</v>
      </c>
      <c r="AV68" s="2340">
        <v>80127.78270263187</v>
      </c>
      <c r="AW68" s="2340">
        <v>80727.999838558811</v>
      </c>
      <c r="AX68" s="2340">
        <v>82463.248693721864</v>
      </c>
      <c r="AY68" s="2340">
        <v>84081.73525531929</v>
      </c>
      <c r="AZ68" s="2340">
        <v>84217.351332451188</v>
      </c>
      <c r="BA68" s="2340">
        <v>84379.15907528167</v>
      </c>
      <c r="BB68" s="2340">
        <v>84961.196370105376</v>
      </c>
      <c r="BC68" s="2340">
        <v>85219.442029516125</v>
      </c>
      <c r="BD68" s="2340">
        <v>85490.825863670965</v>
      </c>
      <c r="BE68" s="2340">
        <v>85623.332181111706</v>
      </c>
      <c r="BF68" s="2340">
        <v>85944.018238357006</v>
      </c>
      <c r="BG68" s="2340">
        <v>86192.84813687313</v>
      </c>
      <c r="BH68" s="2340">
        <v>86565.678482408053</v>
      </c>
      <c r="BI68" s="2340">
        <v>86715.852248595911</v>
      </c>
      <c r="BJ68" s="2340">
        <v>87000.768474526398</v>
      </c>
      <c r="BK68" s="2340">
        <v>87347.49706343624</v>
      </c>
      <c r="BL68" s="2340">
        <v>87850.91670291005</v>
      </c>
      <c r="BM68" s="2340">
        <v>88239.150284297808</v>
      </c>
      <c r="BN68" s="2340">
        <v>88615.795502567838</v>
      </c>
      <c r="BO68" s="2340">
        <v>88861.047823683213</v>
      </c>
      <c r="BP68" s="2340">
        <v>89172.475661641758</v>
      </c>
      <c r="BQ68" s="2340">
        <v>89380.801381940299</v>
      </c>
      <c r="BR68" s="2340">
        <v>89609.386613925337</v>
      </c>
      <c r="BS68" s="2340">
        <v>89738.987146424261</v>
      </c>
      <c r="BT68" s="2340">
        <v>89934.890972989757</v>
      </c>
      <c r="BU68" s="2340">
        <v>90085.691521836416</v>
      </c>
      <c r="BV68" s="2340">
        <v>90299.638700542593</v>
      </c>
      <c r="BW68" s="2340">
        <v>90512.00718680484</v>
      </c>
      <c r="BX68" s="2340">
        <v>90716.049964702921</v>
      </c>
      <c r="BY68" s="2340">
        <v>90914.499547865867</v>
      </c>
      <c r="BZ68" s="2340">
        <v>91225.153234315047</v>
      </c>
      <c r="CA68" s="2340">
        <v>91474.540711965557</v>
      </c>
      <c r="CB68" s="2340">
        <v>91687.447071114642</v>
      </c>
      <c r="CC68" s="2340">
        <v>91863.322810367958</v>
      </c>
      <c r="CD68" s="2340">
        <v>92043.847642956549</v>
      </c>
      <c r="CE68" s="2340">
        <v>92216.821007086764</v>
      </c>
      <c r="CF68" s="2340">
        <v>92396.222221633201</v>
      </c>
      <c r="CG68" s="2340">
        <v>92582.597512109292</v>
      </c>
      <c r="CH68" s="2340">
        <v>92745.202857421886</v>
      </c>
      <c r="CI68" s="2340">
        <v>92949.961147564201</v>
      </c>
      <c r="CJ68" s="2340">
        <v>93077.203634737773</v>
      </c>
      <c r="CK68" s="2340">
        <v>93241.344981829447</v>
      </c>
      <c r="CL68" s="2340">
        <v>93427.41485630341</v>
      </c>
      <c r="CM68" s="2340">
        <v>93565.623431058368</v>
      </c>
      <c r="CN68" s="2340">
        <v>93734.889304972967</v>
      </c>
      <c r="CO68" s="2340">
        <v>93854.508463118007</v>
      </c>
      <c r="CP68" s="2340">
        <v>94014.461444920205</v>
      </c>
      <c r="CQ68" s="2340">
        <v>94144.645485176647</v>
      </c>
      <c r="CR68" s="2340">
        <v>94269.139752809511</v>
      </c>
      <c r="CS68" s="2340">
        <v>94405.406440905543</v>
      </c>
      <c r="CT68" s="2340">
        <v>94520.300422974004</v>
      </c>
      <c r="CU68" s="2340">
        <v>94628.082367530413</v>
      </c>
      <c r="CV68" s="2340">
        <v>94718.411822909315</v>
      </c>
      <c r="CW68" s="2340">
        <v>94839.982498730227</v>
      </c>
      <c r="CX68" s="2340">
        <v>94949.312944913734</v>
      </c>
      <c r="CY68" s="2340">
        <v>95047.180820367823</v>
      </c>
      <c r="CZ68" s="2340">
        <v>95117.315739929269</v>
      </c>
      <c r="DA68" s="2340">
        <v>95201.541334523616</v>
      </c>
      <c r="DB68" s="2340">
        <v>95298.830735271142</v>
      </c>
      <c r="DC68" s="2340">
        <v>95408.460351018803</v>
      </c>
      <c r="DD68" s="2340">
        <v>95485.718785649049</v>
      </c>
      <c r="DE68" s="2340">
        <v>95579.380898259187</v>
      </c>
      <c r="DF68" s="2340">
        <v>95702.66494999078</v>
      </c>
      <c r="DG68" s="2340">
        <v>95758.805342833424</v>
      </c>
      <c r="DH68" s="2340">
        <v>95851.322492295556</v>
      </c>
      <c r="DI68" s="2340">
        <v>95904.078645283342</v>
      </c>
      <c r="DJ68" s="2340">
        <v>95996.056047943726</v>
      </c>
      <c r="DK68" s="2340">
        <v>96085.153487117466</v>
      </c>
      <c r="DL68" s="2340">
        <v>96155.179344031611</v>
      </c>
      <c r="DM68" s="2340">
        <v>96205.239206371145</v>
      </c>
      <c r="DN68" s="2340">
        <v>96274.550484252395</v>
      </c>
      <c r="DO68" s="2340">
        <v>96355.977308222195</v>
      </c>
      <c r="DP68" s="2340">
        <v>96441.722840953385</v>
      </c>
      <c r="DQ68" s="2340">
        <v>96504.30251954768</v>
      </c>
      <c r="DR68" s="2340">
        <v>96566.35450252358</v>
      </c>
      <c r="DS68" s="2340">
        <v>96638.698753320845</v>
      </c>
      <c r="DT68" s="2340">
        <v>96711.972445441599</v>
      </c>
      <c r="DU68" s="2340">
        <v>96783.549133901164</v>
      </c>
    </row>
    <row r="69" spans="1:125" ht="12.75">
      <c r="A69" s="135">
        <v>67</v>
      </c>
      <c r="W69" s="136">
        <v>67452</v>
      </c>
      <c r="X69" s="136">
        <v>68402</v>
      </c>
      <c r="Y69" s="2340">
        <v>68675.654696297366</v>
      </c>
      <c r="Z69" s="2340">
        <v>70672.772564143059</v>
      </c>
      <c r="AA69" s="2340">
        <v>71210.455930473778</v>
      </c>
      <c r="AB69" s="2340">
        <v>71988.205666126829</v>
      </c>
      <c r="AC69" s="2340">
        <v>73040.718361671257</v>
      </c>
      <c r="AD69" s="2340">
        <v>73827.398162050609</v>
      </c>
      <c r="AE69" s="2340">
        <v>74052.983022672517</v>
      </c>
      <c r="AF69" s="2340">
        <v>75245.561888712298</v>
      </c>
      <c r="AG69" s="2340">
        <v>75954.028777735832</v>
      </c>
      <c r="AH69" s="2340">
        <v>76297.698495227</v>
      </c>
      <c r="AI69" s="2340">
        <v>76913.8685388171</v>
      </c>
      <c r="AJ69" s="2340">
        <v>78372.236485215151</v>
      </c>
      <c r="AK69" s="2340">
        <v>78687.625223857787</v>
      </c>
      <c r="AL69" s="2340">
        <v>79412.97745052501</v>
      </c>
      <c r="AM69" s="2340">
        <v>79988.610527233934</v>
      </c>
      <c r="AN69" s="2340">
        <v>80685.992056652947</v>
      </c>
      <c r="AO69" s="2340">
        <v>80952.92707659227</v>
      </c>
      <c r="AP69" s="2340">
        <v>81259.762383289315</v>
      </c>
      <c r="AQ69" s="2340">
        <v>81342.926321880819</v>
      </c>
      <c r="AR69" s="2340">
        <v>81437.154071045778</v>
      </c>
      <c r="AS69" s="2340">
        <v>80944.915643833068</v>
      </c>
      <c r="AT69" s="2340">
        <v>80207.253237660596</v>
      </c>
      <c r="AU69" s="2340">
        <v>79271.65215248552</v>
      </c>
      <c r="AV69" s="2340">
        <v>79392.506907367468</v>
      </c>
      <c r="AW69" s="2340">
        <v>80021.416371525876</v>
      </c>
      <c r="AX69" s="2340">
        <v>81734.972228768092</v>
      </c>
      <c r="AY69" s="2340">
        <v>83343.796250982385</v>
      </c>
      <c r="AZ69" s="2340">
        <v>83491.37897491391</v>
      </c>
      <c r="BA69" s="2340">
        <v>83642.441682710385</v>
      </c>
      <c r="BB69" s="2340">
        <v>84216.797773026105</v>
      </c>
      <c r="BC69" s="2340">
        <v>84496.337410006599</v>
      </c>
      <c r="BD69" s="2340">
        <v>84717.00226833309</v>
      </c>
      <c r="BE69" s="2340">
        <v>84833.56910973553</v>
      </c>
      <c r="BF69" s="2340">
        <v>85164.347482540732</v>
      </c>
      <c r="BG69" s="2340">
        <v>85426.13500996388</v>
      </c>
      <c r="BH69" s="2340">
        <v>85810.632359691328</v>
      </c>
      <c r="BI69" s="2340">
        <v>85974.213660527195</v>
      </c>
      <c r="BJ69" s="2340">
        <v>86271.171561675103</v>
      </c>
      <c r="BK69" s="2340">
        <v>86629.245729867442</v>
      </c>
      <c r="BL69" s="2340">
        <v>87142.582274543078</v>
      </c>
      <c r="BM69" s="2340">
        <v>87541.529440698578</v>
      </c>
      <c r="BN69" s="2340">
        <v>87928.829335898306</v>
      </c>
      <c r="BO69" s="2340">
        <v>88185.584589393708</v>
      </c>
      <c r="BP69" s="2340">
        <v>88507.834572708351</v>
      </c>
      <c r="BQ69" s="2340">
        <v>88727.570536469706</v>
      </c>
      <c r="BR69" s="2340">
        <v>88967.228430419942</v>
      </c>
      <c r="BS69" s="2340">
        <v>89108.420918438438</v>
      </c>
      <c r="BT69" s="2340">
        <v>89315.251918503156</v>
      </c>
      <c r="BU69" s="2340">
        <v>89477.097876551808</v>
      </c>
      <c r="BV69" s="2340">
        <v>89701.476953785881</v>
      </c>
      <c r="BW69" s="2340">
        <v>89924.112079722516</v>
      </c>
      <c r="BX69" s="2340">
        <v>90138.301489575329</v>
      </c>
      <c r="BY69" s="2340">
        <v>90346.760381979388</v>
      </c>
      <c r="BZ69" s="2340">
        <v>90666.565582340103</v>
      </c>
      <c r="CA69" s="2340">
        <v>90925.331271652874</v>
      </c>
      <c r="CB69" s="2340">
        <v>91147.67717055176</v>
      </c>
      <c r="CC69" s="2340">
        <v>91333.046825108264</v>
      </c>
      <c r="CD69" s="2340">
        <v>91522.87418161708</v>
      </c>
      <c r="CE69" s="2340">
        <v>91705.030755810774</v>
      </c>
      <c r="CF69" s="2340">
        <v>91893.420097597365</v>
      </c>
      <c r="CG69" s="2340">
        <v>92088.590314278059</v>
      </c>
      <c r="CH69" s="2340">
        <v>92259.963076971369</v>
      </c>
      <c r="CI69" s="2340">
        <v>92473.118400522813</v>
      </c>
      <c r="CJ69" s="2340">
        <v>92609.004806645666</v>
      </c>
      <c r="CK69" s="2340">
        <v>92781.452244419386</v>
      </c>
      <c r="CL69" s="2340">
        <v>92975.576203207325</v>
      </c>
      <c r="CM69" s="2340">
        <v>93121.926534952174</v>
      </c>
      <c r="CN69" s="2340">
        <v>93299.043999650923</v>
      </c>
      <c r="CO69" s="2340">
        <v>93426.603555275593</v>
      </c>
      <c r="CP69" s="2340">
        <v>93594.172644627208</v>
      </c>
      <c r="CQ69" s="2340">
        <v>93731.968921431093</v>
      </c>
      <c r="CR69" s="2340">
        <v>93863.962783352094</v>
      </c>
      <c r="CS69" s="2340">
        <v>94007.543855253811</v>
      </c>
      <c r="CT69" s="2340">
        <v>94129.709313042462</v>
      </c>
      <c r="CU69" s="2340">
        <v>94244.659221095804</v>
      </c>
      <c r="CV69" s="2340">
        <v>94342.094923683908</v>
      </c>
      <c r="CW69" s="2340">
        <v>94470.51877263574</v>
      </c>
      <c r="CX69" s="2340">
        <v>94586.624938945257</v>
      </c>
      <c r="CY69" s="2340">
        <v>94691.187676686226</v>
      </c>
      <c r="CZ69" s="2340">
        <v>94767.996098119183</v>
      </c>
      <c r="DA69" s="2340">
        <v>94858.719537783967</v>
      </c>
      <c r="DB69" s="2340">
        <v>94962.340050727144</v>
      </c>
      <c r="DC69" s="2340">
        <v>95078.141478401973</v>
      </c>
      <c r="DD69" s="2340">
        <v>95161.568843551795</v>
      </c>
      <c r="DE69" s="2340">
        <v>95261.230283780169</v>
      </c>
      <c r="DF69" s="2340">
        <v>95390.30624673616</v>
      </c>
      <c r="DG69" s="2340">
        <v>95452.348498154926</v>
      </c>
      <c r="DH69" s="2340">
        <v>95550.541947005375</v>
      </c>
      <c r="DI69" s="2340">
        <v>95608.991876441738</v>
      </c>
      <c r="DJ69" s="2340">
        <v>95706.43702988459</v>
      </c>
      <c r="DK69" s="2340">
        <v>95800.909686855579</v>
      </c>
      <c r="DL69" s="2340">
        <v>95876.266559493713</v>
      </c>
      <c r="DM69" s="2340">
        <v>95931.614385912981</v>
      </c>
      <c r="DN69" s="2340">
        <v>96006.059756571602</v>
      </c>
      <c r="DO69" s="2340">
        <v>96092.491347537507</v>
      </c>
      <c r="DP69" s="2340">
        <v>96183.136961597585</v>
      </c>
      <c r="DQ69" s="2340">
        <v>96250.586699175692</v>
      </c>
      <c r="DR69" s="2340">
        <v>96317.418486235299</v>
      </c>
      <c r="DS69" s="2340">
        <v>96394.426578655592</v>
      </c>
      <c r="DT69" s="2340">
        <v>96472.274565585423</v>
      </c>
      <c r="DU69" s="2340">
        <v>96548.344148700926</v>
      </c>
    </row>
    <row r="70" spans="1:125" ht="12.75">
      <c r="A70" s="135">
        <v>68</v>
      </c>
      <c r="W70" s="136">
        <v>66449</v>
      </c>
      <c r="X70" s="136">
        <v>67379</v>
      </c>
      <c r="Y70" s="2340">
        <v>67667.048793901602</v>
      </c>
      <c r="Z70" s="2340">
        <v>69669.968084059379</v>
      </c>
      <c r="AA70" s="2340">
        <v>70237.293144508847</v>
      </c>
      <c r="AB70" s="2340">
        <v>71019.430476632391</v>
      </c>
      <c r="AC70" s="2340">
        <v>72072.207439342892</v>
      </c>
      <c r="AD70" s="2340">
        <v>72855.639007207908</v>
      </c>
      <c r="AE70" s="2340">
        <v>73142.313878883157</v>
      </c>
      <c r="AF70" s="2340">
        <v>74327.733465586309</v>
      </c>
      <c r="AG70" s="2340">
        <v>75052.962850074051</v>
      </c>
      <c r="AH70" s="2340">
        <v>75431.6438434671</v>
      </c>
      <c r="AI70" s="2340">
        <v>76065.957154610805</v>
      </c>
      <c r="AJ70" s="2340">
        <v>77526.820256855106</v>
      </c>
      <c r="AK70" s="2340">
        <v>77871.477459106929</v>
      </c>
      <c r="AL70" s="2340">
        <v>78631.351424659835</v>
      </c>
      <c r="AM70" s="2340">
        <v>79212.069505842213</v>
      </c>
      <c r="AN70" s="2340">
        <v>79954.07066204802</v>
      </c>
      <c r="AO70" s="2340">
        <v>80240.986399830246</v>
      </c>
      <c r="AP70" s="2340">
        <v>80527.840380108319</v>
      </c>
      <c r="AQ70" s="2340">
        <v>80603.298076052146</v>
      </c>
      <c r="AR70" s="2340">
        <v>80703.035192090276</v>
      </c>
      <c r="AS70" s="2340">
        <v>80211.188507033206</v>
      </c>
      <c r="AT70" s="2340">
        <v>79466.044559294663</v>
      </c>
      <c r="AU70" s="2340">
        <v>78513.595907420677</v>
      </c>
      <c r="AV70" s="2340">
        <v>78648.704950263316</v>
      </c>
      <c r="AW70" s="2340">
        <v>79250.777838310678</v>
      </c>
      <c r="AX70" s="2340">
        <v>80940.5935755151</v>
      </c>
      <c r="AY70" s="2340">
        <v>82562.757547739588</v>
      </c>
      <c r="AZ70" s="2340">
        <v>82694.459355002327</v>
      </c>
      <c r="BA70" s="2340">
        <v>82863.845607038194</v>
      </c>
      <c r="BB70" s="2340">
        <v>83435.679972438855</v>
      </c>
      <c r="BC70" s="2340">
        <v>83689.793666064594</v>
      </c>
      <c r="BD70" s="2340">
        <v>83866.626947467172</v>
      </c>
      <c r="BE70" s="2340">
        <v>83994.908619516762</v>
      </c>
      <c r="BF70" s="2340">
        <v>84338.912192387594</v>
      </c>
      <c r="BG70" s="2340">
        <v>84614.384198279949</v>
      </c>
      <c r="BH70" s="2340">
        <v>85011.203466132851</v>
      </c>
      <c r="BI70" s="2340">
        <v>85188.953227210775</v>
      </c>
      <c r="BJ70" s="2340">
        <v>85498.636919343611</v>
      </c>
      <c r="BK70" s="2340">
        <v>85868.703094565848</v>
      </c>
      <c r="BL70" s="2340">
        <v>86392.521900985157</v>
      </c>
      <c r="BM70" s="2340">
        <v>86802.797816183796</v>
      </c>
      <c r="BN70" s="2340">
        <v>87201.366825479185</v>
      </c>
      <c r="BO70" s="2340">
        <v>87470.292060897016</v>
      </c>
      <c r="BP70" s="2340">
        <v>87803.993558384449</v>
      </c>
      <c r="BQ70" s="2340">
        <v>88035.806134077837</v>
      </c>
      <c r="BR70" s="2340">
        <v>88287.144240510417</v>
      </c>
      <c r="BS70" s="2340">
        <v>88440.562564143882</v>
      </c>
      <c r="BT70" s="2340">
        <v>88658.918918760202</v>
      </c>
      <c r="BU70" s="2340">
        <v>88832.418910600143</v>
      </c>
      <c r="BV70" s="2340">
        <v>89067.805412980408</v>
      </c>
      <c r="BW70" s="2340">
        <v>89301.27599647989</v>
      </c>
      <c r="BX70" s="2340">
        <v>89526.176690067063</v>
      </c>
      <c r="BY70" s="2340">
        <v>89745.204210299227</v>
      </c>
      <c r="BZ70" s="2340">
        <v>90074.6718170557</v>
      </c>
      <c r="CA70" s="2340">
        <v>90343.342655140194</v>
      </c>
      <c r="CB70" s="2340">
        <v>90575.661138059513</v>
      </c>
      <c r="CC70" s="2340">
        <v>90771.063357765626</v>
      </c>
      <c r="CD70" s="2340">
        <v>90970.722700028404</v>
      </c>
      <c r="CE70" s="2340">
        <v>91162.586955023784</v>
      </c>
      <c r="CF70" s="2340">
        <v>91360.479256821665</v>
      </c>
      <c r="CG70" s="2340">
        <v>91564.949595870887</v>
      </c>
      <c r="CH70" s="2340">
        <v>91745.595175103517</v>
      </c>
      <c r="CI70" s="2340">
        <v>91967.632456075298</v>
      </c>
      <c r="CJ70" s="2340">
        <v>92112.664212887088</v>
      </c>
      <c r="CK70" s="2340">
        <v>92293.900468758933</v>
      </c>
      <c r="CL70" s="2340">
        <v>92496.547592714109</v>
      </c>
      <c r="CM70" s="2340">
        <v>92651.515474527361</v>
      </c>
      <c r="CN70" s="2340">
        <v>92836.944217502387</v>
      </c>
      <c r="CO70" s="2340">
        <v>92972.910503025705</v>
      </c>
      <c r="CP70" s="2340">
        <v>93148.543716623681</v>
      </c>
      <c r="CQ70" s="2340">
        <v>93294.401173754377</v>
      </c>
      <c r="CR70" s="2340">
        <v>93434.337880535226</v>
      </c>
      <c r="CS70" s="2340">
        <v>93585.666450944453</v>
      </c>
      <c r="CT70" s="2340">
        <v>93715.534891223433</v>
      </c>
      <c r="CU70" s="2340">
        <v>93838.078947867252</v>
      </c>
      <c r="CV70" s="2340">
        <v>93943.044231366963</v>
      </c>
      <c r="CW70" s="2340">
        <v>94078.730122242152</v>
      </c>
      <c r="CX70" s="2340">
        <v>94202.01697068286</v>
      </c>
      <c r="CY70" s="2340">
        <v>94313.675373317339</v>
      </c>
      <c r="CZ70" s="2340">
        <v>94397.557491799642</v>
      </c>
      <c r="DA70" s="2340">
        <v>94495.168992797</v>
      </c>
      <c r="DB70" s="2340">
        <v>94605.501351322629</v>
      </c>
      <c r="DC70" s="2340">
        <v>94727.846249976486</v>
      </c>
      <c r="DD70" s="2340">
        <v>94817.814551950811</v>
      </c>
      <c r="DE70" s="2340">
        <v>94923.837554463506</v>
      </c>
      <c r="DF70" s="2340">
        <v>95059.055569893069</v>
      </c>
      <c r="DG70" s="2340">
        <v>95127.35688969391</v>
      </c>
      <c r="DH70" s="2340">
        <v>95231.570593252269</v>
      </c>
      <c r="DI70" s="2340">
        <v>95296.059668970702</v>
      </c>
      <c r="DJ70" s="2340">
        <v>95399.304603173267</v>
      </c>
      <c r="DK70" s="2340">
        <v>95499.479214941617</v>
      </c>
      <c r="DL70" s="2340">
        <v>95580.491444070809</v>
      </c>
      <c r="DM70" s="2340">
        <v>95641.449223543721</v>
      </c>
      <c r="DN70" s="2340">
        <v>95721.34160209843</v>
      </c>
      <c r="DO70" s="2340">
        <v>95813.083264868721</v>
      </c>
      <c r="DP70" s="2340">
        <v>95908.928124496568</v>
      </c>
      <c r="DQ70" s="2340">
        <v>95981.545436226443</v>
      </c>
      <c r="DR70" s="2340">
        <v>96053.449235653665</v>
      </c>
      <c r="DS70" s="2340">
        <v>96135.406502078142</v>
      </c>
      <c r="DT70" s="2340">
        <v>96218.10882010308</v>
      </c>
      <c r="DU70" s="2340">
        <v>96298.946514885887</v>
      </c>
    </row>
    <row r="71" spans="1:125" ht="12.75">
      <c r="A71" s="135">
        <v>69</v>
      </c>
      <c r="W71" s="136">
        <v>65331</v>
      </c>
      <c r="X71" s="136">
        <v>66277</v>
      </c>
      <c r="Y71" s="2340">
        <v>66590.903684831064</v>
      </c>
      <c r="Z71" s="2340">
        <v>68618.603259148338</v>
      </c>
      <c r="AA71" s="2340">
        <v>69184.38265161842</v>
      </c>
      <c r="AB71" s="2340">
        <v>69990.596390825609</v>
      </c>
      <c r="AC71" s="2340">
        <v>71024.961222744911</v>
      </c>
      <c r="AD71" s="2340">
        <v>71845.050854329907</v>
      </c>
      <c r="AE71" s="2340">
        <v>72148.73122655318</v>
      </c>
      <c r="AF71" s="2340">
        <v>73354.696057331937</v>
      </c>
      <c r="AG71" s="2340">
        <v>74082.737072475735</v>
      </c>
      <c r="AH71" s="2340">
        <v>74522.856911823255</v>
      </c>
      <c r="AI71" s="2340">
        <v>75141.345219774026</v>
      </c>
      <c r="AJ71" s="2340">
        <v>76596.598306648593</v>
      </c>
      <c r="AK71" s="2340">
        <v>77014.734058161979</v>
      </c>
      <c r="AL71" s="2340">
        <v>77806.093698958444</v>
      </c>
      <c r="AM71" s="2340">
        <v>78404.738820953207</v>
      </c>
      <c r="AN71" s="2340">
        <v>79175.082449741472</v>
      </c>
      <c r="AO71" s="2340">
        <v>79438.187067653984</v>
      </c>
      <c r="AP71" s="2340">
        <v>79738.150953071265</v>
      </c>
      <c r="AQ71" s="2340">
        <v>79834.030033783958</v>
      </c>
      <c r="AR71" s="2340">
        <v>79888.248856217178</v>
      </c>
      <c r="AS71" s="2340">
        <v>79437.051974363581</v>
      </c>
      <c r="AT71" s="2340">
        <v>78636.639058677465</v>
      </c>
      <c r="AU71" s="2340">
        <v>77719.64609748924</v>
      </c>
      <c r="AV71" s="2340">
        <v>77806.435968582591</v>
      </c>
      <c r="AW71" s="2340">
        <v>78449.943884756358</v>
      </c>
      <c r="AX71" s="2340">
        <v>80091.174957076131</v>
      </c>
      <c r="AY71" s="2340">
        <v>81682.644315390004</v>
      </c>
      <c r="AZ71" s="2340">
        <v>81863.597182192694</v>
      </c>
      <c r="BA71" s="2340">
        <v>82029.371295692588</v>
      </c>
      <c r="BB71" s="2340">
        <v>82569.157595931218</v>
      </c>
      <c r="BC71" s="2340">
        <v>82768.160392336344</v>
      </c>
      <c r="BD71" s="2340">
        <v>82963.731590722397</v>
      </c>
      <c r="BE71" s="2340">
        <v>83108.453950695664</v>
      </c>
      <c r="BF71" s="2340">
        <v>83466.369086440362</v>
      </c>
      <c r="BG71" s="2340">
        <v>83756.243654958642</v>
      </c>
      <c r="BH71" s="2340">
        <v>84166.030273243159</v>
      </c>
      <c r="BI71" s="2340">
        <v>84358.704616207411</v>
      </c>
      <c r="BJ71" s="2340">
        <v>84681.792411490504</v>
      </c>
      <c r="BK71" s="2340">
        <v>85064.491310341939</v>
      </c>
      <c r="BL71" s="2340">
        <v>85599.350571998017</v>
      </c>
      <c r="BM71" s="2340">
        <v>86021.566029466616</v>
      </c>
      <c r="BN71" s="2340">
        <v>86432.015332670111</v>
      </c>
      <c r="BO71" s="2340">
        <v>86713.777290567377</v>
      </c>
      <c r="BP71" s="2340">
        <v>87059.559162976497</v>
      </c>
      <c r="BQ71" s="2340">
        <v>87304.018583625148</v>
      </c>
      <c r="BR71" s="2340">
        <v>87567.634545086927</v>
      </c>
      <c r="BS71" s="2340">
        <v>87733.912850266526</v>
      </c>
      <c r="BT71" s="2340">
        <v>87964.392720929842</v>
      </c>
      <c r="BU71" s="2340">
        <v>88150.156885869961</v>
      </c>
      <c r="BV71" s="2340">
        <v>88397.127549629571</v>
      </c>
      <c r="BW71" s="2340">
        <v>88642.004355493336</v>
      </c>
      <c r="BX71" s="2340">
        <v>88878.183744447466</v>
      </c>
      <c r="BY71" s="2340">
        <v>89108.342703583621</v>
      </c>
      <c r="BZ71" s="2340">
        <v>89447.985881469605</v>
      </c>
      <c r="CA71" s="2340">
        <v>89727.092665940378</v>
      </c>
      <c r="CB71" s="2340">
        <v>89969.921781269484</v>
      </c>
      <c r="CC71" s="2340">
        <v>90175.90133350539</v>
      </c>
      <c r="CD71" s="2340">
        <v>90385.92865194178</v>
      </c>
      <c r="CE71" s="2340">
        <v>90588.032165180834</v>
      </c>
      <c r="CF71" s="2340">
        <v>90795.949696573167</v>
      </c>
      <c r="CG71" s="2340">
        <v>91010.233089624351</v>
      </c>
      <c r="CH71" s="2340">
        <v>91200.665372368807</v>
      </c>
      <c r="CI71" s="2340">
        <v>91432.077732104561</v>
      </c>
      <c r="CJ71" s="2340">
        <v>91586.765992075394</v>
      </c>
      <c r="CK71" s="2340">
        <v>91777.283260933691</v>
      </c>
      <c r="CL71" s="2340">
        <v>91988.932062629654</v>
      </c>
      <c r="CM71" s="2340">
        <v>92153.003706867283</v>
      </c>
      <c r="CN71" s="2340">
        <v>92347.213625468372</v>
      </c>
      <c r="CO71" s="2340">
        <v>92492.064142228715</v>
      </c>
      <c r="CP71" s="2340">
        <v>92676.220290428202</v>
      </c>
      <c r="CQ71" s="2340">
        <v>92830.599290352824</v>
      </c>
      <c r="CR71" s="2340">
        <v>92978.933767613242</v>
      </c>
      <c r="CS71" s="2340">
        <v>93138.454620782562</v>
      </c>
      <c r="CT71" s="2340">
        <v>93276.46966334281</v>
      </c>
      <c r="CU71" s="2340">
        <v>93407.046391645505</v>
      </c>
      <c r="CV71" s="2340">
        <v>93519.977276166319</v>
      </c>
      <c r="CW71" s="2340">
        <v>93663.346439955159</v>
      </c>
      <c r="CX71" s="2340">
        <v>93794.231548044976</v>
      </c>
      <c r="CY71" s="2340">
        <v>93913.399259748243</v>
      </c>
      <c r="CZ71" s="2340">
        <v>94004.768532506976</v>
      </c>
      <c r="DA71" s="2340">
        <v>94109.671435435026</v>
      </c>
      <c r="DB71" s="2340">
        <v>94227.109368788879</v>
      </c>
      <c r="DC71" s="2340">
        <v>94356.382270190457</v>
      </c>
      <c r="DD71" s="2340">
        <v>94453.276813420642</v>
      </c>
      <c r="DE71" s="2340">
        <v>94566.036718267118</v>
      </c>
      <c r="DF71" s="2340">
        <v>94707.759679913695</v>
      </c>
      <c r="DG71" s="2340">
        <v>94782.690834594716</v>
      </c>
      <c r="DH71" s="2340">
        <v>94893.281855076726</v>
      </c>
      <c r="DI71" s="2340">
        <v>94964.168996811015</v>
      </c>
      <c r="DJ71" s="2340">
        <v>95073.558805454886</v>
      </c>
      <c r="DK71" s="2340">
        <v>95179.775173816553</v>
      </c>
      <c r="DL71" s="2340">
        <v>95266.78033969221</v>
      </c>
      <c r="DM71" s="2340">
        <v>95333.68347132302</v>
      </c>
      <c r="DN71" s="2340">
        <v>95419.348913233218</v>
      </c>
      <c r="DO71" s="2340">
        <v>95516.718903158762</v>
      </c>
      <c r="DP71" s="2340">
        <v>95618.075016449104</v>
      </c>
      <c r="DQ71" s="2340">
        <v>95696.170439269248</v>
      </c>
      <c r="DR71" s="2340">
        <v>95773.451411760747</v>
      </c>
      <c r="DS71" s="2340">
        <v>95860.655953569163</v>
      </c>
      <c r="DT71" s="2340">
        <v>95948.505319166419</v>
      </c>
      <c r="DU71" s="2340">
        <v>96034.398957000041</v>
      </c>
    </row>
    <row r="72" spans="1:125" ht="12.75">
      <c r="A72" s="135">
        <v>70</v>
      </c>
      <c r="W72" s="136">
        <v>64143</v>
      </c>
      <c r="X72" s="136">
        <v>65103</v>
      </c>
      <c r="Y72" s="2340">
        <v>65462.494032554241</v>
      </c>
      <c r="Z72" s="2340">
        <v>67463.519788429345</v>
      </c>
      <c r="AA72" s="2340">
        <v>68058.885139181351</v>
      </c>
      <c r="AB72" s="2340">
        <v>68841.28385966779</v>
      </c>
      <c r="AC72" s="2340">
        <v>69911.290769090367</v>
      </c>
      <c r="AD72" s="2340">
        <v>70767.329803951812</v>
      </c>
      <c r="AE72" s="2340">
        <v>71109.463041467665</v>
      </c>
      <c r="AF72" s="2340">
        <v>72323.404566409401</v>
      </c>
      <c r="AG72" s="2340">
        <v>73075.687175841274</v>
      </c>
      <c r="AH72" s="2340">
        <v>73527.902853442385</v>
      </c>
      <c r="AI72" s="2340">
        <v>74160.350267531408</v>
      </c>
      <c r="AJ72" s="2340">
        <v>75632.968436664582</v>
      </c>
      <c r="AK72" s="2340">
        <v>76068.044168980574</v>
      </c>
      <c r="AL72" s="2340">
        <v>76913.645597156574</v>
      </c>
      <c r="AM72" s="2340">
        <v>77544.584962165012</v>
      </c>
      <c r="AN72" s="2340">
        <v>78293.315663041853</v>
      </c>
      <c r="AO72" s="2340">
        <v>78575.33901826611</v>
      </c>
      <c r="AP72" s="2340">
        <v>78899.030210804442</v>
      </c>
      <c r="AQ72" s="2340">
        <v>78997.219194829231</v>
      </c>
      <c r="AR72" s="2340">
        <v>79032.628358592279</v>
      </c>
      <c r="AS72" s="2340">
        <v>78572.950263109087</v>
      </c>
      <c r="AT72" s="2340">
        <v>77771.431660467992</v>
      </c>
      <c r="AU72" s="2340">
        <v>76852.159523824885</v>
      </c>
      <c r="AV72" s="2340">
        <v>76915.108859369866</v>
      </c>
      <c r="AW72" s="2340">
        <v>77560.939848866241</v>
      </c>
      <c r="AX72" s="2340">
        <v>79156.917982047511</v>
      </c>
      <c r="AY72" s="2340">
        <v>80750.814484151037</v>
      </c>
      <c r="AZ72" s="2340">
        <v>80952.763118129151</v>
      </c>
      <c r="BA72" s="2340">
        <v>81064.00991440317</v>
      </c>
      <c r="BB72" s="2340">
        <v>81577.461161158004</v>
      </c>
      <c r="BC72" s="2340">
        <v>81796.870256881768</v>
      </c>
      <c r="BD72" s="2340">
        <v>82009.424446550809</v>
      </c>
      <c r="BE72" s="2340">
        <v>82171.411378215198</v>
      </c>
      <c r="BF72" s="2340">
        <v>82543.925400139691</v>
      </c>
      <c r="BG72" s="2340">
        <v>82848.925178593345</v>
      </c>
      <c r="BH72" s="2340">
        <v>83272.326422694692</v>
      </c>
      <c r="BI72" s="2340">
        <v>83480.6916907173</v>
      </c>
      <c r="BJ72" s="2340">
        <v>83817.868944629401</v>
      </c>
      <c r="BK72" s="2340">
        <v>84213.847472537833</v>
      </c>
      <c r="BL72" s="2340">
        <v>84760.307718366457</v>
      </c>
      <c r="BM72" s="2340">
        <v>85195.080527676051</v>
      </c>
      <c r="BN72" s="2340">
        <v>85618.029668080431</v>
      </c>
      <c r="BO72" s="2340">
        <v>85913.308426949559</v>
      </c>
      <c r="BP72" s="2340">
        <v>86271.647624153964</v>
      </c>
      <c r="BQ72" s="2340">
        <v>86529.378635547808</v>
      </c>
      <c r="BR72" s="2340">
        <v>86805.881969086389</v>
      </c>
      <c r="BS72" s="2340">
        <v>86985.67018162935</v>
      </c>
      <c r="BT72" s="2340">
        <v>87228.886181723137</v>
      </c>
      <c r="BU72" s="2340">
        <v>87427.541212335709</v>
      </c>
      <c r="BV72" s="2340">
        <v>87686.688051756675</v>
      </c>
      <c r="BW72" s="2340">
        <v>87943.557813439649</v>
      </c>
      <c r="BX72" s="2340">
        <v>88191.600132477557</v>
      </c>
      <c r="BY72" s="2340">
        <v>88433.470895274731</v>
      </c>
      <c r="BZ72" s="2340">
        <v>88783.81758026428</v>
      </c>
      <c r="CA72" s="2340">
        <v>89073.90822319212</v>
      </c>
      <c r="CB72" s="2340">
        <v>89327.804678618835</v>
      </c>
      <c r="CC72" s="2340">
        <v>89544.926490082391</v>
      </c>
      <c r="CD72" s="2340">
        <v>89765.878190253905</v>
      </c>
      <c r="CE72" s="2340">
        <v>89978.773528260004</v>
      </c>
      <c r="CF72" s="2340">
        <v>90197.259698697671</v>
      </c>
      <c r="CG72" s="2340">
        <v>90421.890331935574</v>
      </c>
      <c r="CH72" s="2340">
        <v>90622.645393081722</v>
      </c>
      <c r="CI72" s="2340">
        <v>90863.947251220394</v>
      </c>
      <c r="CJ72" s="2340">
        <v>91028.826781649681</v>
      </c>
      <c r="CK72" s="2340">
        <v>91229.140080331475</v>
      </c>
      <c r="CL72" s="2340">
        <v>91450.291502894353</v>
      </c>
      <c r="CM72" s="2340">
        <v>91623.97696060712</v>
      </c>
      <c r="CN72" s="2340">
        <v>91827.461124069916</v>
      </c>
      <c r="CO72" s="2340">
        <v>91981.697922030071</v>
      </c>
      <c r="CP72" s="2340">
        <v>92174.859436385683</v>
      </c>
      <c r="CQ72" s="2340">
        <v>92338.2447802018</v>
      </c>
      <c r="CR72" s="2340">
        <v>92495.456581098231</v>
      </c>
      <c r="CS72" s="2340">
        <v>92663.638877348247</v>
      </c>
      <c r="CT72" s="2340">
        <v>92810.269049187205</v>
      </c>
      <c r="CU72" s="2340">
        <v>92949.342043212644</v>
      </c>
      <c r="CV72" s="2340">
        <v>93070.70000355877</v>
      </c>
      <c r="CW72" s="2340">
        <v>93222.198367927049</v>
      </c>
      <c r="CX72" s="2340">
        <v>93361.124248935987</v>
      </c>
      <c r="CY72" s="2340">
        <v>93488.240049307133</v>
      </c>
      <c r="CZ72" s="2340">
        <v>93587.535606082849</v>
      </c>
      <c r="DA72" s="2340">
        <v>93700.158518543889</v>
      </c>
      <c r="DB72" s="2340">
        <v>93825.120641908317</v>
      </c>
      <c r="DC72" s="2340">
        <v>93961.730599964954</v>
      </c>
      <c r="DD72" s="2340">
        <v>94065.961782575192</v>
      </c>
      <c r="DE72" s="2340">
        <v>94185.85855492689</v>
      </c>
      <c r="DF72" s="2340">
        <v>94334.473250434356</v>
      </c>
      <c r="DG72" s="2340">
        <v>94416.43012674083</v>
      </c>
      <c r="DH72" s="2340">
        <v>94533.779763514045</v>
      </c>
      <c r="DI72" s="2340">
        <v>94611.448753882141</v>
      </c>
      <c r="DJ72" s="2340">
        <v>94727.352461568764</v>
      </c>
      <c r="DK72" s="2340">
        <v>94839.974212185378</v>
      </c>
      <c r="DL72" s="2340">
        <v>94933.333907406588</v>
      </c>
      <c r="DM72" s="2340">
        <v>95006.541987866178</v>
      </c>
      <c r="DN72" s="2340">
        <v>95098.330198061885</v>
      </c>
      <c r="DO72" s="2340">
        <v>95201.670010803486</v>
      </c>
      <c r="DP72" s="2340">
        <v>95308.872360405745</v>
      </c>
      <c r="DQ72" s="2340">
        <v>95392.779618891393</v>
      </c>
      <c r="DR72" s="2340">
        <v>95475.765916359829</v>
      </c>
      <c r="DS72" s="2340">
        <v>95568.538443319892</v>
      </c>
      <c r="DT72" s="2340">
        <v>95661.849959808693</v>
      </c>
      <c r="DU72" s="2340">
        <v>95753.109578893404</v>
      </c>
    </row>
    <row r="73" spans="1:125" ht="12.75">
      <c r="A73" s="135">
        <v>71</v>
      </c>
      <c r="W73" s="136">
        <v>62877</v>
      </c>
      <c r="X73" s="136">
        <v>63886</v>
      </c>
      <c r="Y73" s="2340">
        <v>64236.464916050645</v>
      </c>
      <c r="Z73" s="2340">
        <v>66224.855901980656</v>
      </c>
      <c r="AA73" s="2340">
        <v>66836.821365251686</v>
      </c>
      <c r="AB73" s="2340">
        <v>67651.947009083931</v>
      </c>
      <c r="AC73" s="2340">
        <v>68748.280635745177</v>
      </c>
      <c r="AD73" s="2340">
        <v>69617.196040880153</v>
      </c>
      <c r="AE73" s="2340">
        <v>70000.030360767021</v>
      </c>
      <c r="AF73" s="2340">
        <v>71207.792429721419</v>
      </c>
      <c r="AG73" s="2340">
        <v>71984.746994929257</v>
      </c>
      <c r="AH73" s="2340">
        <v>72428.251542037571</v>
      </c>
      <c r="AI73" s="2340">
        <v>73119.356596183192</v>
      </c>
      <c r="AJ73" s="2340">
        <v>74606.926178768597</v>
      </c>
      <c r="AK73" s="2340">
        <v>75098.198307623898</v>
      </c>
      <c r="AL73" s="2340">
        <v>75958.775010473939</v>
      </c>
      <c r="AM73" s="2340">
        <v>76607.349817237162</v>
      </c>
      <c r="AN73" s="2340">
        <v>77359.123053576914</v>
      </c>
      <c r="AO73" s="2340">
        <v>77670.25069693086</v>
      </c>
      <c r="AP73" s="2340">
        <v>77974.614826911216</v>
      </c>
      <c r="AQ73" s="2340">
        <v>78063.133648869945</v>
      </c>
      <c r="AR73" s="2340">
        <v>78070.778820536172</v>
      </c>
      <c r="AS73" s="2340">
        <v>77661.365048643333</v>
      </c>
      <c r="AT73" s="2340">
        <v>76819.054979354332</v>
      </c>
      <c r="AU73" s="2340">
        <v>75877.826484925958</v>
      </c>
      <c r="AV73" s="2340">
        <v>75901.641465952882</v>
      </c>
      <c r="AW73" s="2340">
        <v>76583.277611480356</v>
      </c>
      <c r="AX73" s="2340">
        <v>78169.907504798117</v>
      </c>
      <c r="AY73" s="2340">
        <v>79755.948352995852</v>
      </c>
      <c r="AZ73" s="2340">
        <v>79919.329543009371</v>
      </c>
      <c r="BA73" s="2340">
        <v>79996.541220827043</v>
      </c>
      <c r="BB73" s="2340">
        <v>80531.300690727629</v>
      </c>
      <c r="BC73" s="2340">
        <v>80768.734207136484</v>
      </c>
      <c r="BD73" s="2340">
        <v>80999.093993016475</v>
      </c>
      <c r="BE73" s="2340">
        <v>81179.195424454752</v>
      </c>
      <c r="BF73" s="2340">
        <v>81567.011347743057</v>
      </c>
      <c r="BG73" s="2340">
        <v>81887.879795346831</v>
      </c>
      <c r="BH73" s="2340">
        <v>82325.55858645156</v>
      </c>
      <c r="BI73" s="2340">
        <v>82550.409694931164</v>
      </c>
      <c r="BJ73" s="2340">
        <v>82902.384495961291</v>
      </c>
      <c r="BK73" s="2340">
        <v>83312.310285484811</v>
      </c>
      <c r="BL73" s="2340">
        <v>83870.945982689896</v>
      </c>
      <c r="BM73" s="2340">
        <v>84318.914897819515</v>
      </c>
      <c r="BN73" s="2340">
        <v>84755.006005241929</v>
      </c>
      <c r="BO73" s="2340">
        <v>85064.271936513847</v>
      </c>
      <c r="BP73" s="2340">
        <v>85435.770494249577</v>
      </c>
      <c r="BQ73" s="2340">
        <v>85707.426792426733</v>
      </c>
      <c r="BR73" s="2340">
        <v>85997.455767897773</v>
      </c>
      <c r="BS73" s="2340">
        <v>86191.438186202358</v>
      </c>
      <c r="BT73" s="2340">
        <v>86448.034716127091</v>
      </c>
      <c r="BU73" s="2340">
        <v>86660.241906387804</v>
      </c>
      <c r="BV73" s="2340">
        <v>86932.189091190201</v>
      </c>
      <c r="BW73" s="2340">
        <v>87201.671347900745</v>
      </c>
      <c r="BX73" s="2340">
        <v>87462.194559197524</v>
      </c>
      <c r="BY73" s="2340">
        <v>87716.391961905378</v>
      </c>
      <c r="BZ73" s="2340">
        <v>88077.999878487506</v>
      </c>
      <c r="CA73" s="2340">
        <v>88379.655364007805</v>
      </c>
      <c r="CB73" s="2340">
        <v>88645.210990573207</v>
      </c>
      <c r="CC73" s="2340">
        <v>88874.077099693794</v>
      </c>
      <c r="CD73" s="2340">
        <v>89106.546777861382</v>
      </c>
      <c r="CE73" s="2340">
        <v>89330.824279856199</v>
      </c>
      <c r="CF73" s="2340">
        <v>89560.46021487398</v>
      </c>
      <c r="CG73" s="2340">
        <v>89796.009891630791</v>
      </c>
      <c r="CH73" s="2340">
        <v>90007.662590793771</v>
      </c>
      <c r="CI73" s="2340">
        <v>90259.405537603467</v>
      </c>
      <c r="CJ73" s="2340">
        <v>90435.051578460057</v>
      </c>
      <c r="CK73" s="2340">
        <v>90645.714951399132</v>
      </c>
      <c r="CL73" s="2340">
        <v>90876.908147443726</v>
      </c>
      <c r="CM73" s="2340">
        <v>91060.757614274728</v>
      </c>
      <c r="CN73" s="2340">
        <v>91274.048017076624</v>
      </c>
      <c r="CO73" s="2340">
        <v>91438.213971088713</v>
      </c>
      <c r="CP73" s="2340">
        <v>91640.902510753804</v>
      </c>
      <c r="CQ73" s="2340">
        <v>91813.819289938503</v>
      </c>
      <c r="CR73" s="2340">
        <v>91980.428372431008</v>
      </c>
      <c r="CS73" s="2340">
        <v>92157.781131011638</v>
      </c>
      <c r="CT73" s="2340">
        <v>92313.535464931745</v>
      </c>
      <c r="CU73" s="2340">
        <v>92461.608920714716</v>
      </c>
      <c r="CV73" s="2340">
        <v>92591.896468145918</v>
      </c>
      <c r="CW73" s="2340">
        <v>92752.009712398736</v>
      </c>
      <c r="CX73" s="2340">
        <v>92899.458859592516</v>
      </c>
      <c r="CY73" s="2340">
        <v>93035.001681999391</v>
      </c>
      <c r="CZ73" s="2340">
        <v>93142.703493327703</v>
      </c>
      <c r="DA73" s="2340">
        <v>93263.515134640809</v>
      </c>
      <c r="DB73" s="2340">
        <v>93396.459488703666</v>
      </c>
      <c r="DC73" s="2340">
        <v>93540.85432830239</v>
      </c>
      <c r="DD73" s="2340">
        <v>93652.872076381595</v>
      </c>
      <c r="DE73" s="2340">
        <v>93780.344406307981</v>
      </c>
      <c r="DF73" s="2340">
        <v>93936.275155957293</v>
      </c>
      <c r="DG73" s="2340">
        <v>94025.692924516698</v>
      </c>
      <c r="DH73" s="2340">
        <v>94150.220348569943</v>
      </c>
      <c r="DI73" s="2340">
        <v>94235.093697184639</v>
      </c>
      <c r="DJ73" s="2340">
        <v>94357.917578569861</v>
      </c>
      <c r="DK73" s="2340">
        <v>94477.345350950651</v>
      </c>
      <c r="DL73" s="2340">
        <v>94577.45839140279</v>
      </c>
      <c r="DM73" s="2340">
        <v>94657.368447680739</v>
      </c>
      <c r="DN73" s="2340">
        <v>94755.665673955766</v>
      </c>
      <c r="DO73" s="2340">
        <v>94865.352671986009</v>
      </c>
      <c r="DP73" s="2340">
        <v>94978.771648873677</v>
      </c>
      <c r="DQ73" s="2340">
        <v>95068.860135599694</v>
      </c>
      <c r="DR73" s="2340">
        <v>95157.915227993901</v>
      </c>
      <c r="DS73" s="2340">
        <v>95256.611142186041</v>
      </c>
      <c r="DT73" s="2340">
        <v>95355.734222830084</v>
      </c>
      <c r="DU73" s="2340">
        <v>95452.703853188839</v>
      </c>
    </row>
    <row r="74" spans="1:125" ht="12.75">
      <c r="A74" s="135">
        <v>72</v>
      </c>
      <c r="W74" s="136">
        <v>61543</v>
      </c>
      <c r="X74" s="136">
        <v>62558</v>
      </c>
      <c r="Y74" s="2340">
        <v>62946.656572025298</v>
      </c>
      <c r="Z74" s="2340">
        <v>64907.565791256755</v>
      </c>
      <c r="AA74" s="2340">
        <v>65552.395912546126</v>
      </c>
      <c r="AB74" s="2340">
        <v>66383.08406481985</v>
      </c>
      <c r="AC74" s="2340">
        <v>67485.602857283564</v>
      </c>
      <c r="AD74" s="2340">
        <v>68410.494974427624</v>
      </c>
      <c r="AE74" s="2340">
        <v>68831.408259547577</v>
      </c>
      <c r="AF74" s="2340">
        <v>70010.381330019998</v>
      </c>
      <c r="AG74" s="2340">
        <v>70791.727992234853</v>
      </c>
      <c r="AH74" s="2340">
        <v>71275.830592127139</v>
      </c>
      <c r="AI74" s="2340">
        <v>71994.453140368583</v>
      </c>
      <c r="AJ74" s="2340">
        <v>73510.533196522447</v>
      </c>
      <c r="AK74" s="2340">
        <v>74043.215397626729</v>
      </c>
      <c r="AL74" s="2340">
        <v>74927.419682567808</v>
      </c>
      <c r="AM74" s="2340">
        <v>75595.539219155457</v>
      </c>
      <c r="AN74" s="2340">
        <v>76363.579426848941</v>
      </c>
      <c r="AO74" s="2340">
        <v>76694.629724509199</v>
      </c>
      <c r="AP74" s="2340">
        <v>76970.637395073369</v>
      </c>
      <c r="AQ74" s="2340">
        <v>77058.425002043092</v>
      </c>
      <c r="AR74" s="2340">
        <v>77087.791906111263</v>
      </c>
      <c r="AS74" s="2340">
        <v>76616.770999700224</v>
      </c>
      <c r="AT74" s="2340">
        <v>75801.907857128841</v>
      </c>
      <c r="AU74" s="2340">
        <v>74804.537993435864</v>
      </c>
      <c r="AV74" s="2340">
        <v>74831.089181554999</v>
      </c>
      <c r="AW74" s="2340">
        <v>75565.92987437699</v>
      </c>
      <c r="AX74" s="2340">
        <v>77102.326992205679</v>
      </c>
      <c r="AY74" s="2340">
        <v>78642.405078003401</v>
      </c>
      <c r="AZ74" s="2340">
        <v>78773.243627270102</v>
      </c>
      <c r="BA74" s="2340">
        <v>78870.854584687797</v>
      </c>
      <c r="BB74" s="2340">
        <v>79420.443509497418</v>
      </c>
      <c r="BC74" s="2340">
        <v>79676.579899464938</v>
      </c>
      <c r="BD74" s="2340">
        <v>79925.430712408663</v>
      </c>
      <c r="BE74" s="2340">
        <v>80124.371685815247</v>
      </c>
      <c r="BF74" s="2340">
        <v>80528.055922711908</v>
      </c>
      <c r="BG74" s="2340">
        <v>80865.413019282467</v>
      </c>
      <c r="BH74" s="2340">
        <v>81317.904483920254</v>
      </c>
      <c r="BI74" s="2340">
        <v>81559.935335720496</v>
      </c>
      <c r="BJ74" s="2340">
        <v>81927.309006951007</v>
      </c>
      <c r="BK74" s="2340">
        <v>82351.743405853078</v>
      </c>
      <c r="BL74" s="2340">
        <v>82923.013981738419</v>
      </c>
      <c r="BM74" s="2340">
        <v>83384.719195077079</v>
      </c>
      <c r="BN74" s="2340">
        <v>83834.177793197363</v>
      </c>
      <c r="BO74" s="2340">
        <v>84157.995166379274</v>
      </c>
      <c r="BP74" s="2340">
        <v>84543.176828103038</v>
      </c>
      <c r="BQ74" s="2340">
        <v>84829.349152459312</v>
      </c>
      <c r="BR74" s="2340">
        <v>85133.482180395236</v>
      </c>
      <c r="BS74" s="2340">
        <v>85342.298005666031</v>
      </c>
      <c r="BT74" s="2340">
        <v>85612.872591687745</v>
      </c>
      <c r="BU74" s="2340">
        <v>85839.255504099347</v>
      </c>
      <c r="BV74" s="2340">
        <v>86124.587651547437</v>
      </c>
      <c r="BW74" s="2340">
        <v>86407.266878791648</v>
      </c>
      <c r="BX74" s="2340">
        <v>86680.85890719961</v>
      </c>
      <c r="BY74" s="2340">
        <v>86947.972365035152</v>
      </c>
      <c r="BZ74" s="2340">
        <v>87321.366462164166</v>
      </c>
      <c r="CA74" s="2340">
        <v>87635.144946543995</v>
      </c>
      <c r="CB74" s="2340">
        <v>87912.936079697844</v>
      </c>
      <c r="CC74" s="2340">
        <v>88154.140285624657</v>
      </c>
      <c r="CD74" s="2340">
        <v>88398.716244425465</v>
      </c>
      <c r="CE74" s="2340">
        <v>88634.965002029756</v>
      </c>
      <c r="CF74" s="2340">
        <v>88876.333108059553</v>
      </c>
      <c r="CG74" s="2340">
        <v>89123.3772755932</v>
      </c>
      <c r="CH74" s="2340">
        <v>89346.511424506782</v>
      </c>
      <c r="CI74" s="2340">
        <v>89609.25465726183</v>
      </c>
      <c r="CJ74" s="2340">
        <v>89796.260447012246</v>
      </c>
      <c r="CK74" s="2340">
        <v>90017.844901058226</v>
      </c>
      <c r="CL74" s="2340">
        <v>90259.636352710309</v>
      </c>
      <c r="CM74" s="2340">
        <v>90454.224452264287</v>
      </c>
      <c r="CN74" s="2340">
        <v>90677.876799711739</v>
      </c>
      <c r="CO74" s="2340">
        <v>90852.545521648106</v>
      </c>
      <c r="CP74" s="2340">
        <v>91065.311698234451</v>
      </c>
      <c r="CQ74" s="2340">
        <v>91248.318845527116</v>
      </c>
      <c r="CR74" s="2340">
        <v>91424.881475516449</v>
      </c>
      <c r="CS74" s="2340">
        <v>91611.950744362111</v>
      </c>
      <c r="CT74" s="2340">
        <v>91777.379076498517</v>
      </c>
      <c r="CU74" s="2340">
        <v>91935.000319017199</v>
      </c>
      <c r="CV74" s="2340">
        <v>92074.766289410458</v>
      </c>
      <c r="CW74" s="2340">
        <v>92244.025010525482</v>
      </c>
      <c r="CX74" s="2340">
        <v>92400.52739785974</v>
      </c>
      <c r="CY74" s="2340">
        <v>92545.02605471143</v>
      </c>
      <c r="CZ74" s="2340">
        <v>92661.667749304659</v>
      </c>
      <c r="DA74" s="2340">
        <v>92791.190398513965</v>
      </c>
      <c r="DB74" s="2340">
        <v>92932.628538095247</v>
      </c>
      <c r="DC74" s="2340">
        <v>93085.309578956148</v>
      </c>
      <c r="DD74" s="2340">
        <v>93205.621184713018</v>
      </c>
      <c r="DE74" s="2340">
        <v>93341.164623862132</v>
      </c>
      <c r="DF74" s="2340">
        <v>93504.89093812753</v>
      </c>
      <c r="DG74" s="2340">
        <v>93602.26659362005</v>
      </c>
      <c r="DH74" s="2340">
        <v>93734.450433532387</v>
      </c>
      <c r="DI74" s="2340">
        <v>93827.014188141155</v>
      </c>
      <c r="DJ74" s="2340">
        <v>93957.225395196117</v>
      </c>
      <c r="DK74" s="2340">
        <v>94083.921571734943</v>
      </c>
      <c r="DL74" s="2340">
        <v>94191.250659355093</v>
      </c>
      <c r="DM74" s="2340">
        <v>94278.325733419682</v>
      </c>
      <c r="DN74" s="2340">
        <v>94383.583113524466</v>
      </c>
      <c r="DO74" s="2340">
        <v>94500.058994880455</v>
      </c>
      <c r="DP74" s="2340">
        <v>94620.12937499184</v>
      </c>
      <c r="DQ74" s="2340">
        <v>94716.835044975451</v>
      </c>
      <c r="DR74" s="2340">
        <v>94812.389291904008</v>
      </c>
      <c r="DS74" s="2340">
        <v>94917.430340903564</v>
      </c>
      <c r="DT74" s="2340">
        <v>95022.780902093145</v>
      </c>
      <c r="DU74" s="2340">
        <v>95125.871400876349</v>
      </c>
    </row>
    <row r="75" spans="1:125" ht="12.75">
      <c r="A75" s="135">
        <v>73</v>
      </c>
      <c r="W75" s="136">
        <v>60077</v>
      </c>
      <c r="X75" s="136">
        <v>61147</v>
      </c>
      <c r="Y75" s="2340">
        <v>61512.041026658582</v>
      </c>
      <c r="Z75" s="2340">
        <v>63514.36387332336</v>
      </c>
      <c r="AA75" s="2340">
        <v>64154.629911281459</v>
      </c>
      <c r="AB75" s="2340">
        <v>65008.196246897947</v>
      </c>
      <c r="AC75" s="2340">
        <v>66157.203310368714</v>
      </c>
      <c r="AD75" s="2340">
        <v>67102.609316892675</v>
      </c>
      <c r="AE75" s="2340">
        <v>67554.641053312094</v>
      </c>
      <c r="AF75" s="2340">
        <v>68713.293989889542</v>
      </c>
      <c r="AG75" s="2340">
        <v>69538.136659732932</v>
      </c>
      <c r="AH75" s="2340">
        <v>70065.820548547053</v>
      </c>
      <c r="AI75" s="2340">
        <v>70786.189645304199</v>
      </c>
      <c r="AJ75" s="2340">
        <v>72352.173113586759</v>
      </c>
      <c r="AK75" s="2340">
        <v>72869.345915768223</v>
      </c>
      <c r="AL75" s="2340">
        <v>73785.594384278476</v>
      </c>
      <c r="AM75" s="2340">
        <v>74495.206622113357</v>
      </c>
      <c r="AN75" s="2340">
        <v>75278.894050856034</v>
      </c>
      <c r="AO75" s="2340">
        <v>75604.491175650706</v>
      </c>
      <c r="AP75" s="2340">
        <v>75880.20869749038</v>
      </c>
      <c r="AQ75" s="2340">
        <v>75997.801875840218</v>
      </c>
      <c r="AR75" s="2340">
        <v>75964.089982221471</v>
      </c>
      <c r="AS75" s="2340">
        <v>75526.637092419449</v>
      </c>
      <c r="AT75" s="2340">
        <v>74660.886327302127</v>
      </c>
      <c r="AU75" s="2340">
        <v>73669.273262840798</v>
      </c>
      <c r="AV75" s="2340">
        <v>73701.519617409736</v>
      </c>
      <c r="AW75" s="2340">
        <v>74436.977379835502</v>
      </c>
      <c r="AX75" s="2340">
        <v>75919.523641021908</v>
      </c>
      <c r="AY75" s="2340">
        <v>77405.619120505056</v>
      </c>
      <c r="AZ75" s="2340">
        <v>77552.326599064501</v>
      </c>
      <c r="BA75" s="2340">
        <v>77672.270648828984</v>
      </c>
      <c r="BB75" s="2340">
        <v>78237.051321210674</v>
      </c>
      <c r="BC75" s="2340">
        <v>78512.53010653668</v>
      </c>
      <c r="BD75" s="2340">
        <v>78780.523362520951</v>
      </c>
      <c r="BE75" s="2340">
        <v>78999.003900457174</v>
      </c>
      <c r="BF75" s="2340">
        <v>79419.081472196107</v>
      </c>
      <c r="BG75" s="2340">
        <v>79773.516154511221</v>
      </c>
      <c r="BH75" s="2340">
        <v>80241.316638211254</v>
      </c>
      <c r="BI75" s="2340">
        <v>80501.206722168441</v>
      </c>
      <c r="BJ75" s="2340">
        <v>80884.557197785907</v>
      </c>
      <c r="BK75" s="2340">
        <v>81324.035864323843</v>
      </c>
      <c r="BL75" s="2340">
        <v>81908.363867459906</v>
      </c>
      <c r="BM75" s="2340">
        <v>82383.910233488743</v>
      </c>
      <c r="BN75" s="2340">
        <v>82847.195617790931</v>
      </c>
      <c r="BO75" s="2340">
        <v>83186.127650163529</v>
      </c>
      <c r="BP75" s="2340">
        <v>83585.511567420952</v>
      </c>
      <c r="BQ75" s="2340">
        <v>83886.798299453556</v>
      </c>
      <c r="BR75" s="2340">
        <v>84205.621996818067</v>
      </c>
      <c r="BS75" s="2340">
        <v>84429.930185027653</v>
      </c>
      <c r="BT75" s="2340">
        <v>84715.096199905296</v>
      </c>
      <c r="BU75" s="2340">
        <v>84956.300567415325</v>
      </c>
      <c r="BV75" s="2340">
        <v>85255.620744193599</v>
      </c>
      <c r="BW75" s="2340">
        <v>85552.102040786922</v>
      </c>
      <c r="BX75" s="2340">
        <v>85839.374140255793</v>
      </c>
      <c r="BY75" s="2340">
        <v>86120.018769661227</v>
      </c>
      <c r="BZ75" s="2340">
        <v>86505.74142993291</v>
      </c>
      <c r="CA75" s="2340">
        <v>86832.225794064812</v>
      </c>
      <c r="CB75" s="2340">
        <v>87122.858426751904</v>
      </c>
      <c r="CC75" s="2340">
        <v>87377.029041199348</v>
      </c>
      <c r="CD75" s="2340">
        <v>87634.335176490349</v>
      </c>
      <c r="CE75" s="2340">
        <v>87883.181957285618</v>
      </c>
      <c r="CF75" s="2340">
        <v>88136.90311541644</v>
      </c>
      <c r="CG75" s="2340">
        <v>88396.056396377535</v>
      </c>
      <c r="CH75" s="2340">
        <v>88631.298251599626</v>
      </c>
      <c r="CI75" s="2340">
        <v>88905.641008972932</v>
      </c>
      <c r="CJ75" s="2340">
        <v>89104.647481669788</v>
      </c>
      <c r="CK75" s="2340">
        <v>89337.769647856796</v>
      </c>
      <c r="CL75" s="2340">
        <v>89590.760642363573</v>
      </c>
      <c r="CM75" s="2340">
        <v>89796.711692284269</v>
      </c>
      <c r="CN75" s="2340">
        <v>90031.329713400701</v>
      </c>
      <c r="CO75" s="2340">
        <v>90217.127685348649</v>
      </c>
      <c r="CP75" s="2340">
        <v>90440.572486747275</v>
      </c>
      <c r="CQ75" s="2340">
        <v>90634.282407548293</v>
      </c>
      <c r="CR75" s="2340">
        <v>90821.409421750519</v>
      </c>
      <c r="CS75" s="2340">
        <v>91018.795501736444</v>
      </c>
      <c r="CT75" s="2340">
        <v>91194.504143132173</v>
      </c>
      <c r="CU75" s="2340">
        <v>91362.278017372053</v>
      </c>
      <c r="CV75" s="2340">
        <v>91512.130540235841</v>
      </c>
      <c r="CW75" s="2340">
        <v>91691.122670275581</v>
      </c>
      <c r="CX75" s="2340">
        <v>91857.266910884995</v>
      </c>
      <c r="CY75" s="2340">
        <v>92011.310038369498</v>
      </c>
      <c r="CZ75" s="2340">
        <v>92137.487381199477</v>
      </c>
      <c r="DA75" s="2340">
        <v>92276.304650869715</v>
      </c>
      <c r="DB75" s="2340">
        <v>92426.808732289617</v>
      </c>
      <c r="DC75" s="2340">
        <v>92588.337211190796</v>
      </c>
      <c r="DD75" s="2340">
        <v>92717.512331185659</v>
      </c>
      <c r="DE75" s="2340">
        <v>92861.683758513929</v>
      </c>
      <c r="DF75" s="2340">
        <v>93033.744536676561</v>
      </c>
      <c r="DG75" s="2340">
        <v>93139.63914050255</v>
      </c>
      <c r="DH75" s="2340">
        <v>93280.019634178636</v>
      </c>
      <c r="DI75" s="2340">
        <v>93380.824116613585</v>
      </c>
      <c r="DJ75" s="2340">
        <v>93518.951428327418</v>
      </c>
      <c r="DK75" s="2340">
        <v>93653.440175388852</v>
      </c>
      <c r="DL75" s="2340">
        <v>93768.510968750576</v>
      </c>
      <c r="DM75" s="2340">
        <v>93863.278227570467</v>
      </c>
      <c r="DN75" s="2340">
        <v>93976.009656757902</v>
      </c>
      <c r="DO75" s="2340">
        <v>94099.777975513018</v>
      </c>
      <c r="DP75" s="2340">
        <v>94226.995976929262</v>
      </c>
      <c r="DQ75" s="2340">
        <v>94330.817481069491</v>
      </c>
      <c r="DR75" s="2340">
        <v>94433.363761477463</v>
      </c>
      <c r="DS75" s="2340">
        <v>94545.233373175724</v>
      </c>
      <c r="DT75" s="2340">
        <v>94657.288730097687</v>
      </c>
      <c r="DU75" s="2340">
        <v>94766.97221183659</v>
      </c>
    </row>
    <row r="76" spans="1:125" ht="12.75">
      <c r="A76" s="135">
        <v>74</v>
      </c>
      <c r="W76" s="136">
        <v>58549</v>
      </c>
      <c r="X76" s="136">
        <v>59573</v>
      </c>
      <c r="Y76" s="2340">
        <v>60042.855688222524</v>
      </c>
      <c r="Z76" s="2340">
        <v>62060.757601858073</v>
      </c>
      <c r="AA76" s="2340">
        <v>62670.518360536385</v>
      </c>
      <c r="AB76" s="2340">
        <v>63591.924994389214</v>
      </c>
      <c r="AC76" s="2340">
        <v>64751.740336843774</v>
      </c>
      <c r="AD76" s="2340">
        <v>65703.011571179435</v>
      </c>
      <c r="AE76" s="2340">
        <v>66147.098252600801</v>
      </c>
      <c r="AF76" s="2340">
        <v>67360.213423623107</v>
      </c>
      <c r="AG76" s="2340">
        <v>68183.655770128418</v>
      </c>
      <c r="AH76" s="2340">
        <v>68773.053800473339</v>
      </c>
      <c r="AI76" s="2340">
        <v>69519.652890681959</v>
      </c>
      <c r="AJ76" s="2340">
        <v>71077.359315623195</v>
      </c>
      <c r="AK76" s="2340">
        <v>71589.373772241219</v>
      </c>
      <c r="AL76" s="2340">
        <v>72573.887570634135</v>
      </c>
      <c r="AM76" s="2340">
        <v>73304.181893654633</v>
      </c>
      <c r="AN76" s="2340">
        <v>74091.151319848577</v>
      </c>
      <c r="AO76" s="2340">
        <v>74420.715317563881</v>
      </c>
      <c r="AP76" s="2340">
        <v>74726.773830940045</v>
      </c>
      <c r="AQ76" s="2340">
        <v>74811.39887259157</v>
      </c>
      <c r="AR76" s="2340">
        <v>74757.484378852052</v>
      </c>
      <c r="AS76" s="2340">
        <v>74319.517839351451</v>
      </c>
      <c r="AT76" s="2340">
        <v>73422.676029350099</v>
      </c>
      <c r="AU76" s="2340">
        <v>72413.11052037777</v>
      </c>
      <c r="AV76" s="2340">
        <v>72476.859201237166</v>
      </c>
      <c r="AW76" s="2340">
        <v>73197.753791293115</v>
      </c>
      <c r="AX76" s="2340">
        <v>74601.998602684122</v>
      </c>
      <c r="AY76" s="2340">
        <v>76080.330151574322</v>
      </c>
      <c r="AZ76" s="2340">
        <v>76250.068454015825</v>
      </c>
      <c r="BA76" s="2340">
        <v>76393.088444203604</v>
      </c>
      <c r="BB76" s="2340">
        <v>76973.354077428317</v>
      </c>
      <c r="BC76" s="2340">
        <v>77268.778387889441</v>
      </c>
      <c r="BD76" s="2340">
        <v>77556.533730227573</v>
      </c>
      <c r="BE76" s="2340">
        <v>77795.230758125428</v>
      </c>
      <c r="BF76" s="2340">
        <v>78232.187154481158</v>
      </c>
      <c r="BG76" s="2340">
        <v>78604.258875753119</v>
      </c>
      <c r="BH76" s="2340">
        <v>79087.827391603292</v>
      </c>
      <c r="BI76" s="2340">
        <v>79366.242814141791</v>
      </c>
      <c r="BJ76" s="2340">
        <v>79766.125596663915</v>
      </c>
      <c r="BK76" s="2340">
        <v>80221.159328452617</v>
      </c>
      <c r="BL76" s="2340">
        <v>80818.426122493984</v>
      </c>
      <c r="BM76" s="2340">
        <v>81308.234649794467</v>
      </c>
      <c r="BN76" s="2340">
        <v>81785.788026064285</v>
      </c>
      <c r="BO76" s="2340">
        <v>82140.394793755986</v>
      </c>
      <c r="BP76" s="2340">
        <v>82554.493399795712</v>
      </c>
      <c r="BQ76" s="2340">
        <v>82871.498266723269</v>
      </c>
      <c r="BR76" s="2340">
        <v>83205.605102091693</v>
      </c>
      <c r="BS76" s="2340">
        <v>83446.081867925168</v>
      </c>
      <c r="BT76" s="2340">
        <v>83746.466027134258</v>
      </c>
      <c r="BU76" s="2340">
        <v>84003.15716635123</v>
      </c>
      <c r="BV76" s="2340">
        <v>84317.084299762122</v>
      </c>
      <c r="BW76" s="2340">
        <v>84627.990756906089</v>
      </c>
      <c r="BX76" s="2340">
        <v>84929.574839146313</v>
      </c>
      <c r="BY76" s="2340">
        <v>85224.388753576815</v>
      </c>
      <c r="BZ76" s="2340">
        <v>85622.997123893045</v>
      </c>
      <c r="CA76" s="2340">
        <v>85962.792246645942</v>
      </c>
      <c r="CB76" s="2340">
        <v>86266.899267008295</v>
      </c>
      <c r="CC76" s="2340">
        <v>86534.696323606084</v>
      </c>
      <c r="CD76" s="2340">
        <v>86805.389329627054</v>
      </c>
      <c r="CE76" s="2340">
        <v>87067.495776770505</v>
      </c>
      <c r="CF76" s="2340">
        <v>87334.226545687154</v>
      </c>
      <c r="CG76" s="2340">
        <v>87606.139947129181</v>
      </c>
      <c r="CH76" s="2340">
        <v>87854.15541883673</v>
      </c>
      <c r="CI76" s="2340">
        <v>88140.734210895287</v>
      </c>
      <c r="CJ76" s="2340">
        <v>88352.427219851219</v>
      </c>
      <c r="CK76" s="2340">
        <v>88597.7466018454</v>
      </c>
      <c r="CL76" s="2340">
        <v>88862.58050132342</v>
      </c>
      <c r="CM76" s="2340">
        <v>89080.565795356728</v>
      </c>
      <c r="CN76" s="2340">
        <v>89326.798551404834</v>
      </c>
      <c r="CO76" s="2340">
        <v>89524.402453821007</v>
      </c>
      <c r="CP76" s="2340">
        <v>89759.174601899998</v>
      </c>
      <c r="CQ76" s="2340">
        <v>89964.250558401327</v>
      </c>
      <c r="CR76" s="2340">
        <v>90162.604778507855</v>
      </c>
      <c r="CS76" s="2340">
        <v>90370.959668691081</v>
      </c>
      <c r="CT76" s="2340">
        <v>90557.608883920489</v>
      </c>
      <c r="CU76" s="2340">
        <v>90736.195268311145</v>
      </c>
      <c r="CV76" s="2340">
        <v>90896.799317694051</v>
      </c>
      <c r="CW76" s="2340">
        <v>91086.167707445435</v>
      </c>
      <c r="CX76" s="2340">
        <v>91262.598675602174</v>
      </c>
      <c r="CY76" s="2340">
        <v>91426.832395370715</v>
      </c>
      <c r="CZ76" s="2340">
        <v>91563.200993957624</v>
      </c>
      <c r="DA76" s="2340">
        <v>91711.955573544983</v>
      </c>
      <c r="DB76" s="2340">
        <v>91872.156134739198</v>
      </c>
      <c r="DC76" s="2340">
        <v>92043.151022020204</v>
      </c>
      <c r="DD76" s="2340">
        <v>92181.819543190504</v>
      </c>
      <c r="DE76" s="2340">
        <v>92335.235066885289</v>
      </c>
      <c r="DF76" s="2340">
        <v>92516.226529345906</v>
      </c>
      <c r="DG76" s="2340">
        <v>92631.26320634158</v>
      </c>
      <c r="DH76" s="2340">
        <v>92780.440225992788</v>
      </c>
      <c r="DI76" s="2340">
        <v>92890.098114398832</v>
      </c>
      <c r="DJ76" s="2340">
        <v>93036.73004468529</v>
      </c>
      <c r="DK76" s="2340">
        <v>93179.595462702811</v>
      </c>
      <c r="DL76" s="2340">
        <v>93302.994776918407</v>
      </c>
      <c r="DM76" s="2340">
        <v>93406.043763500347</v>
      </c>
      <c r="DN76" s="2340">
        <v>93526.824177900708</v>
      </c>
      <c r="DO76" s="2340">
        <v>93658.448662352239</v>
      </c>
      <c r="DP76" s="2340">
        <v>93793.37030162572</v>
      </c>
      <c r="DQ76" s="2340">
        <v>93904.867395861322</v>
      </c>
      <c r="DR76" s="2340">
        <v>94014.959558012328</v>
      </c>
      <c r="DS76" s="2340">
        <v>94134.201324832233</v>
      </c>
      <c r="DT76" s="2340">
        <v>94253.49871471322</v>
      </c>
      <c r="DU76" s="2340">
        <v>94370.307114814874</v>
      </c>
    </row>
    <row r="77" spans="1:125" ht="12.75">
      <c r="A77" s="135">
        <v>75</v>
      </c>
      <c r="W77" s="136">
        <v>56841</v>
      </c>
      <c r="X77" s="136">
        <v>57930</v>
      </c>
      <c r="Y77" s="2340">
        <v>58469.526070805216</v>
      </c>
      <c r="Z77" s="2340">
        <v>60456.887749976631</v>
      </c>
      <c r="AA77" s="2340">
        <v>61151.603530645101</v>
      </c>
      <c r="AB77" s="2340">
        <v>62082.069531841771</v>
      </c>
      <c r="AC77" s="2340">
        <v>63256.170266569658</v>
      </c>
      <c r="AD77" s="2340">
        <v>64156.517978723299</v>
      </c>
      <c r="AE77" s="2340">
        <v>64677.592853968315</v>
      </c>
      <c r="AF77" s="2340">
        <v>65909.792890289493</v>
      </c>
      <c r="AG77" s="2340">
        <v>66767.041674016989</v>
      </c>
      <c r="AH77" s="2340">
        <v>67387.115042657737</v>
      </c>
      <c r="AI77" s="2340">
        <v>68153.802398190019</v>
      </c>
      <c r="AJ77" s="2340">
        <v>69703.602970968612</v>
      </c>
      <c r="AK77" s="2340">
        <v>70259.67687177773</v>
      </c>
      <c r="AL77" s="2340">
        <v>71228.784196890498</v>
      </c>
      <c r="AM77" s="2340">
        <v>71989.095727235137</v>
      </c>
      <c r="AN77" s="2340">
        <v>72792.502607483882</v>
      </c>
      <c r="AO77" s="2340">
        <v>73174.781300535222</v>
      </c>
      <c r="AP77" s="2340">
        <v>73432.97789907176</v>
      </c>
      <c r="AQ77" s="2340">
        <v>73528.713547487394</v>
      </c>
      <c r="AR77" s="2340">
        <v>73446.192188761866</v>
      </c>
      <c r="AS77" s="2340">
        <v>72983.200423032598</v>
      </c>
      <c r="AT77" s="2340">
        <v>72104.983308329945</v>
      </c>
      <c r="AU77" s="2340">
        <v>71065.053928293462</v>
      </c>
      <c r="AV77" s="2340">
        <v>71113.720870024204</v>
      </c>
      <c r="AW77" s="2340">
        <v>71807.765039175894</v>
      </c>
      <c r="AX77" s="2340">
        <v>73188.108118218588</v>
      </c>
      <c r="AY77" s="2340">
        <v>74665.736778551713</v>
      </c>
      <c r="AZ77" s="2340">
        <v>74859.176515536237</v>
      </c>
      <c r="BA77" s="2340">
        <v>75025.985742100325</v>
      </c>
      <c r="BB77" s="2340">
        <v>75621.961883105789</v>
      </c>
      <c r="BC77" s="2340">
        <v>75937.898192230408</v>
      </c>
      <c r="BD77" s="2340">
        <v>76246.002941144427</v>
      </c>
      <c r="BE77" s="2340">
        <v>76505.569265584505</v>
      </c>
      <c r="BF77" s="2340">
        <v>76959.850166249453</v>
      </c>
      <c r="BG77" s="2340">
        <v>77350.088092369697</v>
      </c>
      <c r="BH77" s="2340">
        <v>77849.845851494989</v>
      </c>
      <c r="BI77" s="2340">
        <v>78147.437704215496</v>
      </c>
      <c r="BJ77" s="2340">
        <v>78564.384635083377</v>
      </c>
      <c r="BK77" s="2340">
        <v>79034.852674565147</v>
      </c>
      <c r="BL77" s="2340">
        <v>79645.328682854204</v>
      </c>
      <c r="BM77" s="2340">
        <v>80149.793713290754</v>
      </c>
      <c r="BN77" s="2340">
        <v>80642.033376161969</v>
      </c>
      <c r="BO77" s="2340">
        <v>81012.866413751239</v>
      </c>
      <c r="BP77" s="2340">
        <v>81442.180231715072</v>
      </c>
      <c r="BQ77" s="2340">
        <v>81775.506684455497</v>
      </c>
      <c r="BR77" s="2340">
        <v>82125.489406340203</v>
      </c>
      <c r="BS77" s="2340">
        <v>82382.822275898303</v>
      </c>
      <c r="BT77" s="2340">
        <v>82699.0589231208</v>
      </c>
      <c r="BU77" s="2340">
        <v>82971.915859874978</v>
      </c>
      <c r="BV77" s="2340">
        <v>83301.079083597826</v>
      </c>
      <c r="BW77" s="2340">
        <v>83627.046128310292</v>
      </c>
      <c r="BX77" s="2340">
        <v>83943.589086924054</v>
      </c>
      <c r="BY77" s="2340">
        <v>84253.227716312322</v>
      </c>
      <c r="BZ77" s="2340">
        <v>84665.288392598362</v>
      </c>
      <c r="CA77" s="2340">
        <v>85019.015656108357</v>
      </c>
      <c r="CB77" s="2340">
        <v>85337.251262859572</v>
      </c>
      <c r="CC77" s="2340">
        <v>85619.360851713398</v>
      </c>
      <c r="CD77" s="2340">
        <v>85904.124603083867</v>
      </c>
      <c r="CE77" s="2340">
        <v>86180.181632903026</v>
      </c>
      <c r="CF77" s="2340">
        <v>86460.608703800361</v>
      </c>
      <c r="CG77" s="2340">
        <v>86745.964131965928</v>
      </c>
      <c r="CH77" s="2340">
        <v>87007.453280574831</v>
      </c>
      <c r="CI77" s="2340">
        <v>87306.936538789989</v>
      </c>
      <c r="CJ77" s="2340">
        <v>87532.041361845215</v>
      </c>
      <c r="CK77" s="2340">
        <v>87790.254984765779</v>
      </c>
      <c r="CL77" s="2340">
        <v>88067.611978577479</v>
      </c>
      <c r="CM77" s="2340">
        <v>88298.34448236569</v>
      </c>
      <c r="CN77" s="2340">
        <v>88556.88118940001</v>
      </c>
      <c r="CO77" s="2340">
        <v>88767.012673337013</v>
      </c>
      <c r="CP77" s="2340">
        <v>89013.803542845213</v>
      </c>
      <c r="CQ77" s="2340">
        <v>89230.95457154249</v>
      </c>
      <c r="CR77" s="2340">
        <v>89441.245773570641</v>
      </c>
      <c r="CS77" s="2340">
        <v>89661.268227379071</v>
      </c>
      <c r="CT77" s="2340">
        <v>89859.567314533473</v>
      </c>
      <c r="CU77" s="2340">
        <v>90049.676254390724</v>
      </c>
      <c r="CV77" s="2340">
        <v>90221.748819104265</v>
      </c>
      <c r="CW77" s="2340">
        <v>90422.186530900784</v>
      </c>
      <c r="CX77" s="2340">
        <v>90609.60070100025</v>
      </c>
      <c r="CY77" s="2340">
        <v>90784.724008539255</v>
      </c>
      <c r="CZ77" s="2340">
        <v>90931.994727212266</v>
      </c>
      <c r="DA77" s="2340">
        <v>91091.383890048659</v>
      </c>
      <c r="DB77" s="2340">
        <v>91261.96544659439</v>
      </c>
      <c r="DC77" s="2340">
        <v>91443.099128180533</v>
      </c>
      <c r="DD77" s="2340">
        <v>91591.946873070308</v>
      </c>
      <c r="DE77" s="2340">
        <v>91755.277627376898</v>
      </c>
      <c r="DF77" s="2340">
        <v>91945.849218367453</v>
      </c>
      <c r="DG77" s="2340">
        <v>92070.709042336253</v>
      </c>
      <c r="DH77" s="2340">
        <v>92229.338093878119</v>
      </c>
      <c r="DI77" s="2340">
        <v>92348.520443852525</v>
      </c>
      <c r="DJ77" s="2340">
        <v>92504.301375950396</v>
      </c>
      <c r="DK77" s="2340">
        <v>92656.183697080181</v>
      </c>
      <c r="DL77" s="2340">
        <v>92788.555748025465</v>
      </c>
      <c r="DM77" s="2340">
        <v>92900.53467304782</v>
      </c>
      <c r="DN77" s="2340">
        <v>93029.996427441511</v>
      </c>
      <c r="DO77" s="2340">
        <v>93170.097434736745</v>
      </c>
      <c r="DP77" s="2340">
        <v>93313.335049629968</v>
      </c>
      <c r="DQ77" s="2340">
        <v>93433.125161808013</v>
      </c>
      <c r="DR77" s="2340">
        <v>93551.374654191372</v>
      </c>
      <c r="DS77" s="2340">
        <v>93678.589035667392</v>
      </c>
      <c r="DT77" s="2340">
        <v>93805.722383458327</v>
      </c>
      <c r="DU77" s="2340">
        <v>93930.244284395187</v>
      </c>
    </row>
    <row r="78" spans="1:125" ht="12.75">
      <c r="A78" s="135">
        <v>76</v>
      </c>
      <c r="W78" s="136">
        <v>55099</v>
      </c>
      <c r="X78" s="136">
        <v>56228</v>
      </c>
      <c r="Y78" s="2340">
        <v>56764.32106155777</v>
      </c>
      <c r="Z78" s="2340">
        <v>58791.361750127187</v>
      </c>
      <c r="AA78" s="2340">
        <v>59512.947556012245</v>
      </c>
      <c r="AB78" s="2340">
        <v>60467.324790505481</v>
      </c>
      <c r="AC78" s="2340">
        <v>61540.135578599227</v>
      </c>
      <c r="AD78" s="2340">
        <v>62504.216521774077</v>
      </c>
      <c r="AE78" s="2340">
        <v>63132.987724881059</v>
      </c>
      <c r="AF78" s="2340">
        <v>64356.089965020605</v>
      </c>
      <c r="AG78" s="2340">
        <v>65232.032475371539</v>
      </c>
      <c r="AH78" s="2340">
        <v>65840.299610455753</v>
      </c>
      <c r="AI78" s="2340">
        <v>66610.618932911617</v>
      </c>
      <c r="AJ78" s="2340">
        <v>68195.709313707091</v>
      </c>
      <c r="AK78" s="2340">
        <v>68771.771766140359</v>
      </c>
      <c r="AL78" s="2340">
        <v>69745.571028724866</v>
      </c>
      <c r="AM78" s="2340">
        <v>70535.344599742486</v>
      </c>
      <c r="AN78" s="2340">
        <v>71410.016256425428</v>
      </c>
      <c r="AO78" s="2340">
        <v>71752.508789331638</v>
      </c>
      <c r="AP78" s="2340">
        <v>72058.083927575019</v>
      </c>
      <c r="AQ78" s="2340">
        <v>72105.143867114151</v>
      </c>
      <c r="AR78" s="2340">
        <v>72007.519638104088</v>
      </c>
      <c r="AS78" s="2340">
        <v>71541.423476220065</v>
      </c>
      <c r="AT78" s="2340">
        <v>70673.854565942587</v>
      </c>
      <c r="AU78" s="2340">
        <v>69590.073824033345</v>
      </c>
      <c r="AV78" s="2340">
        <v>69557.866243842291</v>
      </c>
      <c r="AW78" s="2340">
        <v>70299.441522144232</v>
      </c>
      <c r="AX78" s="2340">
        <v>71679.447758585855</v>
      </c>
      <c r="AY78" s="2340">
        <v>73155.308252760471</v>
      </c>
      <c r="AZ78" s="2340">
        <v>73373.063850738108</v>
      </c>
      <c r="BA78" s="2340">
        <v>73564.32606604413</v>
      </c>
      <c r="BB78" s="2340">
        <v>74176.154754516101</v>
      </c>
      <c r="BC78" s="2340">
        <v>74513.11474854582</v>
      </c>
      <c r="BD78" s="2340">
        <v>74842.105977923842</v>
      </c>
      <c r="BE78" s="2340">
        <v>75123.152252570231</v>
      </c>
      <c r="BF78" s="2340">
        <v>75595.147317288225</v>
      </c>
      <c r="BG78" s="2340">
        <v>76004.03384385223</v>
      </c>
      <c r="BH78" s="2340">
        <v>76520.348816115118</v>
      </c>
      <c r="BI78" s="2340">
        <v>76837.736505451714</v>
      </c>
      <c r="BJ78" s="2340">
        <v>77271.522133644074</v>
      </c>
      <c r="BK78" s="2340">
        <v>77757.783512008202</v>
      </c>
      <c r="BL78" s="2340">
        <v>78381.683276750497</v>
      </c>
      <c r="BM78" s="2340">
        <v>78901.155945785038</v>
      </c>
      <c r="BN78" s="2340">
        <v>79408.46089676398</v>
      </c>
      <c r="BO78" s="2340">
        <v>79796.046398727471</v>
      </c>
      <c r="BP78" s="2340">
        <v>80241.047833909775</v>
      </c>
      <c r="BQ78" s="2340">
        <v>80591.282632270246</v>
      </c>
      <c r="BR78" s="2340">
        <v>80957.718238166708</v>
      </c>
      <c r="BS78" s="2340">
        <v>81232.58989963615</v>
      </c>
      <c r="BT78" s="2340">
        <v>81565.305442647892</v>
      </c>
      <c r="BU78" s="2340">
        <v>81855.005477413215</v>
      </c>
      <c r="BV78" s="2340">
        <v>82200.029236263392</v>
      </c>
      <c r="BW78" s="2340">
        <v>82541.690020362352</v>
      </c>
      <c r="BX78" s="2340">
        <v>82873.839381355399</v>
      </c>
      <c r="BY78" s="2340">
        <v>83198.961394824495</v>
      </c>
      <c r="BZ78" s="2340">
        <v>83625.036962135287</v>
      </c>
      <c r="CA78" s="2340">
        <v>83993.320874359051</v>
      </c>
      <c r="CB78" s="2340">
        <v>84326.347373210316</v>
      </c>
      <c r="CC78" s="2340">
        <v>84623.468623867666</v>
      </c>
      <c r="CD78" s="2340">
        <v>84923.001455570324</v>
      </c>
      <c r="CE78" s="2340">
        <v>85213.71680278641</v>
      </c>
      <c r="CF78" s="2340">
        <v>85508.544838501926</v>
      </c>
      <c r="CG78" s="2340">
        <v>85808.04322704277</v>
      </c>
      <c r="CH78" s="2340">
        <v>86083.728619312475</v>
      </c>
      <c r="CI78" s="2340">
        <v>86396.805396181007</v>
      </c>
      <c r="CJ78" s="2340">
        <v>86636.075574643895</v>
      </c>
      <c r="CK78" s="2340">
        <v>86907.907151052874</v>
      </c>
      <c r="CL78" s="2340">
        <v>87198.493712300391</v>
      </c>
      <c r="CM78" s="2340">
        <v>87442.717715479346</v>
      </c>
      <c r="CN78" s="2340">
        <v>87714.277690185467</v>
      </c>
      <c r="CO78" s="2340">
        <v>87937.69352348613</v>
      </c>
      <c r="CP78" s="2340">
        <v>88197.227579403014</v>
      </c>
      <c r="CQ78" s="2340">
        <v>88427.199148496729</v>
      </c>
      <c r="CR78" s="2340">
        <v>88650.174961461176</v>
      </c>
      <c r="CS78" s="2340">
        <v>88882.601634329723</v>
      </c>
      <c r="CT78" s="2340">
        <v>89093.300297715308</v>
      </c>
      <c r="CU78" s="2340">
        <v>89295.683610400534</v>
      </c>
      <c r="CV78" s="2340">
        <v>89479.98552590367</v>
      </c>
      <c r="CW78" s="2340">
        <v>89692.227903798572</v>
      </c>
      <c r="CX78" s="2340">
        <v>89891.365640057571</v>
      </c>
      <c r="CY78" s="2340">
        <v>90078.12291271516</v>
      </c>
      <c r="CZ78" s="2340">
        <v>90237.054597403563</v>
      </c>
      <c r="DA78" s="2340">
        <v>90407.823141000757</v>
      </c>
      <c r="DB78" s="2340">
        <v>90589.517334627846</v>
      </c>
      <c r="DC78" s="2340">
        <v>90781.508961901243</v>
      </c>
      <c r="DD78" s="2340">
        <v>90941.271245957294</v>
      </c>
      <c r="DE78" s="2340">
        <v>91115.237141170248</v>
      </c>
      <c r="DF78" s="2340">
        <v>91316.085458708447</v>
      </c>
      <c r="DG78" s="2340">
        <v>91451.501598675066</v>
      </c>
      <c r="DH78" s="2340">
        <v>91620.288137270531</v>
      </c>
      <c r="DI78" s="2340">
        <v>91749.718901163142</v>
      </c>
      <c r="DJ78" s="2340">
        <v>91915.343762518984</v>
      </c>
      <c r="DK78" s="2340">
        <v>92076.934200141346</v>
      </c>
      <c r="DL78" s="2340">
        <v>92218.975637347234</v>
      </c>
      <c r="DM78" s="2340">
        <v>92340.586595237022</v>
      </c>
      <c r="DN78" s="2340">
        <v>92479.414828251203</v>
      </c>
      <c r="DO78" s="2340">
        <v>92628.664858580742</v>
      </c>
      <c r="DP78" s="2340">
        <v>92780.882773268779</v>
      </c>
      <c r="DQ78" s="2340">
        <v>92909.636842113716</v>
      </c>
      <c r="DR78" s="2340">
        <v>93036.708702501259</v>
      </c>
      <c r="DS78" s="2340">
        <v>93172.549149520069</v>
      </c>
      <c r="DT78" s="2340">
        <v>93308.165332942706</v>
      </c>
      <c r="DU78" s="2340">
        <v>93441.042369617047</v>
      </c>
    </row>
    <row r="79" spans="1:125" ht="12.75">
      <c r="A79" s="135">
        <v>77</v>
      </c>
      <c r="W79" s="136">
        <v>53279</v>
      </c>
      <c r="X79" s="136">
        <v>54371</v>
      </c>
      <c r="Y79" s="2340">
        <v>54975.374604505545</v>
      </c>
      <c r="Z79" s="2340">
        <v>57003.067827618353</v>
      </c>
      <c r="AA79" s="2340">
        <v>57742.084100518936</v>
      </c>
      <c r="AB79" s="2340">
        <v>58667.944750001698</v>
      </c>
      <c r="AC79" s="2340">
        <v>59781.802290961903</v>
      </c>
      <c r="AD79" s="2340">
        <v>60761.28759179209</v>
      </c>
      <c r="AE79" s="2340">
        <v>61426.426394206814</v>
      </c>
      <c r="AF79" s="2340">
        <v>62711.529112307115</v>
      </c>
      <c r="AG79" s="2340">
        <v>63532.186197143237</v>
      </c>
      <c r="AH79" s="2340">
        <v>64185.201873415499</v>
      </c>
      <c r="AI79" s="2340">
        <v>64941.516596485963</v>
      </c>
      <c r="AJ79" s="2340">
        <v>66541.108126498191</v>
      </c>
      <c r="AK79" s="2340">
        <v>67148.605522040889</v>
      </c>
      <c r="AL79" s="2340">
        <v>68119.377171449829</v>
      </c>
      <c r="AM79" s="2340">
        <v>69003.941434602966</v>
      </c>
      <c r="AN79" s="2340">
        <v>69814.040884435395</v>
      </c>
      <c r="AO79" s="2340">
        <v>70215.54649509037</v>
      </c>
      <c r="AP79" s="2340">
        <v>70504.812157434091</v>
      </c>
      <c r="AQ79" s="2340">
        <v>70532.284691843219</v>
      </c>
      <c r="AR79" s="2340">
        <v>70496.809519527684</v>
      </c>
      <c r="AS79" s="2340">
        <v>69981.420378563271</v>
      </c>
      <c r="AT79" s="2340">
        <v>69050.19341234937</v>
      </c>
      <c r="AU79" s="2340">
        <v>67913.745761318787</v>
      </c>
      <c r="AV79" s="2340">
        <v>67937.934707511289</v>
      </c>
      <c r="AW79" s="2340">
        <v>68692.255683629453</v>
      </c>
      <c r="AX79" s="2340">
        <v>70070.756559186106</v>
      </c>
      <c r="AY79" s="2340">
        <v>71543.595312157413</v>
      </c>
      <c r="AZ79" s="2340">
        <v>71786.190321433693</v>
      </c>
      <c r="BA79" s="2340">
        <v>72002.485368919661</v>
      </c>
      <c r="BB79" s="2340">
        <v>72630.197065894463</v>
      </c>
      <c r="BC79" s="2340">
        <v>72988.606359843063</v>
      </c>
      <c r="BD79" s="2340">
        <v>73338.94008418826</v>
      </c>
      <c r="BE79" s="2340">
        <v>73642.004002378264</v>
      </c>
      <c r="BF79" s="2340">
        <v>74132.018859215517</v>
      </c>
      <c r="BG79" s="2340">
        <v>74559.961350904181</v>
      </c>
      <c r="BH79" s="2340">
        <v>75093.121638692523</v>
      </c>
      <c r="BI79" s="2340">
        <v>75430.020854135422</v>
      </c>
      <c r="BJ79" s="2340">
        <v>75880.980315496592</v>
      </c>
      <c r="BK79" s="2340">
        <v>76383.321725980757</v>
      </c>
      <c r="BL79" s="2340">
        <v>77020.778954162233</v>
      </c>
      <c r="BM79" s="2340">
        <v>77555.541676174442</v>
      </c>
      <c r="BN79" s="2340">
        <v>78078.226397211285</v>
      </c>
      <c r="BO79" s="2340">
        <v>78483.039484405905</v>
      </c>
      <c r="BP79" s="2340">
        <v>78944.147982009585</v>
      </c>
      <c r="BQ79" s="2340">
        <v>79311.836141360647</v>
      </c>
      <c r="BR79" s="2340">
        <v>79695.26142793482</v>
      </c>
      <c r="BS79" s="2340">
        <v>79988.325199083876</v>
      </c>
      <c r="BT79" s="2340">
        <v>80338.114453014074</v>
      </c>
      <c r="BU79" s="2340">
        <v>80645.309759360942</v>
      </c>
      <c r="BV79" s="2340">
        <v>81006.791213147008</v>
      </c>
      <c r="BW79" s="2340">
        <v>81364.754476091344</v>
      </c>
      <c r="BX79" s="2340">
        <v>81713.136688316299</v>
      </c>
      <c r="BY79" s="2340">
        <v>82054.382725411619</v>
      </c>
      <c r="BZ79" s="2340">
        <v>82495.011377482049</v>
      </c>
      <c r="CA79" s="2340">
        <v>82878.459378278538</v>
      </c>
      <c r="CB79" s="2340">
        <v>83226.927296102149</v>
      </c>
      <c r="CC79" s="2340">
        <v>83539.752818051405</v>
      </c>
      <c r="CD79" s="2340">
        <v>83854.748432561188</v>
      </c>
      <c r="CE79" s="2340">
        <v>84160.82798255542</v>
      </c>
      <c r="CF79" s="2340">
        <v>84470.761408910272</v>
      </c>
      <c r="CG79" s="2340">
        <v>84785.104960914032</v>
      </c>
      <c r="CH79" s="2340">
        <v>85075.714287824318</v>
      </c>
      <c r="CI79" s="2340">
        <v>85403.077385161931</v>
      </c>
      <c r="CJ79" s="2340">
        <v>85657.278124338074</v>
      </c>
      <c r="CK79" s="2340">
        <v>85943.461942007081</v>
      </c>
      <c r="CL79" s="2340">
        <v>86247.995155789889</v>
      </c>
      <c r="CM79" s="2340">
        <v>86506.470937336984</v>
      </c>
      <c r="CN79" s="2340">
        <v>86791.788701237776</v>
      </c>
      <c r="CO79" s="2340">
        <v>87029.266216288539</v>
      </c>
      <c r="CP79" s="2340">
        <v>87302.286890226984</v>
      </c>
      <c r="CQ79" s="2340">
        <v>87545.847136550859</v>
      </c>
      <c r="CR79" s="2340">
        <v>87782.279657652194</v>
      </c>
      <c r="CS79" s="2340">
        <v>88027.872101878718</v>
      </c>
      <c r="CT79" s="2340">
        <v>88251.747808224027</v>
      </c>
      <c r="CU79" s="2340">
        <v>88467.186803374949</v>
      </c>
      <c r="CV79" s="2340">
        <v>88664.51083235041</v>
      </c>
      <c r="CW79" s="2340">
        <v>88889.32393391231</v>
      </c>
      <c r="CX79" s="2340">
        <v>89100.958267983398</v>
      </c>
      <c r="CY79" s="2340">
        <v>89300.128385591859</v>
      </c>
      <c r="CZ79" s="2340">
        <v>89471.517332917283</v>
      </c>
      <c r="DA79" s="2340">
        <v>89654.447372445633</v>
      </c>
      <c r="DB79" s="2340">
        <v>89848.023078233135</v>
      </c>
      <c r="DC79" s="2340">
        <v>90051.628978815483</v>
      </c>
      <c r="DD79" s="2340">
        <v>90223.081355897419</v>
      </c>
      <c r="DE79" s="2340">
        <v>90408.442111611788</v>
      </c>
      <c r="DF79" s="2340">
        <v>90620.302202806386</v>
      </c>
      <c r="DG79" s="2340">
        <v>90767.051581734311</v>
      </c>
      <c r="DH79" s="2340">
        <v>90946.742912537913</v>
      </c>
      <c r="DI79" s="2340">
        <v>91087.191170176447</v>
      </c>
      <c r="DJ79" s="2340">
        <v>91263.397882957855</v>
      </c>
      <c r="DK79" s="2340">
        <v>91435.431350315484</v>
      </c>
      <c r="DL79" s="2340">
        <v>91587.884263955202</v>
      </c>
      <c r="DM79" s="2340">
        <v>91719.876527726665</v>
      </c>
      <c r="DN79" s="2340">
        <v>91868.802675249462</v>
      </c>
      <c r="DO79" s="2340">
        <v>92027.920106823003</v>
      </c>
      <c r="DP79" s="2340">
        <v>92189.82859477184</v>
      </c>
      <c r="DQ79" s="2340">
        <v>92328.265306483736</v>
      </c>
      <c r="DR79" s="2340">
        <v>92464.872626430442</v>
      </c>
      <c r="DS79" s="2340">
        <v>92610.040246447155</v>
      </c>
      <c r="DT79" s="2340">
        <v>92754.833974171808</v>
      </c>
      <c r="DU79" s="2340">
        <v>92896.755925174497</v>
      </c>
    </row>
    <row r="80" spans="1:125" ht="12.75">
      <c r="A80" s="135">
        <v>78</v>
      </c>
      <c r="W80" s="136">
        <v>51316</v>
      </c>
      <c r="X80" s="136">
        <v>52455</v>
      </c>
      <c r="Y80" s="2340">
        <v>53098.969007208005</v>
      </c>
      <c r="Z80" s="2340">
        <v>55098.366419538761</v>
      </c>
      <c r="AA80" s="2340">
        <v>55811.273517632333</v>
      </c>
      <c r="AB80" s="2340">
        <v>56783.804764013446</v>
      </c>
      <c r="AC80" s="2340">
        <v>57954.37070778475</v>
      </c>
      <c r="AD80" s="2340">
        <v>58918.407644612751</v>
      </c>
      <c r="AE80" s="2340">
        <v>59614.85523417918</v>
      </c>
      <c r="AF80" s="2340">
        <v>60887.557493634762</v>
      </c>
      <c r="AG80" s="2340">
        <v>61688.697427375933</v>
      </c>
      <c r="AH80" s="2340">
        <v>62356.943247757983</v>
      </c>
      <c r="AI80" s="2340">
        <v>63162.738381939977</v>
      </c>
      <c r="AJ80" s="2340">
        <v>64750.791652205437</v>
      </c>
      <c r="AK80" s="2340">
        <v>65333.938562122414</v>
      </c>
      <c r="AL80" s="2340">
        <v>66407.665973149138</v>
      </c>
      <c r="AM80" s="2340">
        <v>67262.310190170305</v>
      </c>
      <c r="AN80" s="2340">
        <v>68142.447490776831</v>
      </c>
      <c r="AO80" s="2340">
        <v>68542.994512168458</v>
      </c>
      <c r="AP80" s="2340">
        <v>68808.576456181152</v>
      </c>
      <c r="AQ80" s="2340">
        <v>68866.392871598669</v>
      </c>
      <c r="AR80" s="2340">
        <v>68840.774934413828</v>
      </c>
      <c r="AS80" s="2340">
        <v>68195.243061252215</v>
      </c>
      <c r="AT80" s="2340">
        <v>67229.92579054278</v>
      </c>
      <c r="AU80" s="2340">
        <v>66159.868976912621</v>
      </c>
      <c r="AV80" s="2340">
        <v>66215.055165207363</v>
      </c>
      <c r="AW80" s="2340">
        <v>66981.64361990185</v>
      </c>
      <c r="AX80" s="2340">
        <v>68357.265912197065</v>
      </c>
      <c r="AY80" s="2340">
        <v>69825.620185963649</v>
      </c>
      <c r="AZ80" s="2340">
        <v>70093.458356617761</v>
      </c>
      <c r="BA80" s="2340">
        <v>70335.253682141381</v>
      </c>
      <c r="BB80" s="2340">
        <v>70978.74158942161</v>
      </c>
      <c r="BC80" s="2340">
        <v>71358.912995587103</v>
      </c>
      <c r="BD80" s="2340">
        <v>71730.937901781042</v>
      </c>
      <c r="BE80" s="2340">
        <v>72056.45823751128</v>
      </c>
      <c r="BF80" s="2340">
        <v>72564.689784657385</v>
      </c>
      <c r="BG80" s="2340">
        <v>73011.99607070387</v>
      </c>
      <c r="BH80" s="2340">
        <v>73561.20119955072</v>
      </c>
      <c r="BI80" s="2340">
        <v>73917.989521153911</v>
      </c>
      <c r="BJ80" s="2340">
        <v>74386.36300818398</v>
      </c>
      <c r="BK80" s="2340">
        <v>74904.975606045598</v>
      </c>
      <c r="BL80" s="2340">
        <v>75556.020536783835</v>
      </c>
      <c r="BM80" s="2340">
        <v>76106.264535404916</v>
      </c>
      <c r="BN80" s="2340">
        <v>76644.556860967074</v>
      </c>
      <c r="BO80" s="2340">
        <v>77066.999741410255</v>
      </c>
      <c r="BP80" s="2340">
        <v>77544.560397259294</v>
      </c>
      <c r="BQ80" s="2340">
        <v>77930.184190210202</v>
      </c>
      <c r="BR80" s="2340">
        <v>78331.075199860861</v>
      </c>
      <c r="BS80" s="2340">
        <v>78642.934949936782</v>
      </c>
      <c r="BT80" s="2340">
        <v>79010.341500321563</v>
      </c>
      <c r="BU80" s="2340">
        <v>79335.639973736863</v>
      </c>
      <c r="BV80" s="2340">
        <v>79714.130248230751</v>
      </c>
      <c r="BW80" s="2340">
        <v>80088.962007475755</v>
      </c>
      <c r="BX80" s="2340">
        <v>80454.164580335419</v>
      </c>
      <c r="BY80" s="2340">
        <v>80812.13983367481</v>
      </c>
      <c r="BZ80" s="2340">
        <v>81267.818191233018</v>
      </c>
      <c r="CA80" s="2340">
        <v>81667.003981911737</v>
      </c>
      <c r="CB80" s="2340">
        <v>82031.535884527606</v>
      </c>
      <c r="CC80" s="2340">
        <v>82360.736089541198</v>
      </c>
      <c r="CD80" s="2340">
        <v>82691.868295432156</v>
      </c>
      <c r="CE80" s="2340">
        <v>83014.001264027305</v>
      </c>
      <c r="CF80" s="2340">
        <v>83339.729850779418</v>
      </c>
      <c r="CG80" s="2340">
        <v>83669.60801138547</v>
      </c>
      <c r="CH80" s="2340">
        <v>83975.860537995322</v>
      </c>
      <c r="CI80" s="2340">
        <v>84318.193228727527</v>
      </c>
      <c r="CJ80" s="2340">
        <v>84588.08876605166</v>
      </c>
      <c r="CK80" s="2340">
        <v>84889.357333031294</v>
      </c>
      <c r="CL80" s="2340">
        <v>85208.552851983055</v>
      </c>
      <c r="CM80" s="2340">
        <v>85482.045189511889</v>
      </c>
      <c r="CN80" s="2340">
        <v>85781.859243211962</v>
      </c>
      <c r="CO80" s="2340">
        <v>86034.185674648979</v>
      </c>
      <c r="CP80" s="2340">
        <v>86321.444915055763</v>
      </c>
      <c r="CQ80" s="2340">
        <v>86579.374675965257</v>
      </c>
      <c r="CR80" s="2340">
        <v>86830.050885401957</v>
      </c>
      <c r="CS80" s="2340">
        <v>87089.586267926759</v>
      </c>
      <c r="CT80" s="2340">
        <v>87327.435402753326</v>
      </c>
      <c r="CU80" s="2340">
        <v>87556.732412498866</v>
      </c>
      <c r="CV80" s="2340">
        <v>87767.895191016403</v>
      </c>
      <c r="CW80" s="2340">
        <v>88006.067921461392</v>
      </c>
      <c r="CX80" s="2340">
        <v>88230.99706514542</v>
      </c>
      <c r="CY80" s="2340">
        <v>88443.386293671414</v>
      </c>
      <c r="CZ80" s="2340">
        <v>88628.05957993363</v>
      </c>
      <c r="DA80" s="2340">
        <v>88823.964116199451</v>
      </c>
      <c r="DB80" s="2340">
        <v>89030.221245222157</v>
      </c>
      <c r="DC80" s="2340">
        <v>89246.22895501474</v>
      </c>
      <c r="DD80" s="2340">
        <v>89430.181697074862</v>
      </c>
      <c r="DE80" s="2340">
        <v>89627.731518310437</v>
      </c>
      <c r="DF80" s="2340">
        <v>89851.371674710259</v>
      </c>
      <c r="DG80" s="2340">
        <v>90010.270378333866</v>
      </c>
      <c r="DH80" s="2340">
        <v>90201.651137142268</v>
      </c>
      <c r="DI80" s="2340">
        <v>90353.927040738126</v>
      </c>
      <c r="DJ80" s="2340">
        <v>90541.492508096679</v>
      </c>
      <c r="DK80" s="2340">
        <v>90724.743861514129</v>
      </c>
      <c r="DL80" s="2340">
        <v>90888.392364321509</v>
      </c>
      <c r="DM80" s="2340">
        <v>91031.559306840238</v>
      </c>
      <c r="DN80" s="2340">
        <v>91191.35814440118</v>
      </c>
      <c r="DO80" s="2340">
        <v>91361.104428650113</v>
      </c>
      <c r="DP80" s="2340">
        <v>91533.45709697534</v>
      </c>
      <c r="DQ80" s="2340">
        <v>91682.340604656172</v>
      </c>
      <c r="DR80" s="2340">
        <v>91829.242454386258</v>
      </c>
      <c r="DS80" s="2340">
        <v>91984.484076177847</v>
      </c>
      <c r="DT80" s="2340">
        <v>92139.196138736472</v>
      </c>
      <c r="DU80" s="2340">
        <v>92290.899372779779</v>
      </c>
    </row>
    <row r="81" spans="1:125" ht="12.75">
      <c r="A81" s="135">
        <v>79</v>
      </c>
      <c r="W81" s="136">
        <v>49256</v>
      </c>
      <c r="X81" s="136">
        <v>50462</v>
      </c>
      <c r="Y81" s="2340">
        <v>51067.742522424662</v>
      </c>
      <c r="Z81" s="2340">
        <v>52976.013781060523</v>
      </c>
      <c r="AA81" s="2340">
        <v>53779.211968305965</v>
      </c>
      <c r="AB81" s="2340">
        <v>54769.61783117646</v>
      </c>
      <c r="AC81" s="2340">
        <v>55981.569937263332</v>
      </c>
      <c r="AD81" s="2340">
        <v>56959.259592738643</v>
      </c>
      <c r="AE81" s="2340">
        <v>57603.920978449445</v>
      </c>
      <c r="AF81" s="2340">
        <v>58861.910814990719</v>
      </c>
      <c r="AG81" s="2340">
        <v>59704.282226397387</v>
      </c>
      <c r="AH81" s="2340">
        <v>60381.975293311647</v>
      </c>
      <c r="AI81" s="2340">
        <v>61171.890544454334</v>
      </c>
      <c r="AJ81" s="2340">
        <v>62732.162052648833</v>
      </c>
      <c r="AK81" s="2340">
        <v>63463.482737233586</v>
      </c>
      <c r="AL81" s="2340">
        <v>64458.93449189105</v>
      </c>
      <c r="AM81" s="2340">
        <v>65404.426960367622</v>
      </c>
      <c r="AN81" s="2340">
        <v>66251.205450041409</v>
      </c>
      <c r="AO81" s="2340">
        <v>66677.00768167786</v>
      </c>
      <c r="AP81" s="2340">
        <v>66970.013789107848</v>
      </c>
      <c r="AQ81" s="2340">
        <v>67039.462819872322</v>
      </c>
      <c r="AR81" s="2340">
        <v>66885.264597797257</v>
      </c>
      <c r="AS81" s="2340">
        <v>66240.721332006913</v>
      </c>
      <c r="AT81" s="2340">
        <v>65301.08992496632</v>
      </c>
      <c r="AU81" s="2340">
        <v>64295.348069425112</v>
      </c>
      <c r="AV81" s="2340">
        <v>64382.026120612543</v>
      </c>
      <c r="AW81" s="2340">
        <v>65160.230831075212</v>
      </c>
      <c r="AX81" s="2340">
        <v>66531.364832574327</v>
      </c>
      <c r="AY81" s="2340">
        <v>67993.52791151969</v>
      </c>
      <c r="AZ81" s="2340">
        <v>68286.908257011397</v>
      </c>
      <c r="BA81" s="2340">
        <v>68554.574997542455</v>
      </c>
      <c r="BB81" s="2340">
        <v>69213.595002488786</v>
      </c>
      <c r="BC81" s="2340">
        <v>69615.739203049045</v>
      </c>
      <c r="BD81" s="2340">
        <v>70009.707724790773</v>
      </c>
      <c r="BE81" s="2340">
        <v>70358.037304123267</v>
      </c>
      <c r="BF81" s="2340">
        <v>70884.579673567408</v>
      </c>
      <c r="BG81" s="2340">
        <v>71350.326015856612</v>
      </c>
      <c r="BH81" s="2340">
        <v>71915.550899587848</v>
      </c>
      <c r="BI81" s="2340">
        <v>72292.526640674216</v>
      </c>
      <c r="BJ81" s="2340">
        <v>72778.465343006101</v>
      </c>
      <c r="BK81" s="2340">
        <v>73313.448954857144</v>
      </c>
      <c r="BL81" s="2340">
        <v>73978.007837742247</v>
      </c>
      <c r="BM81" s="2340">
        <v>74543.836606684315</v>
      </c>
      <c r="BN81" s="2340">
        <v>75097.881831878403</v>
      </c>
      <c r="BO81" s="2340">
        <v>75538.292307144875</v>
      </c>
      <c r="BP81" s="2340">
        <v>76032.582532671586</v>
      </c>
      <c r="BQ81" s="2340">
        <v>76436.571596582755</v>
      </c>
      <c r="BR81" s="2340">
        <v>76855.353303846234</v>
      </c>
      <c r="BS81" s="2340">
        <v>77186.576380806044</v>
      </c>
      <c r="BT81" s="2340">
        <v>77572.103660810244</v>
      </c>
      <c r="BU81" s="2340">
        <v>77916.081552494288</v>
      </c>
      <c r="BV81" s="2340">
        <v>78312.09664672082</v>
      </c>
      <c r="BW81" s="2340">
        <v>78704.331345844432</v>
      </c>
      <c r="BX81" s="2340">
        <v>79086.914434738239</v>
      </c>
      <c r="BY81" s="2340">
        <v>79462.200584280363</v>
      </c>
      <c r="BZ81" s="2340">
        <v>79933.392521990216</v>
      </c>
      <c r="CA81" s="2340">
        <v>80348.866893697763</v>
      </c>
      <c r="CB81" s="2340">
        <v>80730.069459844104</v>
      </c>
      <c r="CC81" s="2340">
        <v>81076.305871751829</v>
      </c>
      <c r="CD81" s="2340">
        <v>81424.241915794875</v>
      </c>
      <c r="CE81" s="2340">
        <v>81763.11454746424</v>
      </c>
      <c r="CF81" s="2340">
        <v>82105.327071293053</v>
      </c>
      <c r="CG81" s="2340">
        <v>82451.430139844451</v>
      </c>
      <c r="CH81" s="2340">
        <v>82774.051117279421</v>
      </c>
      <c r="CI81" s="2340">
        <v>83132.040527469144</v>
      </c>
      <c r="CJ81" s="2340">
        <v>83418.409768458077</v>
      </c>
      <c r="CK81" s="2340">
        <v>83735.508554903994</v>
      </c>
      <c r="CL81" s="2340">
        <v>84070.094867029547</v>
      </c>
      <c r="CM81" s="2340">
        <v>84359.388698979295</v>
      </c>
      <c r="CN81" s="2340">
        <v>84674.45645806528</v>
      </c>
      <c r="CO81" s="2340">
        <v>84942.44528367254</v>
      </c>
      <c r="CP81" s="2340">
        <v>85244.718924835892</v>
      </c>
      <c r="CQ81" s="2340">
        <v>85517.827965217642</v>
      </c>
      <c r="CR81" s="2340">
        <v>85783.566171413957</v>
      </c>
      <c r="CS81" s="2340">
        <v>86057.853485599553</v>
      </c>
      <c r="CT81" s="2340">
        <v>86310.508169025445</v>
      </c>
      <c r="CU81" s="2340">
        <v>86554.503593632355</v>
      </c>
      <c r="CV81" s="2340">
        <v>86780.363153703976</v>
      </c>
      <c r="CW81" s="2340">
        <v>87032.724054056016</v>
      </c>
      <c r="CX81" s="2340">
        <v>87271.788526902368</v>
      </c>
      <c r="CY81" s="2340">
        <v>87498.247954618739</v>
      </c>
      <c r="CZ81" s="2340">
        <v>87697.081558395614</v>
      </c>
      <c r="DA81" s="2340">
        <v>87906.822272994395</v>
      </c>
      <c r="DB81" s="2340">
        <v>88126.60926874436</v>
      </c>
      <c r="DC81" s="2340">
        <v>88355.854750456914</v>
      </c>
      <c r="DD81" s="2340">
        <v>88553.17082467943</v>
      </c>
      <c r="DE81" s="2340">
        <v>88763.755996783133</v>
      </c>
      <c r="DF81" s="2340">
        <v>88999.994673353547</v>
      </c>
      <c r="DG81" s="2340">
        <v>89171.916383273492</v>
      </c>
      <c r="DH81" s="2340">
        <v>89375.826132300936</v>
      </c>
      <c r="DI81" s="2340">
        <v>89540.79936421974</v>
      </c>
      <c r="DJ81" s="2340">
        <v>89740.557034784797</v>
      </c>
      <c r="DK81" s="2340">
        <v>89935.858677514712</v>
      </c>
      <c r="DL81" s="2340">
        <v>90111.546890287354</v>
      </c>
      <c r="DM81" s="2340">
        <v>90266.744355505929</v>
      </c>
      <c r="DN81" s="2340">
        <v>90438.251914029854</v>
      </c>
      <c r="DO81" s="2340">
        <v>90619.449193194974</v>
      </c>
      <c r="DP81" s="2340">
        <v>90803.060467346877</v>
      </c>
      <c r="DQ81" s="2340">
        <v>90963.21830467791</v>
      </c>
      <c r="DR81" s="2340">
        <v>91121.237600345368</v>
      </c>
      <c r="DS81" s="2340">
        <v>91287.363374644046</v>
      </c>
      <c r="DT81" s="2340">
        <v>91452.798167809888</v>
      </c>
      <c r="DU81" s="2340">
        <v>91615.083139412091</v>
      </c>
    </row>
    <row r="82" spans="1:125" ht="12.75">
      <c r="A82" s="135">
        <v>80</v>
      </c>
      <c r="W82" s="136">
        <v>47085</v>
      </c>
      <c r="X82" s="136">
        <v>48254</v>
      </c>
      <c r="Y82" s="2340">
        <v>48862.085548555304</v>
      </c>
      <c r="Z82" s="2340">
        <v>50786.355220648591</v>
      </c>
      <c r="AA82" s="2340">
        <v>51587.917519886265</v>
      </c>
      <c r="AB82" s="2340">
        <v>52609.026122860414</v>
      </c>
      <c r="AC82" s="2340">
        <v>53867.327730373559</v>
      </c>
      <c r="AD82" s="2340">
        <v>54802.147108129815</v>
      </c>
      <c r="AE82" s="2340">
        <v>55434.54494363402</v>
      </c>
      <c r="AF82" s="2340">
        <v>56716.095234296146</v>
      </c>
      <c r="AG82" s="2340">
        <v>57555.025108128255</v>
      </c>
      <c r="AH82" s="2340">
        <v>58248.132575049647</v>
      </c>
      <c r="AI82" s="2340">
        <v>58955.086044541858</v>
      </c>
      <c r="AJ82" s="2340">
        <v>60636.098770831195</v>
      </c>
      <c r="AK82" s="2340">
        <v>61318.101150050585</v>
      </c>
      <c r="AL82" s="2340">
        <v>62363.136481957757</v>
      </c>
      <c r="AM82" s="2340">
        <v>63315.413056839177</v>
      </c>
      <c r="AN82" s="2340">
        <v>64186.694735023128</v>
      </c>
      <c r="AO82" s="2340">
        <v>64649.19098658875</v>
      </c>
      <c r="AP82" s="2340">
        <v>64946.544613457256</v>
      </c>
      <c r="AQ82" s="2340">
        <v>64907.732950658639</v>
      </c>
      <c r="AR82" s="2340">
        <v>64728.475467048949</v>
      </c>
      <c r="AS82" s="2340">
        <v>64121.139033459076</v>
      </c>
      <c r="AT82" s="2340">
        <v>63247.914252150236</v>
      </c>
      <c r="AU82" s="2340">
        <v>62308.952762117355</v>
      </c>
      <c r="AV82" s="2340">
        <v>62427.546178973636</v>
      </c>
      <c r="AW82" s="2340">
        <v>63216.529012861029</v>
      </c>
      <c r="AX82" s="2340">
        <v>64581.278185770985</v>
      </c>
      <c r="AY82" s="2340">
        <v>66035.244701662741</v>
      </c>
      <c r="AZ82" s="2340">
        <v>66354.380128562174</v>
      </c>
      <c r="BA82" s="2340">
        <v>66648.213467144611</v>
      </c>
      <c r="BB82" s="2340">
        <v>67322.380980767091</v>
      </c>
      <c r="BC82" s="2340">
        <v>67746.619309949412</v>
      </c>
      <c r="BD82" s="2340">
        <v>68162.70118019318</v>
      </c>
      <c r="BE82" s="2340">
        <v>68534.123397500036</v>
      </c>
      <c r="BF82" s="2340">
        <v>69077.655829758747</v>
      </c>
      <c r="BG82" s="2340">
        <v>69561.856657634664</v>
      </c>
      <c r="BH82" s="2340">
        <v>70142.971020530327</v>
      </c>
      <c r="BI82" s="2340">
        <v>70540.366207892803</v>
      </c>
      <c r="BJ82" s="2340">
        <v>71043.939318461125</v>
      </c>
      <c r="BK82" s="2340">
        <v>71595.307014064558</v>
      </c>
      <c r="BL82" s="2340">
        <v>72273.19980903923</v>
      </c>
      <c r="BM82" s="2340">
        <v>72854.63279471024</v>
      </c>
      <c r="BN82" s="2340">
        <v>73424.498414499816</v>
      </c>
      <c r="BO82" s="2340">
        <v>73883.161213943182</v>
      </c>
      <c r="BP82" s="2340">
        <v>74394.399443147922</v>
      </c>
      <c r="BQ82" s="2340">
        <v>74817.144664662061</v>
      </c>
      <c r="BR82" s="2340">
        <v>75254.204323674508</v>
      </c>
      <c r="BS82" s="2340">
        <v>75605.339775893328</v>
      </c>
      <c r="BT82" s="2340">
        <v>76009.466629148854</v>
      </c>
      <c r="BU82" s="2340">
        <v>76372.686484708669</v>
      </c>
      <c r="BV82" s="2340">
        <v>76786.722723703453</v>
      </c>
      <c r="BW82" s="2340">
        <v>77196.879106054752</v>
      </c>
      <c r="BX82" s="2340">
        <v>77597.392094236173</v>
      </c>
      <c r="BY82" s="2340">
        <v>77990.564463036557</v>
      </c>
      <c r="BZ82" s="2340">
        <v>78477.71371821317</v>
      </c>
      <c r="CA82" s="2340">
        <v>78910.020174638805</v>
      </c>
      <c r="CB82" s="2340">
        <v>79308.501711134581</v>
      </c>
      <c r="CC82" s="2340">
        <v>79672.446356577333</v>
      </c>
      <c r="CD82" s="2340">
        <v>80037.866390230818</v>
      </c>
      <c r="CE82" s="2340">
        <v>80394.182006963121</v>
      </c>
      <c r="CF82" s="2340">
        <v>80753.586285726982</v>
      </c>
      <c r="CG82" s="2340">
        <v>81116.625409903238</v>
      </c>
      <c r="CH82" s="2340">
        <v>81456.367287434128</v>
      </c>
      <c r="CI82" s="2340">
        <v>81830.724113208227</v>
      </c>
      <c r="CJ82" s="2340">
        <v>82134.383716684533</v>
      </c>
      <c r="CK82" s="2340">
        <v>82468.0929422263</v>
      </c>
      <c r="CL82" s="2340">
        <v>82818.832481036734</v>
      </c>
      <c r="CM82" s="2340">
        <v>83124.756106145171</v>
      </c>
      <c r="CN82" s="2340">
        <v>83455.876046219069</v>
      </c>
      <c r="CO82" s="2340">
        <v>83740.391233853574</v>
      </c>
      <c r="CP82" s="2340">
        <v>84058.501821442347</v>
      </c>
      <c r="CQ82" s="2340">
        <v>84347.652947746115</v>
      </c>
      <c r="CR82" s="2340">
        <v>84629.327240573839</v>
      </c>
      <c r="CS82" s="2340">
        <v>84919.23142816656</v>
      </c>
      <c r="CT82" s="2340">
        <v>85187.584545158941</v>
      </c>
      <c r="CU82" s="2340">
        <v>85447.182236029737</v>
      </c>
      <c r="CV82" s="2340">
        <v>85688.66410624166</v>
      </c>
      <c r="CW82" s="2340">
        <v>85956.10637617555</v>
      </c>
      <c r="CX82" s="2340">
        <v>86210.214540341345</v>
      </c>
      <c r="CY82" s="2340">
        <v>86451.666078010836</v>
      </c>
      <c r="CZ82" s="2340">
        <v>86665.611904383841</v>
      </c>
      <c r="DA82" s="2340">
        <v>86890.125705441518</v>
      </c>
      <c r="DB82" s="2340">
        <v>87124.365652932043</v>
      </c>
      <c r="DC82" s="2340">
        <v>87367.758998775171</v>
      </c>
      <c r="DD82" s="2340">
        <v>87579.380898044619</v>
      </c>
      <c r="DE82" s="2340">
        <v>87803.926054910437</v>
      </c>
      <c r="DF82" s="2340">
        <v>88053.657140707204</v>
      </c>
      <c r="DG82" s="2340">
        <v>88239.560649364896</v>
      </c>
      <c r="DH82" s="2340">
        <v>88456.920154635562</v>
      </c>
      <c r="DI82" s="2340">
        <v>88635.547482319977</v>
      </c>
      <c r="DJ82" s="2340">
        <v>88848.413583925401</v>
      </c>
      <c r="DK82" s="2340">
        <v>89056.681758815525</v>
      </c>
      <c r="DL82" s="2340">
        <v>89245.340668161996</v>
      </c>
      <c r="DM82" s="2340">
        <v>89413.514399456355</v>
      </c>
      <c r="DN82" s="2340">
        <v>89597.654719000377</v>
      </c>
      <c r="DO82" s="2340">
        <v>89791.212137840033</v>
      </c>
      <c r="DP82" s="2340">
        <v>89986.983375559954</v>
      </c>
      <c r="DQ82" s="2340">
        <v>90159.333203943956</v>
      </c>
      <c r="DR82" s="2340">
        <v>90329.38338432429</v>
      </c>
      <c r="DS82" s="2340">
        <v>90507.293064118698</v>
      </c>
      <c r="DT82" s="2340">
        <v>90684.344752731908</v>
      </c>
      <c r="DU82" s="2340">
        <v>90858.102122650511</v>
      </c>
    </row>
    <row r="83" spans="1:125" ht="12.75">
      <c r="A83" s="135">
        <v>81</v>
      </c>
      <c r="W83" s="136">
        <v>44734</v>
      </c>
      <c r="X83" s="136">
        <v>45814</v>
      </c>
      <c r="Y83" s="2340">
        <v>46542.268917539936</v>
      </c>
      <c r="Z83" s="2340">
        <v>48443.608196954388</v>
      </c>
      <c r="AA83" s="2340">
        <v>49253.112979249927</v>
      </c>
      <c r="AB83" s="2340">
        <v>50253.642512384271</v>
      </c>
      <c r="AC83" s="2340">
        <v>51506.887610760627</v>
      </c>
      <c r="AD83" s="2340">
        <v>52421.261580054248</v>
      </c>
      <c r="AE83" s="2340">
        <v>53112.143175757468</v>
      </c>
      <c r="AF83" s="2340">
        <v>54392.698590539396</v>
      </c>
      <c r="AG83" s="2340">
        <v>55213.851113111778</v>
      </c>
      <c r="AH83" s="2340">
        <v>55856.050024574353</v>
      </c>
      <c r="AI83" s="2340">
        <v>56679.933249845475</v>
      </c>
      <c r="AJ83" s="2340">
        <v>58240.209648859782</v>
      </c>
      <c r="AK83" s="2340">
        <v>58988.149879007993</v>
      </c>
      <c r="AL83" s="2340">
        <v>60022.143593486006</v>
      </c>
      <c r="AM83" s="2340">
        <v>61024.094471372708</v>
      </c>
      <c r="AN83" s="2340">
        <v>61956.958661000201</v>
      </c>
      <c r="AO83" s="2340">
        <v>62437.139816744544</v>
      </c>
      <c r="AP83" s="2340">
        <v>62591.210496495929</v>
      </c>
      <c r="AQ83" s="2340">
        <v>62497.104604386826</v>
      </c>
      <c r="AR83" s="2340">
        <v>62404.681580533703</v>
      </c>
      <c r="AS83" s="2340">
        <v>61858.442327546363</v>
      </c>
      <c r="AT83" s="2340">
        <v>61054.128487844908</v>
      </c>
      <c r="AU83" s="2340">
        <v>60184.625867460731</v>
      </c>
      <c r="AV83" s="2340">
        <v>60335.505863042788</v>
      </c>
      <c r="AW83" s="2340">
        <v>61134.209727724658</v>
      </c>
      <c r="AX83" s="2340">
        <v>62490.315895418447</v>
      </c>
      <c r="AY83" s="2340">
        <v>63933.701871845675</v>
      </c>
      <c r="AZ83" s="2340">
        <v>64278.726227772146</v>
      </c>
      <c r="BA83" s="2340">
        <v>64598.95496480335</v>
      </c>
      <c r="BB83" s="2340">
        <v>65287.726870836501</v>
      </c>
      <c r="BC83" s="2340">
        <v>65734.092658354479</v>
      </c>
      <c r="BD83" s="2340">
        <v>66172.377571256176</v>
      </c>
      <c r="BE83" s="2340">
        <v>66565.591453369707</v>
      </c>
      <c r="BF83" s="2340">
        <v>67125.871180028043</v>
      </c>
      <c r="BG83" s="2340">
        <v>67628.445705765378</v>
      </c>
      <c r="BH83" s="2340">
        <v>68225.203898861349</v>
      </c>
      <c r="BI83" s="2340">
        <v>68643.188015343971</v>
      </c>
      <c r="BJ83" s="2340">
        <v>69164.379504450044</v>
      </c>
      <c r="BK83" s="2340">
        <v>69732.051674398666</v>
      </c>
      <c r="BL83" s="2340">
        <v>70422.977964510137</v>
      </c>
      <c r="BM83" s="2340">
        <v>71019.944048404432</v>
      </c>
      <c r="BN83" s="2340">
        <v>71605.614784643709</v>
      </c>
      <c r="BO83" s="2340">
        <v>72082.764973301295</v>
      </c>
      <c r="BP83" s="2340">
        <v>72611.111091198225</v>
      </c>
      <c r="BQ83" s="2340">
        <v>73052.971698723166</v>
      </c>
      <c r="BR83" s="2340">
        <v>73508.665536419168</v>
      </c>
      <c r="BS83" s="2340">
        <v>73880.257125984339</v>
      </c>
      <c r="BT83" s="2340">
        <v>74303.447780126226</v>
      </c>
      <c r="BU83" s="2340">
        <v>74686.471632946734</v>
      </c>
      <c r="BV83" s="2340">
        <v>75119.016010019433</v>
      </c>
      <c r="BW83" s="2340">
        <v>75547.608228220997</v>
      </c>
      <c r="BX83" s="2340">
        <v>75966.601960407366</v>
      </c>
      <c r="BY83" s="2340">
        <v>76378.242701717681</v>
      </c>
      <c r="BZ83" s="2340">
        <v>76881.780564727131</v>
      </c>
      <c r="CA83" s="2340">
        <v>77331.467017271687</v>
      </c>
      <c r="CB83" s="2340">
        <v>77747.851754990697</v>
      </c>
      <c r="CC83" s="2340">
        <v>78130.204044415441</v>
      </c>
      <c r="CD83" s="2340">
        <v>78513.81831475177</v>
      </c>
      <c r="CE83" s="2340">
        <v>78888.315454581738</v>
      </c>
      <c r="CF83" s="2340">
        <v>79265.656672690486</v>
      </c>
      <c r="CG83" s="2340">
        <v>79646.382322855192</v>
      </c>
      <c r="CH83" s="2340">
        <v>80004.044968956019</v>
      </c>
      <c r="CI83" s="2340">
        <v>80395.521983742481</v>
      </c>
      <c r="CJ83" s="2340">
        <v>80717.349356734165</v>
      </c>
      <c r="CK83" s="2340">
        <v>81068.505515496974</v>
      </c>
      <c r="CL83" s="2340">
        <v>81436.215498928694</v>
      </c>
      <c r="CM83" s="2340">
        <v>81759.664269863613</v>
      </c>
      <c r="CN83" s="2340">
        <v>82107.698442988054</v>
      </c>
      <c r="CO83" s="2340">
        <v>82409.679839125587</v>
      </c>
      <c r="CP83" s="2340">
        <v>82744.520360426381</v>
      </c>
      <c r="CQ83" s="2340">
        <v>83050.654974795441</v>
      </c>
      <c r="CR83" s="2340">
        <v>83349.221380366405</v>
      </c>
      <c r="CS83" s="2340">
        <v>83655.689218307802</v>
      </c>
      <c r="CT83" s="2340">
        <v>83940.72163542427</v>
      </c>
      <c r="CU83" s="2340">
        <v>84216.916722600523</v>
      </c>
      <c r="CV83" s="2340">
        <v>84475.042837164379</v>
      </c>
      <c r="CW83" s="2340">
        <v>84758.551995234084</v>
      </c>
      <c r="CX83" s="2340">
        <v>85028.708524063768</v>
      </c>
      <c r="CY83" s="2340">
        <v>85286.174119857271</v>
      </c>
      <c r="CZ83" s="2340">
        <v>85516.290687466346</v>
      </c>
      <c r="DA83" s="2340">
        <v>85756.619911912319</v>
      </c>
      <c r="DB83" s="2340">
        <v>86006.340304721292</v>
      </c>
      <c r="DC83" s="2340">
        <v>86264.895102960509</v>
      </c>
      <c r="DD83" s="2340">
        <v>86491.875812213519</v>
      </c>
      <c r="DE83" s="2340">
        <v>86731.414293274793</v>
      </c>
      <c r="DF83" s="2340">
        <v>86995.636284350578</v>
      </c>
      <c r="DG83" s="2340">
        <v>87196.597725504587</v>
      </c>
      <c r="DH83" s="2340">
        <v>87428.439683677614</v>
      </c>
      <c r="DI83" s="2340">
        <v>87621.797477422122</v>
      </c>
      <c r="DJ83" s="2340">
        <v>87848.8019134879</v>
      </c>
      <c r="DK83" s="2340">
        <v>88071.067785829437</v>
      </c>
      <c r="DL83" s="2340">
        <v>88273.747177439742</v>
      </c>
      <c r="DM83" s="2340">
        <v>88455.965608133178</v>
      </c>
      <c r="DN83" s="2340">
        <v>88653.782743853211</v>
      </c>
      <c r="DO83" s="2340">
        <v>88860.727973525529</v>
      </c>
      <c r="DP83" s="2340">
        <v>89069.678825667957</v>
      </c>
      <c r="DQ83" s="2340">
        <v>89255.260727308792</v>
      </c>
      <c r="DR83" s="2340">
        <v>89438.378048636776</v>
      </c>
      <c r="DS83" s="2340">
        <v>89629.092852273257</v>
      </c>
      <c r="DT83" s="2340">
        <v>89818.777169253968</v>
      </c>
      <c r="DU83" s="2340">
        <v>90005.0196341134</v>
      </c>
    </row>
    <row r="84" spans="1:125" ht="12.75">
      <c r="A84" s="135">
        <v>82</v>
      </c>
      <c r="W84" s="136">
        <v>42148</v>
      </c>
      <c r="X84" s="136">
        <v>43322</v>
      </c>
      <c r="Y84" s="2340">
        <v>44087.326387437985</v>
      </c>
      <c r="Z84" s="2340">
        <v>45952.741151349524</v>
      </c>
      <c r="AA84" s="2340">
        <v>46766.100611712376</v>
      </c>
      <c r="AB84" s="2340">
        <v>47740.921103396147</v>
      </c>
      <c r="AC84" s="2340">
        <v>48968.53909308734</v>
      </c>
      <c r="AD84" s="2340">
        <v>49903.288309306437</v>
      </c>
      <c r="AE84" s="2340">
        <v>50607.744928228334</v>
      </c>
      <c r="AF84" s="2340">
        <v>51857.833679513598</v>
      </c>
      <c r="AG84" s="2340">
        <v>52610.803729807092</v>
      </c>
      <c r="AH84" s="2340">
        <v>53403.063181328747</v>
      </c>
      <c r="AI84" s="2340">
        <v>54079.990440416819</v>
      </c>
      <c r="AJ84" s="2340">
        <v>55687.991388411494</v>
      </c>
      <c r="AK84" s="2340">
        <v>56428.396490943524</v>
      </c>
      <c r="AL84" s="2340">
        <v>57502.974924414251</v>
      </c>
      <c r="AM84" s="2340">
        <v>58552.864624530739</v>
      </c>
      <c r="AN84" s="2340">
        <v>59546.096820592065</v>
      </c>
      <c r="AO84" s="2340">
        <v>59852.864363652872</v>
      </c>
      <c r="AP84" s="2340">
        <v>60018.532024770779</v>
      </c>
      <c r="AQ84" s="2340">
        <v>59959.746360433739</v>
      </c>
      <c r="AR84" s="2340">
        <v>59913.492501573412</v>
      </c>
      <c r="AS84" s="2340">
        <v>59430.40069956777</v>
      </c>
      <c r="AT84" s="2340">
        <v>58697.778406887315</v>
      </c>
      <c r="AU84" s="2340">
        <v>57900.721204202229</v>
      </c>
      <c r="AV84" s="2340">
        <v>58084.207823306861</v>
      </c>
      <c r="AW84" s="2340">
        <v>58891.299113252353</v>
      </c>
      <c r="AX84" s="2340">
        <v>60236.035093078972</v>
      </c>
      <c r="AY84" s="2340">
        <v>61665.964418444477</v>
      </c>
      <c r="AZ84" s="2340">
        <v>62036.921338174492</v>
      </c>
      <c r="BA84" s="2340">
        <v>62383.700241750652</v>
      </c>
      <c r="BB84" s="2340">
        <v>63086.335014243887</v>
      </c>
      <c r="BC84" s="2340">
        <v>63554.757079367744</v>
      </c>
      <c r="BD84" s="2340">
        <v>64013.478279574738</v>
      </c>
      <c r="BE84" s="2340">
        <v>64428.477655495495</v>
      </c>
      <c r="BF84" s="2340">
        <v>65005.11863634811</v>
      </c>
      <c r="BG84" s="2340">
        <v>65525.869835663791</v>
      </c>
      <c r="BH84" s="2340">
        <v>66137.882524227447</v>
      </c>
      <c r="BI84" s="2340">
        <v>66576.551342090563</v>
      </c>
      <c r="BJ84" s="2340">
        <v>67115.240689131344</v>
      </c>
      <c r="BK84" s="2340">
        <v>67699.022801556828</v>
      </c>
      <c r="BL84" s="2340">
        <v>68402.529871331906</v>
      </c>
      <c r="BM84" s="2340">
        <v>69014.844931677915</v>
      </c>
      <c r="BN84" s="2340">
        <v>69616.202451275967</v>
      </c>
      <c r="BO84" s="2340">
        <v>70112.015706543752</v>
      </c>
      <c r="BP84" s="2340">
        <v>70657.557960264909</v>
      </c>
      <c r="BQ84" s="2340">
        <v>71118.856933419098</v>
      </c>
      <c r="BR84" s="2340">
        <v>71593.505369624676</v>
      </c>
      <c r="BS84" s="2340">
        <v>71986.094914485118</v>
      </c>
      <c r="BT84" s="2340">
        <v>72428.7988671239</v>
      </c>
      <c r="BU84" s="2340">
        <v>72832.192421293599</v>
      </c>
      <c r="BV84" s="2340">
        <v>73283.723528704693</v>
      </c>
      <c r="BW84" s="2340">
        <v>73731.263311412273</v>
      </c>
      <c r="BX84" s="2340">
        <v>74169.29394044909</v>
      </c>
      <c r="BY84" s="2340">
        <v>74599.997350534584</v>
      </c>
      <c r="BZ84" s="2340">
        <v>75120.341347750378</v>
      </c>
      <c r="CA84" s="2340">
        <v>75587.964070345581</v>
      </c>
      <c r="CB84" s="2340">
        <v>76022.899641962882</v>
      </c>
      <c r="CC84" s="2340">
        <v>76424.397359916649</v>
      </c>
      <c r="CD84" s="2340">
        <v>76826.957847234429</v>
      </c>
      <c r="CE84" s="2340">
        <v>77220.423351098929</v>
      </c>
      <c r="CF84" s="2340">
        <v>77616.497630413331</v>
      </c>
      <c r="CG84" s="2340">
        <v>78015.713601046809</v>
      </c>
      <c r="CH84" s="2340">
        <v>78392.160760887389</v>
      </c>
      <c r="CI84" s="2340">
        <v>78801.567327170123</v>
      </c>
      <c r="CJ84" s="2340">
        <v>79142.521081563478</v>
      </c>
      <c r="CK84" s="2340">
        <v>79512.03575630585</v>
      </c>
      <c r="CL84" s="2340">
        <v>79897.606346563538</v>
      </c>
      <c r="CM84" s="2340">
        <v>80239.56469919825</v>
      </c>
      <c r="CN84" s="2340">
        <v>80605.459473279625</v>
      </c>
      <c r="CO84" s="2340">
        <v>80925.947438759977</v>
      </c>
      <c r="CP84" s="2340">
        <v>81278.504041058593</v>
      </c>
      <c r="CQ84" s="2340">
        <v>81602.667410188296</v>
      </c>
      <c r="CR84" s="2340">
        <v>81919.190137840284</v>
      </c>
      <c r="CS84" s="2340">
        <v>82243.276340623648</v>
      </c>
      <c r="CT84" s="2340">
        <v>82546.084921553862</v>
      </c>
      <c r="CU84" s="2340">
        <v>82839.99281384534</v>
      </c>
      <c r="CV84" s="2340">
        <v>83115.912104949777</v>
      </c>
      <c r="CW84" s="2340">
        <v>83416.595152880342</v>
      </c>
      <c r="CX84" s="2340">
        <v>83703.931426632655</v>
      </c>
      <c r="CY84" s="2340">
        <v>83978.564611964699</v>
      </c>
      <c r="CZ84" s="2340">
        <v>84226.050691838187</v>
      </c>
      <c r="DA84" s="2340">
        <v>84483.37629161145</v>
      </c>
      <c r="DB84" s="2340">
        <v>84749.741823969685</v>
      </c>
      <c r="DC84" s="2340">
        <v>85024.607596528047</v>
      </c>
      <c r="DD84" s="2340">
        <v>85268.145282779704</v>
      </c>
      <c r="DE84" s="2340">
        <v>85523.853190163631</v>
      </c>
      <c r="DF84" s="2340">
        <v>85803.701855776744</v>
      </c>
      <c r="DG84" s="2340">
        <v>86020.951527702011</v>
      </c>
      <c r="DH84" s="2340">
        <v>86268.455574212538</v>
      </c>
      <c r="DI84" s="2340">
        <v>86477.777314976949</v>
      </c>
      <c r="DJ84" s="2340">
        <v>86720.099192943788</v>
      </c>
      <c r="DK84" s="2340">
        <v>86957.54476741988</v>
      </c>
      <c r="DL84" s="2340">
        <v>87175.450402936156</v>
      </c>
      <c r="DM84" s="2340">
        <v>87372.943102148158</v>
      </c>
      <c r="DN84" s="2340">
        <v>87585.638674723567</v>
      </c>
      <c r="DO84" s="2340">
        <v>87807.15496132808</v>
      </c>
      <c r="DP84" s="2340">
        <v>88030.460335442549</v>
      </c>
      <c r="DQ84" s="2340">
        <v>88230.475136512876</v>
      </c>
      <c r="DR84" s="2340">
        <v>88427.857124831993</v>
      </c>
      <c r="DS84" s="2340">
        <v>88632.557741083132</v>
      </c>
      <c r="DT84" s="2340">
        <v>88836.050028499594</v>
      </c>
      <c r="DU84" s="2340">
        <v>89035.950520855433</v>
      </c>
    </row>
    <row r="85" spans="1:125" ht="12.75">
      <c r="A85" s="135">
        <v>83</v>
      </c>
      <c r="W85" s="136">
        <v>39560</v>
      </c>
      <c r="X85" s="136">
        <v>40721</v>
      </c>
      <c r="Y85" s="2340">
        <v>41475.751680403911</v>
      </c>
      <c r="Z85" s="2340">
        <v>43339.943667299558</v>
      </c>
      <c r="AA85" s="2340">
        <v>44096.070674332361</v>
      </c>
      <c r="AB85" s="2340">
        <v>44990.2135221637</v>
      </c>
      <c r="AC85" s="2340">
        <v>46288.511455221233</v>
      </c>
      <c r="AD85" s="2340">
        <v>47161.704700134775</v>
      </c>
      <c r="AE85" s="2340">
        <v>47870.595859182591</v>
      </c>
      <c r="AF85" s="2340">
        <v>49030.657913253432</v>
      </c>
      <c r="AG85" s="2340">
        <v>49922.183272738512</v>
      </c>
      <c r="AH85" s="2340">
        <v>50590.642868906194</v>
      </c>
      <c r="AI85" s="2340">
        <v>51388.270268857072</v>
      </c>
      <c r="AJ85" s="2340">
        <v>52849.327473264362</v>
      </c>
      <c r="AK85" s="2340">
        <v>53664.656076230218</v>
      </c>
      <c r="AL85" s="2340">
        <v>54791.451343924702</v>
      </c>
      <c r="AM85" s="2340">
        <v>55890.047041999751</v>
      </c>
      <c r="AN85" s="2340">
        <v>56758.495472501148</v>
      </c>
      <c r="AO85" s="2340">
        <v>57022.588078482797</v>
      </c>
      <c r="AP85" s="2340">
        <v>57235.721672194239</v>
      </c>
      <c r="AQ85" s="2340">
        <v>57225.277215663955</v>
      </c>
      <c r="AR85" s="2340">
        <v>57225.965258101154</v>
      </c>
      <c r="AS85" s="2340">
        <v>56808.284725862482</v>
      </c>
      <c r="AT85" s="2340">
        <v>56150.479548503376</v>
      </c>
      <c r="AU85" s="2340">
        <v>55429.240587942986</v>
      </c>
      <c r="AV85" s="2340">
        <v>55645.575618644885</v>
      </c>
      <c r="AW85" s="2340">
        <v>56459.350647852851</v>
      </c>
      <c r="AX85" s="2340">
        <v>57789.36952950836</v>
      </c>
      <c r="AY85" s="2340">
        <v>59202.315842378797</v>
      </c>
      <c r="AZ85" s="2340">
        <v>59599.119127187769</v>
      </c>
      <c r="BA85" s="2340">
        <v>59972.494000206127</v>
      </c>
      <c r="BB85" s="2340">
        <v>60687.979694722562</v>
      </c>
      <c r="BC85" s="2340">
        <v>61176.194518824348</v>
      </c>
      <c r="BD85" s="2340">
        <v>61655.030687140599</v>
      </c>
      <c r="BE85" s="2340">
        <v>62091.680783761054</v>
      </c>
      <c r="BF85" s="2340">
        <v>62684.098348177722</v>
      </c>
      <c r="BG85" s="2340">
        <v>63222.665524188582</v>
      </c>
      <c r="BH85" s="2340">
        <v>63849.343907558956</v>
      </c>
      <c r="BI85" s="2340">
        <v>64308.684547162105</v>
      </c>
      <c r="BJ85" s="2340">
        <v>64864.602478346475</v>
      </c>
      <c r="BK85" s="2340">
        <v>65464.137575876986</v>
      </c>
      <c r="BL85" s="2340">
        <v>66179.56153032626</v>
      </c>
      <c r="BM85" s="2340">
        <v>66806.881286397183</v>
      </c>
      <c r="BN85" s="2340">
        <v>67423.659956609408</v>
      </c>
      <c r="BO85" s="2340">
        <v>67938.221473536585</v>
      </c>
      <c r="BP85" s="2340">
        <v>68500.941621518126</v>
      </c>
      <c r="BQ85" s="2340">
        <v>68981.941556944512</v>
      </c>
      <c r="BR85" s="2340">
        <v>69475.805197674534</v>
      </c>
      <c r="BS85" s="2340">
        <v>69889.918895048264</v>
      </c>
      <c r="BT85" s="2340">
        <v>70352.553361800834</v>
      </c>
      <c r="BU85" s="2340">
        <v>70776.874096736094</v>
      </c>
      <c r="BV85" s="2340">
        <v>71247.846570581576</v>
      </c>
      <c r="BW85" s="2340">
        <v>71714.829536115649</v>
      </c>
      <c r="BX85" s="2340">
        <v>72172.447256310421</v>
      </c>
      <c r="BY85" s="2340">
        <v>72622.810664267337</v>
      </c>
      <c r="BZ85" s="2340">
        <v>73160.347506611055</v>
      </c>
      <c r="CA85" s="2340">
        <v>73646.460960299577</v>
      </c>
      <c r="CB85" s="2340">
        <v>74100.612940173087</v>
      </c>
      <c r="CC85" s="2340">
        <v>74522.031503397797</v>
      </c>
      <c r="CD85" s="2340">
        <v>74944.332311764083</v>
      </c>
      <c r="CE85" s="2340">
        <v>75357.603851558844</v>
      </c>
      <c r="CF85" s="2340">
        <v>75773.261700468676</v>
      </c>
      <c r="CG85" s="2340">
        <v>76191.829407225261</v>
      </c>
      <c r="CH85" s="2340">
        <v>76587.996405500904</v>
      </c>
      <c r="CI85" s="2340">
        <v>77016.204010880494</v>
      </c>
      <c r="CJ85" s="2340">
        <v>77377.337331220682</v>
      </c>
      <c r="CK85" s="2340">
        <v>77766.208772372469</v>
      </c>
      <c r="CL85" s="2340">
        <v>78170.614107163579</v>
      </c>
      <c r="CM85" s="2340">
        <v>78532.171803243225</v>
      </c>
      <c r="CN85" s="2340">
        <v>78916.972739934863</v>
      </c>
      <c r="CO85" s="2340">
        <v>79257.128283900936</v>
      </c>
      <c r="CP85" s="2340">
        <v>79628.498230178375</v>
      </c>
      <c r="CQ85" s="2340">
        <v>79971.860977883203</v>
      </c>
      <c r="CR85" s="2340">
        <v>80307.535436368067</v>
      </c>
      <c r="CS85" s="2340">
        <v>80650.425749752409</v>
      </c>
      <c r="CT85" s="2340">
        <v>80972.249170538169</v>
      </c>
      <c r="CU85" s="2340">
        <v>81285.132897763338</v>
      </c>
      <c r="CV85" s="2340">
        <v>81580.150948478185</v>
      </c>
      <c r="CW85" s="2340">
        <v>81899.264429957504</v>
      </c>
      <c r="CX85" s="2340">
        <v>82205.068431671651</v>
      </c>
      <c r="CY85" s="2340">
        <v>82498.18594886089</v>
      </c>
      <c r="CZ85" s="2340">
        <v>82764.415147776512</v>
      </c>
      <c r="DA85" s="2340">
        <v>83040.090924257034</v>
      </c>
      <c r="DB85" s="2340">
        <v>83324.437445058007</v>
      </c>
      <c r="DC85" s="2340">
        <v>83616.933365608347</v>
      </c>
      <c r="DD85" s="2340">
        <v>83878.408253753878</v>
      </c>
      <c r="DE85" s="2340">
        <v>84151.640723037635</v>
      </c>
      <c r="DF85" s="2340">
        <v>84448.423772627502</v>
      </c>
      <c r="DG85" s="2340">
        <v>84683.386451259052</v>
      </c>
      <c r="DH85" s="2340">
        <v>84947.917308519784</v>
      </c>
      <c r="DI85" s="2340">
        <v>85174.635217821036</v>
      </c>
      <c r="DJ85" s="2340">
        <v>85433.642086097854</v>
      </c>
      <c r="DK85" s="2340">
        <v>85687.640150325329</v>
      </c>
      <c r="DL85" s="2340">
        <v>85922.175561263051</v>
      </c>
      <c r="DM85" s="2340">
        <v>86136.376891037959</v>
      </c>
      <c r="DN85" s="2340">
        <v>86365.352754813852</v>
      </c>
      <c r="DO85" s="2340">
        <v>86602.821110395103</v>
      </c>
      <c r="DP85" s="2340">
        <v>86841.853429518436</v>
      </c>
      <c r="DQ85" s="2340">
        <v>87057.706932433415</v>
      </c>
      <c r="DR85" s="2340">
        <v>87270.756962694912</v>
      </c>
      <c r="DS85" s="2340">
        <v>87490.827710116893</v>
      </c>
      <c r="DT85" s="2340">
        <v>87709.507294407682</v>
      </c>
      <c r="DU85" s="2340">
        <v>87924.443733831664</v>
      </c>
    </row>
    <row r="86" spans="1:125" ht="12.75">
      <c r="A86" s="135">
        <v>84</v>
      </c>
      <c r="W86" s="136">
        <v>36826</v>
      </c>
      <c r="X86" s="136">
        <v>37965</v>
      </c>
      <c r="Y86" s="2340">
        <v>38744.44288222694</v>
      </c>
      <c r="Z86" s="2340">
        <v>40513.909287778457</v>
      </c>
      <c r="AA86" s="2340">
        <v>41194.218794112159</v>
      </c>
      <c r="AB86" s="2340">
        <v>42150.999332825428</v>
      </c>
      <c r="AC86" s="2340">
        <v>43384.217073900909</v>
      </c>
      <c r="AD86" s="2340">
        <v>44255.378847100852</v>
      </c>
      <c r="AE86" s="2340">
        <v>44876.642390886162</v>
      </c>
      <c r="AF86" s="2340">
        <v>46178.356997130148</v>
      </c>
      <c r="AG86" s="2340">
        <v>46924.864793946253</v>
      </c>
      <c r="AH86" s="2340">
        <v>47673.462393996524</v>
      </c>
      <c r="AI86" s="2340">
        <v>48396.830786313367</v>
      </c>
      <c r="AJ86" s="2340">
        <v>49856.1075205503</v>
      </c>
      <c r="AK86" s="2340">
        <v>50735.368382460183</v>
      </c>
      <c r="AL86" s="2340">
        <v>51883.795779448388</v>
      </c>
      <c r="AM86" s="2340">
        <v>52814.569992207449</v>
      </c>
      <c r="AN86" s="2340">
        <v>53678.115500300322</v>
      </c>
      <c r="AO86" s="2340">
        <v>53973.389300694129</v>
      </c>
      <c r="AP86" s="2340">
        <v>54224.301833147241</v>
      </c>
      <c r="AQ86" s="2340">
        <v>54262.783886979763</v>
      </c>
      <c r="AR86" s="2340">
        <v>54311.036570313081</v>
      </c>
      <c r="AS86" s="2340">
        <v>53961.125105591324</v>
      </c>
      <c r="AT86" s="2340">
        <v>53381.505147461168</v>
      </c>
      <c r="AU86" s="2340">
        <v>52739.751841720536</v>
      </c>
      <c r="AV86" s="2340">
        <v>52988.971914493639</v>
      </c>
      <c r="AW86" s="2340">
        <v>53807.205154415329</v>
      </c>
      <c r="AX86" s="2340">
        <v>55118.364200440083</v>
      </c>
      <c r="AY86" s="2340">
        <v>56509.970127665438</v>
      </c>
      <c r="AZ86" s="2340">
        <v>56932.27702698089</v>
      </c>
      <c r="BA86" s="2340">
        <v>57332.062513480807</v>
      </c>
      <c r="BB86" s="2340">
        <v>58056.604869565177</v>
      </c>
      <c r="BC86" s="2340">
        <v>58563.914458441664</v>
      </c>
      <c r="BD86" s="2340">
        <v>59062.266390723846</v>
      </c>
      <c r="BE86" s="2340">
        <v>59520.188784178375</v>
      </c>
      <c r="BF86" s="2340">
        <v>60127.477142993317</v>
      </c>
      <c r="BG86" s="2340">
        <v>60683.219142128561</v>
      </c>
      <c r="BH86" s="2340">
        <v>61323.654595697459</v>
      </c>
      <c r="BI86" s="2340">
        <v>61803.438673393393</v>
      </c>
      <c r="BJ86" s="2340">
        <v>62376.056138103282</v>
      </c>
      <c r="BK86" s="2340">
        <v>62990.713041418399</v>
      </c>
      <c r="BL86" s="2340">
        <v>63717.060953333217</v>
      </c>
      <c r="BM86" s="2340">
        <v>64358.771467491504</v>
      </c>
      <c r="BN86" s="2340">
        <v>64990.451802762123</v>
      </c>
      <c r="BO86" s="2340">
        <v>65523.65950958871</v>
      </c>
      <c r="BP86" s="2340">
        <v>66103.334803420992</v>
      </c>
      <c r="BQ86" s="2340">
        <v>66604.148364380919</v>
      </c>
      <c r="BR86" s="2340">
        <v>67117.339867842427</v>
      </c>
      <c r="BS86" s="2340">
        <v>67553.408669137483</v>
      </c>
      <c r="BT86" s="2340">
        <v>68036.277635968101</v>
      </c>
      <c r="BU86" s="2340">
        <v>68481.999220235652</v>
      </c>
      <c r="BV86" s="2340">
        <v>68972.766855694048</v>
      </c>
      <c r="BW86" s="2340">
        <v>69459.59824809272</v>
      </c>
      <c r="BX86" s="2340">
        <v>69937.276063948128</v>
      </c>
      <c r="BY86" s="2340">
        <v>70407.831451723905</v>
      </c>
      <c r="BZ86" s="2340">
        <v>70962.843865323783</v>
      </c>
      <c r="CA86" s="2340">
        <v>71467.933855985553</v>
      </c>
      <c r="CB86" s="2340">
        <v>71941.923693703007</v>
      </c>
      <c r="CC86" s="2340">
        <v>72384.018928658363</v>
      </c>
      <c r="CD86" s="2340">
        <v>72826.841148866137</v>
      </c>
      <c r="CE86" s="2340">
        <v>73260.754959343874</v>
      </c>
      <c r="CF86" s="2340">
        <v>73696.850906327527</v>
      </c>
      <c r="CG86" s="2340">
        <v>74135.640844355614</v>
      </c>
      <c r="CH86" s="2340">
        <v>74552.489931313263</v>
      </c>
      <c r="CI86" s="2340">
        <v>75000.386882602033</v>
      </c>
      <c r="CJ86" s="2340">
        <v>75382.809757051436</v>
      </c>
      <c r="CK86" s="2340">
        <v>75792.084752417126</v>
      </c>
      <c r="CL86" s="2340">
        <v>76216.345428175948</v>
      </c>
      <c r="CM86" s="2340">
        <v>76598.665474692796</v>
      </c>
      <c r="CN86" s="2340">
        <v>77003.48515300476</v>
      </c>
      <c r="CO86" s="2340">
        <v>77364.563274268396</v>
      </c>
      <c r="CP86" s="2340">
        <v>77755.927455378973</v>
      </c>
      <c r="CQ86" s="2340">
        <v>78119.7621355023</v>
      </c>
      <c r="CR86" s="2340">
        <v>78475.893839016353</v>
      </c>
      <c r="CS86" s="2340">
        <v>78838.885005851538</v>
      </c>
      <c r="CT86" s="2340">
        <v>79181.087088609871</v>
      </c>
      <c r="CU86" s="2340">
        <v>79514.342957458895</v>
      </c>
      <c r="CV86" s="2340">
        <v>79829.910676079162</v>
      </c>
      <c r="CW86" s="2340">
        <v>80168.848871595168</v>
      </c>
      <c r="CX86" s="2340">
        <v>80494.555951346469</v>
      </c>
      <c r="CY86" s="2340">
        <v>80807.630993670187</v>
      </c>
      <c r="CZ86" s="2340">
        <v>81094.148586808049</v>
      </c>
      <c r="DA86" s="2340">
        <v>81389.698603808152</v>
      </c>
      <c r="DB86" s="2340">
        <v>81693.531145044428</v>
      </c>
      <c r="DC86" s="2340">
        <v>82005.144697939555</v>
      </c>
      <c r="DD86" s="2340">
        <v>82286.121491731275</v>
      </c>
      <c r="DE86" s="2340">
        <v>82578.415379095721</v>
      </c>
      <c r="DF86" s="2340">
        <v>82893.614449786342</v>
      </c>
      <c r="DG86" s="2340">
        <v>83147.917471268753</v>
      </c>
      <c r="DH86" s="2340">
        <v>83431.031780907419</v>
      </c>
      <c r="DI86" s="2340">
        <v>83676.787726152004</v>
      </c>
      <c r="DJ86" s="2340">
        <v>83954.044966411093</v>
      </c>
      <c r="DK86" s="2340">
        <v>84226.169895244544</v>
      </c>
      <c r="DL86" s="2340">
        <v>84478.949690951704</v>
      </c>
      <c r="DM86" s="2340">
        <v>84711.51463427009</v>
      </c>
      <c r="DN86" s="2340">
        <v>84958.388462544943</v>
      </c>
      <c r="DO86" s="2340">
        <v>85213.403478575841</v>
      </c>
      <c r="DP86" s="2340">
        <v>85469.749234414325</v>
      </c>
      <c r="DQ86" s="2340">
        <v>85703.071365475975</v>
      </c>
      <c r="DR86" s="2340">
        <v>85933.418808222399</v>
      </c>
      <c r="DS86" s="2340">
        <v>86170.468012449812</v>
      </c>
      <c r="DT86" s="2340">
        <v>86405.939423808857</v>
      </c>
      <c r="DU86" s="2340">
        <v>86637.516925870819</v>
      </c>
    </row>
    <row r="87" spans="1:125" ht="12.75">
      <c r="A87" s="135">
        <v>85</v>
      </c>
      <c r="W87" s="136">
        <v>34044</v>
      </c>
      <c r="X87" s="136">
        <v>35150</v>
      </c>
      <c r="Y87" s="2340">
        <v>35878.917169839289</v>
      </c>
      <c r="Z87" s="2340">
        <v>37470.294351001285</v>
      </c>
      <c r="AA87" s="2340">
        <v>38200.844630162006</v>
      </c>
      <c r="AB87" s="2340">
        <v>39133.449322841028</v>
      </c>
      <c r="AC87" s="2340">
        <v>40331.848800803666</v>
      </c>
      <c r="AD87" s="2340">
        <v>41048.560144006093</v>
      </c>
      <c r="AE87" s="2340">
        <v>41854.625940338585</v>
      </c>
      <c r="AF87" s="2340">
        <v>42982.690974420228</v>
      </c>
      <c r="AG87" s="2340">
        <v>43823.381121353297</v>
      </c>
      <c r="AH87" s="2340">
        <v>44484.993128398528</v>
      </c>
      <c r="AI87" s="2340">
        <v>45197.160726161143</v>
      </c>
      <c r="AJ87" s="2340">
        <v>46695.871453269567</v>
      </c>
      <c r="AK87" s="2340">
        <v>47591.764556133763</v>
      </c>
      <c r="AL87" s="2340">
        <v>48561.162427893381</v>
      </c>
      <c r="AM87" s="2340">
        <v>49492.942016954956</v>
      </c>
      <c r="AN87" s="2340">
        <v>50345.277892133236</v>
      </c>
      <c r="AO87" s="2340">
        <v>50674.896515731212</v>
      </c>
      <c r="AP87" s="2340">
        <v>50962.56609962682</v>
      </c>
      <c r="AQ87" s="2340">
        <v>51050.042052987927</v>
      </c>
      <c r="AR87" s="2340">
        <v>51145.984902414726</v>
      </c>
      <c r="AS87" s="2340">
        <v>50865.896977126919</v>
      </c>
      <c r="AT87" s="2340">
        <v>50367.656511022069</v>
      </c>
      <c r="AU87" s="2340">
        <v>49808.941880665268</v>
      </c>
      <c r="AV87" s="2340">
        <v>50090.600583148829</v>
      </c>
      <c r="AW87" s="2340">
        <v>50910.342391221791</v>
      </c>
      <c r="AX87" s="2340">
        <v>52197.557866532101</v>
      </c>
      <c r="AY87" s="2340">
        <v>53562.492792727091</v>
      </c>
      <c r="AZ87" s="2340">
        <v>54009.451408337074</v>
      </c>
      <c r="BA87" s="2340">
        <v>54432.240971599938</v>
      </c>
      <c r="BB87" s="2340">
        <v>55163.56315643814</v>
      </c>
      <c r="BC87" s="2340">
        <v>55688.751180208288</v>
      </c>
      <c r="BD87" s="2340">
        <v>56205.518745250352</v>
      </c>
      <c r="BE87" s="2340">
        <v>56683.867495334052</v>
      </c>
      <c r="BF87" s="2340">
        <v>57304.590354071428</v>
      </c>
      <c r="BG87" s="2340">
        <v>57876.374047154844</v>
      </c>
      <c r="BH87" s="2340">
        <v>58529.134625682535</v>
      </c>
      <c r="BI87" s="2340">
        <v>59028.705779015021</v>
      </c>
      <c r="BJ87" s="2340">
        <v>59617.030030450791</v>
      </c>
      <c r="BK87" s="2340">
        <v>60245.704013270064</v>
      </c>
      <c r="BL87" s="2340">
        <v>60981.462544751412</v>
      </c>
      <c r="BM87" s="2340">
        <v>61636.485733174697</v>
      </c>
      <c r="BN87" s="2340">
        <v>62282.10127107583</v>
      </c>
      <c r="BO87" s="2340">
        <v>62833.470363333399</v>
      </c>
      <c r="BP87" s="2340">
        <v>63429.482616126261</v>
      </c>
      <c r="BQ87" s="2340">
        <v>63949.881042995861</v>
      </c>
      <c r="BR87" s="2340">
        <v>64482.176949087523</v>
      </c>
      <c r="BS87" s="2340">
        <v>64940.348813869983</v>
      </c>
      <c r="BT87" s="2340">
        <v>65443.459896835004</v>
      </c>
      <c r="BU87" s="2340">
        <v>65910.791107888901</v>
      </c>
      <c r="BV87" s="2340">
        <v>66421.430003925023</v>
      </c>
      <c r="BW87" s="2340">
        <v>66928.250707148123</v>
      </c>
      <c r="BX87" s="2340">
        <v>67426.213250731351</v>
      </c>
      <c r="BY87" s="2340">
        <v>67917.258964362714</v>
      </c>
      <c r="BZ87" s="2340">
        <v>68489.761479303794</v>
      </c>
      <c r="CA87" s="2340">
        <v>69014.083050361311</v>
      </c>
      <c r="CB87" s="2340">
        <v>69508.32855940517</v>
      </c>
      <c r="CC87" s="2340">
        <v>69971.679978780739</v>
      </c>
      <c r="CD87" s="2340">
        <v>70435.638053827264</v>
      </c>
      <c r="CE87" s="2340">
        <v>70890.878343448247</v>
      </c>
      <c r="CF87" s="2340">
        <v>71348.123414333095</v>
      </c>
      <c r="CG87" s="2340">
        <v>71807.870659352862</v>
      </c>
      <c r="CH87" s="2340">
        <v>72246.249600653537</v>
      </c>
      <c r="CI87" s="2340">
        <v>72714.602462616924</v>
      </c>
      <c r="CJ87" s="2340">
        <v>73119.346545818567</v>
      </c>
      <c r="CK87" s="2340">
        <v>73549.988117307046</v>
      </c>
      <c r="CL87" s="2340">
        <v>73995.041681840608</v>
      </c>
      <c r="CM87" s="2340">
        <v>74399.234249122324</v>
      </c>
      <c r="CN87" s="2340">
        <v>74825.128835593889</v>
      </c>
      <c r="CO87" s="2340">
        <v>75208.358661462582</v>
      </c>
      <c r="CP87" s="2340">
        <v>75620.864166923508</v>
      </c>
      <c r="CQ87" s="2340">
        <v>76006.431182013068</v>
      </c>
      <c r="CR87" s="2340">
        <v>76384.324688896697</v>
      </c>
      <c r="CS87" s="2340">
        <v>76768.716082924788</v>
      </c>
      <c r="CT87" s="2340">
        <v>77132.680680489415</v>
      </c>
      <c r="CU87" s="2340">
        <v>77487.736159305699</v>
      </c>
      <c r="CV87" s="2340">
        <v>77825.350867571091</v>
      </c>
      <c r="CW87" s="2340">
        <v>78185.549028509457</v>
      </c>
      <c r="CX87" s="2340">
        <v>78532.648153147398</v>
      </c>
      <c r="CY87" s="2340">
        <v>78867.219608872023</v>
      </c>
      <c r="CZ87" s="2340">
        <v>79175.655174390675</v>
      </c>
      <c r="DA87" s="2340">
        <v>79492.688741599137</v>
      </c>
      <c r="DB87" s="2340">
        <v>79817.598799771004</v>
      </c>
      <c r="DC87" s="2340">
        <v>80149.905305826047</v>
      </c>
      <c r="DD87" s="2340">
        <v>80452.056145968716</v>
      </c>
      <c r="DE87" s="2340">
        <v>80765.055043699394</v>
      </c>
      <c r="DF87" s="2340">
        <v>81100.252303441404</v>
      </c>
      <c r="DG87" s="2340">
        <v>81375.656584814147</v>
      </c>
      <c r="DH87" s="2340">
        <v>81679.035235083546</v>
      </c>
      <c r="DI87" s="2340">
        <v>81945.616657884966</v>
      </c>
      <c r="DJ87" s="2340">
        <v>82242.824499114722</v>
      </c>
      <c r="DK87" s="2340">
        <v>82534.79162359504</v>
      </c>
      <c r="DL87" s="2340">
        <v>82807.583720707102</v>
      </c>
      <c r="DM87" s="2340">
        <v>83060.332992516909</v>
      </c>
      <c r="DN87" s="2340">
        <v>83326.88490557544</v>
      </c>
      <c r="DO87" s="2340">
        <v>83601.203075475743</v>
      </c>
      <c r="DP87" s="2340">
        <v>83876.613063093886</v>
      </c>
      <c r="DQ87" s="2340">
        <v>84129.210961821198</v>
      </c>
      <c r="DR87" s="2340">
        <v>84378.666293221046</v>
      </c>
      <c r="DS87" s="2340">
        <v>84634.482978535423</v>
      </c>
      <c r="DT87" s="2340">
        <v>84888.534519584035</v>
      </c>
      <c r="DU87" s="2340">
        <v>85138.545899579345</v>
      </c>
    </row>
    <row r="88" spans="1:125" ht="12.75">
      <c r="A88" s="135">
        <v>86</v>
      </c>
      <c r="W88" s="136">
        <v>31157</v>
      </c>
      <c r="X88" s="136">
        <v>32127</v>
      </c>
      <c r="Y88" s="2340">
        <v>32773.262127611728</v>
      </c>
      <c r="Z88" s="2340">
        <v>34374.434412773859</v>
      </c>
      <c r="AA88" s="2340">
        <v>35080.735911874617</v>
      </c>
      <c r="AB88" s="2340">
        <v>35944.53550647926</v>
      </c>
      <c r="AC88" s="2340">
        <v>37016.563527097933</v>
      </c>
      <c r="AD88" s="2340">
        <v>37885.918734352344</v>
      </c>
      <c r="AE88" s="2340">
        <v>38533.666321329416</v>
      </c>
      <c r="AF88" s="2340">
        <v>39728.604455368506</v>
      </c>
      <c r="AG88" s="2340">
        <v>40401.798488729102</v>
      </c>
      <c r="AH88" s="2340">
        <v>41071.423385109963</v>
      </c>
      <c r="AI88" s="2340">
        <v>41905.080225570113</v>
      </c>
      <c r="AJ88" s="2340">
        <v>43369.255681863207</v>
      </c>
      <c r="AK88" s="2340">
        <v>44013.247736793935</v>
      </c>
      <c r="AL88" s="2340">
        <v>45005.106197436464</v>
      </c>
      <c r="AM88" s="2340">
        <v>45912.59610029617</v>
      </c>
      <c r="AN88" s="2340">
        <v>46759.225360764452</v>
      </c>
      <c r="AO88" s="2340">
        <v>47120.818455408909</v>
      </c>
      <c r="AP88" s="2340">
        <v>47443.22333746669</v>
      </c>
      <c r="AQ88" s="2340">
        <v>47578.818612083793</v>
      </c>
      <c r="AR88" s="2340">
        <v>47721.666034597583</v>
      </c>
      <c r="AS88" s="2340">
        <v>47512.649959631781</v>
      </c>
      <c r="AT88" s="2340">
        <v>47098.266199808611</v>
      </c>
      <c r="AU88" s="2340">
        <v>46625.488242243882</v>
      </c>
      <c r="AV88" s="2340">
        <v>46938.328909124742</v>
      </c>
      <c r="AW88" s="2340">
        <v>47755.703846483055</v>
      </c>
      <c r="AX88" s="2340">
        <v>49012.847372313583</v>
      </c>
      <c r="AY88" s="2340">
        <v>50344.709870963045</v>
      </c>
      <c r="AZ88" s="2340">
        <v>50811.509089963081</v>
      </c>
      <c r="BA88" s="2340">
        <v>51255.645056424713</v>
      </c>
      <c r="BB88" s="2340">
        <v>51990.615061822798</v>
      </c>
      <c r="BC88" s="2340">
        <v>52531.689735374661</v>
      </c>
      <c r="BD88" s="2340">
        <v>53065.014285125792</v>
      </c>
      <c r="BE88" s="2340">
        <v>53562.213050006889</v>
      </c>
      <c r="BF88" s="2340">
        <v>54194.165859196808</v>
      </c>
      <c r="BG88" s="2340">
        <v>54780.120876330482</v>
      </c>
      <c r="BH88" s="2340">
        <v>55443.019301553933</v>
      </c>
      <c r="BI88" s="2340">
        <v>55961.038825653341</v>
      </c>
      <c r="BJ88" s="2340">
        <v>56563.373534813953</v>
      </c>
      <c r="BK88" s="2340">
        <v>57204.252989883724</v>
      </c>
      <c r="BL88" s="2340">
        <v>57947.169803576668</v>
      </c>
      <c r="BM88" s="2340">
        <v>58613.734481757805</v>
      </c>
      <c r="BN88" s="2340">
        <v>59271.64241913084</v>
      </c>
      <c r="BO88" s="2340">
        <v>59840.066019154998</v>
      </c>
      <c r="BP88" s="2340">
        <v>60451.169150170834</v>
      </c>
      <c r="BQ88" s="2340">
        <v>60990.343349665302</v>
      </c>
      <c r="BR88" s="2340">
        <v>61540.948729210526</v>
      </c>
      <c r="BS88" s="2340">
        <v>62020.848349326028</v>
      </c>
      <c r="BT88" s="2340">
        <v>62543.679684708586</v>
      </c>
      <c r="BU88" s="2340">
        <v>63032.330747811182</v>
      </c>
      <c r="BV88" s="2340">
        <v>63562.41227406534</v>
      </c>
      <c r="BW88" s="2340">
        <v>64088.874101385496</v>
      </c>
      <c r="BX88" s="2340">
        <v>64606.874932380488</v>
      </c>
      <c r="BY88" s="2340">
        <v>65118.255262497376</v>
      </c>
      <c r="BZ88" s="2340">
        <v>65707.782302437117</v>
      </c>
      <c r="CA88" s="2340">
        <v>66251.146943903528</v>
      </c>
      <c r="CB88" s="2340">
        <v>66765.650302686205</v>
      </c>
      <c r="CC88" s="2340">
        <v>67250.450180714441</v>
      </c>
      <c r="CD88" s="2340">
        <v>67735.7841229037</v>
      </c>
      <c r="CE88" s="2340">
        <v>68212.677940266338</v>
      </c>
      <c r="CF88" s="2340">
        <v>68691.437781504079</v>
      </c>
      <c r="CG88" s="2340">
        <v>69172.543368991071</v>
      </c>
      <c r="CH88" s="2340">
        <v>69632.989025840187</v>
      </c>
      <c r="CI88" s="2340">
        <v>70122.250638920974</v>
      </c>
      <c r="CJ88" s="2340">
        <v>70550.07795423019</v>
      </c>
      <c r="CK88" s="2340">
        <v>71002.778348051928</v>
      </c>
      <c r="CL88" s="2340">
        <v>71469.295980809125</v>
      </c>
      <c r="CM88" s="2340">
        <v>71896.237028106392</v>
      </c>
      <c r="CN88" s="2340">
        <v>72344.028807722745</v>
      </c>
      <c r="CO88" s="2340">
        <v>72750.438286866425</v>
      </c>
      <c r="CP88" s="2340">
        <v>73185.027109192146</v>
      </c>
      <c r="CQ88" s="2340">
        <v>73593.406095834856</v>
      </c>
      <c r="CR88" s="2340">
        <v>73994.199560945926</v>
      </c>
      <c r="CS88" s="2340">
        <v>74401.131135419244</v>
      </c>
      <c r="CT88" s="2340">
        <v>74788.103053023617</v>
      </c>
      <c r="CU88" s="2340">
        <v>75166.260882783215</v>
      </c>
      <c r="CV88" s="2340">
        <v>75527.313556122725</v>
      </c>
      <c r="CW88" s="2340">
        <v>75910.098608475557</v>
      </c>
      <c r="CX88" s="2340">
        <v>76279.98618085873</v>
      </c>
      <c r="CY88" s="2340">
        <v>76637.515601744628</v>
      </c>
      <c r="CZ88" s="2340">
        <v>76969.443145104015</v>
      </c>
      <c r="DA88" s="2340">
        <v>77309.518174709403</v>
      </c>
      <c r="DB88" s="2340">
        <v>77657.050209578549</v>
      </c>
      <c r="DC88" s="2340">
        <v>78011.582383480913</v>
      </c>
      <c r="DD88" s="2340">
        <v>78336.559581128895</v>
      </c>
      <c r="DE88" s="2340">
        <v>78671.889542026925</v>
      </c>
      <c r="DF88" s="2340">
        <v>79028.646214891574</v>
      </c>
      <c r="DG88" s="2340">
        <v>79326.928232444392</v>
      </c>
      <c r="DH88" s="2340">
        <v>79652.261023066851</v>
      </c>
      <c r="DI88" s="2340">
        <v>79941.488929978674</v>
      </c>
      <c r="DJ88" s="2340">
        <v>80260.372938445667</v>
      </c>
      <c r="DK88" s="2340">
        <v>80573.931904428275</v>
      </c>
      <c r="DL88" s="2340">
        <v>80868.553950785063</v>
      </c>
      <c r="DM88" s="2340">
        <v>81143.373521905494</v>
      </c>
      <c r="DN88" s="2340">
        <v>81431.448106687982</v>
      </c>
      <c r="DO88" s="2340">
        <v>81726.892363367806</v>
      </c>
      <c r="DP88" s="2340">
        <v>82023.188800792093</v>
      </c>
      <c r="DQ88" s="2340">
        <v>82296.956985892553</v>
      </c>
      <c r="DR88" s="2340">
        <v>82567.424577544196</v>
      </c>
      <c r="DS88" s="2340">
        <v>82843.893618383299</v>
      </c>
      <c r="DT88" s="2340">
        <v>83118.415010051933</v>
      </c>
      <c r="DU88" s="2340">
        <v>83388.760938562264</v>
      </c>
    </row>
    <row r="89" spans="1:125" ht="12.75">
      <c r="A89" s="135">
        <v>87</v>
      </c>
      <c r="W89" s="136">
        <v>28147</v>
      </c>
      <c r="X89" s="136">
        <v>28968</v>
      </c>
      <c r="Y89" s="2340">
        <v>29668.104148892497</v>
      </c>
      <c r="Z89" s="2340">
        <v>31163.312913817754</v>
      </c>
      <c r="AA89" s="2340">
        <v>31818.993851142455</v>
      </c>
      <c r="AB89" s="2340">
        <v>32571.775249907761</v>
      </c>
      <c r="AC89" s="2340">
        <v>33719.893353843734</v>
      </c>
      <c r="AD89" s="2340">
        <v>34397.956933437876</v>
      </c>
      <c r="AE89" s="2340">
        <v>35151.967409207035</v>
      </c>
      <c r="AF89" s="2340">
        <v>36235.526978495909</v>
      </c>
      <c r="AG89" s="2340">
        <v>36869.26091904303</v>
      </c>
      <c r="AH89" s="2340">
        <v>37574.639166523935</v>
      </c>
      <c r="AI89" s="2340">
        <v>38406.086676072242</v>
      </c>
      <c r="AJ89" s="2340">
        <v>39619.260158294928</v>
      </c>
      <c r="AK89" s="2340">
        <v>40241.337954362396</v>
      </c>
      <c r="AL89" s="2340">
        <v>41211.38472033466</v>
      </c>
      <c r="AM89" s="2340">
        <v>42100.421028378107</v>
      </c>
      <c r="AN89" s="2340">
        <v>42934.981052963449</v>
      </c>
      <c r="AO89" s="2340">
        <v>43324.798552892986</v>
      </c>
      <c r="AP89" s="2340">
        <v>43678.551045211134</v>
      </c>
      <c r="AQ89" s="2340">
        <v>43860.008711159106</v>
      </c>
      <c r="AR89" s="2340">
        <v>44047.631317133775</v>
      </c>
      <c r="AS89" s="2340">
        <v>43909.567126940623</v>
      </c>
      <c r="AT89" s="2340">
        <v>43580.173753055511</v>
      </c>
      <c r="AU89" s="2340">
        <v>43194.943764461452</v>
      </c>
      <c r="AV89" s="2340">
        <v>43536.561468388143</v>
      </c>
      <c r="AW89" s="2340">
        <v>44346.605100807552</v>
      </c>
      <c r="AX89" s="2340">
        <v>45566.47977572809</v>
      </c>
      <c r="AY89" s="2340">
        <v>46854.193843251232</v>
      </c>
      <c r="AZ89" s="2340">
        <v>47337.891408444746</v>
      </c>
      <c r="BA89" s="2340">
        <v>47800.663320792242</v>
      </c>
      <c r="BB89" s="2340">
        <v>48535.097243508593</v>
      </c>
      <c r="BC89" s="2340">
        <v>49089.033321513067</v>
      </c>
      <c r="BD89" s="2340">
        <v>49636.036076270844</v>
      </c>
      <c r="BE89" s="2340">
        <v>50149.505435691754</v>
      </c>
      <c r="BF89" s="2340">
        <v>50789.47853305615</v>
      </c>
      <c r="BG89" s="2340">
        <v>51386.746209625097</v>
      </c>
      <c r="BH89" s="2340">
        <v>52056.607030953943</v>
      </c>
      <c r="BI89" s="2340">
        <v>52590.783115635786</v>
      </c>
      <c r="BJ89" s="2340">
        <v>53204.477837582454</v>
      </c>
      <c r="BK89" s="2340">
        <v>53854.801731887565</v>
      </c>
      <c r="BL89" s="2340">
        <v>54601.664658581452</v>
      </c>
      <c r="BM89" s="2340">
        <v>55277.066496149753</v>
      </c>
      <c r="BN89" s="2340">
        <v>55944.704533434</v>
      </c>
      <c r="BO89" s="2340">
        <v>56528.191117107846</v>
      </c>
      <c r="BP89" s="2340">
        <v>57152.257430069163</v>
      </c>
      <c r="BQ89" s="2340">
        <v>57708.550257650888</v>
      </c>
      <c r="BR89" s="2340">
        <v>58275.834086810391</v>
      </c>
      <c r="BS89" s="2340">
        <v>58776.286338488135</v>
      </c>
      <c r="BT89" s="2340">
        <v>59317.519445137215</v>
      </c>
      <c r="BU89" s="2340">
        <v>59826.430529547695</v>
      </c>
      <c r="BV89" s="2340">
        <v>60374.758572018662</v>
      </c>
      <c r="BW89" s="2340">
        <v>60919.762487280736</v>
      </c>
      <c r="BX89" s="2340">
        <v>61456.822688991575</v>
      </c>
      <c r="BY89" s="2340">
        <v>61987.667328540643</v>
      </c>
      <c r="BZ89" s="2340">
        <v>62593.025880425965</v>
      </c>
      <c r="CA89" s="2340">
        <v>63154.549074396506</v>
      </c>
      <c r="CB89" s="2340">
        <v>63688.642326740905</v>
      </c>
      <c r="CC89" s="2340">
        <v>64194.439529425123</v>
      </c>
      <c r="CD89" s="2340">
        <v>64700.761312554729</v>
      </c>
      <c r="CE89" s="2340">
        <v>65199.026462838607</v>
      </c>
      <c r="CF89" s="2340">
        <v>65699.072124625469</v>
      </c>
      <c r="CG89" s="2340">
        <v>66201.356763914315</v>
      </c>
      <c r="CH89" s="2340">
        <v>66683.849287296936</v>
      </c>
      <c r="CI89" s="2340">
        <v>67193.918802332031</v>
      </c>
      <c r="CJ89" s="2340">
        <v>67645.078404010303</v>
      </c>
      <c r="CK89" s="2340">
        <v>68120.021292874604</v>
      </c>
      <c r="CL89" s="2340">
        <v>68608.174264000438</v>
      </c>
      <c r="CM89" s="2340">
        <v>69058.271477540606</v>
      </c>
      <c r="CN89" s="2340">
        <v>69528.319744375374</v>
      </c>
      <c r="CO89" s="2340">
        <v>69958.506320607907</v>
      </c>
      <c r="CP89" s="2340">
        <v>70415.691536820013</v>
      </c>
      <c r="CQ89" s="2340">
        <v>70847.558814038566</v>
      </c>
      <c r="CR89" s="2340">
        <v>71272.004253567036</v>
      </c>
      <c r="CS89" s="2340">
        <v>71702.240590443645</v>
      </c>
      <c r="CT89" s="2340">
        <v>72113.111712231403</v>
      </c>
      <c r="CU89" s="2340">
        <v>72515.338947233206</v>
      </c>
      <c r="CV89" s="2340">
        <v>72900.905762638868</v>
      </c>
      <c r="CW89" s="2340">
        <v>73307.292569807323</v>
      </c>
      <c r="CX89" s="2340">
        <v>73701.071438081868</v>
      </c>
      <c r="CY89" s="2340">
        <v>74082.744906725391</v>
      </c>
      <c r="CZ89" s="2340">
        <v>74439.48706457665</v>
      </c>
      <c r="DA89" s="2340">
        <v>74803.918216573526</v>
      </c>
      <c r="DB89" s="2340">
        <v>75175.381610258541</v>
      </c>
      <c r="DC89" s="2340">
        <v>75553.445224361916</v>
      </c>
      <c r="DD89" s="2340">
        <v>75902.699274078448</v>
      </c>
      <c r="DE89" s="2340">
        <v>76261.790643660715</v>
      </c>
      <c r="DF89" s="2340">
        <v>76641.472880729008</v>
      </c>
      <c r="DG89" s="2340">
        <v>76964.252183628574</v>
      </c>
      <c r="DH89" s="2340">
        <v>77313.069515074923</v>
      </c>
      <c r="DI89" s="2340">
        <v>77626.632651429871</v>
      </c>
      <c r="DJ89" s="2340">
        <v>77968.7819696441</v>
      </c>
      <c r="DK89" s="2340">
        <v>78305.558143985138</v>
      </c>
      <c r="DL89" s="2340">
        <v>78623.72184931174</v>
      </c>
      <c r="DM89" s="2340">
        <v>78922.410256311792</v>
      </c>
      <c r="DN89" s="2340">
        <v>79233.767361909311</v>
      </c>
      <c r="DO89" s="2340">
        <v>79552.081170095888</v>
      </c>
      <c r="DP89" s="2340">
        <v>79871.014938848879</v>
      </c>
      <c r="DQ89" s="2340">
        <v>80167.795461745423</v>
      </c>
      <c r="DR89" s="2340">
        <v>80461.13683706554</v>
      </c>
      <c r="DS89" s="2340">
        <v>80760.105329104539</v>
      </c>
      <c r="DT89" s="2340">
        <v>81056.957095912032</v>
      </c>
      <c r="DU89" s="2340">
        <v>81349.518457437414</v>
      </c>
    </row>
    <row r="90" spans="1:125" ht="12.75">
      <c r="A90" s="135">
        <v>88</v>
      </c>
      <c r="W90" s="136">
        <v>24960</v>
      </c>
      <c r="X90" s="136">
        <v>25839</v>
      </c>
      <c r="Y90" s="2340">
        <v>26502.325829366997</v>
      </c>
      <c r="Z90" s="2340">
        <v>27852.092705730873</v>
      </c>
      <c r="AA90" s="2340">
        <v>28392.963062088893</v>
      </c>
      <c r="AB90" s="2340">
        <v>29296.053276146042</v>
      </c>
      <c r="AC90" s="2340">
        <v>30191.279420388655</v>
      </c>
      <c r="AD90" s="2340">
        <v>30954.841648347465</v>
      </c>
      <c r="AE90" s="2340">
        <v>31606.229720909618</v>
      </c>
      <c r="AF90" s="2340">
        <v>32639.815713272921</v>
      </c>
      <c r="AG90" s="2340">
        <v>33278.988563594125</v>
      </c>
      <c r="AH90" s="2340">
        <v>33946.097655474085</v>
      </c>
      <c r="AI90" s="2340">
        <v>34509.098635339906</v>
      </c>
      <c r="AJ90" s="2340">
        <v>35659.180640824954</v>
      </c>
      <c r="AK90" s="2340">
        <v>36300.70921789555</v>
      </c>
      <c r="AL90" s="2340">
        <v>37234.774720628622</v>
      </c>
      <c r="AM90" s="2340">
        <v>38097.427233830342</v>
      </c>
      <c r="AN90" s="2340">
        <v>38912.329285968226</v>
      </c>
      <c r="AO90" s="2340">
        <v>39324.978996703794</v>
      </c>
      <c r="AP90" s="2340">
        <v>39705.036974836759</v>
      </c>
      <c r="AQ90" s="2340">
        <v>39928.330818076727</v>
      </c>
      <c r="AR90" s="2340">
        <v>40156.871152250642</v>
      </c>
      <c r="AS90" s="2340">
        <v>40087.716207936202</v>
      </c>
      <c r="AT90" s="2340">
        <v>39842.458362742713</v>
      </c>
      <c r="AU90" s="2340">
        <v>39544.439424609867</v>
      </c>
      <c r="AV90" s="2340">
        <v>39910.98753070087</v>
      </c>
      <c r="AW90" s="2340">
        <v>40707.57452770949</v>
      </c>
      <c r="AX90" s="2340">
        <v>41878.079162790178</v>
      </c>
      <c r="AY90" s="2340">
        <v>43113.015961504963</v>
      </c>
      <c r="AZ90" s="2340">
        <v>43609.374830812609</v>
      </c>
      <c r="BA90" s="2340">
        <v>44086.778987367179</v>
      </c>
      <c r="BB90" s="2340">
        <v>44815.313982202824</v>
      </c>
      <c r="BC90" s="2340">
        <v>45377.840727818046</v>
      </c>
      <c r="BD90" s="2340">
        <v>45934.402842739604</v>
      </c>
      <c r="BE90" s="2340">
        <v>46460.322172113963</v>
      </c>
      <c r="BF90" s="2340">
        <v>47103.908989877447</v>
      </c>
      <c r="BG90" s="2340">
        <v>47708.428341180697</v>
      </c>
      <c r="BH90" s="2340">
        <v>48380.896716983552</v>
      </c>
      <c r="BI90" s="2340">
        <v>48927.737407579632</v>
      </c>
      <c r="BJ90" s="2340">
        <v>49548.966236359956</v>
      </c>
      <c r="BK90" s="2340">
        <v>50204.811570458522</v>
      </c>
      <c r="BL90" s="2340">
        <v>50951.264900100759</v>
      </c>
      <c r="BM90" s="2340">
        <v>51631.652873221959</v>
      </c>
      <c r="BN90" s="2340">
        <v>52305.318781158567</v>
      </c>
      <c r="BO90" s="2340">
        <v>52900.740777083396</v>
      </c>
      <c r="BP90" s="2340">
        <v>53534.519881216969</v>
      </c>
      <c r="BQ90" s="2340">
        <v>54105.161545070681</v>
      </c>
      <c r="BR90" s="2340">
        <v>54686.393832245878</v>
      </c>
      <c r="BS90" s="2340">
        <v>55205.139938295913</v>
      </c>
      <c r="BT90" s="2340">
        <v>55762.387084675036</v>
      </c>
      <c r="BU90" s="2340">
        <v>56289.445950232992</v>
      </c>
      <c r="BV90" s="2340">
        <v>56853.785021374933</v>
      </c>
      <c r="BW90" s="2340">
        <v>57415.207825369143</v>
      </c>
      <c r="BX90" s="2340">
        <v>57969.340313607085</v>
      </c>
      <c r="BY90" s="2340">
        <v>58517.787032124914</v>
      </c>
      <c r="BZ90" s="2340">
        <v>59136.797538888008</v>
      </c>
      <c r="CA90" s="2340">
        <v>59714.628618259434</v>
      </c>
      <c r="CB90" s="2340">
        <v>60266.697257651198</v>
      </c>
      <c r="CC90" s="2340">
        <v>60792.115006699794</v>
      </c>
      <c r="CD90" s="2340">
        <v>61318.127419666504</v>
      </c>
      <c r="CE90" s="2340">
        <v>61836.590691040619</v>
      </c>
      <c r="CF90" s="2340">
        <v>62356.818495388681</v>
      </c>
      <c r="CG90" s="2340">
        <v>62879.244236398074</v>
      </c>
      <c r="CH90" s="2340">
        <v>63382.926306611203</v>
      </c>
      <c r="CI90" s="2340">
        <v>63912.875354838703</v>
      </c>
      <c r="CJ90" s="2340">
        <v>64386.820204895186</v>
      </c>
      <c r="CK90" s="2340">
        <v>64883.404012212464</v>
      </c>
      <c r="CL90" s="2340">
        <v>65392.591314676734</v>
      </c>
      <c r="CM90" s="2340">
        <v>65865.507317483323</v>
      </c>
      <c r="CN90" s="2340">
        <v>66357.437229148956</v>
      </c>
      <c r="CO90" s="2340">
        <v>66811.292667666479</v>
      </c>
      <c r="CP90" s="2340">
        <v>67290.890081370861</v>
      </c>
      <c r="CQ90" s="2340">
        <v>67746.249017082984</v>
      </c>
      <c r="CR90" s="2340">
        <v>68194.444359618647</v>
      </c>
      <c r="CS90" s="2340">
        <v>68648.11037235173</v>
      </c>
      <c r="CT90" s="2340">
        <v>69083.155584251377</v>
      </c>
      <c r="CU90" s="2340">
        <v>69509.821408002754</v>
      </c>
      <c r="CV90" s="2340">
        <v>69920.402573123618</v>
      </c>
      <c r="CW90" s="2340">
        <v>70350.838556984978</v>
      </c>
      <c r="CX90" s="2340">
        <v>70769.064250952055</v>
      </c>
      <c r="CY90" s="2340">
        <v>71175.540450685279</v>
      </c>
      <c r="CZ90" s="2340">
        <v>71557.917135847383</v>
      </c>
      <c r="DA90" s="2340">
        <v>71947.528773194979</v>
      </c>
      <c r="DB90" s="2340">
        <v>72343.754933410106</v>
      </c>
      <c r="DC90" s="2340">
        <v>72746.189940894197</v>
      </c>
      <c r="DD90" s="2340">
        <v>73120.731231002443</v>
      </c>
      <c r="DE90" s="2340">
        <v>73504.584765059946</v>
      </c>
      <c r="DF90" s="2340">
        <v>73908.134995414905</v>
      </c>
      <c r="DG90" s="2340">
        <v>74256.6440270491</v>
      </c>
      <c r="DH90" s="2340">
        <v>74630.092469037772</v>
      </c>
      <c r="DI90" s="2340">
        <v>74969.323583274483</v>
      </c>
      <c r="DJ90" s="2340">
        <v>75335.972974542965</v>
      </c>
      <c r="DK90" s="2340">
        <v>75697.252542697388</v>
      </c>
      <c r="DL90" s="2340">
        <v>76040.350943928323</v>
      </c>
      <c r="DM90" s="2340">
        <v>76364.408802958438</v>
      </c>
      <c r="DN90" s="2340">
        <v>76700.517462137912</v>
      </c>
      <c r="DO90" s="2340">
        <v>77043.162663086507</v>
      </c>
      <c r="DP90" s="2340">
        <v>77386.214622533822</v>
      </c>
      <c r="DQ90" s="2340">
        <v>77707.600567822563</v>
      </c>
      <c r="DR90" s="2340">
        <v>78025.441204758274</v>
      </c>
      <c r="DS90" s="2340">
        <v>78348.52900881719</v>
      </c>
      <c r="DT90" s="2340">
        <v>78669.356319418948</v>
      </c>
      <c r="DU90" s="2340">
        <v>78985.811230695079</v>
      </c>
    </row>
    <row r="91" spans="1:125" ht="12.75">
      <c r="A91" s="135">
        <v>89</v>
      </c>
      <c r="W91" s="136">
        <v>21908</v>
      </c>
      <c r="X91" s="136">
        <v>22705</v>
      </c>
      <c r="Y91" s="2340">
        <v>23325.695381358753</v>
      </c>
      <c r="Z91" s="2340">
        <v>24400.654385505382</v>
      </c>
      <c r="AA91" s="2340">
        <v>25132.944804050207</v>
      </c>
      <c r="AB91" s="2340">
        <v>25819.584256687995</v>
      </c>
      <c r="AC91" s="2340">
        <v>26793.113318970773</v>
      </c>
      <c r="AD91" s="2340">
        <v>27369.547962272114</v>
      </c>
      <c r="AE91" s="2340">
        <v>27965.550077384578</v>
      </c>
      <c r="AF91" s="2340">
        <v>29002.762793333524</v>
      </c>
      <c r="AG91" s="2340">
        <v>29661.712209230172</v>
      </c>
      <c r="AH91" s="2340">
        <v>30050.528409472474</v>
      </c>
      <c r="AI91" s="2340">
        <v>30552.896902073455</v>
      </c>
      <c r="AJ91" s="2340">
        <v>31627.088171143307</v>
      </c>
      <c r="AK91" s="2340">
        <v>32254.514912248902</v>
      </c>
      <c r="AL91" s="2340">
        <v>33143.554509862115</v>
      </c>
      <c r="AM91" s="2340">
        <v>33971.018207751476</v>
      </c>
      <c r="AN91" s="2340">
        <v>34757.660989721502</v>
      </c>
      <c r="AO91" s="2340">
        <v>35186.029492871327</v>
      </c>
      <c r="AP91" s="2340">
        <v>35585.582246804603</v>
      </c>
      <c r="AQ91" s="2340">
        <v>35844.687652825603</v>
      </c>
      <c r="AR91" s="2340">
        <v>36108.3258918063</v>
      </c>
      <c r="AS91" s="2340">
        <v>36103.683016185321</v>
      </c>
      <c r="AT91" s="2340">
        <v>35939.173375771803</v>
      </c>
      <c r="AU91" s="2340">
        <v>35725.506256770437</v>
      </c>
      <c r="AV91" s="2340">
        <v>36111.529867508012</v>
      </c>
      <c r="AW91" s="2340">
        <v>36883.213123716414</v>
      </c>
      <c r="AX91" s="2340">
        <v>37995.45799836181</v>
      </c>
      <c r="AY91" s="2340">
        <v>39168.431740923908</v>
      </c>
      <c r="AZ91" s="2340">
        <v>39671.81420893583</v>
      </c>
      <c r="BA91" s="2340">
        <v>40158.427613589127</v>
      </c>
      <c r="BB91" s="2340">
        <v>40874.526961523632</v>
      </c>
      <c r="BC91" s="2340">
        <v>41440.029334417901</v>
      </c>
      <c r="BD91" s="2340">
        <v>42000.680307726296</v>
      </c>
      <c r="BE91" s="2340">
        <v>42533.85084796993</v>
      </c>
      <c r="BF91" s="2340">
        <v>43175.364042380097</v>
      </c>
      <c r="BG91" s="2340">
        <v>43781.757918617885</v>
      </c>
      <c r="BH91" s="2340">
        <v>44451.210994272536</v>
      </c>
      <c r="BI91" s="2340">
        <v>45005.863717071283</v>
      </c>
      <c r="BJ91" s="2340">
        <v>45629.493645466326</v>
      </c>
      <c r="BK91" s="2340">
        <v>46285.652063796253</v>
      </c>
      <c r="BL91" s="2340">
        <v>47026.106999722906</v>
      </c>
      <c r="BM91" s="2340">
        <v>47706.353776240459</v>
      </c>
      <c r="BN91" s="2340">
        <v>48381.064474345731</v>
      </c>
      <c r="BO91" s="2340">
        <v>48983.974941327018</v>
      </c>
      <c r="BP91" s="2340">
        <v>49622.920843133485</v>
      </c>
      <c r="BQ91" s="2340">
        <v>50203.822620890642</v>
      </c>
      <c r="BR91" s="2340">
        <v>50794.967327272177</v>
      </c>
      <c r="BS91" s="2340">
        <v>51328.4271572609</v>
      </c>
      <c r="BT91" s="2340">
        <v>51898.005250110728</v>
      </c>
      <c r="BU91" s="2340">
        <v>52439.805108435343</v>
      </c>
      <c r="BV91" s="2340">
        <v>53016.649072943896</v>
      </c>
      <c r="BW91" s="2340">
        <v>53591.107225111671</v>
      </c>
      <c r="BX91" s="2340">
        <v>54159.074362871877</v>
      </c>
      <c r="BY91" s="2340">
        <v>54722.02139491414</v>
      </c>
      <c r="BZ91" s="2340">
        <v>55351.292207006518</v>
      </c>
      <c r="CA91" s="2340">
        <v>55942.370865910489</v>
      </c>
      <c r="CB91" s="2340">
        <v>56509.59876672089</v>
      </c>
      <c r="CC91" s="2340">
        <v>57052.068475366221</v>
      </c>
      <c r="CD91" s="2340">
        <v>57595.297461762893</v>
      </c>
      <c r="CE91" s="2340">
        <v>58131.623062750878</v>
      </c>
      <c r="CF91" s="2340">
        <v>58669.782362285339</v>
      </c>
      <c r="CG91" s="2340">
        <v>59210.179942575196</v>
      </c>
      <c r="CH91" s="2340">
        <v>59733.077627746192</v>
      </c>
      <c r="CI91" s="2340">
        <v>60280.878251345544</v>
      </c>
      <c r="CJ91" s="2340">
        <v>60775.9765953487</v>
      </c>
      <c r="CK91" s="2340">
        <v>61292.532282466767</v>
      </c>
      <c r="CL91" s="2340">
        <v>61821.101819209951</v>
      </c>
      <c r="CM91" s="2340">
        <v>62315.465776621408</v>
      </c>
      <c r="CN91" s="2340">
        <v>62827.885406605899</v>
      </c>
      <c r="CO91" s="2340">
        <v>63304.303724842801</v>
      </c>
      <c r="CP91" s="2340">
        <v>63805.147120157024</v>
      </c>
      <c r="CQ91" s="2340">
        <v>64283.038398256889</v>
      </c>
      <c r="CR91" s="2340">
        <v>64754.137276582711</v>
      </c>
      <c r="CS91" s="2340">
        <v>65230.430617656071</v>
      </c>
      <c r="CT91" s="2340">
        <v>65689.017476772759</v>
      </c>
      <c r="CU91" s="2340">
        <v>66139.602742705873</v>
      </c>
      <c r="CV91" s="2340">
        <v>66574.830493410816</v>
      </c>
      <c r="CW91" s="2340">
        <v>67028.909805001793</v>
      </c>
      <c r="CX91" s="2340">
        <v>67471.304201874969</v>
      </c>
      <c r="CY91" s="2340">
        <v>67902.427918736008</v>
      </c>
      <c r="CZ91" s="2340">
        <v>68310.4675445514</v>
      </c>
      <c r="DA91" s="2340">
        <v>68725.308889866545</v>
      </c>
      <c r="DB91" s="2340">
        <v>69146.370159752318</v>
      </c>
      <c r="DC91" s="2340">
        <v>69573.273228872364</v>
      </c>
      <c r="DD91" s="2340">
        <v>69973.392327984518</v>
      </c>
      <c r="DE91" s="2340">
        <v>70382.303833128186</v>
      </c>
      <c r="DF91" s="2340">
        <v>70809.971334033835</v>
      </c>
      <c r="DG91" s="2340">
        <v>71184.779957203806</v>
      </c>
      <c r="DH91" s="2340">
        <v>71583.35368967797</v>
      </c>
      <c r="DI91" s="2340">
        <v>71948.958804626222</v>
      </c>
      <c r="DJ91" s="2340">
        <v>72340.725087035724</v>
      </c>
      <c r="DK91" s="2340">
        <v>72727.193724935743</v>
      </c>
      <c r="DL91" s="2340">
        <v>73096.040430223176</v>
      </c>
      <c r="DM91" s="2340">
        <v>73446.410363963252</v>
      </c>
      <c r="DN91" s="2340">
        <v>73808.193607858499</v>
      </c>
      <c r="DO91" s="2340">
        <v>74176.099293342108</v>
      </c>
      <c r="DP91" s="2340">
        <v>74544.232398102191</v>
      </c>
      <c r="DQ91" s="2340">
        <v>74891.320658414188</v>
      </c>
      <c r="DR91" s="2340">
        <v>75234.805701501304</v>
      </c>
      <c r="DS91" s="2340">
        <v>75583.165082918931</v>
      </c>
      <c r="DT91" s="2340">
        <v>75929.160451793126</v>
      </c>
      <c r="DU91" s="2340">
        <v>76270.74981829169</v>
      </c>
    </row>
    <row r="92" spans="1:125" ht="12.75">
      <c r="A92" s="135">
        <v>90</v>
      </c>
      <c r="W92" s="136">
        <v>18898</v>
      </c>
      <c r="X92" s="136">
        <v>19580</v>
      </c>
      <c r="Y92" s="2340">
        <v>20056.472329977296</v>
      </c>
      <c r="Z92" s="2340">
        <v>21244.316256507878</v>
      </c>
      <c r="AA92" s="2340">
        <v>21722.685180854667</v>
      </c>
      <c r="AB92" s="2340">
        <v>22490.756385832501</v>
      </c>
      <c r="AC92" s="2340">
        <v>23294.951512328727</v>
      </c>
      <c r="AD92" s="2340">
        <v>23818.724873868548</v>
      </c>
      <c r="AE92" s="2340">
        <v>24376.225838441089</v>
      </c>
      <c r="AF92" s="2340">
        <v>25405.466856375562</v>
      </c>
      <c r="AG92" s="2340">
        <v>25796.900799044321</v>
      </c>
      <c r="AH92" s="2340">
        <v>26110.935894054248</v>
      </c>
      <c r="AI92" s="2340">
        <v>26592.291827401448</v>
      </c>
      <c r="AJ92" s="2340">
        <v>27583.979917348304</v>
      </c>
      <c r="AK92" s="2340">
        <v>28188.268524753927</v>
      </c>
      <c r="AL92" s="2340">
        <v>29023.060625339065</v>
      </c>
      <c r="AM92" s="2340">
        <v>29806.106775454489</v>
      </c>
      <c r="AN92" s="2340">
        <v>30555.286371608574</v>
      </c>
      <c r="AO92" s="2340">
        <v>30990.744201413276</v>
      </c>
      <c r="AP92" s="2340">
        <v>31401.383274291671</v>
      </c>
      <c r="AQ92" s="2340">
        <v>31688.357211085564</v>
      </c>
      <c r="AR92" s="2340">
        <v>31979.375770157301</v>
      </c>
      <c r="AS92" s="2340">
        <v>32032.404570893523</v>
      </c>
      <c r="AT92" s="2340">
        <v>31942.539201608932</v>
      </c>
      <c r="AU92" s="2340">
        <v>31807.620925743518</v>
      </c>
      <c r="AV92" s="2340">
        <v>32201.632341362361</v>
      </c>
      <c r="AW92" s="2340">
        <v>32940.507122458483</v>
      </c>
      <c r="AX92" s="2340">
        <v>33985.466165856094</v>
      </c>
      <c r="AY92" s="2340">
        <v>35087.172840011313</v>
      </c>
      <c r="AZ92" s="2340">
        <v>35590.630143742783</v>
      </c>
      <c r="BA92" s="2340">
        <v>36079.678624927888</v>
      </c>
      <c r="BB92" s="2340">
        <v>36775.798219221149</v>
      </c>
      <c r="BC92" s="2340">
        <v>37337.396512556188</v>
      </c>
      <c r="BD92" s="2340">
        <v>37895.37860563201</v>
      </c>
      <c r="BE92" s="2340">
        <v>38429.262419009778</v>
      </c>
      <c r="BF92" s="2340">
        <v>39061.811213537483</v>
      </c>
      <c r="BG92" s="2340">
        <v>39663.434734628288</v>
      </c>
      <c r="BH92" s="2340">
        <v>40323.046589296791</v>
      </c>
      <c r="BI92" s="2340">
        <v>40879.299129809937</v>
      </c>
      <c r="BJ92" s="2340">
        <v>41498.910639872774</v>
      </c>
      <c r="BK92" s="2340">
        <v>42148.911839932975</v>
      </c>
      <c r="BL92" s="2340">
        <v>42876.594770053336</v>
      </c>
      <c r="BM92" s="2340">
        <v>43550.307218742957</v>
      </c>
      <c r="BN92" s="2340">
        <v>44219.795797785046</v>
      </c>
      <c r="BO92" s="2340">
        <v>44824.384988259968</v>
      </c>
      <c r="BP92" s="2340">
        <v>45462.617687258251</v>
      </c>
      <c r="BQ92" s="2340">
        <v>46048.30049067783</v>
      </c>
      <c r="BR92" s="2340">
        <v>46643.939386087142</v>
      </c>
      <c r="BS92" s="2340">
        <v>47187.104330072114</v>
      </c>
      <c r="BT92" s="2340">
        <v>47763.934034428108</v>
      </c>
      <c r="BU92" s="2340">
        <v>48315.654512529276</v>
      </c>
      <c r="BV92" s="2340">
        <v>48900.1134363858</v>
      </c>
      <c r="BW92" s="2340">
        <v>49482.841813668056</v>
      </c>
      <c r="BX92" s="2340">
        <v>50060.02493987685</v>
      </c>
      <c r="BY92" s="2340">
        <v>50632.992198993859</v>
      </c>
      <c r="BZ92" s="2340">
        <v>51267.79744881067</v>
      </c>
      <c r="CA92" s="2340">
        <v>51867.711910041842</v>
      </c>
      <c r="CB92" s="2340">
        <v>52445.925530247441</v>
      </c>
      <c r="CC92" s="2340">
        <v>53001.517443348908</v>
      </c>
      <c r="CD92" s="2340">
        <v>53558.138059672892</v>
      </c>
      <c r="CE92" s="2340">
        <v>54108.646718163967</v>
      </c>
      <c r="CF92" s="2340">
        <v>54661.155193559061</v>
      </c>
      <c r="CG92" s="2340">
        <v>55216.035856467963</v>
      </c>
      <c r="CH92" s="2340">
        <v>55754.861290013374</v>
      </c>
      <c r="CI92" s="2340">
        <v>56317.192325792006</v>
      </c>
      <c r="CJ92" s="2340">
        <v>56830.515475676104</v>
      </c>
      <c r="CK92" s="2340">
        <v>57364.097526746184</v>
      </c>
      <c r="CL92" s="2340">
        <v>57909.137547596933</v>
      </c>
      <c r="CM92" s="2340">
        <v>58422.324692741357</v>
      </c>
      <c r="CN92" s="2340">
        <v>58952.607090804064</v>
      </c>
      <c r="CO92" s="2340">
        <v>59449.255190894844</v>
      </c>
      <c r="CP92" s="2340">
        <v>59968.97145187165</v>
      </c>
      <c r="CQ92" s="2340">
        <v>60467.240835369616</v>
      </c>
      <c r="CR92" s="2340">
        <v>60959.217404963441</v>
      </c>
      <c r="CS92" s="2340">
        <v>61456.173414100333</v>
      </c>
      <c r="CT92" s="2340">
        <v>61936.522050746331</v>
      </c>
      <c r="CU92" s="2340">
        <v>62409.376733712124</v>
      </c>
      <c r="CV92" s="2340">
        <v>62867.768989038865</v>
      </c>
      <c r="CW92" s="2340">
        <v>63343.990036931675</v>
      </c>
      <c r="CX92" s="2340">
        <v>63809.196236430143</v>
      </c>
      <c r="CY92" s="2340">
        <v>64263.750962054211</v>
      </c>
      <c r="CZ92" s="2340">
        <v>64696.438708425187</v>
      </c>
      <c r="DA92" s="2340">
        <v>65135.534007685033</v>
      </c>
      <c r="DB92" s="2340">
        <v>65580.495619917536</v>
      </c>
      <c r="DC92" s="2340">
        <v>66030.973818178027</v>
      </c>
      <c r="DD92" s="2340">
        <v>66455.99104074623</v>
      </c>
      <c r="DE92" s="2340">
        <v>66889.303508769925</v>
      </c>
      <c r="DF92" s="2340">
        <v>67340.400771901535</v>
      </c>
      <c r="DG92" s="2340">
        <v>67741.164797391422</v>
      </c>
      <c r="DH92" s="2340">
        <v>68164.459471461916</v>
      </c>
      <c r="DI92" s="2340">
        <v>68556.267901064391</v>
      </c>
      <c r="DJ92" s="2340">
        <v>68972.90566865282</v>
      </c>
      <c r="DK92" s="2340">
        <v>69384.405007699912</v>
      </c>
      <c r="DL92" s="2340">
        <v>69778.989742154081</v>
      </c>
      <c r="DM92" s="2340">
        <v>70155.81115372671</v>
      </c>
      <c r="DN92" s="2340">
        <v>70543.404377657847</v>
      </c>
      <c r="DO92" s="2340">
        <v>70936.728051647442</v>
      </c>
      <c r="DP92" s="2340">
        <v>71330.150517795104</v>
      </c>
      <c r="DQ92" s="2340">
        <v>71703.304331622407</v>
      </c>
      <c r="DR92" s="2340">
        <v>72072.862897169471</v>
      </c>
      <c r="DS92" s="2340">
        <v>72446.945670127432</v>
      </c>
      <c r="DT92" s="2340">
        <v>72818.618086787406</v>
      </c>
      <c r="DU92" s="2340">
        <v>73185.916541097424</v>
      </c>
    </row>
    <row r="93" spans="1:125" ht="12.75">
      <c r="A93" s="135">
        <v>91</v>
      </c>
      <c r="W93" s="136">
        <v>15959</v>
      </c>
      <c r="X93" s="136">
        <v>16491</v>
      </c>
      <c r="Y93" s="2340">
        <v>17136.017381129874</v>
      </c>
      <c r="Z93" s="2340">
        <v>17957.566338117482</v>
      </c>
      <c r="AA93" s="2340">
        <v>18530.104355883268</v>
      </c>
      <c r="AB93" s="2340">
        <v>19131.217350774161</v>
      </c>
      <c r="AC93" s="2340">
        <v>19836.749929719714</v>
      </c>
      <c r="AD93" s="2340">
        <v>20369.743476306496</v>
      </c>
      <c r="AE93" s="2340">
        <v>20885.275048714753</v>
      </c>
      <c r="AF93" s="2340">
        <v>21608.775428108409</v>
      </c>
      <c r="AG93" s="2340">
        <v>21941.840188926653</v>
      </c>
      <c r="AH93" s="2340">
        <v>22256.449320435921</v>
      </c>
      <c r="AI93" s="2340">
        <v>22719.480934389205</v>
      </c>
      <c r="AJ93" s="2340">
        <v>23620.707951546603</v>
      </c>
      <c r="AK93" s="2340">
        <v>24192.578663402575</v>
      </c>
      <c r="AL93" s="2340">
        <v>24964.304051765386</v>
      </c>
      <c r="AM93" s="2340">
        <v>25693.838179100116</v>
      </c>
      <c r="AN93" s="2340">
        <v>26396.285579928735</v>
      </c>
      <c r="AO93" s="2340">
        <v>26829.137115350626</v>
      </c>
      <c r="AP93" s="2340">
        <v>27241.278458128567</v>
      </c>
      <c r="AQ93" s="2340">
        <v>27546.628556528573</v>
      </c>
      <c r="AR93" s="2340">
        <v>27855.758744268467</v>
      </c>
      <c r="AS93" s="2340">
        <v>27957.435589428311</v>
      </c>
      <c r="AT93" s="2340">
        <v>27933.589318726066</v>
      </c>
      <c r="AU93" s="2340">
        <v>27864.550011822404</v>
      </c>
      <c r="AV93" s="2340">
        <v>28258.662111498717</v>
      </c>
      <c r="AW93" s="2340">
        <v>28956.518385721622</v>
      </c>
      <c r="AX93" s="2340">
        <v>29925.492070585082</v>
      </c>
      <c r="AY93" s="2340">
        <v>30946.979546068382</v>
      </c>
      <c r="AZ93" s="2340">
        <v>31442.52143902269</v>
      </c>
      <c r="BA93" s="2340">
        <v>31926.129779065621</v>
      </c>
      <c r="BB93" s="2340">
        <v>32594.02015942537</v>
      </c>
      <c r="BC93" s="2340">
        <v>33143.814759860907</v>
      </c>
      <c r="BD93" s="2340">
        <v>33691.312440132104</v>
      </c>
      <c r="BE93" s="2340">
        <v>34218.240021434547</v>
      </c>
      <c r="BF93" s="2340">
        <v>34833.956164566895</v>
      </c>
      <c r="BG93" s="2340">
        <v>35423.099010861399</v>
      </c>
      <c r="BH93" s="2340">
        <v>36065.048419971106</v>
      </c>
      <c r="BI93" s="2340">
        <v>36615.489714996802</v>
      </c>
      <c r="BJ93" s="2340">
        <v>37223.54512803167</v>
      </c>
      <c r="BK93" s="2340">
        <v>37859.822128063373</v>
      </c>
      <c r="BL93" s="2340">
        <v>38566.952124208707</v>
      </c>
      <c r="BM93" s="2340">
        <v>39226.618630011959</v>
      </c>
      <c r="BN93" s="2340">
        <v>39883.467781505933</v>
      </c>
      <c r="BO93" s="2340">
        <v>40482.663675481876</v>
      </c>
      <c r="BP93" s="2340">
        <v>41113.068441053474</v>
      </c>
      <c r="BQ93" s="2340">
        <v>41696.733933092022</v>
      </c>
      <c r="BR93" s="2340">
        <v>42290.12954509761</v>
      </c>
      <c r="BS93" s="2340">
        <v>42836.59833065483</v>
      </c>
      <c r="BT93" s="2340">
        <v>43414.239643387904</v>
      </c>
      <c r="BU93" s="2340">
        <v>43969.664419739136</v>
      </c>
      <c r="BV93" s="2340">
        <v>44555.48198720417</v>
      </c>
      <c r="BW93" s="2340">
        <v>45140.340900185824</v>
      </c>
      <c r="BX93" s="2340">
        <v>45720.736124696799</v>
      </c>
      <c r="BY93" s="2340">
        <v>46297.850488475502</v>
      </c>
      <c r="BZ93" s="2340">
        <v>46932.123894578719</v>
      </c>
      <c r="CA93" s="2340">
        <v>47535.085768698678</v>
      </c>
      <c r="CB93" s="2340">
        <v>48118.714356369012</v>
      </c>
      <c r="CC93" s="2340">
        <v>48682.083370381399</v>
      </c>
      <c r="CD93" s="2340">
        <v>49246.858086942913</v>
      </c>
      <c r="CE93" s="2340">
        <v>49806.456201940615</v>
      </c>
      <c r="CF93" s="2340">
        <v>50368.322308078459</v>
      </c>
      <c r="CG93" s="2340">
        <v>50932.793873346825</v>
      </c>
      <c r="CH93" s="2340">
        <v>51482.850542962544</v>
      </c>
      <c r="CI93" s="2340">
        <v>52055.002361992119</v>
      </c>
      <c r="CJ93" s="2340">
        <v>52582.211220674231</v>
      </c>
      <c r="CK93" s="2340">
        <v>53128.48335378617</v>
      </c>
      <c r="CL93" s="2340">
        <v>53685.705272329084</v>
      </c>
      <c r="CM93" s="2340">
        <v>54213.706950209351</v>
      </c>
      <c r="CN93" s="2340">
        <v>54757.8591096327</v>
      </c>
      <c r="CO93" s="2340">
        <v>55271.033436735815</v>
      </c>
      <c r="CP93" s="2340">
        <v>55805.899871057132</v>
      </c>
      <c r="CQ93" s="2340">
        <v>56321.046631527322</v>
      </c>
      <c r="CR93" s="2340">
        <v>56830.538756226466</v>
      </c>
      <c r="CS93" s="2340">
        <v>57344.870993793957</v>
      </c>
      <c r="CT93" s="2340">
        <v>57843.887810769105</v>
      </c>
      <c r="CU93" s="2340">
        <v>58336.060065701553</v>
      </c>
      <c r="CV93" s="2340">
        <v>58814.843796644927</v>
      </c>
      <c r="CW93" s="2340">
        <v>59310.433345176491</v>
      </c>
      <c r="CX93" s="2340">
        <v>59795.835167622252</v>
      </c>
      <c r="CY93" s="2340">
        <v>60271.358375137723</v>
      </c>
      <c r="CZ93" s="2340">
        <v>60726.445582386812</v>
      </c>
      <c r="DA93" s="2340">
        <v>61187.602878472258</v>
      </c>
      <c r="DB93" s="2340">
        <v>61654.331096067479</v>
      </c>
      <c r="DC93" s="2340">
        <v>62126.309421984704</v>
      </c>
      <c r="DD93" s="2340">
        <v>62574.376918531387</v>
      </c>
      <c r="DE93" s="2340">
        <v>63030.282842626853</v>
      </c>
      <c r="DF93" s="2340">
        <v>63502.989584016665</v>
      </c>
      <c r="DG93" s="2340">
        <v>63928.246399665499</v>
      </c>
      <c r="DH93" s="2340">
        <v>64374.757512928387</v>
      </c>
      <c r="DI93" s="2340">
        <v>64791.515331700801</v>
      </c>
      <c r="DJ93" s="2340">
        <v>65231.713612771418</v>
      </c>
      <c r="DK93" s="2340">
        <v>65667.036975379189</v>
      </c>
      <c r="DL93" s="2340">
        <v>66086.319053957966</v>
      </c>
      <c r="DM93" s="2340">
        <v>66488.719521297826</v>
      </c>
      <c r="DN93" s="2340">
        <v>66901.263531299192</v>
      </c>
      <c r="DO93" s="2340">
        <v>67319.185194738035</v>
      </c>
      <c r="DP93" s="2340">
        <v>67737.145012129651</v>
      </c>
      <c r="DQ93" s="2340">
        <v>68135.786748505197</v>
      </c>
      <c r="DR93" s="2340">
        <v>68530.925049536221</v>
      </c>
      <c r="DS93" s="2340">
        <v>68930.276992608691</v>
      </c>
      <c r="DT93" s="2340">
        <v>69327.246962398582</v>
      </c>
      <c r="DU93" s="2340">
        <v>69719.958434100306</v>
      </c>
    </row>
    <row r="94" spans="1:125" ht="12.75">
      <c r="A94" s="135">
        <v>92</v>
      </c>
      <c r="W94" s="136">
        <v>13142</v>
      </c>
      <c r="X94" s="136">
        <v>13758</v>
      </c>
      <c r="Y94" s="2340">
        <v>14146.9133051838</v>
      </c>
      <c r="Z94" s="2340">
        <v>15002.535028706738</v>
      </c>
      <c r="AA94" s="2340">
        <v>15371.207515212784</v>
      </c>
      <c r="AB94" s="2340">
        <v>15911.732207464565</v>
      </c>
      <c r="AC94" s="2340">
        <v>16611.977635990894</v>
      </c>
      <c r="AD94" s="2340">
        <v>17091.002018094674</v>
      </c>
      <c r="AE94" s="2340">
        <v>17364.247503491933</v>
      </c>
      <c r="AF94" s="2340">
        <v>17974.710394501541</v>
      </c>
      <c r="AG94" s="2340">
        <v>18276.147818149009</v>
      </c>
      <c r="AH94" s="2340">
        <v>18586.587343270745</v>
      </c>
      <c r="AI94" s="2340">
        <v>19022.023885951836</v>
      </c>
      <c r="AJ94" s="2340">
        <v>19826.610119606336</v>
      </c>
      <c r="AK94" s="2340">
        <v>20357.19636656221</v>
      </c>
      <c r="AL94" s="2340">
        <v>21058.082757093667</v>
      </c>
      <c r="AM94" s="2340">
        <v>21725.787166233578</v>
      </c>
      <c r="AN94" s="2340">
        <v>22372.80450541151</v>
      </c>
      <c r="AO94" s="2340">
        <v>22792.899440059344</v>
      </c>
      <c r="AP94" s="2340">
        <v>23196.372818184169</v>
      </c>
      <c r="AQ94" s="2340">
        <v>23509.6146584366</v>
      </c>
      <c r="AR94" s="2340">
        <v>23826.569496274824</v>
      </c>
      <c r="AS94" s="2340">
        <v>23966.167597227497</v>
      </c>
      <c r="AT94" s="2340">
        <v>23992.800821076176</v>
      </c>
      <c r="AU94" s="2340">
        <v>23979.905843566848</v>
      </c>
      <c r="AV94" s="2340">
        <v>24365.579378314513</v>
      </c>
      <c r="AW94" s="2340">
        <v>25014.385987472026</v>
      </c>
      <c r="AX94" s="2340">
        <v>25899.536383554321</v>
      </c>
      <c r="AY94" s="2340">
        <v>26832.747480390059</v>
      </c>
      <c r="AZ94" s="2340">
        <v>27311.754339996987</v>
      </c>
      <c r="BA94" s="2340">
        <v>27781.340604152403</v>
      </c>
      <c r="BB94" s="2340">
        <v>28412.47369546986</v>
      </c>
      <c r="BC94" s="2340">
        <v>28941.928263347749</v>
      </c>
      <c r="BD94" s="2340">
        <v>29470.436575984961</v>
      </c>
      <c r="BE94" s="2340">
        <v>29981.955259041104</v>
      </c>
      <c r="BF94" s="2340">
        <v>30572.352030729846</v>
      </c>
      <c r="BG94" s="2340">
        <v>31140.576210526317</v>
      </c>
      <c r="BH94" s="2340">
        <v>31756.385917149692</v>
      </c>
      <c r="BI94" s="2340">
        <v>32292.704759624452</v>
      </c>
      <c r="BJ94" s="2340">
        <v>32880.849979320563</v>
      </c>
      <c r="BK94" s="2340">
        <v>33495.035611269719</v>
      </c>
      <c r="BL94" s="2340">
        <v>34173.128867164378</v>
      </c>
      <c r="BM94" s="2340">
        <v>34810.395942763309</v>
      </c>
      <c r="BN94" s="2340">
        <v>35446.300210094414</v>
      </c>
      <c r="BO94" s="2340">
        <v>36031.999505936714</v>
      </c>
      <c r="BP94" s="2340">
        <v>36646.454029994013</v>
      </c>
      <c r="BQ94" s="2340">
        <v>37220.183962712574</v>
      </c>
      <c r="BR94" s="2340">
        <v>37803.468711061381</v>
      </c>
      <c r="BS94" s="2340">
        <v>38345.608952524162</v>
      </c>
      <c r="BT94" s="2340">
        <v>38916.419575663276</v>
      </c>
      <c r="BU94" s="2340">
        <v>39468.07525917975</v>
      </c>
      <c r="BV94" s="2340">
        <v>40047.764618773908</v>
      </c>
      <c r="BW94" s="2340">
        <v>40627.363139367546</v>
      </c>
      <c r="BX94" s="2340">
        <v>41203.691305900407</v>
      </c>
      <c r="BY94" s="2340">
        <v>41777.783820010387</v>
      </c>
      <c r="BZ94" s="2340">
        <v>42404.22159235119</v>
      </c>
      <c r="CA94" s="2340">
        <v>43003.147894740308</v>
      </c>
      <c r="CB94" s="2340">
        <v>43585.288598248117</v>
      </c>
      <c r="CC94" s="2340">
        <v>44149.722566058008</v>
      </c>
      <c r="CD94" s="2340">
        <v>44716.039492733136</v>
      </c>
      <c r="CE94" s="2340">
        <v>45278.245622440889</v>
      </c>
      <c r="CF94" s="2340">
        <v>45843.085770646481</v>
      </c>
      <c r="CG94" s="2340">
        <v>46410.86084444166</v>
      </c>
      <c r="CH94" s="2340">
        <v>46966.038295841987</v>
      </c>
      <c r="CI94" s="2340">
        <v>47541.904504924976</v>
      </c>
      <c r="CJ94" s="2340">
        <v>48077.219968465281</v>
      </c>
      <c r="CK94" s="2340">
        <v>48630.422240098662</v>
      </c>
      <c r="CL94" s="2340">
        <v>49194.122339172434</v>
      </c>
      <c r="CM94" s="2340">
        <v>49731.491887202174</v>
      </c>
      <c r="CN94" s="2340">
        <v>50284.09713721976</v>
      </c>
      <c r="CO94" s="2340">
        <v>50808.650612614707</v>
      </c>
      <c r="CP94" s="2340">
        <v>51353.520287064515</v>
      </c>
      <c r="CQ94" s="2340">
        <v>51880.610674833551</v>
      </c>
      <c r="CR94" s="2340">
        <v>52402.825437597508</v>
      </c>
      <c r="CS94" s="2340">
        <v>52929.82606495457</v>
      </c>
      <c r="CT94" s="2340">
        <v>53442.994408683284</v>
      </c>
      <c r="CU94" s="2340">
        <v>53950.113917064402</v>
      </c>
      <c r="CV94" s="2340">
        <v>54445.099989224283</v>
      </c>
      <c r="CW94" s="2340">
        <v>54955.886654271853</v>
      </c>
      <c r="CX94" s="2340">
        <v>55457.474868176665</v>
      </c>
      <c r="CY94" s="2340">
        <v>55950.117380876953</v>
      </c>
      <c r="CZ94" s="2340">
        <v>56423.97215696676</v>
      </c>
      <c r="DA94" s="2340">
        <v>56903.631104074258</v>
      </c>
      <c r="DB94" s="2340">
        <v>57388.638270586482</v>
      </c>
      <c r="DC94" s="2340">
        <v>57878.702007043154</v>
      </c>
      <c r="DD94" s="2340">
        <v>58346.637847941092</v>
      </c>
      <c r="DE94" s="2340">
        <v>58822.011599520934</v>
      </c>
      <c r="DF94" s="2340">
        <v>59313.207198570024</v>
      </c>
      <c r="DG94" s="2340">
        <v>59760.196463453613</v>
      </c>
      <c r="DH94" s="2340">
        <v>60227.141382538008</v>
      </c>
      <c r="DI94" s="2340">
        <v>60666.325746001668</v>
      </c>
      <c r="DJ94" s="2340">
        <v>61127.524257961639</v>
      </c>
      <c r="DK94" s="2340">
        <v>61584.229987282131</v>
      </c>
      <c r="DL94" s="2340">
        <v>62025.947108520377</v>
      </c>
      <c r="DM94" s="2340">
        <v>62451.846848193178</v>
      </c>
      <c r="DN94" s="2340">
        <v>62887.292542042182</v>
      </c>
      <c r="DO94" s="2340">
        <v>63327.818889491304</v>
      </c>
      <c r="DP94" s="2340">
        <v>63768.406818232797</v>
      </c>
      <c r="DQ94" s="2340">
        <v>64190.817116403014</v>
      </c>
      <c r="DR94" s="2340">
        <v>64609.916310320288</v>
      </c>
      <c r="DS94" s="2340">
        <v>65032.974936454906</v>
      </c>
      <c r="DT94" s="2340">
        <v>65453.771367035653</v>
      </c>
      <c r="DU94" s="2340">
        <v>65870.524983044161</v>
      </c>
    </row>
    <row r="95" spans="1:125" ht="12.75">
      <c r="A95" s="135">
        <v>93</v>
      </c>
      <c r="W95" s="136">
        <v>10727</v>
      </c>
      <c r="X95" s="136">
        <v>11082</v>
      </c>
      <c r="Y95" s="2340">
        <v>11549.128618387018</v>
      </c>
      <c r="Z95" s="2340">
        <v>12139.69123393267</v>
      </c>
      <c r="AA95" s="2340">
        <v>12464.45838341303</v>
      </c>
      <c r="AB95" s="2340">
        <v>12986.707146586621</v>
      </c>
      <c r="AC95" s="2340">
        <v>13555.101751537646</v>
      </c>
      <c r="AD95" s="2340">
        <v>13840.941725251312</v>
      </c>
      <c r="AE95" s="2340">
        <v>14024.196730368007</v>
      </c>
      <c r="AF95" s="2340">
        <v>14595.645627378162</v>
      </c>
      <c r="AG95" s="2340">
        <v>14883.648484219626</v>
      </c>
      <c r="AH95" s="2340">
        <v>15179.876594167306</v>
      </c>
      <c r="AI95" s="2340">
        <v>15579.374286685161</v>
      </c>
      <c r="AJ95" s="2340">
        <v>16283.4966571318</v>
      </c>
      <c r="AK95" s="2340">
        <v>16765.041479387357</v>
      </c>
      <c r="AL95" s="2340">
        <v>17389.009259629474</v>
      </c>
      <c r="AM95" s="2340">
        <v>17988.008345009595</v>
      </c>
      <c r="AN95" s="2340">
        <v>18572.144674558644</v>
      </c>
      <c r="AO95" s="2340">
        <v>18969.597102266493</v>
      </c>
      <c r="AP95" s="2340">
        <v>19354.352626097443</v>
      </c>
      <c r="AQ95" s="2340">
        <v>19664.710059765104</v>
      </c>
      <c r="AR95" s="2340">
        <v>19978.861813847885</v>
      </c>
      <c r="AS95" s="2340">
        <v>20139.795354870344</v>
      </c>
      <c r="AT95" s="2340">
        <v>20205.605998669867</v>
      </c>
      <c r="AU95" s="2340">
        <v>20237.660604671251</v>
      </c>
      <c r="AV95" s="2340">
        <v>20606.256856159409</v>
      </c>
      <c r="AW95" s="2340">
        <v>21198.716372493509</v>
      </c>
      <c r="AX95" s="2340">
        <v>21993.637648164022</v>
      </c>
      <c r="AY95" s="2340">
        <v>22831.990184207716</v>
      </c>
      <c r="AZ95" s="2340">
        <v>23285.745421174299</v>
      </c>
      <c r="BA95" s="2340">
        <v>23732.539832621052</v>
      </c>
      <c r="BB95" s="2340">
        <v>24318.638762672585</v>
      </c>
      <c r="BC95" s="2340">
        <v>24819.085078479435</v>
      </c>
      <c r="BD95" s="2340">
        <v>25319.90238234157</v>
      </c>
      <c r="BE95" s="2340">
        <v>25807.253536324475</v>
      </c>
      <c r="BF95" s="2340">
        <v>26363.705776293897</v>
      </c>
      <c r="BG95" s="2340">
        <v>26902.309438301119</v>
      </c>
      <c r="BH95" s="2340">
        <v>27483.308227041925</v>
      </c>
      <c r="BI95" s="2340">
        <v>27996.725136470777</v>
      </c>
      <c r="BJ95" s="2340">
        <v>28556.22055169729</v>
      </c>
      <c r="BK95" s="2340">
        <v>29139.572094392945</v>
      </c>
      <c r="BL95" s="2340">
        <v>29779.870411866726</v>
      </c>
      <c r="BM95" s="2340">
        <v>30385.948453014869</v>
      </c>
      <c r="BN95" s="2340">
        <v>30992.106848688403</v>
      </c>
      <c r="BO95" s="2340">
        <v>31555.540717229069</v>
      </c>
      <c r="BP95" s="2340">
        <v>32145.275293865237</v>
      </c>
      <c r="BQ95" s="2340">
        <v>32700.366572874012</v>
      </c>
      <c r="BR95" s="2340">
        <v>33264.866741716745</v>
      </c>
      <c r="BS95" s="2340">
        <v>33794.113028611362</v>
      </c>
      <c r="BT95" s="2340">
        <v>34349.540954873017</v>
      </c>
      <c r="BU95" s="2340">
        <v>34888.970150388792</v>
      </c>
      <c r="BV95" s="2340">
        <v>35454.08167023478</v>
      </c>
      <c r="BW95" s="2340">
        <v>36020.031794940267</v>
      </c>
      <c r="BX95" s="2340">
        <v>36583.978175146483</v>
      </c>
      <c r="BY95" s="2340">
        <v>37146.809695062635</v>
      </c>
      <c r="BZ95" s="2340">
        <v>37757.099054856088</v>
      </c>
      <c r="CA95" s="2340">
        <v>38343.81919467407</v>
      </c>
      <c r="CB95" s="2340">
        <v>38916.425918974601</v>
      </c>
      <c r="CC95" s="2340">
        <v>39474.016236259093</v>
      </c>
      <c r="CD95" s="2340">
        <v>40034.047664483776</v>
      </c>
      <c r="CE95" s="2340">
        <v>40591.137367590338</v>
      </c>
      <c r="CF95" s="2340">
        <v>41151.309342657194</v>
      </c>
      <c r="CG95" s="2340">
        <v>41714.827599665296</v>
      </c>
      <c r="CH95" s="2340">
        <v>42267.708055798961</v>
      </c>
      <c r="CI95" s="2340">
        <v>42839.886802323228</v>
      </c>
      <c r="CJ95" s="2340">
        <v>43376.167436014082</v>
      </c>
      <c r="CK95" s="2340">
        <v>43929.188216154304</v>
      </c>
      <c r="CL95" s="2340">
        <v>44492.311857077664</v>
      </c>
      <c r="CM95" s="2340">
        <v>45032.210361583486</v>
      </c>
      <c r="CN95" s="2340">
        <v>45586.468240875663</v>
      </c>
      <c r="CO95" s="2340">
        <v>46115.831844728062</v>
      </c>
      <c r="CP95" s="2340">
        <v>46664.151221025306</v>
      </c>
      <c r="CQ95" s="2340">
        <v>47196.821412563877</v>
      </c>
      <c r="CR95" s="2340">
        <v>47725.527402708431</v>
      </c>
      <c r="CS95" s="2340">
        <v>48259.05178866996</v>
      </c>
      <c r="CT95" s="2340">
        <v>48780.403963484736</v>
      </c>
      <c r="CU95" s="2340">
        <v>49296.643851149587</v>
      </c>
      <c r="CV95" s="2340">
        <v>49802.177524794562</v>
      </c>
      <c r="CW95" s="2340">
        <v>50322.538621328924</v>
      </c>
      <c r="CX95" s="2340">
        <v>50834.847692283947</v>
      </c>
      <c r="CY95" s="2340">
        <v>51339.300739997248</v>
      </c>
      <c r="CZ95" s="2340">
        <v>51826.823165386275</v>
      </c>
      <c r="DA95" s="2340">
        <v>52319.96498121271</v>
      </c>
      <c r="DB95" s="2340">
        <v>52818.314280726874</v>
      </c>
      <c r="DC95" s="2340">
        <v>53321.608664549967</v>
      </c>
      <c r="DD95" s="2340">
        <v>53804.785102819602</v>
      </c>
      <c r="DE95" s="2340">
        <v>54295.067211260321</v>
      </c>
      <c r="DF95" s="2340">
        <v>54800.213078157598</v>
      </c>
      <c r="DG95" s="2340">
        <v>55264.743590784201</v>
      </c>
      <c r="DH95" s="2340">
        <v>55747.92796136938</v>
      </c>
      <c r="DI95" s="2340">
        <v>56205.60258641198</v>
      </c>
      <c r="DJ95" s="2340">
        <v>56683.847522204938</v>
      </c>
      <c r="DK95" s="2340">
        <v>57158.109423276692</v>
      </c>
      <c r="DL95" s="2340">
        <v>57618.620846838079</v>
      </c>
      <c r="DM95" s="2340">
        <v>58064.568835243517</v>
      </c>
      <c r="DN95" s="2340">
        <v>58519.51168942127</v>
      </c>
      <c r="DO95" s="2340">
        <v>58979.30816188037</v>
      </c>
      <c r="DP95" s="2340">
        <v>59439.286513140934</v>
      </c>
      <c r="DQ95" s="2340">
        <v>59882.426562360502</v>
      </c>
      <c r="DR95" s="2340">
        <v>60322.561635879734</v>
      </c>
      <c r="DS95" s="2340">
        <v>60766.473188073054</v>
      </c>
      <c r="DT95" s="2340">
        <v>61208.34752427417</v>
      </c>
      <c r="DU95" s="2340">
        <v>61646.508764180311</v>
      </c>
    </row>
    <row r="96" spans="1:125" ht="12.75">
      <c r="A96" s="135">
        <v>94</v>
      </c>
      <c r="W96" s="136">
        <v>8402</v>
      </c>
      <c r="X96" s="136">
        <v>8701</v>
      </c>
      <c r="Y96" s="2340">
        <v>9099.2908744727683</v>
      </c>
      <c r="Z96" s="2340">
        <v>9591.4020317634604</v>
      </c>
      <c r="AA96" s="2340">
        <v>9882.5740323611681</v>
      </c>
      <c r="AB96" s="2340">
        <v>10372.341606616848</v>
      </c>
      <c r="AC96" s="2340">
        <v>10674.542879682773</v>
      </c>
      <c r="AD96" s="2340">
        <v>10907.355251131343</v>
      </c>
      <c r="AE96" s="2340">
        <v>11073.168525095361</v>
      </c>
      <c r="AF96" s="2340">
        <v>11561.656729479422</v>
      </c>
      <c r="AG96" s="2340">
        <v>11827.352624483845</v>
      </c>
      <c r="AH96" s="2340">
        <v>12100.594040817909</v>
      </c>
      <c r="AI96" s="2340">
        <v>12457.419397893631</v>
      </c>
      <c r="AJ96" s="2340">
        <v>13060.056638330736</v>
      </c>
      <c r="AK96" s="2340">
        <v>13486.566541441724</v>
      </c>
      <c r="AL96" s="2340">
        <v>14029.797466217962</v>
      </c>
      <c r="AM96" s="2340">
        <v>14555.268114983042</v>
      </c>
      <c r="AN96" s="2340">
        <v>15070.958303035068</v>
      </c>
      <c r="AO96" s="2340">
        <v>15436.898472050074</v>
      </c>
      <c r="AP96" s="2340">
        <v>15793.758720275011</v>
      </c>
      <c r="AQ96" s="2340">
        <v>16090.939605365906</v>
      </c>
      <c r="AR96" s="2340">
        <v>16387.428440388598</v>
      </c>
      <c r="AS96" s="2340">
        <v>16558.747797183947</v>
      </c>
      <c r="AT96" s="2340">
        <v>16651.872305009751</v>
      </c>
      <c r="AU96" s="2340">
        <v>16716.942346629479</v>
      </c>
      <c r="AV96" s="2340">
        <v>17060.344168837964</v>
      </c>
      <c r="AW96" s="2340">
        <v>17590.467727206567</v>
      </c>
      <c r="AX96" s="2340">
        <v>18290.738165679963</v>
      </c>
      <c r="AY96" s="2340">
        <v>19029.688334396622</v>
      </c>
      <c r="AZ96" s="2340">
        <v>19449.989790297332</v>
      </c>
      <c r="BA96" s="2340">
        <v>19865.639584284541</v>
      </c>
      <c r="BB96" s="2340">
        <v>20399.271357230034</v>
      </c>
      <c r="BC96" s="2340">
        <v>20862.500561627636</v>
      </c>
      <c r="BD96" s="2340">
        <v>21327.312786244427</v>
      </c>
      <c r="BE96" s="2340">
        <v>21782.007818984217</v>
      </c>
      <c r="BF96" s="2340">
        <v>22296.323154361467</v>
      </c>
      <c r="BG96" s="2340">
        <v>22796.903551407115</v>
      </c>
      <c r="BH96" s="2340">
        <v>23334.785153800967</v>
      </c>
      <c r="BI96" s="2340">
        <v>23816.595993340408</v>
      </c>
      <c r="BJ96" s="2340">
        <v>24338.855860466123</v>
      </c>
      <c r="BK96" s="2340">
        <v>24882.788574406935</v>
      </c>
      <c r="BL96" s="2340">
        <v>25476.792965594759</v>
      </c>
      <c r="BM96" s="2340">
        <v>26042.975545673427</v>
      </c>
      <c r="BN96" s="2340">
        <v>26610.60107402231</v>
      </c>
      <c r="BO96" s="2340">
        <v>27142.825721532437</v>
      </c>
      <c r="BP96" s="2340">
        <v>27698.907681740147</v>
      </c>
      <c r="BQ96" s="2340">
        <v>28226.337497613862</v>
      </c>
      <c r="BR96" s="2340">
        <v>28763.028009473677</v>
      </c>
      <c r="BS96" s="2340">
        <v>29270.315468156023</v>
      </c>
      <c r="BT96" s="2340">
        <v>29801.325687384568</v>
      </c>
      <c r="BU96" s="2340">
        <v>30319.496380178884</v>
      </c>
      <c r="BV96" s="2340">
        <v>30861.020348130209</v>
      </c>
      <c r="BW96" s="2340">
        <v>31404.326636773389</v>
      </c>
      <c r="BX96" s="2340">
        <v>31946.916619821761</v>
      </c>
      <c r="BY96" s="2340">
        <v>32489.539688201501</v>
      </c>
      <c r="BZ96" s="2340">
        <v>33074.72095516495</v>
      </c>
      <c r="CA96" s="2340">
        <v>33640.31871038281</v>
      </c>
      <c r="CB96" s="2340">
        <v>34194.526442797847</v>
      </c>
      <c r="CC96" s="2340">
        <v>34736.474279990282</v>
      </c>
      <c r="CD96" s="2340">
        <v>35281.470028295669</v>
      </c>
      <c r="CE96" s="2340">
        <v>35824.754739560012</v>
      </c>
      <c r="CF96" s="2340">
        <v>36371.624021865726</v>
      </c>
      <c r="CG96" s="2340">
        <v>36922.306159977823</v>
      </c>
      <c r="CH96" s="2340">
        <v>37464.401833674288</v>
      </c>
      <c r="CI96" s="2340">
        <v>38024.425970288292</v>
      </c>
      <c r="CJ96" s="2340">
        <v>38553.373777372093</v>
      </c>
      <c r="CK96" s="2340">
        <v>39097.94783284131</v>
      </c>
      <c r="CL96" s="2340">
        <v>39652.277929406489</v>
      </c>
      <c r="CM96" s="2340">
        <v>40186.642701371973</v>
      </c>
      <c r="CN96" s="2340">
        <v>40734.529497520103</v>
      </c>
      <c r="CO96" s="2340">
        <v>41260.852646532519</v>
      </c>
      <c r="CP96" s="2340">
        <v>41804.795838831451</v>
      </c>
      <c r="CQ96" s="2340">
        <v>42335.369364986014</v>
      </c>
      <c r="CR96" s="2340">
        <v>42863.001183404849</v>
      </c>
      <c r="CS96" s="2340">
        <v>43395.56244521492</v>
      </c>
      <c r="CT96" s="2340">
        <v>43917.759229850126</v>
      </c>
      <c r="CU96" s="2340">
        <v>44435.903014155527</v>
      </c>
      <c r="CV96" s="2340">
        <v>44944.916872603877</v>
      </c>
      <c r="CW96" s="2340">
        <v>45467.825362962329</v>
      </c>
      <c r="CX96" s="2340">
        <v>45983.967675011474</v>
      </c>
      <c r="CY96" s="2340">
        <v>46493.484738936997</v>
      </c>
      <c r="CZ96" s="2340">
        <v>46988.113951836087</v>
      </c>
      <c r="DA96" s="2340">
        <v>47488.260722021747</v>
      </c>
      <c r="DB96" s="2340">
        <v>47993.557778032111</v>
      </c>
      <c r="DC96" s="2340">
        <v>48503.772011308683</v>
      </c>
      <c r="DD96" s="2340">
        <v>48996.08499142847</v>
      </c>
      <c r="DE96" s="2340">
        <v>49495.245211169276</v>
      </c>
      <c r="DF96" s="2340">
        <v>50008.34372886968</v>
      </c>
      <c r="DG96" s="2340">
        <v>50484.733151245782</v>
      </c>
      <c r="DH96" s="2340">
        <v>50978.488064640158</v>
      </c>
      <c r="DI96" s="2340">
        <v>51449.226107162722</v>
      </c>
      <c r="DJ96" s="2340">
        <v>51939.091343151653</v>
      </c>
      <c r="DK96" s="2340">
        <v>52425.611861990081</v>
      </c>
      <c r="DL96" s="2340">
        <v>52899.801334446543</v>
      </c>
      <c r="DM96" s="2340">
        <v>53360.868155372278</v>
      </c>
      <c r="DN96" s="2340">
        <v>53830.437219709595</v>
      </c>
      <c r="DO96" s="2340">
        <v>54304.712251241006</v>
      </c>
      <c r="DP96" s="2340">
        <v>54779.393422842702</v>
      </c>
      <c r="DQ96" s="2340">
        <v>55238.773980080172</v>
      </c>
      <c r="DR96" s="2340">
        <v>55695.576866259595</v>
      </c>
      <c r="DS96" s="2340">
        <v>56156.055320532381</v>
      </c>
      <c r="DT96" s="2340">
        <v>56614.835287059104</v>
      </c>
      <c r="DU96" s="2340">
        <v>57070.35431889171</v>
      </c>
    </row>
    <row r="97" spans="1:125" ht="12.75">
      <c r="A97" s="135">
        <v>95</v>
      </c>
      <c r="W97" s="136">
        <v>6411</v>
      </c>
      <c r="X97" s="136">
        <v>6662</v>
      </c>
      <c r="Y97" s="2340">
        <v>6998.0134867425395</v>
      </c>
      <c r="Z97" s="2340">
        <v>7440.2802509083576</v>
      </c>
      <c r="AA97" s="2340">
        <v>7687.5155164111284</v>
      </c>
      <c r="AB97" s="2340">
        <v>7937.4118093340021</v>
      </c>
      <c r="AC97" s="2340">
        <v>8151.5230692043106</v>
      </c>
      <c r="AD97" s="2340">
        <v>8351.2503259904443</v>
      </c>
      <c r="AE97" s="2340">
        <v>8508.528300883725</v>
      </c>
      <c r="AF97" s="2340">
        <v>8915.1687127421792</v>
      </c>
      <c r="AG97" s="2340">
        <v>9151.6815279141829</v>
      </c>
      <c r="AH97" s="2340">
        <v>9395.0961834162499</v>
      </c>
      <c r="AI97" s="2340">
        <v>9704.6875333385542</v>
      </c>
      <c r="AJ97" s="2340">
        <v>10207.881396490859</v>
      </c>
      <c r="AK97" s="2340">
        <v>10575.662655358747</v>
      </c>
      <c r="AL97" s="2340">
        <v>11037.028518454406</v>
      </c>
      <c r="AM97" s="2340">
        <v>11486.689046360443</v>
      </c>
      <c r="AN97" s="2340">
        <v>11930.787307384253</v>
      </c>
      <c r="AO97" s="2340">
        <v>12258.064844942957</v>
      </c>
      <c r="AP97" s="2340">
        <v>12579.442714846875</v>
      </c>
      <c r="AQ97" s="2340">
        <v>12850.104456202062</v>
      </c>
      <c r="AR97" s="2340">
        <v>13121.107856536208</v>
      </c>
      <c r="AS97" s="2340">
        <v>13292.508836302199</v>
      </c>
      <c r="AT97" s="2340">
        <v>13401.328679454293</v>
      </c>
      <c r="AU97" s="2340">
        <v>13487.53941060734</v>
      </c>
      <c r="AV97" s="2340">
        <v>13798.782134151286</v>
      </c>
      <c r="AW97" s="2340">
        <v>14262.434096832916</v>
      </c>
      <c r="AX97" s="2340">
        <v>14866.105337106263</v>
      </c>
      <c r="AY97" s="2340">
        <v>15503.650872341041</v>
      </c>
      <c r="AZ97" s="2340">
        <v>15883.449880732838</v>
      </c>
      <c r="BA97" s="2340">
        <v>16260.660691519983</v>
      </c>
      <c r="BB97" s="2340">
        <v>16735.846454382488</v>
      </c>
      <c r="BC97" s="2340">
        <v>17154.741854732318</v>
      </c>
      <c r="BD97" s="2340">
        <v>17576.255435138657</v>
      </c>
      <c r="BE97" s="2340">
        <v>17990.709665228947</v>
      </c>
      <c r="BF97" s="2340">
        <v>18455.752635048731</v>
      </c>
      <c r="BG97" s="2340">
        <v>18910.831761459041</v>
      </c>
      <c r="BH97" s="2340">
        <v>19398.276341290526</v>
      </c>
      <c r="BI97" s="2340">
        <v>19840.475151740058</v>
      </c>
      <c r="BJ97" s="2340">
        <v>20317.685175237213</v>
      </c>
      <c r="BK97" s="2340">
        <v>20814.38654368648</v>
      </c>
      <c r="BL97" s="2340">
        <v>21354.469801763757</v>
      </c>
      <c r="BM97" s="2340">
        <v>21872.742322683509</v>
      </c>
      <c r="BN97" s="2340">
        <v>22393.666247339166</v>
      </c>
      <c r="BO97" s="2340">
        <v>22886.158230664958</v>
      </c>
      <c r="BP97" s="2340">
        <v>23400.082590105027</v>
      </c>
      <c r="BQ97" s="2340">
        <v>23891.087704366309</v>
      </c>
      <c r="BR97" s="2340">
        <v>24391.163800178234</v>
      </c>
      <c r="BS97" s="2340">
        <v>24867.485365944445</v>
      </c>
      <c r="BT97" s="2340">
        <v>25365.110834850617</v>
      </c>
      <c r="BU97" s="2340">
        <v>25852.954249273553</v>
      </c>
      <c r="BV97" s="2340">
        <v>26361.85249013047</v>
      </c>
      <c r="BW97" s="2340">
        <v>26873.433020794542</v>
      </c>
      <c r="BX97" s="2340">
        <v>27385.541477351904</v>
      </c>
      <c r="BY97" s="2340">
        <v>27898.797906524076</v>
      </c>
      <c r="BZ97" s="2340">
        <v>28449.76118090202</v>
      </c>
      <c r="CA97" s="2340">
        <v>28985.054478073202</v>
      </c>
      <c r="CB97" s="2340">
        <v>29511.643603698943</v>
      </c>
      <c r="CC97" s="2340">
        <v>30028.707950593129</v>
      </c>
      <c r="CD97" s="2340">
        <v>30549.431211426545</v>
      </c>
      <c r="CE97" s="2340">
        <v>31069.680343119908</v>
      </c>
      <c r="CF97" s="2340">
        <v>31594.029948901378</v>
      </c>
      <c r="CG97" s="2340">
        <v>32122.675298179012</v>
      </c>
      <c r="CH97" s="2340">
        <v>32644.809722456528</v>
      </c>
      <c r="CI97" s="2340">
        <v>33183.520386682598</v>
      </c>
      <c r="CJ97" s="2340">
        <v>33696.030482727336</v>
      </c>
      <c r="CK97" s="2340">
        <v>34223.080104356239</v>
      </c>
      <c r="CL97" s="2340">
        <v>34759.567885919998</v>
      </c>
      <c r="CM97" s="2340">
        <v>35279.422721916686</v>
      </c>
      <c r="CN97" s="2340">
        <v>35811.992720607479</v>
      </c>
      <c r="CO97" s="2340">
        <v>36326.423386432201</v>
      </c>
      <c r="CP97" s="2340">
        <v>36857.164865182727</v>
      </c>
      <c r="CQ97" s="2340">
        <v>37376.907129180239</v>
      </c>
      <c r="CR97" s="2340">
        <v>37894.805458273106</v>
      </c>
      <c r="CS97" s="2340">
        <v>38417.80298928728</v>
      </c>
      <c r="CT97" s="2340">
        <v>38932.345312117701</v>
      </c>
      <c r="CU97" s="2340">
        <v>39443.984098983725</v>
      </c>
      <c r="CV97" s="2340">
        <v>39948.179109395947</v>
      </c>
      <c r="CW97" s="2340">
        <v>40465.376898918323</v>
      </c>
      <c r="CX97" s="2340">
        <v>40977.201091795025</v>
      </c>
      <c r="CY97" s="2340">
        <v>41483.741522083583</v>
      </c>
      <c r="CZ97" s="2340">
        <v>41977.581897624783</v>
      </c>
      <c r="DA97" s="2340">
        <v>42476.912758958781</v>
      </c>
      <c r="DB97" s="2340">
        <v>42981.411875030237</v>
      </c>
      <c r="DC97" s="2340">
        <v>43490.875522371178</v>
      </c>
      <c r="DD97" s="2340">
        <v>43984.823486611684</v>
      </c>
      <c r="DE97" s="2340">
        <v>44485.430876820275</v>
      </c>
      <c r="DF97" s="2340">
        <v>44999.089358996025</v>
      </c>
      <c r="DG97" s="2340">
        <v>45480.204918669755</v>
      </c>
      <c r="DH97" s="2340">
        <v>45977.423132226009</v>
      </c>
      <c r="DI97" s="2340">
        <v>46454.325474899772</v>
      </c>
      <c r="DJ97" s="2340">
        <v>46948.927355595719</v>
      </c>
      <c r="DK97" s="2340">
        <v>47440.941519007407</v>
      </c>
      <c r="DL97" s="2340">
        <v>47922.207693215205</v>
      </c>
      <c r="DM97" s="2340">
        <v>48391.962526997311</v>
      </c>
      <c r="DN97" s="2340">
        <v>48869.791257004326</v>
      </c>
      <c r="DO97" s="2340">
        <v>49352.259893721057</v>
      </c>
      <c r="DP97" s="2340">
        <v>49835.461609345708</v>
      </c>
      <c r="DQ97" s="2340">
        <v>50305.085226510746</v>
      </c>
      <c r="DR97" s="2340">
        <v>50772.678298058432</v>
      </c>
      <c r="DS97" s="2340">
        <v>51243.932262350871</v>
      </c>
      <c r="DT97" s="2340">
        <v>51713.940749880392</v>
      </c>
      <c r="DU97" s="2340">
        <v>52181.263085029947</v>
      </c>
    </row>
    <row r="98" spans="1:125" ht="12.75">
      <c r="A98" s="135">
        <v>96</v>
      </c>
      <c r="W98" s="136">
        <v>4754</v>
      </c>
      <c r="X98" s="136">
        <v>4958</v>
      </c>
      <c r="Y98" s="2340">
        <v>5217.1183480728578</v>
      </c>
      <c r="Z98" s="2340">
        <v>5596.3238644465682</v>
      </c>
      <c r="AA98" s="2340">
        <v>5798.9062044638167</v>
      </c>
      <c r="AB98" s="2340">
        <v>5887.0958514928916</v>
      </c>
      <c r="AC98" s="2340">
        <v>6032.8053258704213</v>
      </c>
      <c r="AD98" s="2340">
        <v>6197.420141350849</v>
      </c>
      <c r="AE98" s="2340">
        <v>6337.4348940504588</v>
      </c>
      <c r="AF98" s="2340">
        <v>6664.4420354879512</v>
      </c>
      <c r="AG98" s="2340">
        <v>6865.7232542944184</v>
      </c>
      <c r="AH98" s="2340">
        <v>7073.1723788893032</v>
      </c>
      <c r="AI98" s="2340">
        <v>7331.6052475950592</v>
      </c>
      <c r="AJ98" s="2340">
        <v>7738.1109637125719</v>
      </c>
      <c r="AK98" s="2340">
        <v>8043.8966444655161</v>
      </c>
      <c r="AL98" s="2340">
        <v>8422.6499876667767</v>
      </c>
      <c r="AM98" s="2340">
        <v>8794.4298453834035</v>
      </c>
      <c r="AN98" s="2340">
        <v>9163.8314219764598</v>
      </c>
      <c r="AO98" s="2340">
        <v>9445.052435894384</v>
      </c>
      <c r="AP98" s="2340">
        <v>9722.9490549329748</v>
      </c>
      <c r="AQ98" s="2340">
        <v>9959.2721611458837</v>
      </c>
      <c r="AR98" s="2340">
        <v>10196.716123604119</v>
      </c>
      <c r="AS98" s="2340">
        <v>10357.392877891605</v>
      </c>
      <c r="AT98" s="2340">
        <v>10469.598975554925</v>
      </c>
      <c r="AU98" s="2340">
        <v>10564.254848145274</v>
      </c>
      <c r="AV98" s="2340">
        <v>10835.684274553925</v>
      </c>
      <c r="AW98" s="2340">
        <v>11228.051293364286</v>
      </c>
      <c r="AX98" s="2340">
        <v>11732.458483770344</v>
      </c>
      <c r="AY98" s="2340">
        <v>12265.719496234524</v>
      </c>
      <c r="AZ98" s="2340">
        <v>12596.719835729196</v>
      </c>
      <c r="BA98" s="2340">
        <v>12926.798185466825</v>
      </c>
      <c r="BB98" s="2340">
        <v>13336.054986414994</v>
      </c>
      <c r="BC98" s="2340">
        <v>13701.804313113251</v>
      </c>
      <c r="BD98" s="2340">
        <v>14070.870568503346</v>
      </c>
      <c r="BE98" s="2340">
        <v>14435.482301523198</v>
      </c>
      <c r="BF98" s="2340">
        <v>14841.940808837915</v>
      </c>
      <c r="BG98" s="2340">
        <v>15241.693394247497</v>
      </c>
      <c r="BH98" s="2340">
        <v>15668.856127194878</v>
      </c>
      <c r="BI98" s="2340">
        <v>16060.75155410548</v>
      </c>
      <c r="BJ98" s="2340">
        <v>16482.22824940192</v>
      </c>
      <c r="BK98" s="2340">
        <v>16920.829303278646</v>
      </c>
      <c r="BL98" s="2340">
        <v>17396.094192112461</v>
      </c>
      <c r="BM98" s="2340">
        <v>17855.001270062668</v>
      </c>
      <c r="BN98" s="2340">
        <v>18317.426858256462</v>
      </c>
      <c r="BO98" s="2340">
        <v>18757.884666654991</v>
      </c>
      <c r="BP98" s="2340">
        <v>19217.163982771755</v>
      </c>
      <c r="BQ98" s="2340">
        <v>19658.852469672769</v>
      </c>
      <c r="BR98" s="2340">
        <v>20109.19308279383</v>
      </c>
      <c r="BS98" s="2340">
        <v>20541.093836725042</v>
      </c>
      <c r="BT98" s="2340">
        <v>20991.7126832098</v>
      </c>
      <c r="BU98" s="2340">
        <v>21435.355132498014</v>
      </c>
      <c r="BV98" s="2340">
        <v>21897.571390621495</v>
      </c>
      <c r="BW98" s="2340">
        <v>22363.148987219829</v>
      </c>
      <c r="BX98" s="2340">
        <v>22830.284260574474</v>
      </c>
      <c r="BY98" s="2340">
        <v>23299.47785470547</v>
      </c>
      <c r="BZ98" s="2340">
        <v>23801.30099757537</v>
      </c>
      <c r="CA98" s="2340">
        <v>24291.165807732748</v>
      </c>
      <c r="CB98" s="2340">
        <v>24774.832104766116</v>
      </c>
      <c r="CC98" s="2340">
        <v>25251.553277642863</v>
      </c>
      <c r="CD98" s="2340">
        <v>25732.375247394772</v>
      </c>
      <c r="CE98" s="2340">
        <v>26213.808088260961</v>
      </c>
      <c r="CF98" s="2340">
        <v>26699.697783434563</v>
      </c>
      <c r="CG98" s="2340">
        <v>27190.20866554249</v>
      </c>
      <c r="CH98" s="2340">
        <v>27676.178621062492</v>
      </c>
      <c r="CI98" s="2340">
        <v>28177.168081676093</v>
      </c>
      <c r="CJ98" s="2340">
        <v>28656.846080899653</v>
      </c>
      <c r="CK98" s="2340">
        <v>29149.793184118615</v>
      </c>
      <c r="CL98" s="2340">
        <v>29651.697943852228</v>
      </c>
      <c r="CM98" s="2340">
        <v>30140.306769590308</v>
      </c>
      <c r="CN98" s="2340">
        <v>30640.650036548068</v>
      </c>
      <c r="CO98" s="2340">
        <v>31126.322155557446</v>
      </c>
      <c r="CP98" s="2340">
        <v>31626.801032709176</v>
      </c>
      <c r="CQ98" s="2340">
        <v>32118.663695214105</v>
      </c>
      <c r="CR98" s="2340">
        <v>32609.733060752493</v>
      </c>
      <c r="CS98" s="2340">
        <v>33105.970848359219</v>
      </c>
      <c r="CT98" s="2340">
        <v>33595.684334068384</v>
      </c>
      <c r="CU98" s="2340">
        <v>34083.626409094431</v>
      </c>
      <c r="CV98" s="2340">
        <v>34565.844473202764</v>
      </c>
      <c r="CW98" s="2340">
        <v>35060.014468510708</v>
      </c>
      <c r="CX98" s="2340">
        <v>35550.225131934661</v>
      </c>
      <c r="CY98" s="2340">
        <v>36036.522891314155</v>
      </c>
      <c r="CZ98" s="2340">
        <v>36512.426269328855</v>
      </c>
      <c r="DA98" s="2340">
        <v>36993.722886801639</v>
      </c>
      <c r="DB98" s="2340">
        <v>37480.137776668598</v>
      </c>
      <c r="DC98" s="2340">
        <v>37971.497853137815</v>
      </c>
      <c r="DD98" s="2340">
        <v>38449.90403444229</v>
      </c>
      <c r="DE98" s="2340">
        <v>38934.703145437648</v>
      </c>
      <c r="DF98" s="2340">
        <v>39431.505717238077</v>
      </c>
      <c r="DG98" s="2340">
        <v>39900.340904623823</v>
      </c>
      <c r="DH98" s="2340">
        <v>40383.824130586429</v>
      </c>
      <c r="DI98" s="2340">
        <v>40849.969272084381</v>
      </c>
      <c r="DJ98" s="2340">
        <v>41332.171672760887</v>
      </c>
      <c r="DK98" s="2340">
        <v>41812.593937349775</v>
      </c>
      <c r="DL98" s="2340">
        <v>42284.017916632249</v>
      </c>
      <c r="DM98" s="2340">
        <v>42745.727796657906</v>
      </c>
      <c r="DN98" s="2340">
        <v>43214.999648343946</v>
      </c>
      <c r="DO98" s="2340">
        <v>43688.807616298305</v>
      </c>
      <c r="DP98" s="2340">
        <v>44163.693491923856</v>
      </c>
      <c r="DQ98" s="2340">
        <v>44626.95434077963</v>
      </c>
      <c r="DR98" s="2340">
        <v>45088.798212283509</v>
      </c>
      <c r="DS98" s="2340">
        <v>45554.270517842699</v>
      </c>
      <c r="DT98" s="2340">
        <v>46019.006834848413</v>
      </c>
      <c r="DU98" s="2340">
        <v>46481.712197465822</v>
      </c>
    </row>
    <row r="99" spans="1:125" ht="12.75">
      <c r="A99" s="135">
        <v>97</v>
      </c>
      <c r="W99" s="136">
        <v>3422</v>
      </c>
      <c r="X99" s="136">
        <v>3582</v>
      </c>
      <c r="Y99" s="2340">
        <v>3763.8159619369535</v>
      </c>
      <c r="Z99" s="2340">
        <v>4074.6126051264719</v>
      </c>
      <c r="AA99" s="2340">
        <v>4234.6475065251798</v>
      </c>
      <c r="AB99" s="2340">
        <v>4224.6460443210044</v>
      </c>
      <c r="AC99" s="2340">
        <v>4319.5176883851564</v>
      </c>
      <c r="AD99" s="2340">
        <v>4449.8499036980975</v>
      </c>
      <c r="AE99" s="2340">
        <v>4567.7371023964342</v>
      </c>
      <c r="AF99" s="2340">
        <v>4821.4656086232708</v>
      </c>
      <c r="AG99" s="2340">
        <v>4985.4489053114457</v>
      </c>
      <c r="AH99" s="2340">
        <v>5154.783122925628</v>
      </c>
      <c r="AI99" s="2340">
        <v>5362.2783371067017</v>
      </c>
      <c r="AJ99" s="2340">
        <v>5679.5738568307115</v>
      </c>
      <c r="AK99" s="2340">
        <v>5924.5399629871845</v>
      </c>
      <c r="AL99" s="2340">
        <v>6224.7443816846771</v>
      </c>
      <c r="AM99" s="2340">
        <v>6521.4287907012949</v>
      </c>
      <c r="AN99" s="2340">
        <v>6817.9301792034776</v>
      </c>
      <c r="AO99" s="2340">
        <v>7050.155764408355</v>
      </c>
      <c r="AP99" s="2340">
        <v>7280.9845620757987</v>
      </c>
      <c r="AQ99" s="2340">
        <v>7478.9746726765115</v>
      </c>
      <c r="AR99" s="2340">
        <v>7678.583259105746</v>
      </c>
      <c r="AS99" s="2340">
        <v>7820.989922304545</v>
      </c>
      <c r="AT99" s="2340">
        <v>7927.1354534269012</v>
      </c>
      <c r="AU99" s="2340">
        <v>8020.1917465663919</v>
      </c>
      <c r="AV99" s="2340">
        <v>8247.9649580467631</v>
      </c>
      <c r="AW99" s="2340">
        <v>8568.8907008074384</v>
      </c>
      <c r="AX99" s="2340">
        <v>8976.8587051818577</v>
      </c>
      <c r="AY99" s="2340">
        <v>9408.6900788923704</v>
      </c>
      <c r="AZ99" s="2340">
        <v>9686.7974803957532</v>
      </c>
      <c r="BA99" s="2340">
        <v>9965.2086110776527</v>
      </c>
      <c r="BB99" s="2340">
        <v>10305.801021427906</v>
      </c>
      <c r="BC99" s="2340">
        <v>10613.962961489071</v>
      </c>
      <c r="BD99" s="2340">
        <v>10925.791111033357</v>
      </c>
      <c r="BE99" s="2340">
        <v>11235.236743427162</v>
      </c>
      <c r="BF99" s="2340">
        <v>11578.377709440683</v>
      </c>
      <c r="BG99" s="2340">
        <v>11917.457276680065</v>
      </c>
      <c r="BH99" s="2340">
        <v>12279.155707891727</v>
      </c>
      <c r="BI99" s="2340">
        <v>12614.369862832878</v>
      </c>
      <c r="BJ99" s="2340">
        <v>12973.941583993339</v>
      </c>
      <c r="BK99" s="2340">
        <v>13348.177998881491</v>
      </c>
      <c r="BL99" s="2340">
        <v>13752.593799562186</v>
      </c>
      <c r="BM99" s="2340">
        <v>14145.34788238816</v>
      </c>
      <c r="BN99" s="2340">
        <v>14542.11674014802</v>
      </c>
      <c r="BO99" s="2340">
        <v>14922.621821090139</v>
      </c>
      <c r="BP99" s="2340">
        <v>15319.251277524621</v>
      </c>
      <c r="BQ99" s="2340">
        <v>15702.991692130283</v>
      </c>
      <c r="BR99" s="2340">
        <v>16094.743294965887</v>
      </c>
      <c r="BS99" s="2340">
        <v>16472.802190701543</v>
      </c>
      <c r="BT99" s="2340">
        <v>16866.919916801657</v>
      </c>
      <c r="BU99" s="2340">
        <v>17256.480325292134</v>
      </c>
      <c r="BV99" s="2340">
        <v>17662.041409529753</v>
      </c>
      <c r="BW99" s="2340">
        <v>18071.37681095368</v>
      </c>
      <c r="BX99" s="2340">
        <v>18483.023182359288</v>
      </c>
      <c r="BY99" s="2340">
        <v>18897.375384789309</v>
      </c>
      <c r="BZ99" s="2340">
        <v>19339.264576433674</v>
      </c>
      <c r="CA99" s="2340">
        <v>19772.521319274834</v>
      </c>
      <c r="CB99" s="2340">
        <v>20201.771800983559</v>
      </c>
      <c r="CC99" s="2340">
        <v>20626.361591676923</v>
      </c>
      <c r="CD99" s="2340">
        <v>21055.282007760787</v>
      </c>
      <c r="CE99" s="2340">
        <v>21485.672644502913</v>
      </c>
      <c r="CF99" s="2340">
        <v>21920.676618117282</v>
      </c>
      <c r="CG99" s="2340">
        <v>22360.430516172521</v>
      </c>
      <c r="CH99" s="2340">
        <v>22797.389310546754</v>
      </c>
      <c r="CI99" s="2340">
        <v>23247.656556718524</v>
      </c>
      <c r="CJ99" s="2340">
        <v>23681.252575957253</v>
      </c>
      <c r="CK99" s="2340">
        <v>24126.698861198318</v>
      </c>
      <c r="CL99" s="2340">
        <v>24580.457313967621</v>
      </c>
      <c r="CM99" s="2340">
        <v>25024.070415099253</v>
      </c>
      <c r="CN99" s="2340">
        <v>25478.284956573181</v>
      </c>
      <c r="CO99" s="2340">
        <v>25921.140042656683</v>
      </c>
      <c r="CP99" s="2340">
        <v>26377.150625962931</v>
      </c>
      <c r="CQ99" s="2340">
        <v>26826.792813265773</v>
      </c>
      <c r="CR99" s="2340">
        <v>27276.563762993734</v>
      </c>
      <c r="CS99" s="2340">
        <v>27731.440075388084</v>
      </c>
      <c r="CT99" s="2340">
        <v>28181.617626925705</v>
      </c>
      <c r="CU99" s="2340">
        <v>28631.05176531928</v>
      </c>
      <c r="CV99" s="2340">
        <v>29076.397715120947</v>
      </c>
      <c r="CW99" s="2340">
        <v>29532.511426993864</v>
      </c>
      <c r="CX99" s="2340">
        <v>29985.9999107652</v>
      </c>
      <c r="CY99" s="2340">
        <v>30436.87571075905</v>
      </c>
      <c r="CZ99" s="2340">
        <v>30879.631214047509</v>
      </c>
      <c r="DA99" s="2340">
        <v>31327.588859593798</v>
      </c>
      <c r="DB99" s="2340">
        <v>31780.521158849875</v>
      </c>
      <c r="DC99" s="2340">
        <v>32238.28574475379</v>
      </c>
      <c r="DD99" s="2340">
        <v>32685.670748848053</v>
      </c>
      <c r="DE99" s="2340">
        <v>33139.08988921027</v>
      </c>
      <c r="DF99" s="2340">
        <v>33603.333154069158</v>
      </c>
      <c r="DG99" s="2340">
        <v>34044.322026814058</v>
      </c>
      <c r="DH99" s="2340">
        <v>34498.363322910634</v>
      </c>
      <c r="DI99" s="2340">
        <v>34938.134091122185</v>
      </c>
      <c r="DJ99" s="2340">
        <v>35392.167039708715</v>
      </c>
      <c r="DK99" s="2340">
        <v>35845.208295864955</v>
      </c>
      <c r="DL99" s="2340">
        <v>36291.046957419465</v>
      </c>
      <c r="DM99" s="2340">
        <v>36729.031312841355</v>
      </c>
      <c r="DN99" s="2340">
        <v>37173.984393004546</v>
      </c>
      <c r="DO99" s="2340">
        <v>37623.312680842668</v>
      </c>
      <c r="DP99" s="2340">
        <v>38074.038171219952</v>
      </c>
      <c r="DQ99" s="2340">
        <v>38515.191151997875</v>
      </c>
      <c r="DR99" s="2340">
        <v>38955.549423359131</v>
      </c>
      <c r="DS99" s="2340">
        <v>39399.463913087326</v>
      </c>
      <c r="DT99" s="2340">
        <v>39843.157062432227</v>
      </c>
      <c r="DU99" s="2340">
        <v>40285.495855719484</v>
      </c>
    </row>
    <row r="100" spans="1:125" ht="12.75">
      <c r="A100" s="135">
        <v>98</v>
      </c>
      <c r="W100" s="136">
        <v>2388</v>
      </c>
      <c r="X100" s="136">
        <v>2509</v>
      </c>
      <c r="Y100" s="2340">
        <v>2623.7730056498285</v>
      </c>
      <c r="Z100" s="2340">
        <v>2867.5332153371833</v>
      </c>
      <c r="AA100" s="2340">
        <v>2989.314071046666</v>
      </c>
      <c r="AB100" s="2340">
        <v>2928.8622237512018</v>
      </c>
      <c r="AC100" s="2340">
        <v>2987.6959471532496</v>
      </c>
      <c r="AD100" s="2340">
        <v>3086.7949529460248</v>
      </c>
      <c r="AE100" s="2340">
        <v>3181.0797498896945</v>
      </c>
      <c r="AF100" s="2340">
        <v>3370.8309797864522</v>
      </c>
      <c r="AG100" s="2340">
        <v>3498.8114712484066</v>
      </c>
      <c r="AH100" s="2340">
        <v>3631.2776947792818</v>
      </c>
      <c r="AI100" s="2340">
        <v>3791.4568734221521</v>
      </c>
      <c r="AJ100" s="2340">
        <v>4030.4692290625258</v>
      </c>
      <c r="AK100" s="2340">
        <v>4219.4265808637083</v>
      </c>
      <c r="AL100" s="2340">
        <v>4448.9299797244867</v>
      </c>
      <c r="AM100" s="2340">
        <v>4677.2307830177797</v>
      </c>
      <c r="AN100" s="2340">
        <v>4906.680325633195</v>
      </c>
      <c r="AO100" s="2340">
        <v>5090.971875049896</v>
      </c>
      <c r="AP100" s="2340">
        <v>5275.1750517697728</v>
      </c>
      <c r="AQ100" s="2340">
        <v>5434.4072480471514</v>
      </c>
      <c r="AR100" s="2340">
        <v>5595.4865856626684</v>
      </c>
      <c r="AS100" s="2340">
        <v>5715.4270855262403</v>
      </c>
      <c r="AT100" s="2340">
        <v>5809.2125012984015</v>
      </c>
      <c r="AU100" s="2340">
        <v>5893.6431305589558</v>
      </c>
      <c r="AV100" s="2340">
        <v>6077.5469113652216</v>
      </c>
      <c r="AW100" s="2340">
        <v>6331.0117741621943</v>
      </c>
      <c r="AX100" s="2340">
        <v>6650.0472454838255</v>
      </c>
      <c r="AY100" s="2340">
        <v>6988.2170074366077</v>
      </c>
      <c r="AZ100" s="2340">
        <v>7213.3931879662687</v>
      </c>
      <c r="BA100" s="2340">
        <v>7439.666372787985</v>
      </c>
      <c r="BB100" s="2340">
        <v>7713.3357730145453</v>
      </c>
      <c r="BC100" s="2340">
        <v>7963.7465006001703</v>
      </c>
      <c r="BD100" s="2340">
        <v>8217.8516907041121</v>
      </c>
      <c r="BE100" s="2340">
        <v>8471.0952052668745</v>
      </c>
      <c r="BF100" s="2340">
        <v>8750.7154964860983</v>
      </c>
      <c r="BG100" s="2340">
        <v>9028.2746468537371</v>
      </c>
      <c r="BH100" s="2340">
        <v>9323.9934849778547</v>
      </c>
      <c r="BI100" s="2340">
        <v>9600.6026587593897</v>
      </c>
      <c r="BJ100" s="2340">
        <v>9896.730152547676</v>
      </c>
      <c r="BK100" s="2340">
        <v>10205.074938714273</v>
      </c>
      <c r="BL100" s="2340">
        <v>10537.582543478968</v>
      </c>
      <c r="BM100" s="2340">
        <v>10862.257628171474</v>
      </c>
      <c r="BN100" s="2340">
        <v>11191.08747602209</v>
      </c>
      <c r="BO100" s="2340">
        <v>11508.435103197236</v>
      </c>
      <c r="BP100" s="2340">
        <v>11839.234050222472</v>
      </c>
      <c r="BQ100" s="2340">
        <v>12161.07624617044</v>
      </c>
      <c r="BR100" s="2340">
        <v>12490.102181842505</v>
      </c>
      <c r="BS100" s="2340">
        <v>12809.456157434779</v>
      </c>
      <c r="BT100" s="2340">
        <v>13142.239146953299</v>
      </c>
      <c r="BU100" s="2340">
        <v>13472.414543468203</v>
      </c>
      <c r="BV100" s="2340">
        <v>13816.026660500622</v>
      </c>
      <c r="BW100" s="2340">
        <v>14163.549876352547</v>
      </c>
      <c r="BX100" s="2340">
        <v>14513.835794225357</v>
      </c>
      <c r="BY100" s="2340">
        <v>14867.189146664416</v>
      </c>
      <c r="BZ100" s="2340">
        <v>15243.177652143309</v>
      </c>
      <c r="CA100" s="2340">
        <v>15613.344018824144</v>
      </c>
      <c r="CB100" s="2340">
        <v>15981.293822483156</v>
      </c>
      <c r="CC100" s="2340">
        <v>16346.475025670037</v>
      </c>
      <c r="CD100" s="2340">
        <v>16715.990352398861</v>
      </c>
      <c r="CE100" s="2340">
        <v>17087.56751103971</v>
      </c>
      <c r="CF100" s="2340">
        <v>17463.701177674753</v>
      </c>
      <c r="CG100" s="2340">
        <v>17844.503925618556</v>
      </c>
      <c r="CH100" s="2340">
        <v>18223.94830824712</v>
      </c>
      <c r="CI100" s="2340">
        <v>18614.902370729269</v>
      </c>
      <c r="CJ100" s="2340">
        <v>18993.358970593526</v>
      </c>
      <c r="CK100" s="2340">
        <v>19382.150235443733</v>
      </c>
      <c r="CL100" s="2340">
        <v>19778.460908165005</v>
      </c>
      <c r="CM100" s="2340">
        <v>20167.432997393604</v>
      </c>
      <c r="CN100" s="2340">
        <v>20565.759805207927</v>
      </c>
      <c r="CO100" s="2340">
        <v>20955.713006087251</v>
      </c>
      <c r="CP100" s="2340">
        <v>21357.085329849535</v>
      </c>
      <c r="CQ100" s="2340">
        <v>21754.079468527099</v>
      </c>
      <c r="CR100" s="2340">
        <v>22151.934753511006</v>
      </c>
      <c r="CS100" s="2340">
        <v>22554.685734130173</v>
      </c>
      <c r="CT100" s="2340">
        <v>22954.351707819482</v>
      </c>
      <c r="CU100" s="2340">
        <v>23354.129116917327</v>
      </c>
      <c r="CV100" s="2340">
        <v>23751.270217599435</v>
      </c>
      <c r="CW100" s="2340">
        <v>24157.900467929463</v>
      </c>
      <c r="CX100" s="2340">
        <v>24563.073452343408</v>
      </c>
      <c r="CY100" s="2340">
        <v>24966.777981158379</v>
      </c>
      <c r="CZ100" s="2340">
        <v>25364.469045295897</v>
      </c>
      <c r="DA100" s="2340">
        <v>25767.065428796886</v>
      </c>
      <c r="DB100" s="2340">
        <v>26174.385276727575</v>
      </c>
      <c r="DC100" s="2340">
        <v>26586.315765163854</v>
      </c>
      <c r="DD100" s="2340">
        <v>26990.29960726346</v>
      </c>
      <c r="DE100" s="2340">
        <v>27399.863302001893</v>
      </c>
      <c r="DF100" s="2340">
        <v>27818.980261261273</v>
      </c>
      <c r="DG100" s="2340">
        <v>28219.425369611505</v>
      </c>
      <c r="DH100" s="2340">
        <v>28631.247780566344</v>
      </c>
      <c r="DI100" s="2340">
        <v>29031.773029944488</v>
      </c>
      <c r="DJ100" s="2340">
        <v>29444.68533044586</v>
      </c>
      <c r="DK100" s="2340">
        <v>29857.31158109687</v>
      </c>
      <c r="DL100" s="2340">
        <v>30264.459053152816</v>
      </c>
      <c r="DM100" s="2340">
        <v>30665.5524321312</v>
      </c>
      <c r="DN100" s="2340">
        <v>31072.949487052927</v>
      </c>
      <c r="DO100" s="2340">
        <v>31484.490502504501</v>
      </c>
      <c r="DP100" s="2340">
        <v>31897.683562763035</v>
      </c>
      <c r="DQ100" s="2340">
        <v>32303.322712691799</v>
      </c>
      <c r="DR100" s="2340">
        <v>32708.742269111866</v>
      </c>
      <c r="DS100" s="2340">
        <v>33117.588378944914</v>
      </c>
      <c r="DT100" s="2340">
        <v>33526.683309214161</v>
      </c>
      <c r="DU100" s="2340">
        <v>33935.063363350651</v>
      </c>
    </row>
    <row r="101" spans="1:125" ht="12.75">
      <c r="A101" s="135">
        <v>99</v>
      </c>
      <c r="W101" s="136">
        <v>1614</v>
      </c>
      <c r="X101" s="136">
        <v>1703</v>
      </c>
      <c r="Y101" s="2340">
        <v>1765.2749204926495</v>
      </c>
      <c r="Z101" s="2340">
        <v>1948.3503605561996</v>
      </c>
      <c r="AA101" s="2340">
        <v>2037.5574829199459</v>
      </c>
      <c r="AB101" s="2340">
        <v>1959.3373268076105</v>
      </c>
      <c r="AC101" s="2340">
        <v>1993.896211102156</v>
      </c>
      <c r="AD101" s="2340">
        <v>2066.2414715465575</v>
      </c>
      <c r="AE101" s="2340">
        <v>2138.0649112011934</v>
      </c>
      <c r="AF101" s="2340">
        <v>2274.723114549367</v>
      </c>
      <c r="AG101" s="2340">
        <v>2370.4460957216361</v>
      </c>
      <c r="AH101" s="2340">
        <v>2469.7912981329846</v>
      </c>
      <c r="AI101" s="2340">
        <v>2588.6417887448624</v>
      </c>
      <c r="AJ101" s="2340">
        <v>2762.2360296895699</v>
      </c>
      <c r="AK101" s="2340">
        <v>2902.5033901793199</v>
      </c>
      <c r="AL101" s="2340">
        <v>3071.5972002607682</v>
      </c>
      <c r="AM101" s="2340">
        <v>3240.8775043655396</v>
      </c>
      <c r="AN101" s="2340">
        <v>3411.9518584620114</v>
      </c>
      <c r="AO101" s="2340">
        <v>3552.4974563257338</v>
      </c>
      <c r="AP101" s="2340">
        <v>3693.7284858341791</v>
      </c>
      <c r="AQ101" s="2340">
        <v>3816.6946084978717</v>
      </c>
      <c r="AR101" s="2340">
        <v>3941.5116036496693</v>
      </c>
      <c r="AS101" s="2340">
        <v>4037.8132043647629</v>
      </c>
      <c r="AT101" s="2340">
        <v>4115.9541193192326</v>
      </c>
      <c r="AU101" s="2340">
        <v>4187.7064989763367</v>
      </c>
      <c r="AV101" s="2340">
        <v>4330.5547924933508</v>
      </c>
      <c r="AW101" s="2340">
        <v>4523.7135284921378</v>
      </c>
      <c r="AX101" s="2340">
        <v>4764.7229419700634</v>
      </c>
      <c r="AY101" s="2340">
        <v>5020.5892857185445</v>
      </c>
      <c r="AZ101" s="2340">
        <v>5196.2255581928002</v>
      </c>
      <c r="BA101" s="2340">
        <v>5373.3713221365142</v>
      </c>
      <c r="BB101" s="2340">
        <v>5585.5480819514269</v>
      </c>
      <c r="BC101" s="2340">
        <v>5781.7131424171639</v>
      </c>
      <c r="BD101" s="2340">
        <v>5981.3413107226133</v>
      </c>
      <c r="BE101" s="2340">
        <v>6181.115505176218</v>
      </c>
      <c r="BF101" s="2340">
        <v>6400.942504547329</v>
      </c>
      <c r="BG101" s="2340">
        <v>6620.09858763171</v>
      </c>
      <c r="BH101" s="2340">
        <v>6853.4218570837274</v>
      </c>
      <c r="BI101" s="2340">
        <v>7073.5347170748491</v>
      </c>
      <c r="BJ101" s="2340">
        <v>7308.850745820122</v>
      </c>
      <c r="BK101" s="2340">
        <v>7554.0527236419994</v>
      </c>
      <c r="BL101" s="2340">
        <v>7818.0514354270545</v>
      </c>
      <c r="BM101" s="2340">
        <v>8077.1623819881643</v>
      </c>
      <c r="BN101" s="2340">
        <v>8340.2646796923436</v>
      </c>
      <c r="BO101" s="2340">
        <v>8595.68462955426</v>
      </c>
      <c r="BP101" s="2340">
        <v>8862.014821722074</v>
      </c>
      <c r="BQ101" s="2340">
        <v>9122.4969606388131</v>
      </c>
      <c r="BR101" s="2340">
        <v>9389.2070138728232</v>
      </c>
      <c r="BS101" s="2340">
        <v>9649.4675172862044</v>
      </c>
      <c r="BT101" s="2340">
        <v>9920.6573420587865</v>
      </c>
      <c r="BU101" s="2340">
        <v>10190.69502053621</v>
      </c>
      <c r="BV101" s="2340">
        <v>10471.715388646195</v>
      </c>
      <c r="BW101" s="2340">
        <v>10756.531631768474</v>
      </c>
      <c r="BX101" s="2340">
        <v>11044.273485938087</v>
      </c>
      <c r="BY101" s="2340">
        <v>11335.171629136621</v>
      </c>
      <c r="BZ101" s="2340">
        <v>11644.173352560603</v>
      </c>
      <c r="CA101" s="2340">
        <v>11949.583708085971</v>
      </c>
      <c r="CB101" s="2340">
        <v>12254.127688843177</v>
      </c>
      <c r="CC101" s="2340">
        <v>12557.357624479699</v>
      </c>
      <c r="CD101" s="2340">
        <v>12864.714285548571</v>
      </c>
      <c r="CE101" s="2340">
        <v>13174.450301444063</v>
      </c>
      <c r="CF101" s="2340">
        <v>13488.487486420192</v>
      </c>
      <c r="CG101" s="2340">
        <v>13806.918150879634</v>
      </c>
      <c r="CH101" s="2340">
        <v>14125.0759939161</v>
      </c>
      <c r="CI101" s="2340">
        <v>14452.933138514165</v>
      </c>
      <c r="CJ101" s="2340">
        <v>14771.85075207473</v>
      </c>
      <c r="CK101" s="2340">
        <v>15099.553639973281</v>
      </c>
      <c r="CL101" s="2340">
        <v>15433.872300615876</v>
      </c>
      <c r="CM101" s="2340">
        <v>15763.209369468594</v>
      </c>
      <c r="CN101" s="2340">
        <v>16100.592792594349</v>
      </c>
      <c r="CO101" s="2340">
        <v>16432.143707363124</v>
      </c>
      <c r="CP101" s="2340">
        <v>16773.36292670203</v>
      </c>
      <c r="CQ101" s="2340">
        <v>17111.853991367716</v>
      </c>
      <c r="CR101" s="2340">
        <v>17451.716060138788</v>
      </c>
      <c r="CS101" s="2340">
        <v>17796.123399473792</v>
      </c>
      <c r="CT101" s="2340">
        <v>18138.775006826429</v>
      </c>
      <c r="CU101" s="2340">
        <v>18482.177570065669</v>
      </c>
      <c r="CV101" s="2340">
        <v>18824.141992745375</v>
      </c>
      <c r="CW101" s="2340">
        <v>19174.271620700165</v>
      </c>
      <c r="CX101" s="2340">
        <v>19523.886889749076</v>
      </c>
      <c r="CY101" s="2340">
        <v>19872.962466483608</v>
      </c>
      <c r="CZ101" s="2340">
        <v>20217.859359902788</v>
      </c>
      <c r="DA101" s="2340">
        <v>20567.261935947816</v>
      </c>
      <c r="DB101" s="2340">
        <v>20921.030261852989</v>
      </c>
      <c r="DC101" s="2340">
        <v>21279.078691882467</v>
      </c>
      <c r="DD101" s="2340">
        <v>21631.347334756625</v>
      </c>
      <c r="DE101" s="2340">
        <v>21988.655361322777</v>
      </c>
      <c r="DF101" s="2340">
        <v>22354.20294859261</v>
      </c>
      <c r="DG101" s="2340">
        <v>22705.29969447483</v>
      </c>
      <c r="DH101" s="2340">
        <v>23066.085946935375</v>
      </c>
      <c r="DI101" s="2340">
        <v>23418.296518049479</v>
      </c>
      <c r="DJ101" s="2340">
        <v>23781.015935865409</v>
      </c>
      <c r="DK101" s="2340">
        <v>24144.023749892454</v>
      </c>
      <c r="DL101" s="2340">
        <v>24503.105252576865</v>
      </c>
      <c r="DM101" s="2340">
        <v>24857.768546024246</v>
      </c>
      <c r="DN101" s="2340">
        <v>25218.016146866063</v>
      </c>
      <c r="DO101" s="2340">
        <v>25582.102419467068</v>
      </c>
      <c r="DP101" s="2340">
        <v>25948.003079385406</v>
      </c>
      <c r="DQ101" s="2340">
        <v>26308.216408302455</v>
      </c>
      <c r="DR101" s="2340">
        <v>26668.692535088056</v>
      </c>
      <c r="DS101" s="2340">
        <v>27032.398562669114</v>
      </c>
      <c r="DT101" s="2340">
        <v>27396.738748735675</v>
      </c>
      <c r="DU101" s="2340">
        <v>27760.917087247632</v>
      </c>
    </row>
    <row r="102" spans="1:125" ht="12.75">
      <c r="A102" s="135">
        <v>100</v>
      </c>
      <c r="W102" s="136">
        <v>1055</v>
      </c>
      <c r="X102" s="136">
        <v>1118</v>
      </c>
      <c r="Y102" s="2340">
        <v>1145.3147971832989</v>
      </c>
      <c r="Z102" s="2340">
        <v>1277.0541445964345</v>
      </c>
      <c r="AA102" s="2340">
        <v>1339.9305235790689</v>
      </c>
      <c r="AB102" s="2340">
        <v>1263.7293287958801</v>
      </c>
      <c r="AC102" s="2340">
        <v>1282.8160477538745</v>
      </c>
      <c r="AD102" s="2340">
        <v>1333.5175409707733</v>
      </c>
      <c r="AE102" s="2340">
        <v>1385.7260138599356</v>
      </c>
      <c r="AF102" s="2340">
        <v>1480.4534106584711</v>
      </c>
      <c r="AG102" s="2340">
        <v>1549.0929679802168</v>
      </c>
      <c r="AH102" s="2340">
        <v>1620.5442233537872</v>
      </c>
      <c r="AI102" s="2340">
        <v>1705.2906379738956</v>
      </c>
      <c r="AJ102" s="2340">
        <v>1826.7796983119385</v>
      </c>
      <c r="AK102" s="2340">
        <v>1926.9511712362653</v>
      </c>
      <c r="AL102" s="2340">
        <v>2046.9581858143026</v>
      </c>
      <c r="AM102" s="2340">
        <v>2167.8473811525091</v>
      </c>
      <c r="AN102" s="2340">
        <v>2290.6856261761041</v>
      </c>
      <c r="AO102" s="2340">
        <v>2393.6931592027122</v>
      </c>
      <c r="AP102" s="2340">
        <v>2497.7434972723918</v>
      </c>
      <c r="AQ102" s="2340">
        <v>2588.9504198783211</v>
      </c>
      <c r="AR102" s="2340">
        <v>2681.8495403767752</v>
      </c>
      <c r="AS102" s="2340">
        <v>2755.7208584333721</v>
      </c>
      <c r="AT102" s="2340">
        <v>2817.4702533692321</v>
      </c>
      <c r="AU102" s="2340">
        <v>2875.0643298745617</v>
      </c>
      <c r="AV102" s="2340">
        <v>2981.8127397322523</v>
      </c>
      <c r="AW102" s="2340">
        <v>3123.781697273228</v>
      </c>
      <c r="AX102" s="2340">
        <v>3299.5560590772952</v>
      </c>
      <c r="AY102" s="2340">
        <v>3486.4915670638293</v>
      </c>
      <c r="AZ102" s="2340">
        <v>3618.445446799542</v>
      </c>
      <c r="BA102" s="2340">
        <v>3752.0213088455766</v>
      </c>
      <c r="BB102" s="2340">
        <v>3910.6882030273709</v>
      </c>
      <c r="BC102" s="2340">
        <v>4058.8002476442052</v>
      </c>
      <c r="BD102" s="2340">
        <v>4209.9650359475818</v>
      </c>
      <c r="BE102" s="2340">
        <v>4361.8506108841102</v>
      </c>
      <c r="BF102" s="2340">
        <v>4528.5312046021636</v>
      </c>
      <c r="BG102" s="2340">
        <v>4695.4056232162611</v>
      </c>
      <c r="BH102" s="2340">
        <v>4873.0096724897121</v>
      </c>
      <c r="BI102" s="2340">
        <v>5041.8926115659006</v>
      </c>
      <c r="BJ102" s="2340">
        <v>5222.2762813623121</v>
      </c>
      <c r="BK102" s="2340">
        <v>5410.419924733651</v>
      </c>
      <c r="BL102" s="2340">
        <v>5612.7598626272393</v>
      </c>
      <c r="BM102" s="2340">
        <v>5812.3357392724683</v>
      </c>
      <c r="BN102" s="2340">
        <v>6015.5149662281674</v>
      </c>
      <c r="BO102" s="2340">
        <v>6213.8662663381856</v>
      </c>
      <c r="BP102" s="2340">
        <v>6420.8110670966053</v>
      </c>
      <c r="BQ102" s="2340">
        <v>6624.2217091970742</v>
      </c>
      <c r="BR102" s="2340">
        <v>6832.846507850767</v>
      </c>
      <c r="BS102" s="2340">
        <v>7037.4577326791996</v>
      </c>
      <c r="BT102" s="2340">
        <v>7250.7153860060589</v>
      </c>
      <c r="BU102" s="2340">
        <v>7463.8104068999091</v>
      </c>
      <c r="BV102" s="2340">
        <v>7685.6323743849944</v>
      </c>
      <c r="BW102" s="2340">
        <v>7910.934344041515</v>
      </c>
      <c r="BX102" s="2340">
        <v>8139.0804686989304</v>
      </c>
      <c r="BY102" s="2340">
        <v>8370.2425283155771</v>
      </c>
      <c r="BZ102" s="2340">
        <v>8615.4823207185891</v>
      </c>
      <c r="CA102" s="2340">
        <v>8858.7836267850016</v>
      </c>
      <c r="CB102" s="2340">
        <v>9102.1429037714552</v>
      </c>
      <c r="CC102" s="2340">
        <v>9345.2114821588093</v>
      </c>
      <c r="CD102" s="2340">
        <v>9592.028888204175</v>
      </c>
      <c r="CE102" s="2340">
        <v>9841.2956705802626</v>
      </c>
      <c r="CF102" s="2340">
        <v>10094.448490072877</v>
      </c>
      <c r="CG102" s="2340">
        <v>10351.562792559618</v>
      </c>
      <c r="CH102" s="2340">
        <v>10609.140196479379</v>
      </c>
      <c r="CI102" s="2340">
        <v>10874.671451543227</v>
      </c>
      <c r="CJ102" s="2340">
        <v>11134.134937989213</v>
      </c>
      <c r="CK102" s="2340">
        <v>11400.867227537123</v>
      </c>
      <c r="CL102" s="2340">
        <v>11673.250607663907</v>
      </c>
      <c r="CM102" s="2340">
        <v>11942.512980274152</v>
      </c>
      <c r="CN102" s="2340">
        <v>12218.510931871124</v>
      </c>
      <c r="CO102" s="2340">
        <v>12490.713997724532</v>
      </c>
      <c r="CP102" s="2340">
        <v>12770.891466195229</v>
      </c>
      <c r="CQ102" s="2340">
        <v>13049.614691387178</v>
      </c>
      <c r="CR102" s="2340">
        <v>13329.993918588265</v>
      </c>
      <c r="CS102" s="2340">
        <v>13614.451902417759</v>
      </c>
      <c r="CT102" s="2340">
        <v>13898.166478466828</v>
      </c>
      <c r="CU102" s="2340">
        <v>14183.044563025871</v>
      </c>
      <c r="CV102" s="2340">
        <v>14467.396065249946</v>
      </c>
      <c r="CW102" s="2340">
        <v>14758.597635547456</v>
      </c>
      <c r="CX102" s="2340">
        <v>15049.976636002215</v>
      </c>
      <c r="CY102" s="2340">
        <v>15341.501672016984</v>
      </c>
      <c r="CZ102" s="2340">
        <v>15630.347715062755</v>
      </c>
      <c r="DA102" s="2340">
        <v>15923.214589443756</v>
      </c>
      <c r="DB102" s="2340">
        <v>16219.999120748682</v>
      </c>
      <c r="DC102" s="2340">
        <v>16520.639508155637</v>
      </c>
      <c r="DD102" s="2340">
        <v>16817.318938908764</v>
      </c>
      <c r="DE102" s="2340">
        <v>17118.432372246873</v>
      </c>
      <c r="DF102" s="2340">
        <v>17426.481241123442</v>
      </c>
      <c r="DG102" s="2340">
        <v>17723.769881654349</v>
      </c>
      <c r="DH102" s="2340">
        <v>18029.113179687854</v>
      </c>
      <c r="DI102" s="2340">
        <v>18328.236800297636</v>
      </c>
      <c r="DJ102" s="2340">
        <v>18636.06157587139</v>
      </c>
      <c r="DK102" s="2340">
        <v>18944.590941280891</v>
      </c>
      <c r="DL102" s="2340">
        <v>19250.505817800298</v>
      </c>
      <c r="DM102" s="2340">
        <v>19553.399190357286</v>
      </c>
      <c r="DN102" s="2340">
        <v>19861.12766845401</v>
      </c>
      <c r="DO102" s="2340">
        <v>20172.322687822314</v>
      </c>
      <c r="DP102" s="2340">
        <v>20485.388881479208</v>
      </c>
      <c r="DQ102" s="2340">
        <v>20794.393756282545</v>
      </c>
      <c r="DR102" s="2340">
        <v>21104.022034113284</v>
      </c>
      <c r="DS102" s="2340">
        <v>21416.617378050039</v>
      </c>
      <c r="DT102" s="2340">
        <v>21730.122067638644</v>
      </c>
      <c r="DU102" s="2340">
        <v>22043.898096401153</v>
      </c>
    </row>
    <row r="103" spans="1:125" ht="12.75">
      <c r="Y103" s="2341"/>
    </row>
  </sheetData>
  <sheetProtection formatColumns="0" autoFilter="0"/>
  <phoneticPr fontId="61" type="noConversion"/>
  <conditionalFormatting sqref="DP1:EE1 AC1:DO150">
    <cfRule type="expression" dxfId="422" priority="1" stopIfTrue="1">
      <formula>YEAR(E_Datum1)=AC$1</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504</vt:i4>
      </vt:variant>
    </vt:vector>
  </HeadingPairs>
  <TitlesOfParts>
    <vt:vector size="558" baseType="lpstr">
      <vt:lpstr>TO Ziff.5</vt:lpstr>
      <vt:lpstr>VPI &amp; Zins</vt:lpstr>
      <vt:lpstr>BilMoG-7</vt:lpstr>
      <vt:lpstr>BilMoG10</vt:lpstr>
      <vt:lpstr>Lebenserwartung_M</vt:lpstr>
      <vt:lpstr>Lebenserwartung_F</vt:lpstr>
      <vt:lpstr>Lebenserwartung_N</vt:lpstr>
      <vt:lpstr>G_Kohorte_M</vt:lpstr>
      <vt:lpstr>G_Kohorte_F</vt:lpstr>
      <vt:lpstr>G_Kohorte_N</vt:lpstr>
      <vt:lpstr>Inhalt</vt:lpstr>
      <vt:lpstr>Fallerfassung</vt:lpstr>
      <vt:lpstr>MakroText</vt:lpstr>
      <vt:lpstr>DRV vs. BeamtV</vt:lpstr>
      <vt:lpstr>Einzel-Bewertung</vt:lpstr>
      <vt:lpstr>Berechnungstext</vt:lpstr>
      <vt:lpstr>Ehezeitanteil</vt:lpstr>
      <vt:lpstr>Sterbetafel_P</vt:lpstr>
      <vt:lpstr>Adressen DRV</vt:lpstr>
      <vt:lpstr>Hilfstabelle für Grafik</vt:lpstr>
      <vt:lpstr>Berechnungen BVerfG</vt:lpstr>
      <vt:lpstr>Experten-Diagrammdaten</vt:lpstr>
      <vt:lpstr>Expertendiagramm</vt:lpstr>
      <vt:lpstr>BVerfG 1 BvL 5-18</vt:lpstr>
      <vt:lpstr>Gewinn &amp; Verlust</vt:lpstr>
      <vt:lpstr>TO-Prüfung</vt:lpstr>
      <vt:lpstr>sVA § 20</vt:lpstr>
      <vt:lpstr>§§ 23, 24</vt:lpstr>
      <vt:lpstr>§ 22</vt:lpstr>
      <vt:lpstr>§ 33</vt:lpstr>
      <vt:lpstr>Renteneintritt</vt:lpstr>
      <vt:lpstr>Grundrentenrechner</vt:lpstr>
      <vt:lpstr>BarwertVO</vt:lpstr>
      <vt:lpstr>Abänderungsgründe</vt:lpstr>
      <vt:lpstr>Abänderungsampel</vt:lpstr>
      <vt:lpstr>Verzinsung</vt:lpstr>
      <vt:lpstr>Parameter</vt:lpstr>
      <vt:lpstr>Dies &amp; Das</vt:lpstr>
      <vt:lpstr>Tabelle1</vt:lpstr>
      <vt:lpstr>unbesetzt</vt:lpstr>
      <vt:lpstr>Tabelle3</vt:lpstr>
      <vt:lpstr>Zeichen</vt:lpstr>
      <vt:lpstr>BW-Faktoren</vt:lpstr>
      <vt:lpstr>Formulare &amp; Muster</vt:lpstr>
      <vt:lpstr>KV&amp;PV</vt:lpstr>
      <vt:lpstr>BarwertVglDFGT</vt:lpstr>
      <vt:lpstr>HIRI-Zuschläge66</vt:lpstr>
      <vt:lpstr>HRIR-Zuschläge</vt:lpstr>
      <vt:lpstr>HIRI-Zuschläge67</vt:lpstr>
      <vt:lpstr>HRIR64</vt:lpstr>
      <vt:lpstr>HRIR63</vt:lpstr>
      <vt:lpstr>HRIR62</vt:lpstr>
      <vt:lpstr>HRIR61</vt:lpstr>
      <vt:lpstr>HRIR60</vt:lpstr>
      <vt:lpstr>A_AnzeigeRechenblatt</vt:lpstr>
      <vt:lpstr>AbändBilMoG_Wahl</vt:lpstr>
      <vt:lpstr>Abänderung_Datum</vt:lpstr>
      <vt:lpstr>Abänderungs_Gründe</vt:lpstr>
      <vt:lpstr>Abänderungsdatum</vt:lpstr>
      <vt:lpstr>Abänderungsgründe</vt:lpstr>
      <vt:lpstr>AbF_AlterEzE</vt:lpstr>
      <vt:lpstr>Abf_AwDyn</vt:lpstr>
      <vt:lpstr>Abf_HRIR_Ja</vt:lpstr>
      <vt:lpstr>AbF_LDyn</vt:lpstr>
      <vt:lpstr>AbF_ReEintritt</vt:lpstr>
      <vt:lpstr>Abf_VollDyn</vt:lpstr>
      <vt:lpstr>Abfindung</vt:lpstr>
      <vt:lpstr>Abfindung_A_Zeit</vt:lpstr>
      <vt:lpstr>Abfindung_L_Zeit</vt:lpstr>
      <vt:lpstr>Abfindung§22</vt:lpstr>
      <vt:lpstr>absWGrenze</vt:lpstr>
      <vt:lpstr>Abzinsungstabelle§12BewG</vt:lpstr>
      <vt:lpstr>Adaequanz_ADyn</vt:lpstr>
      <vt:lpstr>Adaequanz_ADynBer</vt:lpstr>
      <vt:lpstr>Adaequanz_ADynPfl</vt:lpstr>
      <vt:lpstr>Adaequanz_Ausgleichswert</vt:lpstr>
      <vt:lpstr>Adaequanz_Ausgleichswert1</vt:lpstr>
      <vt:lpstr>Adaequanz_AusgleichswertDRV</vt:lpstr>
      <vt:lpstr>Adaequanz_AusgleichswertVersAusglK</vt:lpstr>
      <vt:lpstr>Adaequanz_AusglWertQuelle</vt:lpstr>
      <vt:lpstr>Adaequanz_AwDyn</vt:lpstr>
      <vt:lpstr>Adaequanz_AwDynBer</vt:lpstr>
      <vt:lpstr>Adaequanz_DRV_Alter</vt:lpstr>
      <vt:lpstr>Adaequanz_DRV_Werte</vt:lpstr>
      <vt:lpstr>Adaequanz_errechneterKapWert</vt:lpstr>
      <vt:lpstr>Adaequanz_GebDat</vt:lpstr>
      <vt:lpstr>Adaequanz_GebDatAglBer</vt:lpstr>
      <vt:lpstr>Adaequanz_GebDatDRV</vt:lpstr>
      <vt:lpstr>Adaequanz_HR</vt:lpstr>
      <vt:lpstr>Adaequanz_HRBer</vt:lpstr>
      <vt:lpstr>Adaequanz_HRPfl</vt:lpstr>
      <vt:lpstr>Adaequanz_IR</vt:lpstr>
      <vt:lpstr>Adaequanz_IRBer</vt:lpstr>
      <vt:lpstr>Adaequanz_IRPfl</vt:lpstr>
      <vt:lpstr>Adaequanz_Kapitalleistung</vt:lpstr>
      <vt:lpstr>Adaequanz_Korrektur</vt:lpstr>
      <vt:lpstr>Adaequanz_Korrekturfaktor</vt:lpstr>
      <vt:lpstr>Adaequanz_LDyn</vt:lpstr>
      <vt:lpstr>Adaequanz_LDynBer</vt:lpstr>
      <vt:lpstr>Adaequanz_LDynPfl</vt:lpstr>
      <vt:lpstr>Adaequanz_Pruefung</vt:lpstr>
      <vt:lpstr>Adaequanz_QV_Alter</vt:lpstr>
      <vt:lpstr>Adaequanz_ReEintrittPfl</vt:lpstr>
      <vt:lpstr>Adaequanz_Reintritt</vt:lpstr>
      <vt:lpstr>Adaequanz_ReintrittBer</vt:lpstr>
      <vt:lpstr>Adaequanz_RenteBer</vt:lpstr>
      <vt:lpstr>Adaequanz_Renteneintritt</vt:lpstr>
      <vt:lpstr>Adaequanz_RenteneintrittVersAusglK</vt:lpstr>
      <vt:lpstr>Adaequanz_Rentenhoehe</vt:lpstr>
      <vt:lpstr>Adaequanz_RentenhoeheVersAusglK</vt:lpstr>
      <vt:lpstr>Adaequanz_RentePfl</vt:lpstr>
      <vt:lpstr>Adaequanz_RVolumenBer</vt:lpstr>
      <vt:lpstr>Adaequanz_Sondertaste</vt:lpstr>
      <vt:lpstr>Adaequanz_Ufaktor</vt:lpstr>
      <vt:lpstr>Adaequanz_UFaktorEzE</vt:lpstr>
      <vt:lpstr>Adaequanz_Umrechnungsfaktor</vt:lpstr>
      <vt:lpstr>Adaequanz_VerzinsungAusglW</vt:lpstr>
      <vt:lpstr>Adaequanz_Wertkorrektur</vt:lpstr>
      <vt:lpstr>Adaequanz_Zugangsfaktor</vt:lpstr>
      <vt:lpstr>AdaequanzEingabe</vt:lpstr>
      <vt:lpstr>Adäquanz_DRVRenteneintritt</vt:lpstr>
      <vt:lpstr>aktRW</vt:lpstr>
      <vt:lpstr>aktRW_DatErf</vt:lpstr>
      <vt:lpstr>AktuellerRentenwert</vt:lpstr>
      <vt:lpstr>AllgemU_Faktoren</vt:lpstr>
      <vt:lpstr>Alt_Neu</vt:lpstr>
      <vt:lpstr>AlternativerReZins</vt:lpstr>
      <vt:lpstr>Altersgrenze</vt:lpstr>
      <vt:lpstr>AltersgrenzeBerechnen</vt:lpstr>
      <vt:lpstr>Altersstaffel</vt:lpstr>
      <vt:lpstr>Altersuebernahme</vt:lpstr>
      <vt:lpstr>Anpassung33</vt:lpstr>
      <vt:lpstr>Anwartschaftszeit</vt:lpstr>
      <vt:lpstr>Atammdaten</vt:lpstr>
      <vt:lpstr>Atammdaten1</vt:lpstr>
      <vt:lpstr>Atammdaten2</vt:lpstr>
      <vt:lpstr>Aufabzinsung</vt:lpstr>
      <vt:lpstr>AufZinsEzE</vt:lpstr>
      <vt:lpstr>Aufzinsung</vt:lpstr>
      <vt:lpstr>AusgleichDRV</vt:lpstr>
      <vt:lpstr>avisierterZahlungsbetrag</vt:lpstr>
      <vt:lpstr>AW_DynamikVersAusglK</vt:lpstr>
      <vt:lpstr>B_Dat</vt:lpstr>
      <vt:lpstr>b_p_AVverbergen</vt:lpstr>
      <vt:lpstr>BagatellgrenzeKapital</vt:lpstr>
      <vt:lpstr>BagatellgrenzeRente</vt:lpstr>
      <vt:lpstr>BarwertBeitrag</vt:lpstr>
      <vt:lpstr>Barwertberechnung</vt:lpstr>
      <vt:lpstr>Barwertdifferenz</vt:lpstr>
      <vt:lpstr>Barwertgleiche</vt:lpstr>
      <vt:lpstr>Basiszins</vt:lpstr>
      <vt:lpstr>BBMG</vt:lpstr>
      <vt:lpstr>Beamtenanpassung</vt:lpstr>
      <vt:lpstr>BeamtV_Dienstzeit</vt:lpstr>
      <vt:lpstr>BeamtV_Verbergen</vt:lpstr>
      <vt:lpstr>BeitraginEP</vt:lpstr>
      <vt:lpstr>BeitragInRente</vt:lpstr>
      <vt:lpstr>Beitragsbemessungsgrenze</vt:lpstr>
      <vt:lpstr>BeitragssatzDRV</vt:lpstr>
      <vt:lpstr>Bem_1</vt:lpstr>
      <vt:lpstr>Bem_2</vt:lpstr>
      <vt:lpstr>BerBasis</vt:lpstr>
      <vt:lpstr>BerechnetAuf</vt:lpstr>
      <vt:lpstr>Berechnungsmethode</vt:lpstr>
      <vt:lpstr>Berechnungsparameter</vt:lpstr>
      <vt:lpstr>BerGesamt</vt:lpstr>
      <vt:lpstr>BerstdV_verbergen</vt:lpstr>
      <vt:lpstr>BGHXIIZB23016</vt:lpstr>
      <vt:lpstr>BGHXIIZB26016</vt:lpstr>
      <vt:lpstr>Bilanz_BilMoG10</vt:lpstr>
      <vt:lpstr>BilMoG</vt:lpstr>
      <vt:lpstr>BilMoG_10</vt:lpstr>
      <vt:lpstr>BilMoG_10_sVA</vt:lpstr>
      <vt:lpstr>BilMoG_7</vt:lpstr>
      <vt:lpstr>BilMoG10</vt:lpstr>
      <vt:lpstr>BilMoG10Anfang</vt:lpstr>
      <vt:lpstr>BilMoGAnfang</vt:lpstr>
      <vt:lpstr>BilMogEnde</vt:lpstr>
      <vt:lpstr>BilMoGmax</vt:lpstr>
      <vt:lpstr>BilMoGMin</vt:lpstr>
      <vt:lpstr>BilmoGZins</vt:lpstr>
      <vt:lpstr>BWDRV_F</vt:lpstr>
      <vt:lpstr>BWDRV_M</vt:lpstr>
      <vt:lpstr>BWpbAB_M</vt:lpstr>
      <vt:lpstr>BWVergl_F_DRV</vt:lpstr>
      <vt:lpstr>BWVergl_F_DRVIR</vt:lpstr>
      <vt:lpstr>BWVergl_F_VersAusglK</vt:lpstr>
      <vt:lpstr>BWVergl_M_DRV</vt:lpstr>
      <vt:lpstr>BWVergl_M_DRVIR</vt:lpstr>
      <vt:lpstr>BWVergl_M_VersAusglK</vt:lpstr>
      <vt:lpstr>C_BilMoG10</vt:lpstr>
      <vt:lpstr>Dat_AlterF</vt:lpstr>
      <vt:lpstr>Dat_AlterM</vt:lpstr>
      <vt:lpstr>Dat_AZeig</vt:lpstr>
      <vt:lpstr>Dat_AZeit_F</vt:lpstr>
      <vt:lpstr>Dat_AZeit_M</vt:lpstr>
      <vt:lpstr>Dat_BilMoG</vt:lpstr>
      <vt:lpstr>Dat_bstdKoKa_F</vt:lpstr>
      <vt:lpstr>Dat_bstdKoKa_M</vt:lpstr>
      <vt:lpstr>Dat_bstdV_F</vt:lpstr>
      <vt:lpstr>Dat_bstdV_M</vt:lpstr>
      <vt:lpstr>Dat_DRV_ReSumme</vt:lpstr>
      <vt:lpstr>Dat_EzA</vt:lpstr>
      <vt:lpstr>Dat_EzE</vt:lpstr>
      <vt:lpstr>Dat_GebDat_F</vt:lpstr>
      <vt:lpstr>Dat_GebDat_M</vt:lpstr>
      <vt:lpstr>Dat_GebDatF</vt:lpstr>
      <vt:lpstr>Dat_GebDatM</vt:lpstr>
      <vt:lpstr>Dat_gRV_F1</vt:lpstr>
      <vt:lpstr>Dat_gRV_F2</vt:lpstr>
      <vt:lpstr>Dat_gRV_F3</vt:lpstr>
      <vt:lpstr>Dat_gRV_M1</vt:lpstr>
      <vt:lpstr>Dat_gRV_M2</vt:lpstr>
      <vt:lpstr>Dat_gRV_M3</vt:lpstr>
      <vt:lpstr>Dat_LZeit_F</vt:lpstr>
      <vt:lpstr>Dat_LZeit_M</vt:lpstr>
      <vt:lpstr>Dat_Pension_F1</vt:lpstr>
      <vt:lpstr>Dat_Pension_F2</vt:lpstr>
      <vt:lpstr>Dat_Pension_M1</vt:lpstr>
      <vt:lpstr>Dat_Pension_M2</vt:lpstr>
      <vt:lpstr>Dat_RentnerF</vt:lpstr>
      <vt:lpstr>Dat_RentnerM</vt:lpstr>
      <vt:lpstr>Dat_UFaktorEzE</vt:lpstr>
      <vt:lpstr>Dat_Unisex</vt:lpstr>
      <vt:lpstr>DatenAusBewertung</vt:lpstr>
      <vt:lpstr>Delta</vt:lpstr>
      <vt:lpstr>DFGT</vt:lpstr>
      <vt:lpstr>Dienstzeitverlängerung</vt:lpstr>
      <vt:lpstr>Dies_und_Das_Ost</vt:lpstr>
      <vt:lpstr>DiesuDas_AboderAuf</vt:lpstr>
      <vt:lpstr>DiesundDas</vt:lpstr>
      <vt:lpstr>DifferenzfaktorDRV</vt:lpstr>
      <vt:lpstr>divers</vt:lpstr>
      <vt:lpstr>'§ 33'!Druckbereich</vt:lpstr>
      <vt:lpstr>'§§ 23, 24'!Druckbereich</vt:lpstr>
      <vt:lpstr>Berechnungstext!Druckbereich</vt:lpstr>
      <vt:lpstr>'BVerfG 1 BvL 5-18'!Druckbereich</vt:lpstr>
      <vt:lpstr>'Dies &amp; Das'!Druckbereich</vt:lpstr>
      <vt:lpstr>Ehezeitanteil!Druckbereich</vt:lpstr>
      <vt:lpstr>'Einzel-Bewertung'!Druckbereich</vt:lpstr>
      <vt:lpstr>Fallerfassung!Druckbereich</vt:lpstr>
      <vt:lpstr>'Gewinn &amp; Verlust'!Druckbereich</vt:lpstr>
      <vt:lpstr>Grundrentenrechner!Druckbereich</vt:lpstr>
      <vt:lpstr>'HRIR-Zuschläge'!Druckbereich</vt:lpstr>
      <vt:lpstr>Inhalt!Druckbereich</vt:lpstr>
      <vt:lpstr>Lebenserwartung_M!Druckbereich</vt:lpstr>
      <vt:lpstr>Parameter!Druckbereich</vt:lpstr>
      <vt:lpstr>'sVA § 20'!Druckbereich</vt:lpstr>
      <vt:lpstr>'TO Ziff.5'!Druckbereich</vt:lpstr>
      <vt:lpstr>'TO-Prüfung'!Druckbereich</vt:lpstr>
      <vt:lpstr>Verzinsung!Druckbereich</vt:lpstr>
      <vt:lpstr>DruckbereichII</vt:lpstr>
      <vt:lpstr>'HRIR-Zuschläge'!Drucktitel</vt:lpstr>
      <vt:lpstr>Lebenserwartung_M!Drucktitel</vt:lpstr>
      <vt:lpstr>'TO Ziff.5'!Drucktitel</vt:lpstr>
      <vt:lpstr>DRV_10</vt:lpstr>
      <vt:lpstr>DRV_Adressen</vt:lpstr>
      <vt:lpstr>DRV_Rentensumme</vt:lpstr>
      <vt:lpstr>DRV_VersorgungenVerbergen</vt:lpstr>
      <vt:lpstr>DRVAusglBerJa</vt:lpstr>
      <vt:lpstr>DRVJa</vt:lpstr>
      <vt:lpstr>DRVPfl</vt:lpstr>
      <vt:lpstr>DuD_RAltersgr1</vt:lpstr>
      <vt:lpstr>DuD_RAltersgr2</vt:lpstr>
      <vt:lpstr>DuD_SummeAR</vt:lpstr>
      <vt:lpstr>DuD_Umrechnung_DRV</vt:lpstr>
      <vt:lpstr>DuD_VVR1</vt:lpstr>
      <vt:lpstr>DuD_VVR2</vt:lpstr>
      <vt:lpstr>Durchschnitt</vt:lpstr>
      <vt:lpstr>DurchschnittsentgeltTabelle</vt:lpstr>
      <vt:lpstr>DynamikBerstdV</vt:lpstr>
      <vt:lpstr>Dynamisierung</vt:lpstr>
      <vt:lpstr>DynDRVZeitDiff</vt:lpstr>
      <vt:lpstr>E_Abweichung</vt:lpstr>
      <vt:lpstr>E_Alter</vt:lpstr>
      <vt:lpstr>E_AlterABer</vt:lpstr>
      <vt:lpstr>E_Alterswahl</vt:lpstr>
      <vt:lpstr>E_Anwartschaftszeit</vt:lpstr>
      <vt:lpstr>E_AnwartschaftszeitABer</vt:lpstr>
      <vt:lpstr>E_BarwertderRente</vt:lpstr>
      <vt:lpstr>E_BarwertDRV</vt:lpstr>
      <vt:lpstr>E_BarwertText</vt:lpstr>
      <vt:lpstr>E_BerDat1</vt:lpstr>
      <vt:lpstr>E_BerDat2</vt:lpstr>
      <vt:lpstr>E_Bezeichnung</vt:lpstr>
      <vt:lpstr>E_BilMoG10</vt:lpstr>
      <vt:lpstr>E_Bilmog10_test</vt:lpstr>
      <vt:lpstr>E_Datum1</vt:lpstr>
      <vt:lpstr>E_Ergebnis</vt:lpstr>
      <vt:lpstr>E_Geschlecht1</vt:lpstr>
      <vt:lpstr>E_Halbteilung</vt:lpstr>
      <vt:lpstr>E_HFaktor</vt:lpstr>
      <vt:lpstr>E_HfaktorAusglBer</vt:lpstr>
      <vt:lpstr>E_Hinterbliebene</vt:lpstr>
      <vt:lpstr>E_HinterbliebeneAusglBer</vt:lpstr>
      <vt:lpstr>E_Ifaktor</vt:lpstr>
      <vt:lpstr>E_IFaktorAusglBer</vt:lpstr>
      <vt:lpstr>E_Invalidität</vt:lpstr>
      <vt:lpstr>E_InvaliditätAusglBer</vt:lpstr>
      <vt:lpstr>E_Kapital</vt:lpstr>
      <vt:lpstr>E_KapWert</vt:lpstr>
      <vt:lpstr>E_LebenserwartungManuell</vt:lpstr>
      <vt:lpstr>E_LXYAlterABer</vt:lpstr>
      <vt:lpstr>E_LxyRAlter</vt:lpstr>
      <vt:lpstr>E_RelegalterABer</vt:lpstr>
      <vt:lpstr>E_RenteausKapital</vt:lpstr>
      <vt:lpstr>E_RenteausKapitalAglBer</vt:lpstr>
      <vt:lpstr>E_RenteKapital</vt:lpstr>
      <vt:lpstr>E_RenteKapital1</vt:lpstr>
      <vt:lpstr>E_Rentenalter</vt:lpstr>
      <vt:lpstr>E_Rentenaltereingabe</vt:lpstr>
      <vt:lpstr>E_Renteneintritt</vt:lpstr>
      <vt:lpstr>E_Rentner</vt:lpstr>
      <vt:lpstr>E_ReTrend1</vt:lpstr>
      <vt:lpstr>E_Rezins</vt:lpstr>
      <vt:lpstr>E_ReZins1</vt:lpstr>
      <vt:lpstr>E_RezinsAngabe</vt:lpstr>
      <vt:lpstr>E_sex</vt:lpstr>
      <vt:lpstr>E_T_HRIR</vt:lpstr>
      <vt:lpstr>E_T_VVR</vt:lpstr>
      <vt:lpstr>E_Tabschritt</vt:lpstr>
      <vt:lpstr>E_Tabschritt2</vt:lpstr>
      <vt:lpstr>E_Versicherungsjahrgang</vt:lpstr>
      <vt:lpstr>E_Volldynamik</vt:lpstr>
      <vt:lpstr>E_VVR</vt:lpstr>
      <vt:lpstr>E_VVR_T</vt:lpstr>
      <vt:lpstr>E_VVR_TAusglBer</vt:lpstr>
      <vt:lpstr>E_VVR1</vt:lpstr>
      <vt:lpstr>E_VVR1AglBer</vt:lpstr>
      <vt:lpstr>E_VVR2</vt:lpstr>
      <vt:lpstr>E_VVR2AglBer</vt:lpstr>
      <vt:lpstr>E_VVRAusglBer</vt:lpstr>
      <vt:lpstr>Ehebis</vt:lpstr>
      <vt:lpstr>Ehevon</vt:lpstr>
      <vt:lpstr>Ehezeitanteil_Druckbereich</vt:lpstr>
      <vt:lpstr>Endalter</vt:lpstr>
      <vt:lpstr>EndalterDRV</vt:lpstr>
      <vt:lpstr>Enddatum</vt:lpstr>
      <vt:lpstr>Ensalter</vt:lpstr>
      <vt:lpstr>Entgeltpunkte1</vt:lpstr>
      <vt:lpstr>EntgeltpunkteInKapital</vt:lpstr>
      <vt:lpstr>entspricht</vt:lpstr>
      <vt:lpstr>EP_Ost</vt:lpstr>
      <vt:lpstr>EPOst</vt:lpstr>
      <vt:lpstr>ErgebnisABer</vt:lpstr>
      <vt:lpstr>Euro_EP</vt:lpstr>
      <vt:lpstr>EzE_P</vt:lpstr>
      <vt:lpstr>Fahrrad</vt:lpstr>
      <vt:lpstr>FB_Aktiv</vt:lpstr>
      <vt:lpstr>ForderungRente</vt:lpstr>
      <vt:lpstr>Frau</vt:lpstr>
      <vt:lpstr>G_Kohorte_F</vt:lpstr>
      <vt:lpstr>G_Kohorte_M</vt:lpstr>
      <vt:lpstr>G_Kohorte_N</vt:lpstr>
      <vt:lpstr>Geschlecht</vt:lpstr>
      <vt:lpstr>gesRentenalteralternativ</vt:lpstr>
      <vt:lpstr>GesVersrgPfl</vt:lpstr>
      <vt:lpstr>Gewinn</vt:lpstr>
      <vt:lpstr>GR_Bagatellgrenze</vt:lpstr>
      <vt:lpstr>GR_EP_Teilung</vt:lpstr>
      <vt:lpstr>GR_Ost</vt:lpstr>
      <vt:lpstr>GrafikSchalter</vt:lpstr>
      <vt:lpstr>GRRente_EzE</vt:lpstr>
      <vt:lpstr>Grundrentenrechner</vt:lpstr>
      <vt:lpstr>Halbierung</vt:lpstr>
      <vt:lpstr>HalbzeitAusgleichsber</vt:lpstr>
      <vt:lpstr>Haus</vt:lpstr>
      <vt:lpstr>Heubeck</vt:lpstr>
      <vt:lpstr>Heute</vt:lpstr>
      <vt:lpstr>Höchstrechnungszins</vt:lpstr>
      <vt:lpstr>Hoechstrechnungszins</vt:lpstr>
      <vt:lpstr>HR_Quote</vt:lpstr>
      <vt:lpstr>HRIR</vt:lpstr>
      <vt:lpstr>HRIR_Zuschlag</vt:lpstr>
      <vt:lpstr>HRIR60</vt:lpstr>
      <vt:lpstr>HRIR61</vt:lpstr>
      <vt:lpstr>HRIR62</vt:lpstr>
      <vt:lpstr>HRIR63</vt:lpstr>
      <vt:lpstr>HRIR64</vt:lpstr>
      <vt:lpstr>HRIR66</vt:lpstr>
      <vt:lpstr>HRIR67</vt:lpstr>
      <vt:lpstr>Inhalt</vt:lpstr>
      <vt:lpstr>Interpolation</vt:lpstr>
      <vt:lpstr>Intro</vt:lpstr>
      <vt:lpstr>Invaliditätsrente</vt:lpstr>
      <vt:lpstr>IR_Quote</vt:lpstr>
      <vt:lpstr>Kapital_P</vt:lpstr>
      <vt:lpstr>Kapital2_p</vt:lpstr>
      <vt:lpstr>KeineInvaliditätinDRV</vt:lpstr>
      <vt:lpstr>KoKaDRV</vt:lpstr>
      <vt:lpstr>KoKaDRV_F</vt:lpstr>
      <vt:lpstr>KoKaDRV_M</vt:lpstr>
      <vt:lpstr>KostenDRV</vt:lpstr>
      <vt:lpstr>KostenEuroDRV</vt:lpstr>
      <vt:lpstr>KV_Beitrag</vt:lpstr>
      <vt:lpstr>KV_Beitragssatz</vt:lpstr>
      <vt:lpstr>KVundPV</vt:lpstr>
      <vt:lpstr>L_DynamikVersAusglK</vt:lpstr>
      <vt:lpstr>Längerlebigkeitszuschlag</vt:lpstr>
      <vt:lpstr>Laufzeitbegrenzung</vt:lpstr>
      <vt:lpstr>Lebenserwartung_F_V2</vt:lpstr>
      <vt:lpstr>Lebenserwartung_M_V2</vt:lpstr>
      <vt:lpstr>Lebenserwartung_N_V2</vt:lpstr>
      <vt:lpstr>LebenserwartungabRente</vt:lpstr>
      <vt:lpstr>LetzterVPI</vt:lpstr>
      <vt:lpstr>LetzteZeile</vt:lpstr>
      <vt:lpstr>Mandant</vt:lpstr>
      <vt:lpstr>Mann</vt:lpstr>
      <vt:lpstr>männlich</vt:lpstr>
      <vt:lpstr>MonatlicheBezugsgroesse</vt:lpstr>
      <vt:lpstr>MonatlicheBezugsgröße</vt:lpstr>
      <vt:lpstr>Monatsbasis</vt:lpstr>
      <vt:lpstr>MonBezugsgr_120</vt:lpstr>
      <vt:lpstr>NächstesDatum</vt:lpstr>
      <vt:lpstr>NameAusglBer</vt:lpstr>
      <vt:lpstr>NameAusglPfl</vt:lpstr>
      <vt:lpstr>O_BewG</vt:lpstr>
      <vt:lpstr>O_BilMoG</vt:lpstr>
      <vt:lpstr>ö_r_VersorgungenVerbergen</vt:lpstr>
      <vt:lpstr>Ost</vt:lpstr>
      <vt:lpstr>Pensionistenprivileg</vt:lpstr>
      <vt:lpstr>PfeilLinks</vt:lpstr>
      <vt:lpstr>PfeilOben</vt:lpstr>
      <vt:lpstr>PfeilRechts</vt:lpstr>
      <vt:lpstr>PfeilUnten</vt:lpstr>
      <vt:lpstr>PfelRechts</vt:lpstr>
      <vt:lpstr>QuellVersrg</vt:lpstr>
      <vt:lpstr>QVersJa</vt:lpstr>
      <vt:lpstr>Realdauer</vt:lpstr>
      <vt:lpstr>Rechenblatt</vt:lpstr>
      <vt:lpstr>RechenrentenalterInterpolation</vt:lpstr>
      <vt:lpstr>Redifferenz</vt:lpstr>
      <vt:lpstr>Regelaltersgrenze</vt:lpstr>
      <vt:lpstr>Rente_P</vt:lpstr>
      <vt:lpstr>Rentenalter</vt:lpstr>
      <vt:lpstr>Rentenbewertung</vt:lpstr>
      <vt:lpstr>Rentenbewertung_Druck</vt:lpstr>
      <vt:lpstr>Renteneintrittstabelle</vt:lpstr>
      <vt:lpstr>RentenerwerbDRV</vt:lpstr>
      <vt:lpstr>RentenerwerbDRVBer</vt:lpstr>
      <vt:lpstr>Rentenparameter</vt:lpstr>
      <vt:lpstr>RententrendDRV</vt:lpstr>
      <vt:lpstr>Rentner</vt:lpstr>
      <vt:lpstr>RestleistungszeitAGlBer</vt:lpstr>
      <vt:lpstr>RestleistungszeitAusglBer</vt:lpstr>
      <vt:lpstr>RestleistungszeitBer</vt:lpstr>
      <vt:lpstr>Resttleistungszeit</vt:lpstr>
      <vt:lpstr>ReSummeM</vt:lpstr>
      <vt:lpstr>Rextleistungszeit</vt:lpstr>
      <vt:lpstr>ReZins</vt:lpstr>
      <vt:lpstr>RK_AlterAusglBer</vt:lpstr>
      <vt:lpstr>RK_Anwartschaftszeit</vt:lpstr>
      <vt:lpstr>RK_AnwZeit</vt:lpstr>
      <vt:lpstr>RK_aufgezinsterBW</vt:lpstr>
      <vt:lpstr>RK_AusgW</vt:lpstr>
      <vt:lpstr>RK_biometrKorrektur</vt:lpstr>
      <vt:lpstr>RK_Datum</vt:lpstr>
      <vt:lpstr>RK_KorrekturfaktorNebenleistung</vt:lpstr>
      <vt:lpstr>RK_Leistungezeit</vt:lpstr>
      <vt:lpstr>RK_Leistungszeit</vt:lpstr>
      <vt:lpstr>RK_Nebenleistungen</vt:lpstr>
      <vt:lpstr>RK_Nebenleistungen_ABer</vt:lpstr>
      <vt:lpstr>RK_VVAAusglBer</vt:lpstr>
      <vt:lpstr>RK_VVR_Korrektur</vt:lpstr>
      <vt:lpstr>RK_VVRAglBer_Faktor</vt:lpstr>
      <vt:lpstr>RK_VVRZahlbeiRK</vt:lpstr>
      <vt:lpstr>RK_Zeitabstand_EzE</vt:lpstr>
      <vt:lpstr>Screen</vt:lpstr>
      <vt:lpstr>Sexwahl</vt:lpstr>
      <vt:lpstr>Sexwahl_alt</vt:lpstr>
      <vt:lpstr>SexWahlSVA</vt:lpstr>
      <vt:lpstr>SonstJa</vt:lpstr>
      <vt:lpstr>SonstPfl</vt:lpstr>
      <vt:lpstr>Sozialabgaben_sVA</vt:lpstr>
      <vt:lpstr>Spalten</vt:lpstr>
      <vt:lpstr>Speicherort</vt:lpstr>
      <vt:lpstr>St_Forderung</vt:lpstr>
      <vt:lpstr>St_Sex</vt:lpstr>
      <vt:lpstr>St_Zins</vt:lpstr>
      <vt:lpstr>Stammdaten1</vt:lpstr>
      <vt:lpstr>Stammdaten3</vt:lpstr>
      <vt:lpstr>Stammdaten4</vt:lpstr>
      <vt:lpstr>Stammdaten5</vt:lpstr>
      <vt:lpstr>Stammdaten6</vt:lpstr>
      <vt:lpstr>Stammdaten7</vt:lpstr>
      <vt:lpstr>Stammdatenerfassung</vt:lpstr>
      <vt:lpstr>Startverzeichnis</vt:lpstr>
      <vt:lpstr>StDat_GrusiAdd</vt:lpstr>
      <vt:lpstr>Sterbetafel</vt:lpstr>
      <vt:lpstr>SummeAR</vt:lpstr>
      <vt:lpstr>Summenzeichen</vt:lpstr>
      <vt:lpstr>SV_Abzug</vt:lpstr>
      <vt:lpstr>sVA</vt:lpstr>
      <vt:lpstr>sVA_AnzahlehezeitlicherV</vt:lpstr>
      <vt:lpstr>sVA_DatenlisteGeschlecht</vt:lpstr>
      <vt:lpstr>sVA_Einkommensauswahl</vt:lpstr>
      <vt:lpstr>sVA_EPOst</vt:lpstr>
      <vt:lpstr>sVA_Geschlecht</vt:lpstr>
      <vt:lpstr>sVA_Höchst3b</vt:lpstr>
      <vt:lpstr>sVA_Privat</vt:lpstr>
      <vt:lpstr>sVA_Stammdaten</vt:lpstr>
      <vt:lpstr>sVA_VVRQuoteMet2</vt:lpstr>
      <vt:lpstr>sVA_VVRQuoteMeth1</vt:lpstr>
      <vt:lpstr>SVAbgaben</vt:lpstr>
      <vt:lpstr>T_Barwert</vt:lpstr>
      <vt:lpstr>T_Verrentung</vt:lpstr>
      <vt:lpstr>Tabelle</vt:lpstr>
      <vt:lpstr>Tabelle9a</vt:lpstr>
      <vt:lpstr>TabellenAuswahlDRV</vt:lpstr>
      <vt:lpstr>TabSchritteBer</vt:lpstr>
      <vt:lpstr>TabSchrittePfl</vt:lpstr>
      <vt:lpstr>Tage</vt:lpstr>
      <vt:lpstr>Teilungsordnungsprüfung</vt:lpstr>
      <vt:lpstr>Tenorierungsvorschlag</vt:lpstr>
      <vt:lpstr>Tenorschalter</vt:lpstr>
      <vt:lpstr>Text</vt:lpstr>
      <vt:lpstr>TO_Bemerkung1</vt:lpstr>
      <vt:lpstr>TO_Bemerkung2</vt:lpstr>
      <vt:lpstr>TO_Sex</vt:lpstr>
      <vt:lpstr>TO_vorhanden</vt:lpstr>
      <vt:lpstr>TO_Ziffer</vt:lpstr>
      <vt:lpstr>TOs</vt:lpstr>
      <vt:lpstr>TOZiff5</vt:lpstr>
      <vt:lpstr>Transfergewinnverteilung</vt:lpstr>
      <vt:lpstr>TZ_Faktor</vt:lpstr>
      <vt:lpstr>Umrechnung</vt:lpstr>
      <vt:lpstr>Umrechnungen</vt:lpstr>
      <vt:lpstr>UmrechnungEP_Kap</vt:lpstr>
      <vt:lpstr>Umrechnungsfaktoren</vt:lpstr>
      <vt:lpstr>Umrechnungsfaktoren_BeitraginEP</vt:lpstr>
      <vt:lpstr>Umrechnungsfaktoren_BinEP</vt:lpstr>
      <vt:lpstr>ungefähr</vt:lpstr>
      <vt:lpstr>Unterhaltsprivileg</vt:lpstr>
      <vt:lpstr>VBL_Altersfaktoren</vt:lpstr>
      <vt:lpstr>VereinbarterUnterhalt</vt:lpstr>
      <vt:lpstr>VerglVers</vt:lpstr>
      <vt:lpstr>verheiratet</vt:lpstr>
      <vt:lpstr>Verheiratet2</vt:lpstr>
      <vt:lpstr>Verrentung</vt:lpstr>
      <vt:lpstr>VersAusglKJa</vt:lpstr>
      <vt:lpstr>VersAusglKPfl</vt:lpstr>
      <vt:lpstr>VersBer</vt:lpstr>
      <vt:lpstr>VersGebJahrgBer</vt:lpstr>
      <vt:lpstr>VersGebJahrgPfl</vt:lpstr>
      <vt:lpstr>Versionsstand</vt:lpstr>
      <vt:lpstr>Vertins_BilMoG10</vt:lpstr>
      <vt:lpstr>VerzinsungAusgleichswert</vt:lpstr>
      <vt:lpstr>VPI</vt:lpstr>
      <vt:lpstr>VPI_10</vt:lpstr>
      <vt:lpstr>VPI_Jahr</vt:lpstr>
      <vt:lpstr>vv</vt:lpstr>
      <vt:lpstr>VVR</vt:lpstr>
      <vt:lpstr>weiblich</vt:lpstr>
      <vt:lpstr>West_Ost</vt:lpstr>
      <vt:lpstr>WO_Schalter</vt:lpstr>
      <vt:lpstr>Zinsstaffel</vt:lpstr>
      <vt:lpstr>Zuschlag</vt:lpstr>
      <vt:lpstr>ZVAusglBerAlternativ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Hauß</dc:creator>
  <cp:lastModifiedBy>Joern Hauss</cp:lastModifiedBy>
  <cp:lastPrinted>2026-06-30T14:39:57Z</cp:lastPrinted>
  <dcterms:created xsi:type="dcterms:W3CDTF">2016-06-14T19:27:46Z</dcterms:created>
  <dcterms:modified xsi:type="dcterms:W3CDTF">2026-08-05T09:56:15Z</dcterms:modified>
</cp:coreProperties>
</file>